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coat\"/>
    </mc:Choice>
  </mc:AlternateContent>
  <xr:revisionPtr revIDLastSave="0" documentId="13_ncr:1_{ACF5F95B-BAD6-4134-A871-F1AB2873F39D}" xr6:coauthVersionLast="47" xr6:coauthVersionMax="47" xr10:uidLastSave="{00000000-0000-0000-0000-000000000000}"/>
  <bookViews>
    <workbookView xWindow="-110" yWindow="-110" windowWidth="19420" windowHeight="10300" tabRatio="597" firstSheet="1" activeTab="8" xr2:uid="{00000000-000D-0000-FFFF-FFFF00000000}"/>
  </bookViews>
  <sheets>
    <sheet name="خروف ملحمه" sheetId="68" state="hidden" r:id="rId1"/>
    <sheet name="All Menu" sheetId="10" r:id="rId2"/>
    <sheet name="عرض" sheetId="85" state="hidden" r:id="rId3"/>
    <sheet name="تفصيل الخروف " sheetId="29" state="hidden" r:id="rId4"/>
    <sheet name="مسحوبات المواد الخام" sheetId="11" state="hidden" r:id="rId5"/>
    <sheet name="قطعيات العجل" sheetId="17" state="hidden" r:id="rId6"/>
    <sheet name="Semi Finished Recipe" sheetId="2" r:id="rId7"/>
    <sheet name="تفصيل فخد برازيلي" sheetId="82" state="hidden" r:id="rId8"/>
    <sheet name="Finished Recipe" sheetId="3" r:id="rId9"/>
    <sheet name="Sheet2" sheetId="87" state="hidden" r:id="rId10"/>
    <sheet name="تسعير تفصيل الخروف ملحمه" sheetId="69" state="hidden" r:id="rId11"/>
    <sheet name="تسعير تفصيل الخروف مشغل" sheetId="37" state="hidden" r:id="rId12"/>
    <sheet name="RM &amp; SF" sheetId="1" r:id="rId13"/>
    <sheet name="اصناف تم دمجها" sheetId="83" state="hidden" r:id="rId14"/>
    <sheet name="Sales 6.2026" sheetId="5" r:id="rId15"/>
  </sheets>
  <definedNames>
    <definedName name="_xlnm._FilterDatabase" localSheetId="1" hidden="1">'All Menu'!$A$1:$N$691</definedName>
    <definedName name="_xlnm._FilterDatabase" localSheetId="8" hidden="1">'Finished Recipe'!$A$1:$R$3559</definedName>
    <definedName name="_xlnm._FilterDatabase" localSheetId="12" hidden="1">'RM &amp; SF'!$A$1:$S$539</definedName>
    <definedName name="_xlnm._FilterDatabase" localSheetId="14" hidden="1">'Sales 6.2026'!$A$1:$P$1826</definedName>
    <definedName name="_xlnm._FilterDatabase" localSheetId="6" hidden="1">'Semi Finished Recipe'!$A$1:$AB$1242</definedName>
    <definedName name="_xlnm._FilterDatabase" localSheetId="13" hidden="1">'اصناف تم دمجها'!$D$1:$D$26</definedName>
    <definedName name="_xlnm._FilterDatabase" localSheetId="4" hidden="1">'مسحوبات المواد الخام'!$A$1:$AB$648</definedName>
  </definedNames>
  <calcPr calcId="191029"/>
</workbook>
</file>

<file path=xl/calcChain.xml><?xml version="1.0" encoding="utf-8"?>
<calcChain xmlns="http://schemas.openxmlformats.org/spreadsheetml/2006/main">
  <c r="J23" i="2" l="1"/>
  <c r="J22" i="2"/>
  <c r="J21" i="2"/>
  <c r="J20" i="2"/>
  <c r="J19" i="2"/>
  <c r="J18" i="2"/>
  <c r="J17" i="2"/>
  <c r="J16" i="2"/>
  <c r="J15" i="2"/>
  <c r="J14" i="2"/>
  <c r="H1243" i="2"/>
  <c r="F6" i="87"/>
  <c r="O3559" i="3"/>
  <c r="O3558" i="3"/>
  <c r="O3557" i="3"/>
  <c r="O3556" i="3"/>
  <c r="J3559" i="3"/>
  <c r="J3558" i="3"/>
  <c r="J3557" i="3"/>
  <c r="J3556" i="3"/>
  <c r="R3391" i="3" l="1"/>
  <c r="R3390" i="3"/>
  <c r="O3391" i="3"/>
  <c r="O3390" i="3"/>
  <c r="J3391" i="3"/>
  <c r="F3391" i="3"/>
  <c r="E3391" i="3"/>
  <c r="I3391" i="3"/>
  <c r="J3390" i="3"/>
  <c r="I3390" i="3"/>
  <c r="F3390" i="3"/>
  <c r="E3390" i="3"/>
  <c r="I1242" i="2"/>
  <c r="I1241" i="2"/>
  <c r="I1240" i="2"/>
  <c r="I1239" i="2"/>
  <c r="I1238" i="2"/>
  <c r="I1237" i="2"/>
  <c r="I1236" i="2"/>
  <c r="I1235" i="2"/>
  <c r="G1242" i="2"/>
  <c r="G1241" i="2"/>
  <c r="G1240" i="2"/>
  <c r="G1239" i="2"/>
  <c r="G1238" i="2"/>
  <c r="G1237" i="2"/>
  <c r="G1236" i="2"/>
  <c r="G1235" i="2"/>
  <c r="L12" i="37"/>
  <c r="L11" i="37"/>
  <c r="I466" i="2"/>
  <c r="J466" i="2"/>
  <c r="G466" i="2"/>
  <c r="D466" i="2"/>
  <c r="J3385" i="3"/>
  <c r="J3386" i="3"/>
  <c r="J3387" i="3"/>
  <c r="J3388" i="3"/>
  <c r="O3552" i="3"/>
  <c r="O3543" i="3"/>
  <c r="R2076" i="3"/>
  <c r="O2076" i="3"/>
  <c r="J2076" i="3"/>
  <c r="I2076" i="3"/>
  <c r="F2076" i="3"/>
  <c r="E2076" i="3"/>
  <c r="D2076" i="3"/>
  <c r="R2046" i="3"/>
  <c r="O2046" i="3"/>
  <c r="J2046" i="3"/>
  <c r="I2046" i="3"/>
  <c r="F2046" i="3"/>
  <c r="E2046" i="3"/>
  <c r="D2046" i="3"/>
  <c r="R621" i="3"/>
  <c r="O621" i="3"/>
  <c r="J621" i="3"/>
  <c r="I621" i="3"/>
  <c r="F621" i="3"/>
  <c r="E621" i="3"/>
  <c r="D621" i="3"/>
  <c r="R615" i="3"/>
  <c r="O615" i="3"/>
  <c r="J615" i="3"/>
  <c r="I615" i="3"/>
  <c r="F615" i="3"/>
  <c r="E615" i="3"/>
  <c r="D615" i="3"/>
  <c r="O3555" i="3"/>
  <c r="O3554" i="3"/>
  <c r="O3553" i="3"/>
  <c r="O3550" i="3"/>
  <c r="O3549" i="3"/>
  <c r="O3548" i="3"/>
  <c r="O3547" i="3"/>
  <c r="O3546" i="3"/>
  <c r="O3545" i="3"/>
  <c r="F3555" i="3"/>
  <c r="E3555" i="3"/>
  <c r="F3554" i="3"/>
  <c r="E3554" i="3"/>
  <c r="F3553" i="3"/>
  <c r="E3553" i="3"/>
  <c r="F3552" i="3"/>
  <c r="E3552" i="3"/>
  <c r="F3551" i="3"/>
  <c r="E3551" i="3"/>
  <c r="F3550" i="3"/>
  <c r="E3550" i="3"/>
  <c r="F3549" i="3"/>
  <c r="E3549" i="3"/>
  <c r="F3548" i="3"/>
  <c r="E3548" i="3"/>
  <c r="F3547" i="3"/>
  <c r="E3547" i="3"/>
  <c r="F3546" i="3"/>
  <c r="E3546" i="3"/>
  <c r="F3545" i="3"/>
  <c r="E3545" i="3"/>
  <c r="J3555" i="3"/>
  <c r="I3555" i="3"/>
  <c r="J3554" i="3"/>
  <c r="I3554" i="3"/>
  <c r="J3553" i="3"/>
  <c r="I3553" i="3"/>
  <c r="J3552" i="3"/>
  <c r="I3552" i="3"/>
  <c r="J3551" i="3"/>
  <c r="I3551" i="3"/>
  <c r="J3550" i="3"/>
  <c r="I3550" i="3"/>
  <c r="J3549" i="3"/>
  <c r="I3549" i="3"/>
  <c r="J3548" i="3"/>
  <c r="I3548" i="3"/>
  <c r="J3547" i="3"/>
  <c r="I3547" i="3"/>
  <c r="J3546" i="3"/>
  <c r="I3546" i="3"/>
  <c r="J3545" i="3"/>
  <c r="I3545" i="3"/>
  <c r="J3544" i="3"/>
  <c r="I3544" i="3"/>
  <c r="F3544" i="3"/>
  <c r="E3544" i="3"/>
  <c r="F3543" i="3"/>
  <c r="E3543" i="3"/>
  <c r="F3542" i="3"/>
  <c r="E3542" i="3"/>
  <c r="F3541" i="3"/>
  <c r="E3541" i="3"/>
  <c r="F3540" i="3"/>
  <c r="E3540" i="3"/>
  <c r="F3539" i="3"/>
  <c r="E3539" i="3"/>
  <c r="F3538" i="3"/>
  <c r="E3538" i="3"/>
  <c r="F3537" i="3"/>
  <c r="E3537" i="3"/>
  <c r="F3536" i="3"/>
  <c r="E3536" i="3"/>
  <c r="F3535" i="3"/>
  <c r="E3535" i="3"/>
  <c r="F3534" i="3"/>
  <c r="E3534" i="3"/>
  <c r="F3533" i="3"/>
  <c r="E3533" i="3"/>
  <c r="O3542" i="3"/>
  <c r="O3538" i="3"/>
  <c r="O3536" i="3"/>
  <c r="O3534" i="3"/>
  <c r="O3533" i="3"/>
  <c r="I3543" i="3"/>
  <c r="I3542" i="3"/>
  <c r="I3541" i="3"/>
  <c r="I3540" i="3"/>
  <c r="I3539" i="3"/>
  <c r="I3538" i="3"/>
  <c r="I3537" i="3"/>
  <c r="I3536" i="3"/>
  <c r="I3535" i="3"/>
  <c r="I3534" i="3"/>
  <c r="I3533" i="3"/>
  <c r="I3532" i="3"/>
  <c r="H538" i="1"/>
  <c r="L3552" i="3" s="1"/>
  <c r="M3552" i="3" s="1"/>
  <c r="J3543" i="3"/>
  <c r="J3542" i="3"/>
  <c r="J3541" i="3"/>
  <c r="J3540" i="3"/>
  <c r="J3539" i="3"/>
  <c r="J3538" i="3"/>
  <c r="J3537" i="3"/>
  <c r="J3536" i="3"/>
  <c r="J3535" i="3"/>
  <c r="J3534" i="3"/>
  <c r="J3533" i="3"/>
  <c r="J3532" i="3"/>
  <c r="F3532" i="3"/>
  <c r="E3532" i="3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O3537" i="3" l="1"/>
  <c r="O3539" i="3"/>
  <c r="O3532" i="3"/>
  <c r="O3540" i="3"/>
  <c r="O3541" i="3"/>
  <c r="O3535" i="3"/>
  <c r="O3551" i="3"/>
  <c r="O3544" i="3"/>
  <c r="L3540" i="3"/>
  <c r="M3540" i="3" s="1"/>
  <c r="S2" i="1"/>
  <c r="F15" i="69"/>
  <c r="F14" i="69"/>
  <c r="D527" i="1" l="1"/>
  <c r="D526" i="1"/>
  <c r="D528" i="1"/>
  <c r="N56" i="37"/>
  <c r="N57" i="37"/>
  <c r="M58" i="37"/>
  <c r="M57" i="37"/>
  <c r="M56" i="37"/>
  <c r="J12" i="37"/>
  <c r="J11" i="37"/>
  <c r="H3" i="85" l="1"/>
  <c r="H2" i="85"/>
  <c r="G3" i="85"/>
  <c r="G2" i="85"/>
  <c r="F3" i="85"/>
  <c r="F2" i="85"/>
  <c r="E3" i="85"/>
  <c r="E2" i="85"/>
  <c r="C3" i="85"/>
  <c r="C2" i="85"/>
  <c r="I3490" i="3"/>
  <c r="I3489" i="3"/>
  <c r="I3488" i="3"/>
  <c r="I3487" i="3"/>
  <c r="I3486" i="3"/>
  <c r="I3485" i="3"/>
  <c r="I3484" i="3"/>
  <c r="I3483" i="3"/>
  <c r="I3482" i="3"/>
  <c r="I3481" i="3"/>
  <c r="I3480" i="3"/>
  <c r="I3479" i="3"/>
  <c r="I3478" i="3"/>
  <c r="I3477" i="3"/>
  <c r="I3476" i="3"/>
  <c r="I3475" i="3"/>
  <c r="I3474" i="3"/>
  <c r="I3473" i="3"/>
  <c r="I3472" i="3"/>
  <c r="I3471" i="3"/>
  <c r="I3470" i="3"/>
  <c r="I3469" i="3"/>
  <c r="I3468" i="3"/>
  <c r="I3467" i="3"/>
  <c r="I3466" i="3"/>
  <c r="I3465" i="3"/>
  <c r="I3464" i="3"/>
  <c r="I3463" i="3"/>
  <c r="I3462" i="3"/>
  <c r="I3461" i="3"/>
  <c r="I3460" i="3"/>
  <c r="I3459" i="3"/>
  <c r="I3458" i="3"/>
  <c r="I3457" i="3"/>
  <c r="I3456" i="3"/>
  <c r="I3455" i="3"/>
  <c r="I3454" i="3"/>
  <c r="I3453" i="3"/>
  <c r="I3452" i="3"/>
  <c r="I3451" i="3"/>
  <c r="I3450" i="3"/>
  <c r="I3449" i="3"/>
  <c r="I3448" i="3"/>
  <c r="I3447" i="3"/>
  <c r="I3446" i="3"/>
  <c r="I3445" i="3"/>
  <c r="I3444" i="3"/>
  <c r="I3443" i="3"/>
  <c r="I3442" i="3"/>
  <c r="I3441" i="3"/>
  <c r="I3440" i="3"/>
  <c r="I3439" i="3"/>
  <c r="I3438" i="3"/>
  <c r="I3437" i="3"/>
  <c r="I3436" i="3"/>
  <c r="I3435" i="3"/>
  <c r="I3434" i="3"/>
  <c r="I3433" i="3"/>
  <c r="I3432" i="3"/>
  <c r="I3431" i="3"/>
  <c r="I3430" i="3"/>
  <c r="I3429" i="3"/>
  <c r="I3428" i="3"/>
  <c r="I3427" i="3"/>
  <c r="I3426" i="3"/>
  <c r="I3425" i="3"/>
  <c r="I3424" i="3"/>
  <c r="I3423" i="3"/>
  <c r="I3422" i="3"/>
  <c r="I3421" i="3"/>
  <c r="I3420" i="3"/>
  <c r="I3419" i="3"/>
  <c r="I3418" i="3"/>
  <c r="I3417" i="3"/>
  <c r="I3416" i="3"/>
  <c r="I3415" i="3"/>
  <c r="I3414" i="3"/>
  <c r="I3413" i="3"/>
  <c r="I3412" i="3"/>
  <c r="I3411" i="3"/>
  <c r="I3410" i="3"/>
  <c r="I3409" i="3"/>
  <c r="I3408" i="3"/>
  <c r="I3407" i="3"/>
  <c r="I3406" i="3"/>
  <c r="I3405" i="3"/>
  <c r="I3404" i="3"/>
  <c r="I3403" i="3"/>
  <c r="I3402" i="3"/>
  <c r="I3401" i="3"/>
  <c r="I3400" i="3"/>
  <c r="I3399" i="3"/>
  <c r="I3398" i="3"/>
  <c r="I3397" i="3"/>
  <c r="I3396" i="3"/>
  <c r="I3395" i="3"/>
  <c r="I3394" i="3"/>
  <c r="I3393" i="3"/>
  <c r="I3392" i="3"/>
  <c r="I3389" i="3"/>
  <c r="I3388" i="3"/>
  <c r="I3387" i="3"/>
  <c r="I3386" i="3"/>
  <c r="I3385" i="3"/>
  <c r="I3384" i="3"/>
  <c r="I3383" i="3"/>
  <c r="I3382" i="3"/>
  <c r="I3381" i="3"/>
  <c r="I3380" i="3"/>
  <c r="I3379" i="3"/>
  <c r="I3378" i="3"/>
  <c r="I3377" i="3"/>
  <c r="I3376" i="3"/>
  <c r="I3375" i="3"/>
  <c r="I3374" i="3"/>
  <c r="I3373" i="3"/>
  <c r="I3372" i="3"/>
  <c r="I3371" i="3"/>
  <c r="I3370" i="3"/>
  <c r="I3369" i="3"/>
  <c r="I3368" i="3"/>
  <c r="I3367" i="3"/>
  <c r="I3366" i="3"/>
  <c r="I3365" i="3"/>
  <c r="I3364" i="3"/>
  <c r="I3363" i="3"/>
  <c r="I3362" i="3"/>
  <c r="I3361" i="3"/>
  <c r="I3360" i="3"/>
  <c r="I3359" i="3"/>
  <c r="I3358" i="3"/>
  <c r="I3357" i="3"/>
  <c r="I3356" i="3"/>
  <c r="I3355" i="3"/>
  <c r="I3354" i="3"/>
  <c r="I3353" i="3"/>
  <c r="I3352" i="3"/>
  <c r="I3351" i="3"/>
  <c r="I3350" i="3"/>
  <c r="I3349" i="3"/>
  <c r="I3348" i="3"/>
  <c r="I3347" i="3"/>
  <c r="I3346" i="3"/>
  <c r="I3345" i="3"/>
  <c r="I3344" i="3"/>
  <c r="I3343" i="3"/>
  <c r="I3342" i="3"/>
  <c r="I3341" i="3"/>
  <c r="I3340" i="3"/>
  <c r="I3339" i="3"/>
  <c r="I3338" i="3"/>
  <c r="I3337" i="3"/>
  <c r="I3336" i="3"/>
  <c r="I3335" i="3"/>
  <c r="I3334" i="3"/>
  <c r="I3333" i="3"/>
  <c r="I3332" i="3"/>
  <c r="I3331" i="3"/>
  <c r="I3330" i="3"/>
  <c r="I3329" i="3"/>
  <c r="I3328" i="3"/>
  <c r="I3327" i="3"/>
  <c r="I3326" i="3"/>
  <c r="I3325" i="3"/>
  <c r="I3324" i="3"/>
  <c r="I3323" i="3"/>
  <c r="I3322" i="3"/>
  <c r="I3321" i="3"/>
  <c r="I3320" i="3"/>
  <c r="I3319" i="3"/>
  <c r="I3318" i="3"/>
  <c r="I3317" i="3"/>
  <c r="I3316" i="3"/>
  <c r="I3315" i="3"/>
  <c r="I3314" i="3"/>
  <c r="I3313" i="3"/>
  <c r="I3312" i="3"/>
  <c r="I3311" i="3"/>
  <c r="I3310" i="3"/>
  <c r="I3309" i="3"/>
  <c r="I3308" i="3"/>
  <c r="I3307" i="3"/>
  <c r="I3306" i="3"/>
  <c r="I3305" i="3"/>
  <c r="I3304" i="3"/>
  <c r="I3303" i="3"/>
  <c r="I3302" i="3"/>
  <c r="I3301" i="3"/>
  <c r="I3300" i="3"/>
  <c r="I3299" i="3"/>
  <c r="I3298" i="3"/>
  <c r="I3297" i="3"/>
  <c r="I3296" i="3"/>
  <c r="I3295" i="3"/>
  <c r="I3294" i="3"/>
  <c r="I3293" i="3"/>
  <c r="I3292" i="3"/>
  <c r="I3291" i="3"/>
  <c r="I3290" i="3"/>
  <c r="I3289" i="3"/>
  <c r="I3288" i="3"/>
  <c r="I3287" i="3"/>
  <c r="I3286" i="3"/>
  <c r="I3285" i="3"/>
  <c r="I3284" i="3"/>
  <c r="I3283" i="3"/>
  <c r="I3282" i="3"/>
  <c r="I3281" i="3"/>
  <c r="I3280" i="3"/>
  <c r="I3279" i="3"/>
  <c r="I3278" i="3"/>
  <c r="I3277" i="3"/>
  <c r="I3276" i="3"/>
  <c r="I3275" i="3"/>
  <c r="I3274" i="3"/>
  <c r="I3273" i="3"/>
  <c r="I3272" i="3"/>
  <c r="I3271" i="3"/>
  <c r="I3270" i="3"/>
  <c r="I3269" i="3"/>
  <c r="I3268" i="3"/>
  <c r="I3267" i="3"/>
  <c r="I3266" i="3"/>
  <c r="I3265" i="3"/>
  <c r="I3264" i="3"/>
  <c r="I3263" i="3"/>
  <c r="I3262" i="3"/>
  <c r="I3261" i="3"/>
  <c r="I3260" i="3"/>
  <c r="I3259" i="3"/>
  <c r="I3258" i="3"/>
  <c r="I3257" i="3"/>
  <c r="I3256" i="3"/>
  <c r="I3255" i="3"/>
  <c r="I3254" i="3"/>
  <c r="I3253" i="3"/>
  <c r="I3252" i="3"/>
  <c r="I3251" i="3"/>
  <c r="I3250" i="3"/>
  <c r="I3249" i="3"/>
  <c r="I3248" i="3"/>
  <c r="I3247" i="3"/>
  <c r="I3246" i="3"/>
  <c r="I3245" i="3"/>
  <c r="I3244" i="3"/>
  <c r="I3243" i="3"/>
  <c r="I3242" i="3"/>
  <c r="I3241" i="3"/>
  <c r="I3240" i="3"/>
  <c r="I3239" i="3"/>
  <c r="I3238" i="3"/>
  <c r="I3237" i="3"/>
  <c r="I3236" i="3"/>
  <c r="I3235" i="3"/>
  <c r="I3234" i="3"/>
  <c r="I3233" i="3"/>
  <c r="I3232" i="3"/>
  <c r="I3231" i="3"/>
  <c r="I3230" i="3"/>
  <c r="I3229" i="3"/>
  <c r="I3228" i="3"/>
  <c r="I3227" i="3"/>
  <c r="I3226" i="3"/>
  <c r="I3225" i="3"/>
  <c r="I3224" i="3"/>
  <c r="I3223" i="3"/>
  <c r="I3222" i="3"/>
  <c r="I3221" i="3"/>
  <c r="I3220" i="3"/>
  <c r="I3219" i="3"/>
  <c r="I3218" i="3"/>
  <c r="I3217" i="3"/>
  <c r="I3216" i="3"/>
  <c r="I3215" i="3"/>
  <c r="I3214" i="3"/>
  <c r="I3213" i="3"/>
  <c r="I3212" i="3"/>
  <c r="I3211" i="3"/>
  <c r="I3210" i="3"/>
  <c r="I3209" i="3"/>
  <c r="I3208" i="3"/>
  <c r="I3207" i="3"/>
  <c r="I3206" i="3"/>
  <c r="I3205" i="3"/>
  <c r="I3204" i="3"/>
  <c r="I3203" i="3"/>
  <c r="I3202" i="3"/>
  <c r="I3201" i="3"/>
  <c r="I3200" i="3"/>
  <c r="I3199" i="3"/>
  <c r="I3198" i="3"/>
  <c r="I3197" i="3"/>
  <c r="I3196" i="3"/>
  <c r="I3195" i="3"/>
  <c r="I3194" i="3"/>
  <c r="I3193" i="3"/>
  <c r="I3192" i="3"/>
  <c r="I3191" i="3"/>
  <c r="I3190" i="3"/>
  <c r="I3189" i="3"/>
  <c r="I3188" i="3"/>
  <c r="I3187" i="3"/>
  <c r="I3186" i="3"/>
  <c r="I3185" i="3"/>
  <c r="I3184" i="3"/>
  <c r="I3183" i="3"/>
  <c r="I3182" i="3"/>
  <c r="I3181" i="3"/>
  <c r="I3180" i="3"/>
  <c r="I3179" i="3"/>
  <c r="I3178" i="3"/>
  <c r="I3177" i="3"/>
  <c r="I3176" i="3"/>
  <c r="I3175" i="3"/>
  <c r="I3174" i="3"/>
  <c r="I3173" i="3"/>
  <c r="I3172" i="3"/>
  <c r="I3171" i="3"/>
  <c r="I3170" i="3"/>
  <c r="I3169" i="3"/>
  <c r="I3168" i="3"/>
  <c r="I3167" i="3"/>
  <c r="I3166" i="3"/>
  <c r="I3165" i="3"/>
  <c r="I3164" i="3"/>
  <c r="I3163" i="3"/>
  <c r="I3162" i="3"/>
  <c r="I3161" i="3"/>
  <c r="I3160" i="3"/>
  <c r="I3159" i="3"/>
  <c r="I3158" i="3"/>
  <c r="I3157" i="3"/>
  <c r="I3156" i="3"/>
  <c r="I3155" i="3"/>
  <c r="I3154" i="3"/>
  <c r="I3153" i="3"/>
  <c r="I3152" i="3"/>
  <c r="I3151" i="3"/>
  <c r="I3150" i="3"/>
  <c r="I3149" i="3"/>
  <c r="I3148" i="3"/>
  <c r="I3147" i="3"/>
  <c r="I3146" i="3"/>
  <c r="I3145" i="3"/>
  <c r="I3144" i="3"/>
  <c r="I3143" i="3"/>
  <c r="I3142" i="3"/>
  <c r="I3141" i="3"/>
  <c r="I3140" i="3"/>
  <c r="I3139" i="3"/>
  <c r="I3138" i="3"/>
  <c r="I3137" i="3"/>
  <c r="I3136" i="3"/>
  <c r="I3135" i="3"/>
  <c r="I3134" i="3"/>
  <c r="I3133" i="3"/>
  <c r="I3132" i="3"/>
  <c r="I3131" i="3"/>
  <c r="I3130" i="3"/>
  <c r="I3129" i="3"/>
  <c r="I3128" i="3"/>
  <c r="I3127" i="3"/>
  <c r="I3126" i="3"/>
  <c r="I3125" i="3"/>
  <c r="I3124" i="3"/>
  <c r="I3123" i="3"/>
  <c r="I3122" i="3"/>
  <c r="I3121" i="3"/>
  <c r="I3120" i="3"/>
  <c r="I3119" i="3"/>
  <c r="I3118" i="3"/>
  <c r="I3117" i="3"/>
  <c r="I3116" i="3"/>
  <c r="I3115" i="3"/>
  <c r="I3114" i="3"/>
  <c r="I3113" i="3"/>
  <c r="I3112" i="3"/>
  <c r="I3111" i="3"/>
  <c r="I3110" i="3"/>
  <c r="I3109" i="3"/>
  <c r="I3108" i="3"/>
  <c r="I3107" i="3"/>
  <c r="I3106" i="3"/>
  <c r="I3105" i="3"/>
  <c r="I3104" i="3"/>
  <c r="I3103" i="3"/>
  <c r="I3102" i="3"/>
  <c r="I3101" i="3"/>
  <c r="I3100" i="3"/>
  <c r="I3099" i="3"/>
  <c r="I3098" i="3"/>
  <c r="I3097" i="3"/>
  <c r="I3096" i="3"/>
  <c r="I3095" i="3"/>
  <c r="I3094" i="3"/>
  <c r="I3093" i="3"/>
  <c r="I3092" i="3"/>
  <c r="I3091" i="3"/>
  <c r="I3090" i="3"/>
  <c r="I3089" i="3"/>
  <c r="I3088" i="3"/>
  <c r="I3087" i="3"/>
  <c r="I3086" i="3"/>
  <c r="I3085" i="3"/>
  <c r="I3084" i="3"/>
  <c r="I3083" i="3"/>
  <c r="I3082" i="3"/>
  <c r="I3081" i="3"/>
  <c r="I3080" i="3"/>
  <c r="I3079" i="3"/>
  <c r="I3078" i="3"/>
  <c r="I3077" i="3"/>
  <c r="I3076" i="3"/>
  <c r="I3075" i="3"/>
  <c r="I3074" i="3"/>
  <c r="I3073" i="3"/>
  <c r="I3072" i="3"/>
  <c r="I3071" i="3"/>
  <c r="I3070" i="3"/>
  <c r="I3069" i="3"/>
  <c r="I3068" i="3"/>
  <c r="I3067" i="3"/>
  <c r="I3066" i="3"/>
  <c r="I3065" i="3"/>
  <c r="I3064" i="3"/>
  <c r="I3063" i="3"/>
  <c r="I3062" i="3"/>
  <c r="I3061" i="3"/>
  <c r="I3060" i="3"/>
  <c r="I3059" i="3"/>
  <c r="I3058" i="3"/>
  <c r="I3057" i="3"/>
  <c r="I3056" i="3"/>
  <c r="I3055" i="3"/>
  <c r="I3054" i="3"/>
  <c r="I3053" i="3"/>
  <c r="I3052" i="3"/>
  <c r="I3051" i="3"/>
  <c r="I3050" i="3"/>
  <c r="I3049" i="3"/>
  <c r="I3048" i="3"/>
  <c r="I3047" i="3"/>
  <c r="I3046" i="3"/>
  <c r="I3045" i="3"/>
  <c r="I3044" i="3"/>
  <c r="I3043" i="3"/>
  <c r="I3042" i="3"/>
  <c r="I3041" i="3"/>
  <c r="I3040" i="3"/>
  <c r="I3039" i="3"/>
  <c r="I3038" i="3"/>
  <c r="I3037" i="3"/>
  <c r="I3036" i="3"/>
  <c r="I3035" i="3"/>
  <c r="I3034" i="3"/>
  <c r="I3033" i="3"/>
  <c r="I3032" i="3"/>
  <c r="I3031" i="3"/>
  <c r="I3030" i="3"/>
  <c r="I3029" i="3"/>
  <c r="I3028" i="3"/>
  <c r="I3027" i="3"/>
  <c r="I3026" i="3"/>
  <c r="I3025" i="3"/>
  <c r="I3024" i="3"/>
  <c r="I3023" i="3"/>
  <c r="I3022" i="3"/>
  <c r="I3021" i="3"/>
  <c r="I3020" i="3"/>
  <c r="I3019" i="3"/>
  <c r="I3018" i="3"/>
  <c r="I3017" i="3"/>
  <c r="I3016" i="3"/>
  <c r="I3015" i="3"/>
  <c r="I3014" i="3"/>
  <c r="I3013" i="3"/>
  <c r="I3012" i="3"/>
  <c r="I3011" i="3"/>
  <c r="I3010" i="3"/>
  <c r="I3009" i="3"/>
  <c r="I3008" i="3"/>
  <c r="I3007" i="3"/>
  <c r="I3006" i="3"/>
  <c r="I3005" i="3"/>
  <c r="I3004" i="3"/>
  <c r="I3003" i="3"/>
  <c r="I3002" i="3"/>
  <c r="I3001" i="3"/>
  <c r="I3000" i="3"/>
  <c r="I2999" i="3"/>
  <c r="I2998" i="3"/>
  <c r="I2997" i="3"/>
  <c r="I2996" i="3"/>
  <c r="I2995" i="3"/>
  <c r="I2994" i="3"/>
  <c r="I2993" i="3"/>
  <c r="I2992" i="3"/>
  <c r="I2991" i="3"/>
  <c r="I2990" i="3"/>
  <c r="I2989" i="3"/>
  <c r="I2988" i="3"/>
  <c r="I2987" i="3"/>
  <c r="I2986" i="3"/>
  <c r="I2985" i="3"/>
  <c r="I2984" i="3"/>
  <c r="I2983" i="3"/>
  <c r="I2982" i="3"/>
  <c r="I2981" i="3"/>
  <c r="I2980" i="3"/>
  <c r="I2979" i="3"/>
  <c r="I2978" i="3"/>
  <c r="I2977" i="3"/>
  <c r="I2976" i="3"/>
  <c r="I2975" i="3"/>
  <c r="I2974" i="3"/>
  <c r="I2973" i="3"/>
  <c r="I2972" i="3"/>
  <c r="I2971" i="3"/>
  <c r="I2970" i="3"/>
  <c r="I2969" i="3"/>
  <c r="I2968" i="3"/>
  <c r="I2967" i="3"/>
  <c r="I2966" i="3"/>
  <c r="I2965" i="3"/>
  <c r="I2964" i="3"/>
  <c r="I2963" i="3"/>
  <c r="I2962" i="3"/>
  <c r="I2961" i="3"/>
  <c r="I2960" i="3"/>
  <c r="I2959" i="3"/>
  <c r="I2958" i="3"/>
  <c r="I2957" i="3"/>
  <c r="I2956" i="3"/>
  <c r="I2955" i="3"/>
  <c r="I2954" i="3"/>
  <c r="I2953" i="3"/>
  <c r="I2952" i="3"/>
  <c r="I2951" i="3"/>
  <c r="I2950" i="3"/>
  <c r="I2949" i="3"/>
  <c r="I2948" i="3"/>
  <c r="I2947" i="3"/>
  <c r="I2946" i="3"/>
  <c r="I2945" i="3"/>
  <c r="I2944" i="3"/>
  <c r="I2943" i="3"/>
  <c r="I2942" i="3"/>
  <c r="I2941" i="3"/>
  <c r="I2940" i="3"/>
  <c r="I2939" i="3"/>
  <c r="I2938" i="3"/>
  <c r="I2937" i="3"/>
  <c r="I2936" i="3"/>
  <c r="I2935" i="3"/>
  <c r="I2934" i="3"/>
  <c r="I2933" i="3"/>
  <c r="I2932" i="3"/>
  <c r="I2931" i="3"/>
  <c r="I2930" i="3"/>
  <c r="I2929" i="3"/>
  <c r="I2928" i="3"/>
  <c r="I2927" i="3"/>
  <c r="I2926" i="3"/>
  <c r="I2925" i="3"/>
  <c r="I2924" i="3"/>
  <c r="I2923" i="3"/>
  <c r="I2922" i="3"/>
  <c r="I2921" i="3"/>
  <c r="I2920" i="3"/>
  <c r="I2919" i="3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I2879" i="3"/>
  <c r="I2878" i="3"/>
  <c r="I2877" i="3"/>
  <c r="I2876" i="3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0" i="3"/>
  <c r="I619" i="3"/>
  <c r="I618" i="3"/>
  <c r="I617" i="3"/>
  <c r="I616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F3531" i="3"/>
  <c r="E3531" i="3"/>
  <c r="F3530" i="3"/>
  <c r="E3530" i="3"/>
  <c r="F3529" i="3"/>
  <c r="E3529" i="3"/>
  <c r="F3528" i="3"/>
  <c r="E3528" i="3"/>
  <c r="F3527" i="3"/>
  <c r="E3527" i="3"/>
  <c r="F3526" i="3"/>
  <c r="E3526" i="3"/>
  <c r="F3525" i="3"/>
  <c r="E3525" i="3"/>
  <c r="F3524" i="3"/>
  <c r="E3524" i="3"/>
  <c r="F3523" i="3"/>
  <c r="E3523" i="3"/>
  <c r="F3522" i="3"/>
  <c r="E3522" i="3"/>
  <c r="F3521" i="3"/>
  <c r="E3521" i="3"/>
  <c r="F3520" i="3"/>
  <c r="E3520" i="3"/>
  <c r="F3519" i="3"/>
  <c r="E3519" i="3"/>
  <c r="F3518" i="3"/>
  <c r="E3518" i="3"/>
  <c r="F3517" i="3"/>
  <c r="E3517" i="3"/>
  <c r="F3516" i="3"/>
  <c r="E3516" i="3"/>
  <c r="F3515" i="3"/>
  <c r="E3515" i="3"/>
  <c r="F3514" i="3"/>
  <c r="E3514" i="3"/>
  <c r="F3513" i="3"/>
  <c r="E3513" i="3"/>
  <c r="F3512" i="3"/>
  <c r="E3512" i="3"/>
  <c r="F3511" i="3"/>
  <c r="E3511" i="3"/>
  <c r="F3510" i="3"/>
  <c r="E3510" i="3"/>
  <c r="F3509" i="3"/>
  <c r="E3509" i="3"/>
  <c r="F3508" i="3"/>
  <c r="E3508" i="3"/>
  <c r="F3507" i="3"/>
  <c r="E3507" i="3"/>
  <c r="F3506" i="3"/>
  <c r="E3506" i="3"/>
  <c r="F3505" i="3"/>
  <c r="E3505" i="3"/>
  <c r="F3504" i="3"/>
  <c r="E3504" i="3"/>
  <c r="F3503" i="3"/>
  <c r="E3503" i="3"/>
  <c r="F3502" i="3"/>
  <c r="E3502" i="3"/>
  <c r="F3501" i="3"/>
  <c r="E3501" i="3"/>
  <c r="F3500" i="3"/>
  <c r="E3500" i="3"/>
  <c r="F3499" i="3"/>
  <c r="E3499" i="3"/>
  <c r="F3498" i="3"/>
  <c r="E3498" i="3"/>
  <c r="F3497" i="3"/>
  <c r="E3497" i="3"/>
  <c r="F3496" i="3"/>
  <c r="E3496" i="3"/>
  <c r="F3495" i="3"/>
  <c r="E3495" i="3"/>
  <c r="F3494" i="3"/>
  <c r="E3494" i="3"/>
  <c r="F3493" i="3"/>
  <c r="E3493" i="3"/>
  <c r="F3492" i="3"/>
  <c r="E3492" i="3"/>
  <c r="F3491" i="3"/>
  <c r="E3491" i="3"/>
  <c r="F3490" i="3"/>
  <c r="E3490" i="3"/>
  <c r="F3489" i="3"/>
  <c r="E3489" i="3"/>
  <c r="F3488" i="3"/>
  <c r="E3488" i="3"/>
  <c r="F3487" i="3"/>
  <c r="E3487" i="3"/>
  <c r="F3486" i="3"/>
  <c r="E3486" i="3"/>
  <c r="F3485" i="3"/>
  <c r="E3485" i="3"/>
  <c r="F3484" i="3"/>
  <c r="E3484" i="3"/>
  <c r="F3483" i="3"/>
  <c r="E3483" i="3"/>
  <c r="F3482" i="3"/>
  <c r="E3482" i="3"/>
  <c r="F3481" i="3"/>
  <c r="E3481" i="3"/>
  <c r="F3480" i="3"/>
  <c r="E3480" i="3"/>
  <c r="F3479" i="3"/>
  <c r="E3479" i="3"/>
  <c r="F3478" i="3"/>
  <c r="E3478" i="3"/>
  <c r="F3477" i="3"/>
  <c r="E3477" i="3"/>
  <c r="F3476" i="3"/>
  <c r="E3476" i="3"/>
  <c r="F3475" i="3"/>
  <c r="E3475" i="3"/>
  <c r="F3474" i="3"/>
  <c r="E3474" i="3"/>
  <c r="F3473" i="3"/>
  <c r="E3473" i="3"/>
  <c r="F3472" i="3"/>
  <c r="E3472" i="3"/>
  <c r="F3471" i="3"/>
  <c r="E3471" i="3"/>
  <c r="F3470" i="3"/>
  <c r="E3470" i="3"/>
  <c r="F3469" i="3"/>
  <c r="E3469" i="3"/>
  <c r="F3468" i="3"/>
  <c r="E3468" i="3"/>
  <c r="F3467" i="3"/>
  <c r="E3467" i="3"/>
  <c r="F3466" i="3"/>
  <c r="E3466" i="3"/>
  <c r="F3465" i="3"/>
  <c r="E3465" i="3"/>
  <c r="F3464" i="3"/>
  <c r="E3464" i="3"/>
  <c r="F3463" i="3"/>
  <c r="E3463" i="3"/>
  <c r="F3462" i="3"/>
  <c r="E3462" i="3"/>
  <c r="F3461" i="3"/>
  <c r="E3461" i="3"/>
  <c r="F3460" i="3"/>
  <c r="E3460" i="3"/>
  <c r="F3459" i="3"/>
  <c r="E3459" i="3"/>
  <c r="F3458" i="3"/>
  <c r="E3458" i="3"/>
  <c r="F3457" i="3"/>
  <c r="E3457" i="3"/>
  <c r="F3456" i="3"/>
  <c r="E3456" i="3"/>
  <c r="F3455" i="3"/>
  <c r="E3455" i="3"/>
  <c r="F3454" i="3"/>
  <c r="E3454" i="3"/>
  <c r="F3453" i="3"/>
  <c r="E3453" i="3"/>
  <c r="F3452" i="3"/>
  <c r="E3452" i="3"/>
  <c r="F3451" i="3"/>
  <c r="E3451" i="3"/>
  <c r="F3450" i="3"/>
  <c r="E3450" i="3"/>
  <c r="F3449" i="3"/>
  <c r="E3449" i="3"/>
  <c r="F3448" i="3"/>
  <c r="E3448" i="3"/>
  <c r="F3447" i="3"/>
  <c r="E3447" i="3"/>
  <c r="F3446" i="3"/>
  <c r="E3446" i="3"/>
  <c r="F3445" i="3"/>
  <c r="E3445" i="3"/>
  <c r="F3444" i="3"/>
  <c r="E3444" i="3"/>
  <c r="F3443" i="3"/>
  <c r="E3443" i="3"/>
  <c r="F3442" i="3"/>
  <c r="E3442" i="3"/>
  <c r="F3441" i="3"/>
  <c r="E3441" i="3"/>
  <c r="F3440" i="3"/>
  <c r="E3440" i="3"/>
  <c r="F3439" i="3"/>
  <c r="E3439" i="3"/>
  <c r="F3438" i="3"/>
  <c r="E3438" i="3"/>
  <c r="F3437" i="3"/>
  <c r="E3437" i="3"/>
  <c r="F3436" i="3"/>
  <c r="E3436" i="3"/>
  <c r="F3435" i="3"/>
  <c r="E3435" i="3"/>
  <c r="F3434" i="3"/>
  <c r="E3434" i="3"/>
  <c r="F3433" i="3"/>
  <c r="E3433" i="3"/>
  <c r="F3432" i="3"/>
  <c r="E3432" i="3"/>
  <c r="F3431" i="3"/>
  <c r="E3431" i="3"/>
  <c r="F3430" i="3"/>
  <c r="E3430" i="3"/>
  <c r="F3429" i="3"/>
  <c r="E3429" i="3"/>
  <c r="F3428" i="3"/>
  <c r="E3428" i="3"/>
  <c r="F3427" i="3"/>
  <c r="E3427" i="3"/>
  <c r="F3426" i="3"/>
  <c r="E3426" i="3"/>
  <c r="F3425" i="3"/>
  <c r="E3425" i="3"/>
  <c r="F3424" i="3"/>
  <c r="E3424" i="3"/>
  <c r="F3423" i="3"/>
  <c r="E3423" i="3"/>
  <c r="F3422" i="3"/>
  <c r="E3422" i="3"/>
  <c r="F3421" i="3"/>
  <c r="E3421" i="3"/>
  <c r="F3420" i="3"/>
  <c r="E3420" i="3"/>
  <c r="F3419" i="3"/>
  <c r="E3419" i="3"/>
  <c r="F3418" i="3"/>
  <c r="E3418" i="3"/>
  <c r="F3417" i="3"/>
  <c r="E3417" i="3"/>
  <c r="F3416" i="3"/>
  <c r="E3416" i="3"/>
  <c r="F3415" i="3"/>
  <c r="E3415" i="3"/>
  <c r="F3414" i="3"/>
  <c r="E3414" i="3"/>
  <c r="F3413" i="3"/>
  <c r="E3413" i="3"/>
  <c r="F3412" i="3"/>
  <c r="E3412" i="3"/>
  <c r="F3411" i="3"/>
  <c r="E3411" i="3"/>
  <c r="F3410" i="3"/>
  <c r="E3410" i="3"/>
  <c r="F3409" i="3"/>
  <c r="E3409" i="3"/>
  <c r="F3408" i="3"/>
  <c r="E3408" i="3"/>
  <c r="F3407" i="3"/>
  <c r="E3407" i="3"/>
  <c r="F3406" i="3"/>
  <c r="E3406" i="3"/>
  <c r="F3405" i="3"/>
  <c r="E3405" i="3"/>
  <c r="F3404" i="3"/>
  <c r="E3404" i="3"/>
  <c r="F3403" i="3"/>
  <c r="E3403" i="3"/>
  <c r="F3402" i="3"/>
  <c r="E3402" i="3"/>
  <c r="F3401" i="3"/>
  <c r="E3401" i="3"/>
  <c r="F3400" i="3"/>
  <c r="E3400" i="3"/>
  <c r="F3399" i="3"/>
  <c r="E3399" i="3"/>
  <c r="F3398" i="3"/>
  <c r="E3398" i="3"/>
  <c r="F3397" i="3"/>
  <c r="E3397" i="3"/>
  <c r="F3396" i="3"/>
  <c r="E3396" i="3"/>
  <c r="F3395" i="3"/>
  <c r="E3395" i="3"/>
  <c r="F3394" i="3"/>
  <c r="E3394" i="3"/>
  <c r="F3393" i="3"/>
  <c r="E3393" i="3"/>
  <c r="F3392" i="3"/>
  <c r="E3392" i="3"/>
  <c r="F3389" i="3"/>
  <c r="E3389" i="3"/>
  <c r="F3388" i="3"/>
  <c r="E3388" i="3"/>
  <c r="F3387" i="3"/>
  <c r="E3387" i="3"/>
  <c r="F3386" i="3"/>
  <c r="E3386" i="3"/>
  <c r="F3385" i="3"/>
  <c r="E3385" i="3"/>
  <c r="F3384" i="3"/>
  <c r="E3384" i="3"/>
  <c r="F3383" i="3"/>
  <c r="E3383" i="3"/>
  <c r="F3382" i="3"/>
  <c r="E3382" i="3"/>
  <c r="F3381" i="3"/>
  <c r="E3381" i="3"/>
  <c r="F3380" i="3"/>
  <c r="E3380" i="3"/>
  <c r="F3379" i="3"/>
  <c r="E3379" i="3"/>
  <c r="F3378" i="3"/>
  <c r="E3378" i="3"/>
  <c r="F3377" i="3"/>
  <c r="E3377" i="3"/>
  <c r="F3376" i="3"/>
  <c r="E3376" i="3"/>
  <c r="F3375" i="3"/>
  <c r="E3375" i="3"/>
  <c r="F3374" i="3"/>
  <c r="E3374" i="3"/>
  <c r="F3373" i="3"/>
  <c r="E3373" i="3"/>
  <c r="F3372" i="3"/>
  <c r="E3372" i="3"/>
  <c r="F3371" i="3"/>
  <c r="E3371" i="3"/>
  <c r="F3370" i="3"/>
  <c r="E3370" i="3"/>
  <c r="F3369" i="3"/>
  <c r="E3369" i="3"/>
  <c r="F3368" i="3"/>
  <c r="E3368" i="3"/>
  <c r="F3367" i="3"/>
  <c r="E3367" i="3"/>
  <c r="F3366" i="3"/>
  <c r="E3366" i="3"/>
  <c r="F3365" i="3"/>
  <c r="E3365" i="3"/>
  <c r="F3364" i="3"/>
  <c r="E3364" i="3"/>
  <c r="F3363" i="3"/>
  <c r="E3363" i="3"/>
  <c r="F3362" i="3"/>
  <c r="E3362" i="3"/>
  <c r="F3361" i="3"/>
  <c r="E3361" i="3"/>
  <c r="F3360" i="3"/>
  <c r="E3360" i="3"/>
  <c r="F3359" i="3"/>
  <c r="E3359" i="3"/>
  <c r="F3358" i="3"/>
  <c r="E3358" i="3"/>
  <c r="F3357" i="3"/>
  <c r="E3357" i="3"/>
  <c r="F3356" i="3"/>
  <c r="E3356" i="3"/>
  <c r="F3355" i="3"/>
  <c r="E3355" i="3"/>
  <c r="F3354" i="3"/>
  <c r="E3354" i="3"/>
  <c r="F3353" i="3"/>
  <c r="E3353" i="3"/>
  <c r="F3352" i="3"/>
  <c r="E3352" i="3"/>
  <c r="F3351" i="3"/>
  <c r="E3351" i="3"/>
  <c r="F3350" i="3"/>
  <c r="E3350" i="3"/>
  <c r="F3349" i="3"/>
  <c r="E3349" i="3"/>
  <c r="F3348" i="3"/>
  <c r="E3348" i="3"/>
  <c r="F3347" i="3"/>
  <c r="E3347" i="3"/>
  <c r="F3346" i="3"/>
  <c r="E3346" i="3"/>
  <c r="F3345" i="3"/>
  <c r="E3345" i="3"/>
  <c r="F3344" i="3"/>
  <c r="E3344" i="3"/>
  <c r="F3343" i="3"/>
  <c r="E3343" i="3"/>
  <c r="F3342" i="3"/>
  <c r="E3342" i="3"/>
  <c r="F3341" i="3"/>
  <c r="E3341" i="3"/>
  <c r="F3340" i="3"/>
  <c r="E3340" i="3"/>
  <c r="F3339" i="3"/>
  <c r="E3339" i="3"/>
  <c r="F3338" i="3"/>
  <c r="E3338" i="3"/>
  <c r="F3337" i="3"/>
  <c r="E3337" i="3"/>
  <c r="F3336" i="3"/>
  <c r="E3336" i="3"/>
  <c r="F3335" i="3"/>
  <c r="E3335" i="3"/>
  <c r="F3334" i="3"/>
  <c r="E3334" i="3"/>
  <c r="F3333" i="3"/>
  <c r="E3333" i="3"/>
  <c r="F3332" i="3"/>
  <c r="E3332" i="3"/>
  <c r="F3331" i="3"/>
  <c r="E3331" i="3"/>
  <c r="F3330" i="3"/>
  <c r="E3330" i="3"/>
  <c r="F3329" i="3"/>
  <c r="E3329" i="3"/>
  <c r="F3328" i="3"/>
  <c r="E3328" i="3"/>
  <c r="F3327" i="3"/>
  <c r="E3327" i="3"/>
  <c r="F3326" i="3"/>
  <c r="E3326" i="3"/>
  <c r="F3325" i="3"/>
  <c r="E3325" i="3"/>
  <c r="F3324" i="3"/>
  <c r="E3324" i="3"/>
  <c r="F3323" i="3"/>
  <c r="E3323" i="3"/>
  <c r="F3322" i="3"/>
  <c r="E3322" i="3"/>
  <c r="F3321" i="3"/>
  <c r="E3321" i="3"/>
  <c r="F3320" i="3"/>
  <c r="E3320" i="3"/>
  <c r="F3319" i="3"/>
  <c r="E3319" i="3"/>
  <c r="F3318" i="3"/>
  <c r="E3318" i="3"/>
  <c r="F3317" i="3"/>
  <c r="E3317" i="3"/>
  <c r="F3316" i="3"/>
  <c r="E3316" i="3"/>
  <c r="F3315" i="3"/>
  <c r="E3315" i="3"/>
  <c r="F3314" i="3"/>
  <c r="E3314" i="3"/>
  <c r="F3313" i="3"/>
  <c r="E3313" i="3"/>
  <c r="F3312" i="3"/>
  <c r="E3312" i="3"/>
  <c r="F3311" i="3"/>
  <c r="E3311" i="3"/>
  <c r="F3310" i="3"/>
  <c r="E3310" i="3"/>
  <c r="F3309" i="3"/>
  <c r="E3309" i="3"/>
  <c r="F3308" i="3"/>
  <c r="E3308" i="3"/>
  <c r="F3307" i="3"/>
  <c r="E3307" i="3"/>
  <c r="F3306" i="3"/>
  <c r="E3306" i="3"/>
  <c r="F3305" i="3"/>
  <c r="E3305" i="3"/>
  <c r="F3304" i="3"/>
  <c r="E3304" i="3"/>
  <c r="F3303" i="3"/>
  <c r="E3303" i="3"/>
  <c r="F3302" i="3"/>
  <c r="E3302" i="3"/>
  <c r="F3301" i="3"/>
  <c r="E3301" i="3"/>
  <c r="F3300" i="3"/>
  <c r="E3300" i="3"/>
  <c r="F3299" i="3"/>
  <c r="E3299" i="3"/>
  <c r="F3298" i="3"/>
  <c r="E3298" i="3"/>
  <c r="F3297" i="3"/>
  <c r="E3297" i="3"/>
  <c r="F3296" i="3"/>
  <c r="E3296" i="3"/>
  <c r="F3295" i="3"/>
  <c r="E3295" i="3"/>
  <c r="F3294" i="3"/>
  <c r="E3294" i="3"/>
  <c r="F3293" i="3"/>
  <c r="E3293" i="3"/>
  <c r="F3292" i="3"/>
  <c r="E3292" i="3"/>
  <c r="F3291" i="3"/>
  <c r="E3291" i="3"/>
  <c r="F3290" i="3"/>
  <c r="E3290" i="3"/>
  <c r="F3289" i="3"/>
  <c r="E3289" i="3"/>
  <c r="F3288" i="3"/>
  <c r="E3288" i="3"/>
  <c r="F3287" i="3"/>
  <c r="E3287" i="3"/>
  <c r="F3286" i="3"/>
  <c r="E3286" i="3"/>
  <c r="F3285" i="3"/>
  <c r="E3285" i="3"/>
  <c r="F3284" i="3"/>
  <c r="E3284" i="3"/>
  <c r="F3283" i="3"/>
  <c r="E3283" i="3"/>
  <c r="F3282" i="3"/>
  <c r="E3282" i="3"/>
  <c r="F3281" i="3"/>
  <c r="E3281" i="3"/>
  <c r="F3280" i="3"/>
  <c r="E3280" i="3"/>
  <c r="F3279" i="3"/>
  <c r="E3279" i="3"/>
  <c r="F3278" i="3"/>
  <c r="E3278" i="3"/>
  <c r="F3277" i="3"/>
  <c r="E3277" i="3"/>
  <c r="F3276" i="3"/>
  <c r="E3276" i="3"/>
  <c r="F3275" i="3"/>
  <c r="E3275" i="3"/>
  <c r="F3274" i="3"/>
  <c r="E3274" i="3"/>
  <c r="F3273" i="3"/>
  <c r="E3273" i="3"/>
  <c r="F3272" i="3"/>
  <c r="E3272" i="3"/>
  <c r="F3271" i="3"/>
  <c r="E3271" i="3"/>
  <c r="F3270" i="3"/>
  <c r="E3270" i="3"/>
  <c r="F3269" i="3"/>
  <c r="E3269" i="3"/>
  <c r="F3268" i="3"/>
  <c r="E3268" i="3"/>
  <c r="F3267" i="3"/>
  <c r="E3267" i="3"/>
  <c r="F3266" i="3"/>
  <c r="E3266" i="3"/>
  <c r="F3265" i="3"/>
  <c r="E3265" i="3"/>
  <c r="F3264" i="3"/>
  <c r="E3264" i="3"/>
  <c r="F3263" i="3"/>
  <c r="E3263" i="3"/>
  <c r="F3262" i="3"/>
  <c r="E3262" i="3"/>
  <c r="F3261" i="3"/>
  <c r="E3261" i="3"/>
  <c r="F3260" i="3"/>
  <c r="E3260" i="3"/>
  <c r="F3259" i="3"/>
  <c r="E3259" i="3"/>
  <c r="F3258" i="3"/>
  <c r="E3258" i="3"/>
  <c r="F3257" i="3"/>
  <c r="E3257" i="3"/>
  <c r="F3256" i="3"/>
  <c r="E3256" i="3"/>
  <c r="F3255" i="3"/>
  <c r="E3255" i="3"/>
  <c r="F3254" i="3"/>
  <c r="E3254" i="3"/>
  <c r="F3253" i="3"/>
  <c r="E3253" i="3"/>
  <c r="F3252" i="3"/>
  <c r="E3252" i="3"/>
  <c r="F3251" i="3"/>
  <c r="E3251" i="3"/>
  <c r="F3250" i="3"/>
  <c r="E3250" i="3"/>
  <c r="F3249" i="3"/>
  <c r="E3249" i="3"/>
  <c r="F3248" i="3"/>
  <c r="E3248" i="3"/>
  <c r="F3247" i="3"/>
  <c r="E3247" i="3"/>
  <c r="F3246" i="3"/>
  <c r="E3246" i="3"/>
  <c r="F3245" i="3"/>
  <c r="E3245" i="3"/>
  <c r="F3244" i="3"/>
  <c r="E3244" i="3"/>
  <c r="F3243" i="3"/>
  <c r="E3243" i="3"/>
  <c r="F3242" i="3"/>
  <c r="E3242" i="3"/>
  <c r="F3241" i="3"/>
  <c r="E3241" i="3"/>
  <c r="F3240" i="3"/>
  <c r="E3240" i="3"/>
  <c r="F3239" i="3"/>
  <c r="E3239" i="3"/>
  <c r="F3238" i="3"/>
  <c r="E3238" i="3"/>
  <c r="F3237" i="3"/>
  <c r="E3237" i="3"/>
  <c r="F3236" i="3"/>
  <c r="E3236" i="3"/>
  <c r="F3235" i="3"/>
  <c r="E3235" i="3"/>
  <c r="F3234" i="3"/>
  <c r="E3234" i="3"/>
  <c r="F3233" i="3"/>
  <c r="E3233" i="3"/>
  <c r="F3232" i="3"/>
  <c r="E3232" i="3"/>
  <c r="F3231" i="3"/>
  <c r="E3231" i="3"/>
  <c r="F3230" i="3"/>
  <c r="E3230" i="3"/>
  <c r="F3229" i="3"/>
  <c r="E3229" i="3"/>
  <c r="F3228" i="3"/>
  <c r="E3228" i="3"/>
  <c r="F3227" i="3"/>
  <c r="E3227" i="3"/>
  <c r="F3226" i="3"/>
  <c r="E3226" i="3"/>
  <c r="F3225" i="3"/>
  <c r="E3225" i="3"/>
  <c r="F3224" i="3"/>
  <c r="E3224" i="3"/>
  <c r="F3223" i="3"/>
  <c r="E3223" i="3"/>
  <c r="F3222" i="3"/>
  <c r="E3222" i="3"/>
  <c r="F3221" i="3"/>
  <c r="E3221" i="3"/>
  <c r="F3220" i="3"/>
  <c r="E3220" i="3"/>
  <c r="F3219" i="3"/>
  <c r="E3219" i="3"/>
  <c r="F3218" i="3"/>
  <c r="E3218" i="3"/>
  <c r="F3217" i="3"/>
  <c r="E3217" i="3"/>
  <c r="F3216" i="3"/>
  <c r="E3216" i="3"/>
  <c r="F3215" i="3"/>
  <c r="E3215" i="3"/>
  <c r="F3214" i="3"/>
  <c r="E3214" i="3"/>
  <c r="F3213" i="3"/>
  <c r="E3213" i="3"/>
  <c r="F3212" i="3"/>
  <c r="E3212" i="3"/>
  <c r="F3211" i="3"/>
  <c r="E3211" i="3"/>
  <c r="F3210" i="3"/>
  <c r="E3210" i="3"/>
  <c r="F3209" i="3"/>
  <c r="E3209" i="3"/>
  <c r="F3208" i="3"/>
  <c r="E3208" i="3"/>
  <c r="F3207" i="3"/>
  <c r="E3207" i="3"/>
  <c r="F3206" i="3"/>
  <c r="E3206" i="3"/>
  <c r="F3205" i="3"/>
  <c r="E3205" i="3"/>
  <c r="F3204" i="3"/>
  <c r="E3204" i="3"/>
  <c r="F3203" i="3"/>
  <c r="E3203" i="3"/>
  <c r="F3202" i="3"/>
  <c r="E3202" i="3"/>
  <c r="F3201" i="3"/>
  <c r="E3201" i="3"/>
  <c r="F3200" i="3"/>
  <c r="E3200" i="3"/>
  <c r="F3199" i="3"/>
  <c r="E3199" i="3"/>
  <c r="F3198" i="3"/>
  <c r="E3198" i="3"/>
  <c r="F3197" i="3"/>
  <c r="E3197" i="3"/>
  <c r="F3196" i="3"/>
  <c r="E3196" i="3"/>
  <c r="F3195" i="3"/>
  <c r="E3195" i="3"/>
  <c r="F3194" i="3"/>
  <c r="E3194" i="3"/>
  <c r="F3193" i="3"/>
  <c r="E3193" i="3"/>
  <c r="F3192" i="3"/>
  <c r="E3192" i="3"/>
  <c r="F3191" i="3"/>
  <c r="E3191" i="3"/>
  <c r="F3190" i="3"/>
  <c r="E3190" i="3"/>
  <c r="F3189" i="3"/>
  <c r="E3189" i="3"/>
  <c r="F3188" i="3"/>
  <c r="E3188" i="3"/>
  <c r="F3187" i="3"/>
  <c r="E3187" i="3"/>
  <c r="F3186" i="3"/>
  <c r="E3186" i="3"/>
  <c r="F3185" i="3"/>
  <c r="E3185" i="3"/>
  <c r="F3184" i="3"/>
  <c r="E3184" i="3"/>
  <c r="F3183" i="3"/>
  <c r="E3183" i="3"/>
  <c r="F3182" i="3"/>
  <c r="E3182" i="3"/>
  <c r="F3181" i="3"/>
  <c r="E3181" i="3"/>
  <c r="F3180" i="3"/>
  <c r="E3180" i="3"/>
  <c r="F3179" i="3"/>
  <c r="E3179" i="3"/>
  <c r="F3178" i="3"/>
  <c r="E3178" i="3"/>
  <c r="F3177" i="3"/>
  <c r="E3177" i="3"/>
  <c r="F3176" i="3"/>
  <c r="E3176" i="3"/>
  <c r="F3175" i="3"/>
  <c r="E3175" i="3"/>
  <c r="F3174" i="3"/>
  <c r="E3174" i="3"/>
  <c r="F3173" i="3"/>
  <c r="E3173" i="3"/>
  <c r="F3172" i="3"/>
  <c r="E3172" i="3"/>
  <c r="F3171" i="3"/>
  <c r="E3171" i="3"/>
  <c r="F3170" i="3"/>
  <c r="E3170" i="3"/>
  <c r="F3169" i="3"/>
  <c r="E3169" i="3"/>
  <c r="F3168" i="3"/>
  <c r="E3168" i="3"/>
  <c r="F3167" i="3"/>
  <c r="E3167" i="3"/>
  <c r="F3166" i="3"/>
  <c r="E3166" i="3"/>
  <c r="F3165" i="3"/>
  <c r="E3165" i="3"/>
  <c r="F3164" i="3"/>
  <c r="E3164" i="3"/>
  <c r="F3163" i="3"/>
  <c r="E3163" i="3"/>
  <c r="F3162" i="3"/>
  <c r="E3162" i="3"/>
  <c r="F3161" i="3"/>
  <c r="E3161" i="3"/>
  <c r="F3160" i="3"/>
  <c r="E3160" i="3"/>
  <c r="F3159" i="3"/>
  <c r="E3159" i="3"/>
  <c r="F3158" i="3"/>
  <c r="E3158" i="3"/>
  <c r="F3157" i="3"/>
  <c r="E3157" i="3"/>
  <c r="F3156" i="3"/>
  <c r="E3156" i="3"/>
  <c r="F3155" i="3"/>
  <c r="E3155" i="3"/>
  <c r="F3154" i="3"/>
  <c r="E3154" i="3"/>
  <c r="F3153" i="3"/>
  <c r="E3153" i="3"/>
  <c r="F3152" i="3"/>
  <c r="E3152" i="3"/>
  <c r="F3151" i="3"/>
  <c r="E3151" i="3"/>
  <c r="F3150" i="3"/>
  <c r="E3150" i="3"/>
  <c r="F3149" i="3"/>
  <c r="E3149" i="3"/>
  <c r="F3148" i="3"/>
  <c r="E3148" i="3"/>
  <c r="F3147" i="3"/>
  <c r="E3147" i="3"/>
  <c r="F3146" i="3"/>
  <c r="E3146" i="3"/>
  <c r="F3145" i="3"/>
  <c r="E3145" i="3"/>
  <c r="F3144" i="3"/>
  <c r="E3144" i="3"/>
  <c r="F3143" i="3"/>
  <c r="E3143" i="3"/>
  <c r="F3142" i="3"/>
  <c r="E3142" i="3"/>
  <c r="F3141" i="3"/>
  <c r="E3141" i="3"/>
  <c r="F3140" i="3"/>
  <c r="E3140" i="3"/>
  <c r="F3139" i="3"/>
  <c r="E3139" i="3"/>
  <c r="F3138" i="3"/>
  <c r="E3138" i="3"/>
  <c r="F3137" i="3"/>
  <c r="E3137" i="3"/>
  <c r="F3136" i="3"/>
  <c r="E3136" i="3"/>
  <c r="F3135" i="3"/>
  <c r="E3135" i="3"/>
  <c r="F3134" i="3"/>
  <c r="E3134" i="3"/>
  <c r="F3133" i="3"/>
  <c r="E3133" i="3"/>
  <c r="F3132" i="3"/>
  <c r="E3132" i="3"/>
  <c r="F3131" i="3"/>
  <c r="E3131" i="3"/>
  <c r="F3130" i="3"/>
  <c r="E3130" i="3"/>
  <c r="F3129" i="3"/>
  <c r="E3129" i="3"/>
  <c r="F3128" i="3"/>
  <c r="E3128" i="3"/>
  <c r="F3127" i="3"/>
  <c r="E3127" i="3"/>
  <c r="F3126" i="3"/>
  <c r="E3126" i="3"/>
  <c r="F3125" i="3"/>
  <c r="E3125" i="3"/>
  <c r="F3124" i="3"/>
  <c r="E3124" i="3"/>
  <c r="F3123" i="3"/>
  <c r="E3123" i="3"/>
  <c r="F3122" i="3"/>
  <c r="E3122" i="3"/>
  <c r="F3121" i="3"/>
  <c r="E3121" i="3"/>
  <c r="F3120" i="3"/>
  <c r="E3120" i="3"/>
  <c r="F3119" i="3"/>
  <c r="E3119" i="3"/>
  <c r="F3118" i="3"/>
  <c r="E3118" i="3"/>
  <c r="F3117" i="3"/>
  <c r="E3117" i="3"/>
  <c r="F3116" i="3"/>
  <c r="E3116" i="3"/>
  <c r="F3115" i="3"/>
  <c r="E3115" i="3"/>
  <c r="F3114" i="3"/>
  <c r="E3114" i="3"/>
  <c r="F3113" i="3"/>
  <c r="E3113" i="3"/>
  <c r="F3112" i="3"/>
  <c r="E3112" i="3"/>
  <c r="F3111" i="3"/>
  <c r="E3111" i="3"/>
  <c r="F3110" i="3"/>
  <c r="E3110" i="3"/>
  <c r="F3109" i="3"/>
  <c r="E3109" i="3"/>
  <c r="F3108" i="3"/>
  <c r="E3108" i="3"/>
  <c r="F3107" i="3"/>
  <c r="E3107" i="3"/>
  <c r="F3106" i="3"/>
  <c r="E3106" i="3"/>
  <c r="F3105" i="3"/>
  <c r="E3105" i="3"/>
  <c r="F3104" i="3"/>
  <c r="E3104" i="3"/>
  <c r="F3103" i="3"/>
  <c r="E3103" i="3"/>
  <c r="F3102" i="3"/>
  <c r="E3102" i="3"/>
  <c r="F3101" i="3"/>
  <c r="E3101" i="3"/>
  <c r="F3100" i="3"/>
  <c r="E3100" i="3"/>
  <c r="F3099" i="3"/>
  <c r="E3099" i="3"/>
  <c r="F3098" i="3"/>
  <c r="E3098" i="3"/>
  <c r="F3097" i="3"/>
  <c r="E3097" i="3"/>
  <c r="F3096" i="3"/>
  <c r="E3096" i="3"/>
  <c r="F3095" i="3"/>
  <c r="E3095" i="3"/>
  <c r="F3094" i="3"/>
  <c r="E3094" i="3"/>
  <c r="F3093" i="3"/>
  <c r="E3093" i="3"/>
  <c r="F3092" i="3"/>
  <c r="E3092" i="3"/>
  <c r="F3091" i="3"/>
  <c r="E3091" i="3"/>
  <c r="F3090" i="3"/>
  <c r="E3090" i="3"/>
  <c r="F3089" i="3"/>
  <c r="E3089" i="3"/>
  <c r="F3088" i="3"/>
  <c r="E3088" i="3"/>
  <c r="F3087" i="3"/>
  <c r="E3087" i="3"/>
  <c r="F3086" i="3"/>
  <c r="E3086" i="3"/>
  <c r="F3085" i="3"/>
  <c r="E3085" i="3"/>
  <c r="F3084" i="3"/>
  <c r="E3084" i="3"/>
  <c r="F3083" i="3"/>
  <c r="E3083" i="3"/>
  <c r="F3082" i="3"/>
  <c r="E3082" i="3"/>
  <c r="F3081" i="3"/>
  <c r="E3081" i="3"/>
  <c r="F3080" i="3"/>
  <c r="E3080" i="3"/>
  <c r="F3079" i="3"/>
  <c r="E3079" i="3"/>
  <c r="F3078" i="3"/>
  <c r="E3078" i="3"/>
  <c r="F3077" i="3"/>
  <c r="E3077" i="3"/>
  <c r="F3076" i="3"/>
  <c r="E3076" i="3"/>
  <c r="F3075" i="3"/>
  <c r="E3075" i="3"/>
  <c r="F3074" i="3"/>
  <c r="E3074" i="3"/>
  <c r="F3073" i="3"/>
  <c r="E3073" i="3"/>
  <c r="F3072" i="3"/>
  <c r="E3072" i="3"/>
  <c r="F3071" i="3"/>
  <c r="E3071" i="3"/>
  <c r="F3070" i="3"/>
  <c r="E3070" i="3"/>
  <c r="F3069" i="3"/>
  <c r="E3069" i="3"/>
  <c r="F3068" i="3"/>
  <c r="E3068" i="3"/>
  <c r="F3067" i="3"/>
  <c r="E3067" i="3"/>
  <c r="F3066" i="3"/>
  <c r="E3066" i="3"/>
  <c r="F3065" i="3"/>
  <c r="E3065" i="3"/>
  <c r="F3064" i="3"/>
  <c r="E3064" i="3"/>
  <c r="F3063" i="3"/>
  <c r="E3063" i="3"/>
  <c r="F3062" i="3"/>
  <c r="E3062" i="3"/>
  <c r="F3061" i="3"/>
  <c r="E3061" i="3"/>
  <c r="F3060" i="3"/>
  <c r="E3060" i="3"/>
  <c r="F3059" i="3"/>
  <c r="E3059" i="3"/>
  <c r="F3058" i="3"/>
  <c r="E3058" i="3"/>
  <c r="F3057" i="3"/>
  <c r="E3057" i="3"/>
  <c r="F3056" i="3"/>
  <c r="E3056" i="3"/>
  <c r="F3055" i="3"/>
  <c r="E3055" i="3"/>
  <c r="F3054" i="3"/>
  <c r="E3054" i="3"/>
  <c r="F3053" i="3"/>
  <c r="E3053" i="3"/>
  <c r="F3052" i="3"/>
  <c r="E3052" i="3"/>
  <c r="F3051" i="3"/>
  <c r="E3051" i="3"/>
  <c r="F3050" i="3"/>
  <c r="E3050" i="3"/>
  <c r="F3049" i="3"/>
  <c r="E3049" i="3"/>
  <c r="F3048" i="3"/>
  <c r="E3048" i="3"/>
  <c r="F3047" i="3"/>
  <c r="E3047" i="3"/>
  <c r="F3046" i="3"/>
  <c r="E3046" i="3"/>
  <c r="F3045" i="3"/>
  <c r="E3045" i="3"/>
  <c r="F3044" i="3"/>
  <c r="E3044" i="3"/>
  <c r="F3043" i="3"/>
  <c r="E3043" i="3"/>
  <c r="F3042" i="3"/>
  <c r="E3042" i="3"/>
  <c r="F3041" i="3"/>
  <c r="E3041" i="3"/>
  <c r="F3040" i="3"/>
  <c r="E3040" i="3"/>
  <c r="F3039" i="3"/>
  <c r="E3039" i="3"/>
  <c r="F3038" i="3"/>
  <c r="E3038" i="3"/>
  <c r="F3037" i="3"/>
  <c r="E3037" i="3"/>
  <c r="F3036" i="3"/>
  <c r="E3036" i="3"/>
  <c r="F3035" i="3"/>
  <c r="E3035" i="3"/>
  <c r="F3034" i="3"/>
  <c r="E3034" i="3"/>
  <c r="F3033" i="3"/>
  <c r="E3033" i="3"/>
  <c r="F3032" i="3"/>
  <c r="E3032" i="3"/>
  <c r="F3031" i="3"/>
  <c r="E3031" i="3"/>
  <c r="F3030" i="3"/>
  <c r="E3030" i="3"/>
  <c r="F3029" i="3"/>
  <c r="E3029" i="3"/>
  <c r="F3028" i="3"/>
  <c r="E3028" i="3"/>
  <c r="F3027" i="3"/>
  <c r="E3027" i="3"/>
  <c r="F3026" i="3"/>
  <c r="E3026" i="3"/>
  <c r="F3025" i="3"/>
  <c r="E3025" i="3"/>
  <c r="F3024" i="3"/>
  <c r="E3024" i="3"/>
  <c r="F3023" i="3"/>
  <c r="E3023" i="3"/>
  <c r="F3022" i="3"/>
  <c r="E3022" i="3"/>
  <c r="F3021" i="3"/>
  <c r="E3021" i="3"/>
  <c r="F3020" i="3"/>
  <c r="E3020" i="3"/>
  <c r="F3019" i="3"/>
  <c r="E3019" i="3"/>
  <c r="F3018" i="3"/>
  <c r="E3018" i="3"/>
  <c r="F3017" i="3"/>
  <c r="E3017" i="3"/>
  <c r="F3016" i="3"/>
  <c r="E3016" i="3"/>
  <c r="F3015" i="3"/>
  <c r="E3015" i="3"/>
  <c r="F3014" i="3"/>
  <c r="E3014" i="3"/>
  <c r="F3013" i="3"/>
  <c r="E3013" i="3"/>
  <c r="F3012" i="3"/>
  <c r="E3012" i="3"/>
  <c r="F3011" i="3"/>
  <c r="E3011" i="3"/>
  <c r="F3010" i="3"/>
  <c r="E3010" i="3"/>
  <c r="F3009" i="3"/>
  <c r="E3009" i="3"/>
  <c r="F3008" i="3"/>
  <c r="E3008" i="3"/>
  <c r="F3007" i="3"/>
  <c r="E3007" i="3"/>
  <c r="F3006" i="3"/>
  <c r="E3006" i="3"/>
  <c r="F3005" i="3"/>
  <c r="E3005" i="3"/>
  <c r="F3004" i="3"/>
  <c r="E3004" i="3"/>
  <c r="F3003" i="3"/>
  <c r="E3003" i="3"/>
  <c r="F3002" i="3"/>
  <c r="E3002" i="3"/>
  <c r="F3001" i="3"/>
  <c r="E3001" i="3"/>
  <c r="F3000" i="3"/>
  <c r="E3000" i="3"/>
  <c r="F2999" i="3"/>
  <c r="E2999" i="3"/>
  <c r="F2998" i="3"/>
  <c r="E2998" i="3"/>
  <c r="F2997" i="3"/>
  <c r="E2997" i="3"/>
  <c r="F2996" i="3"/>
  <c r="E2996" i="3"/>
  <c r="F2995" i="3"/>
  <c r="E2995" i="3"/>
  <c r="F2994" i="3"/>
  <c r="E2994" i="3"/>
  <c r="F2993" i="3"/>
  <c r="E2993" i="3"/>
  <c r="F2992" i="3"/>
  <c r="E2992" i="3"/>
  <c r="F2991" i="3"/>
  <c r="E2991" i="3"/>
  <c r="F2990" i="3"/>
  <c r="E2990" i="3"/>
  <c r="F2989" i="3"/>
  <c r="E2989" i="3"/>
  <c r="F2988" i="3"/>
  <c r="E2988" i="3"/>
  <c r="F2987" i="3"/>
  <c r="E2987" i="3"/>
  <c r="F2986" i="3"/>
  <c r="E2986" i="3"/>
  <c r="F2985" i="3"/>
  <c r="E2985" i="3"/>
  <c r="F2984" i="3"/>
  <c r="E2984" i="3"/>
  <c r="F2983" i="3"/>
  <c r="E2983" i="3"/>
  <c r="F2982" i="3"/>
  <c r="E2982" i="3"/>
  <c r="F2981" i="3"/>
  <c r="E2981" i="3"/>
  <c r="F2980" i="3"/>
  <c r="E2980" i="3"/>
  <c r="F2979" i="3"/>
  <c r="E2979" i="3"/>
  <c r="F2978" i="3"/>
  <c r="E2978" i="3"/>
  <c r="F2977" i="3"/>
  <c r="E2977" i="3"/>
  <c r="F2976" i="3"/>
  <c r="E2976" i="3"/>
  <c r="F2975" i="3"/>
  <c r="E2975" i="3"/>
  <c r="F2974" i="3"/>
  <c r="E2974" i="3"/>
  <c r="F2973" i="3"/>
  <c r="E2973" i="3"/>
  <c r="F2972" i="3"/>
  <c r="E2972" i="3"/>
  <c r="F2971" i="3"/>
  <c r="E2971" i="3"/>
  <c r="F2970" i="3"/>
  <c r="E2970" i="3"/>
  <c r="F2969" i="3"/>
  <c r="E2969" i="3"/>
  <c r="F2968" i="3"/>
  <c r="E2968" i="3"/>
  <c r="F2967" i="3"/>
  <c r="E2967" i="3"/>
  <c r="F2966" i="3"/>
  <c r="E2966" i="3"/>
  <c r="F2965" i="3"/>
  <c r="E2965" i="3"/>
  <c r="F2964" i="3"/>
  <c r="E2964" i="3"/>
  <c r="F2963" i="3"/>
  <c r="E2963" i="3"/>
  <c r="F2962" i="3"/>
  <c r="E2962" i="3"/>
  <c r="F2961" i="3"/>
  <c r="E2961" i="3"/>
  <c r="F2960" i="3"/>
  <c r="E2960" i="3"/>
  <c r="F2959" i="3"/>
  <c r="E2959" i="3"/>
  <c r="F2958" i="3"/>
  <c r="E2958" i="3"/>
  <c r="F2957" i="3"/>
  <c r="E2957" i="3"/>
  <c r="F2956" i="3"/>
  <c r="E2956" i="3"/>
  <c r="F2955" i="3"/>
  <c r="E2955" i="3"/>
  <c r="F2954" i="3"/>
  <c r="E2954" i="3"/>
  <c r="F2953" i="3"/>
  <c r="E2953" i="3"/>
  <c r="F2952" i="3"/>
  <c r="E2952" i="3"/>
  <c r="F2951" i="3"/>
  <c r="E2951" i="3"/>
  <c r="F2950" i="3"/>
  <c r="E2950" i="3"/>
  <c r="F2949" i="3"/>
  <c r="E2949" i="3"/>
  <c r="F2948" i="3"/>
  <c r="E2948" i="3"/>
  <c r="F2947" i="3"/>
  <c r="E2947" i="3"/>
  <c r="F2946" i="3"/>
  <c r="E2946" i="3"/>
  <c r="F2945" i="3"/>
  <c r="E2945" i="3"/>
  <c r="F2944" i="3"/>
  <c r="E2944" i="3"/>
  <c r="F2943" i="3"/>
  <c r="E2943" i="3"/>
  <c r="F2942" i="3"/>
  <c r="E2942" i="3"/>
  <c r="F2941" i="3"/>
  <c r="E2941" i="3"/>
  <c r="F2940" i="3"/>
  <c r="E2940" i="3"/>
  <c r="F2939" i="3"/>
  <c r="E2939" i="3"/>
  <c r="F2938" i="3"/>
  <c r="E2938" i="3"/>
  <c r="F2937" i="3"/>
  <c r="E2937" i="3"/>
  <c r="F2936" i="3"/>
  <c r="E2936" i="3"/>
  <c r="F2935" i="3"/>
  <c r="E2935" i="3"/>
  <c r="F2934" i="3"/>
  <c r="E2934" i="3"/>
  <c r="F2933" i="3"/>
  <c r="E2933" i="3"/>
  <c r="F2932" i="3"/>
  <c r="E2932" i="3"/>
  <c r="F2931" i="3"/>
  <c r="E2931" i="3"/>
  <c r="F2930" i="3"/>
  <c r="E2930" i="3"/>
  <c r="F2929" i="3"/>
  <c r="E2929" i="3"/>
  <c r="F2928" i="3"/>
  <c r="E2928" i="3"/>
  <c r="F2927" i="3"/>
  <c r="E2927" i="3"/>
  <c r="F2926" i="3"/>
  <c r="E2926" i="3"/>
  <c r="F2925" i="3"/>
  <c r="E2925" i="3"/>
  <c r="F2924" i="3"/>
  <c r="E2924" i="3"/>
  <c r="F2923" i="3"/>
  <c r="E2923" i="3"/>
  <c r="F2922" i="3"/>
  <c r="E2922" i="3"/>
  <c r="F2921" i="3"/>
  <c r="E2921" i="3"/>
  <c r="F2920" i="3"/>
  <c r="E2920" i="3"/>
  <c r="F2919" i="3"/>
  <c r="E2919" i="3"/>
  <c r="F2918" i="3"/>
  <c r="E2918" i="3"/>
  <c r="F2917" i="3"/>
  <c r="E2917" i="3"/>
  <c r="F2916" i="3"/>
  <c r="E2916" i="3"/>
  <c r="F2915" i="3"/>
  <c r="E2915" i="3"/>
  <c r="F2914" i="3"/>
  <c r="E2914" i="3"/>
  <c r="F2913" i="3"/>
  <c r="E2913" i="3"/>
  <c r="F2912" i="3"/>
  <c r="E2912" i="3"/>
  <c r="F2911" i="3"/>
  <c r="E2911" i="3"/>
  <c r="F2910" i="3"/>
  <c r="E2910" i="3"/>
  <c r="F2909" i="3"/>
  <c r="E2909" i="3"/>
  <c r="F2908" i="3"/>
  <c r="E2908" i="3"/>
  <c r="F2907" i="3"/>
  <c r="E2907" i="3"/>
  <c r="F2906" i="3"/>
  <c r="E2906" i="3"/>
  <c r="F2905" i="3"/>
  <c r="E2905" i="3"/>
  <c r="F2904" i="3"/>
  <c r="E2904" i="3"/>
  <c r="F2903" i="3"/>
  <c r="E2903" i="3"/>
  <c r="F2902" i="3"/>
  <c r="E2902" i="3"/>
  <c r="F2901" i="3"/>
  <c r="E2901" i="3"/>
  <c r="F2900" i="3"/>
  <c r="E2900" i="3"/>
  <c r="F2899" i="3"/>
  <c r="E2899" i="3"/>
  <c r="F2898" i="3"/>
  <c r="E2898" i="3"/>
  <c r="F2897" i="3"/>
  <c r="E2897" i="3"/>
  <c r="F2896" i="3"/>
  <c r="E2896" i="3"/>
  <c r="F2895" i="3"/>
  <c r="E2895" i="3"/>
  <c r="F2894" i="3"/>
  <c r="E2894" i="3"/>
  <c r="F2893" i="3"/>
  <c r="E2893" i="3"/>
  <c r="F2892" i="3"/>
  <c r="E2892" i="3"/>
  <c r="F2891" i="3"/>
  <c r="E2891" i="3"/>
  <c r="F2890" i="3"/>
  <c r="E2890" i="3"/>
  <c r="F2889" i="3"/>
  <c r="E2889" i="3"/>
  <c r="F2888" i="3"/>
  <c r="E2888" i="3"/>
  <c r="F2887" i="3"/>
  <c r="E2887" i="3"/>
  <c r="F2886" i="3"/>
  <c r="E2886" i="3"/>
  <c r="F2885" i="3"/>
  <c r="E2885" i="3"/>
  <c r="F2884" i="3"/>
  <c r="E2884" i="3"/>
  <c r="F2883" i="3"/>
  <c r="E2883" i="3"/>
  <c r="F2882" i="3"/>
  <c r="E2882" i="3"/>
  <c r="F2881" i="3"/>
  <c r="E2881" i="3"/>
  <c r="F2880" i="3"/>
  <c r="E2880" i="3"/>
  <c r="F2879" i="3"/>
  <c r="E2879" i="3"/>
  <c r="F2878" i="3"/>
  <c r="E2878" i="3"/>
  <c r="F2877" i="3"/>
  <c r="E2877" i="3"/>
  <c r="F2876" i="3"/>
  <c r="E2876" i="3"/>
  <c r="F2875" i="3"/>
  <c r="E2875" i="3"/>
  <c r="F2874" i="3"/>
  <c r="E2874" i="3"/>
  <c r="F2873" i="3"/>
  <c r="E2873" i="3"/>
  <c r="F2872" i="3"/>
  <c r="E2872" i="3"/>
  <c r="F2871" i="3"/>
  <c r="E2871" i="3"/>
  <c r="F2870" i="3"/>
  <c r="E2870" i="3"/>
  <c r="F2869" i="3"/>
  <c r="E2869" i="3"/>
  <c r="F2868" i="3"/>
  <c r="E2868" i="3"/>
  <c r="F2867" i="3"/>
  <c r="E2867" i="3"/>
  <c r="F2866" i="3"/>
  <c r="E2866" i="3"/>
  <c r="F2865" i="3"/>
  <c r="E2865" i="3"/>
  <c r="F2864" i="3"/>
  <c r="E2864" i="3"/>
  <c r="F2863" i="3"/>
  <c r="E2863" i="3"/>
  <c r="F2862" i="3"/>
  <c r="E2862" i="3"/>
  <c r="F2861" i="3"/>
  <c r="E2861" i="3"/>
  <c r="F2860" i="3"/>
  <c r="E2860" i="3"/>
  <c r="F2859" i="3"/>
  <c r="E2859" i="3"/>
  <c r="F2858" i="3"/>
  <c r="E2858" i="3"/>
  <c r="F2857" i="3"/>
  <c r="E2857" i="3"/>
  <c r="F2856" i="3"/>
  <c r="E2856" i="3"/>
  <c r="F2855" i="3"/>
  <c r="E2855" i="3"/>
  <c r="F2854" i="3"/>
  <c r="E2854" i="3"/>
  <c r="F2853" i="3"/>
  <c r="E2853" i="3"/>
  <c r="F2852" i="3"/>
  <c r="E2852" i="3"/>
  <c r="F2851" i="3"/>
  <c r="E2851" i="3"/>
  <c r="F2850" i="3"/>
  <c r="E2850" i="3"/>
  <c r="F2849" i="3"/>
  <c r="E2849" i="3"/>
  <c r="F2848" i="3"/>
  <c r="E2848" i="3"/>
  <c r="F2847" i="3"/>
  <c r="E2847" i="3"/>
  <c r="F2846" i="3"/>
  <c r="E2846" i="3"/>
  <c r="F2845" i="3"/>
  <c r="E2845" i="3"/>
  <c r="F2844" i="3"/>
  <c r="E2844" i="3"/>
  <c r="F2843" i="3"/>
  <c r="E2843" i="3"/>
  <c r="F2842" i="3"/>
  <c r="E2842" i="3"/>
  <c r="F2841" i="3"/>
  <c r="E2841" i="3"/>
  <c r="F2840" i="3"/>
  <c r="E2840" i="3"/>
  <c r="F2839" i="3"/>
  <c r="E2839" i="3"/>
  <c r="F2838" i="3"/>
  <c r="E2838" i="3"/>
  <c r="F2837" i="3"/>
  <c r="E2837" i="3"/>
  <c r="F2836" i="3"/>
  <c r="E2836" i="3"/>
  <c r="F2835" i="3"/>
  <c r="E2835" i="3"/>
  <c r="F2834" i="3"/>
  <c r="E2834" i="3"/>
  <c r="F2833" i="3"/>
  <c r="E2833" i="3"/>
  <c r="F2832" i="3"/>
  <c r="E2832" i="3"/>
  <c r="F2831" i="3"/>
  <c r="E2831" i="3"/>
  <c r="F2830" i="3"/>
  <c r="E2830" i="3"/>
  <c r="F2829" i="3"/>
  <c r="E2829" i="3"/>
  <c r="F2828" i="3"/>
  <c r="E2828" i="3"/>
  <c r="F2827" i="3"/>
  <c r="E2827" i="3"/>
  <c r="F2826" i="3"/>
  <c r="E2826" i="3"/>
  <c r="F2825" i="3"/>
  <c r="E2825" i="3"/>
  <c r="F2824" i="3"/>
  <c r="E2824" i="3"/>
  <c r="F2823" i="3"/>
  <c r="E2823" i="3"/>
  <c r="F2822" i="3"/>
  <c r="E2822" i="3"/>
  <c r="F2821" i="3"/>
  <c r="E2821" i="3"/>
  <c r="F2820" i="3"/>
  <c r="E2820" i="3"/>
  <c r="F2819" i="3"/>
  <c r="E2819" i="3"/>
  <c r="F2818" i="3"/>
  <c r="E2818" i="3"/>
  <c r="F2817" i="3"/>
  <c r="E2817" i="3"/>
  <c r="F2816" i="3"/>
  <c r="E2816" i="3"/>
  <c r="F2815" i="3"/>
  <c r="E2815" i="3"/>
  <c r="F2814" i="3"/>
  <c r="E2814" i="3"/>
  <c r="F2813" i="3"/>
  <c r="E2813" i="3"/>
  <c r="F2812" i="3"/>
  <c r="E2812" i="3"/>
  <c r="F2811" i="3"/>
  <c r="E2811" i="3"/>
  <c r="F2810" i="3"/>
  <c r="E2810" i="3"/>
  <c r="F2809" i="3"/>
  <c r="E2809" i="3"/>
  <c r="F2808" i="3"/>
  <c r="E2808" i="3"/>
  <c r="F2807" i="3"/>
  <c r="E2807" i="3"/>
  <c r="F2806" i="3"/>
  <c r="E2806" i="3"/>
  <c r="F2805" i="3"/>
  <c r="E2805" i="3"/>
  <c r="F2804" i="3"/>
  <c r="E2804" i="3"/>
  <c r="F2803" i="3"/>
  <c r="E2803" i="3"/>
  <c r="F2802" i="3"/>
  <c r="E2802" i="3"/>
  <c r="F2801" i="3"/>
  <c r="E2801" i="3"/>
  <c r="F2800" i="3"/>
  <c r="E2800" i="3"/>
  <c r="F2799" i="3"/>
  <c r="E2799" i="3"/>
  <c r="F2798" i="3"/>
  <c r="E2798" i="3"/>
  <c r="F2797" i="3"/>
  <c r="E2797" i="3"/>
  <c r="F2796" i="3"/>
  <c r="E2796" i="3"/>
  <c r="F2795" i="3"/>
  <c r="E2795" i="3"/>
  <c r="F2794" i="3"/>
  <c r="E2794" i="3"/>
  <c r="F2793" i="3"/>
  <c r="E2793" i="3"/>
  <c r="F2792" i="3"/>
  <c r="E2792" i="3"/>
  <c r="F2791" i="3"/>
  <c r="E2791" i="3"/>
  <c r="F2790" i="3"/>
  <c r="E2790" i="3"/>
  <c r="F2789" i="3"/>
  <c r="E2789" i="3"/>
  <c r="F2788" i="3"/>
  <c r="E2788" i="3"/>
  <c r="F2787" i="3"/>
  <c r="E2787" i="3"/>
  <c r="F2786" i="3"/>
  <c r="E2786" i="3"/>
  <c r="F2785" i="3"/>
  <c r="E2785" i="3"/>
  <c r="F2784" i="3"/>
  <c r="E2784" i="3"/>
  <c r="F2783" i="3"/>
  <c r="E2783" i="3"/>
  <c r="F2782" i="3"/>
  <c r="E2782" i="3"/>
  <c r="F2781" i="3"/>
  <c r="E2781" i="3"/>
  <c r="F2780" i="3"/>
  <c r="E2780" i="3"/>
  <c r="F2779" i="3"/>
  <c r="E2779" i="3"/>
  <c r="F2778" i="3"/>
  <c r="E2778" i="3"/>
  <c r="F2777" i="3"/>
  <c r="E2777" i="3"/>
  <c r="F2776" i="3"/>
  <c r="E2776" i="3"/>
  <c r="F2775" i="3"/>
  <c r="E2775" i="3"/>
  <c r="F2774" i="3"/>
  <c r="E2774" i="3"/>
  <c r="F2773" i="3"/>
  <c r="E2773" i="3"/>
  <c r="F2772" i="3"/>
  <c r="E2772" i="3"/>
  <c r="F2771" i="3"/>
  <c r="E2771" i="3"/>
  <c r="F2770" i="3"/>
  <c r="E2770" i="3"/>
  <c r="F2769" i="3"/>
  <c r="E2769" i="3"/>
  <c r="F2768" i="3"/>
  <c r="E2768" i="3"/>
  <c r="F2767" i="3"/>
  <c r="E2767" i="3"/>
  <c r="F2766" i="3"/>
  <c r="E2766" i="3"/>
  <c r="F2765" i="3"/>
  <c r="E2765" i="3"/>
  <c r="F2764" i="3"/>
  <c r="E2764" i="3"/>
  <c r="F2763" i="3"/>
  <c r="E2763" i="3"/>
  <c r="F2762" i="3"/>
  <c r="E2762" i="3"/>
  <c r="F2761" i="3"/>
  <c r="E2761" i="3"/>
  <c r="F2760" i="3"/>
  <c r="E2760" i="3"/>
  <c r="F2759" i="3"/>
  <c r="E2759" i="3"/>
  <c r="F2758" i="3"/>
  <c r="E2758" i="3"/>
  <c r="F2757" i="3"/>
  <c r="E2757" i="3"/>
  <c r="F2756" i="3"/>
  <c r="E2756" i="3"/>
  <c r="F2755" i="3"/>
  <c r="E2755" i="3"/>
  <c r="F2754" i="3"/>
  <c r="E2754" i="3"/>
  <c r="F2753" i="3"/>
  <c r="E2753" i="3"/>
  <c r="F2752" i="3"/>
  <c r="E2752" i="3"/>
  <c r="F2751" i="3"/>
  <c r="E2751" i="3"/>
  <c r="F2750" i="3"/>
  <c r="E2750" i="3"/>
  <c r="F2749" i="3"/>
  <c r="E2749" i="3"/>
  <c r="F2748" i="3"/>
  <c r="E2748" i="3"/>
  <c r="F2747" i="3"/>
  <c r="E2747" i="3"/>
  <c r="F2746" i="3"/>
  <c r="E2746" i="3"/>
  <c r="F2745" i="3"/>
  <c r="E2745" i="3"/>
  <c r="F2744" i="3"/>
  <c r="E2744" i="3"/>
  <c r="F2743" i="3"/>
  <c r="E2743" i="3"/>
  <c r="F2742" i="3"/>
  <c r="E2742" i="3"/>
  <c r="F2741" i="3"/>
  <c r="E2741" i="3"/>
  <c r="F2740" i="3"/>
  <c r="E2740" i="3"/>
  <c r="F2739" i="3"/>
  <c r="E2739" i="3"/>
  <c r="F2738" i="3"/>
  <c r="E2738" i="3"/>
  <c r="F2737" i="3"/>
  <c r="E2737" i="3"/>
  <c r="F2736" i="3"/>
  <c r="E2736" i="3"/>
  <c r="F2735" i="3"/>
  <c r="E2735" i="3"/>
  <c r="F2734" i="3"/>
  <c r="E2734" i="3"/>
  <c r="F2733" i="3"/>
  <c r="E2733" i="3"/>
  <c r="F2732" i="3"/>
  <c r="E2732" i="3"/>
  <c r="F2731" i="3"/>
  <c r="E2731" i="3"/>
  <c r="F2730" i="3"/>
  <c r="E2730" i="3"/>
  <c r="F2729" i="3"/>
  <c r="E2729" i="3"/>
  <c r="F2728" i="3"/>
  <c r="E2728" i="3"/>
  <c r="F2727" i="3"/>
  <c r="E2727" i="3"/>
  <c r="F2726" i="3"/>
  <c r="E2726" i="3"/>
  <c r="F2725" i="3"/>
  <c r="E2725" i="3"/>
  <c r="F2724" i="3"/>
  <c r="E2724" i="3"/>
  <c r="F2723" i="3"/>
  <c r="E2723" i="3"/>
  <c r="F2722" i="3"/>
  <c r="E2722" i="3"/>
  <c r="F2721" i="3"/>
  <c r="E2721" i="3"/>
  <c r="F2720" i="3"/>
  <c r="E2720" i="3"/>
  <c r="F2719" i="3"/>
  <c r="E2719" i="3"/>
  <c r="F2718" i="3"/>
  <c r="E2718" i="3"/>
  <c r="F2717" i="3"/>
  <c r="E2717" i="3"/>
  <c r="F2716" i="3"/>
  <c r="E2716" i="3"/>
  <c r="F2715" i="3"/>
  <c r="E2715" i="3"/>
  <c r="F2714" i="3"/>
  <c r="E2714" i="3"/>
  <c r="F2713" i="3"/>
  <c r="E2713" i="3"/>
  <c r="F2712" i="3"/>
  <c r="E2712" i="3"/>
  <c r="F2711" i="3"/>
  <c r="E2711" i="3"/>
  <c r="F2710" i="3"/>
  <c r="E2710" i="3"/>
  <c r="F2709" i="3"/>
  <c r="E2709" i="3"/>
  <c r="F2708" i="3"/>
  <c r="E2708" i="3"/>
  <c r="F2707" i="3"/>
  <c r="E2707" i="3"/>
  <c r="F2706" i="3"/>
  <c r="E2706" i="3"/>
  <c r="F2705" i="3"/>
  <c r="E2705" i="3"/>
  <c r="F2704" i="3"/>
  <c r="E2704" i="3"/>
  <c r="F2703" i="3"/>
  <c r="E2703" i="3"/>
  <c r="F2702" i="3"/>
  <c r="E2702" i="3"/>
  <c r="F2701" i="3"/>
  <c r="E2701" i="3"/>
  <c r="F2700" i="3"/>
  <c r="E2700" i="3"/>
  <c r="F2699" i="3"/>
  <c r="E2699" i="3"/>
  <c r="F2698" i="3"/>
  <c r="E2698" i="3"/>
  <c r="F2697" i="3"/>
  <c r="E2697" i="3"/>
  <c r="F2696" i="3"/>
  <c r="E2696" i="3"/>
  <c r="F2695" i="3"/>
  <c r="E2695" i="3"/>
  <c r="F2694" i="3"/>
  <c r="E2694" i="3"/>
  <c r="F2693" i="3"/>
  <c r="E2693" i="3"/>
  <c r="F2692" i="3"/>
  <c r="E2692" i="3"/>
  <c r="F2691" i="3"/>
  <c r="E2691" i="3"/>
  <c r="F2690" i="3"/>
  <c r="E2690" i="3"/>
  <c r="F2689" i="3"/>
  <c r="E2689" i="3"/>
  <c r="F2688" i="3"/>
  <c r="E2688" i="3"/>
  <c r="F2687" i="3"/>
  <c r="E2687" i="3"/>
  <c r="F2686" i="3"/>
  <c r="E2686" i="3"/>
  <c r="F2685" i="3"/>
  <c r="E2685" i="3"/>
  <c r="F2684" i="3"/>
  <c r="E2684" i="3"/>
  <c r="F2683" i="3"/>
  <c r="E2683" i="3"/>
  <c r="F2682" i="3"/>
  <c r="E2682" i="3"/>
  <c r="F2681" i="3"/>
  <c r="E2681" i="3"/>
  <c r="F2680" i="3"/>
  <c r="E2680" i="3"/>
  <c r="F2679" i="3"/>
  <c r="E2679" i="3"/>
  <c r="F2678" i="3"/>
  <c r="E2678" i="3"/>
  <c r="F2677" i="3"/>
  <c r="E2677" i="3"/>
  <c r="F2676" i="3"/>
  <c r="E2676" i="3"/>
  <c r="F2675" i="3"/>
  <c r="E2675" i="3"/>
  <c r="F2674" i="3"/>
  <c r="E2674" i="3"/>
  <c r="F2673" i="3"/>
  <c r="E2673" i="3"/>
  <c r="F2672" i="3"/>
  <c r="E2672" i="3"/>
  <c r="F2671" i="3"/>
  <c r="E2671" i="3"/>
  <c r="F2670" i="3"/>
  <c r="E2670" i="3"/>
  <c r="F2669" i="3"/>
  <c r="E2669" i="3"/>
  <c r="F2668" i="3"/>
  <c r="E2668" i="3"/>
  <c r="F2667" i="3"/>
  <c r="E2667" i="3"/>
  <c r="F2666" i="3"/>
  <c r="E2666" i="3"/>
  <c r="F2665" i="3"/>
  <c r="E2665" i="3"/>
  <c r="F2664" i="3"/>
  <c r="E2664" i="3"/>
  <c r="F2663" i="3"/>
  <c r="E2663" i="3"/>
  <c r="F2662" i="3"/>
  <c r="E2662" i="3"/>
  <c r="F2661" i="3"/>
  <c r="E2661" i="3"/>
  <c r="F2660" i="3"/>
  <c r="E2660" i="3"/>
  <c r="F2659" i="3"/>
  <c r="E2659" i="3"/>
  <c r="F2658" i="3"/>
  <c r="E2658" i="3"/>
  <c r="F2657" i="3"/>
  <c r="E2657" i="3"/>
  <c r="F2656" i="3"/>
  <c r="E2656" i="3"/>
  <c r="F2655" i="3"/>
  <c r="E2655" i="3"/>
  <c r="F2654" i="3"/>
  <c r="E2654" i="3"/>
  <c r="F2653" i="3"/>
  <c r="E2653" i="3"/>
  <c r="F2652" i="3"/>
  <c r="E2652" i="3"/>
  <c r="F2651" i="3"/>
  <c r="E2651" i="3"/>
  <c r="F2650" i="3"/>
  <c r="E2650" i="3"/>
  <c r="F2649" i="3"/>
  <c r="E2649" i="3"/>
  <c r="F2648" i="3"/>
  <c r="E2648" i="3"/>
  <c r="F2647" i="3"/>
  <c r="E2647" i="3"/>
  <c r="F2646" i="3"/>
  <c r="E2646" i="3"/>
  <c r="F2645" i="3"/>
  <c r="E2645" i="3"/>
  <c r="F2644" i="3"/>
  <c r="E2644" i="3"/>
  <c r="F2643" i="3"/>
  <c r="E2643" i="3"/>
  <c r="F2642" i="3"/>
  <c r="E2642" i="3"/>
  <c r="F2641" i="3"/>
  <c r="E2641" i="3"/>
  <c r="F2640" i="3"/>
  <c r="E2640" i="3"/>
  <c r="F2639" i="3"/>
  <c r="E2639" i="3"/>
  <c r="F2638" i="3"/>
  <c r="E2638" i="3"/>
  <c r="F2637" i="3"/>
  <c r="E2637" i="3"/>
  <c r="F2636" i="3"/>
  <c r="E2636" i="3"/>
  <c r="F2635" i="3"/>
  <c r="E2635" i="3"/>
  <c r="F2634" i="3"/>
  <c r="E2634" i="3"/>
  <c r="F2633" i="3"/>
  <c r="E2633" i="3"/>
  <c r="F2632" i="3"/>
  <c r="E2632" i="3"/>
  <c r="F2631" i="3"/>
  <c r="E2631" i="3"/>
  <c r="F2630" i="3"/>
  <c r="E2630" i="3"/>
  <c r="F2629" i="3"/>
  <c r="E2629" i="3"/>
  <c r="F2628" i="3"/>
  <c r="E2628" i="3"/>
  <c r="F2627" i="3"/>
  <c r="E2627" i="3"/>
  <c r="F2626" i="3"/>
  <c r="E2626" i="3"/>
  <c r="F2625" i="3"/>
  <c r="E2625" i="3"/>
  <c r="F2624" i="3"/>
  <c r="E2624" i="3"/>
  <c r="F2623" i="3"/>
  <c r="E2623" i="3"/>
  <c r="F2622" i="3"/>
  <c r="E2622" i="3"/>
  <c r="F2621" i="3"/>
  <c r="E2621" i="3"/>
  <c r="F2620" i="3"/>
  <c r="E2620" i="3"/>
  <c r="F2619" i="3"/>
  <c r="E2619" i="3"/>
  <c r="F2618" i="3"/>
  <c r="E2618" i="3"/>
  <c r="F2617" i="3"/>
  <c r="E2617" i="3"/>
  <c r="F2616" i="3"/>
  <c r="E2616" i="3"/>
  <c r="F2615" i="3"/>
  <c r="E2615" i="3"/>
  <c r="F2614" i="3"/>
  <c r="E2614" i="3"/>
  <c r="F2613" i="3"/>
  <c r="E2613" i="3"/>
  <c r="F2612" i="3"/>
  <c r="E2612" i="3"/>
  <c r="F2611" i="3"/>
  <c r="E2611" i="3"/>
  <c r="F2610" i="3"/>
  <c r="E2610" i="3"/>
  <c r="F2609" i="3"/>
  <c r="E2609" i="3"/>
  <c r="F2608" i="3"/>
  <c r="E2608" i="3"/>
  <c r="F2607" i="3"/>
  <c r="E2607" i="3"/>
  <c r="F2606" i="3"/>
  <c r="E2606" i="3"/>
  <c r="F2605" i="3"/>
  <c r="E2605" i="3"/>
  <c r="F2604" i="3"/>
  <c r="E2604" i="3"/>
  <c r="F2603" i="3"/>
  <c r="E2603" i="3"/>
  <c r="F2602" i="3"/>
  <c r="E2602" i="3"/>
  <c r="F2601" i="3"/>
  <c r="E2601" i="3"/>
  <c r="F2600" i="3"/>
  <c r="E2600" i="3"/>
  <c r="F2599" i="3"/>
  <c r="E2599" i="3"/>
  <c r="F2598" i="3"/>
  <c r="E2598" i="3"/>
  <c r="F2597" i="3"/>
  <c r="E2597" i="3"/>
  <c r="F2596" i="3"/>
  <c r="E2596" i="3"/>
  <c r="F2595" i="3"/>
  <c r="E2595" i="3"/>
  <c r="F2594" i="3"/>
  <c r="E2594" i="3"/>
  <c r="F2593" i="3"/>
  <c r="E2593" i="3"/>
  <c r="F2592" i="3"/>
  <c r="E2592" i="3"/>
  <c r="F2591" i="3"/>
  <c r="E2591" i="3"/>
  <c r="F2590" i="3"/>
  <c r="E2590" i="3"/>
  <c r="F2589" i="3"/>
  <c r="E2589" i="3"/>
  <c r="F2588" i="3"/>
  <c r="E2588" i="3"/>
  <c r="F2587" i="3"/>
  <c r="E2587" i="3"/>
  <c r="F2586" i="3"/>
  <c r="E2586" i="3"/>
  <c r="F2585" i="3"/>
  <c r="E2585" i="3"/>
  <c r="F2584" i="3"/>
  <c r="E2584" i="3"/>
  <c r="F2583" i="3"/>
  <c r="E2583" i="3"/>
  <c r="F2582" i="3"/>
  <c r="E2582" i="3"/>
  <c r="F2581" i="3"/>
  <c r="E2581" i="3"/>
  <c r="F2580" i="3"/>
  <c r="E2580" i="3"/>
  <c r="F2579" i="3"/>
  <c r="E2579" i="3"/>
  <c r="F2578" i="3"/>
  <c r="E2578" i="3"/>
  <c r="F2577" i="3"/>
  <c r="E2577" i="3"/>
  <c r="F2576" i="3"/>
  <c r="E2576" i="3"/>
  <c r="F2575" i="3"/>
  <c r="E2575" i="3"/>
  <c r="F2574" i="3"/>
  <c r="E2574" i="3"/>
  <c r="F2573" i="3"/>
  <c r="E2573" i="3"/>
  <c r="F2572" i="3"/>
  <c r="E2572" i="3"/>
  <c r="F2571" i="3"/>
  <c r="E2571" i="3"/>
  <c r="F2570" i="3"/>
  <c r="E2570" i="3"/>
  <c r="F2569" i="3"/>
  <c r="E2569" i="3"/>
  <c r="F2568" i="3"/>
  <c r="E2568" i="3"/>
  <c r="F2567" i="3"/>
  <c r="E2567" i="3"/>
  <c r="F2566" i="3"/>
  <c r="E2566" i="3"/>
  <c r="F2565" i="3"/>
  <c r="E2565" i="3"/>
  <c r="F2564" i="3"/>
  <c r="E2564" i="3"/>
  <c r="F2563" i="3"/>
  <c r="E2563" i="3"/>
  <c r="F2562" i="3"/>
  <c r="E2562" i="3"/>
  <c r="F2561" i="3"/>
  <c r="E2561" i="3"/>
  <c r="F2560" i="3"/>
  <c r="E2560" i="3"/>
  <c r="F2559" i="3"/>
  <c r="E2559" i="3"/>
  <c r="F2558" i="3"/>
  <c r="E2558" i="3"/>
  <c r="F2557" i="3"/>
  <c r="E2557" i="3"/>
  <c r="F2556" i="3"/>
  <c r="E2556" i="3"/>
  <c r="F2555" i="3"/>
  <c r="E2555" i="3"/>
  <c r="F2554" i="3"/>
  <c r="E2554" i="3"/>
  <c r="F2553" i="3"/>
  <c r="E2553" i="3"/>
  <c r="F2552" i="3"/>
  <c r="E2552" i="3"/>
  <c r="F2551" i="3"/>
  <c r="E2551" i="3"/>
  <c r="F2550" i="3"/>
  <c r="E2550" i="3"/>
  <c r="F2549" i="3"/>
  <c r="E2549" i="3"/>
  <c r="F2548" i="3"/>
  <c r="E2548" i="3"/>
  <c r="F2547" i="3"/>
  <c r="E2547" i="3"/>
  <c r="F2546" i="3"/>
  <c r="E2546" i="3"/>
  <c r="F2545" i="3"/>
  <c r="E2545" i="3"/>
  <c r="F2544" i="3"/>
  <c r="E2544" i="3"/>
  <c r="F2543" i="3"/>
  <c r="E2543" i="3"/>
  <c r="F2542" i="3"/>
  <c r="E2542" i="3"/>
  <c r="F2541" i="3"/>
  <c r="E2541" i="3"/>
  <c r="F2540" i="3"/>
  <c r="E2540" i="3"/>
  <c r="F2539" i="3"/>
  <c r="E2539" i="3"/>
  <c r="F2538" i="3"/>
  <c r="E2538" i="3"/>
  <c r="F2537" i="3"/>
  <c r="E2537" i="3"/>
  <c r="F2536" i="3"/>
  <c r="E2536" i="3"/>
  <c r="F2535" i="3"/>
  <c r="E2535" i="3"/>
  <c r="F2534" i="3"/>
  <c r="E2534" i="3"/>
  <c r="F2533" i="3"/>
  <c r="E2533" i="3"/>
  <c r="F2532" i="3"/>
  <c r="E2532" i="3"/>
  <c r="F2531" i="3"/>
  <c r="E2531" i="3"/>
  <c r="F2530" i="3"/>
  <c r="E2530" i="3"/>
  <c r="F2529" i="3"/>
  <c r="E2529" i="3"/>
  <c r="F2528" i="3"/>
  <c r="E2528" i="3"/>
  <c r="F2527" i="3"/>
  <c r="E2527" i="3"/>
  <c r="F2526" i="3"/>
  <c r="E2526" i="3"/>
  <c r="F2525" i="3"/>
  <c r="E2525" i="3"/>
  <c r="F2524" i="3"/>
  <c r="E2524" i="3"/>
  <c r="F2523" i="3"/>
  <c r="E2523" i="3"/>
  <c r="F2522" i="3"/>
  <c r="E2522" i="3"/>
  <c r="F2521" i="3"/>
  <c r="E2521" i="3"/>
  <c r="F2520" i="3"/>
  <c r="E2520" i="3"/>
  <c r="F2519" i="3"/>
  <c r="E2519" i="3"/>
  <c r="F2518" i="3"/>
  <c r="E2518" i="3"/>
  <c r="F2517" i="3"/>
  <c r="E2517" i="3"/>
  <c r="F2516" i="3"/>
  <c r="E2516" i="3"/>
  <c r="F2515" i="3"/>
  <c r="E2515" i="3"/>
  <c r="F2514" i="3"/>
  <c r="E2514" i="3"/>
  <c r="F2513" i="3"/>
  <c r="E2513" i="3"/>
  <c r="F2512" i="3"/>
  <c r="E2512" i="3"/>
  <c r="F2511" i="3"/>
  <c r="E2511" i="3"/>
  <c r="F2510" i="3"/>
  <c r="E2510" i="3"/>
  <c r="F2509" i="3"/>
  <c r="E2509" i="3"/>
  <c r="F2508" i="3"/>
  <c r="E2508" i="3"/>
  <c r="F2507" i="3"/>
  <c r="E2507" i="3"/>
  <c r="F2506" i="3"/>
  <c r="E2506" i="3"/>
  <c r="F2505" i="3"/>
  <c r="E2505" i="3"/>
  <c r="F2504" i="3"/>
  <c r="E2504" i="3"/>
  <c r="F2503" i="3"/>
  <c r="E2503" i="3"/>
  <c r="F2502" i="3"/>
  <c r="E2502" i="3"/>
  <c r="F2501" i="3"/>
  <c r="E2501" i="3"/>
  <c r="F2500" i="3"/>
  <c r="E2500" i="3"/>
  <c r="F2499" i="3"/>
  <c r="E2499" i="3"/>
  <c r="F2498" i="3"/>
  <c r="E2498" i="3"/>
  <c r="F2497" i="3"/>
  <c r="E2497" i="3"/>
  <c r="F2496" i="3"/>
  <c r="E2496" i="3"/>
  <c r="F2495" i="3"/>
  <c r="E2495" i="3"/>
  <c r="F2494" i="3"/>
  <c r="E2494" i="3"/>
  <c r="F2493" i="3"/>
  <c r="E2493" i="3"/>
  <c r="F2492" i="3"/>
  <c r="E2492" i="3"/>
  <c r="F2491" i="3"/>
  <c r="E2491" i="3"/>
  <c r="F2490" i="3"/>
  <c r="E2490" i="3"/>
  <c r="F2489" i="3"/>
  <c r="E2489" i="3"/>
  <c r="F2488" i="3"/>
  <c r="E2488" i="3"/>
  <c r="F2487" i="3"/>
  <c r="E2487" i="3"/>
  <c r="F2486" i="3"/>
  <c r="E2486" i="3"/>
  <c r="F2485" i="3"/>
  <c r="E2485" i="3"/>
  <c r="F2484" i="3"/>
  <c r="E2484" i="3"/>
  <c r="F2483" i="3"/>
  <c r="E2483" i="3"/>
  <c r="F2482" i="3"/>
  <c r="E2482" i="3"/>
  <c r="F2481" i="3"/>
  <c r="E2481" i="3"/>
  <c r="F2480" i="3"/>
  <c r="E2480" i="3"/>
  <c r="F2479" i="3"/>
  <c r="E2479" i="3"/>
  <c r="F2478" i="3"/>
  <c r="E2478" i="3"/>
  <c r="F2477" i="3"/>
  <c r="E2477" i="3"/>
  <c r="F2476" i="3"/>
  <c r="E2476" i="3"/>
  <c r="F2475" i="3"/>
  <c r="E2475" i="3"/>
  <c r="F2474" i="3"/>
  <c r="E2474" i="3"/>
  <c r="F2473" i="3"/>
  <c r="E2473" i="3"/>
  <c r="F2472" i="3"/>
  <c r="E2472" i="3"/>
  <c r="F2471" i="3"/>
  <c r="E2471" i="3"/>
  <c r="F2470" i="3"/>
  <c r="E2470" i="3"/>
  <c r="F2469" i="3"/>
  <c r="E2469" i="3"/>
  <c r="F2468" i="3"/>
  <c r="E2468" i="3"/>
  <c r="F2467" i="3"/>
  <c r="E2467" i="3"/>
  <c r="F2466" i="3"/>
  <c r="E2466" i="3"/>
  <c r="F2465" i="3"/>
  <c r="E2465" i="3"/>
  <c r="F2464" i="3"/>
  <c r="E2464" i="3"/>
  <c r="F2463" i="3"/>
  <c r="E2463" i="3"/>
  <c r="F2462" i="3"/>
  <c r="E2462" i="3"/>
  <c r="F2461" i="3"/>
  <c r="E2461" i="3"/>
  <c r="F2460" i="3"/>
  <c r="E2460" i="3"/>
  <c r="F2459" i="3"/>
  <c r="E2459" i="3"/>
  <c r="F2458" i="3"/>
  <c r="E2458" i="3"/>
  <c r="F2457" i="3"/>
  <c r="E2457" i="3"/>
  <c r="F2456" i="3"/>
  <c r="E2456" i="3"/>
  <c r="F2455" i="3"/>
  <c r="E2455" i="3"/>
  <c r="F2454" i="3"/>
  <c r="E2454" i="3"/>
  <c r="F2453" i="3"/>
  <c r="E2453" i="3"/>
  <c r="F2452" i="3"/>
  <c r="E2452" i="3"/>
  <c r="F2451" i="3"/>
  <c r="E2451" i="3"/>
  <c r="F2450" i="3"/>
  <c r="E2450" i="3"/>
  <c r="F2449" i="3"/>
  <c r="E2449" i="3"/>
  <c r="F2448" i="3"/>
  <c r="E2448" i="3"/>
  <c r="F2447" i="3"/>
  <c r="E2447" i="3"/>
  <c r="F2446" i="3"/>
  <c r="E2446" i="3"/>
  <c r="F2445" i="3"/>
  <c r="E2445" i="3"/>
  <c r="F2444" i="3"/>
  <c r="E2444" i="3"/>
  <c r="F2443" i="3"/>
  <c r="E2443" i="3"/>
  <c r="F2442" i="3"/>
  <c r="E2442" i="3"/>
  <c r="F2441" i="3"/>
  <c r="E2441" i="3"/>
  <c r="F2440" i="3"/>
  <c r="E2440" i="3"/>
  <c r="F2439" i="3"/>
  <c r="E2439" i="3"/>
  <c r="F2438" i="3"/>
  <c r="E2438" i="3"/>
  <c r="F2437" i="3"/>
  <c r="E2437" i="3"/>
  <c r="F2436" i="3"/>
  <c r="E2436" i="3"/>
  <c r="F2435" i="3"/>
  <c r="E2435" i="3"/>
  <c r="F2434" i="3"/>
  <c r="E2434" i="3"/>
  <c r="F2433" i="3"/>
  <c r="E2433" i="3"/>
  <c r="F2432" i="3"/>
  <c r="E2432" i="3"/>
  <c r="F2431" i="3"/>
  <c r="E2431" i="3"/>
  <c r="F2430" i="3"/>
  <c r="E2430" i="3"/>
  <c r="F2429" i="3"/>
  <c r="E2429" i="3"/>
  <c r="F2428" i="3"/>
  <c r="E2428" i="3"/>
  <c r="F2427" i="3"/>
  <c r="E2427" i="3"/>
  <c r="F2426" i="3"/>
  <c r="E2426" i="3"/>
  <c r="F2425" i="3"/>
  <c r="E2425" i="3"/>
  <c r="F2424" i="3"/>
  <c r="E2424" i="3"/>
  <c r="F2423" i="3"/>
  <c r="E2423" i="3"/>
  <c r="F2422" i="3"/>
  <c r="E2422" i="3"/>
  <c r="F2421" i="3"/>
  <c r="E2421" i="3"/>
  <c r="F2420" i="3"/>
  <c r="E2420" i="3"/>
  <c r="F2419" i="3"/>
  <c r="E2419" i="3"/>
  <c r="F2418" i="3"/>
  <c r="E2418" i="3"/>
  <c r="F2417" i="3"/>
  <c r="E2417" i="3"/>
  <c r="F2416" i="3"/>
  <c r="E2416" i="3"/>
  <c r="F2415" i="3"/>
  <c r="E2415" i="3"/>
  <c r="F2414" i="3"/>
  <c r="E2414" i="3"/>
  <c r="F2413" i="3"/>
  <c r="E2413" i="3"/>
  <c r="F2412" i="3"/>
  <c r="E2412" i="3"/>
  <c r="F2411" i="3"/>
  <c r="E2411" i="3"/>
  <c r="F2410" i="3"/>
  <c r="E2410" i="3"/>
  <c r="F2409" i="3"/>
  <c r="E2409" i="3"/>
  <c r="F2408" i="3"/>
  <c r="E2408" i="3"/>
  <c r="F2407" i="3"/>
  <c r="E2407" i="3"/>
  <c r="F2406" i="3"/>
  <c r="E2406" i="3"/>
  <c r="F2405" i="3"/>
  <c r="E2405" i="3"/>
  <c r="F2404" i="3"/>
  <c r="E2404" i="3"/>
  <c r="F2403" i="3"/>
  <c r="E2403" i="3"/>
  <c r="F2402" i="3"/>
  <c r="E2402" i="3"/>
  <c r="F2401" i="3"/>
  <c r="E2401" i="3"/>
  <c r="F2400" i="3"/>
  <c r="E2400" i="3"/>
  <c r="F2399" i="3"/>
  <c r="E2399" i="3"/>
  <c r="F2398" i="3"/>
  <c r="E2398" i="3"/>
  <c r="F2397" i="3"/>
  <c r="E2397" i="3"/>
  <c r="F2396" i="3"/>
  <c r="E2396" i="3"/>
  <c r="F2395" i="3"/>
  <c r="E2395" i="3"/>
  <c r="F2394" i="3"/>
  <c r="E2394" i="3"/>
  <c r="F2393" i="3"/>
  <c r="E2393" i="3"/>
  <c r="F2392" i="3"/>
  <c r="E2392" i="3"/>
  <c r="F2391" i="3"/>
  <c r="E2391" i="3"/>
  <c r="F2390" i="3"/>
  <c r="E2390" i="3"/>
  <c r="F2389" i="3"/>
  <c r="E2389" i="3"/>
  <c r="F2388" i="3"/>
  <c r="E2388" i="3"/>
  <c r="F2387" i="3"/>
  <c r="E2387" i="3"/>
  <c r="F2386" i="3"/>
  <c r="E2386" i="3"/>
  <c r="F2385" i="3"/>
  <c r="E2385" i="3"/>
  <c r="F2384" i="3"/>
  <c r="E2384" i="3"/>
  <c r="F2383" i="3"/>
  <c r="E2383" i="3"/>
  <c r="F2382" i="3"/>
  <c r="E2382" i="3"/>
  <c r="F2381" i="3"/>
  <c r="E2381" i="3"/>
  <c r="F2380" i="3"/>
  <c r="E2380" i="3"/>
  <c r="F2379" i="3"/>
  <c r="E2379" i="3"/>
  <c r="F2378" i="3"/>
  <c r="E2378" i="3"/>
  <c r="F2377" i="3"/>
  <c r="E2377" i="3"/>
  <c r="F2376" i="3"/>
  <c r="E2376" i="3"/>
  <c r="F2375" i="3"/>
  <c r="E2375" i="3"/>
  <c r="F2374" i="3"/>
  <c r="E2374" i="3"/>
  <c r="F2373" i="3"/>
  <c r="E2373" i="3"/>
  <c r="F2372" i="3"/>
  <c r="E2372" i="3"/>
  <c r="F2371" i="3"/>
  <c r="E2371" i="3"/>
  <c r="F2370" i="3"/>
  <c r="E2370" i="3"/>
  <c r="F2369" i="3"/>
  <c r="E2369" i="3"/>
  <c r="F2368" i="3"/>
  <c r="E2368" i="3"/>
  <c r="F2367" i="3"/>
  <c r="E2367" i="3"/>
  <c r="F2366" i="3"/>
  <c r="E2366" i="3"/>
  <c r="F2365" i="3"/>
  <c r="E2365" i="3"/>
  <c r="F2364" i="3"/>
  <c r="E2364" i="3"/>
  <c r="F2363" i="3"/>
  <c r="E2363" i="3"/>
  <c r="F2362" i="3"/>
  <c r="E2362" i="3"/>
  <c r="F2361" i="3"/>
  <c r="E2361" i="3"/>
  <c r="F2360" i="3"/>
  <c r="E2360" i="3"/>
  <c r="F2359" i="3"/>
  <c r="E2359" i="3"/>
  <c r="F2358" i="3"/>
  <c r="E2358" i="3"/>
  <c r="F2357" i="3"/>
  <c r="E2357" i="3"/>
  <c r="F2356" i="3"/>
  <c r="E2356" i="3"/>
  <c r="F2355" i="3"/>
  <c r="E2355" i="3"/>
  <c r="F2354" i="3"/>
  <c r="E2354" i="3"/>
  <c r="F2353" i="3"/>
  <c r="E2353" i="3"/>
  <c r="F2352" i="3"/>
  <c r="E2352" i="3"/>
  <c r="F2351" i="3"/>
  <c r="E2351" i="3"/>
  <c r="F2350" i="3"/>
  <c r="E2350" i="3"/>
  <c r="F2349" i="3"/>
  <c r="E2349" i="3"/>
  <c r="F2348" i="3"/>
  <c r="E2348" i="3"/>
  <c r="F2347" i="3"/>
  <c r="E2347" i="3"/>
  <c r="F2346" i="3"/>
  <c r="E2346" i="3"/>
  <c r="F2345" i="3"/>
  <c r="E2345" i="3"/>
  <c r="F2344" i="3"/>
  <c r="E2344" i="3"/>
  <c r="F2343" i="3"/>
  <c r="E2343" i="3"/>
  <c r="F2342" i="3"/>
  <c r="E2342" i="3"/>
  <c r="F2341" i="3"/>
  <c r="E2341" i="3"/>
  <c r="F2340" i="3"/>
  <c r="E2340" i="3"/>
  <c r="F2339" i="3"/>
  <c r="E2339" i="3"/>
  <c r="F2338" i="3"/>
  <c r="E2338" i="3"/>
  <c r="F2337" i="3"/>
  <c r="E2337" i="3"/>
  <c r="F2336" i="3"/>
  <c r="E2336" i="3"/>
  <c r="F2335" i="3"/>
  <c r="E2335" i="3"/>
  <c r="F2334" i="3"/>
  <c r="E2334" i="3"/>
  <c r="F2333" i="3"/>
  <c r="E2333" i="3"/>
  <c r="F2332" i="3"/>
  <c r="E2332" i="3"/>
  <c r="F2331" i="3"/>
  <c r="E2331" i="3"/>
  <c r="F2330" i="3"/>
  <c r="E2330" i="3"/>
  <c r="F2329" i="3"/>
  <c r="E2329" i="3"/>
  <c r="F2328" i="3"/>
  <c r="E2328" i="3"/>
  <c r="F2327" i="3"/>
  <c r="E2327" i="3"/>
  <c r="F2326" i="3"/>
  <c r="E2326" i="3"/>
  <c r="F2325" i="3"/>
  <c r="E2325" i="3"/>
  <c r="F2324" i="3"/>
  <c r="E2324" i="3"/>
  <c r="F2323" i="3"/>
  <c r="E2323" i="3"/>
  <c r="F2322" i="3"/>
  <c r="E2322" i="3"/>
  <c r="F2321" i="3"/>
  <c r="E2321" i="3"/>
  <c r="F2320" i="3"/>
  <c r="E2320" i="3"/>
  <c r="F2319" i="3"/>
  <c r="E2319" i="3"/>
  <c r="F2318" i="3"/>
  <c r="E2318" i="3"/>
  <c r="F2317" i="3"/>
  <c r="E2317" i="3"/>
  <c r="F2316" i="3"/>
  <c r="E2316" i="3"/>
  <c r="F2315" i="3"/>
  <c r="E2315" i="3"/>
  <c r="F2314" i="3"/>
  <c r="E2314" i="3"/>
  <c r="F2313" i="3"/>
  <c r="E2313" i="3"/>
  <c r="F2312" i="3"/>
  <c r="E2312" i="3"/>
  <c r="F2311" i="3"/>
  <c r="E2311" i="3"/>
  <c r="F2310" i="3"/>
  <c r="E2310" i="3"/>
  <c r="F2309" i="3"/>
  <c r="E2309" i="3"/>
  <c r="F2308" i="3"/>
  <c r="E2308" i="3"/>
  <c r="F2307" i="3"/>
  <c r="E2307" i="3"/>
  <c r="F2306" i="3"/>
  <c r="E2306" i="3"/>
  <c r="F2305" i="3"/>
  <c r="E2305" i="3"/>
  <c r="F2304" i="3"/>
  <c r="E2304" i="3"/>
  <c r="F2303" i="3"/>
  <c r="E2303" i="3"/>
  <c r="F2302" i="3"/>
  <c r="E2302" i="3"/>
  <c r="F2301" i="3"/>
  <c r="E2301" i="3"/>
  <c r="F2300" i="3"/>
  <c r="E2300" i="3"/>
  <c r="F2299" i="3"/>
  <c r="E2299" i="3"/>
  <c r="F2298" i="3"/>
  <c r="E2298" i="3"/>
  <c r="F2297" i="3"/>
  <c r="E2297" i="3"/>
  <c r="F2296" i="3"/>
  <c r="E2296" i="3"/>
  <c r="F2295" i="3"/>
  <c r="E2295" i="3"/>
  <c r="F2294" i="3"/>
  <c r="E2294" i="3"/>
  <c r="F2293" i="3"/>
  <c r="E2293" i="3"/>
  <c r="F2292" i="3"/>
  <c r="E2292" i="3"/>
  <c r="F2291" i="3"/>
  <c r="E2291" i="3"/>
  <c r="F2290" i="3"/>
  <c r="E2290" i="3"/>
  <c r="F2289" i="3"/>
  <c r="E2289" i="3"/>
  <c r="F2288" i="3"/>
  <c r="E2288" i="3"/>
  <c r="F2287" i="3"/>
  <c r="E2287" i="3"/>
  <c r="F2286" i="3"/>
  <c r="E2286" i="3"/>
  <c r="F2285" i="3"/>
  <c r="E2285" i="3"/>
  <c r="F2284" i="3"/>
  <c r="E2284" i="3"/>
  <c r="F2283" i="3"/>
  <c r="E2283" i="3"/>
  <c r="F2282" i="3"/>
  <c r="E2282" i="3"/>
  <c r="F2281" i="3"/>
  <c r="E2281" i="3"/>
  <c r="F2280" i="3"/>
  <c r="E2280" i="3"/>
  <c r="F2279" i="3"/>
  <c r="E2279" i="3"/>
  <c r="F2278" i="3"/>
  <c r="E2278" i="3"/>
  <c r="F2277" i="3"/>
  <c r="E2277" i="3"/>
  <c r="F2276" i="3"/>
  <c r="E2276" i="3"/>
  <c r="F2275" i="3"/>
  <c r="E2275" i="3"/>
  <c r="F2274" i="3"/>
  <c r="E2274" i="3"/>
  <c r="F2273" i="3"/>
  <c r="E2273" i="3"/>
  <c r="F2272" i="3"/>
  <c r="E2272" i="3"/>
  <c r="F2271" i="3"/>
  <c r="E2271" i="3"/>
  <c r="F2270" i="3"/>
  <c r="E2270" i="3"/>
  <c r="F2269" i="3"/>
  <c r="E2269" i="3"/>
  <c r="F2268" i="3"/>
  <c r="E2268" i="3"/>
  <c r="F2267" i="3"/>
  <c r="E2267" i="3"/>
  <c r="F2266" i="3"/>
  <c r="E2266" i="3"/>
  <c r="F2265" i="3"/>
  <c r="E2265" i="3"/>
  <c r="F2264" i="3"/>
  <c r="E2264" i="3"/>
  <c r="F2263" i="3"/>
  <c r="E2263" i="3"/>
  <c r="F2262" i="3"/>
  <c r="E2262" i="3"/>
  <c r="F2261" i="3"/>
  <c r="E2261" i="3"/>
  <c r="F2260" i="3"/>
  <c r="E2260" i="3"/>
  <c r="F2259" i="3"/>
  <c r="E2259" i="3"/>
  <c r="F2258" i="3"/>
  <c r="E2258" i="3"/>
  <c r="F2257" i="3"/>
  <c r="E2257" i="3"/>
  <c r="F2256" i="3"/>
  <c r="E2256" i="3"/>
  <c r="F2255" i="3"/>
  <c r="E2255" i="3"/>
  <c r="F2254" i="3"/>
  <c r="E2254" i="3"/>
  <c r="F2253" i="3"/>
  <c r="E2253" i="3"/>
  <c r="F2252" i="3"/>
  <c r="E2252" i="3"/>
  <c r="F2251" i="3"/>
  <c r="E2251" i="3"/>
  <c r="F2250" i="3"/>
  <c r="E2250" i="3"/>
  <c r="F2249" i="3"/>
  <c r="E2249" i="3"/>
  <c r="F2248" i="3"/>
  <c r="E2248" i="3"/>
  <c r="F2247" i="3"/>
  <c r="E2247" i="3"/>
  <c r="F2246" i="3"/>
  <c r="E2246" i="3"/>
  <c r="F2245" i="3"/>
  <c r="E2245" i="3"/>
  <c r="F2244" i="3"/>
  <c r="E2244" i="3"/>
  <c r="F2243" i="3"/>
  <c r="E2243" i="3"/>
  <c r="F2242" i="3"/>
  <c r="E2242" i="3"/>
  <c r="F2241" i="3"/>
  <c r="E2241" i="3"/>
  <c r="F2240" i="3"/>
  <c r="E2240" i="3"/>
  <c r="F2239" i="3"/>
  <c r="E2239" i="3"/>
  <c r="F2238" i="3"/>
  <c r="E2238" i="3"/>
  <c r="F2237" i="3"/>
  <c r="E2237" i="3"/>
  <c r="F2236" i="3"/>
  <c r="E2236" i="3"/>
  <c r="F2235" i="3"/>
  <c r="E2235" i="3"/>
  <c r="F2234" i="3"/>
  <c r="E2234" i="3"/>
  <c r="F2233" i="3"/>
  <c r="E2233" i="3"/>
  <c r="F2232" i="3"/>
  <c r="E2232" i="3"/>
  <c r="F2231" i="3"/>
  <c r="E2231" i="3"/>
  <c r="F2230" i="3"/>
  <c r="E2230" i="3"/>
  <c r="F2229" i="3"/>
  <c r="E2229" i="3"/>
  <c r="F2228" i="3"/>
  <c r="E2228" i="3"/>
  <c r="F2227" i="3"/>
  <c r="E2227" i="3"/>
  <c r="F2226" i="3"/>
  <c r="E2226" i="3"/>
  <c r="F2225" i="3"/>
  <c r="E2225" i="3"/>
  <c r="F2224" i="3"/>
  <c r="E2224" i="3"/>
  <c r="F2223" i="3"/>
  <c r="E2223" i="3"/>
  <c r="F2222" i="3"/>
  <c r="E2222" i="3"/>
  <c r="F2221" i="3"/>
  <c r="E2221" i="3"/>
  <c r="F2220" i="3"/>
  <c r="E2220" i="3"/>
  <c r="F2219" i="3"/>
  <c r="E2219" i="3"/>
  <c r="F2218" i="3"/>
  <c r="E2218" i="3"/>
  <c r="F2217" i="3"/>
  <c r="E2217" i="3"/>
  <c r="F2216" i="3"/>
  <c r="E2216" i="3"/>
  <c r="F2215" i="3"/>
  <c r="E2215" i="3"/>
  <c r="F2214" i="3"/>
  <c r="E2214" i="3"/>
  <c r="F2213" i="3"/>
  <c r="E2213" i="3"/>
  <c r="F2212" i="3"/>
  <c r="E2212" i="3"/>
  <c r="F2211" i="3"/>
  <c r="E2211" i="3"/>
  <c r="F2210" i="3"/>
  <c r="E2210" i="3"/>
  <c r="F2209" i="3"/>
  <c r="E2209" i="3"/>
  <c r="F2208" i="3"/>
  <c r="E2208" i="3"/>
  <c r="F2207" i="3"/>
  <c r="E2207" i="3"/>
  <c r="F2206" i="3"/>
  <c r="E2206" i="3"/>
  <c r="F2205" i="3"/>
  <c r="E2205" i="3"/>
  <c r="F2204" i="3"/>
  <c r="E2204" i="3"/>
  <c r="F2203" i="3"/>
  <c r="E2203" i="3"/>
  <c r="F2202" i="3"/>
  <c r="E2202" i="3"/>
  <c r="F2201" i="3"/>
  <c r="E2201" i="3"/>
  <c r="F2200" i="3"/>
  <c r="E2200" i="3"/>
  <c r="F2199" i="3"/>
  <c r="E2199" i="3"/>
  <c r="F2198" i="3"/>
  <c r="E2198" i="3"/>
  <c r="F2197" i="3"/>
  <c r="E2197" i="3"/>
  <c r="F2196" i="3"/>
  <c r="E2196" i="3"/>
  <c r="F2195" i="3"/>
  <c r="E2195" i="3"/>
  <c r="F2194" i="3"/>
  <c r="E2194" i="3"/>
  <c r="F2193" i="3"/>
  <c r="E2193" i="3"/>
  <c r="F2192" i="3"/>
  <c r="E2192" i="3"/>
  <c r="F2191" i="3"/>
  <c r="E2191" i="3"/>
  <c r="F2190" i="3"/>
  <c r="E2190" i="3"/>
  <c r="F2189" i="3"/>
  <c r="E2189" i="3"/>
  <c r="F2188" i="3"/>
  <c r="E2188" i="3"/>
  <c r="F2187" i="3"/>
  <c r="E2187" i="3"/>
  <c r="F2186" i="3"/>
  <c r="E2186" i="3"/>
  <c r="F2185" i="3"/>
  <c r="E2185" i="3"/>
  <c r="F2184" i="3"/>
  <c r="E2184" i="3"/>
  <c r="F2183" i="3"/>
  <c r="E2183" i="3"/>
  <c r="F2182" i="3"/>
  <c r="E2182" i="3"/>
  <c r="F2181" i="3"/>
  <c r="E2181" i="3"/>
  <c r="F2180" i="3"/>
  <c r="E2180" i="3"/>
  <c r="F2179" i="3"/>
  <c r="E2179" i="3"/>
  <c r="F2178" i="3"/>
  <c r="E2178" i="3"/>
  <c r="F2177" i="3"/>
  <c r="E2177" i="3"/>
  <c r="F2176" i="3"/>
  <c r="E2176" i="3"/>
  <c r="F2175" i="3"/>
  <c r="E2175" i="3"/>
  <c r="F2174" i="3"/>
  <c r="E2174" i="3"/>
  <c r="F2173" i="3"/>
  <c r="E2173" i="3"/>
  <c r="F2172" i="3"/>
  <c r="E2172" i="3"/>
  <c r="F2171" i="3"/>
  <c r="E2171" i="3"/>
  <c r="F2170" i="3"/>
  <c r="E2170" i="3"/>
  <c r="F2169" i="3"/>
  <c r="E2169" i="3"/>
  <c r="F2168" i="3"/>
  <c r="E2168" i="3"/>
  <c r="F2167" i="3"/>
  <c r="E2167" i="3"/>
  <c r="F2166" i="3"/>
  <c r="E2166" i="3"/>
  <c r="F2165" i="3"/>
  <c r="E2165" i="3"/>
  <c r="F2164" i="3"/>
  <c r="E2164" i="3"/>
  <c r="F2163" i="3"/>
  <c r="E2163" i="3"/>
  <c r="F2162" i="3"/>
  <c r="E2162" i="3"/>
  <c r="F2161" i="3"/>
  <c r="E2161" i="3"/>
  <c r="F2160" i="3"/>
  <c r="E2160" i="3"/>
  <c r="F2159" i="3"/>
  <c r="E2159" i="3"/>
  <c r="F2158" i="3"/>
  <c r="E2158" i="3"/>
  <c r="F2157" i="3"/>
  <c r="E2157" i="3"/>
  <c r="F2156" i="3"/>
  <c r="E2156" i="3"/>
  <c r="F2155" i="3"/>
  <c r="E2155" i="3"/>
  <c r="F2154" i="3"/>
  <c r="E2154" i="3"/>
  <c r="F2153" i="3"/>
  <c r="E2153" i="3"/>
  <c r="F2152" i="3"/>
  <c r="E2152" i="3"/>
  <c r="F2151" i="3"/>
  <c r="E2151" i="3"/>
  <c r="F2150" i="3"/>
  <c r="E2150" i="3"/>
  <c r="F2149" i="3"/>
  <c r="E2149" i="3"/>
  <c r="F2148" i="3"/>
  <c r="E2148" i="3"/>
  <c r="F2147" i="3"/>
  <c r="E2147" i="3"/>
  <c r="F2146" i="3"/>
  <c r="E2146" i="3"/>
  <c r="F2145" i="3"/>
  <c r="E2145" i="3"/>
  <c r="F2144" i="3"/>
  <c r="E2144" i="3"/>
  <c r="F2143" i="3"/>
  <c r="E2143" i="3"/>
  <c r="F2142" i="3"/>
  <c r="E2142" i="3"/>
  <c r="F2141" i="3"/>
  <c r="E2141" i="3"/>
  <c r="F2140" i="3"/>
  <c r="E2140" i="3"/>
  <c r="F2139" i="3"/>
  <c r="E2139" i="3"/>
  <c r="F2138" i="3"/>
  <c r="E2138" i="3"/>
  <c r="F2137" i="3"/>
  <c r="E2137" i="3"/>
  <c r="F2136" i="3"/>
  <c r="E2136" i="3"/>
  <c r="F2135" i="3"/>
  <c r="E2135" i="3"/>
  <c r="F2134" i="3"/>
  <c r="E2134" i="3"/>
  <c r="F2133" i="3"/>
  <c r="E2133" i="3"/>
  <c r="F2132" i="3"/>
  <c r="E2132" i="3"/>
  <c r="F2131" i="3"/>
  <c r="E2131" i="3"/>
  <c r="F2130" i="3"/>
  <c r="E2130" i="3"/>
  <c r="F2129" i="3"/>
  <c r="E2129" i="3"/>
  <c r="F2128" i="3"/>
  <c r="E2128" i="3"/>
  <c r="F2127" i="3"/>
  <c r="E2127" i="3"/>
  <c r="F2126" i="3"/>
  <c r="E2126" i="3"/>
  <c r="F2125" i="3"/>
  <c r="E2125" i="3"/>
  <c r="F2124" i="3"/>
  <c r="E2124" i="3"/>
  <c r="F2123" i="3"/>
  <c r="E2123" i="3"/>
  <c r="F2122" i="3"/>
  <c r="E2122" i="3"/>
  <c r="F2121" i="3"/>
  <c r="E2121" i="3"/>
  <c r="F2120" i="3"/>
  <c r="E2120" i="3"/>
  <c r="F2119" i="3"/>
  <c r="E2119" i="3"/>
  <c r="F2118" i="3"/>
  <c r="E2118" i="3"/>
  <c r="F2117" i="3"/>
  <c r="E2117" i="3"/>
  <c r="F2116" i="3"/>
  <c r="E2116" i="3"/>
  <c r="F2115" i="3"/>
  <c r="E2115" i="3"/>
  <c r="F2114" i="3"/>
  <c r="E2114" i="3"/>
  <c r="F2113" i="3"/>
  <c r="E2113" i="3"/>
  <c r="F2112" i="3"/>
  <c r="E2112" i="3"/>
  <c r="F2111" i="3"/>
  <c r="E2111" i="3"/>
  <c r="F2110" i="3"/>
  <c r="E2110" i="3"/>
  <c r="F2109" i="3"/>
  <c r="E2109" i="3"/>
  <c r="F2108" i="3"/>
  <c r="E2108" i="3"/>
  <c r="F2107" i="3"/>
  <c r="E2107" i="3"/>
  <c r="F2106" i="3"/>
  <c r="E2106" i="3"/>
  <c r="F2105" i="3"/>
  <c r="E2105" i="3"/>
  <c r="F2104" i="3"/>
  <c r="E2104" i="3"/>
  <c r="F2103" i="3"/>
  <c r="E2103" i="3"/>
  <c r="F2102" i="3"/>
  <c r="E2102" i="3"/>
  <c r="F2101" i="3"/>
  <c r="E2101" i="3"/>
  <c r="F2100" i="3"/>
  <c r="E2100" i="3"/>
  <c r="F2099" i="3"/>
  <c r="E2099" i="3"/>
  <c r="F2098" i="3"/>
  <c r="E2098" i="3"/>
  <c r="F2097" i="3"/>
  <c r="E2097" i="3"/>
  <c r="F2096" i="3"/>
  <c r="E2096" i="3"/>
  <c r="F2095" i="3"/>
  <c r="E2095" i="3"/>
  <c r="F2094" i="3"/>
  <c r="E2094" i="3"/>
  <c r="F2093" i="3"/>
  <c r="E2093" i="3"/>
  <c r="F2092" i="3"/>
  <c r="E2092" i="3"/>
  <c r="F2091" i="3"/>
  <c r="E2091" i="3"/>
  <c r="F2090" i="3"/>
  <c r="E2090" i="3"/>
  <c r="F2089" i="3"/>
  <c r="E2089" i="3"/>
  <c r="F2088" i="3"/>
  <c r="E2088" i="3"/>
  <c r="F2087" i="3"/>
  <c r="E2087" i="3"/>
  <c r="F2086" i="3"/>
  <c r="E2086" i="3"/>
  <c r="F2085" i="3"/>
  <c r="E2085" i="3"/>
  <c r="F2084" i="3"/>
  <c r="E2084" i="3"/>
  <c r="F2083" i="3"/>
  <c r="E2083" i="3"/>
  <c r="F2082" i="3"/>
  <c r="E2082" i="3"/>
  <c r="F2081" i="3"/>
  <c r="E2081" i="3"/>
  <c r="F2080" i="3"/>
  <c r="E2080" i="3"/>
  <c r="F2079" i="3"/>
  <c r="E2079" i="3"/>
  <c r="F2078" i="3"/>
  <c r="E2078" i="3"/>
  <c r="F2077" i="3"/>
  <c r="E2077" i="3"/>
  <c r="F2075" i="3"/>
  <c r="E2075" i="3"/>
  <c r="F2074" i="3"/>
  <c r="E2074" i="3"/>
  <c r="F2073" i="3"/>
  <c r="E2073" i="3"/>
  <c r="F2072" i="3"/>
  <c r="E2072" i="3"/>
  <c r="F2071" i="3"/>
  <c r="E2071" i="3"/>
  <c r="F2070" i="3"/>
  <c r="E2070" i="3"/>
  <c r="F2069" i="3"/>
  <c r="E2069" i="3"/>
  <c r="F2068" i="3"/>
  <c r="E2068" i="3"/>
  <c r="F2067" i="3"/>
  <c r="E2067" i="3"/>
  <c r="F2066" i="3"/>
  <c r="E2066" i="3"/>
  <c r="F2065" i="3"/>
  <c r="E2065" i="3"/>
  <c r="F2064" i="3"/>
  <c r="E2064" i="3"/>
  <c r="F2063" i="3"/>
  <c r="E2063" i="3"/>
  <c r="F2062" i="3"/>
  <c r="E2062" i="3"/>
  <c r="F2061" i="3"/>
  <c r="E2061" i="3"/>
  <c r="F2060" i="3"/>
  <c r="E2060" i="3"/>
  <c r="F2059" i="3"/>
  <c r="E2059" i="3"/>
  <c r="F2058" i="3"/>
  <c r="E2058" i="3"/>
  <c r="F2057" i="3"/>
  <c r="E2057" i="3"/>
  <c r="F2056" i="3"/>
  <c r="E2056" i="3"/>
  <c r="F2055" i="3"/>
  <c r="E2055" i="3"/>
  <c r="F2054" i="3"/>
  <c r="E2054" i="3"/>
  <c r="F2053" i="3"/>
  <c r="E2053" i="3"/>
  <c r="F2052" i="3"/>
  <c r="E2052" i="3"/>
  <c r="F2051" i="3"/>
  <c r="E2051" i="3"/>
  <c r="F2050" i="3"/>
  <c r="E2050" i="3"/>
  <c r="F2049" i="3"/>
  <c r="E2049" i="3"/>
  <c r="F2048" i="3"/>
  <c r="E2048" i="3"/>
  <c r="F2047" i="3"/>
  <c r="E2047" i="3"/>
  <c r="F2045" i="3"/>
  <c r="E2045" i="3"/>
  <c r="F2044" i="3"/>
  <c r="E2044" i="3"/>
  <c r="F2043" i="3"/>
  <c r="E2043" i="3"/>
  <c r="F2042" i="3"/>
  <c r="E2042" i="3"/>
  <c r="F2041" i="3"/>
  <c r="E2041" i="3"/>
  <c r="F2040" i="3"/>
  <c r="E2040" i="3"/>
  <c r="F2039" i="3"/>
  <c r="E2039" i="3"/>
  <c r="F2038" i="3"/>
  <c r="E2038" i="3"/>
  <c r="F2037" i="3"/>
  <c r="E2037" i="3"/>
  <c r="F2036" i="3"/>
  <c r="E2036" i="3"/>
  <c r="F2035" i="3"/>
  <c r="E2035" i="3"/>
  <c r="F2034" i="3"/>
  <c r="E2034" i="3"/>
  <c r="F2033" i="3"/>
  <c r="E2033" i="3"/>
  <c r="F2032" i="3"/>
  <c r="E2032" i="3"/>
  <c r="F2031" i="3"/>
  <c r="E2031" i="3"/>
  <c r="F2030" i="3"/>
  <c r="E2030" i="3"/>
  <c r="F2029" i="3"/>
  <c r="E2029" i="3"/>
  <c r="F2028" i="3"/>
  <c r="E2028" i="3"/>
  <c r="F2027" i="3"/>
  <c r="E2027" i="3"/>
  <c r="F2026" i="3"/>
  <c r="E2026" i="3"/>
  <c r="F2025" i="3"/>
  <c r="E2025" i="3"/>
  <c r="F2024" i="3"/>
  <c r="E2024" i="3"/>
  <c r="F2023" i="3"/>
  <c r="E2023" i="3"/>
  <c r="F2022" i="3"/>
  <c r="E2022" i="3"/>
  <c r="F2021" i="3"/>
  <c r="E2021" i="3"/>
  <c r="F2020" i="3"/>
  <c r="E2020" i="3"/>
  <c r="F2019" i="3"/>
  <c r="E2019" i="3"/>
  <c r="F2018" i="3"/>
  <c r="E2018" i="3"/>
  <c r="F2017" i="3"/>
  <c r="E2017" i="3"/>
  <c r="F2016" i="3"/>
  <c r="E2016" i="3"/>
  <c r="F2015" i="3"/>
  <c r="E2015" i="3"/>
  <c r="F2014" i="3"/>
  <c r="E2014" i="3"/>
  <c r="F2013" i="3"/>
  <c r="E2013" i="3"/>
  <c r="F2012" i="3"/>
  <c r="E2012" i="3"/>
  <c r="F2011" i="3"/>
  <c r="E2011" i="3"/>
  <c r="F2010" i="3"/>
  <c r="E2010" i="3"/>
  <c r="F2009" i="3"/>
  <c r="E2009" i="3"/>
  <c r="F2008" i="3"/>
  <c r="E2008" i="3"/>
  <c r="F2007" i="3"/>
  <c r="E2007" i="3"/>
  <c r="F2006" i="3"/>
  <c r="E2006" i="3"/>
  <c r="F2005" i="3"/>
  <c r="E2005" i="3"/>
  <c r="F2004" i="3"/>
  <c r="E2004" i="3"/>
  <c r="F2003" i="3"/>
  <c r="E2003" i="3"/>
  <c r="F2002" i="3"/>
  <c r="E2002" i="3"/>
  <c r="F2001" i="3"/>
  <c r="E2001" i="3"/>
  <c r="F2000" i="3"/>
  <c r="E2000" i="3"/>
  <c r="F1999" i="3"/>
  <c r="E1999" i="3"/>
  <c r="F1998" i="3"/>
  <c r="E1998" i="3"/>
  <c r="F1997" i="3"/>
  <c r="E1997" i="3"/>
  <c r="F1996" i="3"/>
  <c r="E1996" i="3"/>
  <c r="F1995" i="3"/>
  <c r="E1995" i="3"/>
  <c r="F1994" i="3"/>
  <c r="E1994" i="3"/>
  <c r="F1993" i="3"/>
  <c r="E1993" i="3"/>
  <c r="F1992" i="3"/>
  <c r="E1992" i="3"/>
  <c r="F1991" i="3"/>
  <c r="E1991" i="3"/>
  <c r="F1990" i="3"/>
  <c r="E1990" i="3"/>
  <c r="F1989" i="3"/>
  <c r="E1989" i="3"/>
  <c r="F1988" i="3"/>
  <c r="E1988" i="3"/>
  <c r="F1987" i="3"/>
  <c r="E1987" i="3"/>
  <c r="F1986" i="3"/>
  <c r="E1986" i="3"/>
  <c r="F1985" i="3"/>
  <c r="E1985" i="3"/>
  <c r="F1984" i="3"/>
  <c r="E1984" i="3"/>
  <c r="F1983" i="3"/>
  <c r="E1983" i="3"/>
  <c r="F1982" i="3"/>
  <c r="E1982" i="3"/>
  <c r="F1981" i="3"/>
  <c r="E1981" i="3"/>
  <c r="F1980" i="3"/>
  <c r="E1980" i="3"/>
  <c r="F1979" i="3"/>
  <c r="E1979" i="3"/>
  <c r="F1978" i="3"/>
  <c r="E1978" i="3"/>
  <c r="F1977" i="3"/>
  <c r="E1977" i="3"/>
  <c r="F1976" i="3"/>
  <c r="E1976" i="3"/>
  <c r="F1975" i="3"/>
  <c r="E1975" i="3"/>
  <c r="F1974" i="3"/>
  <c r="E1974" i="3"/>
  <c r="F1973" i="3"/>
  <c r="E1973" i="3"/>
  <c r="F1972" i="3"/>
  <c r="E1972" i="3"/>
  <c r="F1971" i="3"/>
  <c r="E1971" i="3"/>
  <c r="F1970" i="3"/>
  <c r="E1970" i="3"/>
  <c r="F1969" i="3"/>
  <c r="E1969" i="3"/>
  <c r="F1968" i="3"/>
  <c r="E1968" i="3"/>
  <c r="F1967" i="3"/>
  <c r="E1967" i="3"/>
  <c r="F1966" i="3"/>
  <c r="E1966" i="3"/>
  <c r="F1965" i="3"/>
  <c r="E1965" i="3"/>
  <c r="F1964" i="3"/>
  <c r="E1964" i="3"/>
  <c r="F1963" i="3"/>
  <c r="E1963" i="3"/>
  <c r="F1962" i="3"/>
  <c r="E1962" i="3"/>
  <c r="F1961" i="3"/>
  <c r="E1961" i="3"/>
  <c r="F1960" i="3"/>
  <c r="E1960" i="3"/>
  <c r="F1959" i="3"/>
  <c r="E1959" i="3"/>
  <c r="F1958" i="3"/>
  <c r="E1958" i="3"/>
  <c r="F1957" i="3"/>
  <c r="E1957" i="3"/>
  <c r="F1956" i="3"/>
  <c r="E1956" i="3"/>
  <c r="F1955" i="3"/>
  <c r="E1955" i="3"/>
  <c r="F1954" i="3"/>
  <c r="E1954" i="3"/>
  <c r="F1953" i="3"/>
  <c r="E1953" i="3"/>
  <c r="F1952" i="3"/>
  <c r="E1952" i="3"/>
  <c r="F1951" i="3"/>
  <c r="E1951" i="3"/>
  <c r="F1950" i="3"/>
  <c r="E1950" i="3"/>
  <c r="F1949" i="3"/>
  <c r="E1949" i="3"/>
  <c r="F1948" i="3"/>
  <c r="E1948" i="3"/>
  <c r="F1947" i="3"/>
  <c r="E1947" i="3"/>
  <c r="F1946" i="3"/>
  <c r="E1946" i="3"/>
  <c r="F1945" i="3"/>
  <c r="E1945" i="3"/>
  <c r="F1944" i="3"/>
  <c r="E1944" i="3"/>
  <c r="F1943" i="3"/>
  <c r="E1943" i="3"/>
  <c r="F1942" i="3"/>
  <c r="E1942" i="3"/>
  <c r="F1941" i="3"/>
  <c r="E1941" i="3"/>
  <c r="F1940" i="3"/>
  <c r="E1940" i="3"/>
  <c r="F1939" i="3"/>
  <c r="E1939" i="3"/>
  <c r="F1938" i="3"/>
  <c r="E1938" i="3"/>
  <c r="F1937" i="3"/>
  <c r="E1937" i="3"/>
  <c r="F1936" i="3"/>
  <c r="E1936" i="3"/>
  <c r="F1935" i="3"/>
  <c r="E1935" i="3"/>
  <c r="F1934" i="3"/>
  <c r="E1934" i="3"/>
  <c r="F1933" i="3"/>
  <c r="E1933" i="3"/>
  <c r="F1932" i="3"/>
  <c r="E1932" i="3"/>
  <c r="F1931" i="3"/>
  <c r="E1931" i="3"/>
  <c r="F1930" i="3"/>
  <c r="E1930" i="3"/>
  <c r="F1929" i="3"/>
  <c r="E1929" i="3"/>
  <c r="F1928" i="3"/>
  <c r="E1928" i="3"/>
  <c r="F1927" i="3"/>
  <c r="E1927" i="3"/>
  <c r="F1926" i="3"/>
  <c r="E1926" i="3"/>
  <c r="F1925" i="3"/>
  <c r="E1925" i="3"/>
  <c r="F1924" i="3"/>
  <c r="E1924" i="3"/>
  <c r="F1923" i="3"/>
  <c r="E1923" i="3"/>
  <c r="F1922" i="3"/>
  <c r="E1922" i="3"/>
  <c r="F1921" i="3"/>
  <c r="E1921" i="3"/>
  <c r="F1920" i="3"/>
  <c r="E1920" i="3"/>
  <c r="F1919" i="3"/>
  <c r="E1919" i="3"/>
  <c r="F1918" i="3"/>
  <c r="E1918" i="3"/>
  <c r="F1917" i="3"/>
  <c r="E1917" i="3"/>
  <c r="F1916" i="3"/>
  <c r="E1916" i="3"/>
  <c r="F1915" i="3"/>
  <c r="E1915" i="3"/>
  <c r="F1914" i="3"/>
  <c r="E1914" i="3"/>
  <c r="F1913" i="3"/>
  <c r="E1913" i="3"/>
  <c r="F1912" i="3"/>
  <c r="E1912" i="3"/>
  <c r="F1911" i="3"/>
  <c r="E1911" i="3"/>
  <c r="F1910" i="3"/>
  <c r="E1910" i="3"/>
  <c r="F1909" i="3"/>
  <c r="E1909" i="3"/>
  <c r="F1908" i="3"/>
  <c r="E1908" i="3"/>
  <c r="F1907" i="3"/>
  <c r="E1907" i="3"/>
  <c r="F1906" i="3"/>
  <c r="E1906" i="3"/>
  <c r="F1905" i="3"/>
  <c r="E1905" i="3"/>
  <c r="F1904" i="3"/>
  <c r="E1904" i="3"/>
  <c r="F1903" i="3"/>
  <c r="E1903" i="3"/>
  <c r="F1902" i="3"/>
  <c r="E1902" i="3"/>
  <c r="F1901" i="3"/>
  <c r="E1901" i="3"/>
  <c r="F1900" i="3"/>
  <c r="E1900" i="3"/>
  <c r="F1899" i="3"/>
  <c r="E1899" i="3"/>
  <c r="F1898" i="3"/>
  <c r="E1898" i="3"/>
  <c r="F1897" i="3"/>
  <c r="E1897" i="3"/>
  <c r="F1896" i="3"/>
  <c r="E1896" i="3"/>
  <c r="F1895" i="3"/>
  <c r="E1895" i="3"/>
  <c r="F1894" i="3"/>
  <c r="E1894" i="3"/>
  <c r="F1893" i="3"/>
  <c r="E1893" i="3"/>
  <c r="F1892" i="3"/>
  <c r="E1892" i="3"/>
  <c r="F1891" i="3"/>
  <c r="E1891" i="3"/>
  <c r="F1890" i="3"/>
  <c r="E1890" i="3"/>
  <c r="F1889" i="3"/>
  <c r="E1889" i="3"/>
  <c r="F1888" i="3"/>
  <c r="E1888" i="3"/>
  <c r="F1887" i="3"/>
  <c r="E1887" i="3"/>
  <c r="F1886" i="3"/>
  <c r="E1886" i="3"/>
  <c r="F1885" i="3"/>
  <c r="E1885" i="3"/>
  <c r="F1884" i="3"/>
  <c r="E1884" i="3"/>
  <c r="F1883" i="3"/>
  <c r="E1883" i="3"/>
  <c r="F1882" i="3"/>
  <c r="E1882" i="3"/>
  <c r="F1881" i="3"/>
  <c r="E1881" i="3"/>
  <c r="F1880" i="3"/>
  <c r="E1880" i="3"/>
  <c r="F1879" i="3"/>
  <c r="E1879" i="3"/>
  <c r="F1878" i="3"/>
  <c r="E1878" i="3"/>
  <c r="F1877" i="3"/>
  <c r="E1877" i="3"/>
  <c r="F1876" i="3"/>
  <c r="E1876" i="3"/>
  <c r="F1875" i="3"/>
  <c r="E1875" i="3"/>
  <c r="F1874" i="3"/>
  <c r="E1874" i="3"/>
  <c r="F1873" i="3"/>
  <c r="E1873" i="3"/>
  <c r="F1872" i="3"/>
  <c r="E1872" i="3"/>
  <c r="F1871" i="3"/>
  <c r="E1871" i="3"/>
  <c r="F1870" i="3"/>
  <c r="E1870" i="3"/>
  <c r="F1869" i="3"/>
  <c r="E1869" i="3"/>
  <c r="F1868" i="3"/>
  <c r="E1868" i="3"/>
  <c r="F1867" i="3"/>
  <c r="E1867" i="3"/>
  <c r="F1866" i="3"/>
  <c r="E1866" i="3"/>
  <c r="F1865" i="3"/>
  <c r="E1865" i="3"/>
  <c r="F1864" i="3"/>
  <c r="E1864" i="3"/>
  <c r="F1863" i="3"/>
  <c r="E1863" i="3"/>
  <c r="F1862" i="3"/>
  <c r="E1862" i="3"/>
  <c r="F1861" i="3"/>
  <c r="E1861" i="3"/>
  <c r="F1860" i="3"/>
  <c r="E1860" i="3"/>
  <c r="F1859" i="3"/>
  <c r="E1859" i="3"/>
  <c r="F1858" i="3"/>
  <c r="E1858" i="3"/>
  <c r="F1857" i="3"/>
  <c r="E1857" i="3"/>
  <c r="F1856" i="3"/>
  <c r="E1856" i="3"/>
  <c r="F1855" i="3"/>
  <c r="E1855" i="3"/>
  <c r="F1854" i="3"/>
  <c r="E1854" i="3"/>
  <c r="F1853" i="3"/>
  <c r="E1853" i="3"/>
  <c r="F1852" i="3"/>
  <c r="E1852" i="3"/>
  <c r="F1851" i="3"/>
  <c r="E1851" i="3"/>
  <c r="F1850" i="3"/>
  <c r="E1850" i="3"/>
  <c r="F1849" i="3"/>
  <c r="E1849" i="3"/>
  <c r="F1848" i="3"/>
  <c r="E1848" i="3"/>
  <c r="F1847" i="3"/>
  <c r="E1847" i="3"/>
  <c r="F1846" i="3"/>
  <c r="E1846" i="3"/>
  <c r="F1845" i="3"/>
  <c r="E1845" i="3"/>
  <c r="F1844" i="3"/>
  <c r="E1844" i="3"/>
  <c r="F1843" i="3"/>
  <c r="E1843" i="3"/>
  <c r="F1842" i="3"/>
  <c r="E1842" i="3"/>
  <c r="F1841" i="3"/>
  <c r="E1841" i="3"/>
  <c r="F1840" i="3"/>
  <c r="E1840" i="3"/>
  <c r="F1839" i="3"/>
  <c r="E1839" i="3"/>
  <c r="F1838" i="3"/>
  <c r="E1838" i="3"/>
  <c r="F1837" i="3"/>
  <c r="E1837" i="3"/>
  <c r="F1836" i="3"/>
  <c r="E1836" i="3"/>
  <c r="F1835" i="3"/>
  <c r="E1835" i="3"/>
  <c r="F1834" i="3"/>
  <c r="E1834" i="3"/>
  <c r="F1833" i="3"/>
  <c r="E1833" i="3"/>
  <c r="F1832" i="3"/>
  <c r="E1832" i="3"/>
  <c r="F1831" i="3"/>
  <c r="E1831" i="3"/>
  <c r="F1830" i="3"/>
  <c r="E1830" i="3"/>
  <c r="F1829" i="3"/>
  <c r="E1829" i="3"/>
  <c r="F1828" i="3"/>
  <c r="E1828" i="3"/>
  <c r="F1827" i="3"/>
  <c r="E1827" i="3"/>
  <c r="F1826" i="3"/>
  <c r="E1826" i="3"/>
  <c r="F1825" i="3"/>
  <c r="E1825" i="3"/>
  <c r="F1824" i="3"/>
  <c r="E1824" i="3"/>
  <c r="F1823" i="3"/>
  <c r="E1823" i="3"/>
  <c r="F1822" i="3"/>
  <c r="E1822" i="3"/>
  <c r="F1821" i="3"/>
  <c r="E1821" i="3"/>
  <c r="F1820" i="3"/>
  <c r="E1820" i="3"/>
  <c r="F1819" i="3"/>
  <c r="E1819" i="3"/>
  <c r="F1818" i="3"/>
  <c r="E1818" i="3"/>
  <c r="F1817" i="3"/>
  <c r="E1817" i="3"/>
  <c r="F1816" i="3"/>
  <c r="E1816" i="3"/>
  <c r="F1815" i="3"/>
  <c r="E1815" i="3"/>
  <c r="F1814" i="3"/>
  <c r="E1814" i="3"/>
  <c r="F1813" i="3"/>
  <c r="E1813" i="3"/>
  <c r="F1812" i="3"/>
  <c r="E1812" i="3"/>
  <c r="F1811" i="3"/>
  <c r="E1811" i="3"/>
  <c r="F1810" i="3"/>
  <c r="E1810" i="3"/>
  <c r="F1809" i="3"/>
  <c r="E1809" i="3"/>
  <c r="F1808" i="3"/>
  <c r="E1808" i="3"/>
  <c r="F1807" i="3"/>
  <c r="E1807" i="3"/>
  <c r="F1806" i="3"/>
  <c r="E1806" i="3"/>
  <c r="F1805" i="3"/>
  <c r="E1805" i="3"/>
  <c r="F1804" i="3"/>
  <c r="E1804" i="3"/>
  <c r="F1803" i="3"/>
  <c r="E1803" i="3"/>
  <c r="F1802" i="3"/>
  <c r="E1802" i="3"/>
  <c r="F1801" i="3"/>
  <c r="E1801" i="3"/>
  <c r="F1800" i="3"/>
  <c r="E1800" i="3"/>
  <c r="F1799" i="3"/>
  <c r="E1799" i="3"/>
  <c r="F1798" i="3"/>
  <c r="E1798" i="3"/>
  <c r="F1797" i="3"/>
  <c r="E1797" i="3"/>
  <c r="F1796" i="3"/>
  <c r="E1796" i="3"/>
  <c r="F1795" i="3"/>
  <c r="E1795" i="3"/>
  <c r="F1794" i="3"/>
  <c r="E1794" i="3"/>
  <c r="F1793" i="3"/>
  <c r="E1793" i="3"/>
  <c r="F1792" i="3"/>
  <c r="E1792" i="3"/>
  <c r="F1791" i="3"/>
  <c r="E1791" i="3"/>
  <c r="F1790" i="3"/>
  <c r="E1790" i="3"/>
  <c r="F1789" i="3"/>
  <c r="E1789" i="3"/>
  <c r="F1788" i="3"/>
  <c r="E1788" i="3"/>
  <c r="F1787" i="3"/>
  <c r="E1787" i="3"/>
  <c r="F1786" i="3"/>
  <c r="E1786" i="3"/>
  <c r="F1785" i="3"/>
  <c r="E1785" i="3"/>
  <c r="F1784" i="3"/>
  <c r="E1784" i="3"/>
  <c r="F1783" i="3"/>
  <c r="E1783" i="3"/>
  <c r="F1782" i="3"/>
  <c r="E1782" i="3"/>
  <c r="F1781" i="3"/>
  <c r="E1781" i="3"/>
  <c r="F1780" i="3"/>
  <c r="E1780" i="3"/>
  <c r="F1779" i="3"/>
  <c r="E1779" i="3"/>
  <c r="F1778" i="3"/>
  <c r="E1778" i="3"/>
  <c r="F1777" i="3"/>
  <c r="E1777" i="3"/>
  <c r="F1776" i="3"/>
  <c r="E1776" i="3"/>
  <c r="F1775" i="3"/>
  <c r="E1775" i="3"/>
  <c r="F1774" i="3"/>
  <c r="E1774" i="3"/>
  <c r="F1773" i="3"/>
  <c r="E1773" i="3"/>
  <c r="F1772" i="3"/>
  <c r="E1772" i="3"/>
  <c r="F1771" i="3"/>
  <c r="E1771" i="3"/>
  <c r="F1770" i="3"/>
  <c r="E1770" i="3"/>
  <c r="F1769" i="3"/>
  <c r="E1769" i="3"/>
  <c r="F1768" i="3"/>
  <c r="E1768" i="3"/>
  <c r="F1767" i="3"/>
  <c r="E1767" i="3"/>
  <c r="F1766" i="3"/>
  <c r="E1766" i="3"/>
  <c r="F1765" i="3"/>
  <c r="E1765" i="3"/>
  <c r="F1764" i="3"/>
  <c r="E1764" i="3"/>
  <c r="F1763" i="3"/>
  <c r="E1763" i="3"/>
  <c r="F1762" i="3"/>
  <c r="E1762" i="3"/>
  <c r="F1761" i="3"/>
  <c r="E1761" i="3"/>
  <c r="F1760" i="3"/>
  <c r="E1760" i="3"/>
  <c r="F1759" i="3"/>
  <c r="E1759" i="3"/>
  <c r="F1758" i="3"/>
  <c r="E1758" i="3"/>
  <c r="F1757" i="3"/>
  <c r="E1757" i="3"/>
  <c r="F1756" i="3"/>
  <c r="E1756" i="3"/>
  <c r="F1755" i="3"/>
  <c r="E1755" i="3"/>
  <c r="F1754" i="3"/>
  <c r="E1754" i="3"/>
  <c r="F1753" i="3"/>
  <c r="E1753" i="3"/>
  <c r="F1752" i="3"/>
  <c r="E1752" i="3"/>
  <c r="F1751" i="3"/>
  <c r="E1751" i="3"/>
  <c r="F1750" i="3"/>
  <c r="E1750" i="3"/>
  <c r="F1749" i="3"/>
  <c r="E1749" i="3"/>
  <c r="F1748" i="3"/>
  <c r="E1748" i="3"/>
  <c r="F1747" i="3"/>
  <c r="E1747" i="3"/>
  <c r="F1746" i="3"/>
  <c r="E1746" i="3"/>
  <c r="F1745" i="3"/>
  <c r="E1745" i="3"/>
  <c r="F1744" i="3"/>
  <c r="E1744" i="3"/>
  <c r="F1743" i="3"/>
  <c r="E1743" i="3"/>
  <c r="F1742" i="3"/>
  <c r="E1742" i="3"/>
  <c r="F1741" i="3"/>
  <c r="E1741" i="3"/>
  <c r="F1740" i="3"/>
  <c r="E1740" i="3"/>
  <c r="F1739" i="3"/>
  <c r="E1739" i="3"/>
  <c r="F1738" i="3"/>
  <c r="E1738" i="3"/>
  <c r="F1737" i="3"/>
  <c r="E1737" i="3"/>
  <c r="F1736" i="3"/>
  <c r="E1736" i="3"/>
  <c r="F1735" i="3"/>
  <c r="E1735" i="3"/>
  <c r="F1734" i="3"/>
  <c r="E1734" i="3"/>
  <c r="F1733" i="3"/>
  <c r="E1733" i="3"/>
  <c r="F1732" i="3"/>
  <c r="E1732" i="3"/>
  <c r="F1731" i="3"/>
  <c r="E1731" i="3"/>
  <c r="F1730" i="3"/>
  <c r="E1730" i="3"/>
  <c r="F1729" i="3"/>
  <c r="E1729" i="3"/>
  <c r="F1728" i="3"/>
  <c r="E1728" i="3"/>
  <c r="F1727" i="3"/>
  <c r="E1727" i="3"/>
  <c r="F1726" i="3"/>
  <c r="E1726" i="3"/>
  <c r="F1725" i="3"/>
  <c r="E1725" i="3"/>
  <c r="F1724" i="3"/>
  <c r="E1724" i="3"/>
  <c r="F1723" i="3"/>
  <c r="E1723" i="3"/>
  <c r="F1722" i="3"/>
  <c r="E1722" i="3"/>
  <c r="F1721" i="3"/>
  <c r="E1721" i="3"/>
  <c r="F1720" i="3"/>
  <c r="E1720" i="3"/>
  <c r="F1719" i="3"/>
  <c r="E1719" i="3"/>
  <c r="F1718" i="3"/>
  <c r="E1718" i="3"/>
  <c r="F1717" i="3"/>
  <c r="E1717" i="3"/>
  <c r="F1716" i="3"/>
  <c r="E1716" i="3"/>
  <c r="F1715" i="3"/>
  <c r="E1715" i="3"/>
  <c r="F1714" i="3"/>
  <c r="E1714" i="3"/>
  <c r="F1713" i="3"/>
  <c r="E1713" i="3"/>
  <c r="F1712" i="3"/>
  <c r="E1712" i="3"/>
  <c r="F1711" i="3"/>
  <c r="E1711" i="3"/>
  <c r="F1710" i="3"/>
  <c r="E1710" i="3"/>
  <c r="F1709" i="3"/>
  <c r="E1709" i="3"/>
  <c r="F1708" i="3"/>
  <c r="E1708" i="3"/>
  <c r="F1707" i="3"/>
  <c r="E1707" i="3"/>
  <c r="F1706" i="3"/>
  <c r="E1706" i="3"/>
  <c r="F1705" i="3"/>
  <c r="E1705" i="3"/>
  <c r="F1704" i="3"/>
  <c r="E1704" i="3"/>
  <c r="F1703" i="3"/>
  <c r="E1703" i="3"/>
  <c r="F1702" i="3"/>
  <c r="E1702" i="3"/>
  <c r="F1701" i="3"/>
  <c r="E1701" i="3"/>
  <c r="F1700" i="3"/>
  <c r="E1700" i="3"/>
  <c r="F1699" i="3"/>
  <c r="E1699" i="3"/>
  <c r="F1698" i="3"/>
  <c r="E1698" i="3"/>
  <c r="F1697" i="3"/>
  <c r="E1697" i="3"/>
  <c r="F1696" i="3"/>
  <c r="E1696" i="3"/>
  <c r="F1695" i="3"/>
  <c r="E1695" i="3"/>
  <c r="F1694" i="3"/>
  <c r="E1694" i="3"/>
  <c r="F1693" i="3"/>
  <c r="E1693" i="3"/>
  <c r="F1692" i="3"/>
  <c r="E1692" i="3"/>
  <c r="F1691" i="3"/>
  <c r="E1691" i="3"/>
  <c r="F1690" i="3"/>
  <c r="E1690" i="3"/>
  <c r="F1689" i="3"/>
  <c r="E1689" i="3"/>
  <c r="F1688" i="3"/>
  <c r="E1688" i="3"/>
  <c r="F1687" i="3"/>
  <c r="E1687" i="3"/>
  <c r="F1686" i="3"/>
  <c r="E1686" i="3"/>
  <c r="F1685" i="3"/>
  <c r="E1685" i="3"/>
  <c r="F1684" i="3"/>
  <c r="E1684" i="3"/>
  <c r="F1683" i="3"/>
  <c r="E1683" i="3"/>
  <c r="F1682" i="3"/>
  <c r="E1682" i="3"/>
  <c r="F1681" i="3"/>
  <c r="E1681" i="3"/>
  <c r="F1680" i="3"/>
  <c r="E1680" i="3"/>
  <c r="F1679" i="3"/>
  <c r="E1679" i="3"/>
  <c r="F1678" i="3"/>
  <c r="E1678" i="3"/>
  <c r="F1677" i="3"/>
  <c r="E1677" i="3"/>
  <c r="F1676" i="3"/>
  <c r="E1676" i="3"/>
  <c r="F1675" i="3"/>
  <c r="E1675" i="3"/>
  <c r="F1674" i="3"/>
  <c r="E1674" i="3"/>
  <c r="F1673" i="3"/>
  <c r="E1673" i="3"/>
  <c r="F1672" i="3"/>
  <c r="E1672" i="3"/>
  <c r="F1671" i="3"/>
  <c r="E1671" i="3"/>
  <c r="F1670" i="3"/>
  <c r="E1670" i="3"/>
  <c r="F1669" i="3"/>
  <c r="E1669" i="3"/>
  <c r="F1668" i="3"/>
  <c r="E1668" i="3"/>
  <c r="F1667" i="3"/>
  <c r="E1667" i="3"/>
  <c r="F1666" i="3"/>
  <c r="E1666" i="3"/>
  <c r="F1665" i="3"/>
  <c r="E1665" i="3"/>
  <c r="F1664" i="3"/>
  <c r="E1664" i="3"/>
  <c r="F1663" i="3"/>
  <c r="E1663" i="3"/>
  <c r="F1662" i="3"/>
  <c r="E1662" i="3"/>
  <c r="F1661" i="3"/>
  <c r="E1661" i="3"/>
  <c r="F1660" i="3"/>
  <c r="E1660" i="3"/>
  <c r="F1659" i="3"/>
  <c r="E1659" i="3"/>
  <c r="F1658" i="3"/>
  <c r="E1658" i="3"/>
  <c r="F1657" i="3"/>
  <c r="E1657" i="3"/>
  <c r="F1656" i="3"/>
  <c r="E1656" i="3"/>
  <c r="F1655" i="3"/>
  <c r="E1655" i="3"/>
  <c r="F1654" i="3"/>
  <c r="E1654" i="3"/>
  <c r="F1653" i="3"/>
  <c r="E1653" i="3"/>
  <c r="F1652" i="3"/>
  <c r="E1652" i="3"/>
  <c r="F1651" i="3"/>
  <c r="E1651" i="3"/>
  <c r="F1650" i="3"/>
  <c r="E1650" i="3"/>
  <c r="F1649" i="3"/>
  <c r="E1649" i="3"/>
  <c r="F1648" i="3"/>
  <c r="E1648" i="3"/>
  <c r="F1647" i="3"/>
  <c r="E1647" i="3"/>
  <c r="F1646" i="3"/>
  <c r="E1646" i="3"/>
  <c r="F1645" i="3"/>
  <c r="E1645" i="3"/>
  <c r="F1644" i="3"/>
  <c r="E1644" i="3"/>
  <c r="F1643" i="3"/>
  <c r="E1643" i="3"/>
  <c r="F1642" i="3"/>
  <c r="E1642" i="3"/>
  <c r="F1641" i="3"/>
  <c r="E1641" i="3"/>
  <c r="F1640" i="3"/>
  <c r="E1640" i="3"/>
  <c r="F1639" i="3"/>
  <c r="E1639" i="3"/>
  <c r="F1638" i="3"/>
  <c r="E1638" i="3"/>
  <c r="F1637" i="3"/>
  <c r="E1637" i="3"/>
  <c r="F1636" i="3"/>
  <c r="E1636" i="3"/>
  <c r="F1635" i="3"/>
  <c r="E1635" i="3"/>
  <c r="F1634" i="3"/>
  <c r="E1634" i="3"/>
  <c r="F1633" i="3"/>
  <c r="E1633" i="3"/>
  <c r="F1632" i="3"/>
  <c r="E1632" i="3"/>
  <c r="F1631" i="3"/>
  <c r="E1631" i="3"/>
  <c r="F1630" i="3"/>
  <c r="E1630" i="3"/>
  <c r="F1629" i="3"/>
  <c r="E1629" i="3"/>
  <c r="F1628" i="3"/>
  <c r="E1628" i="3"/>
  <c r="F1627" i="3"/>
  <c r="E1627" i="3"/>
  <c r="F1626" i="3"/>
  <c r="E1626" i="3"/>
  <c r="F1625" i="3"/>
  <c r="E1625" i="3"/>
  <c r="F1624" i="3"/>
  <c r="E1624" i="3"/>
  <c r="F1623" i="3"/>
  <c r="E1623" i="3"/>
  <c r="F1622" i="3"/>
  <c r="E1622" i="3"/>
  <c r="F1621" i="3"/>
  <c r="E1621" i="3"/>
  <c r="F1620" i="3"/>
  <c r="E1620" i="3"/>
  <c r="F1619" i="3"/>
  <c r="E1619" i="3"/>
  <c r="F1618" i="3"/>
  <c r="E1618" i="3"/>
  <c r="F1617" i="3"/>
  <c r="E1617" i="3"/>
  <c r="F1616" i="3"/>
  <c r="E1616" i="3"/>
  <c r="F1615" i="3"/>
  <c r="E1615" i="3"/>
  <c r="F1614" i="3"/>
  <c r="E1614" i="3"/>
  <c r="F1613" i="3"/>
  <c r="E1613" i="3"/>
  <c r="F1612" i="3"/>
  <c r="E1612" i="3"/>
  <c r="F1611" i="3"/>
  <c r="E1611" i="3"/>
  <c r="F1610" i="3"/>
  <c r="E1610" i="3"/>
  <c r="F1609" i="3"/>
  <c r="E1609" i="3"/>
  <c r="F1608" i="3"/>
  <c r="E1608" i="3"/>
  <c r="F1607" i="3"/>
  <c r="E1607" i="3"/>
  <c r="F1606" i="3"/>
  <c r="E1606" i="3"/>
  <c r="F1605" i="3"/>
  <c r="E1605" i="3"/>
  <c r="F1604" i="3"/>
  <c r="E1604" i="3"/>
  <c r="F1603" i="3"/>
  <c r="E1603" i="3"/>
  <c r="F1602" i="3"/>
  <c r="E1602" i="3"/>
  <c r="F1601" i="3"/>
  <c r="E1601" i="3"/>
  <c r="F1600" i="3"/>
  <c r="E1600" i="3"/>
  <c r="F1599" i="3"/>
  <c r="E1599" i="3"/>
  <c r="F1598" i="3"/>
  <c r="E1598" i="3"/>
  <c r="F1597" i="3"/>
  <c r="E1597" i="3"/>
  <c r="F1596" i="3"/>
  <c r="E1596" i="3"/>
  <c r="F1595" i="3"/>
  <c r="E1595" i="3"/>
  <c r="F1594" i="3"/>
  <c r="E1594" i="3"/>
  <c r="F1593" i="3"/>
  <c r="E1593" i="3"/>
  <c r="F1592" i="3"/>
  <c r="E1592" i="3"/>
  <c r="F1591" i="3"/>
  <c r="E1591" i="3"/>
  <c r="F1590" i="3"/>
  <c r="E1590" i="3"/>
  <c r="F1589" i="3"/>
  <c r="E1589" i="3"/>
  <c r="F1588" i="3"/>
  <c r="E1588" i="3"/>
  <c r="F1587" i="3"/>
  <c r="E1587" i="3"/>
  <c r="F1586" i="3"/>
  <c r="E1586" i="3"/>
  <c r="F1585" i="3"/>
  <c r="E1585" i="3"/>
  <c r="F1584" i="3"/>
  <c r="E1584" i="3"/>
  <c r="F1583" i="3"/>
  <c r="E1583" i="3"/>
  <c r="F1582" i="3"/>
  <c r="E1582" i="3"/>
  <c r="F1581" i="3"/>
  <c r="E1581" i="3"/>
  <c r="F1580" i="3"/>
  <c r="E1580" i="3"/>
  <c r="F1579" i="3"/>
  <c r="E1579" i="3"/>
  <c r="F1578" i="3"/>
  <c r="E1578" i="3"/>
  <c r="F1577" i="3"/>
  <c r="E1577" i="3"/>
  <c r="F1576" i="3"/>
  <c r="E1576" i="3"/>
  <c r="F1575" i="3"/>
  <c r="E1575" i="3"/>
  <c r="F1574" i="3"/>
  <c r="E1574" i="3"/>
  <c r="F1573" i="3"/>
  <c r="E1573" i="3"/>
  <c r="F1572" i="3"/>
  <c r="E1572" i="3"/>
  <c r="F1571" i="3"/>
  <c r="E1571" i="3"/>
  <c r="F1570" i="3"/>
  <c r="E1570" i="3"/>
  <c r="F1569" i="3"/>
  <c r="E1569" i="3"/>
  <c r="F1568" i="3"/>
  <c r="E1568" i="3"/>
  <c r="F1567" i="3"/>
  <c r="E1567" i="3"/>
  <c r="F1566" i="3"/>
  <c r="E1566" i="3"/>
  <c r="F1565" i="3"/>
  <c r="E1565" i="3"/>
  <c r="F1564" i="3"/>
  <c r="E1564" i="3"/>
  <c r="F1563" i="3"/>
  <c r="E1563" i="3"/>
  <c r="F1562" i="3"/>
  <c r="E1562" i="3"/>
  <c r="F1561" i="3"/>
  <c r="E1561" i="3"/>
  <c r="F1560" i="3"/>
  <c r="E1560" i="3"/>
  <c r="F1559" i="3"/>
  <c r="E1559" i="3"/>
  <c r="F1558" i="3"/>
  <c r="E1558" i="3"/>
  <c r="F1557" i="3"/>
  <c r="E1557" i="3"/>
  <c r="F1556" i="3"/>
  <c r="E1556" i="3"/>
  <c r="F1555" i="3"/>
  <c r="E1555" i="3"/>
  <c r="F1554" i="3"/>
  <c r="E1554" i="3"/>
  <c r="F1553" i="3"/>
  <c r="E1553" i="3"/>
  <c r="F1552" i="3"/>
  <c r="E1552" i="3"/>
  <c r="F1551" i="3"/>
  <c r="E1551" i="3"/>
  <c r="F1550" i="3"/>
  <c r="E1550" i="3"/>
  <c r="F1549" i="3"/>
  <c r="E1549" i="3"/>
  <c r="F1548" i="3"/>
  <c r="E1548" i="3"/>
  <c r="F1547" i="3"/>
  <c r="E1547" i="3"/>
  <c r="F1546" i="3"/>
  <c r="E1546" i="3"/>
  <c r="F1545" i="3"/>
  <c r="E1545" i="3"/>
  <c r="F1544" i="3"/>
  <c r="E1544" i="3"/>
  <c r="F1543" i="3"/>
  <c r="E1543" i="3"/>
  <c r="F1542" i="3"/>
  <c r="E1542" i="3"/>
  <c r="F1541" i="3"/>
  <c r="E1541" i="3"/>
  <c r="F1540" i="3"/>
  <c r="E1540" i="3"/>
  <c r="F1539" i="3"/>
  <c r="E1539" i="3"/>
  <c r="F1538" i="3"/>
  <c r="E1538" i="3"/>
  <c r="F1537" i="3"/>
  <c r="E1537" i="3"/>
  <c r="F1536" i="3"/>
  <c r="E1536" i="3"/>
  <c r="F1535" i="3"/>
  <c r="E1535" i="3"/>
  <c r="F1534" i="3"/>
  <c r="E1534" i="3"/>
  <c r="F1533" i="3"/>
  <c r="E1533" i="3"/>
  <c r="F1532" i="3"/>
  <c r="E1532" i="3"/>
  <c r="F1531" i="3"/>
  <c r="E1531" i="3"/>
  <c r="F1530" i="3"/>
  <c r="E1530" i="3"/>
  <c r="F1529" i="3"/>
  <c r="E1529" i="3"/>
  <c r="F1528" i="3"/>
  <c r="E1528" i="3"/>
  <c r="F1527" i="3"/>
  <c r="E1527" i="3"/>
  <c r="F1526" i="3"/>
  <c r="E1526" i="3"/>
  <c r="F1525" i="3"/>
  <c r="E1525" i="3"/>
  <c r="F1524" i="3"/>
  <c r="E1524" i="3"/>
  <c r="F1523" i="3"/>
  <c r="E1523" i="3"/>
  <c r="F1522" i="3"/>
  <c r="E1522" i="3"/>
  <c r="F1521" i="3"/>
  <c r="E1521" i="3"/>
  <c r="F1520" i="3"/>
  <c r="E1520" i="3"/>
  <c r="F1519" i="3"/>
  <c r="E1519" i="3"/>
  <c r="F1518" i="3"/>
  <c r="E1518" i="3"/>
  <c r="F1517" i="3"/>
  <c r="E1517" i="3"/>
  <c r="F1516" i="3"/>
  <c r="E1516" i="3"/>
  <c r="F1515" i="3"/>
  <c r="E1515" i="3"/>
  <c r="F1514" i="3"/>
  <c r="E1514" i="3"/>
  <c r="F1513" i="3"/>
  <c r="E1513" i="3"/>
  <c r="F1512" i="3"/>
  <c r="E1512" i="3"/>
  <c r="F1511" i="3"/>
  <c r="E1511" i="3"/>
  <c r="F1510" i="3"/>
  <c r="E1510" i="3"/>
  <c r="F1509" i="3"/>
  <c r="E1509" i="3"/>
  <c r="F1508" i="3"/>
  <c r="E1508" i="3"/>
  <c r="F1507" i="3"/>
  <c r="E1507" i="3"/>
  <c r="F1506" i="3"/>
  <c r="E1506" i="3"/>
  <c r="F1505" i="3"/>
  <c r="E1505" i="3"/>
  <c r="F1504" i="3"/>
  <c r="E1504" i="3"/>
  <c r="F1503" i="3"/>
  <c r="E1503" i="3"/>
  <c r="F1502" i="3"/>
  <c r="E1502" i="3"/>
  <c r="F1501" i="3"/>
  <c r="E1501" i="3"/>
  <c r="F1500" i="3"/>
  <c r="E1500" i="3"/>
  <c r="F1499" i="3"/>
  <c r="E1499" i="3"/>
  <c r="F1498" i="3"/>
  <c r="E1498" i="3"/>
  <c r="F1497" i="3"/>
  <c r="E1497" i="3"/>
  <c r="F1496" i="3"/>
  <c r="E1496" i="3"/>
  <c r="F1495" i="3"/>
  <c r="E1495" i="3"/>
  <c r="F1494" i="3"/>
  <c r="E1494" i="3"/>
  <c r="F1493" i="3"/>
  <c r="E1493" i="3"/>
  <c r="F1492" i="3"/>
  <c r="E1492" i="3"/>
  <c r="F1491" i="3"/>
  <c r="E1491" i="3"/>
  <c r="F1490" i="3"/>
  <c r="E1490" i="3"/>
  <c r="F1489" i="3"/>
  <c r="E1489" i="3"/>
  <c r="F1488" i="3"/>
  <c r="E1488" i="3"/>
  <c r="F1487" i="3"/>
  <c r="E1487" i="3"/>
  <c r="F1486" i="3"/>
  <c r="E1486" i="3"/>
  <c r="F1485" i="3"/>
  <c r="E1485" i="3"/>
  <c r="F1484" i="3"/>
  <c r="E1484" i="3"/>
  <c r="F1483" i="3"/>
  <c r="E1483" i="3"/>
  <c r="F1482" i="3"/>
  <c r="E1482" i="3"/>
  <c r="F1481" i="3"/>
  <c r="E1481" i="3"/>
  <c r="F1480" i="3"/>
  <c r="E1480" i="3"/>
  <c r="F1479" i="3"/>
  <c r="E1479" i="3"/>
  <c r="F1478" i="3"/>
  <c r="E1478" i="3"/>
  <c r="F1477" i="3"/>
  <c r="E1477" i="3"/>
  <c r="F1476" i="3"/>
  <c r="E1476" i="3"/>
  <c r="F1475" i="3"/>
  <c r="E1475" i="3"/>
  <c r="F1474" i="3"/>
  <c r="E1474" i="3"/>
  <c r="F1473" i="3"/>
  <c r="E1473" i="3"/>
  <c r="F1472" i="3"/>
  <c r="E1472" i="3"/>
  <c r="F1471" i="3"/>
  <c r="E1471" i="3"/>
  <c r="F1470" i="3"/>
  <c r="E1470" i="3"/>
  <c r="F1469" i="3"/>
  <c r="E1469" i="3"/>
  <c r="F1468" i="3"/>
  <c r="E1468" i="3"/>
  <c r="F1467" i="3"/>
  <c r="E1467" i="3"/>
  <c r="F1466" i="3"/>
  <c r="E1466" i="3"/>
  <c r="F1465" i="3"/>
  <c r="E1465" i="3"/>
  <c r="F1464" i="3"/>
  <c r="E1464" i="3"/>
  <c r="F1463" i="3"/>
  <c r="E1463" i="3"/>
  <c r="F1462" i="3"/>
  <c r="E1462" i="3"/>
  <c r="F1461" i="3"/>
  <c r="E1461" i="3"/>
  <c r="F1460" i="3"/>
  <c r="E1460" i="3"/>
  <c r="F1459" i="3"/>
  <c r="E1459" i="3"/>
  <c r="F1458" i="3"/>
  <c r="E1458" i="3"/>
  <c r="F1457" i="3"/>
  <c r="E1457" i="3"/>
  <c r="F1456" i="3"/>
  <c r="E1456" i="3"/>
  <c r="F1455" i="3"/>
  <c r="E1455" i="3"/>
  <c r="F1454" i="3"/>
  <c r="E1454" i="3"/>
  <c r="F1453" i="3"/>
  <c r="E1453" i="3"/>
  <c r="F1452" i="3"/>
  <c r="E1452" i="3"/>
  <c r="F1451" i="3"/>
  <c r="E1451" i="3"/>
  <c r="F1450" i="3"/>
  <c r="E1450" i="3"/>
  <c r="F1449" i="3"/>
  <c r="E1449" i="3"/>
  <c r="F1448" i="3"/>
  <c r="E1448" i="3"/>
  <c r="F1447" i="3"/>
  <c r="E1447" i="3"/>
  <c r="F1446" i="3"/>
  <c r="E1446" i="3"/>
  <c r="F1445" i="3"/>
  <c r="E1445" i="3"/>
  <c r="F1444" i="3"/>
  <c r="E1444" i="3"/>
  <c r="F1443" i="3"/>
  <c r="E1443" i="3"/>
  <c r="F1442" i="3"/>
  <c r="E1442" i="3"/>
  <c r="F1441" i="3"/>
  <c r="E1441" i="3"/>
  <c r="F1440" i="3"/>
  <c r="E1440" i="3"/>
  <c r="F1439" i="3"/>
  <c r="E1439" i="3"/>
  <c r="F1438" i="3"/>
  <c r="E1438" i="3"/>
  <c r="F1437" i="3"/>
  <c r="E1437" i="3"/>
  <c r="F1436" i="3"/>
  <c r="E1436" i="3"/>
  <c r="F1435" i="3"/>
  <c r="E1435" i="3"/>
  <c r="F1434" i="3"/>
  <c r="E1434" i="3"/>
  <c r="F1433" i="3"/>
  <c r="E1433" i="3"/>
  <c r="F1432" i="3"/>
  <c r="E1432" i="3"/>
  <c r="F1431" i="3"/>
  <c r="E1431" i="3"/>
  <c r="F1430" i="3"/>
  <c r="E1430" i="3"/>
  <c r="F1429" i="3"/>
  <c r="E1429" i="3"/>
  <c r="F1428" i="3"/>
  <c r="E1428" i="3"/>
  <c r="F1427" i="3"/>
  <c r="E1427" i="3"/>
  <c r="F1426" i="3"/>
  <c r="E1426" i="3"/>
  <c r="F1425" i="3"/>
  <c r="E1425" i="3"/>
  <c r="F1424" i="3"/>
  <c r="E1424" i="3"/>
  <c r="F1423" i="3"/>
  <c r="E1423" i="3"/>
  <c r="F1422" i="3"/>
  <c r="E1422" i="3"/>
  <c r="F1421" i="3"/>
  <c r="E1421" i="3"/>
  <c r="F1420" i="3"/>
  <c r="E1420" i="3"/>
  <c r="F1419" i="3"/>
  <c r="E1419" i="3"/>
  <c r="F1418" i="3"/>
  <c r="E1418" i="3"/>
  <c r="F1417" i="3"/>
  <c r="E1417" i="3"/>
  <c r="F1416" i="3"/>
  <c r="E1416" i="3"/>
  <c r="F1415" i="3"/>
  <c r="E1415" i="3"/>
  <c r="F1414" i="3"/>
  <c r="E1414" i="3"/>
  <c r="F1413" i="3"/>
  <c r="E1413" i="3"/>
  <c r="F1412" i="3"/>
  <c r="E1412" i="3"/>
  <c r="F1411" i="3"/>
  <c r="E1411" i="3"/>
  <c r="F1410" i="3"/>
  <c r="E1410" i="3"/>
  <c r="F1409" i="3"/>
  <c r="E1409" i="3"/>
  <c r="F1408" i="3"/>
  <c r="E1408" i="3"/>
  <c r="F1407" i="3"/>
  <c r="E1407" i="3"/>
  <c r="F1406" i="3"/>
  <c r="E1406" i="3"/>
  <c r="F1405" i="3"/>
  <c r="E1405" i="3"/>
  <c r="F1404" i="3"/>
  <c r="E1404" i="3"/>
  <c r="F1403" i="3"/>
  <c r="E1403" i="3"/>
  <c r="F1402" i="3"/>
  <c r="E1402" i="3"/>
  <c r="F1401" i="3"/>
  <c r="E1401" i="3"/>
  <c r="F1400" i="3"/>
  <c r="E1400" i="3"/>
  <c r="F1399" i="3"/>
  <c r="E1399" i="3"/>
  <c r="F1398" i="3"/>
  <c r="E1398" i="3"/>
  <c r="F1397" i="3"/>
  <c r="E1397" i="3"/>
  <c r="F1396" i="3"/>
  <c r="E1396" i="3"/>
  <c r="F1395" i="3"/>
  <c r="E1395" i="3"/>
  <c r="F1394" i="3"/>
  <c r="E1394" i="3"/>
  <c r="F1393" i="3"/>
  <c r="E1393" i="3"/>
  <c r="F1392" i="3"/>
  <c r="E1392" i="3"/>
  <c r="F1391" i="3"/>
  <c r="E1391" i="3"/>
  <c r="F1390" i="3"/>
  <c r="E1390" i="3"/>
  <c r="F1389" i="3"/>
  <c r="E1389" i="3"/>
  <c r="F1388" i="3"/>
  <c r="E1388" i="3"/>
  <c r="F1387" i="3"/>
  <c r="E1387" i="3"/>
  <c r="F1386" i="3"/>
  <c r="E1386" i="3"/>
  <c r="F1385" i="3"/>
  <c r="E1385" i="3"/>
  <c r="F1384" i="3"/>
  <c r="E1384" i="3"/>
  <c r="F1383" i="3"/>
  <c r="E1383" i="3"/>
  <c r="F1382" i="3"/>
  <c r="E1382" i="3"/>
  <c r="F1381" i="3"/>
  <c r="E1381" i="3"/>
  <c r="F1380" i="3"/>
  <c r="E1380" i="3"/>
  <c r="F1379" i="3"/>
  <c r="E1379" i="3"/>
  <c r="F1378" i="3"/>
  <c r="E1378" i="3"/>
  <c r="F1377" i="3"/>
  <c r="E1377" i="3"/>
  <c r="F1376" i="3"/>
  <c r="E1376" i="3"/>
  <c r="F1375" i="3"/>
  <c r="E1375" i="3"/>
  <c r="F1374" i="3"/>
  <c r="E1374" i="3"/>
  <c r="F1373" i="3"/>
  <c r="E1373" i="3"/>
  <c r="F1372" i="3"/>
  <c r="E1372" i="3"/>
  <c r="F1371" i="3"/>
  <c r="E1371" i="3"/>
  <c r="F1370" i="3"/>
  <c r="E1370" i="3"/>
  <c r="F1369" i="3"/>
  <c r="E1369" i="3"/>
  <c r="F1368" i="3"/>
  <c r="E1368" i="3"/>
  <c r="F1367" i="3"/>
  <c r="E1367" i="3"/>
  <c r="F1366" i="3"/>
  <c r="E1366" i="3"/>
  <c r="F1365" i="3"/>
  <c r="E1365" i="3"/>
  <c r="F1364" i="3"/>
  <c r="E1364" i="3"/>
  <c r="F1363" i="3"/>
  <c r="E1363" i="3"/>
  <c r="F1362" i="3"/>
  <c r="E1362" i="3"/>
  <c r="F1361" i="3"/>
  <c r="E1361" i="3"/>
  <c r="F1360" i="3"/>
  <c r="E1360" i="3"/>
  <c r="F1359" i="3"/>
  <c r="E1359" i="3"/>
  <c r="F1358" i="3"/>
  <c r="E1358" i="3"/>
  <c r="F1357" i="3"/>
  <c r="E1357" i="3"/>
  <c r="F1356" i="3"/>
  <c r="E1356" i="3"/>
  <c r="F1355" i="3"/>
  <c r="E1355" i="3"/>
  <c r="F1354" i="3"/>
  <c r="E1354" i="3"/>
  <c r="F1353" i="3"/>
  <c r="E1353" i="3"/>
  <c r="F1352" i="3"/>
  <c r="E1352" i="3"/>
  <c r="F1351" i="3"/>
  <c r="E1351" i="3"/>
  <c r="F1350" i="3"/>
  <c r="E1350" i="3"/>
  <c r="F1349" i="3"/>
  <c r="E1349" i="3"/>
  <c r="F1348" i="3"/>
  <c r="E1348" i="3"/>
  <c r="F1347" i="3"/>
  <c r="E1347" i="3"/>
  <c r="F1346" i="3"/>
  <c r="E1346" i="3"/>
  <c r="F1345" i="3"/>
  <c r="E1345" i="3"/>
  <c r="F1344" i="3"/>
  <c r="E1344" i="3"/>
  <c r="F1343" i="3"/>
  <c r="E1343" i="3"/>
  <c r="F1342" i="3"/>
  <c r="E1342" i="3"/>
  <c r="F1341" i="3"/>
  <c r="E1341" i="3"/>
  <c r="F1340" i="3"/>
  <c r="E1340" i="3"/>
  <c r="F1339" i="3"/>
  <c r="E1339" i="3"/>
  <c r="F1338" i="3"/>
  <c r="E1338" i="3"/>
  <c r="F1337" i="3"/>
  <c r="E1337" i="3"/>
  <c r="F1336" i="3"/>
  <c r="E1336" i="3"/>
  <c r="F1335" i="3"/>
  <c r="E1335" i="3"/>
  <c r="F1334" i="3"/>
  <c r="E1334" i="3"/>
  <c r="F1333" i="3"/>
  <c r="E1333" i="3"/>
  <c r="F1332" i="3"/>
  <c r="E1332" i="3"/>
  <c r="F1331" i="3"/>
  <c r="E1331" i="3"/>
  <c r="F1330" i="3"/>
  <c r="E1330" i="3"/>
  <c r="F1329" i="3"/>
  <c r="E1329" i="3"/>
  <c r="F1328" i="3"/>
  <c r="E1328" i="3"/>
  <c r="F1327" i="3"/>
  <c r="E1327" i="3"/>
  <c r="F1326" i="3"/>
  <c r="E1326" i="3"/>
  <c r="F1325" i="3"/>
  <c r="E1325" i="3"/>
  <c r="F1324" i="3"/>
  <c r="E1324" i="3"/>
  <c r="F1323" i="3"/>
  <c r="E1323" i="3"/>
  <c r="F1322" i="3"/>
  <c r="E1322" i="3"/>
  <c r="F1321" i="3"/>
  <c r="E1321" i="3"/>
  <c r="F1320" i="3"/>
  <c r="E1320" i="3"/>
  <c r="F1319" i="3"/>
  <c r="E1319" i="3"/>
  <c r="F1318" i="3"/>
  <c r="E1318" i="3"/>
  <c r="F1317" i="3"/>
  <c r="E1317" i="3"/>
  <c r="F1316" i="3"/>
  <c r="E1316" i="3"/>
  <c r="F1315" i="3"/>
  <c r="E1315" i="3"/>
  <c r="F1314" i="3"/>
  <c r="E1314" i="3"/>
  <c r="F1313" i="3"/>
  <c r="E1313" i="3"/>
  <c r="F1312" i="3"/>
  <c r="E1312" i="3"/>
  <c r="F1311" i="3"/>
  <c r="E1311" i="3"/>
  <c r="F1310" i="3"/>
  <c r="E1310" i="3"/>
  <c r="F1309" i="3"/>
  <c r="E1309" i="3"/>
  <c r="F1308" i="3"/>
  <c r="E1308" i="3"/>
  <c r="F1307" i="3"/>
  <c r="E1307" i="3"/>
  <c r="F1306" i="3"/>
  <c r="E1306" i="3"/>
  <c r="F1305" i="3"/>
  <c r="E1305" i="3"/>
  <c r="F1304" i="3"/>
  <c r="E1304" i="3"/>
  <c r="F1303" i="3"/>
  <c r="E1303" i="3"/>
  <c r="F1302" i="3"/>
  <c r="E1302" i="3"/>
  <c r="F1301" i="3"/>
  <c r="E1301" i="3"/>
  <c r="F1300" i="3"/>
  <c r="E1300" i="3"/>
  <c r="F1299" i="3"/>
  <c r="E1299" i="3"/>
  <c r="F1298" i="3"/>
  <c r="E1298" i="3"/>
  <c r="F1297" i="3"/>
  <c r="E1297" i="3"/>
  <c r="F1296" i="3"/>
  <c r="E1296" i="3"/>
  <c r="F1295" i="3"/>
  <c r="E1295" i="3"/>
  <c r="F1294" i="3"/>
  <c r="E1294" i="3"/>
  <c r="F1293" i="3"/>
  <c r="E1293" i="3"/>
  <c r="F1292" i="3"/>
  <c r="E1292" i="3"/>
  <c r="F1291" i="3"/>
  <c r="E1291" i="3"/>
  <c r="F1290" i="3"/>
  <c r="E1290" i="3"/>
  <c r="F1289" i="3"/>
  <c r="E1289" i="3"/>
  <c r="F1288" i="3"/>
  <c r="E1288" i="3"/>
  <c r="F1287" i="3"/>
  <c r="E1287" i="3"/>
  <c r="F1286" i="3"/>
  <c r="E1286" i="3"/>
  <c r="F1285" i="3"/>
  <c r="E1285" i="3"/>
  <c r="F1284" i="3"/>
  <c r="E1284" i="3"/>
  <c r="F1283" i="3"/>
  <c r="E1283" i="3"/>
  <c r="F1282" i="3"/>
  <c r="E1282" i="3"/>
  <c r="F1281" i="3"/>
  <c r="E1281" i="3"/>
  <c r="F1280" i="3"/>
  <c r="E1280" i="3"/>
  <c r="F1279" i="3"/>
  <c r="E1279" i="3"/>
  <c r="F1278" i="3"/>
  <c r="E1278" i="3"/>
  <c r="F1277" i="3"/>
  <c r="E1277" i="3"/>
  <c r="F1276" i="3"/>
  <c r="E1276" i="3"/>
  <c r="F1275" i="3"/>
  <c r="E1275" i="3"/>
  <c r="F1274" i="3"/>
  <c r="E1274" i="3"/>
  <c r="F1273" i="3"/>
  <c r="E1273" i="3"/>
  <c r="F1272" i="3"/>
  <c r="E1272" i="3"/>
  <c r="F1271" i="3"/>
  <c r="E1271" i="3"/>
  <c r="F1270" i="3"/>
  <c r="E1270" i="3"/>
  <c r="F1269" i="3"/>
  <c r="E1269" i="3"/>
  <c r="F1268" i="3"/>
  <c r="E1268" i="3"/>
  <c r="F1267" i="3"/>
  <c r="E1267" i="3"/>
  <c r="F1266" i="3"/>
  <c r="E1266" i="3"/>
  <c r="F1265" i="3"/>
  <c r="E1265" i="3"/>
  <c r="F1264" i="3"/>
  <c r="E1264" i="3"/>
  <c r="F1263" i="3"/>
  <c r="E1263" i="3"/>
  <c r="F1262" i="3"/>
  <c r="E1262" i="3"/>
  <c r="F1261" i="3"/>
  <c r="E1261" i="3"/>
  <c r="F1260" i="3"/>
  <c r="E1260" i="3"/>
  <c r="F1259" i="3"/>
  <c r="E1259" i="3"/>
  <c r="F1258" i="3"/>
  <c r="E1258" i="3"/>
  <c r="F1257" i="3"/>
  <c r="E1257" i="3"/>
  <c r="F1256" i="3"/>
  <c r="E1256" i="3"/>
  <c r="F1255" i="3"/>
  <c r="E1255" i="3"/>
  <c r="F1254" i="3"/>
  <c r="E1254" i="3"/>
  <c r="F1253" i="3"/>
  <c r="E1253" i="3"/>
  <c r="F1252" i="3"/>
  <c r="E1252" i="3"/>
  <c r="F1251" i="3"/>
  <c r="E1251" i="3"/>
  <c r="F1250" i="3"/>
  <c r="E1250" i="3"/>
  <c r="F1249" i="3"/>
  <c r="E1249" i="3"/>
  <c r="F1248" i="3"/>
  <c r="E1248" i="3"/>
  <c r="F1247" i="3"/>
  <c r="E1247" i="3"/>
  <c r="F1246" i="3"/>
  <c r="E1246" i="3"/>
  <c r="F1245" i="3"/>
  <c r="E1245" i="3"/>
  <c r="F1244" i="3"/>
  <c r="E1244" i="3"/>
  <c r="F1243" i="3"/>
  <c r="E1243" i="3"/>
  <c r="F1242" i="3"/>
  <c r="E1242" i="3"/>
  <c r="F1241" i="3"/>
  <c r="E1241" i="3"/>
  <c r="F1240" i="3"/>
  <c r="E1240" i="3"/>
  <c r="F1239" i="3"/>
  <c r="E1239" i="3"/>
  <c r="F1238" i="3"/>
  <c r="E1238" i="3"/>
  <c r="F1237" i="3"/>
  <c r="E1237" i="3"/>
  <c r="F1236" i="3"/>
  <c r="E1236" i="3"/>
  <c r="F1235" i="3"/>
  <c r="E1235" i="3"/>
  <c r="F1234" i="3"/>
  <c r="E1234" i="3"/>
  <c r="F1233" i="3"/>
  <c r="E1233" i="3"/>
  <c r="F1232" i="3"/>
  <c r="E1232" i="3"/>
  <c r="F1231" i="3"/>
  <c r="E1231" i="3"/>
  <c r="F1230" i="3"/>
  <c r="E1230" i="3"/>
  <c r="F1229" i="3"/>
  <c r="E1229" i="3"/>
  <c r="F1228" i="3"/>
  <c r="E1228" i="3"/>
  <c r="F1227" i="3"/>
  <c r="E1227" i="3"/>
  <c r="F1226" i="3"/>
  <c r="E1226" i="3"/>
  <c r="F1225" i="3"/>
  <c r="E1225" i="3"/>
  <c r="F1224" i="3"/>
  <c r="E1224" i="3"/>
  <c r="F1223" i="3"/>
  <c r="E1223" i="3"/>
  <c r="F1222" i="3"/>
  <c r="E1222" i="3"/>
  <c r="F1221" i="3"/>
  <c r="E1221" i="3"/>
  <c r="F1220" i="3"/>
  <c r="E1220" i="3"/>
  <c r="F1219" i="3"/>
  <c r="E1219" i="3"/>
  <c r="F1218" i="3"/>
  <c r="E1218" i="3"/>
  <c r="F1217" i="3"/>
  <c r="E1217" i="3"/>
  <c r="F1216" i="3"/>
  <c r="E1216" i="3"/>
  <c r="F1215" i="3"/>
  <c r="E1215" i="3"/>
  <c r="F1214" i="3"/>
  <c r="E1214" i="3"/>
  <c r="F1213" i="3"/>
  <c r="E1213" i="3"/>
  <c r="F1212" i="3"/>
  <c r="E1212" i="3"/>
  <c r="F1211" i="3"/>
  <c r="E1211" i="3"/>
  <c r="F1210" i="3"/>
  <c r="E1210" i="3"/>
  <c r="F1209" i="3"/>
  <c r="E1209" i="3"/>
  <c r="F1208" i="3"/>
  <c r="E1208" i="3"/>
  <c r="F1207" i="3"/>
  <c r="E1207" i="3"/>
  <c r="F1206" i="3"/>
  <c r="E1206" i="3"/>
  <c r="F1205" i="3"/>
  <c r="E1205" i="3"/>
  <c r="F1204" i="3"/>
  <c r="E1204" i="3"/>
  <c r="F1203" i="3"/>
  <c r="E1203" i="3"/>
  <c r="F1202" i="3"/>
  <c r="E1202" i="3"/>
  <c r="F1201" i="3"/>
  <c r="E1201" i="3"/>
  <c r="F1200" i="3"/>
  <c r="E1200" i="3"/>
  <c r="F1199" i="3"/>
  <c r="E1199" i="3"/>
  <c r="F1198" i="3"/>
  <c r="E1198" i="3"/>
  <c r="F1197" i="3"/>
  <c r="E1197" i="3"/>
  <c r="F1196" i="3"/>
  <c r="E1196" i="3"/>
  <c r="F1195" i="3"/>
  <c r="E1195" i="3"/>
  <c r="F1194" i="3"/>
  <c r="E1194" i="3"/>
  <c r="F1193" i="3"/>
  <c r="E1193" i="3"/>
  <c r="F1192" i="3"/>
  <c r="E1192" i="3"/>
  <c r="F1191" i="3"/>
  <c r="E1191" i="3"/>
  <c r="F1190" i="3"/>
  <c r="E1190" i="3"/>
  <c r="F1189" i="3"/>
  <c r="E1189" i="3"/>
  <c r="F1188" i="3"/>
  <c r="E1188" i="3"/>
  <c r="F1187" i="3"/>
  <c r="E1187" i="3"/>
  <c r="F1186" i="3"/>
  <c r="E1186" i="3"/>
  <c r="F1185" i="3"/>
  <c r="E1185" i="3"/>
  <c r="F1184" i="3"/>
  <c r="E1184" i="3"/>
  <c r="F1183" i="3"/>
  <c r="E1183" i="3"/>
  <c r="F1182" i="3"/>
  <c r="E1182" i="3"/>
  <c r="F1181" i="3"/>
  <c r="E1181" i="3"/>
  <c r="F1180" i="3"/>
  <c r="E1180" i="3"/>
  <c r="F1179" i="3"/>
  <c r="E1179" i="3"/>
  <c r="F1178" i="3"/>
  <c r="E1178" i="3"/>
  <c r="F1177" i="3"/>
  <c r="E1177" i="3"/>
  <c r="F1176" i="3"/>
  <c r="E1176" i="3"/>
  <c r="F1175" i="3"/>
  <c r="E1175" i="3"/>
  <c r="F1174" i="3"/>
  <c r="E1174" i="3"/>
  <c r="F1173" i="3"/>
  <c r="E1173" i="3"/>
  <c r="F1172" i="3"/>
  <c r="E1172" i="3"/>
  <c r="F1171" i="3"/>
  <c r="E1171" i="3"/>
  <c r="F1170" i="3"/>
  <c r="E1170" i="3"/>
  <c r="F1169" i="3"/>
  <c r="E1169" i="3"/>
  <c r="F1168" i="3"/>
  <c r="E1168" i="3"/>
  <c r="F1167" i="3"/>
  <c r="E1167" i="3"/>
  <c r="F1166" i="3"/>
  <c r="E1166" i="3"/>
  <c r="F1165" i="3"/>
  <c r="E1165" i="3"/>
  <c r="F1164" i="3"/>
  <c r="E1164" i="3"/>
  <c r="F1163" i="3"/>
  <c r="E1163" i="3"/>
  <c r="F1162" i="3"/>
  <c r="E1162" i="3"/>
  <c r="F1161" i="3"/>
  <c r="E1161" i="3"/>
  <c r="F1160" i="3"/>
  <c r="E1160" i="3"/>
  <c r="F1159" i="3"/>
  <c r="E1159" i="3"/>
  <c r="F1158" i="3"/>
  <c r="E1158" i="3"/>
  <c r="F1157" i="3"/>
  <c r="E1157" i="3"/>
  <c r="F1156" i="3"/>
  <c r="E1156" i="3"/>
  <c r="F1155" i="3"/>
  <c r="E1155" i="3"/>
  <c r="F1154" i="3"/>
  <c r="E1154" i="3"/>
  <c r="F1153" i="3"/>
  <c r="E1153" i="3"/>
  <c r="F1152" i="3"/>
  <c r="E1152" i="3"/>
  <c r="F1151" i="3"/>
  <c r="E1151" i="3"/>
  <c r="F1150" i="3"/>
  <c r="E1150" i="3"/>
  <c r="F1149" i="3"/>
  <c r="E1149" i="3"/>
  <c r="F1148" i="3"/>
  <c r="E1148" i="3"/>
  <c r="F1147" i="3"/>
  <c r="E1147" i="3"/>
  <c r="F1146" i="3"/>
  <c r="E1146" i="3"/>
  <c r="F1145" i="3"/>
  <c r="E1145" i="3"/>
  <c r="F1144" i="3"/>
  <c r="E1144" i="3"/>
  <c r="F1143" i="3"/>
  <c r="E1143" i="3"/>
  <c r="F1142" i="3"/>
  <c r="E1142" i="3"/>
  <c r="F1141" i="3"/>
  <c r="E1141" i="3"/>
  <c r="F1140" i="3"/>
  <c r="E1140" i="3"/>
  <c r="F1139" i="3"/>
  <c r="E1139" i="3"/>
  <c r="F1138" i="3"/>
  <c r="E1138" i="3"/>
  <c r="F1137" i="3"/>
  <c r="E1137" i="3"/>
  <c r="F1136" i="3"/>
  <c r="E1136" i="3"/>
  <c r="F1135" i="3"/>
  <c r="E1135" i="3"/>
  <c r="F1134" i="3"/>
  <c r="E1134" i="3"/>
  <c r="F1133" i="3"/>
  <c r="E1133" i="3"/>
  <c r="F1132" i="3"/>
  <c r="E1132" i="3"/>
  <c r="F1131" i="3"/>
  <c r="E1131" i="3"/>
  <c r="F1130" i="3"/>
  <c r="E1130" i="3"/>
  <c r="F1129" i="3"/>
  <c r="E1129" i="3"/>
  <c r="F1128" i="3"/>
  <c r="E1128" i="3"/>
  <c r="F1127" i="3"/>
  <c r="E1127" i="3"/>
  <c r="F1126" i="3"/>
  <c r="E1126" i="3"/>
  <c r="F1125" i="3"/>
  <c r="E1125" i="3"/>
  <c r="F1124" i="3"/>
  <c r="E1124" i="3"/>
  <c r="F1123" i="3"/>
  <c r="E1123" i="3"/>
  <c r="F1122" i="3"/>
  <c r="E1122" i="3"/>
  <c r="F1121" i="3"/>
  <c r="E1121" i="3"/>
  <c r="F1120" i="3"/>
  <c r="E1120" i="3"/>
  <c r="F1119" i="3"/>
  <c r="E1119" i="3"/>
  <c r="F1118" i="3"/>
  <c r="E1118" i="3"/>
  <c r="F1117" i="3"/>
  <c r="E1117" i="3"/>
  <c r="F1116" i="3"/>
  <c r="E1116" i="3"/>
  <c r="F1115" i="3"/>
  <c r="E1115" i="3"/>
  <c r="F1114" i="3"/>
  <c r="E1114" i="3"/>
  <c r="F1113" i="3"/>
  <c r="E1113" i="3"/>
  <c r="F1112" i="3"/>
  <c r="E1112" i="3"/>
  <c r="F1111" i="3"/>
  <c r="E1111" i="3"/>
  <c r="F1110" i="3"/>
  <c r="E1110" i="3"/>
  <c r="F1109" i="3"/>
  <c r="E1109" i="3"/>
  <c r="F1108" i="3"/>
  <c r="E1108" i="3"/>
  <c r="F1107" i="3"/>
  <c r="E1107" i="3"/>
  <c r="F1106" i="3"/>
  <c r="E1106" i="3"/>
  <c r="F1105" i="3"/>
  <c r="E1105" i="3"/>
  <c r="F1104" i="3"/>
  <c r="E1104" i="3"/>
  <c r="F1103" i="3"/>
  <c r="E1103" i="3"/>
  <c r="F1102" i="3"/>
  <c r="E1102" i="3"/>
  <c r="F1101" i="3"/>
  <c r="E1101" i="3"/>
  <c r="F1100" i="3"/>
  <c r="E1100" i="3"/>
  <c r="F1099" i="3"/>
  <c r="E1099" i="3"/>
  <c r="F1098" i="3"/>
  <c r="E1098" i="3"/>
  <c r="F1097" i="3"/>
  <c r="E1097" i="3"/>
  <c r="F1096" i="3"/>
  <c r="E1096" i="3"/>
  <c r="F1095" i="3"/>
  <c r="E1095" i="3"/>
  <c r="F1094" i="3"/>
  <c r="E1094" i="3"/>
  <c r="F1093" i="3"/>
  <c r="E1093" i="3"/>
  <c r="F1092" i="3"/>
  <c r="E1092" i="3"/>
  <c r="F1091" i="3"/>
  <c r="E1091" i="3"/>
  <c r="F1090" i="3"/>
  <c r="E1090" i="3"/>
  <c r="F1089" i="3"/>
  <c r="E1089" i="3"/>
  <c r="F1088" i="3"/>
  <c r="E1088" i="3"/>
  <c r="F1087" i="3"/>
  <c r="E1087" i="3"/>
  <c r="F1086" i="3"/>
  <c r="E1086" i="3"/>
  <c r="F1085" i="3"/>
  <c r="E1085" i="3"/>
  <c r="F1084" i="3"/>
  <c r="E1084" i="3"/>
  <c r="F1083" i="3"/>
  <c r="E1083" i="3"/>
  <c r="F1082" i="3"/>
  <c r="E1082" i="3"/>
  <c r="F1081" i="3"/>
  <c r="E1081" i="3"/>
  <c r="F1080" i="3"/>
  <c r="E1080" i="3"/>
  <c r="F1079" i="3"/>
  <c r="E1079" i="3"/>
  <c r="F1078" i="3"/>
  <c r="E1078" i="3"/>
  <c r="F1077" i="3"/>
  <c r="E1077" i="3"/>
  <c r="F1076" i="3"/>
  <c r="E1076" i="3"/>
  <c r="F1075" i="3"/>
  <c r="E1075" i="3"/>
  <c r="F1074" i="3"/>
  <c r="E1074" i="3"/>
  <c r="F1073" i="3"/>
  <c r="E1073" i="3"/>
  <c r="F1072" i="3"/>
  <c r="E1072" i="3"/>
  <c r="F1071" i="3"/>
  <c r="E1071" i="3"/>
  <c r="F1070" i="3"/>
  <c r="E1070" i="3"/>
  <c r="F1069" i="3"/>
  <c r="E1069" i="3"/>
  <c r="F1068" i="3"/>
  <c r="E1068" i="3"/>
  <c r="F1067" i="3"/>
  <c r="E1067" i="3"/>
  <c r="F1066" i="3"/>
  <c r="E1066" i="3"/>
  <c r="F1065" i="3"/>
  <c r="E1065" i="3"/>
  <c r="F1064" i="3"/>
  <c r="E1064" i="3"/>
  <c r="F1063" i="3"/>
  <c r="E1063" i="3"/>
  <c r="F1062" i="3"/>
  <c r="E1062" i="3"/>
  <c r="F1061" i="3"/>
  <c r="E1061" i="3"/>
  <c r="F1060" i="3"/>
  <c r="E1060" i="3"/>
  <c r="F1059" i="3"/>
  <c r="E1059" i="3"/>
  <c r="F1058" i="3"/>
  <c r="E1058" i="3"/>
  <c r="F1057" i="3"/>
  <c r="E1057" i="3"/>
  <c r="F1056" i="3"/>
  <c r="E1056" i="3"/>
  <c r="F1055" i="3"/>
  <c r="E1055" i="3"/>
  <c r="F1054" i="3"/>
  <c r="E1054" i="3"/>
  <c r="F1053" i="3"/>
  <c r="E1053" i="3"/>
  <c r="F1052" i="3"/>
  <c r="E1052" i="3"/>
  <c r="F1051" i="3"/>
  <c r="E1051" i="3"/>
  <c r="F1050" i="3"/>
  <c r="E1050" i="3"/>
  <c r="F1049" i="3"/>
  <c r="E1049" i="3"/>
  <c r="F1048" i="3"/>
  <c r="E1048" i="3"/>
  <c r="F1047" i="3"/>
  <c r="E1047" i="3"/>
  <c r="F1046" i="3"/>
  <c r="E1046" i="3"/>
  <c r="F1045" i="3"/>
  <c r="E1045" i="3"/>
  <c r="F1044" i="3"/>
  <c r="E1044" i="3"/>
  <c r="F1043" i="3"/>
  <c r="E1043" i="3"/>
  <c r="F1042" i="3"/>
  <c r="E1042" i="3"/>
  <c r="F1041" i="3"/>
  <c r="E1041" i="3"/>
  <c r="F1040" i="3"/>
  <c r="E1040" i="3"/>
  <c r="F1039" i="3"/>
  <c r="E1039" i="3"/>
  <c r="F1038" i="3"/>
  <c r="E1038" i="3"/>
  <c r="F1037" i="3"/>
  <c r="E1037" i="3"/>
  <c r="F1036" i="3"/>
  <c r="E1036" i="3"/>
  <c r="F1035" i="3"/>
  <c r="E1035" i="3"/>
  <c r="F1034" i="3"/>
  <c r="E1034" i="3"/>
  <c r="F1033" i="3"/>
  <c r="E1033" i="3"/>
  <c r="F1032" i="3"/>
  <c r="E1032" i="3"/>
  <c r="F1031" i="3"/>
  <c r="E1031" i="3"/>
  <c r="F1030" i="3"/>
  <c r="E1030" i="3"/>
  <c r="F1029" i="3"/>
  <c r="E1029" i="3"/>
  <c r="F1028" i="3"/>
  <c r="E1028" i="3"/>
  <c r="F1027" i="3"/>
  <c r="E1027" i="3"/>
  <c r="F1026" i="3"/>
  <c r="E1026" i="3"/>
  <c r="F1025" i="3"/>
  <c r="E1025" i="3"/>
  <c r="F1024" i="3"/>
  <c r="E1024" i="3"/>
  <c r="F1023" i="3"/>
  <c r="E1023" i="3"/>
  <c r="F1022" i="3"/>
  <c r="E1022" i="3"/>
  <c r="F1021" i="3"/>
  <c r="E1021" i="3"/>
  <c r="F1020" i="3"/>
  <c r="E1020" i="3"/>
  <c r="F1019" i="3"/>
  <c r="E1019" i="3"/>
  <c r="F1018" i="3"/>
  <c r="E1018" i="3"/>
  <c r="F1017" i="3"/>
  <c r="E1017" i="3"/>
  <c r="F1016" i="3"/>
  <c r="E1016" i="3"/>
  <c r="F1015" i="3"/>
  <c r="E1015" i="3"/>
  <c r="F1014" i="3"/>
  <c r="E1014" i="3"/>
  <c r="F1013" i="3"/>
  <c r="E1013" i="3"/>
  <c r="F1012" i="3"/>
  <c r="E1012" i="3"/>
  <c r="F1011" i="3"/>
  <c r="E1011" i="3"/>
  <c r="F1010" i="3"/>
  <c r="E1010" i="3"/>
  <c r="F1009" i="3"/>
  <c r="E1009" i="3"/>
  <c r="F1008" i="3"/>
  <c r="E1008" i="3"/>
  <c r="F1007" i="3"/>
  <c r="E1007" i="3"/>
  <c r="F1006" i="3"/>
  <c r="E1006" i="3"/>
  <c r="F1005" i="3"/>
  <c r="E1005" i="3"/>
  <c r="F1004" i="3"/>
  <c r="E1004" i="3"/>
  <c r="F1003" i="3"/>
  <c r="E1003" i="3"/>
  <c r="F1002" i="3"/>
  <c r="E1002" i="3"/>
  <c r="F1001" i="3"/>
  <c r="E1001" i="3"/>
  <c r="F1000" i="3"/>
  <c r="E1000" i="3"/>
  <c r="F999" i="3"/>
  <c r="E999" i="3"/>
  <c r="F998" i="3"/>
  <c r="E998" i="3"/>
  <c r="F997" i="3"/>
  <c r="E997" i="3"/>
  <c r="F996" i="3"/>
  <c r="E996" i="3"/>
  <c r="F995" i="3"/>
  <c r="E995" i="3"/>
  <c r="F994" i="3"/>
  <c r="E994" i="3"/>
  <c r="F993" i="3"/>
  <c r="E993" i="3"/>
  <c r="F992" i="3"/>
  <c r="E992" i="3"/>
  <c r="F991" i="3"/>
  <c r="E991" i="3"/>
  <c r="F990" i="3"/>
  <c r="E990" i="3"/>
  <c r="F989" i="3"/>
  <c r="E989" i="3"/>
  <c r="F988" i="3"/>
  <c r="E988" i="3"/>
  <c r="F987" i="3"/>
  <c r="E987" i="3"/>
  <c r="F986" i="3"/>
  <c r="E986" i="3"/>
  <c r="F985" i="3"/>
  <c r="E985" i="3"/>
  <c r="F984" i="3"/>
  <c r="E984" i="3"/>
  <c r="F983" i="3"/>
  <c r="E983" i="3"/>
  <c r="F982" i="3"/>
  <c r="E982" i="3"/>
  <c r="F981" i="3"/>
  <c r="E981" i="3"/>
  <c r="F980" i="3"/>
  <c r="E980" i="3"/>
  <c r="F979" i="3"/>
  <c r="E979" i="3"/>
  <c r="F978" i="3"/>
  <c r="E978" i="3"/>
  <c r="F977" i="3"/>
  <c r="E977" i="3"/>
  <c r="F976" i="3"/>
  <c r="E976" i="3"/>
  <c r="F975" i="3"/>
  <c r="E975" i="3"/>
  <c r="F974" i="3"/>
  <c r="E974" i="3"/>
  <c r="F973" i="3"/>
  <c r="E973" i="3"/>
  <c r="F972" i="3"/>
  <c r="E972" i="3"/>
  <c r="F971" i="3"/>
  <c r="E971" i="3"/>
  <c r="F970" i="3"/>
  <c r="E970" i="3"/>
  <c r="F969" i="3"/>
  <c r="E969" i="3"/>
  <c r="F968" i="3"/>
  <c r="E968" i="3"/>
  <c r="F967" i="3"/>
  <c r="E967" i="3"/>
  <c r="F966" i="3"/>
  <c r="E966" i="3"/>
  <c r="F965" i="3"/>
  <c r="E965" i="3"/>
  <c r="F964" i="3"/>
  <c r="E964" i="3"/>
  <c r="F963" i="3"/>
  <c r="E963" i="3"/>
  <c r="F962" i="3"/>
  <c r="E962" i="3"/>
  <c r="F961" i="3"/>
  <c r="E961" i="3"/>
  <c r="F960" i="3"/>
  <c r="E960" i="3"/>
  <c r="F959" i="3"/>
  <c r="E959" i="3"/>
  <c r="F958" i="3"/>
  <c r="E958" i="3"/>
  <c r="F957" i="3"/>
  <c r="E957" i="3"/>
  <c r="F956" i="3"/>
  <c r="E956" i="3"/>
  <c r="F955" i="3"/>
  <c r="E955" i="3"/>
  <c r="F954" i="3"/>
  <c r="E954" i="3"/>
  <c r="F953" i="3"/>
  <c r="E953" i="3"/>
  <c r="F952" i="3"/>
  <c r="E952" i="3"/>
  <c r="F951" i="3"/>
  <c r="E951" i="3"/>
  <c r="F950" i="3"/>
  <c r="E950" i="3"/>
  <c r="F949" i="3"/>
  <c r="E949" i="3"/>
  <c r="F948" i="3"/>
  <c r="E948" i="3"/>
  <c r="F947" i="3"/>
  <c r="E947" i="3"/>
  <c r="F946" i="3"/>
  <c r="E946" i="3"/>
  <c r="F945" i="3"/>
  <c r="E945" i="3"/>
  <c r="F944" i="3"/>
  <c r="E944" i="3"/>
  <c r="F943" i="3"/>
  <c r="E943" i="3"/>
  <c r="F942" i="3"/>
  <c r="E942" i="3"/>
  <c r="F941" i="3"/>
  <c r="E941" i="3"/>
  <c r="F940" i="3"/>
  <c r="E940" i="3"/>
  <c r="F939" i="3"/>
  <c r="E939" i="3"/>
  <c r="F938" i="3"/>
  <c r="E938" i="3"/>
  <c r="F937" i="3"/>
  <c r="E937" i="3"/>
  <c r="F936" i="3"/>
  <c r="E936" i="3"/>
  <c r="F935" i="3"/>
  <c r="E935" i="3"/>
  <c r="F934" i="3"/>
  <c r="E934" i="3"/>
  <c r="F933" i="3"/>
  <c r="E933" i="3"/>
  <c r="F932" i="3"/>
  <c r="E932" i="3"/>
  <c r="F931" i="3"/>
  <c r="E931" i="3"/>
  <c r="F930" i="3"/>
  <c r="E930" i="3"/>
  <c r="F929" i="3"/>
  <c r="E929" i="3"/>
  <c r="F928" i="3"/>
  <c r="E928" i="3"/>
  <c r="F927" i="3"/>
  <c r="E927" i="3"/>
  <c r="F926" i="3"/>
  <c r="E926" i="3"/>
  <c r="F925" i="3"/>
  <c r="E925" i="3"/>
  <c r="F924" i="3"/>
  <c r="E924" i="3"/>
  <c r="F923" i="3"/>
  <c r="E923" i="3"/>
  <c r="F922" i="3"/>
  <c r="E922" i="3"/>
  <c r="F921" i="3"/>
  <c r="E921" i="3"/>
  <c r="F920" i="3"/>
  <c r="E920" i="3"/>
  <c r="F919" i="3"/>
  <c r="E919" i="3"/>
  <c r="F918" i="3"/>
  <c r="E918" i="3"/>
  <c r="F917" i="3"/>
  <c r="E917" i="3"/>
  <c r="F916" i="3"/>
  <c r="E916" i="3"/>
  <c r="F915" i="3"/>
  <c r="E915" i="3"/>
  <c r="F914" i="3"/>
  <c r="E914" i="3"/>
  <c r="F913" i="3"/>
  <c r="E913" i="3"/>
  <c r="F912" i="3"/>
  <c r="E912" i="3"/>
  <c r="F911" i="3"/>
  <c r="E911" i="3"/>
  <c r="F910" i="3"/>
  <c r="E910" i="3"/>
  <c r="F909" i="3"/>
  <c r="E909" i="3"/>
  <c r="F908" i="3"/>
  <c r="E908" i="3"/>
  <c r="F907" i="3"/>
  <c r="E907" i="3"/>
  <c r="F906" i="3"/>
  <c r="E906" i="3"/>
  <c r="F905" i="3"/>
  <c r="E905" i="3"/>
  <c r="F904" i="3"/>
  <c r="E904" i="3"/>
  <c r="F903" i="3"/>
  <c r="E903" i="3"/>
  <c r="F902" i="3"/>
  <c r="E902" i="3"/>
  <c r="F901" i="3"/>
  <c r="E901" i="3"/>
  <c r="F900" i="3"/>
  <c r="E900" i="3"/>
  <c r="F899" i="3"/>
  <c r="E899" i="3"/>
  <c r="F898" i="3"/>
  <c r="E898" i="3"/>
  <c r="F897" i="3"/>
  <c r="E897" i="3"/>
  <c r="F896" i="3"/>
  <c r="E896" i="3"/>
  <c r="F895" i="3"/>
  <c r="E895" i="3"/>
  <c r="F894" i="3"/>
  <c r="E894" i="3"/>
  <c r="F893" i="3"/>
  <c r="E893" i="3"/>
  <c r="F892" i="3"/>
  <c r="E892" i="3"/>
  <c r="F891" i="3"/>
  <c r="E891" i="3"/>
  <c r="F890" i="3"/>
  <c r="E890" i="3"/>
  <c r="F889" i="3"/>
  <c r="E889" i="3"/>
  <c r="F888" i="3"/>
  <c r="E888" i="3"/>
  <c r="F887" i="3"/>
  <c r="E887" i="3"/>
  <c r="F886" i="3"/>
  <c r="E886" i="3"/>
  <c r="F885" i="3"/>
  <c r="E885" i="3"/>
  <c r="F884" i="3"/>
  <c r="E884" i="3"/>
  <c r="F883" i="3"/>
  <c r="E883" i="3"/>
  <c r="F882" i="3"/>
  <c r="E882" i="3"/>
  <c r="F881" i="3"/>
  <c r="E881" i="3"/>
  <c r="F880" i="3"/>
  <c r="E880" i="3"/>
  <c r="F879" i="3"/>
  <c r="E879" i="3"/>
  <c r="F878" i="3"/>
  <c r="E878" i="3"/>
  <c r="F877" i="3"/>
  <c r="E877" i="3"/>
  <c r="F876" i="3"/>
  <c r="E876" i="3"/>
  <c r="F875" i="3"/>
  <c r="E875" i="3"/>
  <c r="F874" i="3"/>
  <c r="E874" i="3"/>
  <c r="F873" i="3"/>
  <c r="E873" i="3"/>
  <c r="F872" i="3"/>
  <c r="E872" i="3"/>
  <c r="F871" i="3"/>
  <c r="E871" i="3"/>
  <c r="F870" i="3"/>
  <c r="E870" i="3"/>
  <c r="F869" i="3"/>
  <c r="E869" i="3"/>
  <c r="F868" i="3"/>
  <c r="E868" i="3"/>
  <c r="F867" i="3"/>
  <c r="E867" i="3"/>
  <c r="F866" i="3"/>
  <c r="E866" i="3"/>
  <c r="F865" i="3"/>
  <c r="E865" i="3"/>
  <c r="F864" i="3"/>
  <c r="E864" i="3"/>
  <c r="F863" i="3"/>
  <c r="E863" i="3"/>
  <c r="F862" i="3"/>
  <c r="E862" i="3"/>
  <c r="F861" i="3"/>
  <c r="E861" i="3"/>
  <c r="F860" i="3"/>
  <c r="E860" i="3"/>
  <c r="F859" i="3"/>
  <c r="E859" i="3"/>
  <c r="F858" i="3"/>
  <c r="E858" i="3"/>
  <c r="F857" i="3"/>
  <c r="E857" i="3"/>
  <c r="F856" i="3"/>
  <c r="E856" i="3"/>
  <c r="F855" i="3"/>
  <c r="E855" i="3"/>
  <c r="F854" i="3"/>
  <c r="E854" i="3"/>
  <c r="F853" i="3"/>
  <c r="E853" i="3"/>
  <c r="F852" i="3"/>
  <c r="E852" i="3"/>
  <c r="F851" i="3"/>
  <c r="E851" i="3"/>
  <c r="F850" i="3"/>
  <c r="E850" i="3"/>
  <c r="F849" i="3"/>
  <c r="E849" i="3"/>
  <c r="F848" i="3"/>
  <c r="E848" i="3"/>
  <c r="F847" i="3"/>
  <c r="E847" i="3"/>
  <c r="F846" i="3"/>
  <c r="E846" i="3"/>
  <c r="F845" i="3"/>
  <c r="E845" i="3"/>
  <c r="F844" i="3"/>
  <c r="E844" i="3"/>
  <c r="F843" i="3"/>
  <c r="E843" i="3"/>
  <c r="F842" i="3"/>
  <c r="E842" i="3"/>
  <c r="F841" i="3"/>
  <c r="E841" i="3"/>
  <c r="F840" i="3"/>
  <c r="E840" i="3"/>
  <c r="F839" i="3"/>
  <c r="E839" i="3"/>
  <c r="F838" i="3"/>
  <c r="E838" i="3"/>
  <c r="F837" i="3"/>
  <c r="E837" i="3"/>
  <c r="F836" i="3"/>
  <c r="E836" i="3"/>
  <c r="F835" i="3"/>
  <c r="E835" i="3"/>
  <c r="F834" i="3"/>
  <c r="E834" i="3"/>
  <c r="F833" i="3"/>
  <c r="E833" i="3"/>
  <c r="F832" i="3"/>
  <c r="E832" i="3"/>
  <c r="F831" i="3"/>
  <c r="E831" i="3"/>
  <c r="F830" i="3"/>
  <c r="E830" i="3"/>
  <c r="F829" i="3"/>
  <c r="E829" i="3"/>
  <c r="F828" i="3"/>
  <c r="E828" i="3"/>
  <c r="F827" i="3"/>
  <c r="E827" i="3"/>
  <c r="F826" i="3"/>
  <c r="E826" i="3"/>
  <c r="F825" i="3"/>
  <c r="E825" i="3"/>
  <c r="F824" i="3"/>
  <c r="E824" i="3"/>
  <c r="F823" i="3"/>
  <c r="E823" i="3"/>
  <c r="F822" i="3"/>
  <c r="E822" i="3"/>
  <c r="F821" i="3"/>
  <c r="E821" i="3"/>
  <c r="F820" i="3"/>
  <c r="E820" i="3"/>
  <c r="F819" i="3"/>
  <c r="E819" i="3"/>
  <c r="F818" i="3"/>
  <c r="E818" i="3"/>
  <c r="F817" i="3"/>
  <c r="E817" i="3"/>
  <c r="F816" i="3"/>
  <c r="E816" i="3"/>
  <c r="F815" i="3"/>
  <c r="E815" i="3"/>
  <c r="F814" i="3"/>
  <c r="E814" i="3"/>
  <c r="F813" i="3"/>
  <c r="E813" i="3"/>
  <c r="F812" i="3"/>
  <c r="E812" i="3"/>
  <c r="F811" i="3"/>
  <c r="E811" i="3"/>
  <c r="F810" i="3"/>
  <c r="E810" i="3"/>
  <c r="F809" i="3"/>
  <c r="E809" i="3"/>
  <c r="F808" i="3"/>
  <c r="E808" i="3"/>
  <c r="F807" i="3"/>
  <c r="E807" i="3"/>
  <c r="F806" i="3"/>
  <c r="E806" i="3"/>
  <c r="F805" i="3"/>
  <c r="E805" i="3"/>
  <c r="F804" i="3"/>
  <c r="E804" i="3"/>
  <c r="F803" i="3"/>
  <c r="E803" i="3"/>
  <c r="F802" i="3"/>
  <c r="E802" i="3"/>
  <c r="F801" i="3"/>
  <c r="E801" i="3"/>
  <c r="F800" i="3"/>
  <c r="E800" i="3"/>
  <c r="F799" i="3"/>
  <c r="E799" i="3"/>
  <c r="F798" i="3"/>
  <c r="E798" i="3"/>
  <c r="F797" i="3"/>
  <c r="E797" i="3"/>
  <c r="F796" i="3"/>
  <c r="E796" i="3"/>
  <c r="F795" i="3"/>
  <c r="E795" i="3"/>
  <c r="F794" i="3"/>
  <c r="E794" i="3"/>
  <c r="F793" i="3"/>
  <c r="E793" i="3"/>
  <c r="F792" i="3"/>
  <c r="E792" i="3"/>
  <c r="F791" i="3"/>
  <c r="E791" i="3"/>
  <c r="F790" i="3"/>
  <c r="E790" i="3"/>
  <c r="F789" i="3"/>
  <c r="E789" i="3"/>
  <c r="F788" i="3"/>
  <c r="E788" i="3"/>
  <c r="F787" i="3"/>
  <c r="E787" i="3"/>
  <c r="F786" i="3"/>
  <c r="E786" i="3"/>
  <c r="F785" i="3"/>
  <c r="E785" i="3"/>
  <c r="F784" i="3"/>
  <c r="E784" i="3"/>
  <c r="F783" i="3"/>
  <c r="E783" i="3"/>
  <c r="F782" i="3"/>
  <c r="E782" i="3"/>
  <c r="F781" i="3"/>
  <c r="E781" i="3"/>
  <c r="F780" i="3"/>
  <c r="E780" i="3"/>
  <c r="F779" i="3"/>
  <c r="E779" i="3"/>
  <c r="F778" i="3"/>
  <c r="E778" i="3"/>
  <c r="F777" i="3"/>
  <c r="E777" i="3"/>
  <c r="F776" i="3"/>
  <c r="E776" i="3"/>
  <c r="F775" i="3"/>
  <c r="E775" i="3"/>
  <c r="F774" i="3"/>
  <c r="E774" i="3"/>
  <c r="F773" i="3"/>
  <c r="E773" i="3"/>
  <c r="F772" i="3"/>
  <c r="E772" i="3"/>
  <c r="F771" i="3"/>
  <c r="E771" i="3"/>
  <c r="F770" i="3"/>
  <c r="E770" i="3"/>
  <c r="F769" i="3"/>
  <c r="E769" i="3"/>
  <c r="F768" i="3"/>
  <c r="E768" i="3"/>
  <c r="F767" i="3"/>
  <c r="E767" i="3"/>
  <c r="F766" i="3"/>
  <c r="E766" i="3"/>
  <c r="F765" i="3"/>
  <c r="E765" i="3"/>
  <c r="F764" i="3"/>
  <c r="E764" i="3"/>
  <c r="F763" i="3"/>
  <c r="E763" i="3"/>
  <c r="F762" i="3"/>
  <c r="E762" i="3"/>
  <c r="F761" i="3"/>
  <c r="E761" i="3"/>
  <c r="F760" i="3"/>
  <c r="E760" i="3"/>
  <c r="F759" i="3"/>
  <c r="E759" i="3"/>
  <c r="F758" i="3"/>
  <c r="E758" i="3"/>
  <c r="F757" i="3"/>
  <c r="E757" i="3"/>
  <c r="F756" i="3"/>
  <c r="E756" i="3"/>
  <c r="F755" i="3"/>
  <c r="E755" i="3"/>
  <c r="F754" i="3"/>
  <c r="E754" i="3"/>
  <c r="F753" i="3"/>
  <c r="E753" i="3"/>
  <c r="F752" i="3"/>
  <c r="E752" i="3"/>
  <c r="F751" i="3"/>
  <c r="E751" i="3"/>
  <c r="F750" i="3"/>
  <c r="E750" i="3"/>
  <c r="F749" i="3"/>
  <c r="E749" i="3"/>
  <c r="F748" i="3"/>
  <c r="E748" i="3"/>
  <c r="F747" i="3"/>
  <c r="E747" i="3"/>
  <c r="F746" i="3"/>
  <c r="E746" i="3"/>
  <c r="F745" i="3"/>
  <c r="E745" i="3"/>
  <c r="F744" i="3"/>
  <c r="E744" i="3"/>
  <c r="F743" i="3"/>
  <c r="E743" i="3"/>
  <c r="F742" i="3"/>
  <c r="E742" i="3"/>
  <c r="F741" i="3"/>
  <c r="E741" i="3"/>
  <c r="F740" i="3"/>
  <c r="E740" i="3"/>
  <c r="F739" i="3"/>
  <c r="E739" i="3"/>
  <c r="F738" i="3"/>
  <c r="E738" i="3"/>
  <c r="F737" i="3"/>
  <c r="E737" i="3"/>
  <c r="F736" i="3"/>
  <c r="E736" i="3"/>
  <c r="F735" i="3"/>
  <c r="E735" i="3"/>
  <c r="F734" i="3"/>
  <c r="E734" i="3"/>
  <c r="F733" i="3"/>
  <c r="E733" i="3"/>
  <c r="F732" i="3"/>
  <c r="E732" i="3"/>
  <c r="F731" i="3"/>
  <c r="E731" i="3"/>
  <c r="F730" i="3"/>
  <c r="E730" i="3"/>
  <c r="F729" i="3"/>
  <c r="E729" i="3"/>
  <c r="F728" i="3"/>
  <c r="E728" i="3"/>
  <c r="F727" i="3"/>
  <c r="E727" i="3"/>
  <c r="F726" i="3"/>
  <c r="E726" i="3"/>
  <c r="F725" i="3"/>
  <c r="E725" i="3"/>
  <c r="F724" i="3"/>
  <c r="E724" i="3"/>
  <c r="F723" i="3"/>
  <c r="E723" i="3"/>
  <c r="F722" i="3"/>
  <c r="E722" i="3"/>
  <c r="F721" i="3"/>
  <c r="E721" i="3"/>
  <c r="F720" i="3"/>
  <c r="E720" i="3"/>
  <c r="F719" i="3"/>
  <c r="E719" i="3"/>
  <c r="F718" i="3"/>
  <c r="E718" i="3"/>
  <c r="F717" i="3"/>
  <c r="E717" i="3"/>
  <c r="F716" i="3"/>
  <c r="E716" i="3"/>
  <c r="F715" i="3"/>
  <c r="E715" i="3"/>
  <c r="F714" i="3"/>
  <c r="E714" i="3"/>
  <c r="F713" i="3"/>
  <c r="E713" i="3"/>
  <c r="F712" i="3"/>
  <c r="E712" i="3"/>
  <c r="F711" i="3"/>
  <c r="E711" i="3"/>
  <c r="F710" i="3"/>
  <c r="E710" i="3"/>
  <c r="F709" i="3"/>
  <c r="E709" i="3"/>
  <c r="F708" i="3"/>
  <c r="E708" i="3"/>
  <c r="F707" i="3"/>
  <c r="E707" i="3"/>
  <c r="F706" i="3"/>
  <c r="E706" i="3"/>
  <c r="F705" i="3"/>
  <c r="E705" i="3"/>
  <c r="F704" i="3"/>
  <c r="E704" i="3"/>
  <c r="F703" i="3"/>
  <c r="E703" i="3"/>
  <c r="F702" i="3"/>
  <c r="E702" i="3"/>
  <c r="F701" i="3"/>
  <c r="E701" i="3"/>
  <c r="F700" i="3"/>
  <c r="E700" i="3"/>
  <c r="F699" i="3"/>
  <c r="E699" i="3"/>
  <c r="F698" i="3"/>
  <c r="E698" i="3"/>
  <c r="F697" i="3"/>
  <c r="E697" i="3"/>
  <c r="F696" i="3"/>
  <c r="E696" i="3"/>
  <c r="F695" i="3"/>
  <c r="E695" i="3"/>
  <c r="F694" i="3"/>
  <c r="E694" i="3"/>
  <c r="F693" i="3"/>
  <c r="E693" i="3"/>
  <c r="F692" i="3"/>
  <c r="E692" i="3"/>
  <c r="F691" i="3"/>
  <c r="E691" i="3"/>
  <c r="F690" i="3"/>
  <c r="E690" i="3"/>
  <c r="F689" i="3"/>
  <c r="E689" i="3"/>
  <c r="F688" i="3"/>
  <c r="E688" i="3"/>
  <c r="F687" i="3"/>
  <c r="E687" i="3"/>
  <c r="F686" i="3"/>
  <c r="E686" i="3"/>
  <c r="F685" i="3"/>
  <c r="E685" i="3"/>
  <c r="F684" i="3"/>
  <c r="E684" i="3"/>
  <c r="F683" i="3"/>
  <c r="E683" i="3"/>
  <c r="F682" i="3"/>
  <c r="E682" i="3"/>
  <c r="F681" i="3"/>
  <c r="E681" i="3"/>
  <c r="F680" i="3"/>
  <c r="E680" i="3"/>
  <c r="F679" i="3"/>
  <c r="E679" i="3"/>
  <c r="F678" i="3"/>
  <c r="E678" i="3"/>
  <c r="F677" i="3"/>
  <c r="E677" i="3"/>
  <c r="F676" i="3"/>
  <c r="E676" i="3"/>
  <c r="F675" i="3"/>
  <c r="E675" i="3"/>
  <c r="F674" i="3"/>
  <c r="E674" i="3"/>
  <c r="F673" i="3"/>
  <c r="E673" i="3"/>
  <c r="F672" i="3"/>
  <c r="E672" i="3"/>
  <c r="F671" i="3"/>
  <c r="E671" i="3"/>
  <c r="F670" i="3"/>
  <c r="E670" i="3"/>
  <c r="F669" i="3"/>
  <c r="E669" i="3"/>
  <c r="F668" i="3"/>
  <c r="E668" i="3"/>
  <c r="F667" i="3"/>
  <c r="E667" i="3"/>
  <c r="F666" i="3"/>
  <c r="E666" i="3"/>
  <c r="F665" i="3"/>
  <c r="E665" i="3"/>
  <c r="F664" i="3"/>
  <c r="E664" i="3"/>
  <c r="F663" i="3"/>
  <c r="E663" i="3"/>
  <c r="F662" i="3"/>
  <c r="E662" i="3"/>
  <c r="F661" i="3"/>
  <c r="E661" i="3"/>
  <c r="F660" i="3"/>
  <c r="E660" i="3"/>
  <c r="F659" i="3"/>
  <c r="E659" i="3"/>
  <c r="F658" i="3"/>
  <c r="E658" i="3"/>
  <c r="F657" i="3"/>
  <c r="E657" i="3"/>
  <c r="F656" i="3"/>
  <c r="E656" i="3"/>
  <c r="F655" i="3"/>
  <c r="E655" i="3"/>
  <c r="F654" i="3"/>
  <c r="E654" i="3"/>
  <c r="F653" i="3"/>
  <c r="E653" i="3"/>
  <c r="F652" i="3"/>
  <c r="E652" i="3"/>
  <c r="F651" i="3"/>
  <c r="E651" i="3"/>
  <c r="F650" i="3"/>
  <c r="E650" i="3"/>
  <c r="F649" i="3"/>
  <c r="E649" i="3"/>
  <c r="F648" i="3"/>
  <c r="E648" i="3"/>
  <c r="F647" i="3"/>
  <c r="E647" i="3"/>
  <c r="F646" i="3"/>
  <c r="E646" i="3"/>
  <c r="F645" i="3"/>
  <c r="E645" i="3"/>
  <c r="F644" i="3"/>
  <c r="E644" i="3"/>
  <c r="F643" i="3"/>
  <c r="E643" i="3"/>
  <c r="F642" i="3"/>
  <c r="E642" i="3"/>
  <c r="F641" i="3"/>
  <c r="E641" i="3"/>
  <c r="F640" i="3"/>
  <c r="E640" i="3"/>
  <c r="F639" i="3"/>
  <c r="E639" i="3"/>
  <c r="F638" i="3"/>
  <c r="E638" i="3"/>
  <c r="F637" i="3"/>
  <c r="E637" i="3"/>
  <c r="F636" i="3"/>
  <c r="E636" i="3"/>
  <c r="F635" i="3"/>
  <c r="E635" i="3"/>
  <c r="F634" i="3"/>
  <c r="E634" i="3"/>
  <c r="F633" i="3"/>
  <c r="E633" i="3"/>
  <c r="F632" i="3"/>
  <c r="E632" i="3"/>
  <c r="F631" i="3"/>
  <c r="E631" i="3"/>
  <c r="F630" i="3"/>
  <c r="E630" i="3"/>
  <c r="F629" i="3"/>
  <c r="E629" i="3"/>
  <c r="F628" i="3"/>
  <c r="E628" i="3"/>
  <c r="F627" i="3"/>
  <c r="E627" i="3"/>
  <c r="F626" i="3"/>
  <c r="E626" i="3"/>
  <c r="F625" i="3"/>
  <c r="E625" i="3"/>
  <c r="F624" i="3"/>
  <c r="E624" i="3"/>
  <c r="F623" i="3"/>
  <c r="E623" i="3"/>
  <c r="F622" i="3"/>
  <c r="E622" i="3"/>
  <c r="F620" i="3"/>
  <c r="E620" i="3"/>
  <c r="F619" i="3"/>
  <c r="E619" i="3"/>
  <c r="F618" i="3"/>
  <c r="E618" i="3"/>
  <c r="F617" i="3"/>
  <c r="E617" i="3"/>
  <c r="F616" i="3"/>
  <c r="E616" i="3"/>
  <c r="F614" i="3"/>
  <c r="E614" i="3"/>
  <c r="F613" i="3"/>
  <c r="E613" i="3"/>
  <c r="F612" i="3"/>
  <c r="E612" i="3"/>
  <c r="F611" i="3"/>
  <c r="E611" i="3"/>
  <c r="F610" i="3"/>
  <c r="E610" i="3"/>
  <c r="F609" i="3"/>
  <c r="E609" i="3"/>
  <c r="F608" i="3"/>
  <c r="E608" i="3"/>
  <c r="F607" i="3"/>
  <c r="E607" i="3"/>
  <c r="F606" i="3"/>
  <c r="E606" i="3"/>
  <c r="F605" i="3"/>
  <c r="E605" i="3"/>
  <c r="F604" i="3"/>
  <c r="E604" i="3"/>
  <c r="F603" i="3"/>
  <c r="E603" i="3"/>
  <c r="F602" i="3"/>
  <c r="E602" i="3"/>
  <c r="F601" i="3"/>
  <c r="E601" i="3"/>
  <c r="F600" i="3"/>
  <c r="E600" i="3"/>
  <c r="F599" i="3"/>
  <c r="E599" i="3"/>
  <c r="F598" i="3"/>
  <c r="E598" i="3"/>
  <c r="F597" i="3"/>
  <c r="E597" i="3"/>
  <c r="F596" i="3"/>
  <c r="E596" i="3"/>
  <c r="F595" i="3"/>
  <c r="E595" i="3"/>
  <c r="F594" i="3"/>
  <c r="E594" i="3"/>
  <c r="F593" i="3"/>
  <c r="E593" i="3"/>
  <c r="F592" i="3"/>
  <c r="E592" i="3"/>
  <c r="F591" i="3"/>
  <c r="E591" i="3"/>
  <c r="F590" i="3"/>
  <c r="E590" i="3"/>
  <c r="F589" i="3"/>
  <c r="E589" i="3"/>
  <c r="F588" i="3"/>
  <c r="E588" i="3"/>
  <c r="F587" i="3"/>
  <c r="E587" i="3"/>
  <c r="F586" i="3"/>
  <c r="E586" i="3"/>
  <c r="F585" i="3"/>
  <c r="E585" i="3"/>
  <c r="F584" i="3"/>
  <c r="E584" i="3"/>
  <c r="F583" i="3"/>
  <c r="E583" i="3"/>
  <c r="F582" i="3"/>
  <c r="E582" i="3"/>
  <c r="F581" i="3"/>
  <c r="E581" i="3"/>
  <c r="F580" i="3"/>
  <c r="E580" i="3"/>
  <c r="F579" i="3"/>
  <c r="E579" i="3"/>
  <c r="F578" i="3"/>
  <c r="E578" i="3"/>
  <c r="F577" i="3"/>
  <c r="E577" i="3"/>
  <c r="F576" i="3"/>
  <c r="E576" i="3"/>
  <c r="F575" i="3"/>
  <c r="E575" i="3"/>
  <c r="F574" i="3"/>
  <c r="E574" i="3"/>
  <c r="F573" i="3"/>
  <c r="E573" i="3"/>
  <c r="F572" i="3"/>
  <c r="E572" i="3"/>
  <c r="F571" i="3"/>
  <c r="E571" i="3"/>
  <c r="F570" i="3"/>
  <c r="E570" i="3"/>
  <c r="F569" i="3"/>
  <c r="E569" i="3"/>
  <c r="F568" i="3"/>
  <c r="E568" i="3"/>
  <c r="F567" i="3"/>
  <c r="E567" i="3"/>
  <c r="F566" i="3"/>
  <c r="E566" i="3"/>
  <c r="F565" i="3"/>
  <c r="E565" i="3"/>
  <c r="F564" i="3"/>
  <c r="E564" i="3"/>
  <c r="F563" i="3"/>
  <c r="E563" i="3"/>
  <c r="F562" i="3"/>
  <c r="E562" i="3"/>
  <c r="F561" i="3"/>
  <c r="E561" i="3"/>
  <c r="F560" i="3"/>
  <c r="E560" i="3"/>
  <c r="F559" i="3"/>
  <c r="E559" i="3"/>
  <c r="F558" i="3"/>
  <c r="E558" i="3"/>
  <c r="F557" i="3"/>
  <c r="E557" i="3"/>
  <c r="F556" i="3"/>
  <c r="E556" i="3"/>
  <c r="F555" i="3"/>
  <c r="E555" i="3"/>
  <c r="F554" i="3"/>
  <c r="E554" i="3"/>
  <c r="F553" i="3"/>
  <c r="E553" i="3"/>
  <c r="F552" i="3"/>
  <c r="E552" i="3"/>
  <c r="F551" i="3"/>
  <c r="E551" i="3"/>
  <c r="F550" i="3"/>
  <c r="E550" i="3"/>
  <c r="F549" i="3"/>
  <c r="E549" i="3"/>
  <c r="F548" i="3"/>
  <c r="E548" i="3"/>
  <c r="F547" i="3"/>
  <c r="E547" i="3"/>
  <c r="F546" i="3"/>
  <c r="E546" i="3"/>
  <c r="F545" i="3"/>
  <c r="E545" i="3"/>
  <c r="F544" i="3"/>
  <c r="E544" i="3"/>
  <c r="F543" i="3"/>
  <c r="E543" i="3"/>
  <c r="F542" i="3"/>
  <c r="E542" i="3"/>
  <c r="F541" i="3"/>
  <c r="E541" i="3"/>
  <c r="F540" i="3"/>
  <c r="E540" i="3"/>
  <c r="F539" i="3"/>
  <c r="E539" i="3"/>
  <c r="F538" i="3"/>
  <c r="E538" i="3"/>
  <c r="F537" i="3"/>
  <c r="E537" i="3"/>
  <c r="F536" i="3"/>
  <c r="E536" i="3"/>
  <c r="F535" i="3"/>
  <c r="E535" i="3"/>
  <c r="F534" i="3"/>
  <c r="E534" i="3"/>
  <c r="F533" i="3"/>
  <c r="E533" i="3"/>
  <c r="F532" i="3"/>
  <c r="E532" i="3"/>
  <c r="F531" i="3"/>
  <c r="E531" i="3"/>
  <c r="F530" i="3"/>
  <c r="E530" i="3"/>
  <c r="F529" i="3"/>
  <c r="E529" i="3"/>
  <c r="F528" i="3"/>
  <c r="E528" i="3"/>
  <c r="F527" i="3"/>
  <c r="E527" i="3"/>
  <c r="F526" i="3"/>
  <c r="E526" i="3"/>
  <c r="F525" i="3"/>
  <c r="E525" i="3"/>
  <c r="F524" i="3"/>
  <c r="E524" i="3"/>
  <c r="F523" i="3"/>
  <c r="E523" i="3"/>
  <c r="F522" i="3"/>
  <c r="E522" i="3"/>
  <c r="F521" i="3"/>
  <c r="E521" i="3"/>
  <c r="F520" i="3"/>
  <c r="E520" i="3"/>
  <c r="F519" i="3"/>
  <c r="E519" i="3"/>
  <c r="F518" i="3"/>
  <c r="E518" i="3"/>
  <c r="F517" i="3"/>
  <c r="E517" i="3"/>
  <c r="F516" i="3"/>
  <c r="E516" i="3"/>
  <c r="F515" i="3"/>
  <c r="E515" i="3"/>
  <c r="F514" i="3"/>
  <c r="E514" i="3"/>
  <c r="F513" i="3"/>
  <c r="E513" i="3"/>
  <c r="F512" i="3"/>
  <c r="E512" i="3"/>
  <c r="F511" i="3"/>
  <c r="E511" i="3"/>
  <c r="F510" i="3"/>
  <c r="E510" i="3"/>
  <c r="F509" i="3"/>
  <c r="E509" i="3"/>
  <c r="F508" i="3"/>
  <c r="E508" i="3"/>
  <c r="F507" i="3"/>
  <c r="E507" i="3"/>
  <c r="F506" i="3"/>
  <c r="E506" i="3"/>
  <c r="F505" i="3"/>
  <c r="E505" i="3"/>
  <c r="F504" i="3"/>
  <c r="E504" i="3"/>
  <c r="F503" i="3"/>
  <c r="E503" i="3"/>
  <c r="F502" i="3"/>
  <c r="E502" i="3"/>
  <c r="F501" i="3"/>
  <c r="E501" i="3"/>
  <c r="F500" i="3"/>
  <c r="E500" i="3"/>
  <c r="F499" i="3"/>
  <c r="E499" i="3"/>
  <c r="F498" i="3"/>
  <c r="E498" i="3"/>
  <c r="F497" i="3"/>
  <c r="E497" i="3"/>
  <c r="F496" i="3"/>
  <c r="E496" i="3"/>
  <c r="F495" i="3"/>
  <c r="E495" i="3"/>
  <c r="F494" i="3"/>
  <c r="E494" i="3"/>
  <c r="F493" i="3"/>
  <c r="E493" i="3"/>
  <c r="F492" i="3"/>
  <c r="E492" i="3"/>
  <c r="F491" i="3"/>
  <c r="E491" i="3"/>
  <c r="F490" i="3"/>
  <c r="E490" i="3"/>
  <c r="F489" i="3"/>
  <c r="E489" i="3"/>
  <c r="F488" i="3"/>
  <c r="E488" i="3"/>
  <c r="F487" i="3"/>
  <c r="E487" i="3"/>
  <c r="F486" i="3"/>
  <c r="E486" i="3"/>
  <c r="F485" i="3"/>
  <c r="E485" i="3"/>
  <c r="F484" i="3"/>
  <c r="E484" i="3"/>
  <c r="F483" i="3"/>
  <c r="E483" i="3"/>
  <c r="F482" i="3"/>
  <c r="E482" i="3"/>
  <c r="F481" i="3"/>
  <c r="E481" i="3"/>
  <c r="F480" i="3"/>
  <c r="E480" i="3"/>
  <c r="F479" i="3"/>
  <c r="E479" i="3"/>
  <c r="F478" i="3"/>
  <c r="E478" i="3"/>
  <c r="F477" i="3"/>
  <c r="E477" i="3"/>
  <c r="F476" i="3"/>
  <c r="E476" i="3"/>
  <c r="F475" i="3"/>
  <c r="E475" i="3"/>
  <c r="F474" i="3"/>
  <c r="E474" i="3"/>
  <c r="F473" i="3"/>
  <c r="E473" i="3"/>
  <c r="F472" i="3"/>
  <c r="E472" i="3"/>
  <c r="F471" i="3"/>
  <c r="E471" i="3"/>
  <c r="F470" i="3"/>
  <c r="E470" i="3"/>
  <c r="F469" i="3"/>
  <c r="E469" i="3"/>
  <c r="F468" i="3"/>
  <c r="E468" i="3"/>
  <c r="F467" i="3"/>
  <c r="E467" i="3"/>
  <c r="F466" i="3"/>
  <c r="E466" i="3"/>
  <c r="F465" i="3"/>
  <c r="E465" i="3"/>
  <c r="F464" i="3"/>
  <c r="E464" i="3"/>
  <c r="F463" i="3"/>
  <c r="E463" i="3"/>
  <c r="F462" i="3"/>
  <c r="E462" i="3"/>
  <c r="F461" i="3"/>
  <c r="E461" i="3"/>
  <c r="F460" i="3"/>
  <c r="E460" i="3"/>
  <c r="F459" i="3"/>
  <c r="E459" i="3"/>
  <c r="F458" i="3"/>
  <c r="E458" i="3"/>
  <c r="F457" i="3"/>
  <c r="E457" i="3"/>
  <c r="F456" i="3"/>
  <c r="E456" i="3"/>
  <c r="F455" i="3"/>
  <c r="E455" i="3"/>
  <c r="F454" i="3"/>
  <c r="E454" i="3"/>
  <c r="F453" i="3"/>
  <c r="E453" i="3"/>
  <c r="F452" i="3"/>
  <c r="E452" i="3"/>
  <c r="F451" i="3"/>
  <c r="E451" i="3"/>
  <c r="F450" i="3"/>
  <c r="E450" i="3"/>
  <c r="F449" i="3"/>
  <c r="E449" i="3"/>
  <c r="F448" i="3"/>
  <c r="E448" i="3"/>
  <c r="F447" i="3"/>
  <c r="E447" i="3"/>
  <c r="F446" i="3"/>
  <c r="E446" i="3"/>
  <c r="F445" i="3"/>
  <c r="E445" i="3"/>
  <c r="F444" i="3"/>
  <c r="E444" i="3"/>
  <c r="F443" i="3"/>
  <c r="E443" i="3"/>
  <c r="F442" i="3"/>
  <c r="E442" i="3"/>
  <c r="F441" i="3"/>
  <c r="E441" i="3"/>
  <c r="F440" i="3"/>
  <c r="E440" i="3"/>
  <c r="F439" i="3"/>
  <c r="E439" i="3"/>
  <c r="F438" i="3"/>
  <c r="E438" i="3"/>
  <c r="F437" i="3"/>
  <c r="E437" i="3"/>
  <c r="F436" i="3"/>
  <c r="E436" i="3"/>
  <c r="F435" i="3"/>
  <c r="E435" i="3"/>
  <c r="F434" i="3"/>
  <c r="E434" i="3"/>
  <c r="F433" i="3"/>
  <c r="E433" i="3"/>
  <c r="F432" i="3"/>
  <c r="E432" i="3"/>
  <c r="F431" i="3"/>
  <c r="E431" i="3"/>
  <c r="F430" i="3"/>
  <c r="E430" i="3"/>
  <c r="F429" i="3"/>
  <c r="E429" i="3"/>
  <c r="F428" i="3"/>
  <c r="E428" i="3"/>
  <c r="F427" i="3"/>
  <c r="E427" i="3"/>
  <c r="F426" i="3"/>
  <c r="E426" i="3"/>
  <c r="F425" i="3"/>
  <c r="E425" i="3"/>
  <c r="F424" i="3"/>
  <c r="E424" i="3"/>
  <c r="F423" i="3"/>
  <c r="E423" i="3"/>
  <c r="F422" i="3"/>
  <c r="E422" i="3"/>
  <c r="F421" i="3"/>
  <c r="E421" i="3"/>
  <c r="F420" i="3"/>
  <c r="E420" i="3"/>
  <c r="F419" i="3"/>
  <c r="E419" i="3"/>
  <c r="F418" i="3"/>
  <c r="E418" i="3"/>
  <c r="F417" i="3"/>
  <c r="E417" i="3"/>
  <c r="F416" i="3"/>
  <c r="E416" i="3"/>
  <c r="F415" i="3"/>
  <c r="E415" i="3"/>
  <c r="F414" i="3"/>
  <c r="E414" i="3"/>
  <c r="F413" i="3"/>
  <c r="E413" i="3"/>
  <c r="F412" i="3"/>
  <c r="E412" i="3"/>
  <c r="F411" i="3"/>
  <c r="E411" i="3"/>
  <c r="F410" i="3"/>
  <c r="E410" i="3"/>
  <c r="F409" i="3"/>
  <c r="E409" i="3"/>
  <c r="F408" i="3"/>
  <c r="E408" i="3"/>
  <c r="F407" i="3"/>
  <c r="E407" i="3"/>
  <c r="F406" i="3"/>
  <c r="E406" i="3"/>
  <c r="F405" i="3"/>
  <c r="E405" i="3"/>
  <c r="F404" i="3"/>
  <c r="E404" i="3"/>
  <c r="F403" i="3"/>
  <c r="E403" i="3"/>
  <c r="F402" i="3"/>
  <c r="E402" i="3"/>
  <c r="F401" i="3"/>
  <c r="E401" i="3"/>
  <c r="F400" i="3"/>
  <c r="E400" i="3"/>
  <c r="F399" i="3"/>
  <c r="E399" i="3"/>
  <c r="F398" i="3"/>
  <c r="E398" i="3"/>
  <c r="F397" i="3"/>
  <c r="E397" i="3"/>
  <c r="F396" i="3"/>
  <c r="E396" i="3"/>
  <c r="F395" i="3"/>
  <c r="E395" i="3"/>
  <c r="F394" i="3"/>
  <c r="E394" i="3"/>
  <c r="F393" i="3"/>
  <c r="E393" i="3"/>
  <c r="F392" i="3"/>
  <c r="E392" i="3"/>
  <c r="F391" i="3"/>
  <c r="E391" i="3"/>
  <c r="F390" i="3"/>
  <c r="E390" i="3"/>
  <c r="F389" i="3"/>
  <c r="E389" i="3"/>
  <c r="F388" i="3"/>
  <c r="E388" i="3"/>
  <c r="F387" i="3"/>
  <c r="E387" i="3"/>
  <c r="F386" i="3"/>
  <c r="E386" i="3"/>
  <c r="F385" i="3"/>
  <c r="E385" i="3"/>
  <c r="F384" i="3"/>
  <c r="E384" i="3"/>
  <c r="F383" i="3"/>
  <c r="E383" i="3"/>
  <c r="F382" i="3"/>
  <c r="E382" i="3"/>
  <c r="F381" i="3"/>
  <c r="E381" i="3"/>
  <c r="F380" i="3"/>
  <c r="E380" i="3"/>
  <c r="F379" i="3"/>
  <c r="E379" i="3"/>
  <c r="F378" i="3"/>
  <c r="E378" i="3"/>
  <c r="F377" i="3"/>
  <c r="E377" i="3"/>
  <c r="F376" i="3"/>
  <c r="E376" i="3"/>
  <c r="F375" i="3"/>
  <c r="E375" i="3"/>
  <c r="F374" i="3"/>
  <c r="E374" i="3"/>
  <c r="F373" i="3"/>
  <c r="E373" i="3"/>
  <c r="F372" i="3"/>
  <c r="E372" i="3"/>
  <c r="F371" i="3"/>
  <c r="E371" i="3"/>
  <c r="F370" i="3"/>
  <c r="E370" i="3"/>
  <c r="F369" i="3"/>
  <c r="E369" i="3"/>
  <c r="F368" i="3"/>
  <c r="E368" i="3"/>
  <c r="F367" i="3"/>
  <c r="E367" i="3"/>
  <c r="F366" i="3"/>
  <c r="E366" i="3"/>
  <c r="F365" i="3"/>
  <c r="E365" i="3"/>
  <c r="F364" i="3"/>
  <c r="E364" i="3"/>
  <c r="F363" i="3"/>
  <c r="E363" i="3"/>
  <c r="F362" i="3"/>
  <c r="E362" i="3"/>
  <c r="F361" i="3"/>
  <c r="E361" i="3"/>
  <c r="F360" i="3"/>
  <c r="E360" i="3"/>
  <c r="F359" i="3"/>
  <c r="E359" i="3"/>
  <c r="F358" i="3"/>
  <c r="E358" i="3"/>
  <c r="F357" i="3"/>
  <c r="E357" i="3"/>
  <c r="F356" i="3"/>
  <c r="E356" i="3"/>
  <c r="F355" i="3"/>
  <c r="E355" i="3"/>
  <c r="F354" i="3"/>
  <c r="E354" i="3"/>
  <c r="F353" i="3"/>
  <c r="E353" i="3"/>
  <c r="F352" i="3"/>
  <c r="E352" i="3"/>
  <c r="F351" i="3"/>
  <c r="E351" i="3"/>
  <c r="F350" i="3"/>
  <c r="E350" i="3"/>
  <c r="F349" i="3"/>
  <c r="E349" i="3"/>
  <c r="F348" i="3"/>
  <c r="E348" i="3"/>
  <c r="F347" i="3"/>
  <c r="E347" i="3"/>
  <c r="F346" i="3"/>
  <c r="E346" i="3"/>
  <c r="F345" i="3"/>
  <c r="E345" i="3"/>
  <c r="F344" i="3"/>
  <c r="E344" i="3"/>
  <c r="F343" i="3"/>
  <c r="E343" i="3"/>
  <c r="F342" i="3"/>
  <c r="E342" i="3"/>
  <c r="F341" i="3"/>
  <c r="E341" i="3"/>
  <c r="F340" i="3"/>
  <c r="E340" i="3"/>
  <c r="F339" i="3"/>
  <c r="E339" i="3"/>
  <c r="F338" i="3"/>
  <c r="E338" i="3"/>
  <c r="F337" i="3"/>
  <c r="E337" i="3"/>
  <c r="F336" i="3"/>
  <c r="E336" i="3"/>
  <c r="F335" i="3"/>
  <c r="E335" i="3"/>
  <c r="F334" i="3"/>
  <c r="E334" i="3"/>
  <c r="F333" i="3"/>
  <c r="E333" i="3"/>
  <c r="F332" i="3"/>
  <c r="E332" i="3"/>
  <c r="F331" i="3"/>
  <c r="E331" i="3"/>
  <c r="F330" i="3"/>
  <c r="E330" i="3"/>
  <c r="F329" i="3"/>
  <c r="E329" i="3"/>
  <c r="F328" i="3"/>
  <c r="E328" i="3"/>
  <c r="F327" i="3"/>
  <c r="E327" i="3"/>
  <c r="F326" i="3"/>
  <c r="E326" i="3"/>
  <c r="F325" i="3"/>
  <c r="E325" i="3"/>
  <c r="F324" i="3"/>
  <c r="E324" i="3"/>
  <c r="F323" i="3"/>
  <c r="E323" i="3"/>
  <c r="F322" i="3"/>
  <c r="E322" i="3"/>
  <c r="F321" i="3"/>
  <c r="E321" i="3"/>
  <c r="F320" i="3"/>
  <c r="E320" i="3"/>
  <c r="F319" i="3"/>
  <c r="E319" i="3"/>
  <c r="F318" i="3"/>
  <c r="E318" i="3"/>
  <c r="F317" i="3"/>
  <c r="E317" i="3"/>
  <c r="F316" i="3"/>
  <c r="E316" i="3"/>
  <c r="F315" i="3"/>
  <c r="E315" i="3"/>
  <c r="F314" i="3"/>
  <c r="E314" i="3"/>
  <c r="F313" i="3"/>
  <c r="E313" i="3"/>
  <c r="F312" i="3"/>
  <c r="E312" i="3"/>
  <c r="F311" i="3"/>
  <c r="E311" i="3"/>
  <c r="F310" i="3"/>
  <c r="E310" i="3"/>
  <c r="F309" i="3"/>
  <c r="E309" i="3"/>
  <c r="F308" i="3"/>
  <c r="E308" i="3"/>
  <c r="F307" i="3"/>
  <c r="E307" i="3"/>
  <c r="F306" i="3"/>
  <c r="E306" i="3"/>
  <c r="F305" i="3"/>
  <c r="E305" i="3"/>
  <c r="F304" i="3"/>
  <c r="E304" i="3"/>
  <c r="F303" i="3"/>
  <c r="E303" i="3"/>
  <c r="F302" i="3"/>
  <c r="E302" i="3"/>
  <c r="F301" i="3"/>
  <c r="E301" i="3"/>
  <c r="F300" i="3"/>
  <c r="E300" i="3"/>
  <c r="F299" i="3"/>
  <c r="E299" i="3"/>
  <c r="F298" i="3"/>
  <c r="E298" i="3"/>
  <c r="F297" i="3"/>
  <c r="E297" i="3"/>
  <c r="F296" i="3"/>
  <c r="E296" i="3"/>
  <c r="F295" i="3"/>
  <c r="E295" i="3"/>
  <c r="F294" i="3"/>
  <c r="E294" i="3"/>
  <c r="F293" i="3"/>
  <c r="E293" i="3"/>
  <c r="F292" i="3"/>
  <c r="E292" i="3"/>
  <c r="F291" i="3"/>
  <c r="E291" i="3"/>
  <c r="F290" i="3"/>
  <c r="E290" i="3"/>
  <c r="F289" i="3"/>
  <c r="E289" i="3"/>
  <c r="F288" i="3"/>
  <c r="E288" i="3"/>
  <c r="F287" i="3"/>
  <c r="E287" i="3"/>
  <c r="F286" i="3"/>
  <c r="E286" i="3"/>
  <c r="F285" i="3"/>
  <c r="E285" i="3"/>
  <c r="F284" i="3"/>
  <c r="E284" i="3"/>
  <c r="F283" i="3"/>
  <c r="E283" i="3"/>
  <c r="F282" i="3"/>
  <c r="E282" i="3"/>
  <c r="F281" i="3"/>
  <c r="E281" i="3"/>
  <c r="F280" i="3"/>
  <c r="E280" i="3"/>
  <c r="F279" i="3"/>
  <c r="E279" i="3"/>
  <c r="F278" i="3"/>
  <c r="E278" i="3"/>
  <c r="F277" i="3"/>
  <c r="E277" i="3"/>
  <c r="F276" i="3"/>
  <c r="E276" i="3"/>
  <c r="F275" i="3"/>
  <c r="E275" i="3"/>
  <c r="F274" i="3"/>
  <c r="E274" i="3"/>
  <c r="F273" i="3"/>
  <c r="E273" i="3"/>
  <c r="F272" i="3"/>
  <c r="E272" i="3"/>
  <c r="F271" i="3"/>
  <c r="E271" i="3"/>
  <c r="F270" i="3"/>
  <c r="E270" i="3"/>
  <c r="F269" i="3"/>
  <c r="E269" i="3"/>
  <c r="F268" i="3"/>
  <c r="E268" i="3"/>
  <c r="F267" i="3"/>
  <c r="E267" i="3"/>
  <c r="F266" i="3"/>
  <c r="E266" i="3"/>
  <c r="F265" i="3"/>
  <c r="E265" i="3"/>
  <c r="F264" i="3"/>
  <c r="E264" i="3"/>
  <c r="F263" i="3"/>
  <c r="E263" i="3"/>
  <c r="F262" i="3"/>
  <c r="E262" i="3"/>
  <c r="F261" i="3"/>
  <c r="E261" i="3"/>
  <c r="F260" i="3"/>
  <c r="E260" i="3"/>
  <c r="F259" i="3"/>
  <c r="E259" i="3"/>
  <c r="F258" i="3"/>
  <c r="E258" i="3"/>
  <c r="F257" i="3"/>
  <c r="E257" i="3"/>
  <c r="F256" i="3"/>
  <c r="E256" i="3"/>
  <c r="F255" i="3"/>
  <c r="E255" i="3"/>
  <c r="F254" i="3"/>
  <c r="E254" i="3"/>
  <c r="F253" i="3"/>
  <c r="E253" i="3"/>
  <c r="F252" i="3"/>
  <c r="E252" i="3"/>
  <c r="F251" i="3"/>
  <c r="E251" i="3"/>
  <c r="F250" i="3"/>
  <c r="E250" i="3"/>
  <c r="F249" i="3"/>
  <c r="E249" i="3"/>
  <c r="F248" i="3"/>
  <c r="E248" i="3"/>
  <c r="F247" i="3"/>
  <c r="E247" i="3"/>
  <c r="F246" i="3"/>
  <c r="E246" i="3"/>
  <c r="F245" i="3"/>
  <c r="E245" i="3"/>
  <c r="F244" i="3"/>
  <c r="E244" i="3"/>
  <c r="F243" i="3"/>
  <c r="E243" i="3"/>
  <c r="F242" i="3"/>
  <c r="E242" i="3"/>
  <c r="F241" i="3"/>
  <c r="E241" i="3"/>
  <c r="F240" i="3"/>
  <c r="E240" i="3"/>
  <c r="F239" i="3"/>
  <c r="E239" i="3"/>
  <c r="F238" i="3"/>
  <c r="E238" i="3"/>
  <c r="F237" i="3"/>
  <c r="E237" i="3"/>
  <c r="F236" i="3"/>
  <c r="E236" i="3"/>
  <c r="F235" i="3"/>
  <c r="E235" i="3"/>
  <c r="F234" i="3"/>
  <c r="E234" i="3"/>
  <c r="F233" i="3"/>
  <c r="E233" i="3"/>
  <c r="F232" i="3"/>
  <c r="E232" i="3"/>
  <c r="F231" i="3"/>
  <c r="E231" i="3"/>
  <c r="F230" i="3"/>
  <c r="E230" i="3"/>
  <c r="F229" i="3"/>
  <c r="E229" i="3"/>
  <c r="F228" i="3"/>
  <c r="E228" i="3"/>
  <c r="F227" i="3"/>
  <c r="E227" i="3"/>
  <c r="F226" i="3"/>
  <c r="E226" i="3"/>
  <c r="F225" i="3"/>
  <c r="E225" i="3"/>
  <c r="F224" i="3"/>
  <c r="E224" i="3"/>
  <c r="F223" i="3"/>
  <c r="E223" i="3"/>
  <c r="F222" i="3"/>
  <c r="E222" i="3"/>
  <c r="F221" i="3"/>
  <c r="E221" i="3"/>
  <c r="F220" i="3"/>
  <c r="E220" i="3"/>
  <c r="F219" i="3"/>
  <c r="E219" i="3"/>
  <c r="F218" i="3"/>
  <c r="E218" i="3"/>
  <c r="F217" i="3"/>
  <c r="E217" i="3"/>
  <c r="F216" i="3"/>
  <c r="E216" i="3"/>
  <c r="F215" i="3"/>
  <c r="E215" i="3"/>
  <c r="F214" i="3"/>
  <c r="E214" i="3"/>
  <c r="F213" i="3"/>
  <c r="E213" i="3"/>
  <c r="F212" i="3"/>
  <c r="E212" i="3"/>
  <c r="F211" i="3"/>
  <c r="E211" i="3"/>
  <c r="F210" i="3"/>
  <c r="E210" i="3"/>
  <c r="F209" i="3"/>
  <c r="E209" i="3"/>
  <c r="F208" i="3"/>
  <c r="E208" i="3"/>
  <c r="F207" i="3"/>
  <c r="E207" i="3"/>
  <c r="F206" i="3"/>
  <c r="E206" i="3"/>
  <c r="F205" i="3"/>
  <c r="E205" i="3"/>
  <c r="F204" i="3"/>
  <c r="E204" i="3"/>
  <c r="F203" i="3"/>
  <c r="E203" i="3"/>
  <c r="F202" i="3"/>
  <c r="E202" i="3"/>
  <c r="F201" i="3"/>
  <c r="E201" i="3"/>
  <c r="F200" i="3"/>
  <c r="E200" i="3"/>
  <c r="F199" i="3"/>
  <c r="E199" i="3"/>
  <c r="F198" i="3"/>
  <c r="E198" i="3"/>
  <c r="F197" i="3"/>
  <c r="E197" i="3"/>
  <c r="F196" i="3"/>
  <c r="E196" i="3"/>
  <c r="F195" i="3"/>
  <c r="E195" i="3"/>
  <c r="F194" i="3"/>
  <c r="E194" i="3"/>
  <c r="F193" i="3"/>
  <c r="E193" i="3"/>
  <c r="F192" i="3"/>
  <c r="E192" i="3"/>
  <c r="F191" i="3"/>
  <c r="E191" i="3"/>
  <c r="F190" i="3"/>
  <c r="E190" i="3"/>
  <c r="F189" i="3"/>
  <c r="E189" i="3"/>
  <c r="F188" i="3"/>
  <c r="E188" i="3"/>
  <c r="F187" i="3"/>
  <c r="E187" i="3"/>
  <c r="F186" i="3"/>
  <c r="E186" i="3"/>
  <c r="F185" i="3"/>
  <c r="E185" i="3"/>
  <c r="F184" i="3"/>
  <c r="E184" i="3"/>
  <c r="F183" i="3"/>
  <c r="E183" i="3"/>
  <c r="F182" i="3"/>
  <c r="E182" i="3"/>
  <c r="F181" i="3"/>
  <c r="E181" i="3"/>
  <c r="F180" i="3"/>
  <c r="E180" i="3"/>
  <c r="F179" i="3"/>
  <c r="E179" i="3"/>
  <c r="F178" i="3"/>
  <c r="E178" i="3"/>
  <c r="F177" i="3"/>
  <c r="E177" i="3"/>
  <c r="F176" i="3"/>
  <c r="E176" i="3"/>
  <c r="F175" i="3"/>
  <c r="E175" i="3"/>
  <c r="F174" i="3"/>
  <c r="E174" i="3"/>
  <c r="F173" i="3"/>
  <c r="E173" i="3"/>
  <c r="F172" i="3"/>
  <c r="E172" i="3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F153" i="3"/>
  <c r="E153" i="3"/>
  <c r="F152" i="3"/>
  <c r="E152" i="3"/>
  <c r="F151" i="3"/>
  <c r="E151" i="3"/>
  <c r="F150" i="3"/>
  <c r="E150" i="3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E2" i="3"/>
  <c r="F2" i="3"/>
  <c r="G1219" i="2"/>
  <c r="J1219" i="2"/>
  <c r="I1219" i="2"/>
  <c r="H536" i="1" l="1"/>
  <c r="J1217" i="2"/>
  <c r="J1215" i="2"/>
  <c r="J1218" i="2"/>
  <c r="J1216" i="2"/>
  <c r="I1218" i="2"/>
  <c r="I1217" i="2"/>
  <c r="G1218" i="2"/>
  <c r="G1217" i="2"/>
  <c r="I1216" i="2"/>
  <c r="I1215" i="2"/>
  <c r="G1216" i="2"/>
  <c r="G1215" i="2"/>
  <c r="O3522" i="3"/>
  <c r="H40" i="1"/>
  <c r="O3518" i="3"/>
  <c r="J3531" i="3"/>
  <c r="I3531" i="3"/>
  <c r="J3530" i="3"/>
  <c r="I3530" i="3"/>
  <c r="J3529" i="3"/>
  <c r="I3529" i="3"/>
  <c r="J3528" i="3"/>
  <c r="I3528" i="3"/>
  <c r="J3527" i="3"/>
  <c r="I3527" i="3"/>
  <c r="J3526" i="3"/>
  <c r="I3526" i="3"/>
  <c r="J3525" i="3"/>
  <c r="I3525" i="3"/>
  <c r="J3524" i="3"/>
  <c r="I3524" i="3"/>
  <c r="J3523" i="3"/>
  <c r="I3523" i="3"/>
  <c r="J3522" i="3"/>
  <c r="I3522" i="3"/>
  <c r="J3521" i="3"/>
  <c r="I3521" i="3"/>
  <c r="H533" i="1"/>
  <c r="L3517" i="3" s="1"/>
  <c r="M3517" i="3" s="1"/>
  <c r="H532" i="1"/>
  <c r="J3520" i="3"/>
  <c r="I3520" i="3"/>
  <c r="J3519" i="3"/>
  <c r="I3519" i="3"/>
  <c r="J3518" i="3"/>
  <c r="I3518" i="3"/>
  <c r="J3517" i="3"/>
  <c r="I3517" i="3"/>
  <c r="J3516" i="3"/>
  <c r="I3516" i="3"/>
  <c r="J3515" i="3"/>
  <c r="I3515" i="3"/>
  <c r="J3514" i="3"/>
  <c r="I3514" i="3"/>
  <c r="J3513" i="3"/>
  <c r="I3513" i="3"/>
  <c r="J3512" i="3"/>
  <c r="I3512" i="3"/>
  <c r="J3511" i="3"/>
  <c r="I3511" i="3"/>
  <c r="J3510" i="3"/>
  <c r="I3510" i="3"/>
  <c r="H3" i="1"/>
  <c r="L3551" i="3" l="1"/>
  <c r="M3551" i="3" s="1"/>
  <c r="L3539" i="3"/>
  <c r="M3539" i="3" s="1"/>
  <c r="L3530" i="3"/>
  <c r="M3530" i="3" s="1"/>
  <c r="L3554" i="3"/>
  <c r="M3554" i="3" s="1"/>
  <c r="L3542" i="3"/>
  <c r="M3542" i="3" s="1"/>
  <c r="L3520" i="3"/>
  <c r="M3520" i="3" s="1"/>
  <c r="L3555" i="3"/>
  <c r="M3555" i="3" s="1"/>
  <c r="L3543" i="3"/>
  <c r="M3543" i="3" s="1"/>
  <c r="O3511" i="3"/>
  <c r="O3513" i="3"/>
  <c r="O3519" i="3"/>
  <c r="O3524" i="3"/>
  <c r="O3512" i="3"/>
  <c r="O3520" i="3"/>
  <c r="O3529" i="3"/>
  <c r="O3514" i="3"/>
  <c r="O3516" i="3"/>
  <c r="O3517" i="3"/>
  <c r="O3515" i="3"/>
  <c r="O3510" i="3"/>
  <c r="L3516" i="3"/>
  <c r="M3516" i="3" s="1"/>
  <c r="L3527" i="3"/>
  <c r="M3527" i="3" s="1"/>
  <c r="L3528" i="3"/>
  <c r="M3528" i="3" s="1"/>
  <c r="L3519" i="3"/>
  <c r="M3519" i="3" s="1"/>
  <c r="L3531" i="3"/>
  <c r="M3531" i="3" s="1"/>
  <c r="O3523" i="3"/>
  <c r="O3528" i="3"/>
  <c r="O3525" i="3"/>
  <c r="O3526" i="3"/>
  <c r="O3530" i="3"/>
  <c r="O3521" i="3"/>
  <c r="O3527" i="3"/>
  <c r="O3531" i="3"/>
  <c r="R962" i="3" l="1"/>
  <c r="O962" i="3"/>
  <c r="J962" i="3"/>
  <c r="D962" i="3"/>
  <c r="H531" i="1"/>
  <c r="H530" i="1"/>
  <c r="H529" i="1"/>
  <c r="J396" i="2" l="1"/>
  <c r="J395" i="2"/>
  <c r="J394" i="2"/>
  <c r="J393" i="2"/>
  <c r="R2859" i="3"/>
  <c r="O2859" i="3"/>
  <c r="J2859" i="3"/>
  <c r="R2373" i="3"/>
  <c r="O2373" i="3"/>
  <c r="R2273" i="3"/>
  <c r="O2273" i="3"/>
  <c r="J2273" i="3"/>
  <c r="J2373" i="3"/>
  <c r="D2373" i="3"/>
  <c r="D2273" i="3"/>
  <c r="R1999" i="3"/>
  <c r="O1999" i="3"/>
  <c r="J1999" i="3"/>
  <c r="D1999" i="3"/>
  <c r="R3091" i="3"/>
  <c r="O3091" i="3"/>
  <c r="J3091" i="3"/>
  <c r="D3091" i="3"/>
  <c r="R3118" i="3"/>
  <c r="O3118" i="3"/>
  <c r="J3118" i="3"/>
  <c r="D3118" i="3"/>
  <c r="R632" i="3"/>
  <c r="O632" i="3"/>
  <c r="J632" i="3"/>
  <c r="D632" i="3"/>
  <c r="R626" i="3"/>
  <c r="O626" i="3"/>
  <c r="J626" i="3"/>
  <c r="D626" i="3"/>
  <c r="R618" i="3"/>
  <c r="O618" i="3"/>
  <c r="J618" i="3"/>
  <c r="D618" i="3"/>
  <c r="R3082" i="3"/>
  <c r="O3082" i="3"/>
  <c r="J3082" i="3"/>
  <c r="D3082" i="3"/>
  <c r="R611" i="3"/>
  <c r="O611" i="3"/>
  <c r="J611" i="3"/>
  <c r="D611" i="3"/>
  <c r="R2316" i="3"/>
  <c r="R533" i="3"/>
  <c r="O2316" i="3"/>
  <c r="O533" i="3"/>
  <c r="J2316" i="3"/>
  <c r="J533" i="3"/>
  <c r="D2316" i="3"/>
  <c r="D533" i="3"/>
  <c r="D345" i="1"/>
  <c r="E23" i="37"/>
  <c r="E53" i="37"/>
  <c r="E52" i="37"/>
  <c r="E51" i="37"/>
  <c r="E50" i="37"/>
  <c r="E49" i="37"/>
  <c r="E48" i="37"/>
  <c r="E47" i="37"/>
  <c r="E46" i="37"/>
  <c r="E45" i="37"/>
  <c r="E44" i="37"/>
  <c r="E43" i="37"/>
  <c r="E42" i="37"/>
  <c r="E41" i="37"/>
  <c r="E40" i="37"/>
  <c r="E39" i="37"/>
  <c r="E38" i="37"/>
  <c r="E37" i="37"/>
  <c r="E36" i="37"/>
  <c r="E35" i="37"/>
  <c r="E34" i="37"/>
  <c r="E33" i="37"/>
  <c r="E32" i="37"/>
  <c r="E15" i="37"/>
  <c r="E16" i="37"/>
  <c r="E17" i="37"/>
  <c r="E18" i="37"/>
  <c r="E19" i="37"/>
  <c r="E20" i="37"/>
  <c r="E21" i="37"/>
  <c r="E22" i="37"/>
  <c r="D514" i="1"/>
  <c r="D314" i="1"/>
  <c r="D313" i="1"/>
  <c r="D312" i="1"/>
  <c r="D309" i="1"/>
  <c r="D305" i="1"/>
  <c r="H3" i="83" l="1"/>
  <c r="H4" i="83"/>
  <c r="H5" i="83"/>
  <c r="H6" i="83"/>
  <c r="H7" i="83"/>
  <c r="H8" i="83"/>
  <c r="H9" i="83"/>
  <c r="H10" i="83"/>
  <c r="H11" i="83"/>
  <c r="H12" i="83"/>
  <c r="H14" i="83"/>
  <c r="H15" i="83"/>
  <c r="H16" i="83"/>
  <c r="H17" i="83"/>
  <c r="H18" i="83"/>
  <c r="H19" i="83"/>
  <c r="H20" i="83"/>
  <c r="H21" i="83"/>
  <c r="H22" i="83"/>
  <c r="H23" i="83"/>
  <c r="H24" i="83"/>
  <c r="H25" i="83"/>
  <c r="H2" i="83"/>
  <c r="D26" i="83"/>
  <c r="H26" i="83" s="1"/>
  <c r="D13" i="83"/>
  <c r="H13" i="83" s="1"/>
  <c r="D300" i="1"/>
  <c r="H528" i="1" l="1"/>
  <c r="H527" i="1"/>
  <c r="H526" i="1"/>
  <c r="D315" i="1"/>
  <c r="O3509" i="3"/>
  <c r="O3508" i="3"/>
  <c r="O3507" i="3"/>
  <c r="O3506" i="3"/>
  <c r="O3505" i="3"/>
  <c r="O3504" i="3"/>
  <c r="O3503" i="3"/>
  <c r="O3502" i="3"/>
  <c r="O3501" i="3"/>
  <c r="O3500" i="3"/>
  <c r="J3509" i="3"/>
  <c r="I3509" i="3"/>
  <c r="J3508" i="3"/>
  <c r="I3508" i="3"/>
  <c r="J3507" i="3"/>
  <c r="I3507" i="3"/>
  <c r="J3506" i="3"/>
  <c r="I3506" i="3"/>
  <c r="J3505" i="3"/>
  <c r="I3505" i="3"/>
  <c r="J3504" i="3"/>
  <c r="I3504" i="3"/>
  <c r="J3503" i="3"/>
  <c r="I3503" i="3"/>
  <c r="J3502" i="3"/>
  <c r="I3502" i="3"/>
  <c r="J3501" i="3"/>
  <c r="I3501" i="3"/>
  <c r="J3500" i="3"/>
  <c r="I3500" i="3"/>
  <c r="O3499" i="3"/>
  <c r="J3499" i="3"/>
  <c r="I3499" i="3"/>
  <c r="E417" i="5"/>
  <c r="L417" i="5"/>
  <c r="O3498" i="3"/>
  <c r="J3498" i="3"/>
  <c r="I3498" i="3"/>
  <c r="M417" i="5" l="1"/>
  <c r="J417" i="5"/>
  <c r="K417" i="5" s="1"/>
  <c r="L605" i="5" l="1"/>
  <c r="L604" i="5"/>
  <c r="J604" i="5" s="1"/>
  <c r="K604" i="5" s="1"/>
  <c r="L603" i="5"/>
  <c r="J603" i="5" s="1"/>
  <c r="K603" i="5" s="1"/>
  <c r="L602" i="5"/>
  <c r="J602" i="5" s="1"/>
  <c r="K602" i="5" s="1"/>
  <c r="L601" i="5"/>
  <c r="J601" i="5" s="1"/>
  <c r="K601" i="5" s="1"/>
  <c r="L600" i="5"/>
  <c r="L599" i="5"/>
  <c r="J599" i="5" s="1"/>
  <c r="K599" i="5" s="1"/>
  <c r="L598" i="5"/>
  <c r="J598" i="5" s="1"/>
  <c r="K598" i="5" s="1"/>
  <c r="L597" i="5"/>
  <c r="E605" i="5"/>
  <c r="D605" i="5"/>
  <c r="E604" i="5"/>
  <c r="D604" i="5"/>
  <c r="E603" i="5"/>
  <c r="D603" i="5"/>
  <c r="E602" i="5"/>
  <c r="D602" i="5"/>
  <c r="E601" i="5"/>
  <c r="D601" i="5"/>
  <c r="E600" i="5"/>
  <c r="D600" i="5"/>
  <c r="E599" i="5"/>
  <c r="D599" i="5"/>
  <c r="E598" i="5"/>
  <c r="D598" i="5"/>
  <c r="E597" i="5"/>
  <c r="D597" i="5"/>
  <c r="L293" i="5"/>
  <c r="L292" i="5"/>
  <c r="J292" i="5" s="1"/>
  <c r="K292" i="5" s="1"/>
  <c r="L291" i="5"/>
  <c r="E293" i="5"/>
  <c r="D293" i="5"/>
  <c r="E292" i="5"/>
  <c r="D292" i="5"/>
  <c r="E291" i="5"/>
  <c r="D291" i="5"/>
  <c r="R3497" i="3"/>
  <c r="R3496" i="3"/>
  <c r="R3495" i="3"/>
  <c r="R3494" i="3"/>
  <c r="R3493" i="3"/>
  <c r="R3492" i="3"/>
  <c r="R3491" i="3"/>
  <c r="R3490" i="3"/>
  <c r="R3489" i="3"/>
  <c r="R3488" i="3"/>
  <c r="R3487" i="3"/>
  <c r="R3486" i="3"/>
  <c r="R3485" i="3"/>
  <c r="R3484" i="3"/>
  <c r="R3483" i="3"/>
  <c r="R3482" i="3"/>
  <c r="R3481" i="3"/>
  <c r="R3480" i="3"/>
  <c r="R3479" i="3"/>
  <c r="R3478" i="3"/>
  <c r="R3477" i="3"/>
  <c r="R3476" i="3"/>
  <c r="R3475" i="3"/>
  <c r="R3474" i="3"/>
  <c r="R3473" i="3"/>
  <c r="R3472" i="3"/>
  <c r="R3471" i="3"/>
  <c r="R3470" i="3"/>
  <c r="R3469" i="3"/>
  <c r="R3468" i="3"/>
  <c r="R3467" i="3"/>
  <c r="R3466" i="3"/>
  <c r="R3465" i="3"/>
  <c r="R3464" i="3"/>
  <c r="R3463" i="3"/>
  <c r="R3462" i="3"/>
  <c r="R3461" i="3"/>
  <c r="R3460" i="3"/>
  <c r="R3459" i="3"/>
  <c r="R3458" i="3"/>
  <c r="R3457" i="3"/>
  <c r="R3456" i="3"/>
  <c r="R3455" i="3"/>
  <c r="R3454" i="3"/>
  <c r="R3453" i="3"/>
  <c r="R3452" i="3"/>
  <c r="R3451" i="3"/>
  <c r="R3450" i="3"/>
  <c r="R3449" i="3"/>
  <c r="R3448" i="3"/>
  <c r="R3447" i="3"/>
  <c r="R3446" i="3"/>
  <c r="R3445" i="3"/>
  <c r="R3444" i="3"/>
  <c r="R3443" i="3"/>
  <c r="R3442" i="3"/>
  <c r="R3441" i="3"/>
  <c r="R3440" i="3"/>
  <c r="R3439" i="3"/>
  <c r="R3438" i="3"/>
  <c r="R3437" i="3"/>
  <c r="R3436" i="3"/>
  <c r="R3435" i="3"/>
  <c r="R3434" i="3"/>
  <c r="R3433" i="3"/>
  <c r="R3432" i="3"/>
  <c r="R3431" i="3"/>
  <c r="R3430" i="3"/>
  <c r="R3429" i="3"/>
  <c r="R3428" i="3"/>
  <c r="R3427" i="3"/>
  <c r="R3426" i="3"/>
  <c r="R3425" i="3"/>
  <c r="R3424" i="3"/>
  <c r="R3423" i="3"/>
  <c r="R3422" i="3"/>
  <c r="R3421" i="3"/>
  <c r="R3420" i="3"/>
  <c r="R3419" i="3"/>
  <c r="R3418" i="3"/>
  <c r="R3417" i="3"/>
  <c r="R3416" i="3"/>
  <c r="R3415" i="3"/>
  <c r="R3414" i="3"/>
  <c r="R3413" i="3"/>
  <c r="R3412" i="3"/>
  <c r="R3411" i="3"/>
  <c r="R3410" i="3"/>
  <c r="R3409" i="3"/>
  <c r="R3408" i="3"/>
  <c r="R3407" i="3"/>
  <c r="R3406" i="3"/>
  <c r="R3405" i="3"/>
  <c r="R3404" i="3"/>
  <c r="R3403" i="3"/>
  <c r="R3402" i="3"/>
  <c r="R3401" i="3"/>
  <c r="R3400" i="3"/>
  <c r="R3399" i="3"/>
  <c r="R3398" i="3"/>
  <c r="R3397" i="3"/>
  <c r="R3396" i="3"/>
  <c r="R3395" i="3"/>
  <c r="R3394" i="3"/>
  <c r="R3393" i="3"/>
  <c r="R3392" i="3"/>
  <c r="R3389" i="3"/>
  <c r="R3388" i="3"/>
  <c r="R3387" i="3"/>
  <c r="R3386" i="3"/>
  <c r="R3385" i="3"/>
  <c r="R3384" i="3"/>
  <c r="R3383" i="3"/>
  <c r="R3382" i="3"/>
  <c r="R3381" i="3"/>
  <c r="R3380" i="3"/>
  <c r="R3379" i="3"/>
  <c r="R3378" i="3"/>
  <c r="R3377" i="3"/>
  <c r="R3376" i="3"/>
  <c r="R3375" i="3"/>
  <c r="R3374" i="3"/>
  <c r="R3373" i="3"/>
  <c r="R3372" i="3"/>
  <c r="R3371" i="3"/>
  <c r="R3370" i="3"/>
  <c r="R3369" i="3"/>
  <c r="R3368" i="3"/>
  <c r="R3367" i="3"/>
  <c r="R3366" i="3"/>
  <c r="R3365" i="3"/>
  <c r="R3364" i="3"/>
  <c r="R3363" i="3"/>
  <c r="R3362" i="3"/>
  <c r="R3361" i="3"/>
  <c r="R3360" i="3"/>
  <c r="R3359" i="3"/>
  <c r="R3358" i="3"/>
  <c r="R3357" i="3"/>
  <c r="R3356" i="3"/>
  <c r="R3355" i="3"/>
  <c r="R3354" i="3"/>
  <c r="R3353" i="3"/>
  <c r="R3352" i="3"/>
  <c r="R3351" i="3"/>
  <c r="R3350" i="3"/>
  <c r="R3349" i="3"/>
  <c r="R3348" i="3"/>
  <c r="R3347" i="3"/>
  <c r="R3346" i="3"/>
  <c r="R3345" i="3"/>
  <c r="R3344" i="3"/>
  <c r="R3343" i="3"/>
  <c r="R3342" i="3"/>
  <c r="R3341" i="3"/>
  <c r="R3340" i="3"/>
  <c r="R3339" i="3"/>
  <c r="R3338" i="3"/>
  <c r="R3337" i="3"/>
  <c r="R3336" i="3"/>
  <c r="R3335" i="3"/>
  <c r="R3334" i="3"/>
  <c r="R3333" i="3"/>
  <c r="R3332" i="3"/>
  <c r="R3331" i="3"/>
  <c r="R3330" i="3"/>
  <c r="R3329" i="3"/>
  <c r="R3328" i="3"/>
  <c r="R3327" i="3"/>
  <c r="R3326" i="3"/>
  <c r="R3325" i="3"/>
  <c r="R3324" i="3"/>
  <c r="R3323" i="3"/>
  <c r="R3322" i="3"/>
  <c r="R3321" i="3"/>
  <c r="R3320" i="3"/>
  <c r="R3319" i="3"/>
  <c r="R3318" i="3"/>
  <c r="R3317" i="3"/>
  <c r="R3316" i="3"/>
  <c r="R3315" i="3"/>
  <c r="R3314" i="3"/>
  <c r="R3313" i="3"/>
  <c r="R3312" i="3"/>
  <c r="R3311" i="3"/>
  <c r="R3310" i="3"/>
  <c r="R3309" i="3"/>
  <c r="R3308" i="3"/>
  <c r="R3307" i="3"/>
  <c r="R3306" i="3"/>
  <c r="R3305" i="3"/>
  <c r="R3304" i="3"/>
  <c r="R3303" i="3"/>
  <c r="R3302" i="3"/>
  <c r="R3301" i="3"/>
  <c r="R3300" i="3"/>
  <c r="R3299" i="3"/>
  <c r="R3298" i="3"/>
  <c r="R3297" i="3"/>
  <c r="R3296" i="3"/>
  <c r="R3295" i="3"/>
  <c r="R3294" i="3"/>
  <c r="R3293" i="3"/>
  <c r="R3292" i="3"/>
  <c r="R3291" i="3"/>
  <c r="R3290" i="3"/>
  <c r="R3289" i="3"/>
  <c r="R3288" i="3"/>
  <c r="R3287" i="3"/>
  <c r="R3286" i="3"/>
  <c r="R3285" i="3"/>
  <c r="R3284" i="3"/>
  <c r="R3283" i="3"/>
  <c r="R3282" i="3"/>
  <c r="R3281" i="3"/>
  <c r="R3280" i="3"/>
  <c r="R3279" i="3"/>
  <c r="R3278" i="3"/>
  <c r="R3277" i="3"/>
  <c r="R3276" i="3"/>
  <c r="R3275" i="3"/>
  <c r="R3274" i="3"/>
  <c r="R3273" i="3"/>
  <c r="R3272" i="3"/>
  <c r="R3271" i="3"/>
  <c r="R3270" i="3"/>
  <c r="R3269" i="3"/>
  <c r="R3268" i="3"/>
  <c r="R3267" i="3"/>
  <c r="R3266" i="3"/>
  <c r="R3265" i="3"/>
  <c r="R3264" i="3"/>
  <c r="R3263" i="3"/>
  <c r="R3262" i="3"/>
  <c r="R3261" i="3"/>
  <c r="R3260" i="3"/>
  <c r="R3259" i="3"/>
  <c r="R3258" i="3"/>
  <c r="R3257" i="3"/>
  <c r="R3256" i="3"/>
  <c r="R3255" i="3"/>
  <c r="R3254" i="3"/>
  <c r="R3253" i="3"/>
  <c r="R3252" i="3"/>
  <c r="R3251" i="3"/>
  <c r="R3250" i="3"/>
  <c r="R3249" i="3"/>
  <c r="R3248" i="3"/>
  <c r="R3247" i="3"/>
  <c r="R3246" i="3"/>
  <c r="R3245" i="3"/>
  <c r="R3244" i="3"/>
  <c r="R3243" i="3"/>
  <c r="R3242" i="3"/>
  <c r="R3241" i="3"/>
  <c r="R3240" i="3"/>
  <c r="R3239" i="3"/>
  <c r="R3238" i="3"/>
  <c r="R3237" i="3"/>
  <c r="R3236" i="3"/>
  <c r="R3235" i="3"/>
  <c r="R3234" i="3"/>
  <c r="R3233" i="3"/>
  <c r="R3232" i="3"/>
  <c r="R3231" i="3"/>
  <c r="R3230" i="3"/>
  <c r="R3229" i="3"/>
  <c r="R3228" i="3"/>
  <c r="R3227" i="3"/>
  <c r="R3226" i="3"/>
  <c r="R3225" i="3"/>
  <c r="R3224" i="3"/>
  <c r="R3223" i="3"/>
  <c r="R3222" i="3"/>
  <c r="R3221" i="3"/>
  <c r="R3220" i="3"/>
  <c r="R3219" i="3"/>
  <c r="R3218" i="3"/>
  <c r="R3217" i="3"/>
  <c r="R3216" i="3"/>
  <c r="R3215" i="3"/>
  <c r="R3214" i="3"/>
  <c r="R3213" i="3"/>
  <c r="R3212" i="3"/>
  <c r="R3211" i="3"/>
  <c r="R3210" i="3"/>
  <c r="R3209" i="3"/>
  <c r="R3208" i="3"/>
  <c r="R3207" i="3"/>
  <c r="R3206" i="3"/>
  <c r="R3205" i="3"/>
  <c r="R3204" i="3"/>
  <c r="R3203" i="3"/>
  <c r="R3202" i="3"/>
  <c r="R3201" i="3"/>
  <c r="R3200" i="3"/>
  <c r="R3199" i="3"/>
  <c r="R3198" i="3"/>
  <c r="R3197" i="3"/>
  <c r="R3196" i="3"/>
  <c r="R3195" i="3"/>
  <c r="R3194" i="3"/>
  <c r="R3193" i="3"/>
  <c r="R3192" i="3"/>
  <c r="R3191" i="3"/>
  <c r="R3190" i="3"/>
  <c r="R3189" i="3"/>
  <c r="R3188" i="3"/>
  <c r="R3187" i="3"/>
  <c r="R3186" i="3"/>
  <c r="R3185" i="3"/>
  <c r="R3184" i="3"/>
  <c r="R3183" i="3"/>
  <c r="R3182" i="3"/>
  <c r="R3181" i="3"/>
  <c r="R3180" i="3"/>
  <c r="R3179" i="3"/>
  <c r="R3178" i="3"/>
  <c r="R3177" i="3"/>
  <c r="R3176" i="3"/>
  <c r="R3175" i="3"/>
  <c r="R3174" i="3"/>
  <c r="R3173" i="3"/>
  <c r="R3172" i="3"/>
  <c r="R3171" i="3"/>
  <c r="R3170" i="3"/>
  <c r="R3169" i="3"/>
  <c r="R3168" i="3"/>
  <c r="R3167" i="3"/>
  <c r="R3166" i="3"/>
  <c r="R3165" i="3"/>
  <c r="R3164" i="3"/>
  <c r="R3163" i="3"/>
  <c r="R3162" i="3"/>
  <c r="R3161" i="3"/>
  <c r="R3160" i="3"/>
  <c r="R3159" i="3"/>
  <c r="R3158" i="3"/>
  <c r="R3157" i="3"/>
  <c r="R3156" i="3"/>
  <c r="R3155" i="3"/>
  <c r="R3154" i="3"/>
  <c r="R3153" i="3"/>
  <c r="R3152" i="3"/>
  <c r="R3151" i="3"/>
  <c r="R3150" i="3"/>
  <c r="R3149" i="3"/>
  <c r="R3148" i="3"/>
  <c r="R3147" i="3"/>
  <c r="R3146" i="3"/>
  <c r="R3145" i="3"/>
  <c r="R3144" i="3"/>
  <c r="R3143" i="3"/>
  <c r="R3142" i="3"/>
  <c r="R3141" i="3"/>
  <c r="R3140" i="3"/>
  <c r="R3139" i="3"/>
  <c r="R3138" i="3"/>
  <c r="R3137" i="3"/>
  <c r="R3136" i="3"/>
  <c r="R3135" i="3"/>
  <c r="R3134" i="3"/>
  <c r="R3133" i="3"/>
  <c r="R3132" i="3"/>
  <c r="R3131" i="3"/>
  <c r="R3130" i="3"/>
  <c r="R3129" i="3"/>
  <c r="R3128" i="3"/>
  <c r="R3127" i="3"/>
  <c r="R3126" i="3"/>
  <c r="R3125" i="3"/>
  <c r="R3124" i="3"/>
  <c r="R3123" i="3"/>
  <c r="R3122" i="3"/>
  <c r="R3121" i="3"/>
  <c r="R3120" i="3"/>
  <c r="R3119" i="3"/>
  <c r="R3117" i="3"/>
  <c r="R3116" i="3"/>
  <c r="R3115" i="3"/>
  <c r="R3114" i="3"/>
  <c r="R3113" i="3"/>
  <c r="R3112" i="3"/>
  <c r="R3111" i="3"/>
  <c r="R3110" i="3"/>
  <c r="R3109" i="3"/>
  <c r="R3108" i="3"/>
  <c r="R3107" i="3"/>
  <c r="R3106" i="3"/>
  <c r="R3105" i="3"/>
  <c r="R3104" i="3"/>
  <c r="R3103" i="3"/>
  <c r="R3102" i="3"/>
  <c r="R3101" i="3"/>
  <c r="R3100" i="3"/>
  <c r="R3099" i="3"/>
  <c r="R3098" i="3"/>
  <c r="R3097" i="3"/>
  <c r="R3096" i="3"/>
  <c r="R3095" i="3"/>
  <c r="R3094" i="3"/>
  <c r="R3093" i="3"/>
  <c r="R3092" i="3"/>
  <c r="R3090" i="3"/>
  <c r="R3089" i="3"/>
  <c r="R3088" i="3"/>
  <c r="R3087" i="3"/>
  <c r="R3086" i="3"/>
  <c r="R3085" i="3"/>
  <c r="R3084" i="3"/>
  <c r="R3083" i="3"/>
  <c r="R3081" i="3"/>
  <c r="R3080" i="3"/>
  <c r="R3079" i="3"/>
  <c r="R3078" i="3"/>
  <c r="R3077" i="3"/>
  <c r="R3076" i="3"/>
  <c r="R3075" i="3"/>
  <c r="R3074" i="3"/>
  <c r="R3073" i="3"/>
  <c r="R3072" i="3"/>
  <c r="R3071" i="3"/>
  <c r="R3070" i="3"/>
  <c r="R3069" i="3"/>
  <c r="R3068" i="3"/>
  <c r="R3067" i="3"/>
  <c r="R3066" i="3"/>
  <c r="R3065" i="3"/>
  <c r="R3064" i="3"/>
  <c r="R3063" i="3"/>
  <c r="R3062" i="3"/>
  <c r="R3061" i="3"/>
  <c r="R3060" i="3"/>
  <c r="R3059" i="3"/>
  <c r="R3058" i="3"/>
  <c r="R3057" i="3"/>
  <c r="R3056" i="3"/>
  <c r="R3055" i="3"/>
  <c r="R3054" i="3"/>
  <c r="R3053" i="3"/>
  <c r="R3052" i="3"/>
  <c r="R3051" i="3"/>
  <c r="R3050" i="3"/>
  <c r="R3049" i="3"/>
  <c r="R3048" i="3"/>
  <c r="R3047" i="3"/>
  <c r="R3046" i="3"/>
  <c r="R3045" i="3"/>
  <c r="R3044" i="3"/>
  <c r="R3043" i="3"/>
  <c r="R3042" i="3"/>
  <c r="R3041" i="3"/>
  <c r="R3040" i="3"/>
  <c r="R3039" i="3"/>
  <c r="R3038" i="3"/>
  <c r="R3037" i="3"/>
  <c r="R3036" i="3"/>
  <c r="R3035" i="3"/>
  <c r="R3034" i="3"/>
  <c r="R3033" i="3"/>
  <c r="R3032" i="3"/>
  <c r="R3031" i="3"/>
  <c r="R3030" i="3"/>
  <c r="R3029" i="3"/>
  <c r="R3028" i="3"/>
  <c r="R3027" i="3"/>
  <c r="R3026" i="3"/>
  <c r="R3025" i="3"/>
  <c r="R3024" i="3"/>
  <c r="R3023" i="3"/>
  <c r="R3022" i="3"/>
  <c r="R3021" i="3"/>
  <c r="R3020" i="3"/>
  <c r="R3019" i="3"/>
  <c r="R3018" i="3"/>
  <c r="R3017" i="3"/>
  <c r="R3016" i="3"/>
  <c r="R3015" i="3"/>
  <c r="R3014" i="3"/>
  <c r="R3013" i="3"/>
  <c r="R3012" i="3"/>
  <c r="R3011" i="3"/>
  <c r="R3010" i="3"/>
  <c r="R3009" i="3"/>
  <c r="R3008" i="3"/>
  <c r="R3007" i="3"/>
  <c r="R3006" i="3"/>
  <c r="R3005" i="3"/>
  <c r="R3004" i="3"/>
  <c r="R3003" i="3"/>
  <c r="R3002" i="3"/>
  <c r="R3001" i="3"/>
  <c r="R3000" i="3"/>
  <c r="R2999" i="3"/>
  <c r="R2998" i="3"/>
  <c r="R2997" i="3"/>
  <c r="R2996" i="3"/>
  <c r="R2995" i="3"/>
  <c r="R2994" i="3"/>
  <c r="R2993" i="3"/>
  <c r="R2992" i="3"/>
  <c r="R2991" i="3"/>
  <c r="R2990" i="3"/>
  <c r="R2989" i="3"/>
  <c r="R2988" i="3"/>
  <c r="R2987" i="3"/>
  <c r="R2986" i="3"/>
  <c r="R2985" i="3"/>
  <c r="R2984" i="3"/>
  <c r="R2983" i="3"/>
  <c r="R2982" i="3"/>
  <c r="R2981" i="3"/>
  <c r="R2980" i="3"/>
  <c r="R2979" i="3"/>
  <c r="R2978" i="3"/>
  <c r="R2977" i="3"/>
  <c r="R2976" i="3"/>
  <c r="R2975" i="3"/>
  <c r="R2974" i="3"/>
  <c r="R2973" i="3"/>
  <c r="R2972" i="3"/>
  <c r="R2971" i="3"/>
  <c r="R2970" i="3"/>
  <c r="R2969" i="3"/>
  <c r="R2968" i="3"/>
  <c r="R2967" i="3"/>
  <c r="R2966" i="3"/>
  <c r="R2965" i="3"/>
  <c r="R2964" i="3"/>
  <c r="R2963" i="3"/>
  <c r="R2962" i="3"/>
  <c r="R2961" i="3"/>
  <c r="R2960" i="3"/>
  <c r="R2959" i="3"/>
  <c r="R2958" i="3"/>
  <c r="R2957" i="3"/>
  <c r="R2956" i="3"/>
  <c r="R2955" i="3"/>
  <c r="R2954" i="3"/>
  <c r="R2953" i="3"/>
  <c r="R2952" i="3"/>
  <c r="R2951" i="3"/>
  <c r="R2950" i="3"/>
  <c r="R2949" i="3"/>
  <c r="R2948" i="3"/>
  <c r="R2947" i="3"/>
  <c r="R2946" i="3"/>
  <c r="R2945" i="3"/>
  <c r="R2944" i="3"/>
  <c r="R2943" i="3"/>
  <c r="R2942" i="3"/>
  <c r="R2941" i="3"/>
  <c r="R2940" i="3"/>
  <c r="R2939" i="3"/>
  <c r="R2938" i="3"/>
  <c r="R2937" i="3"/>
  <c r="R2936" i="3"/>
  <c r="R2935" i="3"/>
  <c r="R2934" i="3"/>
  <c r="R2933" i="3"/>
  <c r="R2932" i="3"/>
  <c r="R2931" i="3"/>
  <c r="R2930" i="3"/>
  <c r="R2929" i="3"/>
  <c r="R2928" i="3"/>
  <c r="R2927" i="3"/>
  <c r="R2926" i="3"/>
  <c r="R2925" i="3"/>
  <c r="R2924" i="3"/>
  <c r="R2923" i="3"/>
  <c r="R2922" i="3"/>
  <c r="R2921" i="3"/>
  <c r="R2920" i="3"/>
  <c r="R2919" i="3"/>
  <c r="R2918" i="3"/>
  <c r="R2917" i="3"/>
  <c r="R2916" i="3"/>
  <c r="R2915" i="3"/>
  <c r="R2914" i="3"/>
  <c r="R2913" i="3"/>
  <c r="R2912" i="3"/>
  <c r="R2911" i="3"/>
  <c r="R2910" i="3"/>
  <c r="R2909" i="3"/>
  <c r="R2908" i="3"/>
  <c r="R2907" i="3"/>
  <c r="R2906" i="3"/>
  <c r="R2905" i="3"/>
  <c r="R2904" i="3"/>
  <c r="R2903" i="3"/>
  <c r="R2902" i="3"/>
  <c r="R2901" i="3"/>
  <c r="R2900" i="3"/>
  <c r="R2899" i="3"/>
  <c r="R2898" i="3"/>
  <c r="R2897" i="3"/>
  <c r="R2896" i="3"/>
  <c r="R2895" i="3"/>
  <c r="R2894" i="3"/>
  <c r="R2893" i="3"/>
  <c r="R2892" i="3"/>
  <c r="R2891" i="3"/>
  <c r="R2890" i="3"/>
  <c r="R2889" i="3"/>
  <c r="R2888" i="3"/>
  <c r="R2887" i="3"/>
  <c r="R2886" i="3"/>
  <c r="R2885" i="3"/>
  <c r="R2884" i="3"/>
  <c r="R2883" i="3"/>
  <c r="R2882" i="3"/>
  <c r="R2881" i="3"/>
  <c r="R2880" i="3"/>
  <c r="R2879" i="3"/>
  <c r="R2878" i="3"/>
  <c r="R2877" i="3"/>
  <c r="R2876" i="3"/>
  <c r="R2875" i="3"/>
  <c r="R2874" i="3"/>
  <c r="R2873" i="3"/>
  <c r="R2872" i="3"/>
  <c r="R2871" i="3"/>
  <c r="R2870" i="3"/>
  <c r="R2869" i="3"/>
  <c r="R2868" i="3"/>
  <c r="R2867" i="3"/>
  <c r="R2866" i="3"/>
  <c r="R2865" i="3"/>
  <c r="R2864" i="3"/>
  <c r="R2863" i="3"/>
  <c r="R2862" i="3"/>
  <c r="R2861" i="3"/>
  <c r="R2860" i="3"/>
  <c r="R2858" i="3"/>
  <c r="R2857" i="3"/>
  <c r="R2856" i="3"/>
  <c r="R2855" i="3"/>
  <c r="R2854" i="3"/>
  <c r="R2853" i="3"/>
  <c r="R2852" i="3"/>
  <c r="R2851" i="3"/>
  <c r="R2850" i="3"/>
  <c r="R2849" i="3"/>
  <c r="R2848" i="3"/>
  <c r="R2847" i="3"/>
  <c r="R2846" i="3"/>
  <c r="R2845" i="3"/>
  <c r="R2844" i="3"/>
  <c r="R2843" i="3"/>
  <c r="R2842" i="3"/>
  <c r="R2841" i="3"/>
  <c r="R2840" i="3"/>
  <c r="R2839" i="3"/>
  <c r="R2838" i="3"/>
  <c r="R2837" i="3"/>
  <c r="R2836" i="3"/>
  <c r="R2835" i="3"/>
  <c r="R2834" i="3"/>
  <c r="R2833" i="3"/>
  <c r="R2832" i="3"/>
  <c r="R2831" i="3"/>
  <c r="R2830" i="3"/>
  <c r="R2829" i="3"/>
  <c r="R2828" i="3"/>
  <c r="R2827" i="3"/>
  <c r="R2826" i="3"/>
  <c r="R2825" i="3"/>
  <c r="R2824" i="3"/>
  <c r="R2823" i="3"/>
  <c r="R2822" i="3"/>
  <c r="R2821" i="3"/>
  <c r="R2820" i="3"/>
  <c r="R2819" i="3"/>
  <c r="R2818" i="3"/>
  <c r="R2817" i="3"/>
  <c r="R2816" i="3"/>
  <c r="R2815" i="3"/>
  <c r="R2814" i="3"/>
  <c r="R2813" i="3"/>
  <c r="R2812" i="3"/>
  <c r="R2811" i="3"/>
  <c r="R2810" i="3"/>
  <c r="R2809" i="3"/>
  <c r="R2808" i="3"/>
  <c r="R2807" i="3"/>
  <c r="R2806" i="3"/>
  <c r="R2805" i="3"/>
  <c r="R2804" i="3"/>
  <c r="R2803" i="3"/>
  <c r="R2802" i="3"/>
  <c r="R2801" i="3"/>
  <c r="R2800" i="3"/>
  <c r="R2799" i="3"/>
  <c r="R2798" i="3"/>
  <c r="R2797" i="3"/>
  <c r="R2796" i="3"/>
  <c r="R2795" i="3"/>
  <c r="R2794" i="3"/>
  <c r="R2793" i="3"/>
  <c r="R2792" i="3"/>
  <c r="R2791" i="3"/>
  <c r="R2790" i="3"/>
  <c r="R2789" i="3"/>
  <c r="R2788" i="3"/>
  <c r="R2787" i="3"/>
  <c r="R2786" i="3"/>
  <c r="R2785" i="3"/>
  <c r="R2784" i="3"/>
  <c r="R2783" i="3"/>
  <c r="R2782" i="3"/>
  <c r="R2781" i="3"/>
  <c r="R2780" i="3"/>
  <c r="R2779" i="3"/>
  <c r="R2778" i="3"/>
  <c r="R2777" i="3"/>
  <c r="R2776" i="3"/>
  <c r="R2775" i="3"/>
  <c r="R2774" i="3"/>
  <c r="R2773" i="3"/>
  <c r="R2772" i="3"/>
  <c r="R2771" i="3"/>
  <c r="R2770" i="3"/>
  <c r="R2769" i="3"/>
  <c r="R2768" i="3"/>
  <c r="R2767" i="3"/>
  <c r="R2766" i="3"/>
  <c r="R2765" i="3"/>
  <c r="R2764" i="3"/>
  <c r="R2763" i="3"/>
  <c r="R2760" i="3"/>
  <c r="R2759" i="3"/>
  <c r="R2758" i="3"/>
  <c r="R2757" i="3"/>
  <c r="R2756" i="3"/>
  <c r="R2755" i="3"/>
  <c r="R2754" i="3"/>
  <c r="R2753" i="3"/>
  <c r="R2752" i="3"/>
  <c r="R2751" i="3"/>
  <c r="R2750" i="3"/>
  <c r="R2749" i="3"/>
  <c r="R2748" i="3"/>
  <c r="R2747" i="3"/>
  <c r="R2746" i="3"/>
  <c r="R2745" i="3"/>
  <c r="R2744" i="3"/>
  <c r="R2743" i="3"/>
  <c r="R2742" i="3"/>
  <c r="R2741" i="3"/>
  <c r="R2740" i="3"/>
  <c r="R2739" i="3"/>
  <c r="R2738" i="3"/>
  <c r="R2737" i="3"/>
  <c r="R2736" i="3"/>
  <c r="R2735" i="3"/>
  <c r="R2734" i="3"/>
  <c r="R2733" i="3"/>
  <c r="R2732" i="3"/>
  <c r="R2731" i="3"/>
  <c r="R2730" i="3"/>
  <c r="R2729" i="3"/>
  <c r="R2728" i="3"/>
  <c r="R2727" i="3"/>
  <c r="R2726" i="3"/>
  <c r="R2725" i="3"/>
  <c r="R2724" i="3"/>
  <c r="R2723" i="3"/>
  <c r="R2722" i="3"/>
  <c r="R2721" i="3"/>
  <c r="R2720" i="3"/>
  <c r="R2719" i="3"/>
  <c r="R2718" i="3"/>
  <c r="R2717" i="3"/>
  <c r="R2716" i="3"/>
  <c r="R2715" i="3"/>
  <c r="R2714" i="3"/>
  <c r="R2713" i="3"/>
  <c r="R2712" i="3"/>
  <c r="R2711" i="3"/>
  <c r="R2710" i="3"/>
  <c r="R2709" i="3"/>
  <c r="R2708" i="3"/>
  <c r="R2707" i="3"/>
  <c r="R2706" i="3"/>
  <c r="R2705" i="3"/>
  <c r="R2704" i="3"/>
  <c r="R2703" i="3"/>
  <c r="R2702" i="3"/>
  <c r="R2701" i="3"/>
  <c r="R2700" i="3"/>
  <c r="R2699" i="3"/>
  <c r="R2698" i="3"/>
  <c r="R2697" i="3"/>
  <c r="R2696" i="3"/>
  <c r="R2695" i="3"/>
  <c r="R2694" i="3"/>
  <c r="R2693" i="3"/>
  <c r="R2692" i="3"/>
  <c r="R2691" i="3"/>
  <c r="R2690" i="3"/>
  <c r="R2689" i="3"/>
  <c r="R2688" i="3"/>
  <c r="R2687" i="3"/>
  <c r="R2686" i="3"/>
  <c r="R2685" i="3"/>
  <c r="R2684" i="3"/>
  <c r="R2683" i="3"/>
  <c r="R2682" i="3"/>
  <c r="R2681" i="3"/>
  <c r="R2680" i="3"/>
  <c r="R2679" i="3"/>
  <c r="R2678" i="3"/>
  <c r="R2677" i="3"/>
  <c r="R2676" i="3"/>
  <c r="R2675" i="3"/>
  <c r="R2674" i="3"/>
  <c r="R2673" i="3"/>
  <c r="R2672" i="3"/>
  <c r="R2671" i="3"/>
  <c r="R2670" i="3"/>
  <c r="R2669" i="3"/>
  <c r="R2668" i="3"/>
  <c r="R2667" i="3"/>
  <c r="R2666" i="3"/>
  <c r="R2665" i="3"/>
  <c r="R2664" i="3"/>
  <c r="R2663" i="3"/>
  <c r="R2662" i="3"/>
  <c r="R2661" i="3"/>
  <c r="R2660" i="3"/>
  <c r="R2659" i="3"/>
  <c r="R2658" i="3"/>
  <c r="R2657" i="3"/>
  <c r="R2656" i="3"/>
  <c r="R2655" i="3"/>
  <c r="R2654" i="3"/>
  <c r="R2653" i="3"/>
  <c r="R2652" i="3"/>
  <c r="R2651" i="3"/>
  <c r="R2650" i="3"/>
  <c r="R2649" i="3"/>
  <c r="R2648" i="3"/>
  <c r="R2647" i="3"/>
  <c r="R2646" i="3"/>
  <c r="R2645" i="3"/>
  <c r="R2644" i="3"/>
  <c r="R2643" i="3"/>
  <c r="R2642" i="3"/>
  <c r="R2641" i="3"/>
  <c r="R2640" i="3"/>
  <c r="R2639" i="3"/>
  <c r="R2638" i="3"/>
  <c r="R2637" i="3"/>
  <c r="R2636" i="3"/>
  <c r="R2635" i="3"/>
  <c r="R2634" i="3"/>
  <c r="R2633" i="3"/>
  <c r="R2632" i="3"/>
  <c r="R2631" i="3"/>
  <c r="R2630" i="3"/>
  <c r="R2629" i="3"/>
  <c r="R2628" i="3"/>
  <c r="R2627" i="3"/>
  <c r="R2626" i="3"/>
  <c r="R2625" i="3"/>
  <c r="R2624" i="3"/>
  <c r="R2623" i="3"/>
  <c r="R2622" i="3"/>
  <c r="R2621" i="3"/>
  <c r="R2620" i="3"/>
  <c r="R2619" i="3"/>
  <c r="R2618" i="3"/>
  <c r="R2617" i="3"/>
  <c r="R2616" i="3"/>
  <c r="R2615" i="3"/>
  <c r="R2614" i="3"/>
  <c r="R2613" i="3"/>
  <c r="R2612" i="3"/>
  <c r="R2611" i="3"/>
  <c r="R2610" i="3"/>
  <c r="R2609" i="3"/>
  <c r="R2608" i="3"/>
  <c r="R2607" i="3"/>
  <c r="R2606" i="3"/>
  <c r="R2605" i="3"/>
  <c r="R2604" i="3"/>
  <c r="R2603" i="3"/>
  <c r="R2602" i="3"/>
  <c r="R2601" i="3"/>
  <c r="R2600" i="3"/>
  <c r="R2599" i="3"/>
  <c r="R2598" i="3"/>
  <c r="R2597" i="3"/>
  <c r="R2596" i="3"/>
  <c r="R2595" i="3"/>
  <c r="R2594" i="3"/>
  <c r="R2593" i="3"/>
  <c r="R2592" i="3"/>
  <c r="R2591" i="3"/>
  <c r="AA9" i="17"/>
  <c r="AB9" i="17" s="1"/>
  <c r="M604" i="5" l="1"/>
  <c r="M602" i="5"/>
  <c r="M605" i="5"/>
  <c r="M600" i="5"/>
  <c r="M598" i="5"/>
  <c r="M597" i="5"/>
  <c r="M599" i="5"/>
  <c r="J600" i="5"/>
  <c r="K600" i="5" s="1"/>
  <c r="M603" i="5"/>
  <c r="J605" i="5"/>
  <c r="K605" i="5" s="1"/>
  <c r="M601" i="5"/>
  <c r="J597" i="5"/>
  <c r="K597" i="5" s="1"/>
  <c r="M292" i="5"/>
  <c r="M293" i="5"/>
  <c r="M291" i="5"/>
  <c r="J293" i="5"/>
  <c r="K293" i="5" s="1"/>
  <c r="J291" i="5"/>
  <c r="K291" i="5" s="1"/>
  <c r="D307" i="1" l="1"/>
  <c r="H2" i="82"/>
  <c r="E2" i="82"/>
  <c r="G2" i="82"/>
  <c r="E2" i="37" l="1"/>
  <c r="E3" i="37"/>
  <c r="E4" i="37"/>
  <c r="E5" i="37"/>
  <c r="E6" i="37"/>
  <c r="E7" i="37"/>
  <c r="E8" i="37"/>
  <c r="E9" i="37"/>
  <c r="E10" i="37"/>
  <c r="E11" i="37"/>
  <c r="E12" i="37"/>
  <c r="E13" i="37"/>
  <c r="E14" i="37"/>
  <c r="O3497" i="3" l="1"/>
  <c r="J681" i="10"/>
  <c r="O3496" i="3"/>
  <c r="O3495" i="3"/>
  <c r="J679" i="10"/>
  <c r="O3494" i="3"/>
  <c r="O3493" i="3"/>
  <c r="J677" i="10"/>
  <c r="O3492" i="3"/>
  <c r="J676" i="10"/>
  <c r="O3491" i="3"/>
  <c r="J680" i="10"/>
  <c r="L680" i="10" s="1"/>
  <c r="J678" i="10"/>
  <c r="K678" i="10" s="1"/>
  <c r="M678" i="10" s="1"/>
  <c r="Q3494" i="3" s="1"/>
  <c r="J675" i="10"/>
  <c r="K675" i="10" s="1"/>
  <c r="M675" i="10" s="1"/>
  <c r="Q3491" i="3" s="1"/>
  <c r="K679" i="10" l="1"/>
  <c r="M679" i="10" s="1"/>
  <c r="Q3495" i="3" s="1"/>
  <c r="P3495" i="3"/>
  <c r="L681" i="10"/>
  <c r="P3497" i="3"/>
  <c r="K681" i="10"/>
  <c r="M681" i="10" s="1"/>
  <c r="Q3497" i="3" s="1"/>
  <c r="K677" i="10"/>
  <c r="M677" i="10" s="1"/>
  <c r="Q3493" i="3" s="1"/>
  <c r="P3493" i="3"/>
  <c r="K676" i="10"/>
  <c r="M676" i="10" s="1"/>
  <c r="Q3492" i="3" s="1"/>
  <c r="P3492" i="3"/>
  <c r="P3494" i="3"/>
  <c r="P3491" i="3"/>
  <c r="P3496" i="3"/>
  <c r="K680" i="10"/>
  <c r="M680" i="10" s="1"/>
  <c r="Q3496" i="3" s="1"/>
  <c r="L675" i="10"/>
  <c r="L676" i="10"/>
  <c r="L677" i="10"/>
  <c r="L678" i="10"/>
  <c r="L679" i="10"/>
  <c r="D282" i="1" l="1"/>
  <c r="H282" i="1" s="1"/>
  <c r="G27" i="68" l="1"/>
  <c r="G26" i="68"/>
  <c r="N24" i="68" l="1"/>
  <c r="M24" i="68"/>
  <c r="N22" i="68"/>
  <c r="M22" i="68"/>
  <c r="N21" i="68"/>
  <c r="M21" i="68"/>
  <c r="L28" i="68"/>
  <c r="O442" i="3"/>
  <c r="O441" i="3"/>
  <c r="O440" i="3"/>
  <c r="R442" i="3"/>
  <c r="J442" i="3"/>
  <c r="R441" i="3"/>
  <c r="J441" i="3"/>
  <c r="R440" i="3"/>
  <c r="J440" i="3"/>
  <c r="O439" i="3"/>
  <c r="R439" i="3"/>
  <c r="J439" i="3"/>
  <c r="D442" i="3"/>
  <c r="D441" i="3"/>
  <c r="D440" i="3"/>
  <c r="D439" i="3"/>
  <c r="O3488" i="3"/>
  <c r="O3467" i="3"/>
  <c r="L674" i="10"/>
  <c r="J3490" i="3"/>
  <c r="J3489" i="3"/>
  <c r="J3488" i="3"/>
  <c r="J3487" i="3"/>
  <c r="O3477" i="3"/>
  <c r="O3470" i="3"/>
  <c r="L3468" i="3"/>
  <c r="M3468" i="3" s="1"/>
  <c r="J3486" i="3"/>
  <c r="J3485" i="3"/>
  <c r="J3484" i="3"/>
  <c r="J3483" i="3"/>
  <c r="J3482" i="3"/>
  <c r="J3481" i="3"/>
  <c r="J3480" i="3"/>
  <c r="J3479" i="3"/>
  <c r="J3478" i="3"/>
  <c r="J3477" i="3"/>
  <c r="J3476" i="3"/>
  <c r="J3475" i="3"/>
  <c r="J3474" i="3"/>
  <c r="J3473" i="3"/>
  <c r="J3472" i="3"/>
  <c r="J3471" i="3"/>
  <c r="J3470" i="3"/>
  <c r="J3469" i="3"/>
  <c r="J3468" i="3"/>
  <c r="O3466" i="3"/>
  <c r="O3465" i="3"/>
  <c r="J3465" i="3"/>
  <c r="J3466" i="3"/>
  <c r="J3467" i="3"/>
  <c r="H16" i="1"/>
  <c r="L3467" i="3" s="1"/>
  <c r="M3467" i="3" s="1"/>
  <c r="J673" i="10" s="1"/>
  <c r="H15" i="1"/>
  <c r="L3466" i="3" s="1"/>
  <c r="M3466" i="3" s="1"/>
  <c r="J672" i="10" s="1"/>
  <c r="H14" i="1"/>
  <c r="L3465" i="3" s="1"/>
  <c r="M3465" i="3" s="1"/>
  <c r="J671" i="10" s="1"/>
  <c r="D524" i="1"/>
  <c r="D34" i="1"/>
  <c r="H34" i="1" s="1"/>
  <c r="D360" i="1"/>
  <c r="H360" i="1" s="1"/>
  <c r="D359" i="1"/>
  <c r="H359" i="1" s="1"/>
  <c r="D358" i="1"/>
  <c r="H358" i="1" s="1"/>
  <c r="D304" i="1"/>
  <c r="A22" i="68"/>
  <c r="A21" i="68"/>
  <c r="G16" i="68"/>
  <c r="G12" i="68"/>
  <c r="G15" i="68" s="1"/>
  <c r="A11" i="68"/>
  <c r="A9" i="68"/>
  <c r="A8" i="68"/>
  <c r="A7" i="68"/>
  <c r="A6" i="68"/>
  <c r="G4" i="68"/>
  <c r="L671" i="10" l="1"/>
  <c r="P3466" i="3"/>
  <c r="A10" i="68"/>
  <c r="B10" i="68" s="1"/>
  <c r="O3489" i="3"/>
  <c r="O3478" i="3"/>
  <c r="O3471" i="3"/>
  <c r="O3485" i="3"/>
  <c r="O3475" i="3"/>
  <c r="O3472" i="3"/>
  <c r="O3476" i="3"/>
  <c r="O3474" i="3"/>
  <c r="O3481" i="3"/>
  <c r="O3468" i="3"/>
  <c r="O3482" i="3"/>
  <c r="O3486" i="3"/>
  <c r="O3490" i="3"/>
  <c r="O3479" i="3"/>
  <c r="L673" i="10"/>
  <c r="O3469" i="3"/>
  <c r="O3483" i="3"/>
  <c r="O3487" i="3"/>
  <c r="O3473" i="3"/>
  <c r="O3480" i="3"/>
  <c r="O3484" i="3"/>
  <c r="K674" i="10"/>
  <c r="M674" i="10" s="1"/>
  <c r="P3465" i="3"/>
  <c r="K672" i="10"/>
  <c r="M672" i="10" s="1"/>
  <c r="Q3466" i="3" s="1"/>
  <c r="L672" i="10"/>
  <c r="P3467" i="3"/>
  <c r="K671" i="10"/>
  <c r="M671" i="10" s="1"/>
  <c r="Q3465" i="3" s="1"/>
  <c r="K673" i="10"/>
  <c r="M673" i="10" s="1"/>
  <c r="Q3467" i="3" s="1"/>
  <c r="K120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192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L670" i="10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O3464" i="3"/>
  <c r="J3464" i="3"/>
  <c r="O3463" i="3"/>
  <c r="O3462" i="3"/>
  <c r="O3461" i="3"/>
  <c r="O3460" i="3"/>
  <c r="O3459" i="3"/>
  <c r="O3458" i="3"/>
  <c r="J3463" i="3"/>
  <c r="J3462" i="3"/>
  <c r="J3461" i="3"/>
  <c r="J3460" i="3"/>
  <c r="J3459" i="3"/>
  <c r="J3458" i="3"/>
  <c r="L1202" i="2" l="1"/>
  <c r="A16" i="68"/>
  <c r="K670" i="10"/>
  <c r="M670" i="10" s="1"/>
  <c r="O3454" i="3" l="1"/>
  <c r="O3457" i="3"/>
  <c r="O3456" i="3"/>
  <c r="O3455" i="3"/>
  <c r="O3453" i="3"/>
  <c r="O3452" i="3"/>
  <c r="O3451" i="3"/>
  <c r="O3450" i="3"/>
  <c r="O3449" i="3"/>
  <c r="O3448" i="3"/>
  <c r="O3447" i="3"/>
  <c r="O3446" i="3"/>
  <c r="O3445" i="3"/>
  <c r="O3444" i="3"/>
  <c r="O3443" i="3"/>
  <c r="O3442" i="3"/>
  <c r="O3441" i="3"/>
  <c r="O3440" i="3"/>
  <c r="O3439" i="3"/>
  <c r="O3438" i="3"/>
  <c r="O3437" i="3"/>
  <c r="O3436" i="3"/>
  <c r="O3435" i="3"/>
  <c r="O3434" i="3"/>
  <c r="O3433" i="3"/>
  <c r="O3432" i="3"/>
  <c r="O3431" i="3"/>
  <c r="O3430" i="3"/>
  <c r="O3429" i="3"/>
  <c r="O3428" i="3"/>
  <c r="O3427" i="3"/>
  <c r="O3426" i="3"/>
  <c r="O3425" i="3"/>
  <c r="O3424" i="3"/>
  <c r="O3423" i="3"/>
  <c r="O3422" i="3"/>
  <c r="O3421" i="3"/>
  <c r="O3420" i="3"/>
  <c r="O3419" i="3"/>
  <c r="O3418" i="3"/>
  <c r="O3417" i="3"/>
  <c r="O3416" i="3"/>
  <c r="O3415" i="3"/>
  <c r="O3414" i="3"/>
  <c r="O3413" i="3"/>
  <c r="O3412" i="3"/>
  <c r="O3411" i="3"/>
  <c r="O3410" i="3"/>
  <c r="O3409" i="3"/>
  <c r="O3408" i="3"/>
  <c r="O3407" i="3"/>
  <c r="O3406" i="3"/>
  <c r="O3405" i="3"/>
  <c r="O3404" i="3"/>
  <c r="O3403" i="3"/>
  <c r="O3402" i="3"/>
  <c r="O3401" i="3"/>
  <c r="O3400" i="3"/>
  <c r="O3399" i="3"/>
  <c r="O3398" i="3"/>
  <c r="O3397" i="3"/>
  <c r="O3396" i="3"/>
  <c r="O3395" i="3"/>
  <c r="O3394" i="3"/>
  <c r="O3393" i="3"/>
  <c r="O3392" i="3"/>
  <c r="O3389" i="3"/>
  <c r="O3388" i="3"/>
  <c r="O3387" i="3"/>
  <c r="O3386" i="3"/>
  <c r="O3385" i="3"/>
  <c r="O3384" i="3"/>
  <c r="O3383" i="3"/>
  <c r="O3382" i="3"/>
  <c r="O3381" i="3"/>
  <c r="O3380" i="3"/>
  <c r="O3379" i="3"/>
  <c r="O3378" i="3"/>
  <c r="O3377" i="3"/>
  <c r="O3376" i="3"/>
  <c r="O3375" i="3"/>
  <c r="O3374" i="3"/>
  <c r="O3373" i="3"/>
  <c r="O3372" i="3"/>
  <c r="O3371" i="3"/>
  <c r="O3370" i="3"/>
  <c r="O3369" i="3"/>
  <c r="O3368" i="3"/>
  <c r="O3367" i="3"/>
  <c r="O3366" i="3"/>
  <c r="O3365" i="3"/>
  <c r="O3364" i="3"/>
  <c r="O3363" i="3"/>
  <c r="O3362" i="3"/>
  <c r="O3361" i="3"/>
  <c r="O3360" i="3"/>
  <c r="O3359" i="3"/>
  <c r="O3358" i="3"/>
  <c r="O3357" i="3"/>
  <c r="O3356" i="3"/>
  <c r="O3355" i="3"/>
  <c r="O3354" i="3"/>
  <c r="O3353" i="3"/>
  <c r="O3352" i="3"/>
  <c r="O3351" i="3"/>
  <c r="O3350" i="3"/>
  <c r="O3349" i="3"/>
  <c r="O3348" i="3"/>
  <c r="O3347" i="3"/>
  <c r="O3346" i="3"/>
  <c r="O3345" i="3"/>
  <c r="O3344" i="3"/>
  <c r="O3343" i="3"/>
  <c r="O3342" i="3"/>
  <c r="O3341" i="3"/>
  <c r="O3340" i="3"/>
  <c r="O3339" i="3"/>
  <c r="O3338" i="3"/>
  <c r="O3337" i="3"/>
  <c r="O3336" i="3"/>
  <c r="O3335" i="3"/>
  <c r="O3334" i="3"/>
  <c r="O3333" i="3"/>
  <c r="O3332" i="3"/>
  <c r="O3331" i="3"/>
  <c r="O3330" i="3"/>
  <c r="O3329" i="3"/>
  <c r="O3328" i="3"/>
  <c r="O3327" i="3"/>
  <c r="O3326" i="3"/>
  <c r="O3325" i="3"/>
  <c r="O3324" i="3"/>
  <c r="O3323" i="3"/>
  <c r="O3322" i="3"/>
  <c r="O3321" i="3"/>
  <c r="O3320" i="3"/>
  <c r="O3319" i="3"/>
  <c r="O3318" i="3"/>
  <c r="O3317" i="3"/>
  <c r="O3316" i="3"/>
  <c r="O3315" i="3"/>
  <c r="O3314" i="3"/>
  <c r="O3313" i="3"/>
  <c r="O3312" i="3"/>
  <c r="O3311" i="3"/>
  <c r="O3310" i="3"/>
  <c r="O3309" i="3"/>
  <c r="O3308" i="3"/>
  <c r="O3307" i="3"/>
  <c r="O3306" i="3"/>
  <c r="O3305" i="3"/>
  <c r="O3304" i="3"/>
  <c r="O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9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303" i="3"/>
  <c r="L143" i="3" l="1"/>
  <c r="L167" i="3"/>
  <c r="L205" i="3"/>
  <c r="L2844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2" i="3"/>
  <c r="J613" i="3"/>
  <c r="J614" i="3"/>
  <c r="J616" i="3"/>
  <c r="J617" i="3"/>
  <c r="J619" i="3"/>
  <c r="J620" i="3"/>
  <c r="J622" i="3"/>
  <c r="J623" i="3"/>
  <c r="J624" i="3"/>
  <c r="J625" i="3"/>
  <c r="J627" i="3"/>
  <c r="J628" i="3"/>
  <c r="J629" i="3"/>
  <c r="J630" i="3"/>
  <c r="J631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3" i="3"/>
  <c r="J3084" i="3"/>
  <c r="J3085" i="3"/>
  <c r="J3086" i="3"/>
  <c r="J3087" i="3"/>
  <c r="J3088" i="3"/>
  <c r="J3089" i="3"/>
  <c r="J3090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K182" i="2"/>
  <c r="K201" i="2"/>
  <c r="K207" i="2"/>
  <c r="K225" i="2"/>
  <c r="K243" i="2"/>
  <c r="K283" i="2"/>
  <c r="K287" i="2"/>
  <c r="K308" i="2"/>
  <c r="K324" i="2"/>
  <c r="K358" i="2"/>
  <c r="K374" i="2"/>
  <c r="K384" i="2"/>
  <c r="K391" i="2"/>
  <c r="K495" i="2"/>
  <c r="K577" i="2"/>
  <c r="K604" i="2"/>
  <c r="K658" i="2"/>
  <c r="K759" i="2"/>
  <c r="K827" i="2"/>
  <c r="K849" i="2"/>
  <c r="K883" i="2"/>
  <c r="K901" i="2"/>
  <c r="K909" i="2"/>
  <c r="K1016" i="2"/>
  <c r="K1043" i="2"/>
  <c r="K1079" i="2"/>
  <c r="K1093" i="2"/>
  <c r="K1105" i="2"/>
  <c r="K1119" i="2"/>
  <c r="K1157" i="2"/>
  <c r="D310" i="1"/>
  <c r="D299" i="1"/>
  <c r="D298" i="1"/>
  <c r="D288" i="1"/>
  <c r="D287" i="1"/>
  <c r="D286" i="1"/>
  <c r="D283" i="1"/>
  <c r="D281" i="1"/>
  <c r="D280" i="1"/>
  <c r="D279" i="1"/>
  <c r="D278" i="1"/>
  <c r="D277" i="1"/>
  <c r="D275" i="1"/>
  <c r="D361" i="1"/>
  <c r="D353" i="1"/>
  <c r="D346" i="1"/>
  <c r="D342" i="1"/>
  <c r="D341" i="1"/>
  <c r="D340" i="1"/>
  <c r="D338" i="1"/>
  <c r="D337" i="1"/>
  <c r="D336" i="1"/>
  <c r="D335" i="1"/>
  <c r="D331" i="1"/>
  <c r="D330" i="1"/>
  <c r="D329" i="1"/>
  <c r="D328" i="1"/>
  <c r="D324" i="1"/>
  <c r="D322" i="1"/>
  <c r="D284" i="1"/>
  <c r="D274" i="1"/>
  <c r="D273" i="1"/>
  <c r="D267" i="1"/>
  <c r="D266" i="1"/>
  <c r="D263" i="1"/>
  <c r="D262" i="1"/>
  <c r="D261" i="1"/>
  <c r="D259" i="1"/>
  <c r="D258" i="1"/>
  <c r="D254" i="1"/>
  <c r="D250" i="1"/>
  <c r="D249" i="1"/>
  <c r="D248" i="1"/>
  <c r="D241" i="1"/>
  <c r="D240" i="1"/>
  <c r="D237" i="1"/>
  <c r="D234" i="1"/>
  <c r="D233" i="1"/>
  <c r="D232" i="1"/>
  <c r="D231" i="1"/>
  <c r="D230" i="1"/>
  <c r="D228" i="1"/>
  <c r="D226" i="1"/>
  <c r="D225" i="1"/>
  <c r="D224" i="1"/>
  <c r="D222" i="1"/>
  <c r="D221" i="1"/>
  <c r="D219" i="1"/>
  <c r="D218" i="1"/>
  <c r="D217" i="1"/>
  <c r="D215" i="1"/>
  <c r="D214" i="1"/>
  <c r="D183" i="1"/>
  <c r="D180" i="1"/>
  <c r="D178" i="1"/>
  <c r="D177" i="1"/>
  <c r="D175" i="1"/>
  <c r="D174" i="1"/>
  <c r="D173" i="1"/>
  <c r="D172" i="1"/>
  <c r="D171" i="1"/>
  <c r="D169" i="1"/>
  <c r="D165" i="1"/>
  <c r="D164" i="1"/>
  <c r="D162" i="1"/>
  <c r="D160" i="1"/>
  <c r="D159" i="1"/>
  <c r="D156" i="1"/>
  <c r="D155" i="1"/>
  <c r="D154" i="1"/>
  <c r="D153" i="1"/>
  <c r="D152" i="1"/>
  <c r="D151" i="1"/>
  <c r="D150" i="1"/>
  <c r="D148" i="1"/>
  <c r="D142" i="1"/>
  <c r="D141" i="1"/>
  <c r="D140" i="1"/>
  <c r="D139" i="1"/>
  <c r="D136" i="1"/>
  <c r="D134" i="1"/>
  <c r="D133" i="1"/>
  <c r="D131" i="1"/>
  <c r="D130" i="1"/>
  <c r="D128" i="1"/>
  <c r="D127" i="1"/>
  <c r="D126" i="1"/>
  <c r="D124" i="1"/>
  <c r="D123" i="1"/>
  <c r="D121" i="1"/>
  <c r="D117" i="1"/>
  <c r="D112" i="1"/>
  <c r="D111" i="1"/>
  <c r="D110" i="1"/>
  <c r="D109" i="1"/>
  <c r="D108" i="1"/>
  <c r="D107" i="1"/>
  <c r="D106" i="1"/>
  <c r="D104" i="1"/>
  <c r="D103" i="1"/>
  <c r="D101" i="1"/>
  <c r="D100" i="1"/>
  <c r="D99" i="1"/>
  <c r="D98" i="1"/>
  <c r="D95" i="1"/>
  <c r="D87" i="1"/>
  <c r="D86" i="1"/>
  <c r="D83" i="1"/>
  <c r="D81" i="1"/>
  <c r="D80" i="1"/>
  <c r="D74" i="1"/>
  <c r="D56" i="1"/>
  <c r="D54" i="1"/>
  <c r="D50" i="1"/>
  <c r="D49" i="1"/>
  <c r="D41" i="1"/>
  <c r="D42" i="1"/>
  <c r="D43" i="1"/>
  <c r="D44" i="1"/>
  <c r="D45" i="1"/>
  <c r="D46" i="1"/>
  <c r="D47" i="1"/>
  <c r="D48" i="1"/>
  <c r="D39" i="1"/>
  <c r="D37" i="1"/>
  <c r="D35" i="1"/>
  <c r="D33" i="1"/>
  <c r="D32" i="1"/>
  <c r="D31" i="1"/>
  <c r="D30" i="1"/>
  <c r="D29" i="1"/>
  <c r="D22" i="1"/>
  <c r="D21" i="1"/>
  <c r="D13" i="1"/>
  <c r="D12" i="1"/>
  <c r="D10" i="1"/>
  <c r="D9" i="1"/>
  <c r="H9" i="1" s="1"/>
  <c r="D7" i="1"/>
  <c r="D6" i="1"/>
  <c r="D4" i="1"/>
  <c r="M9" i="1"/>
  <c r="K205" i="3"/>
  <c r="K167" i="3"/>
  <c r="K143" i="3"/>
  <c r="O3302" i="3"/>
  <c r="O3301" i="3"/>
  <c r="O3300" i="3"/>
  <c r="O3299" i="3"/>
  <c r="H357" i="1"/>
  <c r="H356" i="1"/>
  <c r="L3301" i="3" s="1"/>
  <c r="H355" i="1"/>
  <c r="L3300" i="3" s="1"/>
  <c r="H354" i="1"/>
  <c r="L3299" i="3" s="1"/>
  <c r="D1056" i="5"/>
  <c r="E1056" i="5"/>
  <c r="D1057" i="5"/>
  <c r="E1057" i="5"/>
  <c r="D1058" i="5"/>
  <c r="E1058" i="5"/>
  <c r="D1059" i="5"/>
  <c r="E1059" i="5"/>
  <c r="D1060" i="5"/>
  <c r="E1060" i="5"/>
  <c r="D1061" i="5"/>
  <c r="E1061" i="5"/>
  <c r="D1062" i="5"/>
  <c r="E1062" i="5"/>
  <c r="D1063" i="5"/>
  <c r="E1063" i="5"/>
  <c r="D1064" i="5"/>
  <c r="E1064" i="5"/>
  <c r="D1065" i="5"/>
  <c r="E1065" i="5"/>
  <c r="D1066" i="5"/>
  <c r="E1066" i="5"/>
  <c r="D1067" i="5"/>
  <c r="E1067" i="5"/>
  <c r="D1068" i="5"/>
  <c r="E1068" i="5"/>
  <c r="D1069" i="5"/>
  <c r="E1069" i="5"/>
  <c r="D1070" i="5"/>
  <c r="E1070" i="5"/>
  <c r="D1071" i="5"/>
  <c r="E1071" i="5"/>
  <c r="D1072" i="5"/>
  <c r="E1072" i="5"/>
  <c r="D1073" i="5"/>
  <c r="E1073" i="5"/>
  <c r="D1074" i="5"/>
  <c r="E1074" i="5"/>
  <c r="D1075" i="5"/>
  <c r="E1075" i="5"/>
  <c r="D1076" i="5"/>
  <c r="E1076" i="5"/>
  <c r="D1077" i="5"/>
  <c r="E1077" i="5"/>
  <c r="D1078" i="5"/>
  <c r="E1078" i="5"/>
  <c r="D1079" i="5"/>
  <c r="E1079" i="5"/>
  <c r="D1080" i="5"/>
  <c r="E1080" i="5"/>
  <c r="D1081" i="5"/>
  <c r="E1081" i="5"/>
  <c r="D1082" i="5"/>
  <c r="E1082" i="5"/>
  <c r="D1083" i="5"/>
  <c r="E1083" i="5"/>
  <c r="D1084" i="5"/>
  <c r="E1084" i="5"/>
  <c r="D1085" i="5"/>
  <c r="E1085" i="5"/>
  <c r="D1086" i="5"/>
  <c r="E1086" i="5"/>
  <c r="D1087" i="5"/>
  <c r="E1087" i="5"/>
  <c r="D1088" i="5"/>
  <c r="E1088" i="5"/>
  <c r="D1089" i="5"/>
  <c r="E1089" i="5"/>
  <c r="D1090" i="5"/>
  <c r="E1090" i="5"/>
  <c r="D1091" i="5"/>
  <c r="E1091" i="5"/>
  <c r="D1092" i="5"/>
  <c r="E1092" i="5"/>
  <c r="D1093" i="5"/>
  <c r="E1093" i="5"/>
  <c r="D1094" i="5"/>
  <c r="E1094" i="5"/>
  <c r="D1095" i="5"/>
  <c r="E1095" i="5"/>
  <c r="D1096" i="5"/>
  <c r="E1096" i="5"/>
  <c r="D1097" i="5"/>
  <c r="E1097" i="5"/>
  <c r="D1098" i="5"/>
  <c r="E1098" i="5"/>
  <c r="D1099" i="5"/>
  <c r="E1099" i="5"/>
  <c r="D1100" i="5"/>
  <c r="E1100" i="5"/>
  <c r="D1101" i="5"/>
  <c r="E1101" i="5"/>
  <c r="D1102" i="5"/>
  <c r="E1102" i="5"/>
  <c r="D1103" i="5"/>
  <c r="E1103" i="5"/>
  <c r="D1104" i="5"/>
  <c r="E1104" i="5"/>
  <c r="D1105" i="5"/>
  <c r="E1105" i="5"/>
  <c r="D1106" i="5"/>
  <c r="E1106" i="5"/>
  <c r="D1107" i="5"/>
  <c r="E1107" i="5"/>
  <c r="D1108" i="5"/>
  <c r="E1108" i="5"/>
  <c r="D1109" i="5"/>
  <c r="E1109" i="5"/>
  <c r="D1110" i="5"/>
  <c r="E1110" i="5"/>
  <c r="D1111" i="5"/>
  <c r="E1111" i="5"/>
  <c r="D1112" i="5"/>
  <c r="E1112" i="5"/>
  <c r="D1113" i="5"/>
  <c r="E1113" i="5"/>
  <c r="D1114" i="5"/>
  <c r="E1114" i="5"/>
  <c r="D1115" i="5"/>
  <c r="E1115" i="5"/>
  <c r="D1116" i="5"/>
  <c r="E1116" i="5"/>
  <c r="D1117" i="5"/>
  <c r="E1117" i="5"/>
  <c r="D1118" i="5"/>
  <c r="E1118" i="5"/>
  <c r="D1119" i="5"/>
  <c r="E1119" i="5"/>
  <c r="D1120" i="5"/>
  <c r="E1120" i="5"/>
  <c r="D1121" i="5"/>
  <c r="E1121" i="5"/>
  <c r="D1122" i="5"/>
  <c r="E1122" i="5"/>
  <c r="D1123" i="5"/>
  <c r="E1123" i="5"/>
  <c r="D1124" i="5"/>
  <c r="E1124" i="5"/>
  <c r="D1125" i="5"/>
  <c r="E1125" i="5"/>
  <c r="D1126" i="5"/>
  <c r="E1126" i="5"/>
  <c r="D1127" i="5"/>
  <c r="E1127" i="5"/>
  <c r="D1128" i="5"/>
  <c r="E1128" i="5"/>
  <c r="D1129" i="5"/>
  <c r="E1129" i="5"/>
  <c r="D1130" i="5"/>
  <c r="E1130" i="5"/>
  <c r="D1131" i="5"/>
  <c r="E1131" i="5"/>
  <c r="D1132" i="5"/>
  <c r="E1132" i="5"/>
  <c r="D1133" i="5"/>
  <c r="E1133" i="5"/>
  <c r="D1134" i="5"/>
  <c r="E1134" i="5"/>
  <c r="D1135" i="5"/>
  <c r="E1135" i="5"/>
  <c r="D1136" i="5"/>
  <c r="E1136" i="5"/>
  <c r="D1137" i="5"/>
  <c r="E1137" i="5"/>
  <c r="D1138" i="5"/>
  <c r="E1138" i="5"/>
  <c r="D1139" i="5"/>
  <c r="E1139" i="5"/>
  <c r="D1140" i="5"/>
  <c r="E1140" i="5"/>
  <c r="D1141" i="5"/>
  <c r="E1141" i="5"/>
  <c r="D1142" i="5"/>
  <c r="E1142" i="5"/>
  <c r="D1143" i="5"/>
  <c r="E1143" i="5"/>
  <c r="D1144" i="5"/>
  <c r="E1144" i="5"/>
  <c r="D1145" i="5"/>
  <c r="E1145" i="5"/>
  <c r="D1146" i="5"/>
  <c r="E1146" i="5"/>
  <c r="D1147" i="5"/>
  <c r="E1147" i="5"/>
  <c r="D1148" i="5"/>
  <c r="E1148" i="5"/>
  <c r="D1149" i="5"/>
  <c r="E1149" i="5"/>
  <c r="D1150" i="5"/>
  <c r="E1150" i="5"/>
  <c r="D1151" i="5"/>
  <c r="E1151" i="5"/>
  <c r="D1152" i="5"/>
  <c r="E1152" i="5"/>
  <c r="D1153" i="5"/>
  <c r="E1153" i="5"/>
  <c r="D1154" i="5"/>
  <c r="E1154" i="5"/>
  <c r="D1155" i="5"/>
  <c r="E1155" i="5"/>
  <c r="D1156" i="5"/>
  <c r="E1156" i="5"/>
  <c r="D1157" i="5"/>
  <c r="E1157" i="5"/>
  <c r="D1158" i="5"/>
  <c r="E1158" i="5"/>
  <c r="D1159" i="5"/>
  <c r="E1159" i="5"/>
  <c r="D1160" i="5"/>
  <c r="E1160" i="5"/>
  <c r="D1161" i="5"/>
  <c r="E1161" i="5"/>
  <c r="D1162" i="5"/>
  <c r="E1162" i="5"/>
  <c r="D1163" i="5"/>
  <c r="E1163" i="5"/>
  <c r="D1164" i="5"/>
  <c r="E1164" i="5"/>
  <c r="D1165" i="5"/>
  <c r="E1165" i="5"/>
  <c r="D1166" i="5"/>
  <c r="E1166" i="5"/>
  <c r="D1167" i="5"/>
  <c r="E1167" i="5"/>
  <c r="D1168" i="5"/>
  <c r="E1168" i="5"/>
  <c r="D1169" i="5"/>
  <c r="E1169" i="5"/>
  <c r="D1170" i="5"/>
  <c r="E1170" i="5"/>
  <c r="D1171" i="5"/>
  <c r="E1171" i="5"/>
  <c r="D1172" i="5"/>
  <c r="E1172" i="5"/>
  <c r="D1173" i="5"/>
  <c r="E1173" i="5"/>
  <c r="D1174" i="5"/>
  <c r="E1174" i="5"/>
  <c r="D1175" i="5"/>
  <c r="E1175" i="5"/>
  <c r="D1176" i="5"/>
  <c r="E1176" i="5"/>
  <c r="D1177" i="5"/>
  <c r="E1177" i="5"/>
  <c r="D606" i="5"/>
  <c r="E606" i="5"/>
  <c r="D607" i="5"/>
  <c r="E607" i="5"/>
  <c r="D608" i="5"/>
  <c r="E608" i="5"/>
  <c r="D609" i="5"/>
  <c r="E609" i="5"/>
  <c r="D610" i="5"/>
  <c r="E610" i="5"/>
  <c r="D611" i="5"/>
  <c r="E611" i="5"/>
  <c r="D612" i="5"/>
  <c r="E612" i="5"/>
  <c r="D613" i="5"/>
  <c r="E613" i="5"/>
  <c r="D614" i="5"/>
  <c r="E614" i="5"/>
  <c r="D615" i="5"/>
  <c r="E615" i="5"/>
  <c r="D616" i="5"/>
  <c r="E616" i="5"/>
  <c r="D617" i="5"/>
  <c r="E617" i="5"/>
  <c r="D618" i="5"/>
  <c r="E618" i="5"/>
  <c r="D619" i="5"/>
  <c r="E619" i="5"/>
  <c r="D620" i="5"/>
  <c r="E620" i="5"/>
  <c r="D621" i="5"/>
  <c r="E621" i="5"/>
  <c r="D622" i="5"/>
  <c r="E622" i="5"/>
  <c r="D623" i="5"/>
  <c r="E623" i="5"/>
  <c r="D624" i="5"/>
  <c r="E624" i="5"/>
  <c r="D625" i="5"/>
  <c r="E625" i="5"/>
  <c r="D626" i="5"/>
  <c r="E626" i="5"/>
  <c r="D627" i="5"/>
  <c r="E627" i="5"/>
  <c r="D628" i="5"/>
  <c r="E628" i="5"/>
  <c r="D629" i="5"/>
  <c r="E629" i="5"/>
  <c r="D630" i="5"/>
  <c r="E630" i="5"/>
  <c r="D631" i="5"/>
  <c r="E631" i="5"/>
  <c r="D632" i="5"/>
  <c r="E632" i="5"/>
  <c r="D633" i="5"/>
  <c r="E633" i="5"/>
  <c r="D634" i="5"/>
  <c r="E634" i="5"/>
  <c r="D635" i="5"/>
  <c r="E635" i="5"/>
  <c r="D636" i="5"/>
  <c r="E636" i="5"/>
  <c r="D637" i="5"/>
  <c r="E637" i="5"/>
  <c r="D638" i="5"/>
  <c r="E638" i="5"/>
  <c r="D639" i="5"/>
  <c r="E639" i="5"/>
  <c r="D640" i="5"/>
  <c r="E640" i="5"/>
  <c r="D641" i="5"/>
  <c r="E641" i="5"/>
  <c r="D642" i="5"/>
  <c r="E642" i="5"/>
  <c r="D643" i="5"/>
  <c r="E643" i="5"/>
  <c r="D644" i="5"/>
  <c r="E644" i="5"/>
  <c r="D645" i="5"/>
  <c r="E645" i="5"/>
  <c r="D646" i="5"/>
  <c r="E646" i="5"/>
  <c r="D647" i="5"/>
  <c r="E647" i="5"/>
  <c r="D648" i="5"/>
  <c r="E648" i="5"/>
  <c r="D649" i="5"/>
  <c r="E649" i="5"/>
  <c r="D650" i="5"/>
  <c r="E650" i="5"/>
  <c r="D651" i="5"/>
  <c r="E651" i="5"/>
  <c r="D652" i="5"/>
  <c r="E652" i="5"/>
  <c r="D653" i="5"/>
  <c r="E653" i="5"/>
  <c r="D654" i="5"/>
  <c r="E654" i="5"/>
  <c r="D655" i="5"/>
  <c r="E655" i="5"/>
  <c r="D656" i="5"/>
  <c r="E656" i="5"/>
  <c r="D657" i="5"/>
  <c r="E657" i="5"/>
  <c r="D658" i="5"/>
  <c r="E658" i="5"/>
  <c r="D659" i="5"/>
  <c r="E659" i="5"/>
  <c r="D660" i="5"/>
  <c r="E660" i="5"/>
  <c r="D661" i="5"/>
  <c r="E661" i="5"/>
  <c r="D662" i="5"/>
  <c r="E662" i="5"/>
  <c r="D663" i="5"/>
  <c r="E663" i="5"/>
  <c r="D664" i="5"/>
  <c r="E664" i="5"/>
  <c r="D665" i="5"/>
  <c r="E665" i="5"/>
  <c r="D666" i="5"/>
  <c r="E666" i="5"/>
  <c r="D667" i="5"/>
  <c r="E667" i="5"/>
  <c r="D668" i="5"/>
  <c r="E668" i="5"/>
  <c r="D669" i="5"/>
  <c r="E669" i="5"/>
  <c r="D670" i="5"/>
  <c r="E670" i="5"/>
  <c r="D671" i="5"/>
  <c r="E671" i="5"/>
  <c r="D672" i="5"/>
  <c r="E672" i="5"/>
  <c r="D673" i="5"/>
  <c r="E673" i="5"/>
  <c r="D674" i="5"/>
  <c r="E674" i="5"/>
  <c r="D675" i="5"/>
  <c r="E675" i="5"/>
  <c r="D676" i="5"/>
  <c r="E676" i="5"/>
  <c r="D677" i="5"/>
  <c r="E677" i="5"/>
  <c r="D678" i="5"/>
  <c r="E678" i="5"/>
  <c r="D679" i="5"/>
  <c r="E679" i="5"/>
  <c r="D680" i="5"/>
  <c r="E680" i="5"/>
  <c r="D681" i="5"/>
  <c r="E681" i="5"/>
  <c r="D682" i="5"/>
  <c r="E682" i="5"/>
  <c r="D683" i="5"/>
  <c r="E683" i="5"/>
  <c r="D684" i="5"/>
  <c r="E684" i="5"/>
  <c r="D685" i="5"/>
  <c r="E685" i="5"/>
  <c r="D686" i="5"/>
  <c r="E686" i="5"/>
  <c r="D687" i="5"/>
  <c r="E687" i="5"/>
  <c r="D688" i="5"/>
  <c r="E688" i="5"/>
  <c r="D689" i="5"/>
  <c r="E689" i="5"/>
  <c r="D690" i="5"/>
  <c r="E690" i="5"/>
  <c r="D691" i="5"/>
  <c r="E691" i="5"/>
  <c r="D692" i="5"/>
  <c r="E692" i="5"/>
  <c r="D693" i="5"/>
  <c r="E693" i="5"/>
  <c r="D694" i="5"/>
  <c r="E694" i="5"/>
  <c r="D695" i="5"/>
  <c r="E695" i="5"/>
  <c r="D696" i="5"/>
  <c r="E696" i="5"/>
  <c r="D697" i="5"/>
  <c r="E697" i="5"/>
  <c r="D698" i="5"/>
  <c r="E698" i="5"/>
  <c r="D699" i="5"/>
  <c r="E699" i="5"/>
  <c r="D700" i="5"/>
  <c r="E700" i="5"/>
  <c r="D701" i="5"/>
  <c r="E701" i="5"/>
  <c r="D702" i="5"/>
  <c r="E702" i="5"/>
  <c r="D703" i="5"/>
  <c r="E703" i="5"/>
  <c r="D704" i="5"/>
  <c r="E704" i="5"/>
  <c r="D705" i="5"/>
  <c r="E705" i="5"/>
  <c r="D706" i="5"/>
  <c r="E706" i="5"/>
  <c r="D707" i="5"/>
  <c r="E707" i="5"/>
  <c r="D708" i="5"/>
  <c r="E708" i="5"/>
  <c r="D709" i="5"/>
  <c r="E709" i="5"/>
  <c r="D710" i="5"/>
  <c r="E710" i="5"/>
  <c r="D711" i="5"/>
  <c r="E711" i="5"/>
  <c r="D712" i="5"/>
  <c r="E712" i="5"/>
  <c r="D713" i="5"/>
  <c r="E713" i="5"/>
  <c r="D714" i="5"/>
  <c r="E714" i="5"/>
  <c r="D715" i="5"/>
  <c r="E715" i="5"/>
  <c r="D716" i="5"/>
  <c r="E716" i="5"/>
  <c r="D717" i="5"/>
  <c r="E717" i="5"/>
  <c r="D718" i="5"/>
  <c r="E718" i="5"/>
  <c r="D719" i="5"/>
  <c r="E719" i="5"/>
  <c r="D720" i="5"/>
  <c r="E720" i="5"/>
  <c r="D721" i="5"/>
  <c r="E721" i="5"/>
  <c r="D722" i="5"/>
  <c r="E722" i="5"/>
  <c r="D723" i="5"/>
  <c r="E723" i="5"/>
  <c r="D724" i="5"/>
  <c r="E724" i="5"/>
  <c r="D725" i="5"/>
  <c r="E725" i="5"/>
  <c r="D726" i="5"/>
  <c r="E726" i="5"/>
  <c r="D727" i="5"/>
  <c r="E727" i="5"/>
  <c r="D728" i="5"/>
  <c r="E728" i="5"/>
  <c r="D729" i="5"/>
  <c r="E729" i="5"/>
  <c r="D730" i="5"/>
  <c r="E730" i="5"/>
  <c r="D731" i="5"/>
  <c r="E731" i="5"/>
  <c r="D732" i="5"/>
  <c r="E732" i="5"/>
  <c r="D733" i="5"/>
  <c r="E733" i="5"/>
  <c r="D734" i="5"/>
  <c r="E734" i="5"/>
  <c r="D735" i="5"/>
  <c r="E735" i="5"/>
  <c r="D736" i="5"/>
  <c r="E736" i="5"/>
  <c r="D737" i="5"/>
  <c r="E737" i="5"/>
  <c r="D738" i="5"/>
  <c r="E738" i="5"/>
  <c r="D739" i="5"/>
  <c r="E739" i="5"/>
  <c r="D740" i="5"/>
  <c r="E740" i="5"/>
  <c r="D741" i="5"/>
  <c r="E741" i="5"/>
  <c r="D742" i="5"/>
  <c r="E742" i="5"/>
  <c r="D743" i="5"/>
  <c r="E743" i="5"/>
  <c r="D744" i="5"/>
  <c r="E744" i="5"/>
  <c r="D745" i="5"/>
  <c r="E745" i="5"/>
  <c r="D746" i="5"/>
  <c r="E746" i="5"/>
  <c r="D747" i="5"/>
  <c r="E747" i="5"/>
  <c r="D748" i="5"/>
  <c r="E748" i="5"/>
  <c r="D749" i="5"/>
  <c r="E749" i="5"/>
  <c r="D750" i="5"/>
  <c r="E750" i="5"/>
  <c r="D751" i="5"/>
  <c r="E751" i="5"/>
  <c r="D752" i="5"/>
  <c r="E752" i="5"/>
  <c r="D753" i="5"/>
  <c r="E753" i="5"/>
  <c r="D754" i="5"/>
  <c r="E754" i="5"/>
  <c r="D755" i="5"/>
  <c r="E755" i="5"/>
  <c r="D756" i="5"/>
  <c r="E756" i="5"/>
  <c r="D757" i="5"/>
  <c r="E757" i="5"/>
  <c r="D758" i="5"/>
  <c r="E758" i="5"/>
  <c r="D759" i="5"/>
  <c r="E759" i="5"/>
  <c r="D760" i="5"/>
  <c r="E760" i="5"/>
  <c r="D761" i="5"/>
  <c r="E761" i="5"/>
  <c r="D762" i="5"/>
  <c r="E762" i="5"/>
  <c r="D763" i="5"/>
  <c r="E763" i="5"/>
  <c r="D764" i="5"/>
  <c r="E764" i="5"/>
  <c r="D765" i="5"/>
  <c r="E765" i="5"/>
  <c r="D766" i="5"/>
  <c r="E766" i="5"/>
  <c r="D767" i="5"/>
  <c r="E767" i="5"/>
  <c r="D768" i="5"/>
  <c r="E768" i="5"/>
  <c r="D769" i="5"/>
  <c r="E769" i="5"/>
  <c r="D770" i="5"/>
  <c r="E770" i="5"/>
  <c r="D771" i="5"/>
  <c r="E771" i="5"/>
  <c r="D772" i="5"/>
  <c r="E772" i="5"/>
  <c r="D773" i="5"/>
  <c r="E773" i="5"/>
  <c r="D774" i="5"/>
  <c r="E774" i="5"/>
  <c r="D775" i="5"/>
  <c r="E775" i="5"/>
  <c r="D776" i="5"/>
  <c r="E776" i="5"/>
  <c r="D777" i="5"/>
  <c r="E777" i="5"/>
  <c r="D778" i="5"/>
  <c r="E778" i="5"/>
  <c r="D779" i="5"/>
  <c r="E779" i="5"/>
  <c r="D780" i="5"/>
  <c r="E780" i="5"/>
  <c r="D781" i="5"/>
  <c r="E781" i="5"/>
  <c r="D782" i="5"/>
  <c r="E782" i="5"/>
  <c r="D783" i="5"/>
  <c r="E783" i="5"/>
  <c r="D784" i="5"/>
  <c r="E784" i="5"/>
  <c r="D785" i="5"/>
  <c r="E785" i="5"/>
  <c r="D786" i="5"/>
  <c r="E786" i="5"/>
  <c r="D787" i="5"/>
  <c r="E787" i="5"/>
  <c r="D788" i="5"/>
  <c r="E788" i="5"/>
  <c r="D789" i="5"/>
  <c r="E789" i="5"/>
  <c r="D790" i="5"/>
  <c r="E790" i="5"/>
  <c r="D791" i="5"/>
  <c r="E791" i="5"/>
  <c r="D792" i="5"/>
  <c r="E792" i="5"/>
  <c r="D793" i="5"/>
  <c r="E793" i="5"/>
  <c r="D794" i="5"/>
  <c r="E794" i="5"/>
  <c r="D795" i="5"/>
  <c r="E795" i="5"/>
  <c r="D796" i="5"/>
  <c r="E796" i="5"/>
  <c r="D797" i="5"/>
  <c r="E797" i="5"/>
  <c r="D798" i="5"/>
  <c r="E798" i="5"/>
  <c r="D799" i="5"/>
  <c r="E799" i="5"/>
  <c r="D800" i="5"/>
  <c r="E800" i="5"/>
  <c r="D801" i="5"/>
  <c r="E801" i="5"/>
  <c r="D802" i="5"/>
  <c r="E802" i="5"/>
  <c r="D803" i="5"/>
  <c r="E803" i="5"/>
  <c r="D804" i="5"/>
  <c r="E804" i="5"/>
  <c r="D805" i="5"/>
  <c r="E805" i="5"/>
  <c r="D806" i="5"/>
  <c r="E806" i="5"/>
  <c r="D807" i="5"/>
  <c r="E807" i="5"/>
  <c r="D808" i="5"/>
  <c r="E808" i="5"/>
  <c r="D809" i="5"/>
  <c r="E809" i="5"/>
  <c r="D810" i="5"/>
  <c r="E810" i="5"/>
  <c r="D811" i="5"/>
  <c r="E811" i="5"/>
  <c r="D812" i="5"/>
  <c r="E812" i="5"/>
  <c r="D813" i="5"/>
  <c r="E813" i="5"/>
  <c r="D814" i="5"/>
  <c r="E814" i="5"/>
  <c r="D815" i="5"/>
  <c r="E815" i="5"/>
  <c r="D816" i="5"/>
  <c r="E816" i="5"/>
  <c r="D817" i="5"/>
  <c r="E817" i="5"/>
  <c r="D818" i="5"/>
  <c r="E818" i="5"/>
  <c r="D819" i="5"/>
  <c r="E819" i="5"/>
  <c r="D820" i="5"/>
  <c r="E820" i="5"/>
  <c r="D821" i="5"/>
  <c r="E821" i="5"/>
  <c r="D822" i="5"/>
  <c r="E822" i="5"/>
  <c r="D823" i="5"/>
  <c r="E823" i="5"/>
  <c r="D824" i="5"/>
  <c r="E824" i="5"/>
  <c r="D825" i="5"/>
  <c r="E825" i="5"/>
  <c r="D826" i="5"/>
  <c r="E826" i="5"/>
  <c r="D827" i="5"/>
  <c r="E827" i="5"/>
  <c r="D828" i="5"/>
  <c r="E828" i="5"/>
  <c r="D829" i="5"/>
  <c r="E829" i="5"/>
  <c r="D830" i="5"/>
  <c r="E830" i="5"/>
  <c r="D831" i="5"/>
  <c r="E831" i="5"/>
  <c r="D832" i="5"/>
  <c r="E832" i="5"/>
  <c r="D833" i="5"/>
  <c r="E833" i="5"/>
  <c r="D834" i="5"/>
  <c r="E834" i="5"/>
  <c r="D835" i="5"/>
  <c r="E835" i="5"/>
  <c r="D836" i="5"/>
  <c r="E836" i="5"/>
  <c r="D837" i="5"/>
  <c r="E837" i="5"/>
  <c r="D838" i="5"/>
  <c r="E838" i="5"/>
  <c r="D839" i="5"/>
  <c r="E839" i="5"/>
  <c r="D840" i="5"/>
  <c r="E840" i="5"/>
  <c r="D841" i="5"/>
  <c r="E841" i="5"/>
  <c r="D842" i="5"/>
  <c r="E842" i="5"/>
  <c r="D843" i="5"/>
  <c r="E843" i="5"/>
  <c r="D844" i="5"/>
  <c r="E844" i="5"/>
  <c r="D845" i="5"/>
  <c r="E845" i="5"/>
  <c r="D846" i="5"/>
  <c r="E846" i="5"/>
  <c r="D847" i="5"/>
  <c r="E847" i="5"/>
  <c r="D848" i="5"/>
  <c r="E848" i="5"/>
  <c r="D849" i="5"/>
  <c r="E849" i="5"/>
  <c r="D850" i="5"/>
  <c r="E850" i="5"/>
  <c r="D851" i="5"/>
  <c r="E851" i="5"/>
  <c r="D852" i="5"/>
  <c r="E852" i="5"/>
  <c r="D853" i="5"/>
  <c r="E853" i="5"/>
  <c r="D854" i="5"/>
  <c r="E854" i="5"/>
  <c r="D855" i="5"/>
  <c r="E855" i="5"/>
  <c r="D856" i="5"/>
  <c r="E856" i="5"/>
  <c r="D857" i="5"/>
  <c r="E857" i="5"/>
  <c r="D858" i="5"/>
  <c r="E858" i="5"/>
  <c r="D859" i="5"/>
  <c r="E859" i="5"/>
  <c r="D860" i="5"/>
  <c r="E860" i="5"/>
  <c r="D861" i="5"/>
  <c r="E861" i="5"/>
  <c r="D862" i="5"/>
  <c r="E862" i="5"/>
  <c r="D863" i="5"/>
  <c r="E863" i="5"/>
  <c r="D864" i="5"/>
  <c r="E864" i="5"/>
  <c r="D865" i="5"/>
  <c r="E865" i="5"/>
  <c r="D866" i="5"/>
  <c r="E866" i="5"/>
  <c r="D867" i="5"/>
  <c r="E867" i="5"/>
  <c r="D868" i="5"/>
  <c r="E868" i="5"/>
  <c r="D869" i="5"/>
  <c r="E869" i="5"/>
  <c r="D870" i="5"/>
  <c r="E870" i="5"/>
  <c r="D871" i="5"/>
  <c r="E871" i="5"/>
  <c r="D872" i="5"/>
  <c r="E872" i="5"/>
  <c r="D873" i="5"/>
  <c r="E873" i="5"/>
  <c r="D874" i="5"/>
  <c r="E874" i="5"/>
  <c r="D875" i="5"/>
  <c r="E875" i="5"/>
  <c r="D876" i="5"/>
  <c r="E876" i="5"/>
  <c r="D877" i="5"/>
  <c r="E877" i="5"/>
  <c r="D878" i="5"/>
  <c r="E878" i="5"/>
  <c r="D879" i="5"/>
  <c r="E879" i="5"/>
  <c r="D880" i="5"/>
  <c r="E880" i="5"/>
  <c r="D881" i="5"/>
  <c r="E881" i="5"/>
  <c r="D882" i="5"/>
  <c r="E882" i="5"/>
  <c r="D883" i="5"/>
  <c r="E883" i="5"/>
  <c r="D884" i="5"/>
  <c r="E884" i="5"/>
  <c r="D885" i="5"/>
  <c r="E885" i="5"/>
  <c r="D886" i="5"/>
  <c r="E886" i="5"/>
  <c r="D887" i="5"/>
  <c r="E887" i="5"/>
  <c r="D888" i="5"/>
  <c r="E888" i="5"/>
  <c r="D889" i="5"/>
  <c r="E889" i="5"/>
  <c r="D890" i="5"/>
  <c r="E890" i="5"/>
  <c r="D891" i="5"/>
  <c r="E891" i="5"/>
  <c r="D892" i="5"/>
  <c r="E892" i="5"/>
  <c r="D893" i="5"/>
  <c r="E893" i="5"/>
  <c r="D894" i="5"/>
  <c r="E894" i="5"/>
  <c r="D895" i="5"/>
  <c r="E895" i="5"/>
  <c r="D896" i="5"/>
  <c r="E896" i="5"/>
  <c r="D897" i="5"/>
  <c r="E897" i="5"/>
  <c r="D898" i="5"/>
  <c r="E898" i="5"/>
  <c r="D899" i="5"/>
  <c r="E899" i="5"/>
  <c r="D900" i="5"/>
  <c r="E900" i="5"/>
  <c r="D901" i="5"/>
  <c r="E901" i="5"/>
  <c r="D902" i="5"/>
  <c r="E902" i="5"/>
  <c r="D903" i="5"/>
  <c r="E903" i="5"/>
  <c r="D904" i="5"/>
  <c r="E904" i="5"/>
  <c r="D905" i="5"/>
  <c r="E905" i="5"/>
  <c r="D906" i="5"/>
  <c r="E906" i="5"/>
  <c r="D907" i="5"/>
  <c r="E907" i="5"/>
  <c r="D908" i="5"/>
  <c r="E908" i="5"/>
  <c r="D909" i="5"/>
  <c r="E909" i="5"/>
  <c r="D910" i="5"/>
  <c r="E910" i="5"/>
  <c r="D911" i="5"/>
  <c r="E911" i="5"/>
  <c r="D912" i="5"/>
  <c r="E912" i="5"/>
  <c r="D913" i="5"/>
  <c r="E913" i="5"/>
  <c r="D914" i="5"/>
  <c r="E914" i="5"/>
  <c r="D915" i="5"/>
  <c r="E915" i="5"/>
  <c r="D916" i="5"/>
  <c r="E916" i="5"/>
  <c r="D917" i="5"/>
  <c r="E917" i="5"/>
  <c r="D918" i="5"/>
  <c r="E918" i="5"/>
  <c r="D919" i="5"/>
  <c r="E919" i="5"/>
  <c r="D920" i="5"/>
  <c r="E920" i="5"/>
  <c r="D921" i="5"/>
  <c r="E921" i="5"/>
  <c r="D922" i="5"/>
  <c r="E922" i="5"/>
  <c r="D923" i="5"/>
  <c r="E923" i="5"/>
  <c r="D924" i="5"/>
  <c r="E924" i="5"/>
  <c r="D925" i="5"/>
  <c r="E925" i="5"/>
  <c r="D926" i="5"/>
  <c r="E926" i="5"/>
  <c r="D927" i="5"/>
  <c r="E927" i="5"/>
  <c r="D928" i="5"/>
  <c r="E928" i="5"/>
  <c r="D929" i="5"/>
  <c r="E929" i="5"/>
  <c r="D930" i="5"/>
  <c r="E930" i="5"/>
  <c r="D931" i="5"/>
  <c r="E931" i="5"/>
  <c r="D932" i="5"/>
  <c r="E932" i="5"/>
  <c r="D933" i="5"/>
  <c r="E933" i="5"/>
  <c r="D934" i="5"/>
  <c r="E934" i="5"/>
  <c r="D935" i="5"/>
  <c r="E935" i="5"/>
  <c r="D936" i="5"/>
  <c r="E936" i="5"/>
  <c r="D937" i="5"/>
  <c r="E937" i="5"/>
  <c r="D938" i="5"/>
  <c r="E938" i="5"/>
  <c r="D939" i="5"/>
  <c r="E939" i="5"/>
  <c r="D940" i="5"/>
  <c r="E940" i="5"/>
  <c r="D941" i="5"/>
  <c r="E941" i="5"/>
  <c r="D942" i="5"/>
  <c r="E942" i="5"/>
  <c r="D943" i="5"/>
  <c r="E943" i="5"/>
  <c r="D944" i="5"/>
  <c r="E944" i="5"/>
  <c r="D945" i="5"/>
  <c r="E945" i="5"/>
  <c r="D946" i="5"/>
  <c r="E946" i="5"/>
  <c r="D947" i="5"/>
  <c r="E947" i="5"/>
  <c r="D948" i="5"/>
  <c r="E948" i="5"/>
  <c r="D949" i="5"/>
  <c r="E949" i="5"/>
  <c r="D950" i="5"/>
  <c r="E950" i="5"/>
  <c r="D951" i="5"/>
  <c r="E951" i="5"/>
  <c r="D952" i="5"/>
  <c r="E952" i="5"/>
  <c r="D953" i="5"/>
  <c r="E953" i="5"/>
  <c r="D954" i="5"/>
  <c r="E954" i="5"/>
  <c r="D955" i="5"/>
  <c r="E955" i="5"/>
  <c r="D956" i="5"/>
  <c r="E956" i="5"/>
  <c r="D957" i="5"/>
  <c r="E957" i="5"/>
  <c r="D958" i="5"/>
  <c r="E958" i="5"/>
  <c r="D959" i="5"/>
  <c r="E959" i="5"/>
  <c r="D960" i="5"/>
  <c r="E960" i="5"/>
  <c r="D961" i="5"/>
  <c r="E961" i="5"/>
  <c r="D962" i="5"/>
  <c r="E962" i="5"/>
  <c r="D963" i="5"/>
  <c r="E963" i="5"/>
  <c r="D964" i="5"/>
  <c r="E964" i="5"/>
  <c r="D965" i="5"/>
  <c r="E965" i="5"/>
  <c r="D966" i="5"/>
  <c r="E966" i="5"/>
  <c r="D967" i="5"/>
  <c r="E967" i="5"/>
  <c r="D968" i="5"/>
  <c r="E968" i="5"/>
  <c r="D969" i="5"/>
  <c r="E969" i="5"/>
  <c r="D970" i="5"/>
  <c r="E970" i="5"/>
  <c r="D971" i="5"/>
  <c r="E971" i="5"/>
  <c r="D972" i="5"/>
  <c r="E972" i="5"/>
  <c r="D973" i="5"/>
  <c r="E973" i="5"/>
  <c r="D974" i="5"/>
  <c r="E974" i="5"/>
  <c r="D975" i="5"/>
  <c r="E975" i="5"/>
  <c r="D976" i="5"/>
  <c r="E976" i="5"/>
  <c r="D977" i="5"/>
  <c r="E977" i="5"/>
  <c r="D978" i="5"/>
  <c r="E978" i="5"/>
  <c r="D979" i="5"/>
  <c r="E979" i="5"/>
  <c r="D980" i="5"/>
  <c r="E980" i="5"/>
  <c r="D981" i="5"/>
  <c r="E981" i="5"/>
  <c r="D982" i="5"/>
  <c r="E982" i="5"/>
  <c r="D983" i="5"/>
  <c r="E983" i="5"/>
  <c r="D984" i="5"/>
  <c r="E984" i="5"/>
  <c r="D985" i="5"/>
  <c r="E985" i="5"/>
  <c r="D986" i="5"/>
  <c r="E986" i="5"/>
  <c r="D987" i="5"/>
  <c r="E987" i="5"/>
  <c r="D988" i="5"/>
  <c r="E988" i="5"/>
  <c r="D989" i="5"/>
  <c r="E989" i="5"/>
  <c r="D990" i="5"/>
  <c r="E990" i="5"/>
  <c r="D991" i="5"/>
  <c r="E991" i="5"/>
  <c r="D992" i="5"/>
  <c r="E992" i="5"/>
  <c r="D993" i="5"/>
  <c r="E993" i="5"/>
  <c r="D994" i="5"/>
  <c r="E994" i="5"/>
  <c r="D995" i="5"/>
  <c r="E995" i="5"/>
  <c r="D996" i="5"/>
  <c r="E996" i="5"/>
  <c r="D997" i="5"/>
  <c r="E997" i="5"/>
  <c r="D998" i="5"/>
  <c r="E998" i="5"/>
  <c r="D999" i="5"/>
  <c r="E999" i="5"/>
  <c r="D1000" i="5"/>
  <c r="E1000" i="5"/>
  <c r="D1001" i="5"/>
  <c r="E1001" i="5"/>
  <c r="D1002" i="5"/>
  <c r="E1002" i="5"/>
  <c r="D1003" i="5"/>
  <c r="E1003" i="5"/>
  <c r="D1004" i="5"/>
  <c r="E1004" i="5"/>
  <c r="D1005" i="5"/>
  <c r="E1005" i="5"/>
  <c r="D1006" i="5"/>
  <c r="E1006" i="5"/>
  <c r="D1007" i="5"/>
  <c r="E1007" i="5"/>
  <c r="D1008" i="5"/>
  <c r="E1008" i="5"/>
  <c r="D1009" i="5"/>
  <c r="E1009" i="5"/>
  <c r="D1010" i="5"/>
  <c r="E1010" i="5"/>
  <c r="D1011" i="5"/>
  <c r="E1011" i="5"/>
  <c r="D1012" i="5"/>
  <c r="E1012" i="5"/>
  <c r="D1013" i="5"/>
  <c r="E1013" i="5"/>
  <c r="D1014" i="5"/>
  <c r="E1014" i="5"/>
  <c r="D1015" i="5"/>
  <c r="E1015" i="5"/>
  <c r="D1016" i="5"/>
  <c r="E1016" i="5"/>
  <c r="D1017" i="5"/>
  <c r="E1017" i="5"/>
  <c r="D1018" i="5"/>
  <c r="E1018" i="5"/>
  <c r="D1019" i="5"/>
  <c r="E1019" i="5"/>
  <c r="D1020" i="5"/>
  <c r="E1020" i="5"/>
  <c r="D1021" i="5"/>
  <c r="E1021" i="5"/>
  <c r="D1022" i="5"/>
  <c r="E1022" i="5"/>
  <c r="D1023" i="5"/>
  <c r="E1023" i="5"/>
  <c r="D1024" i="5"/>
  <c r="E1024" i="5"/>
  <c r="D1025" i="5"/>
  <c r="E1025" i="5"/>
  <c r="D1026" i="5"/>
  <c r="E1026" i="5"/>
  <c r="D1027" i="5"/>
  <c r="E1027" i="5"/>
  <c r="D1028" i="5"/>
  <c r="E1028" i="5"/>
  <c r="D1029" i="5"/>
  <c r="E1029" i="5"/>
  <c r="D1030" i="5"/>
  <c r="E1030" i="5"/>
  <c r="D1031" i="5"/>
  <c r="E1031" i="5"/>
  <c r="D1032" i="5"/>
  <c r="E1032" i="5"/>
  <c r="D1033" i="5"/>
  <c r="E1033" i="5"/>
  <c r="D1034" i="5"/>
  <c r="E1034" i="5"/>
  <c r="D1035" i="5"/>
  <c r="E1035" i="5"/>
  <c r="D1036" i="5"/>
  <c r="E1036" i="5"/>
  <c r="D1037" i="5"/>
  <c r="E1037" i="5"/>
  <c r="D1038" i="5"/>
  <c r="E1038" i="5"/>
  <c r="D1039" i="5"/>
  <c r="E1039" i="5"/>
  <c r="D1040" i="5"/>
  <c r="E1040" i="5"/>
  <c r="D1041" i="5"/>
  <c r="E1041" i="5"/>
  <c r="D1042" i="5"/>
  <c r="E1042" i="5"/>
  <c r="D1043" i="5"/>
  <c r="E1043" i="5"/>
  <c r="D1044" i="5"/>
  <c r="E1044" i="5"/>
  <c r="D1045" i="5"/>
  <c r="E1045" i="5"/>
  <c r="D1046" i="5"/>
  <c r="E1046" i="5"/>
  <c r="D1047" i="5"/>
  <c r="E1047" i="5"/>
  <c r="D1048" i="5"/>
  <c r="E1048" i="5"/>
  <c r="D1049" i="5"/>
  <c r="E1049" i="5"/>
  <c r="D1050" i="5"/>
  <c r="E1050" i="5"/>
  <c r="D1051" i="5"/>
  <c r="E1051" i="5"/>
  <c r="D1052" i="5"/>
  <c r="E1052" i="5"/>
  <c r="D1053" i="5"/>
  <c r="E105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F1" i="29"/>
  <c r="F2" i="29" s="1"/>
  <c r="D3295" i="3"/>
  <c r="O3298" i="3"/>
  <c r="O3297" i="3"/>
  <c r="O3296" i="3"/>
  <c r="O3295" i="3"/>
  <c r="O3294" i="3"/>
  <c r="O3293" i="3"/>
  <c r="O3292" i="3"/>
  <c r="O3291" i="3"/>
  <c r="O3290" i="3"/>
  <c r="O3289" i="3"/>
  <c r="O3288" i="3"/>
  <c r="O3287" i="3"/>
  <c r="O3286" i="3"/>
  <c r="O3285" i="3"/>
  <c r="O3284" i="3"/>
  <c r="O3283" i="3"/>
  <c r="O3282" i="3"/>
  <c r="O3281" i="3"/>
  <c r="O3280" i="3"/>
  <c r="O3279" i="3"/>
  <c r="O3278" i="3"/>
  <c r="O3277" i="3"/>
  <c r="O3276" i="3"/>
  <c r="O3275" i="3"/>
  <c r="O3274" i="3"/>
  <c r="O3273" i="3"/>
  <c r="O3272" i="3"/>
  <c r="O3271" i="3"/>
  <c r="O3270" i="3"/>
  <c r="O3269" i="3"/>
  <c r="O3268" i="3"/>
  <c r="O3267" i="3"/>
  <c r="O3266" i="3"/>
  <c r="O3265" i="3"/>
  <c r="O3264" i="3"/>
  <c r="O3263" i="3"/>
  <c r="O3262" i="3"/>
  <c r="O3261" i="3"/>
  <c r="O3260" i="3"/>
  <c r="O3259" i="3"/>
  <c r="O3258" i="3"/>
  <c r="O3257" i="3"/>
  <c r="O3256" i="3"/>
  <c r="O3255" i="3"/>
  <c r="O3254" i="3"/>
  <c r="O3253" i="3"/>
  <c r="O3252" i="3"/>
  <c r="O3251" i="3"/>
  <c r="O3250" i="3"/>
  <c r="O3249" i="3"/>
  <c r="O3248" i="3"/>
  <c r="O3247" i="3"/>
  <c r="O3246" i="3"/>
  <c r="O3245" i="3"/>
  <c r="O3244" i="3"/>
  <c r="O3243" i="3"/>
  <c r="O3242" i="3"/>
  <c r="O3241" i="3"/>
  <c r="O3240" i="3"/>
  <c r="O3239" i="3"/>
  <c r="O3238" i="3"/>
  <c r="O3237" i="3"/>
  <c r="O3236" i="3"/>
  <c r="O3235" i="3"/>
  <c r="O3234" i="3"/>
  <c r="O3233" i="3"/>
  <c r="O3232" i="3"/>
  <c r="O3231" i="3"/>
  <c r="O3230" i="3"/>
  <c r="O3229" i="3"/>
  <c r="O3228" i="3"/>
  <c r="O3227" i="3"/>
  <c r="O3226" i="3"/>
  <c r="O3225" i="3"/>
  <c r="O3224" i="3"/>
  <c r="O3223" i="3"/>
  <c r="O3222" i="3"/>
  <c r="O3221" i="3"/>
  <c r="O3220" i="3"/>
  <c r="O3219" i="3"/>
  <c r="O3218" i="3"/>
  <c r="O3217" i="3"/>
  <c r="O3216" i="3"/>
  <c r="O3215" i="3"/>
  <c r="O3214" i="3"/>
  <c r="O3213" i="3"/>
  <c r="O3212" i="3"/>
  <c r="O3211" i="3"/>
  <c r="O3210" i="3"/>
  <c r="O3209" i="3"/>
  <c r="O3208" i="3"/>
  <c r="O3207" i="3"/>
  <c r="O3206" i="3"/>
  <c r="O3205" i="3"/>
  <c r="O3204" i="3"/>
  <c r="O3203" i="3"/>
  <c r="O3202" i="3"/>
  <c r="O3201" i="3"/>
  <c r="O3200" i="3"/>
  <c r="O3199" i="3"/>
  <c r="O3198" i="3"/>
  <c r="O3197" i="3"/>
  <c r="O3196" i="3"/>
  <c r="O3195" i="3"/>
  <c r="O3194" i="3"/>
  <c r="O3193" i="3"/>
  <c r="O3192" i="3"/>
  <c r="O3191" i="3"/>
  <c r="O3190" i="3"/>
  <c r="O3189" i="3"/>
  <c r="O3188" i="3"/>
  <c r="O3187" i="3"/>
  <c r="O3186" i="3"/>
  <c r="O3185" i="3"/>
  <c r="O3184" i="3"/>
  <c r="O3183" i="3"/>
  <c r="O3182" i="3"/>
  <c r="O3181" i="3"/>
  <c r="O3180" i="3"/>
  <c r="O3179" i="3"/>
  <c r="O3178" i="3"/>
  <c r="O3177" i="3"/>
  <c r="O3176" i="3"/>
  <c r="O3175" i="3"/>
  <c r="O3174" i="3"/>
  <c r="O3173" i="3"/>
  <c r="O3172" i="3"/>
  <c r="O3171" i="3"/>
  <c r="O3170" i="3"/>
  <c r="O3169" i="3"/>
  <c r="O3168" i="3"/>
  <c r="O3167" i="3"/>
  <c r="O3166" i="3"/>
  <c r="O3165" i="3"/>
  <c r="O3164" i="3"/>
  <c r="O3163" i="3"/>
  <c r="O3162" i="3"/>
  <c r="O3161" i="3"/>
  <c r="O3160" i="3"/>
  <c r="O3159" i="3"/>
  <c r="O3158" i="3"/>
  <c r="O3157" i="3"/>
  <c r="O3156" i="3"/>
  <c r="O3155" i="3"/>
  <c r="O3154" i="3"/>
  <c r="O3153" i="3"/>
  <c r="O3152" i="3"/>
  <c r="O3151" i="3"/>
  <c r="O3150" i="3"/>
  <c r="O3149" i="3"/>
  <c r="O3148" i="3"/>
  <c r="O3147" i="3"/>
  <c r="O3146" i="3"/>
  <c r="O3145" i="3"/>
  <c r="O3144" i="3"/>
  <c r="O3143" i="3"/>
  <c r="O3142" i="3"/>
  <c r="O3141" i="3"/>
  <c r="O3140" i="3"/>
  <c r="O3139" i="3"/>
  <c r="O3138" i="3"/>
  <c r="O3137" i="3"/>
  <c r="O3136" i="3"/>
  <c r="O3135" i="3"/>
  <c r="O3134" i="3"/>
  <c r="O3133" i="3"/>
  <c r="O3132" i="3"/>
  <c r="O3131" i="3"/>
  <c r="O3130" i="3"/>
  <c r="O3129" i="3"/>
  <c r="O3128" i="3"/>
  <c r="O3127" i="3"/>
  <c r="O3126" i="3"/>
  <c r="O3125" i="3"/>
  <c r="O3124" i="3"/>
  <c r="O3123" i="3"/>
  <c r="O3122" i="3"/>
  <c r="O3121" i="3"/>
  <c r="O3120" i="3"/>
  <c r="O3119" i="3"/>
  <c r="O3117" i="3"/>
  <c r="O3116" i="3"/>
  <c r="O3115" i="3"/>
  <c r="O3114" i="3"/>
  <c r="O3113" i="3"/>
  <c r="O3112" i="3"/>
  <c r="O3111" i="3"/>
  <c r="O3110" i="3"/>
  <c r="O3109" i="3"/>
  <c r="O3108" i="3"/>
  <c r="O3107" i="3"/>
  <c r="O3106" i="3"/>
  <c r="O3105" i="3"/>
  <c r="O3104" i="3"/>
  <c r="O3103" i="3"/>
  <c r="O3102" i="3"/>
  <c r="O3101" i="3"/>
  <c r="O3100" i="3"/>
  <c r="O3099" i="3"/>
  <c r="O3098" i="3"/>
  <c r="O3097" i="3"/>
  <c r="O3096" i="3"/>
  <c r="O3095" i="3"/>
  <c r="O3094" i="3"/>
  <c r="O3093" i="3"/>
  <c r="O3092" i="3"/>
  <c r="O3090" i="3"/>
  <c r="O3089" i="3"/>
  <c r="O3088" i="3"/>
  <c r="O3087" i="3"/>
  <c r="O3086" i="3"/>
  <c r="O3085" i="3"/>
  <c r="O3084" i="3"/>
  <c r="O3083" i="3"/>
  <c r="O3081" i="3"/>
  <c r="O3080" i="3"/>
  <c r="O3079" i="3"/>
  <c r="O3078" i="3"/>
  <c r="O3077" i="3"/>
  <c r="O3076" i="3"/>
  <c r="O3075" i="3"/>
  <c r="O3074" i="3"/>
  <c r="O3073" i="3"/>
  <c r="O3072" i="3"/>
  <c r="O3071" i="3"/>
  <c r="O3070" i="3"/>
  <c r="O3069" i="3"/>
  <c r="O3068" i="3"/>
  <c r="O3067" i="3"/>
  <c r="O3066" i="3"/>
  <c r="O3065" i="3"/>
  <c r="O3064" i="3"/>
  <c r="O3063" i="3"/>
  <c r="O3062" i="3"/>
  <c r="O3061" i="3"/>
  <c r="O3060" i="3"/>
  <c r="O3059" i="3"/>
  <c r="O3058" i="3"/>
  <c r="O3057" i="3"/>
  <c r="O3056" i="3"/>
  <c r="O3055" i="3"/>
  <c r="O3054" i="3"/>
  <c r="O3053" i="3"/>
  <c r="O3052" i="3"/>
  <c r="O3051" i="3"/>
  <c r="O3050" i="3"/>
  <c r="O3049" i="3"/>
  <c r="O3048" i="3"/>
  <c r="O3047" i="3"/>
  <c r="O3046" i="3"/>
  <c r="O3045" i="3"/>
  <c r="O3044" i="3"/>
  <c r="O3043" i="3"/>
  <c r="O3042" i="3"/>
  <c r="O3041" i="3"/>
  <c r="O3040" i="3"/>
  <c r="O3039" i="3"/>
  <c r="O3038" i="3"/>
  <c r="O3037" i="3"/>
  <c r="O3036" i="3"/>
  <c r="O3035" i="3"/>
  <c r="O3034" i="3"/>
  <c r="O3033" i="3"/>
  <c r="O3032" i="3"/>
  <c r="O3031" i="3"/>
  <c r="O3030" i="3"/>
  <c r="O3029" i="3"/>
  <c r="O3028" i="3"/>
  <c r="O3027" i="3"/>
  <c r="O3026" i="3"/>
  <c r="O3025" i="3"/>
  <c r="O3024" i="3"/>
  <c r="O3023" i="3"/>
  <c r="O3022" i="3"/>
  <c r="O3021" i="3"/>
  <c r="O3020" i="3"/>
  <c r="O3019" i="3"/>
  <c r="O3018" i="3"/>
  <c r="O3017" i="3"/>
  <c r="O3016" i="3"/>
  <c r="O3015" i="3"/>
  <c r="O3014" i="3"/>
  <c r="O3013" i="3"/>
  <c r="O3012" i="3"/>
  <c r="O3011" i="3"/>
  <c r="O3010" i="3"/>
  <c r="O3009" i="3"/>
  <c r="O3008" i="3"/>
  <c r="O3007" i="3"/>
  <c r="O3006" i="3"/>
  <c r="O3005" i="3"/>
  <c r="O3004" i="3"/>
  <c r="O3003" i="3"/>
  <c r="O3002" i="3"/>
  <c r="O3001" i="3"/>
  <c r="O3000" i="3"/>
  <c r="O2999" i="3"/>
  <c r="O2998" i="3"/>
  <c r="O2997" i="3"/>
  <c r="O2996" i="3"/>
  <c r="O2995" i="3"/>
  <c r="O2994" i="3"/>
  <c r="O2993" i="3"/>
  <c r="O2992" i="3"/>
  <c r="O2991" i="3"/>
  <c r="O2990" i="3"/>
  <c r="O2989" i="3"/>
  <c r="O2988" i="3"/>
  <c r="O2987" i="3"/>
  <c r="O2986" i="3"/>
  <c r="O2985" i="3"/>
  <c r="O2984" i="3"/>
  <c r="O2983" i="3"/>
  <c r="O2982" i="3"/>
  <c r="O2981" i="3"/>
  <c r="O2980" i="3"/>
  <c r="O2979" i="3"/>
  <c r="O2978" i="3"/>
  <c r="O2977" i="3"/>
  <c r="O2976" i="3"/>
  <c r="O2975" i="3"/>
  <c r="O2974" i="3"/>
  <c r="O2973" i="3"/>
  <c r="O2972" i="3"/>
  <c r="O2971" i="3"/>
  <c r="O2970" i="3"/>
  <c r="O2969" i="3"/>
  <c r="O2968" i="3"/>
  <c r="O2967" i="3"/>
  <c r="O2966" i="3"/>
  <c r="O2965" i="3"/>
  <c r="O2964" i="3"/>
  <c r="O2963" i="3"/>
  <c r="O2962" i="3"/>
  <c r="O2961" i="3"/>
  <c r="O2960" i="3"/>
  <c r="O2959" i="3"/>
  <c r="O2958" i="3"/>
  <c r="O2957" i="3"/>
  <c r="O2956" i="3"/>
  <c r="O2955" i="3"/>
  <c r="O2954" i="3"/>
  <c r="O2953" i="3"/>
  <c r="O2952" i="3"/>
  <c r="O2951" i="3"/>
  <c r="O2950" i="3"/>
  <c r="O2949" i="3"/>
  <c r="O2948" i="3"/>
  <c r="O2947" i="3"/>
  <c r="O2946" i="3"/>
  <c r="O2945" i="3"/>
  <c r="O2944" i="3"/>
  <c r="O2943" i="3"/>
  <c r="O2942" i="3"/>
  <c r="O2941" i="3"/>
  <c r="O2940" i="3"/>
  <c r="O2939" i="3"/>
  <c r="O2938" i="3"/>
  <c r="O2937" i="3"/>
  <c r="O2936" i="3"/>
  <c r="O2935" i="3"/>
  <c r="O2934" i="3"/>
  <c r="O2933" i="3"/>
  <c r="O2932" i="3"/>
  <c r="O2931" i="3"/>
  <c r="O2930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3" i="3"/>
  <c r="D3084" i="3"/>
  <c r="D3085" i="3"/>
  <c r="D3086" i="3"/>
  <c r="D3087" i="3"/>
  <c r="D3088" i="3"/>
  <c r="D3089" i="3"/>
  <c r="D3090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6" i="3"/>
  <c r="D3297" i="3"/>
  <c r="D3298" i="3"/>
  <c r="O2929" i="3"/>
  <c r="D2929" i="3"/>
  <c r="I63" i="1"/>
  <c r="J63" i="1" s="1"/>
  <c r="O452" i="3"/>
  <c r="O451" i="3"/>
  <c r="R452" i="3"/>
  <c r="R451" i="3"/>
  <c r="D451" i="3"/>
  <c r="D452" i="3"/>
  <c r="O278" i="3"/>
  <c r="O277" i="3"/>
  <c r="R278" i="3"/>
  <c r="R277" i="3"/>
  <c r="D277" i="3"/>
  <c r="D278" i="3"/>
  <c r="K543" i="2" l="1"/>
  <c r="L3413" i="3"/>
  <c r="M3413" i="3" s="1"/>
  <c r="L2601" i="3"/>
  <c r="L2613" i="3"/>
  <c r="L3302" i="3"/>
  <c r="M3302" i="3" s="1"/>
  <c r="J666" i="10" s="1"/>
  <c r="M3300" i="3"/>
  <c r="J664" i="10" s="1"/>
  <c r="M3301" i="3"/>
  <c r="J665" i="10" s="1"/>
  <c r="M3299" i="3"/>
  <c r="J663" i="10" s="1"/>
  <c r="H602" i="5" s="1"/>
  <c r="L570" i="10"/>
  <c r="K570" i="10"/>
  <c r="M570" i="10" s="1"/>
  <c r="H291" i="5" l="1"/>
  <c r="H603" i="5"/>
  <c r="H293" i="5"/>
  <c r="H605" i="5"/>
  <c r="H604" i="5"/>
  <c r="H292" i="5"/>
  <c r="P3302" i="3"/>
  <c r="K666" i="10"/>
  <c r="M666" i="10" s="1"/>
  <c r="L666" i="10"/>
  <c r="P3300" i="3"/>
  <c r="K664" i="10"/>
  <c r="M664" i="10" s="1"/>
  <c r="L664" i="10"/>
  <c r="P3301" i="3"/>
  <c r="L665" i="10"/>
  <c r="P3299" i="3"/>
  <c r="L663" i="10"/>
  <c r="K663" i="10"/>
  <c r="M663" i="10" s="1"/>
  <c r="K665" i="10"/>
  <c r="M665" i="10" s="1"/>
  <c r="J1038" i="2"/>
  <c r="J1037" i="2"/>
  <c r="J1036" i="2"/>
  <c r="J1035" i="2"/>
  <c r="D1037" i="2"/>
  <c r="D1036" i="2"/>
  <c r="Q3302" i="3" l="1"/>
  <c r="I293" i="5"/>
  <c r="I605" i="5"/>
  <c r="Q3300" i="3"/>
  <c r="I291" i="5"/>
  <c r="I603" i="5"/>
  <c r="Q3301" i="3"/>
  <c r="I604" i="5"/>
  <c r="I292" i="5"/>
  <c r="Q3299" i="3"/>
  <c r="I602" i="5"/>
  <c r="F5" i="29"/>
  <c r="F6" i="29"/>
  <c r="F7" i="29"/>
  <c r="F8" i="29"/>
  <c r="F9" i="29"/>
  <c r="F10" i="29"/>
  <c r="F11" i="29"/>
  <c r="F12" i="29"/>
  <c r="F13" i="29"/>
  <c r="F14" i="29"/>
  <c r="F15" i="29"/>
  <c r="F16" i="29"/>
  <c r="M23" i="29"/>
  <c r="H16" i="29"/>
  <c r="H15" i="29"/>
  <c r="H14" i="29"/>
  <c r="H13" i="29"/>
  <c r="H12" i="29"/>
  <c r="H11" i="29"/>
  <c r="H10" i="29"/>
  <c r="H9" i="29"/>
  <c r="H8" i="29"/>
  <c r="H7" i="29"/>
  <c r="H6" i="29"/>
  <c r="H5" i="29"/>
  <c r="M24" i="29"/>
  <c r="M2" i="29"/>
  <c r="N4" i="29" l="1"/>
  <c r="O4" i="29" s="1"/>
  <c r="H4" i="29" l="1"/>
  <c r="G24" i="29" s="1"/>
  <c r="F4" i="29" l="1"/>
  <c r="R4" i="17"/>
  <c r="R3" i="17"/>
  <c r="R2" i="17"/>
  <c r="O2928" i="3" l="1"/>
  <c r="O2927" i="3"/>
  <c r="O2926" i="3"/>
  <c r="O2925" i="3"/>
  <c r="O2924" i="3"/>
  <c r="O2923" i="3"/>
  <c r="O2922" i="3"/>
  <c r="O2921" i="3"/>
  <c r="O2920" i="3"/>
  <c r="O2919" i="3"/>
  <c r="O2918" i="3"/>
  <c r="O2917" i="3"/>
  <c r="O2916" i="3"/>
  <c r="O2915" i="3"/>
  <c r="O2914" i="3"/>
  <c r="O2913" i="3"/>
  <c r="O2912" i="3"/>
  <c r="O2911" i="3"/>
  <c r="O2910" i="3"/>
  <c r="O2909" i="3"/>
  <c r="O2908" i="3"/>
  <c r="O2907" i="3"/>
  <c r="O2906" i="3"/>
  <c r="O2905" i="3"/>
  <c r="O2904" i="3"/>
  <c r="O2903" i="3"/>
  <c r="O2902" i="3"/>
  <c r="O2901" i="3"/>
  <c r="O2900" i="3"/>
  <c r="O2899" i="3"/>
  <c r="O2898" i="3"/>
  <c r="O2897" i="3"/>
  <c r="O2896" i="3" l="1"/>
  <c r="O2895" i="3"/>
  <c r="O2894" i="3"/>
  <c r="O2893" i="3"/>
  <c r="O2892" i="3"/>
  <c r="O2891" i="3"/>
  <c r="O2890" i="3"/>
  <c r="O2889" i="3"/>
  <c r="O2888" i="3"/>
  <c r="O2887" i="3"/>
  <c r="O2886" i="3"/>
  <c r="O2885" i="3"/>
  <c r="O2884" i="3"/>
  <c r="O2883" i="3"/>
  <c r="O2882" i="3"/>
  <c r="O2881" i="3"/>
  <c r="O2880" i="3"/>
  <c r="O2879" i="3"/>
  <c r="O2878" i="3"/>
  <c r="O2877" i="3"/>
  <c r="O2876" i="3"/>
  <c r="O2875" i="3"/>
  <c r="O2874" i="3"/>
  <c r="O2873" i="3"/>
  <c r="O2872" i="3"/>
  <c r="O2871" i="3"/>
  <c r="O2870" i="3"/>
  <c r="O2869" i="3"/>
  <c r="O2868" i="3"/>
  <c r="O2867" i="3"/>
  <c r="O2866" i="3"/>
  <c r="O2865" i="3"/>
  <c r="O2864" i="3"/>
  <c r="O2863" i="3"/>
  <c r="O2862" i="3"/>
  <c r="O2861" i="3"/>
  <c r="O2860" i="3" l="1"/>
  <c r="O2858" i="3"/>
  <c r="O2857" i="3"/>
  <c r="O2856" i="3"/>
  <c r="O2855" i="3"/>
  <c r="O2854" i="3"/>
  <c r="O2853" i="3"/>
  <c r="R1707" i="3" l="1"/>
  <c r="R1706" i="3"/>
  <c r="R1709" i="3"/>
  <c r="J839" i="2"/>
  <c r="D839" i="2"/>
  <c r="J460" i="2"/>
  <c r="J459" i="2"/>
  <c r="R1510" i="3"/>
  <c r="R2352" i="3" l="1"/>
  <c r="E1055" i="5"/>
  <c r="D760" i="2"/>
  <c r="J760" i="2"/>
  <c r="J139" i="2"/>
  <c r="J140" i="2"/>
  <c r="J141" i="2"/>
  <c r="J142" i="2"/>
  <c r="J143" i="2"/>
  <c r="J144" i="2"/>
  <c r="J145" i="2"/>
  <c r="J1191" i="2" l="1"/>
  <c r="J1190" i="2"/>
  <c r="J1189" i="2"/>
  <c r="J1188" i="2"/>
  <c r="J1187" i="2"/>
  <c r="J1186" i="2"/>
  <c r="J1185" i="2"/>
  <c r="J1184" i="2"/>
  <c r="J1183" i="2"/>
  <c r="J1182" i="2"/>
  <c r="H524" i="1" l="1"/>
  <c r="M2844" i="3"/>
  <c r="J1120" i="2" l="1"/>
  <c r="J1119" i="2"/>
  <c r="L1119" i="2" s="1"/>
  <c r="J1118" i="2"/>
  <c r="J1117" i="2"/>
  <c r="J1116" i="2"/>
  <c r="J1115" i="2"/>
  <c r="J1114" i="2"/>
  <c r="J1113" i="2"/>
  <c r="J1112" i="2"/>
  <c r="J1111" i="2"/>
  <c r="J1110" i="2"/>
  <c r="J1109" i="2"/>
  <c r="J1108" i="2"/>
  <c r="R1681" i="3"/>
  <c r="J237" i="2"/>
  <c r="J238" i="2"/>
  <c r="J239" i="2"/>
  <c r="J240" i="2"/>
  <c r="J241" i="2"/>
  <c r="J242" i="2"/>
  <c r="J243" i="2"/>
  <c r="L243" i="2" s="1"/>
  <c r="J244" i="2"/>
  <c r="J245" i="2"/>
  <c r="J246" i="2"/>
  <c r="J247" i="2"/>
  <c r="J248" i="2"/>
  <c r="J249" i="2"/>
  <c r="J250" i="2"/>
  <c r="J251" i="2"/>
  <c r="J252" i="2"/>
  <c r="J253" i="2"/>
  <c r="J236" i="2"/>
  <c r="J519" i="10" l="1"/>
  <c r="J520" i="10"/>
  <c r="J521" i="10"/>
  <c r="J522" i="10"/>
  <c r="J523" i="10"/>
  <c r="J524" i="10"/>
  <c r="J525" i="10"/>
  <c r="J526" i="10"/>
  <c r="J277" i="10"/>
  <c r="K520" i="10" l="1"/>
  <c r="M520" i="10" s="1"/>
  <c r="K526" i="10"/>
  <c r="M526" i="10" s="1"/>
  <c r="K524" i="10"/>
  <c r="M524" i="10" s="1"/>
  <c r="K523" i="10"/>
  <c r="M523" i="10" s="1"/>
  <c r="K525" i="10"/>
  <c r="M525" i="10" s="1"/>
  <c r="K522" i="10"/>
  <c r="M522" i="10" s="1"/>
  <c r="K521" i="10"/>
  <c r="M521" i="10" s="1"/>
  <c r="L522" i="10"/>
  <c r="L525" i="10"/>
  <c r="L521" i="10"/>
  <c r="L524" i="10"/>
  <c r="L526" i="10"/>
  <c r="L523" i="10"/>
  <c r="L520" i="10"/>
  <c r="J42" i="2"/>
  <c r="J43" i="2"/>
  <c r="J44" i="2"/>
  <c r="J45" i="2"/>
  <c r="J46" i="2"/>
  <c r="J47" i="2"/>
  <c r="J48" i="2"/>
  <c r="J49" i="2"/>
  <c r="J50" i="2"/>
  <c r="J51" i="2"/>
  <c r="J52" i="2"/>
  <c r="J41" i="2"/>
  <c r="J32" i="2"/>
  <c r="J33" i="2"/>
  <c r="J34" i="2"/>
  <c r="J35" i="2"/>
  <c r="J36" i="2"/>
  <c r="J37" i="2"/>
  <c r="J38" i="2"/>
  <c r="J39" i="2"/>
  <c r="J40" i="2"/>
  <c r="J31" i="2"/>
  <c r="M2814" i="3" l="1"/>
  <c r="D836" i="2"/>
  <c r="R108" i="3"/>
  <c r="D1171" i="2"/>
  <c r="J1171" i="2"/>
  <c r="J1165" i="2"/>
  <c r="J1166" i="2"/>
  <c r="J1167" i="2"/>
  <c r="J1168" i="2"/>
  <c r="J1169" i="2"/>
  <c r="J1170" i="2"/>
  <c r="J1172" i="2"/>
  <c r="J1173" i="2"/>
  <c r="J1174" i="2"/>
  <c r="J1175" i="2"/>
  <c r="J1164" i="2"/>
  <c r="D1164" i="2"/>
  <c r="J1177" i="2"/>
  <c r="J1178" i="2"/>
  <c r="J1179" i="2"/>
  <c r="J1180" i="2"/>
  <c r="J1181" i="2"/>
  <c r="J1176" i="2"/>
  <c r="D1177" i="2"/>
  <c r="D1178" i="2"/>
  <c r="D1179" i="2"/>
  <c r="D1180" i="2"/>
  <c r="D1181" i="2"/>
  <c r="D1176" i="2"/>
  <c r="H361" i="1"/>
  <c r="L2783" i="3" l="1"/>
  <c r="M2783" i="3" s="1"/>
  <c r="J533" i="10" s="1"/>
  <c r="J959" i="2"/>
  <c r="J960" i="2"/>
  <c r="J961" i="2"/>
  <c r="J962" i="2"/>
  <c r="J963" i="2"/>
  <c r="J964" i="2"/>
  <c r="J965" i="2"/>
  <c r="J966" i="2"/>
  <c r="J967" i="2"/>
  <c r="J968" i="2"/>
  <c r="J969" i="2"/>
  <c r="J970" i="2"/>
  <c r="R3" i="3"/>
  <c r="R12" i="3"/>
  <c r="R13" i="3"/>
  <c r="R14" i="3"/>
  <c r="R15" i="3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605" i="11"/>
  <c r="H611" i="11"/>
  <c r="D612" i="11"/>
  <c r="H612" i="11" s="1"/>
  <c r="D613" i="11"/>
  <c r="H613" i="11" s="1"/>
  <c r="D614" i="11"/>
  <c r="H614" i="11" s="1"/>
  <c r="D615" i="11"/>
  <c r="H615" i="11" s="1"/>
  <c r="D616" i="11"/>
  <c r="H616" i="11" s="1"/>
  <c r="D617" i="11"/>
  <c r="H617" i="11" s="1"/>
  <c r="R2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106" i="3"/>
  <c r="R107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440" i="3"/>
  <c r="R2441" i="3"/>
  <c r="R226" i="3"/>
  <c r="R227" i="3"/>
  <c r="R228" i="3"/>
  <c r="R229" i="3"/>
  <c r="R230" i="3"/>
  <c r="R231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43" i="3"/>
  <c r="R444" i="3"/>
  <c r="R445" i="3"/>
  <c r="R446" i="3"/>
  <c r="R447" i="3"/>
  <c r="R448" i="3"/>
  <c r="R449" i="3"/>
  <c r="R450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2" i="3"/>
  <c r="R613" i="3"/>
  <c r="R614" i="3"/>
  <c r="R616" i="3"/>
  <c r="R617" i="3"/>
  <c r="R619" i="3"/>
  <c r="R620" i="3"/>
  <c r="R622" i="3"/>
  <c r="R623" i="3"/>
  <c r="R624" i="3"/>
  <c r="R625" i="3"/>
  <c r="R627" i="3"/>
  <c r="R628" i="3"/>
  <c r="R629" i="3"/>
  <c r="R630" i="3"/>
  <c r="R631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62" i="3"/>
  <c r="R863" i="3"/>
  <c r="R864" i="3"/>
  <c r="R865" i="3"/>
  <c r="R866" i="3"/>
  <c r="R868" i="3"/>
  <c r="R869" i="3"/>
  <c r="R870" i="3"/>
  <c r="R871" i="3"/>
  <c r="R872" i="3"/>
  <c r="R873" i="3"/>
  <c r="R874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1" i="3"/>
  <c r="R1672" i="3"/>
  <c r="R1675" i="3"/>
  <c r="R1676" i="3"/>
  <c r="R1677" i="3"/>
  <c r="R1678" i="3"/>
  <c r="R1679" i="3"/>
  <c r="R1680" i="3"/>
  <c r="R1682" i="3"/>
  <c r="R1683" i="3"/>
  <c r="R1684" i="3"/>
  <c r="R1685" i="3"/>
  <c r="R1686" i="3"/>
  <c r="R1687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8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3" i="3"/>
  <c r="R2314" i="3"/>
  <c r="R2315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979" i="3"/>
  <c r="R980" i="3"/>
  <c r="R981" i="3"/>
  <c r="R982" i="3"/>
  <c r="R983" i="3"/>
  <c r="R1287" i="3"/>
  <c r="R1288" i="3"/>
  <c r="R1289" i="3"/>
  <c r="R1290" i="3"/>
  <c r="R1291" i="3"/>
  <c r="R1292" i="3"/>
  <c r="R1293" i="3"/>
  <c r="R1294" i="3"/>
  <c r="R1295" i="3"/>
  <c r="K533" i="10" l="1"/>
  <c r="M533" i="10" s="1"/>
  <c r="L533" i="10"/>
  <c r="H189" i="1"/>
  <c r="J2" i="2"/>
  <c r="D117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7" i="2"/>
  <c r="D838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H510" i="1"/>
  <c r="H511" i="1"/>
  <c r="H512" i="1"/>
  <c r="H513" i="1"/>
  <c r="H514" i="1"/>
  <c r="H516" i="1"/>
  <c r="H517" i="1"/>
  <c r="H518" i="1"/>
  <c r="H519" i="1"/>
  <c r="L2770" i="3" s="1"/>
  <c r="H515" i="1"/>
  <c r="L966" i="3" s="1"/>
  <c r="J423" i="2"/>
  <c r="J424" i="2"/>
  <c r="J425" i="2"/>
  <c r="J1146" i="2"/>
  <c r="J1145" i="2"/>
  <c r="J1147" i="2"/>
  <c r="K1802" i="3"/>
  <c r="R1802" i="3" s="1"/>
  <c r="J465" i="2"/>
  <c r="J958" i="2"/>
  <c r="J697" i="2"/>
  <c r="J698" i="2"/>
  <c r="J699" i="2"/>
  <c r="J700" i="2"/>
  <c r="J701" i="2"/>
  <c r="J702" i="2"/>
  <c r="J703" i="2"/>
  <c r="J704" i="2"/>
  <c r="J696" i="2"/>
  <c r="L3400" i="3" l="1"/>
  <c r="M3400" i="3" s="1"/>
  <c r="L3392" i="3"/>
  <c r="M3392" i="3" s="1"/>
  <c r="L3451" i="3"/>
  <c r="M3451" i="3" s="1"/>
  <c r="L3447" i="3"/>
  <c r="M3447" i="3" s="1"/>
  <c r="L3309" i="3"/>
  <c r="M3309" i="3" s="1"/>
  <c r="L3364" i="3"/>
  <c r="M3364" i="3" s="1"/>
  <c r="L3356" i="3"/>
  <c r="M3356" i="3" s="1"/>
  <c r="L3323" i="3"/>
  <c r="M3323" i="3" s="1"/>
  <c r="L3404" i="3"/>
  <c r="M3404" i="3" s="1"/>
  <c r="L3396" i="3"/>
  <c r="M3396" i="3" s="1"/>
  <c r="L3386" i="3"/>
  <c r="M3386" i="3" s="1"/>
  <c r="L3378" i="3"/>
  <c r="M3378" i="3" s="1"/>
  <c r="L3338" i="3"/>
  <c r="M3338" i="3" s="1"/>
  <c r="L3314" i="3"/>
  <c r="M3314" i="3" s="1"/>
  <c r="L3360" i="3"/>
  <c r="M3360" i="3" s="1"/>
  <c r="L3342" i="3"/>
  <c r="M3342" i="3" s="1"/>
  <c r="L3368" i="3"/>
  <c r="M3368" i="3" s="1"/>
  <c r="L3319" i="3"/>
  <c r="M3319" i="3" s="1"/>
  <c r="L3382" i="3"/>
  <c r="M3382" i="3" s="1"/>
  <c r="L3455" i="3"/>
  <c r="M3455" i="3" s="1"/>
  <c r="L3327" i="3"/>
  <c r="M3327" i="3" s="1"/>
  <c r="L3352" i="3"/>
  <c r="M3352" i="3" s="1"/>
  <c r="L3304" i="3"/>
  <c r="M3304" i="3" s="1"/>
  <c r="L3334" i="3"/>
  <c r="M3334" i="3" s="1"/>
  <c r="L2793" i="3"/>
  <c r="M2793" i="3" s="1"/>
  <c r="J443" i="10" s="1"/>
  <c r="L2580" i="3"/>
  <c r="L3280" i="3"/>
  <c r="M3280" i="3" s="1"/>
  <c r="J657" i="10" s="1"/>
  <c r="L3194" i="3"/>
  <c r="M3194" i="3" s="1"/>
  <c r="J599" i="10" s="1"/>
  <c r="K8" i="2"/>
  <c r="K1008" i="2"/>
  <c r="K584" i="2"/>
  <c r="K736" i="2"/>
  <c r="L3281" i="3"/>
  <c r="M3281" i="3" s="1"/>
  <c r="J658" i="10" s="1"/>
  <c r="L2581" i="3"/>
  <c r="J918" i="2"/>
  <c r="J835" i="2"/>
  <c r="J836" i="2"/>
  <c r="J837" i="2"/>
  <c r="J838" i="2"/>
  <c r="J840" i="2"/>
  <c r="J841" i="2"/>
  <c r="J834" i="2"/>
  <c r="D1174" i="2"/>
  <c r="D1173" i="2"/>
  <c r="D1172" i="2"/>
  <c r="D1170" i="2"/>
  <c r="D1169" i="2"/>
  <c r="D1168" i="2"/>
  <c r="D1167" i="2"/>
  <c r="D1166" i="2"/>
  <c r="D1165" i="2"/>
  <c r="J422" i="2"/>
  <c r="J427" i="2"/>
  <c r="J426" i="2"/>
  <c r="J8" i="2"/>
  <c r="H4" i="1"/>
  <c r="H5" i="1"/>
  <c r="H6" i="1"/>
  <c r="H7" i="1"/>
  <c r="H8" i="1"/>
  <c r="H10" i="1"/>
  <c r="L439" i="3" s="1"/>
  <c r="M439" i="3" s="1"/>
  <c r="H11" i="1"/>
  <c r="H12" i="1"/>
  <c r="H13" i="1"/>
  <c r="H17" i="1"/>
  <c r="H18" i="1"/>
  <c r="K742" i="2" s="1"/>
  <c r="H19" i="1"/>
  <c r="L2627" i="3" s="1"/>
  <c r="H20" i="1"/>
  <c r="L2626" i="3" s="1"/>
  <c r="H21" i="1"/>
  <c r="H22" i="1"/>
  <c r="H23" i="1"/>
  <c r="L3461" i="3" s="1"/>
  <c r="M3461" i="3" s="1"/>
  <c r="H24" i="1"/>
  <c r="H25" i="1"/>
  <c r="H26" i="1"/>
  <c r="H27" i="1"/>
  <c r="H28" i="1"/>
  <c r="L3508" i="3" s="1"/>
  <c r="M3508" i="3" s="1"/>
  <c r="H29" i="1"/>
  <c r="H30" i="1"/>
  <c r="L3460" i="3" s="1"/>
  <c r="M3460" i="3" s="1"/>
  <c r="H31" i="1"/>
  <c r="H32" i="1"/>
  <c r="H33" i="1"/>
  <c r="K1216" i="2" s="1"/>
  <c r="L1216" i="2" s="1"/>
  <c r="H35" i="1"/>
  <c r="H36" i="1"/>
  <c r="H37" i="1"/>
  <c r="H38" i="1"/>
  <c r="H39" i="1"/>
  <c r="L3488" i="3" s="1"/>
  <c r="M3488" i="3" s="1"/>
  <c r="H41" i="1"/>
  <c r="H42" i="1"/>
  <c r="H43" i="1"/>
  <c r="H44" i="1"/>
  <c r="H45" i="1"/>
  <c r="H46" i="1"/>
  <c r="L3487" i="3" s="1"/>
  <c r="M3487" i="3" s="1"/>
  <c r="H47" i="1"/>
  <c r="H48" i="1"/>
  <c r="H49" i="1"/>
  <c r="H50" i="1"/>
  <c r="H51" i="1"/>
  <c r="L2217" i="3" s="1"/>
  <c r="H52" i="1"/>
  <c r="H53" i="1"/>
  <c r="H54" i="1"/>
  <c r="H55" i="1"/>
  <c r="H56" i="1"/>
  <c r="H57" i="1"/>
  <c r="H58" i="1"/>
  <c r="H59" i="1"/>
  <c r="L3507" i="3" s="1"/>
  <c r="M3507" i="3" s="1"/>
  <c r="H60" i="1"/>
  <c r="H62" i="1"/>
  <c r="H63" i="1"/>
  <c r="H64" i="1"/>
  <c r="H65" i="1"/>
  <c r="H66" i="1"/>
  <c r="H67" i="1"/>
  <c r="H68" i="1"/>
  <c r="K1226" i="2" s="1"/>
  <c r="L1226" i="2" s="1"/>
  <c r="H69" i="1"/>
  <c r="H70" i="1"/>
  <c r="L3472" i="3" s="1"/>
  <c r="M3472" i="3" s="1"/>
  <c r="H71" i="1"/>
  <c r="H72" i="1"/>
  <c r="H73" i="1"/>
  <c r="L3473" i="3" s="1"/>
  <c r="M3473" i="3" s="1"/>
  <c r="H74" i="1"/>
  <c r="K1197" i="2" s="1"/>
  <c r="L1197" i="2" s="1"/>
  <c r="H75" i="1"/>
  <c r="L3474" i="3" s="1"/>
  <c r="M3474" i="3" s="1"/>
  <c r="H76" i="1"/>
  <c r="K248" i="2" s="1"/>
  <c r="L248" i="2" s="1"/>
  <c r="H77" i="1"/>
  <c r="L3475" i="3" s="1"/>
  <c r="M3475" i="3" s="1"/>
  <c r="H78" i="1"/>
  <c r="H79" i="1"/>
  <c r="H80" i="1"/>
  <c r="H81" i="1"/>
  <c r="H82" i="1"/>
  <c r="H83" i="1"/>
  <c r="L3477" i="3" s="1"/>
  <c r="M3477" i="3" s="1"/>
  <c r="H84" i="1"/>
  <c r="H85" i="1"/>
  <c r="H86" i="1"/>
  <c r="H87" i="1"/>
  <c r="K1233" i="2" s="1"/>
  <c r="L1233" i="2" s="1"/>
  <c r="H88" i="1"/>
  <c r="H89" i="1"/>
  <c r="K1201" i="2" s="1"/>
  <c r="L1201" i="2" s="1"/>
  <c r="H90" i="1"/>
  <c r="H91" i="1"/>
  <c r="H92" i="1"/>
  <c r="H93" i="1"/>
  <c r="H94" i="1"/>
  <c r="H95" i="1"/>
  <c r="K978" i="2" s="1"/>
  <c r="H96" i="1"/>
  <c r="H97" i="1"/>
  <c r="H98" i="1"/>
  <c r="H99" i="1"/>
  <c r="H100" i="1"/>
  <c r="H101" i="1"/>
  <c r="L3479" i="3" s="1"/>
  <c r="M3479" i="3" s="1"/>
  <c r="H102" i="1"/>
  <c r="H103" i="1"/>
  <c r="L3480" i="3" s="1"/>
  <c r="M3480" i="3" s="1"/>
  <c r="H104" i="1"/>
  <c r="L3503" i="3" s="1"/>
  <c r="M3503" i="3" s="1"/>
  <c r="H105" i="1"/>
  <c r="H106" i="1"/>
  <c r="H107" i="1"/>
  <c r="H108" i="1"/>
  <c r="H109" i="1"/>
  <c r="K1236" i="2" s="1"/>
  <c r="L1236" i="2" s="1"/>
  <c r="H110" i="1"/>
  <c r="H111" i="1"/>
  <c r="H112" i="1"/>
  <c r="H113" i="1"/>
  <c r="H114" i="1"/>
  <c r="H115" i="1"/>
  <c r="H116" i="1"/>
  <c r="H117" i="1"/>
  <c r="L448" i="3" s="1"/>
  <c r="H118" i="1"/>
  <c r="H119" i="1"/>
  <c r="H120" i="1"/>
  <c r="H121" i="1"/>
  <c r="H122" i="1"/>
  <c r="L3482" i="3" s="1"/>
  <c r="M3482" i="3" s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L958" i="3" s="1"/>
  <c r="H136" i="1"/>
  <c r="H137" i="1"/>
  <c r="H138" i="1"/>
  <c r="K607" i="2" s="1"/>
  <c r="H139" i="1"/>
  <c r="H140" i="1"/>
  <c r="K1234" i="2" s="1"/>
  <c r="L1234" i="2" s="1"/>
  <c r="H141" i="1"/>
  <c r="H142" i="1"/>
  <c r="K120" i="2" s="1"/>
  <c r="H143" i="1"/>
  <c r="H144" i="1"/>
  <c r="H145" i="1"/>
  <c r="H146" i="1"/>
  <c r="H147" i="1"/>
  <c r="L2753" i="3" s="1"/>
  <c r="H148" i="1"/>
  <c r="H149" i="1"/>
  <c r="K1210" i="2" s="1"/>
  <c r="L1210" i="2" s="1"/>
  <c r="H150" i="1"/>
  <c r="K1237" i="2" s="1"/>
  <c r="L1237" i="2" s="1"/>
  <c r="H151" i="1"/>
  <c r="K1238" i="2" s="1"/>
  <c r="L1238" i="2" s="1"/>
  <c r="H152" i="1"/>
  <c r="L442" i="3" s="1"/>
  <c r="M442" i="3" s="1"/>
  <c r="H153" i="1"/>
  <c r="H154" i="1"/>
  <c r="K1239" i="2" s="1"/>
  <c r="L1239" i="2" s="1"/>
  <c r="H155" i="1"/>
  <c r="K403" i="2" s="1"/>
  <c r="H156" i="1"/>
  <c r="H157" i="1"/>
  <c r="H158" i="1"/>
  <c r="K1196" i="2" s="1"/>
  <c r="L1196" i="2" s="1"/>
  <c r="H159" i="1"/>
  <c r="H160" i="1"/>
  <c r="H161" i="1"/>
  <c r="H162" i="1"/>
  <c r="H163" i="1"/>
  <c r="H164" i="1"/>
  <c r="H165" i="1"/>
  <c r="K473" i="2" s="1"/>
  <c r="H166" i="1"/>
  <c r="H167" i="1"/>
  <c r="H168" i="1"/>
  <c r="K1004" i="2" s="1"/>
  <c r="H169" i="1"/>
  <c r="H170" i="1"/>
  <c r="H171" i="1"/>
  <c r="H172" i="1"/>
  <c r="H173" i="1"/>
  <c r="K149" i="2" s="1"/>
  <c r="H174" i="1"/>
  <c r="H175" i="1"/>
  <c r="H176" i="1"/>
  <c r="H177" i="1"/>
  <c r="H178" i="1"/>
  <c r="K75" i="2" s="1"/>
  <c r="H179" i="1"/>
  <c r="K5" i="2" s="1"/>
  <c r="H180" i="1"/>
  <c r="H181" i="1"/>
  <c r="H182" i="1"/>
  <c r="K386" i="2" s="1"/>
  <c r="H183" i="1"/>
  <c r="H184" i="1"/>
  <c r="H185" i="1"/>
  <c r="K625" i="2" s="1"/>
  <c r="H186" i="1"/>
  <c r="H187" i="1"/>
  <c r="L441" i="3" s="1"/>
  <c r="M441" i="3" s="1"/>
  <c r="H188" i="1"/>
  <c r="H190" i="1"/>
  <c r="K426" i="2" s="1"/>
  <c r="H191" i="1"/>
  <c r="H192" i="1"/>
  <c r="H193" i="1"/>
  <c r="H194" i="1"/>
  <c r="H195" i="1"/>
  <c r="H196" i="1"/>
  <c r="H197" i="1"/>
  <c r="H198" i="1"/>
  <c r="H199" i="1"/>
  <c r="H200" i="1"/>
  <c r="L758" i="3" s="1"/>
  <c r="H201" i="1"/>
  <c r="K1003" i="2" s="1"/>
  <c r="H202" i="1"/>
  <c r="H203" i="1"/>
  <c r="H204" i="1"/>
  <c r="H205" i="1"/>
  <c r="H206" i="1"/>
  <c r="H207" i="1"/>
  <c r="K1203" i="2" s="1"/>
  <c r="L1203" i="2" s="1"/>
  <c r="H208" i="1"/>
  <c r="H209" i="1"/>
  <c r="K1204" i="2" s="1"/>
  <c r="L1204" i="2" s="1"/>
  <c r="H210" i="1"/>
  <c r="H211" i="1"/>
  <c r="H212" i="1"/>
  <c r="H213" i="1"/>
  <c r="H214" i="1"/>
  <c r="H215" i="1"/>
  <c r="H216" i="1"/>
  <c r="H217" i="1"/>
  <c r="K146" i="2" s="1"/>
  <c r="H218" i="1"/>
  <c r="H219" i="1"/>
  <c r="K378" i="2" s="1"/>
  <c r="H220" i="1"/>
  <c r="H221" i="1"/>
  <c r="K284" i="2" s="1"/>
  <c r="H222" i="1"/>
  <c r="K373" i="2" s="1"/>
  <c r="H223" i="1"/>
  <c r="H224" i="1"/>
  <c r="H225" i="1"/>
  <c r="K1241" i="2" s="1"/>
  <c r="L1241" i="2" s="1"/>
  <c r="H226" i="1"/>
  <c r="K788" i="2" s="1"/>
  <c r="H227" i="1"/>
  <c r="H228" i="1"/>
  <c r="H229" i="1"/>
  <c r="L2215" i="3" s="1"/>
  <c r="H230" i="1"/>
  <c r="L2219" i="3" s="1"/>
  <c r="H231" i="1"/>
  <c r="L2221" i="3" s="1"/>
  <c r="H232" i="1"/>
  <c r="L2220" i="3" s="1"/>
  <c r="H233" i="1"/>
  <c r="L2218" i="3" s="1"/>
  <c r="H234" i="1"/>
  <c r="L900" i="3" s="1"/>
  <c r="H235" i="1"/>
  <c r="L2437" i="3" s="1"/>
  <c r="H236" i="1"/>
  <c r="L2222" i="3" s="1"/>
  <c r="H237" i="1"/>
  <c r="L2577" i="3" s="1"/>
  <c r="H238" i="1"/>
  <c r="L976" i="3" s="1"/>
  <c r="H239" i="1"/>
  <c r="H240" i="1"/>
  <c r="H241" i="1"/>
  <c r="K1039" i="2" s="1"/>
  <c r="H242" i="1"/>
  <c r="H243" i="1"/>
  <c r="H244" i="1"/>
  <c r="H245" i="1"/>
  <c r="H246" i="1"/>
  <c r="H247" i="1"/>
  <c r="H248" i="1"/>
  <c r="L1264" i="3" s="1"/>
  <c r="H249" i="1"/>
  <c r="H250" i="1"/>
  <c r="H251" i="1"/>
  <c r="H252" i="1"/>
  <c r="H253" i="1"/>
  <c r="L3489" i="3" s="1"/>
  <c r="M3489" i="3" s="1"/>
  <c r="H254" i="1"/>
  <c r="H255" i="1"/>
  <c r="K1214" i="2" s="1"/>
  <c r="L1214" i="2" s="1"/>
  <c r="H256" i="1"/>
  <c r="K557" i="2" s="1"/>
  <c r="H257" i="1"/>
  <c r="H258" i="1"/>
  <c r="H259" i="1"/>
  <c r="H260" i="1"/>
  <c r="H261" i="1"/>
  <c r="H262" i="1"/>
  <c r="H263" i="1"/>
  <c r="H264" i="1"/>
  <c r="K151" i="2" s="1"/>
  <c r="H265" i="1"/>
  <c r="L3498" i="3" s="1"/>
  <c r="M3498" i="3" s="1"/>
  <c r="J682" i="10" s="1"/>
  <c r="H266" i="1"/>
  <c r="H267" i="1"/>
  <c r="H268" i="1"/>
  <c r="H269" i="1"/>
  <c r="H270" i="1"/>
  <c r="H271" i="1"/>
  <c r="H272" i="1"/>
  <c r="K1005" i="2" s="1"/>
  <c r="H273" i="1"/>
  <c r="L2572" i="3" s="1"/>
  <c r="H274" i="1"/>
  <c r="L2573" i="3" s="1"/>
  <c r="H275" i="1"/>
  <c r="K147" i="2" s="1"/>
  <c r="H276" i="1"/>
  <c r="H277" i="1"/>
  <c r="H278" i="1"/>
  <c r="H279" i="1"/>
  <c r="H280" i="1"/>
  <c r="H281" i="1"/>
  <c r="L3485" i="3" s="1"/>
  <c r="M3485" i="3" s="1"/>
  <c r="H283" i="1"/>
  <c r="H284" i="1"/>
  <c r="H285" i="1"/>
  <c r="H286" i="1"/>
  <c r="H287" i="1"/>
  <c r="H288" i="1"/>
  <c r="H289" i="1"/>
  <c r="H290" i="1"/>
  <c r="H291" i="1"/>
  <c r="K1121" i="2" s="1"/>
  <c r="H292" i="1"/>
  <c r="H293" i="1"/>
  <c r="H294" i="1"/>
  <c r="H295" i="1"/>
  <c r="H296" i="1"/>
  <c r="H297" i="1"/>
  <c r="L2579" i="3" s="1"/>
  <c r="H298" i="1"/>
  <c r="H299" i="1"/>
  <c r="H300" i="1"/>
  <c r="L3499" i="3"/>
  <c r="M3499" i="3" s="1"/>
  <c r="J683" i="10" s="1"/>
  <c r="H301" i="1"/>
  <c r="L3500" i="3" s="1"/>
  <c r="M3500" i="3" s="1"/>
  <c r="H302" i="1"/>
  <c r="K1194" i="2" s="1"/>
  <c r="L1194" i="2" s="1"/>
  <c r="H303" i="1"/>
  <c r="L2779" i="3" s="1"/>
  <c r="H304" i="1"/>
  <c r="K1219" i="2" s="1"/>
  <c r="L1219" i="2" s="1"/>
  <c r="H305" i="1"/>
  <c r="H306" i="1"/>
  <c r="H307" i="1"/>
  <c r="H308" i="1"/>
  <c r="H309" i="1"/>
  <c r="H310" i="1"/>
  <c r="L2757" i="3" s="1"/>
  <c r="H311" i="1"/>
  <c r="K912" i="2" s="1"/>
  <c r="H312" i="1"/>
  <c r="H313" i="1"/>
  <c r="H314" i="1"/>
  <c r="H315" i="1"/>
  <c r="H316" i="1"/>
  <c r="H317" i="1"/>
  <c r="H318" i="1"/>
  <c r="L850" i="3" s="1"/>
  <c r="H319" i="1"/>
  <c r="H320" i="1"/>
  <c r="H321" i="1"/>
  <c r="H322" i="1"/>
  <c r="H323" i="1"/>
  <c r="L855" i="3" s="1"/>
  <c r="H324" i="1"/>
  <c r="K1242" i="2" s="1"/>
  <c r="L1242" i="2" s="1"/>
  <c r="H325" i="1"/>
  <c r="L962" i="3" s="1"/>
  <c r="M962" i="3" s="1"/>
  <c r="H326" i="1"/>
  <c r="H327" i="1"/>
  <c r="L2541" i="3" s="1"/>
  <c r="H328" i="1"/>
  <c r="H329" i="1"/>
  <c r="L2213" i="3" s="1"/>
  <c r="H330" i="1"/>
  <c r="L2214" i="3" s="1"/>
  <c r="H331" i="1"/>
  <c r="H332" i="1"/>
  <c r="K891" i="2" s="1"/>
  <c r="H333" i="1"/>
  <c r="H334" i="1"/>
  <c r="K1086" i="2" s="1"/>
  <c r="H335" i="1"/>
  <c r="H336" i="1"/>
  <c r="L126" i="3" s="1"/>
  <c r="H337" i="1"/>
  <c r="H338" i="1"/>
  <c r="K1144" i="2" s="1"/>
  <c r="H339" i="1"/>
  <c r="H340" i="1"/>
  <c r="H341" i="1"/>
  <c r="L2357" i="3" s="1"/>
  <c r="H342" i="1"/>
  <c r="K762" i="2" s="1"/>
  <c r="H343" i="1"/>
  <c r="L3558" i="3" s="1"/>
  <c r="M3558" i="3" s="1"/>
  <c r="H344" i="1"/>
  <c r="H345" i="1"/>
  <c r="H346" i="1"/>
  <c r="L2211" i="3" s="1"/>
  <c r="H347" i="1"/>
  <c r="H348" i="1"/>
  <c r="H349" i="1"/>
  <c r="H350" i="1"/>
  <c r="H351" i="1"/>
  <c r="K1140" i="2" s="1"/>
  <c r="H352" i="1"/>
  <c r="K1141" i="2" s="1"/>
  <c r="H353" i="1"/>
  <c r="K1240" i="2" l="1"/>
  <c r="L1240" i="2" s="1"/>
  <c r="L3556" i="3"/>
  <c r="M3556" i="3" s="1"/>
  <c r="L2540" i="3"/>
  <c r="L3557" i="3"/>
  <c r="M3557" i="3" s="1"/>
  <c r="K1218" i="2"/>
  <c r="L1218" i="2" s="1"/>
  <c r="L3391" i="3"/>
  <c r="M3391" i="3" s="1"/>
  <c r="K1200" i="2"/>
  <c r="L1200" i="2" s="1"/>
  <c r="K1235" i="2"/>
  <c r="L1235" i="2" s="1"/>
  <c r="L3547" i="3"/>
  <c r="M3547" i="3" s="1"/>
  <c r="L3535" i="3"/>
  <c r="M3535" i="3" s="1"/>
  <c r="L3549" i="3"/>
  <c r="M3549" i="3" s="1"/>
  <c r="L3537" i="3"/>
  <c r="M3537" i="3" s="1"/>
  <c r="L3541" i="3"/>
  <c r="M3541" i="3" s="1"/>
  <c r="L3553" i="3"/>
  <c r="M3553" i="3" s="1"/>
  <c r="L3546" i="3"/>
  <c r="M3546" i="3" s="1"/>
  <c r="L3534" i="3"/>
  <c r="M3534" i="3" s="1"/>
  <c r="K1195" i="2"/>
  <c r="L1195" i="2" s="1"/>
  <c r="K1229" i="2"/>
  <c r="L1229" i="2" s="1"/>
  <c r="K1224" i="2"/>
  <c r="L1224" i="2" s="1"/>
  <c r="K1221" i="2"/>
  <c r="L1221" i="2" s="1"/>
  <c r="K1228" i="2"/>
  <c r="L1228" i="2" s="1"/>
  <c r="K1223" i="2"/>
  <c r="L1223" i="2" s="1"/>
  <c r="K1225" i="2"/>
  <c r="L1225" i="2" s="1"/>
  <c r="K1222" i="2"/>
  <c r="L1222" i="2" s="1"/>
  <c r="K1227" i="2"/>
  <c r="L1227" i="2" s="1"/>
  <c r="K1220" i="2"/>
  <c r="L1220" i="2" s="1"/>
  <c r="K1232" i="2"/>
  <c r="L1232" i="2" s="1"/>
  <c r="K1231" i="2"/>
  <c r="L1231" i="2" s="1"/>
  <c r="K1230" i="2"/>
  <c r="L1230" i="2" s="1"/>
  <c r="L3506" i="3"/>
  <c r="M3506" i="3" s="1"/>
  <c r="L3505" i="3"/>
  <c r="M3505" i="3" s="1"/>
  <c r="K1198" i="2"/>
  <c r="L1198" i="2" s="1"/>
  <c r="L426" i="2"/>
  <c r="L8" i="2"/>
  <c r="L2212" i="3"/>
  <c r="L3518" i="3"/>
  <c r="M3518" i="3" s="1"/>
  <c r="L3529" i="3"/>
  <c r="M3529" i="3" s="1"/>
  <c r="L3524" i="3"/>
  <c r="M3524" i="3" s="1"/>
  <c r="L3513" i="3"/>
  <c r="M3513" i="3" s="1"/>
  <c r="L2859" i="3"/>
  <c r="M2859" i="3" s="1"/>
  <c r="L2273" i="3"/>
  <c r="M2273" i="3" s="1"/>
  <c r="L2373" i="3"/>
  <c r="M2373" i="3" s="1"/>
  <c r="L611" i="3"/>
  <c r="M611" i="3" s="1"/>
  <c r="L1999" i="3"/>
  <c r="M1999" i="3" s="1"/>
  <c r="L3091" i="3"/>
  <c r="M3091" i="3" s="1"/>
  <c r="L3118" i="3"/>
  <c r="M3118" i="3" s="1"/>
  <c r="L632" i="3"/>
  <c r="M632" i="3" s="1"/>
  <c r="L626" i="3"/>
  <c r="M626" i="3" s="1"/>
  <c r="L618" i="3"/>
  <c r="M618" i="3" s="1"/>
  <c r="L3082" i="3"/>
  <c r="M3082" i="3" s="1"/>
  <c r="L533" i="3"/>
  <c r="M533" i="3" s="1"/>
  <c r="L2316" i="3"/>
  <c r="M2316" i="3" s="1"/>
  <c r="K786" i="2"/>
  <c r="P3499" i="3"/>
  <c r="K683" i="10"/>
  <c r="M683" i="10" s="1"/>
  <c r="Q3499" i="3" s="1"/>
  <c r="L683" i="10"/>
  <c r="L3481" i="3"/>
  <c r="M3481" i="3" s="1"/>
  <c r="L3501" i="3"/>
  <c r="M3501" i="3" s="1"/>
  <c r="L682" i="10"/>
  <c r="K682" i="10"/>
  <c r="M682" i="10" s="1"/>
  <c r="H417" i="5"/>
  <c r="P3498" i="3"/>
  <c r="L3463" i="3"/>
  <c r="M3463" i="3" s="1"/>
  <c r="L3509" i="3"/>
  <c r="M3509" i="3" s="1"/>
  <c r="L3469" i="3"/>
  <c r="M3469" i="3" s="1"/>
  <c r="L3504" i="3"/>
  <c r="M3504" i="3" s="1"/>
  <c r="K1206" i="2"/>
  <c r="L1206" i="2" s="1"/>
  <c r="L3502" i="3"/>
  <c r="M3502" i="3" s="1"/>
  <c r="K1192" i="2"/>
  <c r="L1192" i="2" s="1"/>
  <c r="L3464" i="3"/>
  <c r="M3464" i="3" s="1"/>
  <c r="J669" i="10" s="1"/>
  <c r="K1193" i="2"/>
  <c r="L1193" i="2" s="1"/>
  <c r="L2825" i="3"/>
  <c r="M2825" i="3" s="1"/>
  <c r="J446" i="10" s="1"/>
  <c r="L2404" i="3"/>
  <c r="L440" i="3"/>
  <c r="M440" i="3" s="1"/>
  <c r="K1207" i="2"/>
  <c r="L1207" i="2" s="1"/>
  <c r="L3471" i="3"/>
  <c r="M3471" i="3" s="1"/>
  <c r="K1212" i="2"/>
  <c r="L1212" i="2" s="1"/>
  <c r="L3484" i="3"/>
  <c r="M3484" i="3" s="1"/>
  <c r="K1199" i="2"/>
  <c r="L1199" i="2" s="1"/>
  <c r="L3478" i="3"/>
  <c r="M3478" i="3" s="1"/>
  <c r="K1213" i="2"/>
  <c r="L1213" i="2" s="1"/>
  <c r="L3470" i="3"/>
  <c r="M3470" i="3" s="1"/>
  <c r="L3462" i="3"/>
  <c r="M3462" i="3" s="1"/>
  <c r="L3490" i="3"/>
  <c r="M3490" i="3" s="1"/>
  <c r="K1211" i="2"/>
  <c r="L1211" i="2" s="1"/>
  <c r="L3483" i="3"/>
  <c r="M3483" i="3" s="1"/>
  <c r="K1205" i="2"/>
  <c r="L1205" i="2" s="1"/>
  <c r="L3476" i="3"/>
  <c r="M3476" i="3" s="1"/>
  <c r="L3454" i="3"/>
  <c r="M3454" i="3" s="1"/>
  <c r="K312" i="2"/>
  <c r="K1209" i="2"/>
  <c r="L1209" i="2" s="1"/>
  <c r="K1208" i="2"/>
  <c r="L1208" i="2" s="1"/>
  <c r="L3420" i="3"/>
  <c r="M3420" i="3" s="1"/>
  <c r="L3350" i="3"/>
  <c r="M3350" i="3" s="1"/>
  <c r="L3418" i="3"/>
  <c r="M3418" i="3" s="1"/>
  <c r="L3326" i="3"/>
  <c r="M3326" i="3" s="1"/>
  <c r="L3442" i="3"/>
  <c r="M3442" i="3" s="1"/>
  <c r="L3416" i="3"/>
  <c r="M3416" i="3" s="1"/>
  <c r="L3351" i="3"/>
  <c r="M3351" i="3" s="1"/>
  <c r="L3441" i="3"/>
  <c r="M3441" i="3" s="1"/>
  <c r="L3414" i="3"/>
  <c r="M3414" i="3" s="1"/>
  <c r="L3376" i="3"/>
  <c r="M3376" i="3" s="1"/>
  <c r="L3377" i="3"/>
  <c r="M3377" i="3" s="1"/>
  <c r="L3347" i="3"/>
  <c r="M3347" i="3" s="1"/>
  <c r="L3415" i="3"/>
  <c r="M3415" i="3" s="1"/>
  <c r="L3443" i="3"/>
  <c r="M3443" i="3" s="1"/>
  <c r="L3375" i="3"/>
  <c r="M3375" i="3" s="1"/>
  <c r="L3374" i="3"/>
  <c r="M3374" i="3" s="1"/>
  <c r="L3367" i="3"/>
  <c r="M3367" i="3" s="1"/>
  <c r="L3373" i="3"/>
  <c r="M3373" i="3" s="1"/>
  <c r="L3440" i="3"/>
  <c r="M3440" i="3" s="1"/>
  <c r="L3444" i="3"/>
  <c r="M3444" i="3" s="1"/>
  <c r="L3431" i="3"/>
  <c r="M3431" i="3" s="1"/>
  <c r="L3423" i="3"/>
  <c r="M3423" i="3" s="1"/>
  <c r="L3412" i="3"/>
  <c r="M3412" i="3" s="1"/>
  <c r="L3453" i="3"/>
  <c r="M3453" i="3" s="1"/>
  <c r="L3325" i="3"/>
  <c r="M3325" i="3" s="1"/>
  <c r="L3406" i="3"/>
  <c r="M3406" i="3" s="1"/>
  <c r="L3398" i="3"/>
  <c r="M3398" i="3" s="1"/>
  <c r="L3388" i="3"/>
  <c r="M3388" i="3" s="1"/>
  <c r="L3380" i="3"/>
  <c r="M3380" i="3" s="1"/>
  <c r="L3340" i="3"/>
  <c r="M3340" i="3" s="1"/>
  <c r="L3316" i="3"/>
  <c r="M3316" i="3" s="1"/>
  <c r="L3457" i="3"/>
  <c r="M3457" i="3" s="1"/>
  <c r="L3445" i="3"/>
  <c r="M3445" i="3" s="1"/>
  <c r="L3437" i="3"/>
  <c r="M3437" i="3" s="1"/>
  <c r="L3429" i="3"/>
  <c r="M3429" i="3" s="1"/>
  <c r="L3421" i="3"/>
  <c r="M3421" i="3" s="1"/>
  <c r="L3370" i="3"/>
  <c r="M3370" i="3" s="1"/>
  <c r="L3362" i="3"/>
  <c r="M3362" i="3" s="1"/>
  <c r="L3354" i="3"/>
  <c r="M3354" i="3" s="1"/>
  <c r="L3329" i="3"/>
  <c r="M3329" i="3" s="1"/>
  <c r="L3344" i="3"/>
  <c r="M3344" i="3" s="1"/>
  <c r="L3306" i="3"/>
  <c r="M3306" i="3" s="1"/>
  <c r="L3336" i="3"/>
  <c r="M3336" i="3" s="1"/>
  <c r="L3449" i="3"/>
  <c r="M3449" i="3" s="1"/>
  <c r="L3394" i="3"/>
  <c r="M3394" i="3" s="1"/>
  <c r="L3311" i="3"/>
  <c r="M3311" i="3" s="1"/>
  <c r="L3358" i="3"/>
  <c r="M3358" i="3" s="1"/>
  <c r="L3321" i="3"/>
  <c r="M3321" i="3" s="1"/>
  <c r="L3384" i="3"/>
  <c r="M3384" i="3" s="1"/>
  <c r="L3402" i="3"/>
  <c r="M3402" i="3" s="1"/>
  <c r="L3366" i="3"/>
  <c r="M3366" i="3" s="1"/>
  <c r="L3399" i="3"/>
  <c r="M3399" i="3" s="1"/>
  <c r="L3381" i="3"/>
  <c r="M3381" i="3" s="1"/>
  <c r="L3371" i="3"/>
  <c r="M3371" i="3" s="1"/>
  <c r="L3403" i="3"/>
  <c r="M3403" i="3" s="1"/>
  <c r="L3359" i="3"/>
  <c r="M3359" i="3" s="1"/>
  <c r="L3432" i="3"/>
  <c r="M3432" i="3" s="1"/>
  <c r="L3424" i="3"/>
  <c r="M3424" i="3" s="1"/>
  <c r="L3349" i="3"/>
  <c r="M3349" i="3" s="1"/>
  <c r="L3333" i="3"/>
  <c r="M3333" i="3" s="1"/>
  <c r="L3409" i="3"/>
  <c r="M3409" i="3" s="1"/>
  <c r="L3407" i="3"/>
  <c r="M3407" i="3" s="1"/>
  <c r="L3317" i="3"/>
  <c r="M3317" i="3" s="1"/>
  <c r="L3307" i="3"/>
  <c r="M3307" i="3" s="1"/>
  <c r="L3330" i="3"/>
  <c r="M3330" i="3" s="1"/>
  <c r="L3322" i="3"/>
  <c r="M3322" i="3" s="1"/>
  <c r="L3345" i="3"/>
  <c r="M3345" i="3" s="1"/>
  <c r="L3312" i="3"/>
  <c r="M3312" i="3" s="1"/>
  <c r="L3337" i="3"/>
  <c r="M3337" i="3" s="1"/>
  <c r="L3436" i="3"/>
  <c r="M3436" i="3" s="1"/>
  <c r="L3428" i="3"/>
  <c r="M3428" i="3" s="1"/>
  <c r="L3433" i="3"/>
  <c r="M3433" i="3" s="1"/>
  <c r="L3425" i="3"/>
  <c r="M3425" i="3" s="1"/>
  <c r="L3372" i="3"/>
  <c r="M3372" i="3" s="1"/>
  <c r="L3348" i="3"/>
  <c r="M3348" i="3" s="1"/>
  <c r="L3341" i="3"/>
  <c r="M3341" i="3" s="1"/>
  <c r="L3355" i="3"/>
  <c r="M3355" i="3" s="1"/>
  <c r="L3395" i="3"/>
  <c r="M3395" i="3" s="1"/>
  <c r="L3303" i="3"/>
  <c r="M3303" i="3" s="1"/>
  <c r="L3385" i="3"/>
  <c r="M3385" i="3" s="1"/>
  <c r="L3452" i="3"/>
  <c r="M3452" i="3" s="1"/>
  <c r="L3448" i="3"/>
  <c r="M3448" i="3" s="1"/>
  <c r="L3365" i="3"/>
  <c r="M3365" i="3" s="1"/>
  <c r="L3357" i="3"/>
  <c r="M3357" i="3" s="1"/>
  <c r="L3324" i="3"/>
  <c r="M3324" i="3" s="1"/>
  <c r="L3405" i="3"/>
  <c r="M3405" i="3" s="1"/>
  <c r="L3397" i="3"/>
  <c r="M3397" i="3" s="1"/>
  <c r="L3387" i="3"/>
  <c r="M3387" i="3" s="1"/>
  <c r="L3379" i="3"/>
  <c r="M3379" i="3" s="1"/>
  <c r="L3339" i="3"/>
  <c r="M3339" i="3" s="1"/>
  <c r="L3315" i="3"/>
  <c r="M3315" i="3" s="1"/>
  <c r="L3456" i="3"/>
  <c r="M3456" i="3" s="1"/>
  <c r="L3401" i="3"/>
  <c r="M3401" i="3" s="1"/>
  <c r="L3361" i="3"/>
  <c r="M3361" i="3" s="1"/>
  <c r="L3328" i="3"/>
  <c r="M3328" i="3" s="1"/>
  <c r="L3393" i="3"/>
  <c r="M3393" i="3" s="1"/>
  <c r="L3310" i="3"/>
  <c r="M3310" i="3" s="1"/>
  <c r="L3369" i="3"/>
  <c r="M3369" i="3" s="1"/>
  <c r="L3305" i="3"/>
  <c r="M3305" i="3" s="1"/>
  <c r="L3383" i="3"/>
  <c r="M3383" i="3" s="1"/>
  <c r="L3343" i="3"/>
  <c r="M3343" i="3" s="1"/>
  <c r="L3353" i="3"/>
  <c r="M3353" i="3" s="1"/>
  <c r="L3320" i="3"/>
  <c r="M3320" i="3" s="1"/>
  <c r="L3335" i="3"/>
  <c r="M3335" i="3" s="1"/>
  <c r="L3439" i="3"/>
  <c r="M3439" i="3" s="1"/>
  <c r="L3411" i="3"/>
  <c r="M3411" i="3" s="1"/>
  <c r="L3419" i="3"/>
  <c r="M3419" i="3" s="1"/>
  <c r="L3308" i="3"/>
  <c r="M3308" i="3" s="1"/>
  <c r="L3346" i="3"/>
  <c r="M3346" i="3" s="1"/>
  <c r="L3313" i="3"/>
  <c r="M3313" i="3" s="1"/>
  <c r="L3318" i="3"/>
  <c r="M3318" i="3" s="1"/>
  <c r="L3332" i="3"/>
  <c r="M3332" i="3" s="1"/>
  <c r="L3410" i="3"/>
  <c r="M3410" i="3" s="1"/>
  <c r="L3434" i="3"/>
  <c r="M3434" i="3" s="1"/>
  <c r="L3426" i="3"/>
  <c r="M3426" i="3" s="1"/>
  <c r="L3408" i="3"/>
  <c r="M3408" i="3" s="1"/>
  <c r="L3446" i="3"/>
  <c r="M3446" i="3" s="1"/>
  <c r="L3331" i="3"/>
  <c r="M3331" i="3" s="1"/>
  <c r="L3435" i="3"/>
  <c r="M3435" i="3" s="1"/>
  <c r="L3427" i="3"/>
  <c r="M3427" i="3" s="1"/>
  <c r="L3450" i="3"/>
  <c r="M3450" i="3" s="1"/>
  <c r="L3363" i="3"/>
  <c r="M3363" i="3" s="1"/>
  <c r="P3281" i="3"/>
  <c r="K658" i="10"/>
  <c r="M658" i="10" s="1"/>
  <c r="Q3281" i="3" s="1"/>
  <c r="L658" i="10"/>
  <c r="L657" i="10"/>
  <c r="P3280" i="3"/>
  <c r="K657" i="10"/>
  <c r="M657" i="10" s="1"/>
  <c r="Q3280" i="3" s="1"/>
  <c r="L2432" i="3"/>
  <c r="L2354" i="3"/>
  <c r="L2439" i="3"/>
  <c r="L226" i="3"/>
  <c r="L283" i="3"/>
  <c r="L259" i="3"/>
  <c r="L3195" i="3"/>
  <c r="M3195" i="3" s="1"/>
  <c r="K491" i="2"/>
  <c r="K671" i="2"/>
  <c r="K967" i="2"/>
  <c r="L967" i="2" s="1"/>
  <c r="K754" i="2"/>
  <c r="K1077" i="2"/>
  <c r="L936" i="3"/>
  <c r="L1442" i="3"/>
  <c r="L1437" i="3"/>
  <c r="L933" i="3"/>
  <c r="L1446" i="3"/>
  <c r="L1433" i="3"/>
  <c r="L3181" i="3"/>
  <c r="M3181" i="3" s="1"/>
  <c r="L3178" i="3"/>
  <c r="M3178" i="3" s="1"/>
  <c r="L722" i="3"/>
  <c r="L1378" i="3"/>
  <c r="L1421" i="3"/>
  <c r="L408" i="3"/>
  <c r="L2248" i="3"/>
  <c r="K123" i="2"/>
  <c r="K27" i="2"/>
  <c r="K45" i="2"/>
  <c r="L45" i="2" s="1"/>
  <c r="K936" i="2"/>
  <c r="K223" i="2"/>
  <c r="K321" i="2"/>
  <c r="L337" i="3"/>
  <c r="L139" i="3"/>
  <c r="L3111" i="3"/>
  <c r="M3111" i="3" s="1"/>
  <c r="L2948" i="3"/>
  <c r="M2948" i="3" s="1"/>
  <c r="K332" i="2"/>
  <c r="K279" i="2"/>
  <c r="K601" i="2"/>
  <c r="K1115" i="2"/>
  <c r="L1115" i="2" s="1"/>
  <c r="K1171" i="2"/>
  <c r="L1171" i="2" s="1"/>
  <c r="K190" i="2"/>
  <c r="K816" i="2"/>
  <c r="K559" i="2"/>
  <c r="K663" i="2"/>
  <c r="K487" i="2"/>
  <c r="K578" i="2"/>
  <c r="K1103" i="2"/>
  <c r="K305" i="2"/>
  <c r="K535" i="2"/>
  <c r="K647" i="2"/>
  <c r="K1126" i="2"/>
  <c r="K684" i="2"/>
  <c r="L1785" i="3"/>
  <c r="L2278" i="3"/>
  <c r="L2296" i="3"/>
  <c r="L2283" i="3"/>
  <c r="L2301" i="3"/>
  <c r="L2645" i="3"/>
  <c r="L2655" i="3"/>
  <c r="L2665" i="3"/>
  <c r="L2259" i="3"/>
  <c r="L2292" i="3"/>
  <c r="L2706" i="3"/>
  <c r="L2714" i="3"/>
  <c r="K926" i="2"/>
  <c r="L50" i="3"/>
  <c r="M50" i="3" s="1"/>
  <c r="L57" i="3"/>
  <c r="L171" i="3"/>
  <c r="L120" i="3"/>
  <c r="M120" i="3" s="1"/>
  <c r="L249" i="3"/>
  <c r="L1658" i="3"/>
  <c r="L1475" i="3"/>
  <c r="L1524" i="3"/>
  <c r="L1485" i="3"/>
  <c r="L1509" i="3"/>
  <c r="L1653" i="3"/>
  <c r="L1733" i="3"/>
  <c r="L1741" i="3"/>
  <c r="L1494" i="3"/>
  <c r="L1552" i="3"/>
  <c r="L1537" i="3"/>
  <c r="L1620" i="3"/>
  <c r="L1684" i="3"/>
  <c r="L1612" i="3"/>
  <c r="L1575" i="3"/>
  <c r="L2208" i="3"/>
  <c r="L1585" i="3"/>
  <c r="L2201" i="3"/>
  <c r="M2201" i="3" s="1"/>
  <c r="L1544" i="3"/>
  <c r="L2413" i="3"/>
  <c r="L2252" i="3"/>
  <c r="L362" i="3"/>
  <c r="L256" i="3"/>
  <c r="L832" i="3"/>
  <c r="L707" i="3"/>
  <c r="L342" i="3"/>
  <c r="L890" i="3"/>
  <c r="L579" i="3"/>
  <c r="K1075" i="2"/>
  <c r="K1026" i="2"/>
  <c r="L3235" i="3"/>
  <c r="M3235" i="3" s="1"/>
  <c r="L555" i="3"/>
  <c r="L574" i="3"/>
  <c r="L538" i="3"/>
  <c r="L566" i="3"/>
  <c r="L830" i="3"/>
  <c r="L559" i="3"/>
  <c r="L775" i="3"/>
  <c r="L606" i="3"/>
  <c r="L676" i="3"/>
  <c r="L907" i="3"/>
  <c r="L291" i="3"/>
  <c r="L677" i="3"/>
  <c r="L898" i="3"/>
  <c r="L868" i="3"/>
  <c r="L877" i="3"/>
  <c r="L3013" i="3"/>
  <c r="M3013" i="3" s="1"/>
  <c r="L3061" i="3"/>
  <c r="M3061" i="3" s="1"/>
  <c r="L3297" i="3"/>
  <c r="M3297" i="3" s="1"/>
  <c r="L3211" i="3"/>
  <c r="M3211" i="3" s="1"/>
  <c r="L3166" i="3"/>
  <c r="M3166" i="3" s="1"/>
  <c r="K497" i="2"/>
  <c r="L3158" i="3"/>
  <c r="M3158" i="3" s="1"/>
  <c r="L3150" i="3"/>
  <c r="M3150" i="3" s="1"/>
  <c r="K70" i="2"/>
  <c r="K1162" i="2"/>
  <c r="L3143" i="3"/>
  <c r="M3143" i="3" s="1"/>
  <c r="K84" i="2"/>
  <c r="K634" i="2"/>
  <c r="K21" i="2"/>
  <c r="L21" i="2" s="1"/>
  <c r="K393" i="2"/>
  <c r="L393" i="2" s="1"/>
  <c r="K60" i="2"/>
  <c r="K205" i="2"/>
  <c r="K347" i="2"/>
  <c r="K1012" i="2"/>
  <c r="L231" i="3"/>
  <c r="L2550" i="3"/>
  <c r="L2765" i="3"/>
  <c r="L3001" i="3"/>
  <c r="M3001" i="3" s="1"/>
  <c r="L2845" i="3"/>
  <c r="M2845" i="3" s="1"/>
  <c r="J96" i="10" s="1"/>
  <c r="L2843" i="3"/>
  <c r="M2843" i="3" s="1"/>
  <c r="J495" i="10" s="1"/>
  <c r="L953" i="3"/>
  <c r="L2614" i="3"/>
  <c r="L2602" i="3"/>
  <c r="L1158" i="3"/>
  <c r="L1176" i="3"/>
  <c r="L2874" i="3"/>
  <c r="M2874" i="3" s="1"/>
  <c r="L2861" i="3"/>
  <c r="M2861" i="3" s="1"/>
  <c r="L3095" i="3"/>
  <c r="M3095" i="3" s="1"/>
  <c r="L3017" i="3"/>
  <c r="M3017" i="3" s="1"/>
  <c r="L3022" i="3"/>
  <c r="M3022" i="3" s="1"/>
  <c r="L18" i="3"/>
  <c r="L76" i="3"/>
  <c r="L13" i="3"/>
  <c r="L22" i="3"/>
  <c r="L71" i="3"/>
  <c r="L111" i="3"/>
  <c r="L80" i="3"/>
  <c r="L747" i="3"/>
  <c r="L771" i="3"/>
  <c r="L896" i="3"/>
  <c r="L543" i="3"/>
  <c r="L1763" i="3"/>
  <c r="L1583" i="3"/>
  <c r="L1479" i="3"/>
  <c r="L2554" i="3"/>
  <c r="L2555" i="3"/>
  <c r="L2556" i="3"/>
  <c r="L2790" i="3"/>
  <c r="M2790" i="3" s="1"/>
  <c r="J515" i="10" s="1"/>
  <c r="L2" i="3"/>
  <c r="L2988" i="3"/>
  <c r="M2988" i="3" s="1"/>
  <c r="L2958" i="3"/>
  <c r="M2958" i="3" s="1"/>
  <c r="K1085" i="2"/>
  <c r="K820" i="2"/>
  <c r="L820" i="2" s="1"/>
  <c r="L2544" i="3"/>
  <c r="L2265" i="3"/>
  <c r="L2388" i="3"/>
  <c r="L2805" i="3"/>
  <c r="M2805" i="3" s="1"/>
  <c r="L1628" i="3"/>
  <c r="K168" i="2"/>
  <c r="K860" i="2"/>
  <c r="K836" i="2"/>
  <c r="L836" i="2" s="1"/>
  <c r="K869" i="2"/>
  <c r="K734" i="2"/>
  <c r="K839" i="2"/>
  <c r="L839" i="2" s="1"/>
  <c r="K562" i="2"/>
  <c r="L2099" i="3"/>
  <c r="L2545" i="3"/>
  <c r="L2676" i="3"/>
  <c r="L2722" i="3"/>
  <c r="L3129" i="3"/>
  <c r="M3129" i="3" s="1"/>
  <c r="L430" i="3"/>
  <c r="L749" i="3"/>
  <c r="L2261" i="3"/>
  <c r="L2254" i="3"/>
  <c r="L2385" i="3"/>
  <c r="L2361" i="3"/>
  <c r="L2394" i="3"/>
  <c r="L2791" i="3"/>
  <c r="M2791" i="3" s="1"/>
  <c r="L3106" i="3"/>
  <c r="M3106" i="3" s="1"/>
  <c r="L343" i="3"/>
  <c r="L580" i="3"/>
  <c r="L704" i="3"/>
  <c r="L887" i="3"/>
  <c r="L1244" i="3"/>
  <c r="L837" i="3"/>
  <c r="L997" i="3"/>
  <c r="L1530" i="3"/>
  <c r="L1166" i="3"/>
  <c r="L1660" i="3"/>
  <c r="L2891" i="3"/>
  <c r="M2891" i="3" s="1"/>
  <c r="K1072" i="2"/>
  <c r="K565" i="2"/>
  <c r="K1000" i="2"/>
  <c r="K475" i="2"/>
  <c r="K695" i="2"/>
  <c r="K794" i="2"/>
  <c r="K1020" i="2"/>
  <c r="K921" i="2"/>
  <c r="K1133" i="2"/>
  <c r="L869" i="3"/>
  <c r="L876" i="3"/>
  <c r="L1690" i="3"/>
  <c r="L1671" i="3"/>
  <c r="K843" i="2"/>
  <c r="L701" i="3"/>
  <c r="L1241" i="3"/>
  <c r="L1163" i="3"/>
  <c r="K569" i="2"/>
  <c r="L2888" i="3"/>
  <c r="M2888" i="3" s="1"/>
  <c r="K1062" i="2"/>
  <c r="L949" i="3"/>
  <c r="K741" i="2"/>
  <c r="K160" i="2"/>
  <c r="K369" i="2"/>
  <c r="K477" i="2"/>
  <c r="K542" i="2"/>
  <c r="K119" i="2"/>
  <c r="K812" i="2"/>
  <c r="L3193" i="3"/>
  <c r="M3193" i="3" s="1"/>
  <c r="K612" i="2"/>
  <c r="K1010" i="2"/>
  <c r="K400" i="2"/>
  <c r="K809" i="2"/>
  <c r="K550" i="2"/>
  <c r="K976" i="2"/>
  <c r="L109" i="3"/>
  <c r="L271" i="3"/>
  <c r="L351" i="3"/>
  <c r="L284" i="3"/>
  <c r="L305" i="3"/>
  <c r="L144" i="3"/>
  <c r="L883" i="3"/>
  <c r="L1065" i="3"/>
  <c r="L1121" i="3"/>
  <c r="L945" i="3"/>
  <c r="L1282" i="3"/>
  <c r="L1179" i="3"/>
  <c r="L1307" i="3"/>
  <c r="L104" i="3"/>
  <c r="L823" i="3"/>
  <c r="L964" i="3"/>
  <c r="L1076" i="3"/>
  <c r="L1132" i="3"/>
  <c r="L188" i="3"/>
  <c r="L1029" i="3"/>
  <c r="L1269" i="3"/>
  <c r="M1269" i="3" s="1"/>
  <c r="L1293" i="3"/>
  <c r="M1293" i="3" s="1"/>
  <c r="L1142" i="3"/>
  <c r="L278" i="3"/>
  <c r="M278" i="3" s="1"/>
  <c r="L1110" i="3"/>
  <c r="L204" i="3"/>
  <c r="L2480" i="3"/>
  <c r="L2490" i="3"/>
  <c r="L2499" i="3"/>
  <c r="L2819" i="3"/>
  <c r="M2819" i="3" s="1"/>
  <c r="L2789" i="3"/>
  <c r="M2789" i="3" s="1"/>
  <c r="L2877" i="3"/>
  <c r="M2877" i="3" s="1"/>
  <c r="L3029" i="3"/>
  <c r="M3029" i="3" s="1"/>
  <c r="L2864" i="3"/>
  <c r="M2864" i="3" s="1"/>
  <c r="L3098" i="3"/>
  <c r="M3098" i="3" s="1"/>
  <c r="L3003" i="3"/>
  <c r="M3003" i="3" s="1"/>
  <c r="L3024" i="3"/>
  <c r="M3024" i="3" s="1"/>
  <c r="L3006" i="3"/>
  <c r="M3006" i="3" s="1"/>
  <c r="K413" i="2"/>
  <c r="K587" i="2"/>
  <c r="K595" i="2"/>
  <c r="L2953" i="3"/>
  <c r="M2953" i="3" s="1"/>
  <c r="L3223" i="3"/>
  <c r="M3223" i="3" s="1"/>
  <c r="K215" i="2"/>
  <c r="K482" i="2"/>
  <c r="K500" i="2"/>
  <c r="K897" i="2"/>
  <c r="K943" i="2"/>
  <c r="K7" i="2"/>
  <c r="K436" i="2"/>
  <c r="K547" i="2"/>
  <c r="K730" i="2"/>
  <c r="K781" i="2"/>
  <c r="K833" i="2"/>
  <c r="K858" i="2"/>
  <c r="K1136" i="2"/>
  <c r="K54" i="2"/>
  <c r="K181" i="2"/>
  <c r="K199" i="2"/>
  <c r="K390" i="2"/>
  <c r="K474" i="2"/>
  <c r="K689" i="2"/>
  <c r="K807" i="2"/>
  <c r="K1056" i="2"/>
  <c r="K92" i="2"/>
  <c r="K255" i="2"/>
  <c r="K652" i="2"/>
  <c r="K956" i="2"/>
  <c r="K1041" i="2"/>
  <c r="K11" i="2"/>
  <c r="K144" i="2"/>
  <c r="L144" i="2" s="1"/>
  <c r="K319" i="2"/>
  <c r="K345" i="2"/>
  <c r="K383" i="2"/>
  <c r="K606" i="2"/>
  <c r="K801" i="2"/>
  <c r="K844" i="2"/>
  <c r="K885" i="2"/>
  <c r="K1110" i="2"/>
  <c r="L1110" i="2" s="1"/>
  <c r="K174" i="2"/>
  <c r="K711" i="2"/>
  <c r="K845" i="2"/>
  <c r="K853" i="2"/>
  <c r="K939" i="2"/>
  <c r="K977" i="2"/>
  <c r="K1061" i="2"/>
  <c r="K1175" i="2"/>
  <c r="L1175" i="2" s="1"/>
  <c r="K241" i="2"/>
  <c r="L241" i="2" s="1"/>
  <c r="K313" i="2"/>
  <c r="K377" i="2"/>
  <c r="L2926" i="3"/>
  <c r="M2926" i="3" s="1"/>
  <c r="K895" i="2"/>
  <c r="K1087" i="2"/>
  <c r="K970" i="2"/>
  <c r="L970" i="2" s="1"/>
  <c r="K1029" i="2"/>
  <c r="K904" i="2"/>
  <c r="K1096" i="2"/>
  <c r="L920" i="3"/>
  <c r="L695" i="3"/>
  <c r="L2411" i="3"/>
  <c r="L2371" i="3"/>
  <c r="L2854" i="3"/>
  <c r="M2854" i="3" s="1"/>
  <c r="L436" i="3"/>
  <c r="L2401" i="3"/>
  <c r="L2433" i="3"/>
  <c r="K96" i="2"/>
  <c r="K822" i="2"/>
  <c r="L202" i="3"/>
  <c r="L965" i="3"/>
  <c r="K108" i="2"/>
  <c r="K669" i="2"/>
  <c r="K197" i="2"/>
  <c r="K471" i="2"/>
  <c r="K546" i="2"/>
  <c r="K865" i="2"/>
  <c r="K1127" i="2"/>
  <c r="K271" i="2"/>
  <c r="K814" i="2"/>
  <c r="K503" i="2"/>
  <c r="K230" i="2"/>
  <c r="K311" i="2"/>
  <c r="K329" i="2"/>
  <c r="K703" i="2"/>
  <c r="L703" i="2" s="1"/>
  <c r="L166" i="3"/>
  <c r="K489" i="2"/>
  <c r="K813" i="2"/>
  <c r="K1170" i="2"/>
  <c r="L1170" i="2" s="1"/>
  <c r="K280" i="2"/>
  <c r="K697" i="2"/>
  <c r="L697" i="2" s="1"/>
  <c r="K142" i="2"/>
  <c r="L142" i="2" s="1"/>
  <c r="K170" i="2"/>
  <c r="K325" i="2"/>
  <c r="K437" i="2"/>
  <c r="K511" i="2"/>
  <c r="K1032" i="2"/>
  <c r="K1117" i="2"/>
  <c r="L1117" i="2" s="1"/>
  <c r="K541" i="2"/>
  <c r="K156" i="2"/>
  <c r="K1124" i="2"/>
  <c r="K367" i="2"/>
  <c r="K580" i="2"/>
  <c r="K639" i="2"/>
  <c r="K676" i="2"/>
  <c r="K185" i="2"/>
  <c r="K599" i="2"/>
  <c r="K888" i="2"/>
  <c r="L1273" i="3"/>
  <c r="M1273" i="3" s="1"/>
  <c r="L140" i="3"/>
  <c r="L2949" i="3"/>
  <c r="M2949" i="3" s="1"/>
  <c r="K472" i="2"/>
  <c r="K645" i="2"/>
  <c r="K52" i="2"/>
  <c r="L52" i="2" s="1"/>
  <c r="K113" i="2"/>
  <c r="K187" i="2"/>
  <c r="K331" i="2"/>
  <c r="K406" i="2"/>
  <c r="K840" i="2"/>
  <c r="L840" i="2" s="1"/>
  <c r="K934" i="2"/>
  <c r="K1152" i="2"/>
  <c r="K17" i="2"/>
  <c r="L17" i="2" s="1"/>
  <c r="K750" i="2"/>
  <c r="K272" i="2"/>
  <c r="K1129" i="2"/>
  <c r="K37" i="2"/>
  <c r="L37" i="2" s="1"/>
  <c r="K371" i="2"/>
  <c r="K494" i="2"/>
  <c r="K682" i="2"/>
  <c r="K1102" i="2"/>
  <c r="K165" i="2"/>
  <c r="K158" i="2"/>
  <c r="K544" i="2"/>
  <c r="K304" i="2"/>
  <c r="K887" i="2"/>
  <c r="K913" i="2"/>
  <c r="K507" i="2"/>
  <c r="L254" i="3"/>
  <c r="L366" i="3"/>
  <c r="L893" i="3"/>
  <c r="L1001" i="3"/>
  <c r="L1154" i="3"/>
  <c r="L1212" i="3"/>
  <c r="L2952" i="3"/>
  <c r="M2952" i="3" s="1"/>
  <c r="L3239" i="3"/>
  <c r="M3239" i="3" s="1"/>
  <c r="L3032" i="3"/>
  <c r="M3032" i="3" s="1"/>
  <c r="K555" i="2"/>
  <c r="K416" i="2"/>
  <c r="K1023" i="2"/>
  <c r="K623" i="2"/>
  <c r="K798" i="2"/>
  <c r="K867" i="2"/>
  <c r="K1066" i="2"/>
  <c r="K363" i="2"/>
  <c r="K112" i="2"/>
  <c r="K534" i="2"/>
  <c r="K665" i="2"/>
  <c r="K819" i="2"/>
  <c r="K157" i="2"/>
  <c r="L2673" i="3"/>
  <c r="L2705" i="3"/>
  <c r="L2713" i="3"/>
  <c r="L1428" i="3"/>
  <c r="L1406" i="3"/>
  <c r="L1424" i="3"/>
  <c r="L1400" i="3"/>
  <c r="L1322" i="3"/>
  <c r="L1346" i="3"/>
  <c r="L1299" i="3"/>
  <c r="L1363" i="3"/>
  <c r="L1340" i="3"/>
  <c r="L1310" i="3"/>
  <c r="L1351" i="3"/>
  <c r="L1429" i="3"/>
  <c r="L1317" i="3"/>
  <c r="L1328" i="3"/>
  <c r="L1401" i="3"/>
  <c r="L1407" i="3"/>
  <c r="L1334" i="3"/>
  <c r="L2310" i="3"/>
  <c r="L1304" i="3"/>
  <c r="L1357" i="3"/>
  <c r="L1105" i="3"/>
  <c r="L1058" i="3"/>
  <c r="L1115" i="3"/>
  <c r="L1095" i="3"/>
  <c r="L1294" i="3"/>
  <c r="M1294" i="3" s="1"/>
  <c r="L1144" i="3"/>
  <c r="L1040" i="3"/>
  <c r="L1088" i="3"/>
  <c r="L1047" i="3"/>
  <c r="L2482" i="3"/>
  <c r="L2492" i="3"/>
  <c r="L2539" i="3"/>
  <c r="L2501" i="3"/>
  <c r="L2532" i="3"/>
  <c r="L2519" i="3"/>
  <c r="L2918" i="3"/>
  <c r="M2918" i="3" s="1"/>
  <c r="L2928" i="3"/>
  <c r="M2928" i="3" s="1"/>
  <c r="L2525" i="3"/>
  <c r="L2911" i="3"/>
  <c r="M2911" i="3" s="1"/>
  <c r="L913" i="3"/>
  <c r="L2407" i="3"/>
  <c r="K774" i="2"/>
  <c r="L227" i="3"/>
  <c r="K219" i="2"/>
  <c r="K266" i="2"/>
  <c r="K337" i="2"/>
  <c r="K963" i="2"/>
  <c r="L963" i="2" s="1"/>
  <c r="L940" i="3"/>
  <c r="L921" i="3"/>
  <c r="L1096" i="3"/>
  <c r="L984" i="3"/>
  <c r="L1728" i="3"/>
  <c r="L2474" i="3"/>
  <c r="L1048" i="3"/>
  <c r="L2484" i="3"/>
  <c r="L2493" i="3"/>
  <c r="L3146" i="3"/>
  <c r="M3146" i="3" s="1"/>
  <c r="L3170" i="3"/>
  <c r="M3170" i="3" s="1"/>
  <c r="L2578" i="3"/>
  <c r="L3279" i="3"/>
  <c r="M3279" i="3" s="1"/>
  <c r="J659" i="10" s="1"/>
  <c r="L973" i="3"/>
  <c r="K121" i="2"/>
  <c r="K714" i="2"/>
  <c r="K731" i="2"/>
  <c r="K514" i="2"/>
  <c r="K930" i="2"/>
  <c r="K818" i="2"/>
  <c r="K862" i="2"/>
  <c r="L856" i="3"/>
  <c r="L836" i="3"/>
  <c r="L403" i="3"/>
  <c r="L1395" i="3"/>
  <c r="L655" i="3"/>
  <c r="L663" i="3"/>
  <c r="L1674" i="3"/>
  <c r="M1674" i="3" s="1"/>
  <c r="L1707" i="3"/>
  <c r="M1707" i="3" s="1"/>
  <c r="L1572" i="3"/>
  <c r="M1572" i="3" s="1"/>
  <c r="L1725" i="3"/>
  <c r="L1750" i="3"/>
  <c r="L1761" i="3"/>
  <c r="L2025" i="3"/>
  <c r="L2095" i="3"/>
  <c r="L2229" i="3"/>
  <c r="L2086" i="3"/>
  <c r="L2345" i="3"/>
  <c r="L2257" i="3"/>
  <c r="L2347" i="3"/>
  <c r="L1958" i="3"/>
  <c r="L2399" i="3"/>
  <c r="L2414" i="3"/>
  <c r="L3092" i="3"/>
  <c r="M3092" i="3" s="1"/>
  <c r="L432" i="3"/>
  <c r="L751" i="3"/>
  <c r="L840" i="3"/>
  <c r="L697" i="3"/>
  <c r="L857" i="3"/>
  <c r="L977" i="3"/>
  <c r="L2255" i="3"/>
  <c r="L2263" i="3"/>
  <c r="L2387" i="3"/>
  <c r="L2395" i="3"/>
  <c r="L2363" i="3"/>
  <c r="L599" i="10"/>
  <c r="L250" i="3"/>
  <c r="L1145" i="3"/>
  <c r="L2090" i="3"/>
  <c r="L2764" i="3"/>
  <c r="L2686" i="3"/>
  <c r="L2691" i="3"/>
  <c r="L412" i="3"/>
  <c r="L909" i="3"/>
  <c r="L975" i="3"/>
  <c r="L2786" i="3"/>
  <c r="M2786" i="3" s="1"/>
  <c r="K171" i="2"/>
  <c r="K696" i="2"/>
  <c r="L696" i="2" s="1"/>
  <c r="K502" i="2"/>
  <c r="K143" i="2"/>
  <c r="L143" i="2" s="1"/>
  <c r="K326" i="2"/>
  <c r="K1011" i="2"/>
  <c r="K154" i="2"/>
  <c r="K278" i="2"/>
  <c r="K924" i="2"/>
  <c r="K1052" i="2"/>
  <c r="K914" i="2"/>
  <c r="K679" i="2"/>
  <c r="K642" i="2"/>
  <c r="K23" i="2"/>
  <c r="L23" i="2" s="1"/>
  <c r="K811" i="2"/>
  <c r="K599" i="10"/>
  <c r="M599" i="10" s="1"/>
  <c r="Q3194" i="3" s="1"/>
  <c r="L2625" i="3"/>
  <c r="M2625" i="3" s="1"/>
  <c r="J529" i="10" s="1"/>
  <c r="L2804" i="3"/>
  <c r="M2804" i="3" s="1"/>
  <c r="L2812" i="3"/>
  <c r="M2812" i="3" s="1"/>
  <c r="L2824" i="3"/>
  <c r="M2824" i="3" s="1"/>
  <c r="L748" i="3"/>
  <c r="L429" i="3"/>
  <c r="L2253" i="3"/>
  <c r="L2359" i="3"/>
  <c r="L2400" i="3"/>
  <c r="L2272" i="3"/>
  <c r="L2372" i="3"/>
  <c r="L2383" i="3"/>
  <c r="L2609" i="3"/>
  <c r="M2609" i="3" s="1"/>
  <c r="L2619" i="3"/>
  <c r="L2260" i="3"/>
  <c r="L470" i="3"/>
  <c r="L478" i="3"/>
  <c r="L115" i="3"/>
  <c r="M115" i="3" s="1"/>
  <c r="L151" i="3"/>
  <c r="M151" i="3" s="1"/>
  <c r="L491" i="3"/>
  <c r="L520" i="3"/>
  <c r="L726" i="3"/>
  <c r="L512" i="3"/>
  <c r="L735" i="3"/>
  <c r="L463" i="3"/>
  <c r="L484" i="3"/>
  <c r="L504" i="3"/>
  <c r="L800" i="3"/>
  <c r="L456" i="3"/>
  <c r="L498" i="3"/>
  <c r="L526" i="3"/>
  <c r="L652" i="3"/>
  <c r="L781" i="3"/>
  <c r="L659" i="3"/>
  <c r="L809" i="3"/>
  <c r="L922" i="3"/>
  <c r="L668" i="3"/>
  <c r="L1944" i="3"/>
  <c r="L1952" i="3"/>
  <c r="L788" i="3"/>
  <c r="L1850" i="3"/>
  <c r="L1889" i="3"/>
  <c r="L2031" i="3"/>
  <c r="L1787" i="3"/>
  <c r="L1858" i="3"/>
  <c r="L1961" i="3"/>
  <c r="L1969" i="3"/>
  <c r="L1828" i="3"/>
  <c r="L1837" i="3"/>
  <c r="L2123" i="3"/>
  <c r="L1774" i="3"/>
  <c r="L1901" i="3"/>
  <c r="L1807" i="3"/>
  <c r="L1870" i="3"/>
  <c r="L1934" i="3"/>
  <c r="L2100" i="3"/>
  <c r="L2111" i="3"/>
  <c r="L2135" i="3"/>
  <c r="L2458" i="3"/>
  <c r="L2582" i="3"/>
  <c r="L2451" i="3"/>
  <c r="L2467" i="3"/>
  <c r="L2444" i="3"/>
  <c r="L3050" i="3"/>
  <c r="M3050" i="3" s="1"/>
  <c r="L1911" i="3"/>
  <c r="L1799" i="3"/>
  <c r="L1926" i="3"/>
  <c r="L1879" i="3"/>
  <c r="L3088" i="3"/>
  <c r="M3088" i="3" s="1"/>
  <c r="L3130" i="3"/>
  <c r="M3130" i="3" s="1"/>
  <c r="L3041" i="3"/>
  <c r="M3041" i="3" s="1"/>
  <c r="L1816" i="3"/>
  <c r="K224" i="2"/>
  <c r="K315" i="2"/>
  <c r="K256" i="2"/>
  <c r="K354" i="2"/>
  <c r="K294" i="2"/>
  <c r="L3171" i="3"/>
  <c r="M3171" i="3" s="1"/>
  <c r="L426" i="3"/>
  <c r="L678" i="3"/>
  <c r="L444" i="3"/>
  <c r="L2241" i="3"/>
  <c r="K83" i="2"/>
  <c r="K719" i="2"/>
  <c r="K722" i="2"/>
  <c r="L905" i="3"/>
  <c r="L1055" i="3"/>
  <c r="L101" i="3"/>
  <c r="L230" i="3"/>
  <c r="K268" i="2"/>
  <c r="K234" i="2"/>
  <c r="K342" i="2"/>
  <c r="K1179" i="2"/>
  <c r="L1179" i="2" s="1"/>
  <c r="K299" i="2"/>
  <c r="K352" i="2"/>
  <c r="K250" i="2"/>
  <c r="L250" i="2" s="1"/>
  <c r="K960" i="2"/>
  <c r="L960" i="2" s="1"/>
  <c r="L346" i="3"/>
  <c r="L354" i="3"/>
  <c r="L335" i="3"/>
  <c r="L137" i="3"/>
  <c r="L273" i="3"/>
  <c r="L326" i="3"/>
  <c r="L519" i="3"/>
  <c r="L253" i="3"/>
  <c r="L710" i="3"/>
  <c r="L838" i="3"/>
  <c r="L297" i="3"/>
  <c r="L201" i="3"/>
  <c r="L582" i="3"/>
  <c r="L827" i="3"/>
  <c r="L161" i="3"/>
  <c r="L805" i="3"/>
  <c r="L904" i="3"/>
  <c r="L796" i="3"/>
  <c r="L1067" i="3"/>
  <c r="L1123" i="3"/>
  <c r="L1211" i="3"/>
  <c r="L1235" i="3"/>
  <c r="L947" i="3"/>
  <c r="L972" i="3"/>
  <c r="L1172" i="3"/>
  <c r="L1284" i="3"/>
  <c r="L1292" i="3"/>
  <c r="M1292" i="3" s="1"/>
  <c r="L989" i="3"/>
  <c r="L1101" i="3"/>
  <c r="L1054" i="3"/>
  <c r="L1182" i="3"/>
  <c r="L892" i="3"/>
  <c r="L1078" i="3"/>
  <c r="L1532" i="3"/>
  <c r="L365" i="3"/>
  <c r="L1272" i="3"/>
  <c r="M1272" i="3" s="1"/>
  <c r="L1000" i="3"/>
  <c r="L1827" i="3"/>
  <c r="L1112" i="3"/>
  <c r="L1900" i="3"/>
  <c r="L2489" i="3"/>
  <c r="L2498" i="3"/>
  <c r="L1152" i="3"/>
  <c r="L2809" i="3"/>
  <c r="M2809" i="3" s="1"/>
  <c r="L2817" i="3"/>
  <c r="M2817" i="3" s="1"/>
  <c r="L2651" i="3"/>
  <c r="L2661" i="3"/>
  <c r="L2734" i="3"/>
  <c r="L2946" i="3"/>
  <c r="M2946" i="3" s="1"/>
  <c r="L3010" i="3"/>
  <c r="M3010" i="3" s="1"/>
  <c r="L2672" i="3"/>
  <c r="L1222" i="3"/>
  <c r="L3021" i="3"/>
  <c r="M3021" i="3" s="1"/>
  <c r="L2508" i="3"/>
  <c r="L2799" i="3"/>
  <c r="M2799" i="3" s="1"/>
  <c r="L3033" i="3"/>
  <c r="M3033" i="3" s="1"/>
  <c r="L2867" i="3"/>
  <c r="M2867" i="3" s="1"/>
  <c r="L2880" i="3"/>
  <c r="M2880" i="3" s="1"/>
  <c r="L3238" i="3"/>
  <c r="M3238" i="3" s="1"/>
  <c r="L3101" i="3"/>
  <c r="M3101" i="3" s="1"/>
  <c r="K188" i="2"/>
  <c r="K455" i="2"/>
  <c r="L3049" i="3"/>
  <c r="M3049" i="3" s="1"/>
  <c r="L2479" i="3"/>
  <c r="K434" i="2"/>
  <c r="K536" i="2"/>
  <c r="K640" i="2"/>
  <c r="K677" i="2"/>
  <c r="K1014" i="2"/>
  <c r="K1080" i="2"/>
  <c r="K445" i="2"/>
  <c r="K501" i="2"/>
  <c r="K622" i="2"/>
  <c r="K797" i="2"/>
  <c r="K1065" i="2"/>
  <c r="K226" i="2"/>
  <c r="K484" i="2"/>
  <c r="K493" i="2"/>
  <c r="K698" i="2"/>
  <c r="L698" i="2" s="1"/>
  <c r="K716" i="2"/>
  <c r="K751" i="2"/>
  <c r="K824" i="2"/>
  <c r="K900" i="2"/>
  <c r="K1091" i="2"/>
  <c r="K1100" i="2"/>
  <c r="L3217" i="3"/>
  <c r="M3217" i="3" s="1"/>
  <c r="K273" i="2"/>
  <c r="K291" i="2"/>
  <c r="K567" i="2"/>
  <c r="K662" i="2"/>
  <c r="K732" i="2"/>
  <c r="K910" i="2"/>
  <c r="K1033" i="2"/>
  <c r="L3226" i="3"/>
  <c r="M3226" i="3" s="1"/>
  <c r="K29" i="2"/>
  <c r="K597" i="2"/>
  <c r="K691" i="2"/>
  <c r="K893" i="2"/>
  <c r="K1131" i="2"/>
  <c r="K1166" i="2"/>
  <c r="L1166" i="2" s="1"/>
  <c r="K39" i="2"/>
  <c r="L39" i="2" s="1"/>
  <c r="K49" i="2"/>
  <c r="L49" i="2" s="1"/>
  <c r="K303" i="2"/>
  <c r="K365" i="2"/>
  <c r="K524" i="2"/>
  <c r="K802" i="2"/>
  <c r="K810" i="2"/>
  <c r="K886" i="2"/>
  <c r="K572" i="2"/>
  <c r="K838" i="2"/>
  <c r="L838" i="2" s="1"/>
  <c r="K1053" i="2"/>
  <c r="K779" i="2"/>
  <c r="K1037" i="2"/>
  <c r="L1037" i="2" s="1"/>
  <c r="K412" i="2"/>
  <c r="K1112" i="2"/>
  <c r="L1112" i="2" s="1"/>
  <c r="L1436" i="3"/>
  <c r="L1445" i="3"/>
  <c r="L1834" i="3"/>
  <c r="L1432" i="3"/>
  <c r="L1779" i="3"/>
  <c r="L1796" i="3"/>
  <c r="L1804" i="3"/>
  <c r="L1441" i="3"/>
  <c r="L1823" i="3"/>
  <c r="L1813" i="3"/>
  <c r="L2131" i="3"/>
  <c r="L2118" i="3"/>
  <c r="L170" i="3"/>
  <c r="K1155" i="2"/>
  <c r="L624" i="3"/>
  <c r="L617" i="3"/>
  <c r="L1985" i="3"/>
  <c r="L1994" i="3"/>
  <c r="L2049" i="3"/>
  <c r="L2079" i="3"/>
  <c r="L2268" i="3"/>
  <c r="L2366" i="3"/>
  <c r="K1160" i="2"/>
  <c r="K208" i="2"/>
  <c r="K1002" i="2"/>
  <c r="K87" i="2"/>
  <c r="L991" i="3"/>
  <c r="L1160" i="3"/>
  <c r="L1207" i="3"/>
  <c r="L1103" i="3"/>
  <c r="K613" i="2"/>
  <c r="K808" i="2"/>
  <c r="L255" i="3"/>
  <c r="L275" i="3"/>
  <c r="L360" i="3"/>
  <c r="L329" i="3"/>
  <c r="L1147" i="3"/>
  <c r="L1267" i="3"/>
  <c r="M1267" i="3" s="1"/>
  <c r="L1061" i="3"/>
  <c r="L1072" i="3"/>
  <c r="L1136" i="3"/>
  <c r="L1661" i="3"/>
  <c r="L2670" i="3"/>
  <c r="L3018" i="3"/>
  <c r="M3018" i="3" s="1"/>
  <c r="L2920" i="3"/>
  <c r="M2920" i="3" s="1"/>
  <c r="L3230" i="3"/>
  <c r="M3230" i="3" s="1"/>
  <c r="K381" i="2"/>
  <c r="L3028" i="3"/>
  <c r="M3028" i="3" s="1"/>
  <c r="L3233" i="3"/>
  <c r="M3233" i="3" s="1"/>
  <c r="K857" i="2"/>
  <c r="K1106" i="2"/>
  <c r="K245" i="2"/>
  <c r="L245" i="2" s="1"/>
  <c r="K1137" i="2"/>
  <c r="K125" i="2"/>
  <c r="K993" i="2"/>
  <c r="K420" i="2"/>
  <c r="K258" i="2"/>
  <c r="K1044" i="2"/>
  <c r="L422" i="3"/>
  <c r="L625" i="3"/>
  <c r="L435" i="3"/>
  <c r="L914" i="3"/>
  <c r="L2080" i="3"/>
  <c r="L619" i="3"/>
  <c r="L1986" i="3"/>
  <c r="L1995" i="3"/>
  <c r="L2286" i="3"/>
  <c r="L2393" i="3"/>
  <c r="L2144" i="3"/>
  <c r="L2050" i="3"/>
  <c r="L1314" i="3"/>
  <c r="L1308" i="3"/>
  <c r="L3076" i="3"/>
  <c r="M3076" i="3" s="1"/>
  <c r="L3072" i="3"/>
  <c r="M3072" i="3" s="1"/>
  <c r="K877" i="2"/>
  <c r="L338" i="3"/>
  <c r="L825" i="3"/>
  <c r="K686" i="2"/>
  <c r="L3008" i="3"/>
  <c r="M3008" i="3" s="1"/>
  <c r="K306" i="2"/>
  <c r="K509" i="2"/>
  <c r="K573" i="2"/>
  <c r="K649" i="2"/>
  <c r="K889" i="2"/>
  <c r="K1055" i="2"/>
  <c r="K1081" i="2"/>
  <c r="K548" i="2"/>
  <c r="K594" i="2"/>
  <c r="K660" i="2"/>
  <c r="K815" i="2"/>
  <c r="K227" i="2"/>
  <c r="K851" i="2"/>
  <c r="K210" i="2"/>
  <c r="K700" i="2"/>
  <c r="L700" i="2" s="1"/>
  <c r="K1167" i="2"/>
  <c r="L1167" i="2" s="1"/>
  <c r="K186" i="2"/>
  <c r="K330" i="2"/>
  <c r="K804" i="2"/>
  <c r="K203" i="2"/>
  <c r="K1158" i="2"/>
  <c r="K432" i="2"/>
  <c r="L162" i="3"/>
  <c r="L135" i="3"/>
  <c r="L336" i="3"/>
  <c r="L826" i="3"/>
  <c r="K48" i="2"/>
  <c r="L48" i="2" s="1"/>
  <c r="K155" i="2"/>
  <c r="L2944" i="3"/>
  <c r="M2944" i="3" s="1"/>
  <c r="L3009" i="3"/>
  <c r="M3009" i="3" s="1"/>
  <c r="K780" i="2"/>
  <c r="K574" i="2"/>
  <c r="K659" i="2"/>
  <c r="K235" i="2"/>
  <c r="K290" i="2"/>
  <c r="K680" i="2"/>
  <c r="K992" i="2"/>
  <c r="K1082" i="2"/>
  <c r="K19" i="2"/>
  <c r="L19" i="2" s="1"/>
  <c r="K485" i="2"/>
  <c r="K512" i="2"/>
  <c r="K596" i="2"/>
  <c r="K643" i="2"/>
  <c r="K1122" i="2"/>
  <c r="K38" i="2"/>
  <c r="L38" i="2" s="1"/>
  <c r="K183" i="2"/>
  <c r="K274" i="2"/>
  <c r="K302" i="2"/>
  <c r="K817" i="2"/>
  <c r="K1113" i="2"/>
  <c r="L1113" i="2" s="1"/>
  <c r="K932" i="2"/>
  <c r="K366" i="2"/>
  <c r="K1168" i="2"/>
  <c r="L1168" i="2" s="1"/>
  <c r="K803" i="2"/>
  <c r="L2607" i="3"/>
  <c r="L2620" i="3"/>
  <c r="P3194" i="3"/>
  <c r="L2203" i="3"/>
  <c r="L3192" i="3"/>
  <c r="M3192" i="3" s="1"/>
  <c r="L3290" i="3"/>
  <c r="M3290" i="3" s="1"/>
  <c r="L3284" i="3"/>
  <c r="M3284" i="3" s="1"/>
  <c r="L2196" i="3"/>
  <c r="L400" i="3"/>
  <c r="L393" i="3"/>
  <c r="L405" i="3"/>
  <c r="L716" i="3"/>
  <c r="L1387" i="3"/>
  <c r="L396" i="3"/>
  <c r="L1370" i="3"/>
  <c r="L1414" i="3"/>
  <c r="L1366" i="3"/>
  <c r="L1375" i="3"/>
  <c r="L1392" i="3"/>
  <c r="L3036" i="3"/>
  <c r="M3036" i="3" s="1"/>
  <c r="L3137" i="3"/>
  <c r="M3137" i="3" s="1"/>
  <c r="L3242" i="3"/>
  <c r="M3242" i="3" s="1"/>
  <c r="K821" i="2"/>
  <c r="K990" i="2"/>
  <c r="K830" i="2"/>
  <c r="L752" i="3"/>
  <c r="L745" i="3"/>
  <c r="L534" i="3"/>
  <c r="L2318" i="3"/>
  <c r="L1275" i="3"/>
  <c r="L1285" i="3"/>
  <c r="L1295" i="3"/>
  <c r="M1295" i="3" s="1"/>
  <c r="K769" i="2"/>
  <c r="K727" i="2"/>
  <c r="L2800" i="3"/>
  <c r="M2800" i="3" s="1"/>
  <c r="K405" i="2"/>
  <c r="K81" i="2"/>
  <c r="K771" i="2"/>
  <c r="K109" i="2"/>
  <c r="K710" i="2"/>
  <c r="K957" i="2"/>
  <c r="K94" i="2"/>
  <c r="K414" i="2"/>
  <c r="K1028" i="2"/>
  <c r="L2410" i="3"/>
  <c r="L2855" i="3"/>
  <c r="M2855" i="3" s="1"/>
  <c r="L330" i="3"/>
  <c r="L363" i="3"/>
  <c r="L292" i="3"/>
  <c r="L1281" i="3"/>
  <c r="L986" i="3"/>
  <c r="L1098" i="3"/>
  <c r="L1290" i="3"/>
  <c r="M1290" i="3" s="1"/>
  <c r="L834" i="3"/>
  <c r="L1051" i="3"/>
  <c r="L1139" i="3"/>
  <c r="L1219" i="3"/>
  <c r="L849" i="3"/>
  <c r="L323" i="3"/>
  <c r="L1150" i="3"/>
  <c r="L1232" i="3"/>
  <c r="L1128" i="3"/>
  <c r="L889" i="3"/>
  <c r="L942" i="3"/>
  <c r="L2495" i="3"/>
  <c r="L2505" i="3"/>
  <c r="L2476" i="3"/>
  <c r="L2486" i="3"/>
  <c r="L2882" i="3"/>
  <c r="M2882" i="3" s="1"/>
  <c r="L2869" i="3"/>
  <c r="M2869" i="3" s="1"/>
  <c r="L3224" i="3"/>
  <c r="M3224" i="3" s="1"/>
  <c r="L3236" i="3"/>
  <c r="M3236" i="3" s="1"/>
  <c r="L3027" i="3"/>
  <c r="M3027" i="3" s="1"/>
  <c r="L3212" i="3"/>
  <c r="M3212" i="3" s="1"/>
  <c r="K717" i="2"/>
  <c r="L2923" i="3"/>
  <c r="M2923" i="3" s="1"/>
  <c r="K89" i="2"/>
  <c r="K178" i="2"/>
  <c r="K261" i="2"/>
  <c r="K1186" i="2"/>
  <c r="L1186" i="2" s="1"/>
  <c r="K132" i="2"/>
  <c r="K289" i="2"/>
  <c r="K351" i="2"/>
  <c r="K973" i="2"/>
  <c r="K859" i="2"/>
  <c r="K382" i="2"/>
  <c r="K540" i="2"/>
  <c r="K410" i="2"/>
  <c r="K792" i="2"/>
  <c r="K826" i="2"/>
  <c r="K938" i="2"/>
  <c r="K443" i="2"/>
  <c r="K452" i="2"/>
  <c r="K629" i="2"/>
  <c r="K1143" i="2"/>
  <c r="K608" i="2"/>
  <c r="K222" i="2"/>
  <c r="K856" i="2"/>
  <c r="K1134" i="2"/>
  <c r="K376" i="2"/>
  <c r="L130" i="3"/>
  <c r="L368" i="3"/>
  <c r="L1015" i="3"/>
  <c r="L2938" i="3"/>
  <c r="M2938" i="3" s="1"/>
  <c r="K592" i="2"/>
  <c r="K981" i="2"/>
  <c r="K63" i="2"/>
  <c r="K984" i="2"/>
  <c r="K58" i="2"/>
  <c r="K251" i="2"/>
  <c r="L251" i="2" s="1"/>
  <c r="K217" i="2"/>
  <c r="K339" i="2"/>
  <c r="K349" i="2"/>
  <c r="L1298" i="3"/>
  <c r="L1339" i="3"/>
  <c r="L1316" i="3"/>
  <c r="L1309" i="3"/>
  <c r="L1321" i="3"/>
  <c r="L1350" i="3"/>
  <c r="L1327" i="3"/>
  <c r="L1362" i="3"/>
  <c r="L1382" i="3"/>
  <c r="L1333" i="3"/>
  <c r="L1345" i="3"/>
  <c r="L1303" i="3"/>
  <c r="L1356" i="3"/>
  <c r="L2305" i="3"/>
  <c r="L2309" i="3"/>
  <c r="L1161" i="3"/>
  <c r="L1002" i="3"/>
  <c r="L1258" i="3"/>
  <c r="L1011" i="3"/>
  <c r="L1187" i="3"/>
  <c r="L1195" i="3"/>
  <c r="L1068" i="3"/>
  <c r="L1156" i="3"/>
  <c r="L1125" i="3"/>
  <c r="L1133" i="3"/>
  <c r="L1173" i="3"/>
  <c r="L992" i="3"/>
  <c r="L1022" i="3"/>
  <c r="L1214" i="3"/>
  <c r="L1030" i="3"/>
  <c r="L3240" i="3"/>
  <c r="M3240" i="3" s="1"/>
  <c r="L3227" i="3"/>
  <c r="M3227" i="3" s="1"/>
  <c r="L3220" i="3"/>
  <c r="M3220" i="3" s="1"/>
  <c r="L3203" i="3"/>
  <c r="M3203" i="3" s="1"/>
  <c r="L993" i="3"/>
  <c r="L1162" i="3"/>
  <c r="L1003" i="3"/>
  <c r="L1227" i="3"/>
  <c r="L1259" i="3"/>
  <c r="L1012" i="3"/>
  <c r="L1188" i="3"/>
  <c r="L1196" i="3"/>
  <c r="L1204" i="3"/>
  <c r="L1276" i="3"/>
  <c r="L1069" i="3"/>
  <c r="L1157" i="3"/>
  <c r="L1032" i="3"/>
  <c r="L1080" i="3"/>
  <c r="L1126" i="3"/>
  <c r="L1023" i="3"/>
  <c r="L1174" i="3"/>
  <c r="L1215" i="3"/>
  <c r="L1286" i="3"/>
  <c r="M1286" i="3" s="1"/>
  <c r="L1134" i="3"/>
  <c r="L1239" i="3"/>
  <c r="L2513" i="3"/>
  <c r="L2904" i="3"/>
  <c r="M2904" i="3" s="1"/>
  <c r="L3228" i="3"/>
  <c r="M3228" i="3" s="1"/>
  <c r="L3221" i="3"/>
  <c r="M3221" i="3" s="1"/>
  <c r="L3204" i="3"/>
  <c r="M3204" i="3" s="1"/>
  <c r="L3241" i="3"/>
  <c r="M3241" i="3" s="1"/>
  <c r="L2873" i="3"/>
  <c r="M2873" i="3" s="1"/>
  <c r="L2887" i="3"/>
  <c r="M2887" i="3" s="1"/>
  <c r="L602" i="3"/>
  <c r="L1344" i="3"/>
  <c r="K114" i="2"/>
  <c r="K1017" i="2"/>
  <c r="K931" i="2"/>
  <c r="L187" i="3"/>
  <c r="L2552" i="3"/>
  <c r="L2553" i="3"/>
  <c r="L2551" i="3"/>
  <c r="L862" i="3"/>
  <c r="L1667" i="3"/>
  <c r="L2557" i="3"/>
  <c r="L822" i="3"/>
  <c r="L3005" i="3"/>
  <c r="M3005" i="3" s="1"/>
  <c r="K1057" i="2"/>
  <c r="L267" i="3"/>
  <c r="L517" i="3"/>
  <c r="L1059" i="3"/>
  <c r="L1107" i="3"/>
  <c r="L1825" i="3"/>
  <c r="L1967" i="3"/>
  <c r="L2001" i="3"/>
  <c r="L1898" i="3"/>
  <c r="L2134" i="3"/>
  <c r="L1070" i="3"/>
  <c r="L2592" i="3"/>
  <c r="L2037" i="3"/>
  <c r="L2780" i="3"/>
  <c r="L3047" i="3"/>
  <c r="M3047" i="3" s="1"/>
  <c r="L2743" i="3"/>
  <c r="L2543" i="3"/>
  <c r="L2738" i="3"/>
  <c r="K138" i="2"/>
  <c r="K805" i="2"/>
  <c r="K946" i="2"/>
  <c r="K429" i="2"/>
  <c r="K515" i="2"/>
  <c r="K903" i="2"/>
  <c r="K1051" i="2"/>
  <c r="K941" i="2"/>
  <c r="L2740" i="3"/>
  <c r="L2693" i="3"/>
  <c r="L2678" i="3"/>
  <c r="L2750" i="3"/>
  <c r="L2758" i="3"/>
  <c r="L2688" i="3"/>
  <c r="L2697" i="3"/>
  <c r="L2745" i="3"/>
  <c r="L2754" i="3"/>
  <c r="L2683" i="3"/>
  <c r="L2615" i="3"/>
  <c r="L2603" i="3"/>
  <c r="K79" i="2"/>
  <c r="K935" i="2"/>
  <c r="K920" i="2"/>
  <c r="K551" i="2"/>
  <c r="K997" i="2"/>
  <c r="K1150" i="2"/>
  <c r="L820" i="3"/>
  <c r="L2209" i="3"/>
  <c r="L131" i="3"/>
  <c r="L824" i="3"/>
  <c r="L2939" i="3"/>
  <c r="M2939" i="3" s="1"/>
  <c r="K236" i="2"/>
  <c r="L236" i="2" s="1"/>
  <c r="K292" i="2"/>
  <c r="K653" i="2"/>
  <c r="L3007" i="3"/>
  <c r="M3007" i="3" s="1"/>
  <c r="K314" i="2"/>
  <c r="K198" i="2"/>
  <c r="K1098" i="2"/>
  <c r="K254" i="2"/>
  <c r="K1108" i="2"/>
  <c r="L1108" i="2" s="1"/>
  <c r="K346" i="2"/>
  <c r="K878" i="2"/>
  <c r="K214" i="2"/>
  <c r="K480" i="2"/>
  <c r="K590" i="2"/>
  <c r="K846" i="2"/>
  <c r="K176" i="2"/>
  <c r="K637" i="2"/>
  <c r="K789" i="2"/>
  <c r="K616" i="2"/>
  <c r="K610" i="2"/>
  <c r="K404" i="2"/>
  <c r="L2701" i="3"/>
  <c r="L2709" i="3"/>
  <c r="L266" i="3"/>
  <c r="L421" i="3"/>
  <c r="L635" i="3"/>
  <c r="L449" i="3"/>
  <c r="L675" i="3"/>
  <c r="L759" i="3"/>
  <c r="L427" i="3"/>
  <c r="L763" i="3"/>
  <c r="L756" i="3"/>
  <c r="L2245" i="3"/>
  <c r="L3202" i="3"/>
  <c r="M3202" i="3" s="1"/>
  <c r="K527" i="2"/>
  <c r="K115" i="2"/>
  <c r="K46" i="2"/>
  <c r="L46" i="2" s="1"/>
  <c r="K624" i="2"/>
  <c r="K126" i="2"/>
  <c r="K994" i="2"/>
  <c r="K86" i="2"/>
  <c r="L1057" i="3"/>
  <c r="L1114" i="3"/>
  <c r="L1226" i="3"/>
  <c r="L1203" i="3"/>
  <c r="L1079" i="3"/>
  <c r="L1143" i="3"/>
  <c r="L1039" i="3"/>
  <c r="L1104" i="3"/>
  <c r="L1046" i="3"/>
  <c r="L1087" i="3"/>
  <c r="L1238" i="3"/>
  <c r="L1094" i="3"/>
  <c r="L2518" i="3"/>
  <c r="L2481" i="3"/>
  <c r="L2512" i="3"/>
  <c r="L2491" i="3"/>
  <c r="L2500" i="3"/>
  <c r="L2531" i="3"/>
  <c r="L2917" i="3"/>
  <c r="M2917" i="3" s="1"/>
  <c r="L2524" i="3"/>
  <c r="L2886" i="3"/>
  <c r="M2886" i="3" s="1"/>
  <c r="L2910" i="3"/>
  <c r="M2910" i="3" s="1"/>
  <c r="L2903" i="3"/>
  <c r="M2903" i="3" s="1"/>
  <c r="L2927" i="3"/>
  <c r="M2927" i="3" s="1"/>
  <c r="L2538" i="3"/>
  <c r="L2872" i="3"/>
  <c r="M2872" i="3" s="1"/>
  <c r="L1833" i="3"/>
  <c r="L1778" i="3"/>
  <c r="L1795" i="3"/>
  <c r="L1803" i="3"/>
  <c r="L1812" i="3"/>
  <c r="L1844" i="3"/>
  <c r="L1822" i="3"/>
  <c r="L2117" i="3"/>
  <c r="L2130" i="3"/>
  <c r="L215" i="3"/>
  <c r="L243" i="3"/>
  <c r="L1677" i="3"/>
  <c r="K1176" i="2"/>
  <c r="L1176" i="2" s="1"/>
  <c r="L157" i="3"/>
  <c r="L578" i="3"/>
  <c r="L2567" i="3"/>
  <c r="L1528" i="3"/>
  <c r="L2571" i="3"/>
  <c r="L2634" i="3"/>
  <c r="L2564" i="3"/>
  <c r="L2796" i="3"/>
  <c r="M2796" i="3" s="1"/>
  <c r="L2768" i="3"/>
  <c r="L2826" i="3"/>
  <c r="M2826" i="3" s="1"/>
  <c r="L2834" i="3"/>
  <c r="M2834" i="3" s="1"/>
  <c r="L2637" i="3"/>
  <c r="L2566" i="3"/>
  <c r="L3282" i="3"/>
  <c r="M3282" i="3" s="1"/>
  <c r="J660" i="10" s="1"/>
  <c r="L2569" i="3"/>
  <c r="K380" i="2"/>
  <c r="K1154" i="2"/>
  <c r="K1049" i="2"/>
  <c r="K286" i="2"/>
  <c r="L2576" i="3"/>
  <c r="L806" i="3"/>
  <c r="L2183" i="3"/>
  <c r="L2083" i="3"/>
  <c r="L3026" i="3"/>
  <c r="M3026" i="3" s="1"/>
  <c r="L3222" i="3"/>
  <c r="M3222" i="3" s="1"/>
  <c r="L2574" i="3"/>
  <c r="L2681" i="3"/>
  <c r="L1510" i="3"/>
  <c r="M1510" i="3" s="1"/>
  <c r="L2684" i="3"/>
  <c r="L2777" i="3"/>
  <c r="L2741" i="3"/>
  <c r="L2643" i="3"/>
  <c r="L2694" i="3"/>
  <c r="L2653" i="3"/>
  <c r="L2663" i="3"/>
  <c r="L2679" i="3"/>
  <c r="L2735" i="3"/>
  <c r="L2751" i="3"/>
  <c r="L2759" i="3"/>
  <c r="L2728" i="3"/>
  <c r="L2689" i="3"/>
  <c r="L2674" i="3"/>
  <c r="L2698" i="3"/>
  <c r="L2746" i="3"/>
  <c r="L2755" i="3"/>
  <c r="K966" i="2"/>
  <c r="L966" i="2" s="1"/>
  <c r="L199" i="3"/>
  <c r="L105" i="3"/>
  <c r="K212" i="2"/>
  <c r="K6" i="2"/>
  <c r="K621" i="2"/>
  <c r="K738" i="2"/>
  <c r="K848" i="2"/>
  <c r="K906" i="2"/>
  <c r="K1022" i="2"/>
  <c r="K1135" i="2"/>
  <c r="K253" i="2"/>
  <c r="L253" i="2" s="1"/>
  <c r="K1107" i="2"/>
  <c r="K82" i="2"/>
  <c r="K427" i="2"/>
  <c r="L427" i="2" s="1"/>
  <c r="K585" i="2"/>
  <c r="K632" i="2"/>
  <c r="K782" i="2"/>
  <c r="K955" i="2"/>
  <c r="K1146" i="2"/>
  <c r="L1146" i="2" s="1"/>
  <c r="K10" i="2"/>
  <c r="K614" i="2"/>
  <c r="K1067" i="2"/>
  <c r="K476" i="2"/>
  <c r="K763" i="2"/>
  <c r="K1050" i="2"/>
  <c r="K375" i="2"/>
  <c r="K1069" i="2"/>
  <c r="K69" i="2"/>
  <c r="K385" i="2"/>
  <c r="K694" i="2"/>
  <c r="K1120" i="2"/>
  <c r="L1120" i="2" s="1"/>
  <c r="K1095" i="2"/>
  <c r="K795" i="2"/>
  <c r="L819" i="3"/>
  <c r="L2606" i="3"/>
  <c r="L2210" i="3"/>
  <c r="L2803" i="3"/>
  <c r="M2803" i="3" s="1"/>
  <c r="L2811" i="3"/>
  <c r="M2811" i="3" s="1"/>
  <c r="L2618" i="3"/>
  <c r="L2823" i="3"/>
  <c r="M2823" i="3" s="1"/>
  <c r="L3270" i="3"/>
  <c r="M3270" i="3" s="1"/>
  <c r="J652" i="10" s="1"/>
  <c r="L158" i="3"/>
  <c r="K387" i="2"/>
  <c r="K654" i="2"/>
  <c r="K1076" i="2"/>
  <c r="K673" i="2"/>
  <c r="K525" i="2"/>
  <c r="K102" i="2"/>
  <c r="L742" i="3"/>
  <c r="L2377" i="3"/>
  <c r="L2271" i="3"/>
  <c r="L2370" i="3"/>
  <c r="L2225" i="3"/>
  <c r="L2233" i="3"/>
  <c r="L1625" i="3"/>
  <c r="L2334" i="3"/>
  <c r="K97" i="2"/>
  <c r="L358" i="3"/>
  <c r="L288" i="3"/>
  <c r="L2692" i="3"/>
  <c r="L2687" i="3"/>
  <c r="L3231" i="3"/>
  <c r="M3231" i="3" s="1"/>
  <c r="L3207" i="3"/>
  <c r="M3207" i="3" s="1"/>
  <c r="L929" i="3"/>
  <c r="L2434" i="3"/>
  <c r="L3185" i="3"/>
  <c r="M3185" i="3" s="1"/>
  <c r="L134" i="3"/>
  <c r="L706" i="3"/>
  <c r="L195" i="3"/>
  <c r="L304" i="3"/>
  <c r="L583" i="3"/>
  <c r="L350" i="3"/>
  <c r="L743" i="3"/>
  <c r="L320" i="3"/>
  <c r="L952" i="3"/>
  <c r="L985" i="3"/>
  <c r="L1049" i="3"/>
  <c r="L1097" i="3"/>
  <c r="L1217" i="3"/>
  <c r="L833" i="3"/>
  <c r="L1074" i="3"/>
  <c r="L1178" i="3"/>
  <c r="L1131" i="3"/>
  <c r="L1108" i="3"/>
  <c r="L269" i="3"/>
  <c r="L888" i="3"/>
  <c r="L1141" i="3"/>
  <c r="L1246" i="3"/>
  <c r="L1626" i="3"/>
  <c r="L1206" i="3"/>
  <c r="L1288" i="3"/>
  <c r="M1288" i="3" s="1"/>
  <c r="L1184" i="3"/>
  <c r="L1230" i="3"/>
  <c r="L160" i="3"/>
  <c r="L901" i="3"/>
  <c r="L1533" i="3"/>
  <c r="L1063" i="3"/>
  <c r="L1168" i="3"/>
  <c r="L1279" i="3"/>
  <c r="L941" i="3"/>
  <c r="L881" i="3"/>
  <c r="L2494" i="3"/>
  <c r="L2629" i="3"/>
  <c r="L2475" i="3"/>
  <c r="L2537" i="3"/>
  <c r="L2599" i="3"/>
  <c r="L2485" i="3"/>
  <c r="L2611" i="3"/>
  <c r="L2668" i="3"/>
  <c r="L2530" i="3"/>
  <c r="L2717" i="3"/>
  <c r="L3083" i="3"/>
  <c r="M3083" i="3" s="1"/>
  <c r="L2594" i="3"/>
  <c r="L2772" i="3"/>
  <c r="L2503" i="3"/>
  <c r="L2797" i="3"/>
  <c r="M2797" i="3" s="1"/>
  <c r="L2806" i="3"/>
  <c r="M2806" i="3" s="1"/>
  <c r="L2893" i="3"/>
  <c r="M2893" i="3" s="1"/>
  <c r="L2925" i="3"/>
  <c r="M2925" i="3" s="1"/>
  <c r="L3103" i="3"/>
  <c r="M3103" i="3" s="1"/>
  <c r="L2648" i="3"/>
  <c r="L2815" i="3"/>
  <c r="M2815" i="3" s="1"/>
  <c r="L2731" i="3"/>
  <c r="L2876" i="3"/>
  <c r="M2876" i="3" s="1"/>
  <c r="L2829" i="3"/>
  <c r="M2829" i="3" s="1"/>
  <c r="L2837" i="3"/>
  <c r="M2837" i="3" s="1"/>
  <c r="L2942" i="3"/>
  <c r="M2942" i="3" s="1"/>
  <c r="K16" i="2"/>
  <c r="L16" i="2" s="1"/>
  <c r="K529" i="2"/>
  <c r="K628" i="2"/>
  <c r="L2883" i="3"/>
  <c r="M2883" i="3" s="1"/>
  <c r="L2658" i="3"/>
  <c r="L2723" i="3"/>
  <c r="K34" i="2"/>
  <c r="L34" i="2" s="1"/>
  <c r="K1088" i="2"/>
  <c r="K1097" i="2"/>
  <c r="L2863" i="3"/>
  <c r="M2863" i="3" s="1"/>
  <c r="K26" i="2"/>
  <c r="K44" i="2"/>
  <c r="L44" i="2" s="1"/>
  <c r="K454" i="2"/>
  <c r="K492" i="2"/>
  <c r="K841" i="2"/>
  <c r="L841" i="2" s="1"/>
  <c r="K399" i="2"/>
  <c r="K1040" i="2"/>
  <c r="K191" i="2"/>
  <c r="K237" i="2"/>
  <c r="L237" i="2" s="1"/>
  <c r="K362" i="2"/>
  <c r="K428" i="2"/>
  <c r="K690" i="2"/>
  <c r="K753" i="2"/>
  <c r="K791" i="2"/>
  <c r="K799" i="2"/>
  <c r="K1165" i="2"/>
  <c r="L1165" i="2" s="1"/>
  <c r="K440" i="2"/>
  <c r="K947" i="2"/>
  <c r="K136" i="2"/>
  <c r="K570" i="2"/>
  <c r="K589" i="2"/>
  <c r="K776" i="2"/>
  <c r="K894" i="2"/>
  <c r="K987" i="2"/>
  <c r="K1027" i="2"/>
  <c r="K78" i="2"/>
  <c r="K103" i="2"/>
  <c r="K516" i="2"/>
  <c r="K996" i="2"/>
  <c r="K128" i="2"/>
  <c r="K896" i="2"/>
  <c r="K1177" i="2"/>
  <c r="L1177" i="2" s="1"/>
  <c r="L3097" i="3"/>
  <c r="M3097" i="3" s="1"/>
  <c r="K1007" i="2"/>
  <c r="K1063" i="2"/>
  <c r="K880" i="2"/>
  <c r="K905" i="2"/>
  <c r="K748" i="2"/>
  <c r="K1190" i="2"/>
  <c r="L1190" i="2" s="1"/>
  <c r="L173" i="3"/>
  <c r="L145" i="3"/>
  <c r="L2954" i="3"/>
  <c r="M2954" i="3" s="1"/>
  <c r="L3256" i="3"/>
  <c r="M3256" i="3" s="1"/>
  <c r="L3247" i="3"/>
  <c r="M3247" i="3" s="1"/>
  <c r="L3250" i="3"/>
  <c r="M3250" i="3" s="1"/>
  <c r="L3253" i="3"/>
  <c r="M3253" i="3" s="1"/>
  <c r="L1920" i="3"/>
  <c r="L1866" i="3"/>
  <c r="L1906" i="3"/>
  <c r="L1875" i="3"/>
  <c r="L1854" i="3"/>
  <c r="L1885" i="3"/>
  <c r="L1894" i="3"/>
  <c r="L46" i="3"/>
  <c r="M46" i="3" s="1"/>
  <c r="L119" i="3"/>
  <c r="M119" i="3" s="1"/>
  <c r="L8" i="3"/>
  <c r="M8" i="3" s="1"/>
  <c r="L221" i="3"/>
  <c r="L1793" i="3"/>
  <c r="L1864" i="3"/>
  <c r="L2368" i="3"/>
  <c r="L2247" i="3"/>
  <c r="L2337" i="3"/>
  <c r="L2164" i="3"/>
  <c r="L2419" i="3"/>
  <c r="L2380" i="3"/>
  <c r="L2235" i="3"/>
  <c r="L2621" i="3"/>
  <c r="L2342" i="3"/>
  <c r="L2382" i="3"/>
  <c r="L2150" i="3"/>
  <c r="L2608" i="3"/>
  <c r="K458" i="2"/>
  <c r="L212" i="3"/>
  <c r="L1896" i="3"/>
  <c r="L1868" i="3"/>
  <c r="L1887" i="3"/>
  <c r="L1845" i="3"/>
  <c r="L1908" i="3"/>
  <c r="L1877" i="3"/>
  <c r="L2801" i="3"/>
  <c r="M2801" i="3" s="1"/>
  <c r="L2810" i="3"/>
  <c r="M2810" i="3" s="1"/>
  <c r="L2821" i="3"/>
  <c r="M2821" i="3" s="1"/>
  <c r="L298" i="3"/>
  <c r="L136" i="3"/>
  <c r="L265" i="3"/>
  <c r="L373" i="3"/>
  <c r="L313" i="3"/>
  <c r="L1020" i="3"/>
  <c r="L1256" i="3"/>
  <c r="L1681" i="3"/>
  <c r="M1681" i="3" s="1"/>
  <c r="L2849" i="3"/>
  <c r="M2849" i="3" s="1"/>
  <c r="L3218" i="3"/>
  <c r="M3218" i="3" s="1"/>
  <c r="L2945" i="3"/>
  <c r="M2945" i="3" s="1"/>
  <c r="K854" i="2"/>
  <c r="K423" i="2"/>
  <c r="L423" i="2" s="1"/>
  <c r="L689" i="3"/>
  <c r="L381" i="3"/>
  <c r="L600" i="3"/>
  <c r="L1297" i="3"/>
  <c r="L1315" i="3"/>
  <c r="L1355" i="3"/>
  <c r="L1343" i="3"/>
  <c r="L2303" i="3"/>
  <c r="L3069" i="3"/>
  <c r="M3069" i="3" s="1"/>
  <c r="L3067" i="3"/>
  <c r="M3067" i="3" s="1"/>
  <c r="L3073" i="3"/>
  <c r="M3073" i="3" s="1"/>
  <c r="K773" i="2"/>
  <c r="L2441" i="3"/>
  <c r="L1266" i="3"/>
  <c r="M1266" i="3" s="1"/>
  <c r="L1278" i="3"/>
  <c r="L1287" i="3"/>
  <c r="M1287" i="3" s="1"/>
  <c r="L2560" i="3"/>
  <c r="L2561" i="3"/>
  <c r="L2575" i="3"/>
  <c r="L2716" i="3"/>
  <c r="L2562" i="3"/>
  <c r="L2563" i="3"/>
  <c r="L2763" i="3"/>
  <c r="L797" i="3"/>
  <c r="L2191" i="3"/>
  <c r="K439" i="2"/>
  <c r="K447" i="2"/>
  <c r="K417" i="2"/>
  <c r="K449" i="2"/>
  <c r="K42" i="2"/>
  <c r="L42" i="2" s="1"/>
  <c r="K31" i="2"/>
  <c r="L31" i="2" s="1"/>
  <c r="K675" i="2"/>
  <c r="L2769" i="3"/>
  <c r="L510" i="3"/>
  <c r="L927" i="3"/>
  <c r="L476" i="3"/>
  <c r="L2145" i="3"/>
  <c r="L2438" i="3"/>
  <c r="L3183" i="3"/>
  <c r="M3183" i="3" s="1"/>
  <c r="L3093" i="3"/>
  <c r="M3093" i="3" s="1"/>
  <c r="J593" i="10" s="1"/>
  <c r="K457" i="2"/>
  <c r="K57" i="2"/>
  <c r="K785" i="2"/>
  <c r="K1070" i="2"/>
  <c r="L982" i="3"/>
  <c r="L3210" i="3"/>
  <c r="M3210" i="3" s="1"/>
  <c r="K745" i="2"/>
  <c r="K396" i="2"/>
  <c r="L396" i="2" s="1"/>
  <c r="K71" i="2"/>
  <c r="K633" i="2"/>
  <c r="K22" i="2"/>
  <c r="L22" i="2" s="1"/>
  <c r="K1013" i="2"/>
  <c r="K59" i="2"/>
  <c r="L2405" i="3"/>
  <c r="K661" i="2"/>
  <c r="K918" i="2"/>
  <c r="L918" i="2" s="1"/>
  <c r="K460" i="2"/>
  <c r="L460" i="2" s="1"/>
  <c r="K77" i="2"/>
  <c r="L132" i="3"/>
  <c r="L2940" i="3"/>
  <c r="M2940" i="3" s="1"/>
  <c r="K200" i="2"/>
  <c r="K847" i="2"/>
  <c r="K728" i="2"/>
  <c r="K950" i="2"/>
  <c r="L407" i="3"/>
  <c r="L718" i="3"/>
  <c r="L1377" i="3"/>
  <c r="L1416" i="3"/>
  <c r="L673" i="3"/>
  <c r="L420" i="3"/>
  <c r="L453" i="3"/>
  <c r="L1159" i="3"/>
  <c r="L2408" i="3"/>
  <c r="L2287" i="3"/>
  <c r="L2346" i="3"/>
  <c r="L2323" i="3"/>
  <c r="L2431" i="3"/>
  <c r="L3023" i="3"/>
  <c r="M3023" i="3" s="1"/>
  <c r="K80" i="2"/>
  <c r="K36" i="2"/>
  <c r="L36" i="2" s="1"/>
  <c r="K917" i="2"/>
  <c r="K708" i="2"/>
  <c r="K20" i="2"/>
  <c r="L20" i="2" s="1"/>
  <c r="K66" i="2"/>
  <c r="K532" i="2"/>
  <c r="K50" i="2"/>
  <c r="L50" i="2" s="1"/>
  <c r="K111" i="2"/>
  <c r="K863" i="2"/>
  <c r="L327" i="3"/>
  <c r="L2696" i="3"/>
  <c r="L116" i="3"/>
  <c r="M116" i="3" s="1"/>
  <c r="L499" i="3"/>
  <c r="L658" i="3"/>
  <c r="L457" i="3"/>
  <c r="L479" i="3"/>
  <c r="L612" i="3"/>
  <c r="L471" i="3"/>
  <c r="L492" i="3"/>
  <c r="L521" i="3"/>
  <c r="L727" i="3"/>
  <c r="L513" i="3"/>
  <c r="L629" i="3"/>
  <c r="L667" i="3"/>
  <c r="L736" i="3"/>
  <c r="L808" i="3"/>
  <c r="L787" i="3"/>
  <c r="L651" i="3"/>
  <c r="L780" i="3"/>
  <c r="L485" i="3"/>
  <c r="L799" i="3"/>
  <c r="L464" i="3"/>
  <c r="L505" i="3"/>
  <c r="L1817" i="3"/>
  <c r="L1880" i="3"/>
  <c r="L2030" i="3"/>
  <c r="L1960" i="3"/>
  <c r="L1968" i="3"/>
  <c r="L2112" i="3"/>
  <c r="L1851" i="3"/>
  <c r="L1890" i="3"/>
  <c r="L2137" i="3"/>
  <c r="L1788" i="3"/>
  <c r="L1859" i="3"/>
  <c r="L1978" i="3"/>
  <c r="L2018" i="3"/>
  <c r="L1933" i="3"/>
  <c r="L1980" i="3"/>
  <c r="L2124" i="3"/>
  <c r="L2189" i="3"/>
  <c r="L1775" i="3"/>
  <c r="L1902" i="3"/>
  <c r="L2013" i="3"/>
  <c r="L2181" i="3"/>
  <c r="L1808" i="3"/>
  <c r="L1871" i="3"/>
  <c r="L1951" i="3"/>
  <c r="L1829" i="3"/>
  <c r="L2003" i="3"/>
  <c r="L1925" i="3"/>
  <c r="L2157" i="3"/>
  <c r="L2093" i="3"/>
  <c r="L3042" i="3"/>
  <c r="M3042" i="3" s="1"/>
  <c r="L1800" i="3"/>
  <c r="L2067" i="3"/>
  <c r="L1943" i="3"/>
  <c r="L3081" i="3"/>
  <c r="M3081" i="3" s="1"/>
  <c r="L2159" i="3"/>
  <c r="L3051" i="3"/>
  <c r="M3051" i="3" s="1"/>
  <c r="L3114" i="3"/>
  <c r="M3114" i="3" s="1"/>
  <c r="L3087" i="3"/>
  <c r="M3087" i="3" s="1"/>
  <c r="L434" i="3"/>
  <c r="L446" i="3"/>
  <c r="L423" i="3"/>
  <c r="L694" i="3"/>
  <c r="L916" i="3"/>
  <c r="L928" i="3"/>
  <c r="L948" i="3"/>
  <c r="L2231" i="3"/>
  <c r="L2402" i="3"/>
  <c r="L2332" i="3"/>
  <c r="L3184" i="3"/>
  <c r="M3184" i="3" s="1"/>
  <c r="L128" i="3"/>
  <c r="L2936" i="3"/>
  <c r="M2936" i="3" s="1"/>
  <c r="K591" i="2"/>
  <c r="L846" i="3"/>
  <c r="L918" i="3"/>
  <c r="L915" i="3"/>
  <c r="L438" i="3"/>
  <c r="L2294" i="3"/>
  <c r="L2384" i="3"/>
  <c r="L2360" i="3"/>
  <c r="L2280" i="3"/>
  <c r="L2232" i="3"/>
  <c r="L2403" i="3"/>
  <c r="L2355" i="3"/>
  <c r="L2396" i="3"/>
  <c r="L2429" i="3"/>
  <c r="L2333" i="3"/>
  <c r="L2276" i="3"/>
  <c r="L352" i="3"/>
  <c r="L744" i="3"/>
  <c r="L1177" i="3"/>
  <c r="L1209" i="3"/>
  <c r="L1233" i="3"/>
  <c r="L1220" i="3"/>
  <c r="L1627" i="3"/>
  <c r="L1534" i="3"/>
  <c r="L2506" i="3"/>
  <c r="L2242" i="3"/>
  <c r="L2798" i="3"/>
  <c r="M2798" i="3" s="1"/>
  <c r="L2807" i="3"/>
  <c r="M2807" i="3" s="1"/>
  <c r="L2862" i="3"/>
  <c r="M2862" i="3" s="1"/>
  <c r="L2816" i="3"/>
  <c r="M2816" i="3" s="1"/>
  <c r="K64" i="2"/>
  <c r="K316" i="2"/>
  <c r="K356" i="2"/>
  <c r="K397" i="2"/>
  <c r="L3096" i="3"/>
  <c r="M3096" i="3" s="1"/>
  <c r="K35" i="2"/>
  <c r="L35" i="2" s="1"/>
  <c r="L2875" i="3"/>
  <c r="M2875" i="3" s="1"/>
  <c r="K124" i="2"/>
  <c r="K361" i="2"/>
  <c r="K1188" i="2"/>
  <c r="L1188" i="2" s="1"/>
  <c r="K522" i="2"/>
  <c r="K718" i="2"/>
  <c r="K937" i="2"/>
  <c r="K76" i="2"/>
  <c r="K257" i="2"/>
  <c r="K442" i="2"/>
  <c r="K240" i="2"/>
  <c r="L240" i="2" s="1"/>
  <c r="K879" i="2"/>
  <c r="K721" i="2"/>
  <c r="L956" i="3"/>
  <c r="L2604" i="3"/>
  <c r="L2616" i="3"/>
  <c r="K298" i="2"/>
  <c r="K552" i="2"/>
  <c r="L142" i="3"/>
  <c r="L2951" i="3"/>
  <c r="M2951" i="3" s="1"/>
  <c r="K648" i="2"/>
  <c r="K685" i="2"/>
  <c r="K231" i="2"/>
  <c r="L2702" i="3"/>
  <c r="L2710" i="3"/>
  <c r="K244" i="2"/>
  <c r="L244" i="2" s="1"/>
  <c r="K873" i="2"/>
  <c r="K1038" i="2"/>
  <c r="L1038" i="2" s="1"/>
  <c r="K141" i="2"/>
  <c r="L141" i="2" s="1"/>
  <c r="K510" i="2"/>
  <c r="K890" i="2"/>
  <c r="K343" i="2"/>
  <c r="K370" i="2"/>
  <c r="K172" i="2"/>
  <c r="K309" i="2"/>
  <c r="K549" i="2"/>
  <c r="K699" i="2"/>
  <c r="L699" i="2" s="1"/>
  <c r="K1174" i="2"/>
  <c r="L1174" i="2" s="1"/>
  <c r="K193" i="2"/>
  <c r="K646" i="2"/>
  <c r="K664" i="2"/>
  <c r="K683" i="2"/>
  <c r="K232" i="2"/>
  <c r="K269" i="2"/>
  <c r="K148" i="2"/>
  <c r="K667" i="2"/>
  <c r="K275" i="2"/>
  <c r="K554" i="2"/>
  <c r="K609" i="2"/>
  <c r="K469" i="2"/>
  <c r="L2591" i="3"/>
  <c r="L2725" i="3"/>
  <c r="L2774" i="3"/>
  <c r="L2460" i="3"/>
  <c r="L2453" i="3"/>
  <c r="L2632" i="3"/>
  <c r="L2831" i="3"/>
  <c r="M2831" i="3" s="1"/>
  <c r="L2469" i="3"/>
  <c r="L2840" i="3"/>
  <c r="M2840" i="3" s="1"/>
  <c r="L2446" i="3"/>
  <c r="L2720" i="3"/>
  <c r="L2596" i="3"/>
  <c r="L1936" i="3"/>
  <c r="L1953" i="3"/>
  <c r="L1946" i="3"/>
  <c r="L1963" i="3"/>
  <c r="L1971" i="3"/>
  <c r="L2103" i="3"/>
  <c r="L1927" i="3"/>
  <c r="L29" i="3"/>
  <c r="L93" i="3"/>
  <c r="L63" i="3"/>
  <c r="L87" i="3"/>
  <c r="L41" i="3"/>
  <c r="L214" i="3"/>
  <c r="L2295" i="3"/>
  <c r="L2426" i="3"/>
  <c r="L2282" i="3"/>
  <c r="L2291" i="3"/>
  <c r="L2300" i="3"/>
  <c r="L1784" i="3"/>
  <c r="L2277" i="3"/>
  <c r="L2985" i="3"/>
  <c r="M2985" i="3" s="1"/>
  <c r="K927" i="2"/>
  <c r="L1918" i="3"/>
  <c r="L1856" i="3"/>
  <c r="L394" i="3"/>
  <c r="L601" i="3"/>
  <c r="L401" i="3"/>
  <c r="L692" i="3"/>
  <c r="L688" i="3"/>
  <c r="L717" i="3"/>
  <c r="L1338" i="3"/>
  <c r="L344" i="3"/>
  <c r="L1371" i="3"/>
  <c r="L705" i="3"/>
  <c r="L1332" i="3"/>
  <c r="L397" i="3"/>
  <c r="L1245" i="3"/>
  <c r="L1367" i="3"/>
  <c r="L1376" i="3"/>
  <c r="L1410" i="3"/>
  <c r="L713" i="3"/>
  <c r="L1326" i="3"/>
  <c r="L1388" i="3"/>
  <c r="L998" i="3"/>
  <c r="L1167" i="3"/>
  <c r="L1361" i="3"/>
  <c r="L406" i="3"/>
  <c r="L911" i="3"/>
  <c r="L1302" i="3"/>
  <c r="L1415" i="3"/>
  <c r="L1393" i="3"/>
  <c r="L3037" i="3"/>
  <c r="M3037" i="3" s="1"/>
  <c r="L2892" i="3"/>
  <c r="M2892" i="3" s="1"/>
  <c r="L3124" i="3"/>
  <c r="M3124" i="3" s="1"/>
  <c r="K772" i="2"/>
  <c r="K568" i="2"/>
  <c r="L821" i="3"/>
  <c r="L2216" i="3"/>
  <c r="K424" i="2"/>
  <c r="L424" i="2" s="1"/>
  <c r="L3107" i="3"/>
  <c r="M3107" i="3" s="1"/>
  <c r="K150" i="2"/>
  <c r="K999" i="2"/>
  <c r="K91" i="2"/>
  <c r="K790" i="2"/>
  <c r="K870" i="2"/>
  <c r="K1021" i="2"/>
  <c r="L767" i="3"/>
  <c r="L760" i="3"/>
  <c r="K110" i="2"/>
  <c r="K842" i="2"/>
  <c r="K672" i="2"/>
  <c r="L690" i="3"/>
  <c r="L719" i="3"/>
  <c r="L409" i="3"/>
  <c r="L847" i="3"/>
  <c r="L2435" i="3"/>
  <c r="L1417" i="3"/>
  <c r="L450" i="3"/>
  <c r="L2243" i="3"/>
  <c r="L163" i="3"/>
  <c r="K276" i="2"/>
  <c r="K553" i="2"/>
  <c r="K407" i="2"/>
  <c r="K631" i="2"/>
  <c r="K520" i="2"/>
  <c r="K825" i="2"/>
  <c r="K892" i="2"/>
  <c r="K327" i="2"/>
  <c r="K184" i="2"/>
  <c r="K598" i="2"/>
  <c r="K508" i="2"/>
  <c r="K1125" i="2"/>
  <c r="K940" i="2"/>
  <c r="K1045" i="2"/>
  <c r="K204" i="2"/>
  <c r="K159" i="2"/>
  <c r="K1047" i="2"/>
  <c r="K850" i="2"/>
  <c r="K1024" i="2"/>
  <c r="K1074" i="2"/>
  <c r="K209" i="2"/>
  <c r="K558" i="2"/>
  <c r="K868" i="2"/>
  <c r="K871" i="2"/>
  <c r="K757" i="2"/>
  <c r="K1159" i="2"/>
  <c r="L2343" i="3"/>
  <c r="L2378" i="3"/>
  <c r="L2338" i="3"/>
  <c r="L2331" i="3"/>
  <c r="L2389" i="3"/>
  <c r="L2365" i="3"/>
  <c r="L2374" i="3"/>
  <c r="L2326" i="3"/>
  <c r="K709" i="2"/>
  <c r="K729" i="2"/>
  <c r="K499" i="2"/>
  <c r="L295" i="3"/>
  <c r="L443" i="3"/>
  <c r="L634" i="3"/>
  <c r="L348" i="3"/>
  <c r="L264" i="3"/>
  <c r="L328" i="3"/>
  <c r="L413" i="3"/>
  <c r="L683" i="3"/>
  <c r="L286" i="3"/>
  <c r="L711" i="3"/>
  <c r="L416" i="3"/>
  <c r="L1124" i="3"/>
  <c r="L1180" i="3"/>
  <c r="L312" i="3"/>
  <c r="L1021" i="3"/>
  <c r="L1277" i="3"/>
  <c r="L1200" i="3"/>
  <c r="L974" i="3"/>
  <c r="L1038" i="3"/>
  <c r="L374" i="3"/>
  <c r="L1086" i="3"/>
  <c r="L1255" i="3"/>
  <c r="L1192" i="3"/>
  <c r="L912" i="3"/>
  <c r="L852" i="3"/>
  <c r="L2327" i="3"/>
  <c r="L2290" i="3"/>
  <c r="L2659" i="3"/>
  <c r="L2732" i="3"/>
  <c r="L2244" i="3"/>
  <c r="L2909" i="3"/>
  <c r="M2909" i="3" s="1"/>
  <c r="L2878" i="3"/>
  <c r="M2878" i="3" s="1"/>
  <c r="L2851" i="3"/>
  <c r="M2851" i="3" s="1"/>
  <c r="L2865" i="3"/>
  <c r="M2865" i="3" s="1"/>
  <c r="L2916" i="3"/>
  <c r="M2916" i="3" s="1"/>
  <c r="L3099" i="3"/>
  <c r="M3099" i="3" s="1"/>
  <c r="L3201" i="3"/>
  <c r="M3201" i="3" s="1"/>
  <c r="L3025" i="3"/>
  <c r="M3025" i="3" s="1"/>
  <c r="K421" i="2"/>
  <c r="L2649" i="3"/>
  <c r="L3215" i="3"/>
  <c r="M3215" i="3" s="1"/>
  <c r="K105" i="2"/>
  <c r="K739" i="2"/>
  <c r="K1187" i="2"/>
  <c r="L1187" i="2" s="1"/>
  <c r="K133" i="2"/>
  <c r="K74" i="2"/>
  <c r="L2900" i="3"/>
  <c r="M2900" i="3" s="1"/>
  <c r="K724" i="2"/>
  <c r="K775" i="2"/>
  <c r="K441" i="2"/>
  <c r="K526" i="2"/>
  <c r="K451" i="2"/>
  <c r="K925" i="2"/>
  <c r="K137" i="2"/>
  <c r="K166" i="2"/>
  <c r="L370" i="3"/>
  <c r="L375" i="3"/>
  <c r="L261" i="3"/>
  <c r="L452" i="3"/>
  <c r="M452" i="3" s="1"/>
  <c r="L1017" i="3"/>
  <c r="L1380" i="3"/>
  <c r="L813" i="3"/>
  <c r="L1904" i="3"/>
  <c r="L1819" i="3"/>
  <c r="L1882" i="3"/>
  <c r="K135" i="2"/>
  <c r="K340" i="2"/>
  <c r="K350" i="2"/>
  <c r="K218" i="2"/>
  <c r="K247" i="2"/>
  <c r="L247" i="2" s="1"/>
  <c r="L169" i="3"/>
  <c r="K228" i="2"/>
  <c r="K333" i="2"/>
  <c r="K602" i="2"/>
  <c r="K1128" i="2"/>
  <c r="K281" i="2"/>
  <c r="K1116" i="2"/>
  <c r="L1116" i="2" s="1"/>
  <c r="K681" i="2"/>
  <c r="K1173" i="2"/>
  <c r="L1173" i="2" s="1"/>
  <c r="K192" i="2"/>
  <c r="K644" i="2"/>
  <c r="K579" i="2"/>
  <c r="K872" i="2"/>
  <c r="K488" i="2"/>
  <c r="L42" i="3"/>
  <c r="L11" i="3"/>
  <c r="M11" i="3" s="1"/>
  <c r="L123" i="3"/>
  <c r="M123" i="3" s="1"/>
  <c r="L153" i="3"/>
  <c r="M153" i="3" s="1"/>
  <c r="L240" i="3"/>
  <c r="L224" i="3"/>
  <c r="L843" i="3"/>
  <c r="L1250" i="3"/>
  <c r="L48" i="3"/>
  <c r="M48" i="3" s="1"/>
  <c r="L1538" i="3"/>
  <c r="L1698" i="3"/>
  <c r="L1603" i="3"/>
  <c r="L1659" i="3"/>
  <c r="L1452" i="3"/>
  <c r="L1460" i="3"/>
  <c r="L1468" i="3"/>
  <c r="L1476" i="3"/>
  <c r="L1596" i="3"/>
  <c r="L1501" i="3"/>
  <c r="L1525" i="3"/>
  <c r="L1613" i="3"/>
  <c r="L1621" i="3"/>
  <c r="L1637" i="3"/>
  <c r="L1685" i="3"/>
  <c r="L1749" i="3"/>
  <c r="L1486" i="3"/>
  <c r="L1518" i="3"/>
  <c r="L1511" i="3"/>
  <c r="L1175" i="3"/>
  <c r="L1553" i="3"/>
  <c r="L1576" i="3"/>
  <c r="L1632" i="3"/>
  <c r="L1495" i="3"/>
  <c r="L1024" i="3"/>
  <c r="L1560" i="3"/>
  <c r="L1652" i="3"/>
  <c r="L1716" i="3"/>
  <c r="L1760" i="3"/>
  <c r="L1740" i="3"/>
  <c r="L1771" i="3"/>
  <c r="L1567" i="3"/>
  <c r="L2424" i="3"/>
  <c r="L1673" i="3"/>
  <c r="M1673" i="3" s="1"/>
  <c r="L1732" i="3"/>
  <c r="L1644" i="3"/>
  <c r="L1708" i="3"/>
  <c r="L1591" i="3"/>
  <c r="L1764" i="3"/>
  <c r="L2266" i="3"/>
  <c r="L2421" i="3"/>
  <c r="L1545" i="3"/>
  <c r="L1724" i="3"/>
  <c r="L3273" i="3"/>
  <c r="M3273" i="3" s="1"/>
  <c r="L3276" i="3"/>
  <c r="M3276" i="3" s="1"/>
  <c r="L2896" i="3"/>
  <c r="M2896" i="3" s="1"/>
  <c r="L3268" i="3"/>
  <c r="M3268" i="3" s="1"/>
  <c r="L3205" i="3"/>
  <c r="M3205" i="3" s="1"/>
  <c r="L239" i="3"/>
  <c r="L1474" i="3"/>
  <c r="L1602" i="3"/>
  <c r="L1666" i="3"/>
  <c r="L1451" i="3"/>
  <c r="L1459" i="3"/>
  <c r="L1467" i="3"/>
  <c r="L1523" i="3"/>
  <c r="L1611" i="3"/>
  <c r="L1619" i="3"/>
  <c r="L1643" i="3"/>
  <c r="L1651" i="3"/>
  <c r="L1683" i="3"/>
  <c r="L1715" i="3"/>
  <c r="L1723" i="3"/>
  <c r="L1731" i="3"/>
  <c r="L1739" i="3"/>
  <c r="L1484" i="3"/>
  <c r="L1500" i="3"/>
  <c r="L1508" i="3"/>
  <c r="L1493" i="3"/>
  <c r="L1517" i="3"/>
  <c r="L1581" i="3"/>
  <c r="L1597" i="3"/>
  <c r="L1566" i="3"/>
  <c r="L1574" i="3"/>
  <c r="M1574" i="3" s="1"/>
  <c r="L842" i="3"/>
  <c r="L1536" i="3"/>
  <c r="L1559" i="3"/>
  <c r="L1697" i="3"/>
  <c r="L1748" i="3"/>
  <c r="L1759" i="3"/>
  <c r="L1636" i="3"/>
  <c r="L1543" i="3"/>
  <c r="L1705" i="3"/>
  <c r="L1551" i="3"/>
  <c r="L3266" i="3"/>
  <c r="M3266" i="3" s="1"/>
  <c r="L1631" i="3"/>
  <c r="L325" i="3"/>
  <c r="L899" i="3"/>
  <c r="L968" i="3"/>
  <c r="L957" i="3"/>
  <c r="L2568" i="3"/>
  <c r="L2767" i="3"/>
  <c r="L2761" i="3"/>
  <c r="L2782" i="3"/>
  <c r="M2782" i="3" s="1"/>
  <c r="J513" i="10" s="1"/>
  <c r="L2814" i="3"/>
  <c r="L2762" i="3"/>
  <c r="L2548" i="3"/>
  <c r="L1194" i="3"/>
  <c r="L1202" i="3"/>
  <c r="L2646" i="3"/>
  <c r="L2549" i="3"/>
  <c r="L2570" i="3"/>
  <c r="L2700" i="3"/>
  <c r="L2708" i="3"/>
  <c r="L2795" i="3"/>
  <c r="M2795" i="3" s="1"/>
  <c r="J496" i="10" s="1"/>
  <c r="L2565" i="3"/>
  <c r="L2656" i="3"/>
  <c r="L2547" i="3"/>
  <c r="L2730" i="3"/>
  <c r="L2902" i="3"/>
  <c r="M2902" i="3" s="1"/>
  <c r="L2667" i="3"/>
  <c r="K32" i="2"/>
  <c r="L32" i="2" s="1"/>
  <c r="K481" i="2"/>
  <c r="K746" i="2"/>
  <c r="K760" i="2"/>
  <c r="L760" i="2" s="1"/>
  <c r="L2640" i="3"/>
  <c r="K446" i="2"/>
  <c r="K418" i="2"/>
  <c r="K438" i="2"/>
  <c r="K448" i="2"/>
  <c r="K835" i="2"/>
  <c r="L835" i="2" s="1"/>
  <c r="K1109" i="2"/>
  <c r="L1109" i="2" s="1"/>
  <c r="K588" i="2"/>
  <c r="K1182" i="2"/>
  <c r="L1182" i="2" s="1"/>
  <c r="K655" i="2"/>
  <c r="K1035" i="2"/>
  <c r="L1035" i="2" s="1"/>
  <c r="K14" i="2"/>
  <c r="L14" i="2" s="1"/>
  <c r="K167" i="2"/>
  <c r="K777" i="2"/>
  <c r="K41" i="2"/>
  <c r="L41" i="2" s="1"/>
  <c r="L106" i="3"/>
  <c r="L2559" i="3"/>
  <c r="L2794" i="3"/>
  <c r="M2794" i="3" s="1"/>
  <c r="J499" i="10" s="1"/>
  <c r="L2558" i="3"/>
  <c r="K958" i="2"/>
  <c r="L958" i="2" s="1"/>
  <c r="L720" i="3"/>
  <c r="L1331" i="3"/>
  <c r="L1418" i="3"/>
  <c r="L1372" i="3"/>
  <c r="L3038" i="3"/>
  <c r="M3038" i="3" s="1"/>
  <c r="L10" i="3"/>
  <c r="M10" i="3" s="1"/>
  <c r="L223" i="3"/>
  <c r="L247" i="3"/>
  <c r="L2962" i="3"/>
  <c r="M2962" i="3" s="1"/>
  <c r="L2992" i="3"/>
  <c r="M2992" i="3" s="1"/>
  <c r="L3004" i="3"/>
  <c r="M3004" i="3" s="1"/>
  <c r="L1305" i="3"/>
  <c r="L1323" i="3"/>
  <c r="L1347" i="3"/>
  <c r="L1300" i="3"/>
  <c r="L1335" i="3"/>
  <c r="L1358" i="3"/>
  <c r="L1402" i="3"/>
  <c r="L1311" i="3"/>
  <c r="L1341" i="3"/>
  <c r="L1352" i="3"/>
  <c r="L1318" i="3"/>
  <c r="L1329" i="3"/>
  <c r="L1364" i="3"/>
  <c r="L1408" i="3"/>
  <c r="L1383" i="3"/>
  <c r="L757" i="3"/>
  <c r="L762" i="3"/>
  <c r="K1001" i="2"/>
  <c r="K916" i="2"/>
  <c r="K929" i="2"/>
  <c r="K402" i="2"/>
  <c r="K517" i="2"/>
  <c r="K1185" i="2"/>
  <c r="L1185" i="2" s="1"/>
  <c r="K875" i="2"/>
  <c r="L873" i="3"/>
  <c r="L3108" i="3"/>
  <c r="M3108" i="3" s="1"/>
  <c r="K9" i="2"/>
  <c r="K101" i="2"/>
  <c r="K615" i="2"/>
  <c r="K3" i="2"/>
  <c r="K764" i="2"/>
  <c r="K787" i="2"/>
  <c r="K99" i="2"/>
  <c r="K1009" i="2"/>
  <c r="K117" i="2"/>
  <c r="K765" i="2"/>
  <c r="L754" i="3"/>
  <c r="L2376" i="3"/>
  <c r="L2224" i="3"/>
  <c r="L2788" i="3"/>
  <c r="M2788" i="3" s="1"/>
  <c r="K100" i="2"/>
  <c r="K766" i="2"/>
  <c r="L2270" i="3"/>
  <c r="L2369" i="3"/>
  <c r="K768" i="2"/>
  <c r="K505" i="2"/>
  <c r="K539" i="2"/>
  <c r="K974" i="2"/>
  <c r="L178" i="3"/>
  <c r="L258" i="3"/>
  <c r="L274" i="3"/>
  <c r="L389" i="3"/>
  <c r="L594" i="3"/>
  <c r="L814" i="3"/>
  <c r="L597" i="3"/>
  <c r="L334" i="3"/>
  <c r="L376" i="3"/>
  <c r="L1073" i="3"/>
  <c r="L1155" i="3"/>
  <c r="L1116" i="3"/>
  <c r="L930" i="3"/>
  <c r="L1385" i="3"/>
  <c r="L1588" i="3"/>
  <c r="L1062" i="3"/>
  <c r="L2098" i="3"/>
  <c r="L2321" i="3"/>
  <c r="L2418" i="3"/>
  <c r="L2281" i="3"/>
  <c r="L2356" i="3"/>
  <c r="L2430" i="3"/>
  <c r="L2787" i="3"/>
  <c r="M2787" i="3" s="1"/>
  <c r="L3034" i="3"/>
  <c r="M3034" i="3" s="1"/>
  <c r="L2671" i="3"/>
  <c r="L3163" i="3"/>
  <c r="M3163" i="3" s="1"/>
  <c r="L3155" i="3"/>
  <c r="M3155" i="3" s="1"/>
  <c r="L3229" i="3"/>
  <c r="M3229" i="3" s="1"/>
  <c r="L3186" i="3"/>
  <c r="M3186" i="3" s="1"/>
  <c r="K972" i="2"/>
  <c r="K1178" i="2"/>
  <c r="L1178" i="2" s="1"/>
  <c r="K538" i="2"/>
  <c r="K944" i="2"/>
  <c r="K47" i="2"/>
  <c r="L47" i="2" s="1"/>
  <c r="K127" i="2"/>
  <c r="K747" i="2"/>
  <c r="K828" i="2"/>
  <c r="K1142" i="2"/>
  <c r="L117" i="3"/>
  <c r="M117" i="3" s="1"/>
  <c r="L303" i="3"/>
  <c r="L459" i="3"/>
  <c r="L467" i="3"/>
  <c r="L179" i="3"/>
  <c r="L293" i="3"/>
  <c r="L379" i="3"/>
  <c r="L317" i="3"/>
  <c r="L502" i="3"/>
  <c r="L854" i="3"/>
  <c r="L910" i="3"/>
  <c r="L926" i="3"/>
  <c r="L482" i="3"/>
  <c r="L530" i="3"/>
  <c r="L495" i="3"/>
  <c r="L784" i="3"/>
  <c r="L848" i="3"/>
  <c r="L270" i="3"/>
  <c r="L508" i="3"/>
  <c r="L739" i="3"/>
  <c r="L333" i="3"/>
  <c r="L1129" i="3"/>
  <c r="L1185" i="3"/>
  <c r="L1289" i="3"/>
  <c r="M1289" i="3" s="1"/>
  <c r="L474" i="3"/>
  <c r="L1010" i="3"/>
  <c r="L1274" i="3"/>
  <c r="M1274" i="3" s="1"/>
  <c r="L516" i="3"/>
  <c r="L885" i="3"/>
  <c r="L987" i="3"/>
  <c r="L1075" i="3"/>
  <c r="L1099" i="3"/>
  <c r="L524" i="3"/>
  <c r="L810" i="3"/>
  <c r="L1028" i="3"/>
  <c r="L1052" i="3"/>
  <c r="L1140" i="3"/>
  <c r="L355" i="3"/>
  <c r="L487" i="3"/>
  <c r="L1037" i="3"/>
  <c r="L1045" i="3"/>
  <c r="L1085" i="3"/>
  <c r="L1093" i="3"/>
  <c r="L1109" i="3"/>
  <c r="L943" i="3"/>
  <c r="L801" i="3"/>
  <c r="L1190" i="3"/>
  <c r="L1208" i="3"/>
  <c r="L280" i="3"/>
  <c r="L730" i="3"/>
  <c r="L1064" i="3"/>
  <c r="L1777" i="3"/>
  <c r="L1841" i="3"/>
  <c r="L1905" i="3"/>
  <c r="L815" i="3"/>
  <c r="L1198" i="3"/>
  <c r="L1280" i="3"/>
  <c r="L1811" i="3"/>
  <c r="L1874" i="3"/>
  <c r="L1938" i="3"/>
  <c r="L1384" i="3"/>
  <c r="L1820" i="3"/>
  <c r="L1883" i="3"/>
  <c r="L1915" i="3"/>
  <c r="L1853" i="3"/>
  <c r="L2448" i="3"/>
  <c r="L1791" i="3"/>
  <c r="L2496" i="3"/>
  <c r="L2536" i="3"/>
  <c r="L2115" i="3"/>
  <c r="L2529" i="3"/>
  <c r="L321" i="3"/>
  <c r="L2127" i="3"/>
  <c r="L2436" i="3"/>
  <c r="L1893" i="3"/>
  <c r="L2462" i="3"/>
  <c r="L1832" i="3"/>
  <c r="L2176" i="3"/>
  <c r="L2487" i="3"/>
  <c r="L2898" i="3"/>
  <c r="M2898" i="3" s="1"/>
  <c r="L2517" i="3"/>
  <c r="L1862" i="3"/>
  <c r="L2471" i="3"/>
  <c r="L2477" i="3"/>
  <c r="L2523" i="3"/>
  <c r="L3045" i="3"/>
  <c r="M3045" i="3" s="1"/>
  <c r="L2870" i="3"/>
  <c r="M2870" i="3" s="1"/>
  <c r="L2588" i="3"/>
  <c r="L3164" i="3"/>
  <c r="M3164" i="3" s="1"/>
  <c r="L3156" i="3"/>
  <c r="M3156" i="3" s="1"/>
  <c r="L3175" i="3"/>
  <c r="M3175" i="3" s="1"/>
  <c r="K364" i="2"/>
  <c r="L3213" i="3"/>
  <c r="M3213" i="3" s="1"/>
  <c r="L2884" i="3"/>
  <c r="M2884" i="3" s="1"/>
  <c r="L3104" i="3"/>
  <c r="M3104" i="3" s="1"/>
  <c r="L2455" i="3"/>
  <c r="L2924" i="3"/>
  <c r="M2924" i="3" s="1"/>
  <c r="L3262" i="3"/>
  <c r="M3262" i="3" s="1"/>
  <c r="K453" i="2"/>
  <c r="K179" i="2"/>
  <c r="K262" i="2"/>
  <c r="K882" i="2"/>
  <c r="L3054" i="3"/>
  <c r="M3054" i="3" s="1"/>
  <c r="K945" i="2"/>
  <c r="K318" i="2"/>
  <c r="K409" i="2"/>
  <c r="K1138" i="2"/>
  <c r="K129" i="2"/>
  <c r="L7" i="3"/>
  <c r="M7" i="3" s="1"/>
  <c r="L220" i="3"/>
  <c r="M220" i="3" s="1"/>
  <c r="L562" i="3"/>
  <c r="L2313" i="3"/>
  <c r="L138" i="3"/>
  <c r="L165" i="3"/>
  <c r="K678" i="2"/>
  <c r="L2943" i="3"/>
  <c r="M2943" i="3" s="1"/>
  <c r="L2947" i="3"/>
  <c r="M2947" i="3" s="1"/>
  <c r="K140" i="2"/>
  <c r="L140" i="2" s="1"/>
  <c r="K630" i="2"/>
  <c r="K1114" i="2"/>
  <c r="L1114" i="2" s="1"/>
  <c r="K388" i="2"/>
  <c r="K556" i="2"/>
  <c r="K641" i="2"/>
  <c r="K866" i="2"/>
  <c r="K334" i="2"/>
  <c r="K575" i="2"/>
  <c r="K740" i="2"/>
  <c r="K353" i="2"/>
  <c r="K1083" i="2"/>
  <c r="K1101" i="2"/>
  <c r="K486" i="2"/>
  <c r="K506" i="2"/>
  <c r="K195" i="2"/>
  <c r="K600" i="2"/>
  <c r="K666" i="2"/>
  <c r="K704" i="2"/>
  <c r="L704" i="2" s="1"/>
  <c r="K277" i="2"/>
  <c r="K1169" i="2"/>
  <c r="L1169" i="2" s="1"/>
  <c r="K72" i="2"/>
  <c r="K636" i="2"/>
  <c r="K61" i="2"/>
  <c r="K131" i="2"/>
  <c r="K1031" i="2"/>
  <c r="K55" i="2"/>
  <c r="K1130" i="2"/>
  <c r="K1018" i="2"/>
  <c r="K431" i="2"/>
  <c r="K560" i="2"/>
  <c r="K635" i="2"/>
  <c r="K68" i="2"/>
  <c r="K744" i="2"/>
  <c r="K394" i="2"/>
  <c r="L394" i="2" s="1"/>
  <c r="K213" i="2"/>
  <c r="L103" i="3"/>
  <c r="L229" i="3"/>
  <c r="K252" i="2"/>
  <c r="L252" i="2" s="1"/>
  <c r="K1145" i="2"/>
  <c r="L1145" i="2" s="1"/>
  <c r="K1180" i="2"/>
  <c r="L1180" i="2" s="1"/>
  <c r="K265" i="2"/>
  <c r="K221" i="2"/>
  <c r="K969" i="2"/>
  <c r="L969" i="2" s="1"/>
  <c r="K338" i="2"/>
  <c r="K295" i="2"/>
  <c r="L102" i="3"/>
  <c r="L228" i="3"/>
  <c r="K220" i="2"/>
  <c r="K300" i="2"/>
  <c r="K264" i="2"/>
  <c r="K1181" i="2"/>
  <c r="L1181" i="2" s="1"/>
  <c r="K336" i="2"/>
  <c r="K968" i="2"/>
  <c r="L968" i="2" s="1"/>
  <c r="K249" i="2"/>
  <c r="L249" i="2" s="1"/>
  <c r="L108" i="3"/>
  <c r="M108" i="3" s="1"/>
  <c r="L2633" i="3"/>
  <c r="L2721" i="3"/>
  <c r="L2597" i="3"/>
  <c r="K964" i="2"/>
  <c r="L964" i="2" s="1"/>
  <c r="L2177" i="3"/>
  <c r="L2136" i="3"/>
  <c r="L2459" i="3"/>
  <c r="L2583" i="3"/>
  <c r="L2138" i="3"/>
  <c r="L2452" i="3"/>
  <c r="L2468" i="3"/>
  <c r="L2175" i="3"/>
  <c r="L2445" i="3"/>
  <c r="L2589" i="3"/>
  <c r="L2839" i="3"/>
  <c r="M2839" i="3" s="1"/>
  <c r="L2726" i="3"/>
  <c r="L2719" i="3"/>
  <c r="L2833" i="3"/>
  <c r="M2833" i="3" s="1"/>
  <c r="L2585" i="3"/>
  <c r="L2595" i="3"/>
  <c r="L2587" i="3"/>
  <c r="L2775" i="3"/>
  <c r="L2631" i="3"/>
  <c r="L124" i="3"/>
  <c r="M124" i="3" s="1"/>
  <c r="L182" i="3"/>
  <c r="L47" i="3"/>
  <c r="M47" i="3" s="1"/>
  <c r="L207" i="3"/>
  <c r="L9" i="3"/>
  <c r="M9" i="3" s="1"/>
  <c r="L155" i="3"/>
  <c r="L222" i="3"/>
  <c r="L193" i="3"/>
  <c r="L1928" i="3"/>
  <c r="L1991" i="3"/>
  <c r="L1937" i="3"/>
  <c r="L2008" i="3"/>
  <c r="L2096" i="3"/>
  <c r="L2104" i="3"/>
  <c r="L1835" i="3"/>
  <c r="L1954" i="3"/>
  <c r="L2129" i="3"/>
  <c r="L1780" i="3"/>
  <c r="L1867" i="3"/>
  <c r="L1907" i="3"/>
  <c r="L1947" i="3"/>
  <c r="L2065" i="3"/>
  <c r="L1805" i="3"/>
  <c r="L2026" i="3"/>
  <c r="L2058" i="3"/>
  <c r="L2151" i="3"/>
  <c r="L2160" i="3"/>
  <c r="L1964" i="3"/>
  <c r="L1855" i="3"/>
  <c r="L1886" i="3"/>
  <c r="L1981" i="3"/>
  <c r="L2074" i="3"/>
  <c r="L1824" i="3"/>
  <c r="L1919" i="3"/>
  <c r="L2014" i="3"/>
  <c r="L2044" i="3"/>
  <c r="L1797" i="3"/>
  <c r="L1876" i="3"/>
  <c r="L2116" i="3"/>
  <c r="L1814" i="3"/>
  <c r="L1846" i="3"/>
  <c r="L1972" i="3"/>
  <c r="L2194" i="3"/>
  <c r="L2167" i="3"/>
  <c r="L1895" i="3"/>
  <c r="L2036" i="3"/>
  <c r="L2727" i="3"/>
  <c r="L2186" i="3"/>
  <c r="L2997" i="3"/>
  <c r="M2997" i="3" s="1"/>
  <c r="L2991" i="3"/>
  <c r="M2991" i="3" s="1"/>
  <c r="L2961" i="3"/>
  <c r="M2961" i="3" s="1"/>
  <c r="L2776" i="3"/>
  <c r="L2967" i="3"/>
  <c r="M2967" i="3" s="1"/>
  <c r="K832" i="2"/>
  <c r="K965" i="2"/>
  <c r="L965" i="2" s="1"/>
  <c r="K1059" i="2"/>
  <c r="L238" i="3"/>
  <c r="L1450" i="3"/>
  <c r="L1458" i="3"/>
  <c r="L1466" i="3"/>
  <c r="L1522" i="3"/>
  <c r="L1594" i="3"/>
  <c r="L1610" i="3"/>
  <c r="L1618" i="3"/>
  <c r="L1642" i="3"/>
  <c r="L1650" i="3"/>
  <c r="L1682" i="3"/>
  <c r="L1483" i="3"/>
  <c r="L1499" i="3"/>
  <c r="L1507" i="3"/>
  <c r="L1579" i="3"/>
  <c r="L1635" i="3"/>
  <c r="L1492" i="3"/>
  <c r="L1516" i="3"/>
  <c r="L1580" i="3"/>
  <c r="L1565" i="3"/>
  <c r="L1573" i="3"/>
  <c r="M1573" i="3" s="1"/>
  <c r="L1589" i="3"/>
  <c r="L1757" i="3"/>
  <c r="L841" i="3"/>
  <c r="L1542" i="3"/>
  <c r="L1550" i="3"/>
  <c r="L1558" i="3"/>
  <c r="L1630" i="3"/>
  <c r="L1535" i="3"/>
  <c r="L1696" i="3"/>
  <c r="L1746" i="3"/>
  <c r="L1713" i="3"/>
  <c r="L1737" i="3"/>
  <c r="L1473" i="3"/>
  <c r="L1601" i="3"/>
  <c r="L1668" i="3"/>
  <c r="L1729" i="3"/>
  <c r="L1672" i="3"/>
  <c r="L1704" i="3"/>
  <c r="L1772" i="3"/>
  <c r="L1657" i="3"/>
  <c r="L1689" i="3"/>
  <c r="L1766" i="3"/>
  <c r="L1721" i="3"/>
  <c r="L3265" i="3"/>
  <c r="M3265" i="3" s="1"/>
  <c r="L1843" i="3"/>
  <c r="L2392" i="3"/>
  <c r="L1917" i="3"/>
  <c r="L2147" i="3"/>
  <c r="L2298" i="3"/>
  <c r="L2314" i="3"/>
  <c r="L2166" i="3"/>
  <c r="L2317" i="3"/>
  <c r="L2285" i="3"/>
  <c r="L1169" i="3"/>
  <c r="L996" i="3"/>
  <c r="L1149" i="3"/>
  <c r="L1247" i="3"/>
  <c r="L1529" i="3"/>
  <c r="L2894" i="3"/>
  <c r="M2894" i="3" s="1"/>
  <c r="K692" i="2"/>
  <c r="K793" i="2"/>
  <c r="K563" i="2"/>
  <c r="K13" i="2"/>
  <c r="K735" i="2"/>
  <c r="L122" i="3"/>
  <c r="M122" i="3" s="1"/>
  <c r="L194" i="3"/>
  <c r="L208" i="3"/>
  <c r="L156" i="3"/>
  <c r="L236" i="3"/>
  <c r="L2832" i="3"/>
  <c r="M2832" i="3" s="1"/>
  <c r="L2841" i="3"/>
  <c r="M2841" i="3" s="1"/>
  <c r="L388" i="3"/>
  <c r="L1268" i="3"/>
  <c r="M1268" i="3" s="1"/>
  <c r="L1399" i="3"/>
  <c r="L817" i="3"/>
  <c r="L2133" i="3"/>
  <c r="L2059" i="3"/>
  <c r="L2638" i="3"/>
  <c r="L2174" i="3"/>
  <c r="L2461" i="3"/>
  <c r="L2470" i="3"/>
  <c r="L2542" i="3"/>
  <c r="L2635" i="3"/>
  <c r="L2820" i="3"/>
  <c r="M2820" i="3" s="1"/>
  <c r="L2052" i="3"/>
  <c r="L2447" i="3"/>
  <c r="L2586" i="3"/>
  <c r="L2827" i="3"/>
  <c r="M2827" i="3" s="1"/>
  <c r="L2835" i="3"/>
  <c r="M2835" i="3" s="1"/>
  <c r="L2454" i="3"/>
  <c r="L2628" i="3"/>
  <c r="K163" i="2"/>
  <c r="K216" i="2"/>
  <c r="K152" i="2"/>
  <c r="K28" i="2"/>
  <c r="K861" i="2"/>
  <c r="K450" i="2"/>
  <c r="K1036" i="2"/>
  <c r="L1036" i="2" s="1"/>
  <c r="L3109" i="3"/>
  <c r="M3109" i="3" s="1"/>
  <c r="K169" i="2"/>
  <c r="K523" i="2"/>
  <c r="L411" i="3"/>
  <c r="L2289" i="3"/>
  <c r="L1782" i="3"/>
  <c r="L2358" i="3"/>
  <c r="K53" i="2"/>
  <c r="K1068" i="2"/>
  <c r="K177" i="2"/>
  <c r="K296" i="2"/>
  <c r="L581" i="3"/>
  <c r="L963" i="3"/>
  <c r="L1531" i="3"/>
  <c r="K693" i="2"/>
  <c r="L398" i="3"/>
  <c r="L721" i="3"/>
  <c r="L1419" i="3"/>
  <c r="L1360" i="3"/>
  <c r="L1389" i="3"/>
  <c r="L959" i="3"/>
  <c r="K991" i="2"/>
  <c r="K626" i="2"/>
  <c r="K948" i="2"/>
  <c r="K478" i="2"/>
  <c r="L886" i="3"/>
  <c r="L341" i="3"/>
  <c r="L703" i="3"/>
  <c r="L835" i="3"/>
  <c r="L917" i="3"/>
  <c r="L995" i="3"/>
  <c r="L1243" i="3"/>
  <c r="L1165" i="3"/>
  <c r="L696" i="3"/>
  <c r="L2890" i="3"/>
  <c r="M2890" i="3" s="1"/>
  <c r="K564" i="2"/>
  <c r="K1019" i="2"/>
  <c r="L356" i="3"/>
  <c r="L1236" i="3"/>
  <c r="L1223" i="3"/>
  <c r="L1183" i="3"/>
  <c r="L2509" i="3"/>
  <c r="L2868" i="3"/>
  <c r="M2868" i="3" s="1"/>
  <c r="L2881" i="3"/>
  <c r="M2881" i="3" s="1"/>
  <c r="L3102" i="3"/>
  <c r="M3102" i="3" s="1"/>
  <c r="K876" i="2"/>
  <c r="K1189" i="2"/>
  <c r="L1189" i="2" s="1"/>
  <c r="L2704" i="3"/>
  <c r="L2712" i="3"/>
  <c r="L2641" i="3"/>
  <c r="L2647" i="3"/>
  <c r="L2657" i="3"/>
  <c r="K1183" i="2"/>
  <c r="L1183" i="2" s="1"/>
  <c r="L2842" i="3"/>
  <c r="M2842" i="3" s="1"/>
  <c r="J494" i="10" s="1"/>
  <c r="L168" i="3"/>
  <c r="K425" i="2"/>
  <c r="L425" i="2" s="1"/>
  <c r="K581" i="2"/>
  <c r="K301" i="2"/>
  <c r="K496" i="2"/>
  <c r="K657" i="2"/>
  <c r="K194" i="2"/>
  <c r="L97" i="3"/>
  <c r="L511" i="3"/>
  <c r="L477" i="3"/>
  <c r="L786" i="3"/>
  <c r="L1888" i="3"/>
  <c r="L1959" i="3"/>
  <c r="L1806" i="3"/>
  <c r="L2766" i="3"/>
  <c r="L2771" i="3"/>
  <c r="L2784" i="3"/>
  <c r="M2784" i="3" s="1"/>
  <c r="L878" i="3"/>
  <c r="L300" i="3"/>
  <c r="L1127" i="3"/>
  <c r="L1135" i="3"/>
  <c r="L2546" i="3"/>
  <c r="L2919" i="3"/>
  <c r="M2919" i="3" s="1"/>
  <c r="L197" i="3"/>
  <c r="L127" i="3"/>
  <c r="L279" i="3"/>
  <c r="L319" i="3"/>
  <c r="L682" i="3"/>
  <c r="L527" i="3"/>
  <c r="L152" i="3"/>
  <c r="M152" i="3" s="1"/>
  <c r="L331" i="3"/>
  <c r="L445" i="3"/>
  <c r="L923" i="3"/>
  <c r="L428" i="3"/>
  <c r="L970" i="3"/>
  <c r="L1050" i="3"/>
  <c r="L954" i="3"/>
  <c r="L636" i="3"/>
  <c r="L1270" i="3"/>
  <c r="M1270" i="3" s="1"/>
  <c r="L1912" i="3"/>
  <c r="L2039" i="3"/>
  <c r="L1838" i="3"/>
  <c r="L2457" i="3"/>
  <c r="L2329" i="3"/>
  <c r="L2450" i="3"/>
  <c r="L2466" i="3"/>
  <c r="L2101" i="3"/>
  <c r="L2240" i="3"/>
  <c r="L2443" i="3"/>
  <c r="L2630" i="3"/>
  <c r="L2724" i="3"/>
  <c r="L2612" i="3"/>
  <c r="L2593" i="3"/>
  <c r="L2718" i="3"/>
  <c r="L2584" i="3"/>
  <c r="L2773" i="3"/>
  <c r="L3172" i="3"/>
  <c r="M3172" i="3" s="1"/>
  <c r="L2600" i="3"/>
  <c r="L2830" i="3"/>
  <c r="M2830" i="3" s="1"/>
  <c r="K122" i="2"/>
  <c r="K537" i="2"/>
  <c r="L2838" i="3"/>
  <c r="M2838" i="3" s="1"/>
  <c r="L3131" i="3"/>
  <c r="M3131" i="3" s="1"/>
  <c r="L2935" i="3"/>
  <c r="M2935" i="3" s="1"/>
  <c r="K25" i="2"/>
  <c r="K43" i="2"/>
  <c r="L43" i="2" s="1"/>
  <c r="K104" i="2"/>
  <c r="K518" i="2"/>
  <c r="K723" i="2"/>
  <c r="K360" i="2"/>
  <c r="K379" i="2"/>
  <c r="K398" i="2"/>
  <c r="K528" i="2"/>
  <c r="K898" i="2"/>
  <c r="K954" i="2"/>
  <c r="K1090" i="2"/>
  <c r="K317" i="2"/>
  <c r="K408" i="2"/>
  <c r="K65" i="2"/>
  <c r="K238" i="2"/>
  <c r="L238" i="2" s="1"/>
  <c r="K1042" i="2"/>
  <c r="K720" i="2"/>
  <c r="K725" i="2"/>
  <c r="K995" i="2"/>
  <c r="K33" i="2"/>
  <c r="L33" i="2" s="1"/>
  <c r="K259" i="2"/>
  <c r="K756" i="2"/>
  <c r="K971" i="2"/>
  <c r="K988" i="2"/>
  <c r="L2230" i="3"/>
  <c r="L2239" i="3"/>
  <c r="L2200" i="3"/>
  <c r="L2264" i="3"/>
  <c r="L2274" i="3"/>
  <c r="L2420" i="3"/>
  <c r="L2226" i="3"/>
  <c r="L2250" i="3"/>
  <c r="L2258" i="3"/>
  <c r="L2236" i="3"/>
  <c r="L3272" i="3"/>
  <c r="M3272" i="3" s="1"/>
  <c r="L3288" i="3"/>
  <c r="M3288" i="3" s="1"/>
  <c r="L3275" i="3"/>
  <c r="M3275" i="3" s="1"/>
  <c r="L3016" i="3"/>
  <c r="M3016" i="3" s="1"/>
  <c r="L2423" i="3"/>
  <c r="L2860" i="3"/>
  <c r="M2860" i="3" s="1"/>
  <c r="L433" i="3"/>
  <c r="L699" i="3"/>
  <c r="L753" i="3"/>
  <c r="K770" i="2"/>
  <c r="K712" i="2"/>
  <c r="K952" i="2"/>
  <c r="I216" i="1"/>
  <c r="L1349" i="3"/>
  <c r="L1354" i="3"/>
  <c r="L3066" i="3"/>
  <c r="M3066" i="3" s="1"/>
  <c r="L3126" i="3"/>
  <c r="M3126" i="3" s="1"/>
  <c r="K1161" i="2"/>
  <c r="K211" i="2"/>
  <c r="L382" i="3"/>
  <c r="L2304" i="3"/>
  <c r="K521" i="2"/>
  <c r="L2412" i="3"/>
  <c r="L2857" i="3"/>
  <c r="M2857" i="3" s="1"/>
  <c r="L3110" i="3"/>
  <c r="M3110" i="3" s="1"/>
  <c r="K297" i="2"/>
  <c r="K239" i="2"/>
  <c r="L239" i="2" s="1"/>
  <c r="L637" i="3"/>
  <c r="L2328" i="3"/>
  <c r="L2666" i="3"/>
  <c r="K834" i="2"/>
  <c r="L834" i="2" s="1"/>
  <c r="K752" i="2"/>
  <c r="K726" i="2"/>
  <c r="L65" i="3"/>
  <c r="K116" i="2"/>
  <c r="K986" i="2"/>
  <c r="K979" i="2"/>
  <c r="L979" i="2" s="1"/>
  <c r="L198" i="3"/>
  <c r="K260" i="2"/>
  <c r="K561" i="2"/>
  <c r="K359" i="2"/>
  <c r="K908" i="2"/>
  <c r="K530" i="2"/>
  <c r="K761" i="2"/>
  <c r="K928" i="2"/>
  <c r="K1048" i="2"/>
  <c r="K134" i="2"/>
  <c r="K975" i="2"/>
  <c r="K985" i="2"/>
  <c r="K401" i="2"/>
  <c r="K285" i="2"/>
  <c r="K411" i="2"/>
  <c r="K1094" i="2"/>
  <c r="K1149" i="2"/>
  <c r="K322" i="2"/>
  <c r="K498" i="2"/>
  <c r="K784" i="2"/>
  <c r="K4" i="2"/>
  <c r="K88" i="2"/>
  <c r="K611" i="2"/>
  <c r="K1148" i="2"/>
  <c r="K713" i="2"/>
  <c r="K1151" i="2"/>
  <c r="L3199" i="3"/>
  <c r="M3199" i="3" s="1"/>
  <c r="K180" i="2"/>
  <c r="K389" i="2"/>
  <c r="K758" i="2"/>
  <c r="K483" i="2"/>
  <c r="K688" i="2"/>
  <c r="K651" i="2"/>
  <c r="K335" i="2"/>
  <c r="K344" i="2"/>
  <c r="K605" i="2"/>
  <c r="K884" i="2"/>
  <c r="K310" i="2"/>
  <c r="K1111" i="2"/>
  <c r="L1111" i="2" s="1"/>
  <c r="K656" i="2"/>
  <c r="K571" i="2"/>
  <c r="L447" i="3"/>
  <c r="L680" i="3"/>
  <c r="L299" i="3"/>
  <c r="L639" i="3"/>
  <c r="L872" i="3"/>
  <c r="L755" i="3"/>
  <c r="L1137" i="3"/>
  <c r="L761" i="3"/>
  <c r="L3219" i="3"/>
  <c r="M3219" i="3" s="1"/>
  <c r="K737" i="2"/>
  <c r="L2921" i="3"/>
  <c r="M2921" i="3" s="1"/>
  <c r="L3030" i="3"/>
  <c r="M3030" i="3" s="1"/>
  <c r="L3225" i="3"/>
  <c r="M3225" i="3" s="1"/>
  <c r="L3261" i="3"/>
  <c r="M3261" i="3" s="1"/>
  <c r="K705" i="2"/>
  <c r="K767" i="2"/>
  <c r="K953" i="2"/>
  <c r="K106" i="2"/>
  <c r="K531" i="2"/>
  <c r="K93" i="2"/>
  <c r="K118" i="2"/>
  <c r="L851" i="3"/>
  <c r="K161" i="2"/>
  <c r="L314" i="3"/>
  <c r="L415" i="3"/>
  <c r="L674" i="3"/>
  <c r="L419" i="3"/>
  <c r="L1257" i="3"/>
  <c r="L980" i="3"/>
  <c r="L2322" i="3"/>
  <c r="L2428" i="3"/>
  <c r="L2852" i="3"/>
  <c r="M2852" i="3" s="1"/>
  <c r="L2856" i="3"/>
  <c r="M2856" i="3" s="1"/>
  <c r="L960" i="3"/>
  <c r="L969" i="3"/>
  <c r="K98" i="2"/>
  <c r="K293" i="2"/>
  <c r="K320" i="2"/>
  <c r="K617" i="2"/>
  <c r="K627" i="2"/>
  <c r="L359" i="3"/>
  <c r="L129" i="3"/>
  <c r="L196" i="3"/>
  <c r="L318" i="3"/>
  <c r="L281" i="3"/>
  <c r="L257" i="3"/>
  <c r="L1034" i="3"/>
  <c r="L1042" i="3"/>
  <c r="L1082" i="3"/>
  <c r="L1090" i="3"/>
  <c r="L1007" i="3"/>
  <c r="L2521" i="3"/>
  <c r="L2527" i="3"/>
  <c r="L2515" i="3"/>
  <c r="L2534" i="3"/>
  <c r="L3232" i="3"/>
  <c r="M3232" i="3" s="1"/>
  <c r="L2937" i="3"/>
  <c r="M2937" i="3" s="1"/>
  <c r="K593" i="2"/>
  <c r="K806" i="2"/>
  <c r="K263" i="2"/>
  <c r="K355" i="2"/>
  <c r="K755" i="2"/>
  <c r="K618" i="2"/>
  <c r="K1071" i="2"/>
  <c r="K989" i="2"/>
  <c r="L967" i="3"/>
  <c r="L203" i="3"/>
  <c r="K196" i="2"/>
  <c r="K545" i="2"/>
  <c r="K270" i="2"/>
  <c r="K881" i="2"/>
  <c r="K668" i="2"/>
  <c r="K874" i="2"/>
  <c r="K107" i="2"/>
  <c r="K229" i="2"/>
  <c r="K504" i="2"/>
  <c r="K1123" i="2"/>
  <c r="K328" i="2"/>
  <c r="K702" i="2"/>
  <c r="L702" i="2" s="1"/>
  <c r="K470" i="2"/>
  <c r="K864" i="2"/>
  <c r="K1184" i="2"/>
  <c r="L1184" i="2" s="1"/>
  <c r="L451" i="3"/>
  <c r="M451" i="3" s="1"/>
  <c r="L803" i="3"/>
  <c r="L176" i="3"/>
  <c r="L640" i="3"/>
  <c r="L812" i="3"/>
  <c r="L417" i="3"/>
  <c r="L1263" i="3"/>
  <c r="L2312" i="3"/>
  <c r="M2312" i="3" s="1"/>
  <c r="L2970" i="3"/>
  <c r="M2970" i="3" s="1"/>
  <c r="K430" i="2"/>
  <c r="L3259" i="3"/>
  <c r="M3259" i="3" s="1"/>
  <c r="L3161" i="3"/>
  <c r="M3161" i="3" s="1"/>
  <c r="K1030" i="2"/>
  <c r="K707" i="2"/>
  <c r="L3153" i="3"/>
  <c r="M3153" i="3" s="1"/>
  <c r="K933" i="2"/>
  <c r="K348" i="2"/>
  <c r="K341" i="2"/>
  <c r="K246" i="2"/>
  <c r="L246" i="2" s="1"/>
  <c r="K267" i="2"/>
  <c r="L141" i="3"/>
  <c r="L164" i="3"/>
  <c r="L272" i="3"/>
  <c r="L518" i="3"/>
  <c r="L252" i="3"/>
  <c r="L296" i="3"/>
  <c r="L902" i="3"/>
  <c r="L200" i="3"/>
  <c r="L425" i="3"/>
  <c r="L638" i="3"/>
  <c r="L324" i="3"/>
  <c r="L345" i="3"/>
  <c r="L679" i="3"/>
  <c r="L795" i="3"/>
  <c r="L891" i="3"/>
  <c r="L882" i="3"/>
  <c r="L944" i="3"/>
  <c r="L1193" i="3"/>
  <c r="L1201" i="3"/>
  <c r="L1066" i="3"/>
  <c r="L1122" i="3"/>
  <c r="L1130" i="3"/>
  <c r="L1210" i="3"/>
  <c r="L1234" i="3"/>
  <c r="L301" i="3"/>
  <c r="L971" i="3"/>
  <c r="L1171" i="3"/>
  <c r="L1283" i="3"/>
  <c r="L1291" i="3"/>
  <c r="M1291" i="3" s="1"/>
  <c r="L353" i="3"/>
  <c r="L988" i="3"/>
  <c r="L1100" i="3"/>
  <c r="L1053" i="3"/>
  <c r="L1077" i="3"/>
  <c r="L1181" i="3"/>
  <c r="L1221" i="3"/>
  <c r="L709" i="3"/>
  <c r="L332" i="3"/>
  <c r="L364" i="3"/>
  <c r="L1271" i="3"/>
  <c r="M1271" i="3" s="1"/>
  <c r="L839" i="3"/>
  <c r="L804" i="3"/>
  <c r="L999" i="3"/>
  <c r="L1151" i="3"/>
  <c r="L1826" i="3"/>
  <c r="L1111" i="3"/>
  <c r="L1899" i="3"/>
  <c r="L2488" i="3"/>
  <c r="L2497" i="3"/>
  <c r="L2650" i="3"/>
  <c r="L2785" i="3"/>
  <c r="M2785" i="3" s="1"/>
  <c r="L2660" i="3"/>
  <c r="L2669" i="3"/>
  <c r="L2733" i="3"/>
  <c r="L2818" i="3"/>
  <c r="M2818" i="3" s="1"/>
  <c r="L2866" i="3"/>
  <c r="M2866" i="3" s="1"/>
  <c r="L853" i="3"/>
  <c r="L2507" i="3"/>
  <c r="L2901" i="3"/>
  <c r="M2901" i="3" s="1"/>
  <c r="L3216" i="3"/>
  <c r="M3216" i="3" s="1"/>
  <c r="L2478" i="3"/>
  <c r="L2879" i="3"/>
  <c r="M2879" i="3" s="1"/>
  <c r="L2950" i="3"/>
  <c r="M2950" i="3" s="1"/>
  <c r="L3237" i="3"/>
  <c r="M3237" i="3" s="1"/>
  <c r="L2808" i="3"/>
  <c r="M2808" i="3" s="1"/>
  <c r="L3100" i="3"/>
  <c r="M3100" i="3" s="1"/>
  <c r="L3048" i="3"/>
  <c r="M3048" i="3" s="1"/>
  <c r="K40" i="2"/>
  <c r="L40" i="2" s="1"/>
  <c r="K56" i="2"/>
  <c r="K130" i="2"/>
  <c r="K513" i="2"/>
  <c r="K603" i="2"/>
  <c r="K620" i="2"/>
  <c r="K701" i="2"/>
  <c r="L701" i="2" s="1"/>
  <c r="K778" i="2"/>
  <c r="L3020" i="3"/>
  <c r="M3020" i="3" s="1"/>
  <c r="L3031" i="3"/>
  <c r="M3031" i="3" s="1"/>
  <c r="K206" i="2"/>
  <c r="K233" i="2"/>
  <c r="K242" i="2"/>
  <c r="L242" i="2" s="1"/>
  <c r="K288" i="2"/>
  <c r="K323" i="2"/>
  <c r="K368" i="2"/>
  <c r="K415" i="2"/>
  <c r="K444" i="2"/>
  <c r="K687" i="2"/>
  <c r="K749" i="2"/>
  <c r="K796" i="2"/>
  <c r="K915" i="2"/>
  <c r="K1046" i="2"/>
  <c r="K1054" i="2"/>
  <c r="K1064" i="2"/>
  <c r="K62" i="2"/>
  <c r="K90" i="2"/>
  <c r="K189" i="2"/>
  <c r="K307" i="2"/>
  <c r="K519" i="2"/>
  <c r="K650" i="2"/>
  <c r="K706" i="2"/>
  <c r="K715" i="2"/>
  <c r="K983" i="2"/>
  <c r="K1015" i="2"/>
  <c r="K1073" i="2"/>
  <c r="K1153" i="2"/>
  <c r="K18" i="2"/>
  <c r="L18" i="2" s="1"/>
  <c r="K73" i="2"/>
  <c r="K456" i="2"/>
  <c r="K566" i="2"/>
  <c r="K670" i="2"/>
  <c r="K1172" i="2"/>
  <c r="L1172" i="2" s="1"/>
  <c r="K153" i="2"/>
  <c r="K282" i="2"/>
  <c r="K576" i="2"/>
  <c r="K586" i="2"/>
  <c r="K783" i="2"/>
  <c r="K1025" i="2"/>
  <c r="K1092" i="2"/>
  <c r="K1147" i="2"/>
  <c r="L1147" i="2" s="1"/>
  <c r="K164" i="2"/>
  <c r="K173" i="2"/>
  <c r="K392" i="2"/>
  <c r="K419" i="2"/>
  <c r="K733" i="2"/>
  <c r="K852" i="2"/>
  <c r="K902" i="2"/>
  <c r="K911" i="2"/>
  <c r="K1034" i="2"/>
  <c r="K1118" i="2"/>
  <c r="L1118" i="2" s="1"/>
  <c r="K1156" i="2"/>
  <c r="K12" i="2"/>
  <c r="K30" i="2"/>
  <c r="K67" i="2"/>
  <c r="K85" i="2"/>
  <c r="K202" i="2"/>
  <c r="K533" i="2"/>
  <c r="K743" i="2"/>
  <c r="K837" i="2"/>
  <c r="L837" i="2" s="1"/>
  <c r="K1132" i="2"/>
  <c r="K1191" i="2"/>
  <c r="L1191" i="2" s="1"/>
  <c r="K51" i="2"/>
  <c r="L51" i="2" s="1"/>
  <c r="K139" i="2"/>
  <c r="L139" i="2" s="1"/>
  <c r="K395" i="2"/>
  <c r="L395" i="2" s="1"/>
  <c r="K433" i="2"/>
  <c r="K490" i="2"/>
  <c r="K95" i="2"/>
  <c r="K357" i="2"/>
  <c r="K1104" i="2"/>
  <c r="K1078" i="2"/>
  <c r="L2654" i="3"/>
  <c r="L2778" i="3"/>
  <c r="L2644" i="3"/>
  <c r="L2664" i="3"/>
  <c r="L2729" i="3"/>
  <c r="L2737" i="3"/>
  <c r="L58" i="3"/>
  <c r="L74" i="3"/>
  <c r="L82" i="3"/>
  <c r="L154" i="3"/>
  <c r="L218" i="3"/>
  <c r="L43" i="3"/>
  <c r="L20" i="3"/>
  <c r="L36" i="3"/>
  <c r="L52" i="3"/>
  <c r="L5" i="3"/>
  <c r="M5" i="3" s="1"/>
  <c r="L181" i="3"/>
  <c r="L30" i="3"/>
  <c r="L78" i="3"/>
  <c r="L94" i="3"/>
  <c r="L113" i="3"/>
  <c r="L64" i="3"/>
  <c r="L206" i="3"/>
  <c r="L16" i="3"/>
  <c r="L24" i="3"/>
  <c r="L88" i="3"/>
  <c r="L185" i="3"/>
  <c r="L772" i="3"/>
  <c r="L246" i="3"/>
  <c r="L192" i="3"/>
  <c r="L778" i="3"/>
  <c r="L2986" i="3"/>
  <c r="M2986" i="3" s="1"/>
  <c r="L2965" i="3"/>
  <c r="M2965" i="3" s="1"/>
  <c r="L2960" i="3"/>
  <c r="M2960" i="3" s="1"/>
  <c r="L2931" i="3"/>
  <c r="M2931" i="3" s="1"/>
  <c r="L2995" i="3"/>
  <c r="M2995" i="3" s="1"/>
  <c r="L2934" i="3"/>
  <c r="M2934" i="3" s="1"/>
  <c r="L2990" i="3"/>
  <c r="M2990" i="3" s="1"/>
  <c r="L241" i="3"/>
  <c r="L844" i="3"/>
  <c r="L1106" i="3"/>
  <c r="L1004" i="3"/>
  <c r="L1228" i="3"/>
  <c r="L1546" i="3"/>
  <c r="L1554" i="3"/>
  <c r="L1722" i="3"/>
  <c r="L1403" i="3"/>
  <c r="L1539" i="3"/>
  <c r="L1699" i="3"/>
  <c r="L1747" i="3"/>
  <c r="L1453" i="3"/>
  <c r="L1461" i="3"/>
  <c r="L1477" i="3"/>
  <c r="L1645" i="3"/>
  <c r="L1717" i="3"/>
  <c r="L1526" i="3"/>
  <c r="L1598" i="3"/>
  <c r="L1614" i="3"/>
  <c r="L1622" i="3"/>
  <c r="L1638" i="3"/>
  <c r="L1654" i="3"/>
  <c r="L1686" i="3"/>
  <c r="L1710" i="3"/>
  <c r="L1240" i="3"/>
  <c r="L1425" i="3"/>
  <c r="L1512" i="3"/>
  <c r="L1758" i="3"/>
  <c r="L2000" i="3"/>
  <c r="L2007" i="3"/>
  <c r="L2023" i="3"/>
  <c r="L1577" i="3"/>
  <c r="L2016" i="3"/>
  <c r="L1738" i="3"/>
  <c r="L1930" i="3"/>
  <c r="L2064" i="3"/>
  <c r="L2089" i="3"/>
  <c r="L2153" i="3"/>
  <c r="L2169" i="3"/>
  <c r="L2185" i="3"/>
  <c r="L2193" i="3"/>
  <c r="L1561" i="3"/>
  <c r="L1939" i="3"/>
  <c r="L1955" i="3"/>
  <c r="L2057" i="3"/>
  <c r="L2073" i="3"/>
  <c r="L1730" i="3"/>
  <c r="L1949" i="3"/>
  <c r="L2162" i="3"/>
  <c r="L2043" i="3"/>
  <c r="L1966" i="3"/>
  <c r="L2483" i="3"/>
  <c r="L2662" i="3"/>
  <c r="L2035" i="3"/>
  <c r="L1487" i="3"/>
  <c r="L2267" i="3"/>
  <c r="L2511" i="3"/>
  <c r="L2756" i="3"/>
  <c r="L2642" i="3"/>
  <c r="L2685" i="3"/>
  <c r="L2652" i="3"/>
  <c r="L2742" i="3"/>
  <c r="L1974" i="3"/>
  <c r="L2695" i="3"/>
  <c r="L2107" i="3"/>
  <c r="L2680" i="3"/>
  <c r="L2736" i="3"/>
  <c r="L2752" i="3"/>
  <c r="L2760" i="3"/>
  <c r="L1990" i="3"/>
  <c r="L2690" i="3"/>
  <c r="L2675" i="3"/>
  <c r="L2747" i="3"/>
  <c r="L3267" i="3"/>
  <c r="M3267" i="3" s="1"/>
  <c r="L2699" i="3"/>
  <c r="L2707" i="3"/>
  <c r="L2715" i="3"/>
  <c r="L3206" i="3"/>
  <c r="M3206" i="3" s="1"/>
  <c r="L1379" i="3"/>
  <c r="L1368" i="3"/>
  <c r="L1396" i="3"/>
  <c r="L1412" i="3"/>
  <c r="L1420" i="3"/>
  <c r="L1390" i="3"/>
  <c r="L1373" i="3"/>
  <c r="L2015" i="3"/>
  <c r="L2063" i="3"/>
  <c r="L2088" i="3"/>
  <c r="L2056" i="3"/>
  <c r="L2072" i="3"/>
  <c r="L2081" i="3"/>
  <c r="L2097" i="3"/>
  <c r="L2161" i="3"/>
  <c r="L2033" i="3"/>
  <c r="L2041" i="3"/>
  <c r="L2152" i="3"/>
  <c r="L1997" i="3"/>
  <c r="L1982" i="3"/>
  <c r="L2192" i="3"/>
  <c r="L1988" i="3"/>
  <c r="L2051" i="3"/>
  <c r="L2184" i="3"/>
  <c r="L2022" i="3"/>
  <c r="L2168" i="3"/>
  <c r="L2005" i="3"/>
  <c r="J1155" i="2"/>
  <c r="J1156" i="2"/>
  <c r="J1157" i="2"/>
  <c r="L1157" i="2" s="1"/>
  <c r="J1158" i="2"/>
  <c r="J1159" i="2"/>
  <c r="J1160" i="2"/>
  <c r="J1161" i="2"/>
  <c r="J1162" i="2"/>
  <c r="J1163" i="2"/>
  <c r="J1154" i="2"/>
  <c r="D539" i="1" l="1"/>
  <c r="H539" i="1" s="1"/>
  <c r="L3390" i="3" s="1"/>
  <c r="M3390" i="3" s="1"/>
  <c r="D537" i="1"/>
  <c r="H537" i="1" s="1"/>
  <c r="L1161" i="2"/>
  <c r="L1156" i="2"/>
  <c r="L1159" i="2"/>
  <c r="L1154" i="2"/>
  <c r="L1155" i="2"/>
  <c r="L1158" i="2"/>
  <c r="L1160" i="2"/>
  <c r="L1162" i="2"/>
  <c r="J684" i="10"/>
  <c r="I417" i="5"/>
  <c r="Q3498" i="3"/>
  <c r="P3464" i="3"/>
  <c r="K669" i="10"/>
  <c r="M669" i="10" s="1"/>
  <c r="Q3464" i="3" s="1"/>
  <c r="L669" i="10"/>
  <c r="J667" i="10"/>
  <c r="J661" i="10"/>
  <c r="J662" i="10"/>
  <c r="J598" i="10"/>
  <c r="K652" i="10"/>
  <c r="M652" i="10" s="1"/>
  <c r="Q3270" i="3" s="1"/>
  <c r="P3270" i="3"/>
  <c r="L652" i="10"/>
  <c r="L659" i="10"/>
  <c r="K659" i="10"/>
  <c r="M659" i="10" s="1"/>
  <c r="Q3279" i="3" s="1"/>
  <c r="P3279" i="3"/>
  <c r="P3282" i="3"/>
  <c r="L660" i="10"/>
  <c r="K660" i="10"/>
  <c r="M660" i="10" s="1"/>
  <c r="Q3282" i="3" s="1"/>
  <c r="J627" i="10"/>
  <c r="J626" i="10"/>
  <c r="J644" i="10"/>
  <c r="L593" i="10"/>
  <c r="K593" i="10"/>
  <c r="M593" i="10" s="1"/>
  <c r="Q3093" i="3" s="1"/>
  <c r="P3093" i="3"/>
  <c r="J594" i="10"/>
  <c r="J625" i="10"/>
  <c r="D525" i="1"/>
  <c r="J445" i="10"/>
  <c r="J214" i="10"/>
  <c r="D523" i="1"/>
  <c r="H523" i="1" s="1"/>
  <c r="D619" i="11"/>
  <c r="H619" i="11" s="1"/>
  <c r="D521" i="1"/>
  <c r="H521" i="1" s="1"/>
  <c r="K422" i="2" s="1"/>
  <c r="L422" i="2" s="1"/>
  <c r="P3503" i="3" l="1"/>
  <c r="P3456" i="3"/>
  <c r="L2076" i="3"/>
  <c r="M2076" i="3" s="1"/>
  <c r="L2046" i="3"/>
  <c r="M2046" i="3" s="1"/>
  <c r="L621" i="3"/>
  <c r="M621" i="3" s="1"/>
  <c r="L615" i="3"/>
  <c r="M615" i="3" s="1"/>
  <c r="L3548" i="3"/>
  <c r="M3548" i="3" s="1"/>
  <c r="L3536" i="3"/>
  <c r="M3536" i="3" s="1"/>
  <c r="P3507" i="3"/>
  <c r="P3500" i="3"/>
  <c r="P3509" i="3"/>
  <c r="P3502" i="3"/>
  <c r="P3504" i="3"/>
  <c r="P3508" i="3"/>
  <c r="K684" i="10"/>
  <c r="M684" i="10" s="1"/>
  <c r="Q3500" i="3" s="1"/>
  <c r="L684" i="10"/>
  <c r="P3501" i="3"/>
  <c r="P3505" i="3"/>
  <c r="P3506" i="3"/>
  <c r="P3457" i="3"/>
  <c r="P3455" i="3"/>
  <c r="L667" i="10"/>
  <c r="K667" i="10"/>
  <c r="M667" i="10" s="1"/>
  <c r="Q3457" i="3" s="1"/>
  <c r="P3454" i="3"/>
  <c r="P3447" i="3"/>
  <c r="P3449" i="3"/>
  <c r="P3448" i="3"/>
  <c r="K661" i="10"/>
  <c r="M661" i="10" s="1"/>
  <c r="Q3448" i="3" s="1"/>
  <c r="P3446" i="3"/>
  <c r="P3400" i="3"/>
  <c r="P3402" i="3"/>
  <c r="P3399" i="3"/>
  <c r="P3401" i="3"/>
  <c r="K598" i="10"/>
  <c r="M598" i="10" s="1"/>
  <c r="Q3193" i="3" s="1"/>
  <c r="P3193" i="3"/>
  <c r="P3192" i="3"/>
  <c r="L598" i="10"/>
  <c r="P3111" i="3"/>
  <c r="P3225" i="3"/>
  <c r="K626" i="10"/>
  <c r="M626" i="10" s="1"/>
  <c r="Q3025" i="3" s="1"/>
  <c r="L661" i="10"/>
  <c r="P3106" i="3"/>
  <c r="P3108" i="3"/>
  <c r="P3110" i="3"/>
  <c r="P3109" i="3"/>
  <c r="L627" i="10"/>
  <c r="P3107" i="3"/>
  <c r="K627" i="10"/>
  <c r="M627" i="10" s="1"/>
  <c r="Q3109" i="3" s="1"/>
  <c r="L626" i="10"/>
  <c r="K662" i="10"/>
  <c r="M662" i="10" s="1"/>
  <c r="L662" i="10"/>
  <c r="P3022" i="3"/>
  <c r="P3023" i="3"/>
  <c r="P3025" i="3"/>
  <c r="P3024" i="3"/>
  <c r="K644" i="10"/>
  <c r="M644" i="10" s="1"/>
  <c r="Q3227" i="3" s="1"/>
  <c r="P3222" i="3"/>
  <c r="P3224" i="3"/>
  <c r="P3227" i="3"/>
  <c r="P3228" i="3"/>
  <c r="P3223" i="3"/>
  <c r="L644" i="10"/>
  <c r="P3229" i="3"/>
  <c r="P3226" i="3"/>
  <c r="P3230" i="3"/>
  <c r="P3030" i="3"/>
  <c r="P3029" i="3"/>
  <c r="P3026" i="3"/>
  <c r="P3032" i="3"/>
  <c r="P3034" i="3"/>
  <c r="P3031" i="3"/>
  <c r="K625" i="10"/>
  <c r="M625" i="10" s="1"/>
  <c r="P3028" i="3"/>
  <c r="L625" i="10"/>
  <c r="P3033" i="3"/>
  <c r="P3027" i="3"/>
  <c r="L594" i="10"/>
  <c r="P3185" i="3"/>
  <c r="P3186" i="3"/>
  <c r="K594" i="10"/>
  <c r="M594" i="10" s="1"/>
  <c r="P3183" i="3"/>
  <c r="P3184" i="3"/>
  <c r="H525" i="1"/>
  <c r="K445" i="10"/>
  <c r="L513" i="10"/>
  <c r="Q3503" i="3" l="1"/>
  <c r="Q3505" i="3"/>
  <c r="Q3507" i="3"/>
  <c r="Q3506" i="3"/>
  <c r="Q3501" i="3"/>
  <c r="Q3502" i="3"/>
  <c r="Q3508" i="3"/>
  <c r="Q3504" i="3"/>
  <c r="Q3509" i="3"/>
  <c r="Q3454" i="3"/>
  <c r="Q3455" i="3"/>
  <c r="Q3456" i="3"/>
  <c r="Q3447" i="3"/>
  <c r="Q3449" i="3"/>
  <c r="Q3446" i="3"/>
  <c r="Q3401" i="3"/>
  <c r="Q3399" i="3"/>
  <c r="Q3402" i="3"/>
  <c r="Q3400" i="3"/>
  <c r="Q3111" i="3"/>
  <c r="Q3192" i="3"/>
  <c r="L2636" i="3"/>
  <c r="L2639" i="3"/>
  <c r="L2828" i="3"/>
  <c r="L2836" i="3"/>
  <c r="M2836" i="3" s="1"/>
  <c r="J476" i="10" s="1"/>
  <c r="Q3024" i="3"/>
  <c r="Q3023" i="3"/>
  <c r="Q3022" i="3"/>
  <c r="Q3107" i="3"/>
  <c r="Q3110" i="3"/>
  <c r="Q3106" i="3"/>
  <c r="Q3108" i="3"/>
  <c r="Q3229" i="3"/>
  <c r="Q3223" i="3"/>
  <c r="Q3228" i="3"/>
  <c r="Q3225" i="3"/>
  <c r="Q3224" i="3"/>
  <c r="Q3230" i="3"/>
  <c r="Q3226" i="3"/>
  <c r="Q3222" i="3"/>
  <c r="Q3186" i="3"/>
  <c r="Q3183" i="3"/>
  <c r="Q3185" i="3"/>
  <c r="Q3184" i="3"/>
  <c r="Q3026" i="3"/>
  <c r="Q3034" i="3"/>
  <c r="Q3028" i="3"/>
  <c r="Q3029" i="3"/>
  <c r="Q3032" i="3"/>
  <c r="Q3031" i="3"/>
  <c r="Q3030" i="3"/>
  <c r="Q3027" i="3"/>
  <c r="Q3033" i="3"/>
  <c r="M445" i="10"/>
  <c r="K96" i="10"/>
  <c r="L96" i="10"/>
  <c r="L499" i="10"/>
  <c r="K499" i="10"/>
  <c r="L445" i="10"/>
  <c r="K494" i="10"/>
  <c r="L494" i="10"/>
  <c r="K277" i="10"/>
  <c r="M277" i="10" s="1"/>
  <c r="L277" i="10"/>
  <c r="L443" i="10"/>
  <c r="K443" i="10"/>
  <c r="L214" i="10"/>
  <c r="K214" i="10"/>
  <c r="L446" i="10"/>
  <c r="K446" i="10"/>
  <c r="L3" i="10"/>
  <c r="K3" i="10"/>
  <c r="M3" i="10" s="1"/>
  <c r="K495" i="10"/>
  <c r="L495" i="10"/>
  <c r="K4" i="10"/>
  <c r="M4" i="10" s="1"/>
  <c r="L4" i="10"/>
  <c r="L496" i="10"/>
  <c r="K496" i="10"/>
  <c r="K515" i="10"/>
  <c r="L515" i="10"/>
  <c r="L519" i="10"/>
  <c r="K519" i="10"/>
  <c r="K513" i="10"/>
  <c r="K529" i="10"/>
  <c r="M529" i="10" s="1"/>
  <c r="L529" i="10"/>
  <c r="L476" i="10" l="1"/>
  <c r="K476" i="10"/>
  <c r="M476" i="10" s="1"/>
  <c r="M446" i="10"/>
  <c r="M519" i="10"/>
  <c r="M513" i="10"/>
  <c r="M495" i="10"/>
  <c r="M494" i="10"/>
  <c r="M499" i="10"/>
  <c r="M96" i="10"/>
  <c r="M496" i="10"/>
  <c r="M515" i="10"/>
  <c r="M443" i="10"/>
  <c r="M214" i="10"/>
  <c r="M173" i="3"/>
  <c r="M169" i="3"/>
  <c r="M166" i="3"/>
  <c r="M168" i="3"/>
  <c r="H2" i="1"/>
  <c r="J479" i="2"/>
  <c r="J478" i="2"/>
  <c r="L478" i="2" s="1"/>
  <c r="J674" i="2"/>
  <c r="J675" i="2"/>
  <c r="L675" i="2" s="1"/>
  <c r="J676" i="2"/>
  <c r="L676" i="2" s="1"/>
  <c r="J677" i="2"/>
  <c r="L677" i="2" s="1"/>
  <c r="J678" i="2"/>
  <c r="L678" i="2" s="1"/>
  <c r="J679" i="2"/>
  <c r="L679" i="2" s="1"/>
  <c r="J680" i="2"/>
  <c r="L680" i="2" s="1"/>
  <c r="J681" i="2"/>
  <c r="L681" i="2" s="1"/>
  <c r="J682" i="2"/>
  <c r="L682" i="2" s="1"/>
  <c r="J683" i="2"/>
  <c r="L683" i="2" s="1"/>
  <c r="J684" i="2"/>
  <c r="L684" i="2" s="1"/>
  <c r="J685" i="2"/>
  <c r="L685" i="2" s="1"/>
  <c r="J686" i="2"/>
  <c r="L686" i="2" s="1"/>
  <c r="J687" i="2"/>
  <c r="L687" i="2" s="1"/>
  <c r="J688" i="2"/>
  <c r="L688" i="2" s="1"/>
  <c r="J689" i="2"/>
  <c r="L689" i="2" s="1"/>
  <c r="J673" i="2"/>
  <c r="L673" i="2" s="1"/>
  <c r="J856" i="2"/>
  <c r="L856" i="2" s="1"/>
  <c r="J857" i="2"/>
  <c r="L857" i="2" s="1"/>
  <c r="J855" i="2"/>
  <c r="J764" i="2"/>
  <c r="L764" i="2" s="1"/>
  <c r="L242" i="3" l="1"/>
  <c r="L150" i="3"/>
  <c r="M150" i="3" s="1"/>
  <c r="L794" i="3"/>
  <c r="L861" i="3"/>
  <c r="M861" i="3" s="1"/>
  <c r="L1562" i="3"/>
  <c r="L1634" i="3"/>
  <c r="L1714" i="3"/>
  <c r="L1675" i="3"/>
  <c r="L1691" i="3"/>
  <c r="L1604" i="3"/>
  <c r="L1469" i="3"/>
  <c r="L1709" i="3"/>
  <c r="M1709" i="3" s="1"/>
  <c r="L1765" i="3"/>
  <c r="L1454" i="3"/>
  <c r="L1462" i="3"/>
  <c r="L1502" i="3"/>
  <c r="L1646" i="3"/>
  <c r="L1665" i="3"/>
  <c r="L1519" i="3"/>
  <c r="L1700" i="3"/>
  <c r="L2319" i="3"/>
  <c r="L1756" i="3"/>
  <c r="L3264" i="3"/>
  <c r="M3264" i="3" s="1"/>
  <c r="L3255" i="3"/>
  <c r="M3255" i="3" s="1"/>
  <c r="L3249" i="3"/>
  <c r="M3249" i="3" s="1"/>
  <c r="L1745" i="3"/>
  <c r="L3252" i="3"/>
  <c r="M3252" i="3" s="1"/>
  <c r="M170" i="3"/>
  <c r="M167" i="3"/>
  <c r="M171" i="3"/>
  <c r="M1686" i="3"/>
  <c r="M2441" i="3" l="1"/>
  <c r="M2203" i="3"/>
  <c r="M980" i="3"/>
  <c r="J1150" i="2"/>
  <c r="L1150" i="2" s="1"/>
  <c r="J1151" i="2"/>
  <c r="L1151" i="2" s="1"/>
  <c r="J1152" i="2"/>
  <c r="L1152" i="2" s="1"/>
  <c r="J1153" i="2"/>
  <c r="L1153" i="2" s="1"/>
  <c r="J1149" i="2"/>
  <c r="L1149" i="2" s="1"/>
  <c r="J1141" i="2"/>
  <c r="L1141" i="2" s="1"/>
  <c r="J1142" i="2"/>
  <c r="L1142" i="2" s="1"/>
  <c r="J1143" i="2"/>
  <c r="L1143" i="2" s="1"/>
  <c r="J1144" i="2"/>
  <c r="L1144" i="2" s="1"/>
  <c r="J1148" i="2"/>
  <c r="L1148" i="2" s="1"/>
  <c r="J1140" i="2"/>
  <c r="L1140" i="2" s="1"/>
  <c r="J1138" i="2"/>
  <c r="L1138" i="2" s="1"/>
  <c r="J1139" i="2"/>
  <c r="J1137" i="2"/>
  <c r="L1137" i="2" s="1"/>
  <c r="J103" i="2"/>
  <c r="L103" i="2" s="1"/>
  <c r="J104" i="2"/>
  <c r="L104" i="2" s="1"/>
  <c r="J105" i="2"/>
  <c r="L105" i="2" s="1"/>
  <c r="J106" i="2"/>
  <c r="L106" i="2" s="1"/>
  <c r="J107" i="2"/>
  <c r="L107" i="2" s="1"/>
  <c r="J108" i="2"/>
  <c r="L108" i="2" s="1"/>
  <c r="J109" i="2"/>
  <c r="L109" i="2" s="1"/>
  <c r="J110" i="2"/>
  <c r="L110" i="2" s="1"/>
  <c r="J111" i="2"/>
  <c r="L111" i="2" s="1"/>
  <c r="J112" i="2"/>
  <c r="L112" i="2" s="1"/>
  <c r="J113" i="2"/>
  <c r="L113" i="2" s="1"/>
  <c r="J114" i="2"/>
  <c r="L114" i="2" s="1"/>
  <c r="J115" i="2"/>
  <c r="L115" i="2" s="1"/>
  <c r="J116" i="2"/>
  <c r="L116" i="2" s="1"/>
  <c r="K233" i="3"/>
  <c r="R233" i="3" s="1"/>
  <c r="K232" i="3"/>
  <c r="R232" i="3" s="1"/>
  <c r="K2762" i="3"/>
  <c r="R2762" i="3" s="1"/>
  <c r="K2761" i="3"/>
  <c r="R2761" i="3" s="1"/>
  <c r="K105" i="3"/>
  <c r="R105" i="3" s="1"/>
  <c r="K104" i="3"/>
  <c r="R104" i="3" s="1"/>
  <c r="K103" i="3"/>
  <c r="R103" i="3" s="1"/>
  <c r="K102" i="3"/>
  <c r="R102" i="3" s="1"/>
  <c r="K101" i="3"/>
  <c r="R101" i="3" s="1"/>
  <c r="K100" i="3"/>
  <c r="R100" i="3" s="1"/>
  <c r="K99" i="3"/>
  <c r="R99" i="3" s="1"/>
  <c r="K98" i="3"/>
  <c r="R98" i="3" s="1"/>
  <c r="J2" i="3"/>
  <c r="I2" i="3"/>
  <c r="J1136" i="2"/>
  <c r="L1136" i="2" s="1"/>
  <c r="J1135" i="2"/>
  <c r="L1135" i="2" s="1"/>
  <c r="J1134" i="2"/>
  <c r="L1134" i="2" s="1"/>
  <c r="J1133" i="2"/>
  <c r="L1133" i="2" s="1"/>
  <c r="J1132" i="2"/>
  <c r="L1132" i="2" s="1"/>
  <c r="J1131" i="2"/>
  <c r="L1131" i="2" s="1"/>
  <c r="J1130" i="2"/>
  <c r="L1130" i="2" s="1"/>
  <c r="J1129" i="2"/>
  <c r="L1129" i="2" s="1"/>
  <c r="J1128" i="2"/>
  <c r="L1128" i="2" s="1"/>
  <c r="J1127" i="2"/>
  <c r="L1127" i="2" s="1"/>
  <c r="J1126" i="2"/>
  <c r="L1126" i="2" s="1"/>
  <c r="J1125" i="2"/>
  <c r="L1125" i="2" s="1"/>
  <c r="J1124" i="2"/>
  <c r="L1124" i="2" s="1"/>
  <c r="J1123" i="2"/>
  <c r="L1123" i="2" s="1"/>
  <c r="J1122" i="2"/>
  <c r="L1122" i="2" s="1"/>
  <c r="J1121" i="2"/>
  <c r="L1121" i="2" s="1"/>
  <c r="J1107" i="2"/>
  <c r="L1107" i="2" s="1"/>
  <c r="J1106" i="2"/>
  <c r="L1106" i="2" s="1"/>
  <c r="J1105" i="2"/>
  <c r="L1105" i="2" s="1"/>
  <c r="J1104" i="2"/>
  <c r="L1104" i="2" s="1"/>
  <c r="J1103" i="2"/>
  <c r="L1103" i="2" s="1"/>
  <c r="J1102" i="2"/>
  <c r="L1102" i="2" s="1"/>
  <c r="J1101" i="2"/>
  <c r="L1101" i="2" s="1"/>
  <c r="J1100" i="2"/>
  <c r="L1100" i="2" s="1"/>
  <c r="J1099" i="2"/>
  <c r="J1098" i="2"/>
  <c r="L1098" i="2" s="1"/>
  <c r="J1097" i="2"/>
  <c r="L1097" i="2" s="1"/>
  <c r="J1096" i="2"/>
  <c r="L1096" i="2" s="1"/>
  <c r="J1095" i="2"/>
  <c r="L1095" i="2" s="1"/>
  <c r="J1094" i="2"/>
  <c r="L1094" i="2" s="1"/>
  <c r="J1093" i="2"/>
  <c r="L1093" i="2" s="1"/>
  <c r="J1092" i="2"/>
  <c r="L1092" i="2" s="1"/>
  <c r="J1091" i="2"/>
  <c r="L1091" i="2" s="1"/>
  <c r="J1090" i="2"/>
  <c r="L1090" i="2" s="1"/>
  <c r="J1089" i="2"/>
  <c r="J1088" i="2"/>
  <c r="L1088" i="2" s="1"/>
  <c r="J1087" i="2"/>
  <c r="L1087" i="2" s="1"/>
  <c r="J1086" i="2"/>
  <c r="L1086" i="2" s="1"/>
  <c r="J1085" i="2"/>
  <c r="L1085" i="2" s="1"/>
  <c r="J1084" i="2"/>
  <c r="J1083" i="2"/>
  <c r="L1083" i="2" s="1"/>
  <c r="J1082" i="2"/>
  <c r="L1082" i="2" s="1"/>
  <c r="J1081" i="2"/>
  <c r="L1081" i="2" s="1"/>
  <c r="J1080" i="2"/>
  <c r="L1080" i="2" s="1"/>
  <c r="J1079" i="2"/>
  <c r="L1079" i="2" s="1"/>
  <c r="J1078" i="2"/>
  <c r="L1078" i="2" s="1"/>
  <c r="J1077" i="2"/>
  <c r="L1077" i="2" s="1"/>
  <c r="J1076" i="2"/>
  <c r="L1076" i="2" s="1"/>
  <c r="J1075" i="2"/>
  <c r="L1075" i="2" s="1"/>
  <c r="J1074" i="2"/>
  <c r="L1074" i="2" s="1"/>
  <c r="J1073" i="2"/>
  <c r="L1073" i="2" s="1"/>
  <c r="J1072" i="2"/>
  <c r="L1072" i="2" s="1"/>
  <c r="J1071" i="2"/>
  <c r="L1071" i="2" s="1"/>
  <c r="J1070" i="2"/>
  <c r="L1070" i="2" s="1"/>
  <c r="J1069" i="2"/>
  <c r="L1069" i="2" s="1"/>
  <c r="J1068" i="2"/>
  <c r="L1068" i="2" s="1"/>
  <c r="J1067" i="2"/>
  <c r="L1067" i="2" s="1"/>
  <c r="J1066" i="2"/>
  <c r="L1066" i="2" s="1"/>
  <c r="J1065" i="2"/>
  <c r="L1065" i="2" s="1"/>
  <c r="J1064" i="2"/>
  <c r="L1064" i="2" s="1"/>
  <c r="J1063" i="2"/>
  <c r="L1063" i="2" s="1"/>
  <c r="J1062" i="2"/>
  <c r="L1062" i="2" s="1"/>
  <c r="J1061" i="2"/>
  <c r="L1061" i="2" s="1"/>
  <c r="J1060" i="2"/>
  <c r="J1059" i="2"/>
  <c r="L1059" i="2" s="1"/>
  <c r="J1058" i="2"/>
  <c r="J1057" i="2"/>
  <c r="L1057" i="2" s="1"/>
  <c r="J1056" i="2"/>
  <c r="L1056" i="2" s="1"/>
  <c r="J1055" i="2"/>
  <c r="L1055" i="2" s="1"/>
  <c r="J1054" i="2"/>
  <c r="L1054" i="2" s="1"/>
  <c r="J1053" i="2"/>
  <c r="L1053" i="2" s="1"/>
  <c r="J1052" i="2"/>
  <c r="L1052" i="2" s="1"/>
  <c r="J1051" i="2"/>
  <c r="L1051" i="2" s="1"/>
  <c r="J1050" i="2"/>
  <c r="L1050" i="2" s="1"/>
  <c r="J1049" i="2"/>
  <c r="L1049" i="2" s="1"/>
  <c r="J1048" i="2"/>
  <c r="L1048" i="2" s="1"/>
  <c r="J1047" i="2"/>
  <c r="L1047" i="2" s="1"/>
  <c r="J1046" i="2"/>
  <c r="L1046" i="2" s="1"/>
  <c r="J1045" i="2"/>
  <c r="L1045" i="2" s="1"/>
  <c r="J1044" i="2"/>
  <c r="L1044" i="2" s="1"/>
  <c r="J1043" i="2"/>
  <c r="L1043" i="2" s="1"/>
  <c r="J1042" i="2"/>
  <c r="L1042" i="2" s="1"/>
  <c r="J1041" i="2"/>
  <c r="L1041" i="2" s="1"/>
  <c r="J1040" i="2"/>
  <c r="L1040" i="2" s="1"/>
  <c r="J1039" i="2"/>
  <c r="L1039" i="2" s="1"/>
  <c r="J1034" i="2"/>
  <c r="L1034" i="2" s="1"/>
  <c r="J1033" i="2"/>
  <c r="L1033" i="2" s="1"/>
  <c r="J1032" i="2"/>
  <c r="L1032" i="2" s="1"/>
  <c r="J1031" i="2"/>
  <c r="L1031" i="2" s="1"/>
  <c r="J1030" i="2"/>
  <c r="L1030" i="2" s="1"/>
  <c r="J1029" i="2"/>
  <c r="L1029" i="2" s="1"/>
  <c r="J1028" i="2"/>
  <c r="L1028" i="2" s="1"/>
  <c r="J1027" i="2"/>
  <c r="L1027" i="2" s="1"/>
  <c r="J1026" i="2"/>
  <c r="L1026" i="2" s="1"/>
  <c r="J1025" i="2"/>
  <c r="L1025" i="2" s="1"/>
  <c r="J1024" i="2"/>
  <c r="L1024" i="2" s="1"/>
  <c r="J1023" i="2"/>
  <c r="L1023" i="2" s="1"/>
  <c r="J1022" i="2"/>
  <c r="L1022" i="2" s="1"/>
  <c r="J1021" i="2"/>
  <c r="L1021" i="2" s="1"/>
  <c r="J1020" i="2"/>
  <c r="L1020" i="2" s="1"/>
  <c r="J1019" i="2"/>
  <c r="L1019" i="2" s="1"/>
  <c r="J1018" i="2"/>
  <c r="L1018" i="2" s="1"/>
  <c r="J1017" i="2"/>
  <c r="L1017" i="2" s="1"/>
  <c r="J1016" i="2"/>
  <c r="L1016" i="2" s="1"/>
  <c r="J1015" i="2"/>
  <c r="L1015" i="2" s="1"/>
  <c r="J1014" i="2"/>
  <c r="L1014" i="2" s="1"/>
  <c r="J1013" i="2"/>
  <c r="L1013" i="2" s="1"/>
  <c r="J1012" i="2"/>
  <c r="L1012" i="2" s="1"/>
  <c r="J1011" i="2"/>
  <c r="L1011" i="2" s="1"/>
  <c r="J1010" i="2"/>
  <c r="L1010" i="2" s="1"/>
  <c r="J1009" i="2"/>
  <c r="L1009" i="2" s="1"/>
  <c r="J1008" i="2"/>
  <c r="L1008" i="2" s="1"/>
  <c r="J1007" i="2"/>
  <c r="L1007" i="2" s="1"/>
  <c r="J1006" i="2"/>
  <c r="J1005" i="2"/>
  <c r="L1005" i="2" s="1"/>
  <c r="J1004" i="2"/>
  <c r="L1004" i="2" s="1"/>
  <c r="J1003" i="2"/>
  <c r="L1003" i="2" s="1"/>
  <c r="J1002" i="2"/>
  <c r="L1002" i="2" s="1"/>
  <c r="J1001" i="2"/>
  <c r="L1001" i="2" s="1"/>
  <c r="J1000" i="2"/>
  <c r="L1000" i="2" s="1"/>
  <c r="J999" i="2"/>
  <c r="L999" i="2" s="1"/>
  <c r="J998" i="2"/>
  <c r="J997" i="2"/>
  <c r="L997" i="2" s="1"/>
  <c r="J996" i="2"/>
  <c r="L996" i="2" s="1"/>
  <c r="J995" i="2"/>
  <c r="L995" i="2" s="1"/>
  <c r="J994" i="2"/>
  <c r="L994" i="2" s="1"/>
  <c r="J993" i="2"/>
  <c r="L993" i="2" s="1"/>
  <c r="J992" i="2"/>
  <c r="L992" i="2" s="1"/>
  <c r="J991" i="2"/>
  <c r="L991" i="2" s="1"/>
  <c r="J990" i="2"/>
  <c r="L990" i="2" s="1"/>
  <c r="J989" i="2"/>
  <c r="L989" i="2" s="1"/>
  <c r="J988" i="2"/>
  <c r="L988" i="2" s="1"/>
  <c r="J987" i="2"/>
  <c r="L987" i="2" s="1"/>
  <c r="J986" i="2"/>
  <c r="L986" i="2" s="1"/>
  <c r="J985" i="2"/>
  <c r="L985" i="2" s="1"/>
  <c r="J984" i="2"/>
  <c r="L984" i="2" s="1"/>
  <c r="J983" i="2"/>
  <c r="L983" i="2" s="1"/>
  <c r="J982" i="2"/>
  <c r="J981" i="2"/>
  <c r="L981" i="2" s="1"/>
  <c r="J978" i="2"/>
  <c r="L978" i="2" s="1"/>
  <c r="J977" i="2"/>
  <c r="L977" i="2" s="1"/>
  <c r="J976" i="2"/>
  <c r="L976" i="2" s="1"/>
  <c r="J975" i="2"/>
  <c r="L975" i="2" s="1"/>
  <c r="J974" i="2"/>
  <c r="L974" i="2" s="1"/>
  <c r="J973" i="2"/>
  <c r="L973" i="2" s="1"/>
  <c r="J972" i="2"/>
  <c r="L972" i="2" s="1"/>
  <c r="J971" i="2"/>
  <c r="L971" i="2" s="1"/>
  <c r="J957" i="2"/>
  <c r="L957" i="2" s="1"/>
  <c r="J956" i="2"/>
  <c r="L956" i="2" s="1"/>
  <c r="J955" i="2"/>
  <c r="L955" i="2" s="1"/>
  <c r="J954" i="2"/>
  <c r="L954" i="2" s="1"/>
  <c r="J953" i="2"/>
  <c r="L953" i="2" s="1"/>
  <c r="J952" i="2"/>
  <c r="L952" i="2" s="1"/>
  <c r="J951" i="2"/>
  <c r="J950" i="2"/>
  <c r="L950" i="2" s="1"/>
  <c r="J949" i="2"/>
  <c r="J948" i="2"/>
  <c r="L948" i="2" s="1"/>
  <c r="J947" i="2"/>
  <c r="L947" i="2" s="1"/>
  <c r="J946" i="2"/>
  <c r="L946" i="2" s="1"/>
  <c r="J945" i="2"/>
  <c r="L945" i="2" s="1"/>
  <c r="J944" i="2"/>
  <c r="L944" i="2" s="1"/>
  <c r="J943" i="2"/>
  <c r="L943" i="2" s="1"/>
  <c r="J942" i="2"/>
  <c r="J941" i="2"/>
  <c r="L941" i="2" s="1"/>
  <c r="J940" i="2"/>
  <c r="L940" i="2" s="1"/>
  <c r="J939" i="2"/>
  <c r="L939" i="2" s="1"/>
  <c r="J938" i="2"/>
  <c r="L938" i="2" s="1"/>
  <c r="J937" i="2"/>
  <c r="L937" i="2" s="1"/>
  <c r="J936" i="2"/>
  <c r="L936" i="2" s="1"/>
  <c r="J935" i="2"/>
  <c r="L935" i="2" s="1"/>
  <c r="J934" i="2"/>
  <c r="L934" i="2" s="1"/>
  <c r="J933" i="2"/>
  <c r="L933" i="2" s="1"/>
  <c r="J932" i="2"/>
  <c r="L932" i="2" s="1"/>
  <c r="J931" i="2"/>
  <c r="L931" i="2" s="1"/>
  <c r="J930" i="2"/>
  <c r="L930" i="2" s="1"/>
  <c r="J929" i="2"/>
  <c r="L929" i="2" s="1"/>
  <c r="J928" i="2"/>
  <c r="L928" i="2" s="1"/>
  <c r="J927" i="2"/>
  <c r="L927" i="2" s="1"/>
  <c r="J926" i="2"/>
  <c r="L926" i="2" s="1"/>
  <c r="J925" i="2"/>
  <c r="L925" i="2" s="1"/>
  <c r="J924" i="2"/>
  <c r="L924" i="2" s="1"/>
  <c r="J923" i="2"/>
  <c r="J922" i="2"/>
  <c r="J921" i="2"/>
  <c r="L921" i="2" s="1"/>
  <c r="J920" i="2"/>
  <c r="L920" i="2" s="1"/>
  <c r="J919" i="2"/>
  <c r="J917" i="2"/>
  <c r="L917" i="2" s="1"/>
  <c r="J916" i="2"/>
  <c r="L916" i="2" s="1"/>
  <c r="J915" i="2"/>
  <c r="L915" i="2" s="1"/>
  <c r="J914" i="2"/>
  <c r="L914" i="2" s="1"/>
  <c r="J913" i="2"/>
  <c r="L913" i="2" s="1"/>
  <c r="J912" i="2"/>
  <c r="L912" i="2" s="1"/>
  <c r="J911" i="2"/>
  <c r="L911" i="2" s="1"/>
  <c r="J910" i="2"/>
  <c r="L910" i="2" s="1"/>
  <c r="J909" i="2"/>
  <c r="L909" i="2" s="1"/>
  <c r="J908" i="2"/>
  <c r="L908" i="2" s="1"/>
  <c r="J907" i="2"/>
  <c r="J906" i="2"/>
  <c r="L906" i="2" s="1"/>
  <c r="J905" i="2"/>
  <c r="L905" i="2" s="1"/>
  <c r="J904" i="2"/>
  <c r="L904" i="2" s="1"/>
  <c r="J903" i="2"/>
  <c r="L903" i="2" s="1"/>
  <c r="J902" i="2"/>
  <c r="L902" i="2" s="1"/>
  <c r="J901" i="2"/>
  <c r="L901" i="2" s="1"/>
  <c r="J900" i="2"/>
  <c r="L900" i="2" s="1"/>
  <c r="J899" i="2"/>
  <c r="J898" i="2"/>
  <c r="L898" i="2" s="1"/>
  <c r="J897" i="2"/>
  <c r="L897" i="2" s="1"/>
  <c r="J896" i="2"/>
  <c r="L896" i="2" s="1"/>
  <c r="J895" i="2"/>
  <c r="L895" i="2" s="1"/>
  <c r="J894" i="2"/>
  <c r="L894" i="2" s="1"/>
  <c r="J893" i="2"/>
  <c r="L893" i="2" s="1"/>
  <c r="J892" i="2"/>
  <c r="L892" i="2" s="1"/>
  <c r="J891" i="2"/>
  <c r="L891" i="2" s="1"/>
  <c r="J890" i="2"/>
  <c r="L890" i="2" s="1"/>
  <c r="J889" i="2"/>
  <c r="L889" i="2" s="1"/>
  <c r="J888" i="2"/>
  <c r="L888" i="2" s="1"/>
  <c r="J887" i="2"/>
  <c r="L887" i="2" s="1"/>
  <c r="J886" i="2"/>
  <c r="L886" i="2" s="1"/>
  <c r="J885" i="2"/>
  <c r="L885" i="2" s="1"/>
  <c r="J884" i="2"/>
  <c r="L884" i="2" s="1"/>
  <c r="J883" i="2"/>
  <c r="L883" i="2" s="1"/>
  <c r="J882" i="2"/>
  <c r="L882" i="2" s="1"/>
  <c r="J881" i="2"/>
  <c r="L881" i="2" s="1"/>
  <c r="J880" i="2"/>
  <c r="L880" i="2" s="1"/>
  <c r="J879" i="2"/>
  <c r="L879" i="2" s="1"/>
  <c r="J878" i="2"/>
  <c r="L878" i="2" s="1"/>
  <c r="J877" i="2"/>
  <c r="L877" i="2" s="1"/>
  <c r="J876" i="2"/>
  <c r="L876" i="2" s="1"/>
  <c r="J875" i="2"/>
  <c r="L875" i="2" s="1"/>
  <c r="J874" i="2"/>
  <c r="L874" i="2" s="1"/>
  <c r="J873" i="2"/>
  <c r="L873" i="2" s="1"/>
  <c r="J872" i="2"/>
  <c r="L872" i="2" s="1"/>
  <c r="J871" i="2"/>
  <c r="L871" i="2" s="1"/>
  <c r="J870" i="2"/>
  <c r="L870" i="2" s="1"/>
  <c r="J869" i="2"/>
  <c r="L869" i="2" s="1"/>
  <c r="J868" i="2"/>
  <c r="L868" i="2" s="1"/>
  <c r="J867" i="2"/>
  <c r="L867" i="2" s="1"/>
  <c r="J866" i="2"/>
  <c r="L866" i="2" s="1"/>
  <c r="J865" i="2"/>
  <c r="L865" i="2" s="1"/>
  <c r="J864" i="2"/>
  <c r="L864" i="2" s="1"/>
  <c r="J863" i="2"/>
  <c r="L863" i="2" s="1"/>
  <c r="J862" i="2"/>
  <c r="L862" i="2" s="1"/>
  <c r="J861" i="2"/>
  <c r="L861" i="2" s="1"/>
  <c r="J860" i="2"/>
  <c r="L860" i="2" s="1"/>
  <c r="J859" i="2"/>
  <c r="L859" i="2" s="1"/>
  <c r="J858" i="2"/>
  <c r="L858" i="2" s="1"/>
  <c r="J854" i="2"/>
  <c r="L854" i="2" s="1"/>
  <c r="J853" i="2"/>
  <c r="L853" i="2" s="1"/>
  <c r="J852" i="2"/>
  <c r="L852" i="2" s="1"/>
  <c r="J851" i="2"/>
  <c r="L851" i="2" s="1"/>
  <c r="J850" i="2"/>
  <c r="L850" i="2" s="1"/>
  <c r="J849" i="2"/>
  <c r="L849" i="2" s="1"/>
  <c r="J848" i="2"/>
  <c r="L848" i="2" s="1"/>
  <c r="J847" i="2"/>
  <c r="L847" i="2" s="1"/>
  <c r="J846" i="2"/>
  <c r="L846" i="2" s="1"/>
  <c r="J845" i="2"/>
  <c r="L845" i="2" s="1"/>
  <c r="J844" i="2"/>
  <c r="L844" i="2" s="1"/>
  <c r="J843" i="2"/>
  <c r="L843" i="2" s="1"/>
  <c r="J842" i="2"/>
  <c r="L842" i="2" s="1"/>
  <c r="J833" i="2"/>
  <c r="L833" i="2" s="1"/>
  <c r="J832" i="2"/>
  <c r="L832" i="2" s="1"/>
  <c r="J831" i="2"/>
  <c r="J830" i="2"/>
  <c r="L830" i="2" s="1"/>
  <c r="J829" i="2"/>
  <c r="J828" i="2"/>
  <c r="L828" i="2" s="1"/>
  <c r="J827" i="2"/>
  <c r="L827" i="2" s="1"/>
  <c r="J826" i="2"/>
  <c r="L826" i="2" s="1"/>
  <c r="J825" i="2"/>
  <c r="L825" i="2" s="1"/>
  <c r="J824" i="2"/>
  <c r="L824" i="2" s="1"/>
  <c r="J823" i="2"/>
  <c r="J822" i="2"/>
  <c r="L822" i="2" s="1"/>
  <c r="J821" i="2"/>
  <c r="L821" i="2" s="1"/>
  <c r="J819" i="2"/>
  <c r="L819" i="2" s="1"/>
  <c r="J818" i="2"/>
  <c r="L818" i="2" s="1"/>
  <c r="J817" i="2"/>
  <c r="L817" i="2" s="1"/>
  <c r="J816" i="2"/>
  <c r="L816" i="2" s="1"/>
  <c r="J815" i="2"/>
  <c r="L815" i="2" s="1"/>
  <c r="J814" i="2"/>
  <c r="L814" i="2" s="1"/>
  <c r="J813" i="2"/>
  <c r="L813" i="2" s="1"/>
  <c r="J812" i="2"/>
  <c r="L812" i="2" s="1"/>
  <c r="J811" i="2"/>
  <c r="L811" i="2" s="1"/>
  <c r="J810" i="2"/>
  <c r="L810" i="2" s="1"/>
  <c r="J809" i="2"/>
  <c r="L809" i="2" s="1"/>
  <c r="J808" i="2"/>
  <c r="L808" i="2" s="1"/>
  <c r="J807" i="2"/>
  <c r="L807" i="2" s="1"/>
  <c r="J806" i="2"/>
  <c r="L806" i="2" s="1"/>
  <c r="J805" i="2"/>
  <c r="L805" i="2" s="1"/>
  <c r="J804" i="2"/>
  <c r="L804" i="2" s="1"/>
  <c r="J803" i="2"/>
  <c r="L803" i="2" s="1"/>
  <c r="J802" i="2"/>
  <c r="L802" i="2" s="1"/>
  <c r="J801" i="2"/>
  <c r="L801" i="2" s="1"/>
  <c r="J800" i="2"/>
  <c r="J799" i="2"/>
  <c r="L799" i="2" s="1"/>
  <c r="J798" i="2"/>
  <c r="L798" i="2" s="1"/>
  <c r="J797" i="2"/>
  <c r="L797" i="2" s="1"/>
  <c r="J796" i="2"/>
  <c r="L796" i="2" s="1"/>
  <c r="J795" i="2"/>
  <c r="L795" i="2" s="1"/>
  <c r="J794" i="2"/>
  <c r="L794" i="2" s="1"/>
  <c r="J793" i="2"/>
  <c r="L793" i="2" s="1"/>
  <c r="J792" i="2"/>
  <c r="L792" i="2" s="1"/>
  <c r="J791" i="2"/>
  <c r="L791" i="2" s="1"/>
  <c r="J790" i="2"/>
  <c r="L790" i="2" s="1"/>
  <c r="J789" i="2"/>
  <c r="L789" i="2" s="1"/>
  <c r="J788" i="2"/>
  <c r="L788" i="2" s="1"/>
  <c r="J787" i="2"/>
  <c r="L787" i="2" s="1"/>
  <c r="J786" i="2"/>
  <c r="L786" i="2" s="1"/>
  <c r="J785" i="2"/>
  <c r="L785" i="2" s="1"/>
  <c r="J784" i="2"/>
  <c r="L784" i="2" s="1"/>
  <c r="J783" i="2"/>
  <c r="L783" i="2" s="1"/>
  <c r="J782" i="2"/>
  <c r="L782" i="2" s="1"/>
  <c r="J781" i="2"/>
  <c r="L781" i="2" s="1"/>
  <c r="J780" i="2"/>
  <c r="L780" i="2" s="1"/>
  <c r="J779" i="2"/>
  <c r="L779" i="2" s="1"/>
  <c r="J778" i="2"/>
  <c r="L778" i="2" s="1"/>
  <c r="J777" i="2"/>
  <c r="L777" i="2" s="1"/>
  <c r="J776" i="2"/>
  <c r="L776" i="2" s="1"/>
  <c r="J775" i="2"/>
  <c r="L775" i="2" s="1"/>
  <c r="J774" i="2"/>
  <c r="L774" i="2" s="1"/>
  <c r="J773" i="2"/>
  <c r="L773" i="2" s="1"/>
  <c r="J772" i="2"/>
  <c r="L772" i="2" s="1"/>
  <c r="J771" i="2"/>
  <c r="L771" i="2" s="1"/>
  <c r="J770" i="2"/>
  <c r="L770" i="2" s="1"/>
  <c r="J769" i="2"/>
  <c r="L769" i="2" s="1"/>
  <c r="J768" i="2"/>
  <c r="L768" i="2" s="1"/>
  <c r="J767" i="2"/>
  <c r="L767" i="2" s="1"/>
  <c r="J766" i="2"/>
  <c r="L766" i="2" s="1"/>
  <c r="J765" i="2"/>
  <c r="L765" i="2" s="1"/>
  <c r="J763" i="2"/>
  <c r="L763" i="2" s="1"/>
  <c r="J762" i="2"/>
  <c r="L762" i="2" s="1"/>
  <c r="J761" i="2"/>
  <c r="L761" i="2" s="1"/>
  <c r="J759" i="2"/>
  <c r="L759" i="2" s="1"/>
  <c r="J758" i="2"/>
  <c r="L758" i="2" s="1"/>
  <c r="J757" i="2"/>
  <c r="L757" i="2" s="1"/>
  <c r="J756" i="2"/>
  <c r="L756" i="2" s="1"/>
  <c r="J755" i="2"/>
  <c r="L755" i="2" s="1"/>
  <c r="J754" i="2"/>
  <c r="L754" i="2" s="1"/>
  <c r="J753" i="2"/>
  <c r="L753" i="2" s="1"/>
  <c r="J752" i="2"/>
  <c r="L752" i="2" s="1"/>
  <c r="J751" i="2"/>
  <c r="L751" i="2" s="1"/>
  <c r="J750" i="2"/>
  <c r="L750" i="2" s="1"/>
  <c r="J749" i="2"/>
  <c r="L749" i="2" s="1"/>
  <c r="J748" i="2"/>
  <c r="L748" i="2" s="1"/>
  <c r="J747" i="2"/>
  <c r="L747" i="2" s="1"/>
  <c r="J746" i="2"/>
  <c r="L746" i="2" s="1"/>
  <c r="J745" i="2"/>
  <c r="L745" i="2" s="1"/>
  <c r="J744" i="2"/>
  <c r="L744" i="2" s="1"/>
  <c r="J743" i="2"/>
  <c r="L743" i="2" s="1"/>
  <c r="J742" i="2"/>
  <c r="L742" i="2" s="1"/>
  <c r="J741" i="2"/>
  <c r="L741" i="2" s="1"/>
  <c r="J740" i="2"/>
  <c r="L740" i="2" s="1"/>
  <c r="J739" i="2"/>
  <c r="L739" i="2" s="1"/>
  <c r="J738" i="2"/>
  <c r="L738" i="2" s="1"/>
  <c r="J737" i="2"/>
  <c r="L737" i="2" s="1"/>
  <c r="J736" i="2"/>
  <c r="L736" i="2" s="1"/>
  <c r="J735" i="2"/>
  <c r="L735" i="2" s="1"/>
  <c r="J734" i="2"/>
  <c r="L734" i="2" s="1"/>
  <c r="J733" i="2"/>
  <c r="L733" i="2" s="1"/>
  <c r="J732" i="2"/>
  <c r="L732" i="2" s="1"/>
  <c r="J731" i="2"/>
  <c r="L731" i="2" s="1"/>
  <c r="J730" i="2"/>
  <c r="L730" i="2" s="1"/>
  <c r="J729" i="2"/>
  <c r="L729" i="2" s="1"/>
  <c r="J728" i="2"/>
  <c r="L728" i="2" s="1"/>
  <c r="J727" i="2"/>
  <c r="L727" i="2" s="1"/>
  <c r="J726" i="2"/>
  <c r="L726" i="2" s="1"/>
  <c r="J725" i="2"/>
  <c r="L725" i="2" s="1"/>
  <c r="J724" i="2"/>
  <c r="L724" i="2" s="1"/>
  <c r="J723" i="2"/>
  <c r="L723" i="2" s="1"/>
  <c r="J722" i="2"/>
  <c r="L722" i="2" s="1"/>
  <c r="J721" i="2"/>
  <c r="L721" i="2" s="1"/>
  <c r="J720" i="2"/>
  <c r="L720" i="2" s="1"/>
  <c r="J719" i="2"/>
  <c r="L719" i="2" s="1"/>
  <c r="J718" i="2"/>
  <c r="L718" i="2" s="1"/>
  <c r="J717" i="2"/>
  <c r="L717" i="2" s="1"/>
  <c r="J716" i="2"/>
  <c r="L716" i="2" s="1"/>
  <c r="J715" i="2"/>
  <c r="L715" i="2" s="1"/>
  <c r="J714" i="2"/>
  <c r="L714" i="2" s="1"/>
  <c r="J713" i="2"/>
  <c r="L713" i="2" s="1"/>
  <c r="J712" i="2"/>
  <c r="L712" i="2" s="1"/>
  <c r="J711" i="2"/>
  <c r="L711" i="2" s="1"/>
  <c r="J710" i="2"/>
  <c r="L710" i="2" s="1"/>
  <c r="J709" i="2"/>
  <c r="L709" i="2" s="1"/>
  <c r="J708" i="2"/>
  <c r="L708" i="2" s="1"/>
  <c r="J707" i="2"/>
  <c r="L707" i="2" s="1"/>
  <c r="J706" i="2"/>
  <c r="L706" i="2" s="1"/>
  <c r="J705" i="2"/>
  <c r="L705" i="2" s="1"/>
  <c r="J695" i="2"/>
  <c r="L695" i="2" s="1"/>
  <c r="J694" i="2"/>
  <c r="L694" i="2" s="1"/>
  <c r="J693" i="2"/>
  <c r="L693" i="2" s="1"/>
  <c r="J692" i="2"/>
  <c r="L692" i="2" s="1"/>
  <c r="J691" i="2"/>
  <c r="L691" i="2" s="1"/>
  <c r="J690" i="2"/>
  <c r="L690" i="2" s="1"/>
  <c r="J672" i="2"/>
  <c r="L672" i="2" s="1"/>
  <c r="J671" i="2"/>
  <c r="L671" i="2" s="1"/>
  <c r="J670" i="2"/>
  <c r="L670" i="2" s="1"/>
  <c r="J669" i="2"/>
  <c r="L669" i="2" s="1"/>
  <c r="J668" i="2"/>
  <c r="L668" i="2" s="1"/>
  <c r="J667" i="2"/>
  <c r="L667" i="2" s="1"/>
  <c r="J666" i="2"/>
  <c r="L666" i="2" s="1"/>
  <c r="J665" i="2"/>
  <c r="L665" i="2" s="1"/>
  <c r="J664" i="2"/>
  <c r="L664" i="2" s="1"/>
  <c r="J663" i="2"/>
  <c r="L663" i="2" s="1"/>
  <c r="J662" i="2"/>
  <c r="L662" i="2" s="1"/>
  <c r="J661" i="2"/>
  <c r="L661" i="2" s="1"/>
  <c r="J660" i="2"/>
  <c r="L660" i="2" s="1"/>
  <c r="J659" i="2"/>
  <c r="L659" i="2" s="1"/>
  <c r="J658" i="2"/>
  <c r="L658" i="2" s="1"/>
  <c r="J657" i="2"/>
  <c r="L657" i="2" s="1"/>
  <c r="J656" i="2"/>
  <c r="L656" i="2" s="1"/>
  <c r="J655" i="2"/>
  <c r="L655" i="2" s="1"/>
  <c r="J654" i="2"/>
  <c r="L654" i="2" s="1"/>
  <c r="J653" i="2"/>
  <c r="L653" i="2" s="1"/>
  <c r="J652" i="2"/>
  <c r="L652" i="2" s="1"/>
  <c r="J651" i="2"/>
  <c r="L651" i="2" s="1"/>
  <c r="J650" i="2"/>
  <c r="L650" i="2" s="1"/>
  <c r="J649" i="2"/>
  <c r="L649" i="2" s="1"/>
  <c r="J648" i="2"/>
  <c r="L648" i="2" s="1"/>
  <c r="J647" i="2"/>
  <c r="L647" i="2" s="1"/>
  <c r="J646" i="2"/>
  <c r="L646" i="2" s="1"/>
  <c r="J645" i="2"/>
  <c r="L645" i="2" s="1"/>
  <c r="J644" i="2"/>
  <c r="L644" i="2" s="1"/>
  <c r="J643" i="2"/>
  <c r="L643" i="2" s="1"/>
  <c r="J642" i="2"/>
  <c r="L642" i="2" s="1"/>
  <c r="J641" i="2"/>
  <c r="L641" i="2" s="1"/>
  <c r="J640" i="2"/>
  <c r="L640" i="2" s="1"/>
  <c r="J639" i="2"/>
  <c r="L639" i="2" s="1"/>
  <c r="J638" i="2"/>
  <c r="J637" i="2"/>
  <c r="L637" i="2" s="1"/>
  <c r="J636" i="2"/>
  <c r="L636" i="2" s="1"/>
  <c r="J635" i="2"/>
  <c r="L635" i="2" s="1"/>
  <c r="J634" i="2"/>
  <c r="L634" i="2" s="1"/>
  <c r="J633" i="2"/>
  <c r="L633" i="2" s="1"/>
  <c r="J632" i="2"/>
  <c r="L632" i="2" s="1"/>
  <c r="J631" i="2"/>
  <c r="L631" i="2" s="1"/>
  <c r="J630" i="2"/>
  <c r="L630" i="2" s="1"/>
  <c r="J629" i="2"/>
  <c r="L629" i="2" s="1"/>
  <c r="J628" i="2"/>
  <c r="L628" i="2" s="1"/>
  <c r="J627" i="2"/>
  <c r="L627" i="2" s="1"/>
  <c r="J626" i="2"/>
  <c r="L626" i="2" s="1"/>
  <c r="J625" i="2"/>
  <c r="L625" i="2" s="1"/>
  <c r="J624" i="2"/>
  <c r="L624" i="2" s="1"/>
  <c r="J623" i="2"/>
  <c r="L623" i="2" s="1"/>
  <c r="J622" i="2"/>
  <c r="L622" i="2" s="1"/>
  <c r="J621" i="2"/>
  <c r="L621" i="2" s="1"/>
  <c r="J620" i="2"/>
  <c r="L620" i="2" s="1"/>
  <c r="J619" i="2"/>
  <c r="J618" i="2"/>
  <c r="L618" i="2" s="1"/>
  <c r="J617" i="2"/>
  <c r="L617" i="2" s="1"/>
  <c r="J616" i="2"/>
  <c r="L616" i="2" s="1"/>
  <c r="J615" i="2"/>
  <c r="L615" i="2" s="1"/>
  <c r="J614" i="2"/>
  <c r="L614" i="2" s="1"/>
  <c r="J613" i="2"/>
  <c r="L613" i="2" s="1"/>
  <c r="J612" i="2"/>
  <c r="L612" i="2" s="1"/>
  <c r="J611" i="2"/>
  <c r="L611" i="2" s="1"/>
  <c r="J610" i="2"/>
  <c r="L610" i="2" s="1"/>
  <c r="J609" i="2"/>
  <c r="L609" i="2" s="1"/>
  <c r="J608" i="2"/>
  <c r="L608" i="2" s="1"/>
  <c r="J607" i="2"/>
  <c r="L607" i="2" s="1"/>
  <c r="J606" i="2"/>
  <c r="L606" i="2" s="1"/>
  <c r="J605" i="2"/>
  <c r="L605" i="2" s="1"/>
  <c r="J604" i="2"/>
  <c r="L604" i="2" s="1"/>
  <c r="J603" i="2"/>
  <c r="L603" i="2" s="1"/>
  <c r="J602" i="2"/>
  <c r="L602" i="2" s="1"/>
  <c r="J601" i="2"/>
  <c r="L601" i="2" s="1"/>
  <c r="J600" i="2"/>
  <c r="L600" i="2" s="1"/>
  <c r="J599" i="2"/>
  <c r="L599" i="2" s="1"/>
  <c r="J598" i="2"/>
  <c r="L598" i="2" s="1"/>
  <c r="J597" i="2"/>
  <c r="L597" i="2" s="1"/>
  <c r="J596" i="2"/>
  <c r="L596" i="2" s="1"/>
  <c r="J595" i="2"/>
  <c r="L595" i="2" s="1"/>
  <c r="J594" i="2"/>
  <c r="L594" i="2" s="1"/>
  <c r="J593" i="2"/>
  <c r="L593" i="2" s="1"/>
  <c r="J592" i="2"/>
  <c r="L592" i="2" s="1"/>
  <c r="J591" i="2"/>
  <c r="L591" i="2" s="1"/>
  <c r="J590" i="2"/>
  <c r="L590" i="2" s="1"/>
  <c r="J589" i="2"/>
  <c r="L589" i="2" s="1"/>
  <c r="J588" i="2"/>
  <c r="L588" i="2" s="1"/>
  <c r="J587" i="2"/>
  <c r="L587" i="2" s="1"/>
  <c r="J586" i="2"/>
  <c r="L586" i="2" s="1"/>
  <c r="J585" i="2"/>
  <c r="L585" i="2" s="1"/>
  <c r="J584" i="2"/>
  <c r="L584" i="2" s="1"/>
  <c r="J583" i="2"/>
  <c r="J582" i="2"/>
  <c r="J581" i="2"/>
  <c r="L581" i="2" s="1"/>
  <c r="J580" i="2"/>
  <c r="L580" i="2" s="1"/>
  <c r="J579" i="2"/>
  <c r="L579" i="2" s="1"/>
  <c r="J578" i="2"/>
  <c r="L578" i="2" s="1"/>
  <c r="J577" i="2"/>
  <c r="L577" i="2" s="1"/>
  <c r="J576" i="2"/>
  <c r="L576" i="2" s="1"/>
  <c r="J575" i="2"/>
  <c r="L575" i="2" s="1"/>
  <c r="J574" i="2"/>
  <c r="L574" i="2" s="1"/>
  <c r="J573" i="2"/>
  <c r="L573" i="2" s="1"/>
  <c r="J572" i="2"/>
  <c r="L572" i="2" s="1"/>
  <c r="J571" i="2"/>
  <c r="L571" i="2" s="1"/>
  <c r="J570" i="2"/>
  <c r="L570" i="2" s="1"/>
  <c r="J569" i="2"/>
  <c r="L569" i="2" s="1"/>
  <c r="J568" i="2"/>
  <c r="L568" i="2" s="1"/>
  <c r="J567" i="2"/>
  <c r="L567" i="2" s="1"/>
  <c r="J566" i="2"/>
  <c r="L566" i="2" s="1"/>
  <c r="J565" i="2"/>
  <c r="L565" i="2" s="1"/>
  <c r="J564" i="2"/>
  <c r="L564" i="2" s="1"/>
  <c r="J563" i="2"/>
  <c r="L563" i="2" s="1"/>
  <c r="J562" i="2"/>
  <c r="L562" i="2" s="1"/>
  <c r="J561" i="2"/>
  <c r="L561" i="2" s="1"/>
  <c r="J560" i="2"/>
  <c r="L560" i="2" s="1"/>
  <c r="J559" i="2"/>
  <c r="L559" i="2" s="1"/>
  <c r="J558" i="2"/>
  <c r="L558" i="2" s="1"/>
  <c r="J557" i="2"/>
  <c r="L557" i="2" s="1"/>
  <c r="J556" i="2"/>
  <c r="L556" i="2" s="1"/>
  <c r="J555" i="2"/>
  <c r="L555" i="2" s="1"/>
  <c r="J554" i="2"/>
  <c r="L554" i="2" s="1"/>
  <c r="J553" i="2"/>
  <c r="L553" i="2" s="1"/>
  <c r="J552" i="2"/>
  <c r="L552" i="2" s="1"/>
  <c r="J551" i="2"/>
  <c r="L551" i="2" s="1"/>
  <c r="J550" i="2"/>
  <c r="L550" i="2" s="1"/>
  <c r="J549" i="2"/>
  <c r="L549" i="2" s="1"/>
  <c r="J548" i="2"/>
  <c r="L548" i="2" s="1"/>
  <c r="J547" i="2"/>
  <c r="L547" i="2" s="1"/>
  <c r="J546" i="2"/>
  <c r="L546" i="2" s="1"/>
  <c r="J545" i="2"/>
  <c r="L545" i="2" s="1"/>
  <c r="J544" i="2"/>
  <c r="L544" i="2" s="1"/>
  <c r="J543" i="2"/>
  <c r="L543" i="2" s="1"/>
  <c r="J542" i="2"/>
  <c r="L542" i="2" s="1"/>
  <c r="J541" i="2"/>
  <c r="L541" i="2" s="1"/>
  <c r="J540" i="2"/>
  <c r="L540" i="2" s="1"/>
  <c r="J539" i="2"/>
  <c r="L539" i="2" s="1"/>
  <c r="J538" i="2"/>
  <c r="L538" i="2" s="1"/>
  <c r="J537" i="2"/>
  <c r="L537" i="2" s="1"/>
  <c r="J536" i="2"/>
  <c r="L536" i="2" s="1"/>
  <c r="J535" i="2"/>
  <c r="L535" i="2" s="1"/>
  <c r="J534" i="2"/>
  <c r="L534" i="2" s="1"/>
  <c r="J533" i="2"/>
  <c r="L533" i="2" s="1"/>
  <c r="J532" i="2"/>
  <c r="L532" i="2" s="1"/>
  <c r="J531" i="2"/>
  <c r="L531" i="2" s="1"/>
  <c r="J530" i="2"/>
  <c r="L530" i="2" s="1"/>
  <c r="J529" i="2"/>
  <c r="L529" i="2" s="1"/>
  <c r="J528" i="2"/>
  <c r="L528" i="2" s="1"/>
  <c r="J527" i="2"/>
  <c r="L527" i="2" s="1"/>
  <c r="J526" i="2"/>
  <c r="L526" i="2" s="1"/>
  <c r="J525" i="2"/>
  <c r="L525" i="2" s="1"/>
  <c r="J524" i="2"/>
  <c r="L524" i="2" s="1"/>
  <c r="J523" i="2"/>
  <c r="L523" i="2" s="1"/>
  <c r="J522" i="2"/>
  <c r="L522" i="2" s="1"/>
  <c r="J521" i="2"/>
  <c r="L521" i="2" s="1"/>
  <c r="J520" i="2"/>
  <c r="L520" i="2" s="1"/>
  <c r="J519" i="2"/>
  <c r="L519" i="2" s="1"/>
  <c r="J518" i="2"/>
  <c r="L518" i="2" s="1"/>
  <c r="J517" i="2"/>
  <c r="L517" i="2" s="1"/>
  <c r="J516" i="2"/>
  <c r="L516" i="2" s="1"/>
  <c r="J515" i="2"/>
  <c r="L515" i="2" s="1"/>
  <c r="J514" i="2"/>
  <c r="L514" i="2" s="1"/>
  <c r="J513" i="2"/>
  <c r="L513" i="2" s="1"/>
  <c r="J512" i="2"/>
  <c r="L512" i="2" s="1"/>
  <c r="J511" i="2"/>
  <c r="L511" i="2" s="1"/>
  <c r="J510" i="2"/>
  <c r="L510" i="2" s="1"/>
  <c r="J509" i="2"/>
  <c r="L509" i="2" s="1"/>
  <c r="J508" i="2"/>
  <c r="L508" i="2" s="1"/>
  <c r="J507" i="2"/>
  <c r="L507" i="2" s="1"/>
  <c r="J506" i="2"/>
  <c r="L506" i="2" s="1"/>
  <c r="J505" i="2"/>
  <c r="L505" i="2" s="1"/>
  <c r="J504" i="2"/>
  <c r="L504" i="2" s="1"/>
  <c r="J503" i="2"/>
  <c r="L503" i="2" s="1"/>
  <c r="J502" i="2"/>
  <c r="L502" i="2" s="1"/>
  <c r="J501" i="2"/>
  <c r="L501" i="2" s="1"/>
  <c r="J500" i="2"/>
  <c r="L500" i="2" s="1"/>
  <c r="J499" i="2"/>
  <c r="L499" i="2" s="1"/>
  <c r="J498" i="2"/>
  <c r="L498" i="2" s="1"/>
  <c r="J497" i="2"/>
  <c r="L497" i="2" s="1"/>
  <c r="J496" i="2"/>
  <c r="L496" i="2" s="1"/>
  <c r="J495" i="2"/>
  <c r="L495" i="2" s="1"/>
  <c r="J494" i="2"/>
  <c r="L494" i="2" s="1"/>
  <c r="J493" i="2"/>
  <c r="L493" i="2" s="1"/>
  <c r="J492" i="2"/>
  <c r="L492" i="2" s="1"/>
  <c r="J491" i="2"/>
  <c r="L491" i="2" s="1"/>
  <c r="J490" i="2"/>
  <c r="L490" i="2" s="1"/>
  <c r="J489" i="2"/>
  <c r="L489" i="2" s="1"/>
  <c r="J488" i="2"/>
  <c r="L488" i="2" s="1"/>
  <c r="J487" i="2"/>
  <c r="L487" i="2" s="1"/>
  <c r="J486" i="2"/>
  <c r="L486" i="2" s="1"/>
  <c r="J485" i="2"/>
  <c r="L485" i="2" s="1"/>
  <c r="J484" i="2"/>
  <c r="L484" i="2" s="1"/>
  <c r="J483" i="2"/>
  <c r="L483" i="2" s="1"/>
  <c r="J482" i="2"/>
  <c r="L482" i="2" s="1"/>
  <c r="J481" i="2"/>
  <c r="L481" i="2" s="1"/>
  <c r="J480" i="2"/>
  <c r="L480" i="2" s="1"/>
  <c r="J477" i="2"/>
  <c r="L477" i="2" s="1"/>
  <c r="J476" i="2"/>
  <c r="L476" i="2" s="1"/>
  <c r="J475" i="2"/>
  <c r="L475" i="2" s="1"/>
  <c r="J474" i="2"/>
  <c r="L474" i="2" s="1"/>
  <c r="J473" i="2"/>
  <c r="L473" i="2" s="1"/>
  <c r="J472" i="2"/>
  <c r="L472" i="2" s="1"/>
  <c r="J471" i="2"/>
  <c r="L471" i="2" s="1"/>
  <c r="J470" i="2"/>
  <c r="L470" i="2" s="1"/>
  <c r="J469" i="2"/>
  <c r="L469" i="2" s="1"/>
  <c r="J468" i="2"/>
  <c r="J467" i="2"/>
  <c r="J464" i="2"/>
  <c r="J463" i="2"/>
  <c r="J462" i="2"/>
  <c r="J461" i="2"/>
  <c r="J458" i="2"/>
  <c r="L458" i="2" s="1"/>
  <c r="J457" i="2"/>
  <c r="L457" i="2" s="1"/>
  <c r="J456" i="2"/>
  <c r="L456" i="2" s="1"/>
  <c r="J455" i="2"/>
  <c r="L455" i="2" s="1"/>
  <c r="J454" i="2"/>
  <c r="L454" i="2" s="1"/>
  <c r="J453" i="2"/>
  <c r="L453" i="2" s="1"/>
  <c r="J452" i="2"/>
  <c r="L452" i="2" s="1"/>
  <c r="J451" i="2"/>
  <c r="L451" i="2" s="1"/>
  <c r="J450" i="2"/>
  <c r="L450" i="2" s="1"/>
  <c r="J449" i="2"/>
  <c r="L449" i="2" s="1"/>
  <c r="J448" i="2"/>
  <c r="L448" i="2" s="1"/>
  <c r="J447" i="2"/>
  <c r="L447" i="2" s="1"/>
  <c r="J446" i="2"/>
  <c r="L446" i="2" s="1"/>
  <c r="J445" i="2"/>
  <c r="L445" i="2" s="1"/>
  <c r="J444" i="2"/>
  <c r="L444" i="2" s="1"/>
  <c r="J443" i="2"/>
  <c r="L443" i="2" s="1"/>
  <c r="J442" i="2"/>
  <c r="L442" i="2" s="1"/>
  <c r="J441" i="2"/>
  <c r="L441" i="2" s="1"/>
  <c r="J440" i="2"/>
  <c r="L440" i="2" s="1"/>
  <c r="J439" i="2"/>
  <c r="L439" i="2" s="1"/>
  <c r="J438" i="2"/>
  <c r="L438" i="2" s="1"/>
  <c r="J437" i="2"/>
  <c r="L437" i="2" s="1"/>
  <c r="J436" i="2"/>
  <c r="L436" i="2" s="1"/>
  <c r="J435" i="2"/>
  <c r="J434" i="2"/>
  <c r="L434" i="2" s="1"/>
  <c r="J433" i="2"/>
  <c r="L433" i="2" s="1"/>
  <c r="J432" i="2"/>
  <c r="L432" i="2" s="1"/>
  <c r="J431" i="2"/>
  <c r="L431" i="2" s="1"/>
  <c r="J430" i="2"/>
  <c r="L430" i="2" s="1"/>
  <c r="J429" i="2"/>
  <c r="L429" i="2" s="1"/>
  <c r="J428" i="2"/>
  <c r="L428" i="2" s="1"/>
  <c r="J421" i="2"/>
  <c r="L421" i="2" s="1"/>
  <c r="J420" i="2"/>
  <c r="L420" i="2" s="1"/>
  <c r="J419" i="2"/>
  <c r="L419" i="2" s="1"/>
  <c r="J418" i="2"/>
  <c r="L418" i="2" s="1"/>
  <c r="J417" i="2"/>
  <c r="L417" i="2" s="1"/>
  <c r="J416" i="2"/>
  <c r="L416" i="2" s="1"/>
  <c r="J415" i="2"/>
  <c r="L415" i="2" s="1"/>
  <c r="J414" i="2"/>
  <c r="L414" i="2" s="1"/>
  <c r="J413" i="2"/>
  <c r="L413" i="2" s="1"/>
  <c r="J412" i="2"/>
  <c r="L412" i="2" s="1"/>
  <c r="J411" i="2"/>
  <c r="L411" i="2" s="1"/>
  <c r="J410" i="2"/>
  <c r="L410" i="2" s="1"/>
  <c r="J409" i="2"/>
  <c r="L409" i="2" s="1"/>
  <c r="J408" i="2"/>
  <c r="L408" i="2" s="1"/>
  <c r="J407" i="2"/>
  <c r="L407" i="2" s="1"/>
  <c r="J406" i="2"/>
  <c r="L406" i="2" s="1"/>
  <c r="J405" i="2"/>
  <c r="L405" i="2" s="1"/>
  <c r="J404" i="2"/>
  <c r="L404" i="2" s="1"/>
  <c r="J403" i="2"/>
  <c r="L403" i="2" s="1"/>
  <c r="J402" i="2"/>
  <c r="L402" i="2" s="1"/>
  <c r="J401" i="2"/>
  <c r="L401" i="2" s="1"/>
  <c r="J400" i="2"/>
  <c r="L400" i="2" s="1"/>
  <c r="J399" i="2"/>
  <c r="L399" i="2" s="1"/>
  <c r="J398" i="2"/>
  <c r="L398" i="2" s="1"/>
  <c r="J397" i="2"/>
  <c r="L397" i="2" s="1"/>
  <c r="J392" i="2"/>
  <c r="L392" i="2" s="1"/>
  <c r="J391" i="2"/>
  <c r="L391" i="2" s="1"/>
  <c r="J390" i="2"/>
  <c r="L390" i="2" s="1"/>
  <c r="J389" i="2"/>
  <c r="L389" i="2" s="1"/>
  <c r="J388" i="2"/>
  <c r="L388" i="2" s="1"/>
  <c r="J387" i="2"/>
  <c r="L387" i="2" s="1"/>
  <c r="J386" i="2"/>
  <c r="L386" i="2" s="1"/>
  <c r="J385" i="2"/>
  <c r="L385" i="2" s="1"/>
  <c r="J384" i="2"/>
  <c r="L384" i="2" s="1"/>
  <c r="J383" i="2"/>
  <c r="L383" i="2" s="1"/>
  <c r="J382" i="2"/>
  <c r="L382" i="2" s="1"/>
  <c r="J381" i="2"/>
  <c r="L381" i="2" s="1"/>
  <c r="J380" i="2"/>
  <c r="L380" i="2" s="1"/>
  <c r="J379" i="2"/>
  <c r="L379" i="2" s="1"/>
  <c r="J378" i="2"/>
  <c r="L378" i="2" s="1"/>
  <c r="J377" i="2"/>
  <c r="L377" i="2" s="1"/>
  <c r="J376" i="2"/>
  <c r="L376" i="2" s="1"/>
  <c r="J375" i="2"/>
  <c r="L375" i="2" s="1"/>
  <c r="J374" i="2"/>
  <c r="L374" i="2" s="1"/>
  <c r="J373" i="2"/>
  <c r="L373" i="2" s="1"/>
  <c r="J372" i="2"/>
  <c r="J371" i="2"/>
  <c r="L371" i="2" s="1"/>
  <c r="J370" i="2"/>
  <c r="L370" i="2" s="1"/>
  <c r="J369" i="2"/>
  <c r="L369" i="2" s="1"/>
  <c r="J368" i="2"/>
  <c r="L368" i="2" s="1"/>
  <c r="J367" i="2"/>
  <c r="L367" i="2" s="1"/>
  <c r="J366" i="2"/>
  <c r="L366" i="2" s="1"/>
  <c r="J365" i="2"/>
  <c r="L365" i="2" s="1"/>
  <c r="J364" i="2"/>
  <c r="L364" i="2" s="1"/>
  <c r="J363" i="2"/>
  <c r="L363" i="2" s="1"/>
  <c r="J362" i="2"/>
  <c r="L362" i="2" s="1"/>
  <c r="J361" i="2"/>
  <c r="L361" i="2" s="1"/>
  <c r="J360" i="2"/>
  <c r="L360" i="2" s="1"/>
  <c r="J359" i="2"/>
  <c r="L359" i="2" s="1"/>
  <c r="J358" i="2"/>
  <c r="L358" i="2" s="1"/>
  <c r="J357" i="2"/>
  <c r="L357" i="2" s="1"/>
  <c r="J356" i="2"/>
  <c r="L356" i="2" s="1"/>
  <c r="J355" i="2"/>
  <c r="L355" i="2" s="1"/>
  <c r="J354" i="2"/>
  <c r="L354" i="2" s="1"/>
  <c r="J353" i="2"/>
  <c r="L353" i="2" s="1"/>
  <c r="J352" i="2"/>
  <c r="L352" i="2" s="1"/>
  <c r="J351" i="2"/>
  <c r="L351" i="2" s="1"/>
  <c r="J350" i="2"/>
  <c r="L350" i="2" s="1"/>
  <c r="J349" i="2"/>
  <c r="L349" i="2" s="1"/>
  <c r="J348" i="2"/>
  <c r="L348" i="2" s="1"/>
  <c r="J347" i="2"/>
  <c r="L347" i="2" s="1"/>
  <c r="J346" i="2"/>
  <c r="L346" i="2" s="1"/>
  <c r="J345" i="2"/>
  <c r="L345" i="2" s="1"/>
  <c r="J344" i="2"/>
  <c r="L344" i="2" s="1"/>
  <c r="J343" i="2"/>
  <c r="L343" i="2" s="1"/>
  <c r="J342" i="2"/>
  <c r="L342" i="2" s="1"/>
  <c r="J341" i="2"/>
  <c r="L341" i="2" s="1"/>
  <c r="J340" i="2"/>
  <c r="L340" i="2" s="1"/>
  <c r="J339" i="2"/>
  <c r="L339" i="2" s="1"/>
  <c r="J338" i="2"/>
  <c r="L338" i="2" s="1"/>
  <c r="J337" i="2"/>
  <c r="L337" i="2" s="1"/>
  <c r="J336" i="2"/>
  <c r="L336" i="2" s="1"/>
  <c r="J335" i="2"/>
  <c r="L335" i="2" s="1"/>
  <c r="J334" i="2"/>
  <c r="L334" i="2" s="1"/>
  <c r="J333" i="2"/>
  <c r="L333" i="2" s="1"/>
  <c r="J332" i="2"/>
  <c r="L332" i="2" s="1"/>
  <c r="J331" i="2"/>
  <c r="L331" i="2" s="1"/>
  <c r="J330" i="2"/>
  <c r="L330" i="2" s="1"/>
  <c r="J329" i="2"/>
  <c r="L329" i="2" s="1"/>
  <c r="J328" i="2"/>
  <c r="L328" i="2" s="1"/>
  <c r="J327" i="2"/>
  <c r="L327" i="2" s="1"/>
  <c r="J326" i="2"/>
  <c r="L326" i="2" s="1"/>
  <c r="J325" i="2"/>
  <c r="L325" i="2" s="1"/>
  <c r="J324" i="2"/>
  <c r="L324" i="2" s="1"/>
  <c r="J323" i="2"/>
  <c r="L323" i="2" s="1"/>
  <c r="J322" i="2"/>
  <c r="L322" i="2" s="1"/>
  <c r="J321" i="2"/>
  <c r="L321" i="2" s="1"/>
  <c r="J320" i="2"/>
  <c r="L320" i="2" s="1"/>
  <c r="J319" i="2"/>
  <c r="L319" i="2" s="1"/>
  <c r="J318" i="2"/>
  <c r="L318" i="2" s="1"/>
  <c r="J317" i="2"/>
  <c r="L317" i="2" s="1"/>
  <c r="J316" i="2"/>
  <c r="L316" i="2" s="1"/>
  <c r="J315" i="2"/>
  <c r="L315" i="2" s="1"/>
  <c r="J314" i="2"/>
  <c r="L314" i="2" s="1"/>
  <c r="J313" i="2"/>
  <c r="L313" i="2" s="1"/>
  <c r="J312" i="2"/>
  <c r="L312" i="2" s="1"/>
  <c r="J311" i="2"/>
  <c r="L311" i="2" s="1"/>
  <c r="J310" i="2"/>
  <c r="L310" i="2" s="1"/>
  <c r="J309" i="2"/>
  <c r="L309" i="2" s="1"/>
  <c r="J308" i="2"/>
  <c r="L308" i="2" s="1"/>
  <c r="J307" i="2"/>
  <c r="L307" i="2" s="1"/>
  <c r="J306" i="2"/>
  <c r="L306" i="2" s="1"/>
  <c r="J305" i="2"/>
  <c r="L305" i="2" s="1"/>
  <c r="J304" i="2"/>
  <c r="L304" i="2" s="1"/>
  <c r="J303" i="2"/>
  <c r="L303" i="2" s="1"/>
  <c r="J302" i="2"/>
  <c r="L302" i="2" s="1"/>
  <c r="J301" i="2"/>
  <c r="L301" i="2" s="1"/>
  <c r="J300" i="2"/>
  <c r="L300" i="2" s="1"/>
  <c r="J299" i="2"/>
  <c r="L299" i="2" s="1"/>
  <c r="J298" i="2"/>
  <c r="L298" i="2" s="1"/>
  <c r="J297" i="2"/>
  <c r="L297" i="2" s="1"/>
  <c r="J296" i="2"/>
  <c r="L296" i="2" s="1"/>
  <c r="J295" i="2"/>
  <c r="L295" i="2" s="1"/>
  <c r="J294" i="2"/>
  <c r="L294" i="2" s="1"/>
  <c r="J293" i="2"/>
  <c r="L293" i="2" s="1"/>
  <c r="J292" i="2"/>
  <c r="L292" i="2" s="1"/>
  <c r="J291" i="2"/>
  <c r="L291" i="2" s="1"/>
  <c r="J290" i="2"/>
  <c r="L290" i="2" s="1"/>
  <c r="J289" i="2"/>
  <c r="L289" i="2" s="1"/>
  <c r="J288" i="2"/>
  <c r="L288" i="2" s="1"/>
  <c r="J287" i="2"/>
  <c r="L287" i="2" s="1"/>
  <c r="J286" i="2"/>
  <c r="L286" i="2" s="1"/>
  <c r="J285" i="2"/>
  <c r="L285" i="2" s="1"/>
  <c r="J284" i="2"/>
  <c r="L284" i="2" s="1"/>
  <c r="J283" i="2"/>
  <c r="L283" i="2" s="1"/>
  <c r="J282" i="2"/>
  <c r="L282" i="2" s="1"/>
  <c r="J281" i="2"/>
  <c r="L281" i="2" s="1"/>
  <c r="J280" i="2"/>
  <c r="L280" i="2" s="1"/>
  <c r="J279" i="2"/>
  <c r="L279" i="2" s="1"/>
  <c r="J278" i="2"/>
  <c r="L278" i="2" s="1"/>
  <c r="J277" i="2"/>
  <c r="L277" i="2" s="1"/>
  <c r="J276" i="2"/>
  <c r="L276" i="2" s="1"/>
  <c r="J275" i="2"/>
  <c r="L275" i="2" s="1"/>
  <c r="J274" i="2"/>
  <c r="L274" i="2" s="1"/>
  <c r="J273" i="2"/>
  <c r="L273" i="2" s="1"/>
  <c r="J272" i="2"/>
  <c r="L272" i="2" s="1"/>
  <c r="J271" i="2"/>
  <c r="L271" i="2" s="1"/>
  <c r="J270" i="2"/>
  <c r="L270" i="2" s="1"/>
  <c r="J269" i="2"/>
  <c r="L269" i="2" s="1"/>
  <c r="J268" i="2"/>
  <c r="L268" i="2" s="1"/>
  <c r="J267" i="2"/>
  <c r="L267" i="2" s="1"/>
  <c r="J266" i="2"/>
  <c r="L266" i="2" s="1"/>
  <c r="J265" i="2"/>
  <c r="L265" i="2" s="1"/>
  <c r="J264" i="2"/>
  <c r="L264" i="2" s="1"/>
  <c r="J263" i="2"/>
  <c r="L263" i="2" s="1"/>
  <c r="J262" i="2"/>
  <c r="L262" i="2" s="1"/>
  <c r="J261" i="2"/>
  <c r="L261" i="2" s="1"/>
  <c r="J260" i="2"/>
  <c r="L260" i="2" s="1"/>
  <c r="J259" i="2"/>
  <c r="L259" i="2" s="1"/>
  <c r="J258" i="2"/>
  <c r="L258" i="2" s="1"/>
  <c r="J257" i="2"/>
  <c r="L257" i="2" s="1"/>
  <c r="J256" i="2"/>
  <c r="L256" i="2" s="1"/>
  <c r="J255" i="2"/>
  <c r="L255" i="2" s="1"/>
  <c r="J254" i="2"/>
  <c r="L254" i="2" s="1"/>
  <c r="J235" i="2"/>
  <c r="L235" i="2" s="1"/>
  <c r="J234" i="2"/>
  <c r="L234" i="2" s="1"/>
  <c r="J233" i="2"/>
  <c r="L233" i="2" s="1"/>
  <c r="J232" i="2"/>
  <c r="L232" i="2" s="1"/>
  <c r="J231" i="2"/>
  <c r="L231" i="2" s="1"/>
  <c r="J230" i="2"/>
  <c r="L230" i="2" s="1"/>
  <c r="J229" i="2"/>
  <c r="L229" i="2" s="1"/>
  <c r="J228" i="2"/>
  <c r="L228" i="2" s="1"/>
  <c r="J227" i="2"/>
  <c r="L227" i="2" s="1"/>
  <c r="J226" i="2"/>
  <c r="L226" i="2" s="1"/>
  <c r="J225" i="2"/>
  <c r="L225" i="2" s="1"/>
  <c r="J224" i="2"/>
  <c r="L224" i="2" s="1"/>
  <c r="J223" i="2"/>
  <c r="L223" i="2" s="1"/>
  <c r="J222" i="2"/>
  <c r="L222" i="2" s="1"/>
  <c r="J221" i="2"/>
  <c r="L221" i="2" s="1"/>
  <c r="J220" i="2"/>
  <c r="L220" i="2" s="1"/>
  <c r="J219" i="2"/>
  <c r="L219" i="2" s="1"/>
  <c r="J218" i="2"/>
  <c r="L218" i="2" s="1"/>
  <c r="J217" i="2"/>
  <c r="L217" i="2" s="1"/>
  <c r="J216" i="2"/>
  <c r="L216" i="2" s="1"/>
  <c r="J215" i="2"/>
  <c r="L215" i="2" s="1"/>
  <c r="J214" i="2"/>
  <c r="L214" i="2" s="1"/>
  <c r="J213" i="2"/>
  <c r="L213" i="2" s="1"/>
  <c r="J212" i="2"/>
  <c r="L212" i="2" s="1"/>
  <c r="J211" i="2"/>
  <c r="L211" i="2" s="1"/>
  <c r="J210" i="2"/>
  <c r="L210" i="2" s="1"/>
  <c r="J209" i="2"/>
  <c r="L209" i="2" s="1"/>
  <c r="J208" i="2"/>
  <c r="L208" i="2" s="1"/>
  <c r="J207" i="2"/>
  <c r="L207" i="2" s="1"/>
  <c r="J206" i="2"/>
  <c r="L206" i="2" s="1"/>
  <c r="J205" i="2"/>
  <c r="L205" i="2" s="1"/>
  <c r="J204" i="2"/>
  <c r="L204" i="2" s="1"/>
  <c r="J203" i="2"/>
  <c r="L203" i="2" s="1"/>
  <c r="J202" i="2"/>
  <c r="L202" i="2" s="1"/>
  <c r="J201" i="2"/>
  <c r="L201" i="2" s="1"/>
  <c r="J200" i="2"/>
  <c r="L200" i="2" s="1"/>
  <c r="J199" i="2"/>
  <c r="L199" i="2" s="1"/>
  <c r="J198" i="2"/>
  <c r="L198" i="2" s="1"/>
  <c r="J197" i="2"/>
  <c r="L197" i="2" s="1"/>
  <c r="J196" i="2"/>
  <c r="L196" i="2" s="1"/>
  <c r="J195" i="2"/>
  <c r="L195" i="2" s="1"/>
  <c r="J194" i="2"/>
  <c r="L194" i="2" s="1"/>
  <c r="J193" i="2"/>
  <c r="L193" i="2" s="1"/>
  <c r="J192" i="2"/>
  <c r="L192" i="2" s="1"/>
  <c r="J191" i="2"/>
  <c r="L191" i="2" s="1"/>
  <c r="J190" i="2"/>
  <c r="L190" i="2" s="1"/>
  <c r="J189" i="2"/>
  <c r="L189" i="2" s="1"/>
  <c r="J188" i="2"/>
  <c r="L188" i="2" s="1"/>
  <c r="J187" i="2"/>
  <c r="L187" i="2" s="1"/>
  <c r="J186" i="2"/>
  <c r="L186" i="2" s="1"/>
  <c r="J185" i="2"/>
  <c r="L185" i="2" s="1"/>
  <c r="J184" i="2"/>
  <c r="L184" i="2" s="1"/>
  <c r="J183" i="2"/>
  <c r="L183" i="2" s="1"/>
  <c r="J182" i="2"/>
  <c r="L182" i="2" s="1"/>
  <c r="J181" i="2"/>
  <c r="L181" i="2" s="1"/>
  <c r="J180" i="2"/>
  <c r="L180" i="2" s="1"/>
  <c r="J179" i="2"/>
  <c r="L179" i="2" s="1"/>
  <c r="J178" i="2"/>
  <c r="L178" i="2" s="1"/>
  <c r="J177" i="2"/>
  <c r="L177" i="2" s="1"/>
  <c r="J176" i="2"/>
  <c r="L176" i="2" s="1"/>
  <c r="J175" i="2"/>
  <c r="J174" i="2"/>
  <c r="L174" i="2" s="1"/>
  <c r="J173" i="2"/>
  <c r="L173" i="2" s="1"/>
  <c r="J172" i="2"/>
  <c r="L172" i="2" s="1"/>
  <c r="J171" i="2"/>
  <c r="L171" i="2" s="1"/>
  <c r="J170" i="2"/>
  <c r="L170" i="2" s="1"/>
  <c r="J169" i="2"/>
  <c r="L169" i="2" s="1"/>
  <c r="J168" i="2"/>
  <c r="L168" i="2" s="1"/>
  <c r="J167" i="2"/>
  <c r="L167" i="2" s="1"/>
  <c r="J166" i="2"/>
  <c r="L166" i="2" s="1"/>
  <c r="J165" i="2"/>
  <c r="L165" i="2" s="1"/>
  <c r="J164" i="2"/>
  <c r="L164" i="2" s="1"/>
  <c r="J163" i="2"/>
  <c r="L163" i="2" s="1"/>
  <c r="J162" i="2"/>
  <c r="J161" i="2"/>
  <c r="L161" i="2" s="1"/>
  <c r="J160" i="2"/>
  <c r="L160" i="2" s="1"/>
  <c r="J159" i="2"/>
  <c r="L159" i="2" s="1"/>
  <c r="J158" i="2"/>
  <c r="L158" i="2" s="1"/>
  <c r="J157" i="2"/>
  <c r="L157" i="2" s="1"/>
  <c r="J156" i="2"/>
  <c r="L156" i="2" s="1"/>
  <c r="J155" i="2"/>
  <c r="L155" i="2" s="1"/>
  <c r="J154" i="2"/>
  <c r="L154" i="2" s="1"/>
  <c r="J153" i="2"/>
  <c r="L153" i="2" s="1"/>
  <c r="J152" i="2"/>
  <c r="L152" i="2" s="1"/>
  <c r="J151" i="2"/>
  <c r="L151" i="2" s="1"/>
  <c r="J150" i="2"/>
  <c r="L150" i="2" s="1"/>
  <c r="J149" i="2"/>
  <c r="L149" i="2" s="1"/>
  <c r="J148" i="2"/>
  <c r="L148" i="2" s="1"/>
  <c r="J147" i="2"/>
  <c r="L147" i="2" s="1"/>
  <c r="J146" i="2"/>
  <c r="L146" i="2" s="1"/>
  <c r="J138" i="2"/>
  <c r="L138" i="2" s="1"/>
  <c r="J137" i="2"/>
  <c r="L137" i="2" s="1"/>
  <c r="J136" i="2"/>
  <c r="L136" i="2" s="1"/>
  <c r="J135" i="2"/>
  <c r="L135" i="2" s="1"/>
  <c r="J134" i="2"/>
  <c r="L134" i="2" s="1"/>
  <c r="J133" i="2"/>
  <c r="L133" i="2" s="1"/>
  <c r="J132" i="2"/>
  <c r="L132" i="2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9" i="2"/>
  <c r="L119" i="2" s="1"/>
  <c r="J118" i="2"/>
  <c r="L118" i="2" s="1"/>
  <c r="J117" i="2"/>
  <c r="L117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30" i="2"/>
  <c r="L30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I2" i="2"/>
  <c r="G2" i="2"/>
  <c r="D2" i="2"/>
  <c r="M2779" i="3"/>
  <c r="J427" i="10" s="1"/>
  <c r="M2211" i="3"/>
  <c r="J350" i="10" s="1"/>
  <c r="M2214" i="3"/>
  <c r="J353" i="10" s="1"/>
  <c r="M2213" i="3"/>
  <c r="J352" i="10" s="1"/>
  <c r="M2212" i="3"/>
  <c r="J351" i="10" s="1"/>
  <c r="M2217" i="3"/>
  <c r="M2437" i="3"/>
  <c r="M1285" i="3"/>
  <c r="M1275" i="3"/>
  <c r="M2753" i="3"/>
  <c r="M976" i="3"/>
  <c r="M940" i="3"/>
  <c r="M2222" i="3"/>
  <c r="J361" i="10" s="1"/>
  <c r="H601" i="5" s="1"/>
  <c r="M900" i="3"/>
  <c r="J532" i="10"/>
  <c r="M2627" i="3"/>
  <c r="J531" i="10" s="1"/>
  <c r="M2626" i="3"/>
  <c r="J530" i="10" s="1"/>
  <c r="M2579" i="3"/>
  <c r="J432" i="10" s="1"/>
  <c r="M2577" i="3"/>
  <c r="J436" i="10" s="1"/>
  <c r="M2573" i="3"/>
  <c r="J409" i="10" s="1"/>
  <c r="M2572" i="3"/>
  <c r="J408" i="10" s="1"/>
  <c r="M2571" i="3"/>
  <c r="J512" i="10" s="1"/>
  <c r="M2570" i="3"/>
  <c r="J468" i="10" s="1"/>
  <c r="M2567" i="3"/>
  <c r="J459" i="10" s="1"/>
  <c r="M2565" i="3"/>
  <c r="J457" i="10" s="1"/>
  <c r="M1264" i="3"/>
  <c r="M2215" i="3"/>
  <c r="J354" i="10" s="1"/>
  <c r="M2221" i="3"/>
  <c r="J360" i="10" s="1"/>
  <c r="H600" i="5" s="1"/>
  <c r="M2220" i="3"/>
  <c r="J359" i="10" s="1"/>
  <c r="H599" i="5" s="1"/>
  <c r="M2219" i="3"/>
  <c r="J358" i="10" s="1"/>
  <c r="H598" i="5" s="1"/>
  <c r="M2218" i="3"/>
  <c r="J357" i="10" s="1"/>
  <c r="H597" i="5" s="1"/>
  <c r="M2541" i="3"/>
  <c r="M2540" i="3"/>
  <c r="M855" i="3"/>
  <c r="M958" i="3"/>
  <c r="M758" i="3"/>
  <c r="M227" i="3"/>
  <c r="M851" i="3"/>
  <c r="M949" i="3"/>
  <c r="M920" i="3"/>
  <c r="M448" i="3"/>
  <c r="M850" i="3"/>
  <c r="M918" i="3"/>
  <c r="C273" i="11" l="1"/>
  <c r="C464" i="11"/>
  <c r="C584" i="11"/>
  <c r="C138" i="11"/>
  <c r="C325" i="11"/>
  <c r="C67" i="11"/>
  <c r="C91" i="11"/>
  <c r="C139" i="11"/>
  <c r="C155" i="11"/>
  <c r="C168" i="11"/>
  <c r="C181" i="11"/>
  <c r="C203" i="11"/>
  <c r="C217" i="11"/>
  <c r="C227" i="11"/>
  <c r="C260" i="11"/>
  <c r="C272" i="11"/>
  <c r="C290" i="11"/>
  <c r="C315" i="11"/>
  <c r="C324" i="11"/>
  <c r="C341" i="11"/>
  <c r="C350" i="11"/>
  <c r="C360" i="11"/>
  <c r="C375" i="11"/>
  <c r="C385" i="11"/>
  <c r="C393" i="11"/>
  <c r="C402" i="11"/>
  <c r="C410" i="11"/>
  <c r="C419" i="11"/>
  <c r="C428" i="11"/>
  <c r="C436" i="11"/>
  <c r="C448" i="11"/>
  <c r="C485" i="11"/>
  <c r="C511" i="11"/>
  <c r="C558" i="11"/>
  <c r="C580" i="11"/>
  <c r="C613" i="11"/>
  <c r="C394" i="11"/>
  <c r="C411" i="11"/>
  <c r="C429" i="11"/>
  <c r="C449" i="11"/>
  <c r="C514" i="11"/>
  <c r="C563" i="11"/>
  <c r="C614" i="11"/>
  <c r="C551" i="11"/>
  <c r="C72" i="11"/>
  <c r="C98" i="11"/>
  <c r="C140" i="11"/>
  <c r="C156" i="11"/>
  <c r="C172" i="11"/>
  <c r="C182" i="11"/>
  <c r="C205" i="11"/>
  <c r="C218" i="11"/>
  <c r="C228" i="11"/>
  <c r="C262" i="11"/>
  <c r="C277" i="11"/>
  <c r="C291" i="11"/>
  <c r="C316" i="11"/>
  <c r="C326" i="11"/>
  <c r="C342" i="11"/>
  <c r="C351" i="11"/>
  <c r="C361" i="11"/>
  <c r="C377" i="11"/>
  <c r="C386" i="11"/>
  <c r="C403" i="11"/>
  <c r="C420" i="11"/>
  <c r="C437" i="11"/>
  <c r="C486" i="11"/>
  <c r="C589" i="11"/>
  <c r="C418" i="11"/>
  <c r="C505" i="11"/>
  <c r="C10" i="11"/>
  <c r="C76" i="11"/>
  <c r="C116" i="11"/>
  <c r="C146" i="11"/>
  <c r="C160" i="11"/>
  <c r="C173" i="11"/>
  <c r="C185" i="11"/>
  <c r="C206" i="11"/>
  <c r="C221" i="11"/>
  <c r="C229" i="11"/>
  <c r="C263" i="11"/>
  <c r="C278" i="11"/>
  <c r="C292" i="11"/>
  <c r="C318" i="11"/>
  <c r="C327" i="11"/>
  <c r="C343" i="11"/>
  <c r="C352" i="11"/>
  <c r="C364" i="11"/>
  <c r="C378" i="11"/>
  <c r="C387" i="11"/>
  <c r="C395" i="11"/>
  <c r="C404" i="11"/>
  <c r="C412" i="11"/>
  <c r="C421" i="11"/>
  <c r="C430" i="11"/>
  <c r="C438" i="11"/>
  <c r="C460" i="11"/>
  <c r="C496" i="11"/>
  <c r="C515" i="11"/>
  <c r="C567" i="11"/>
  <c r="C596" i="11"/>
  <c r="C615" i="11"/>
  <c r="C388" i="11"/>
  <c r="C414" i="11"/>
  <c r="C431" i="11"/>
  <c r="C461" i="11"/>
  <c r="C517" i="11"/>
  <c r="C570" i="11"/>
  <c r="C392" i="11"/>
  <c r="C447" i="11"/>
  <c r="C15" i="11"/>
  <c r="C77" i="11"/>
  <c r="C119" i="11"/>
  <c r="C147" i="11"/>
  <c r="C161" i="11"/>
  <c r="C175" i="11"/>
  <c r="C188" i="11"/>
  <c r="C207" i="11"/>
  <c r="C222" i="11"/>
  <c r="C230" i="11"/>
  <c r="C264" i="11"/>
  <c r="C281" i="11"/>
  <c r="C293" i="11"/>
  <c r="C319" i="11"/>
  <c r="C330" i="11"/>
  <c r="C344" i="11"/>
  <c r="C355" i="11"/>
  <c r="C365" i="11"/>
  <c r="C379" i="11"/>
  <c r="C397" i="11"/>
  <c r="C405" i="11"/>
  <c r="C422" i="11"/>
  <c r="C440" i="11"/>
  <c r="C497" i="11"/>
  <c r="C605" i="11"/>
  <c r="C616" i="11"/>
  <c r="C16" i="11"/>
  <c r="C86" i="11"/>
  <c r="C120" i="11"/>
  <c r="C148" i="11"/>
  <c r="C162" i="11"/>
  <c r="C177" i="11"/>
  <c r="C191" i="11"/>
  <c r="C211" i="11"/>
  <c r="C223" i="11"/>
  <c r="C231" i="11"/>
  <c r="C265" i="11"/>
  <c r="C282" i="11"/>
  <c r="C295" i="11"/>
  <c r="C320" i="11"/>
  <c r="C332" i="11"/>
  <c r="C345" i="11"/>
  <c r="C356" i="11"/>
  <c r="C366" i="11"/>
  <c r="C380" i="11"/>
  <c r="C389" i="11"/>
  <c r="C398" i="11"/>
  <c r="C406" i="11"/>
  <c r="C415" i="11"/>
  <c r="C423" i="11"/>
  <c r="C432" i="11"/>
  <c r="C441" i="11"/>
  <c r="C463" i="11"/>
  <c r="C499" i="11"/>
  <c r="C528" i="11"/>
  <c r="C574" i="11"/>
  <c r="C606" i="11"/>
  <c r="C619" i="11"/>
  <c r="C90" i="11"/>
  <c r="C167" i="11"/>
  <c r="C226" i="11"/>
  <c r="C288" i="11"/>
  <c r="C340" i="11"/>
  <c r="C374" i="11"/>
  <c r="C409" i="11"/>
  <c r="C482" i="11"/>
  <c r="C62" i="11"/>
  <c r="C87" i="11"/>
  <c r="C130" i="11"/>
  <c r="C149" i="11"/>
  <c r="C164" i="11"/>
  <c r="C178" i="11"/>
  <c r="C192" i="11"/>
  <c r="C213" i="11"/>
  <c r="C224" i="11"/>
  <c r="C246" i="11"/>
  <c r="C269" i="11"/>
  <c r="C284" i="11"/>
  <c r="C296" i="11"/>
  <c r="C321" i="11"/>
  <c r="C334" i="11"/>
  <c r="C346" i="11"/>
  <c r="C357" i="11"/>
  <c r="C367" i="11"/>
  <c r="C381" i="11"/>
  <c r="C390" i="11"/>
  <c r="C399" i="11"/>
  <c r="C407" i="11"/>
  <c r="C416" i="11"/>
  <c r="C424" i="11"/>
  <c r="C433" i="11"/>
  <c r="C443" i="11"/>
  <c r="C474" i="11"/>
  <c r="C503" i="11"/>
  <c r="C537" i="11"/>
  <c r="C575" i="11"/>
  <c r="C607" i="11"/>
  <c r="C620" i="11"/>
  <c r="C137" i="11"/>
  <c r="C180" i="11"/>
  <c r="C216" i="11"/>
  <c r="C271" i="11"/>
  <c r="C323" i="11"/>
  <c r="C359" i="11"/>
  <c r="C401" i="11"/>
  <c r="C435" i="11"/>
  <c r="C612" i="11"/>
  <c r="C63" i="11"/>
  <c r="C89" i="11"/>
  <c r="C136" i="11"/>
  <c r="C153" i="11"/>
  <c r="C166" i="11"/>
  <c r="C179" i="11"/>
  <c r="C193" i="11"/>
  <c r="C214" i="11"/>
  <c r="C225" i="11"/>
  <c r="C247" i="11"/>
  <c r="C270" i="11"/>
  <c r="C285" i="11"/>
  <c r="C298" i="11"/>
  <c r="C322" i="11"/>
  <c r="C338" i="11"/>
  <c r="C347" i="11"/>
  <c r="C358" i="11"/>
  <c r="C369" i="11"/>
  <c r="C382" i="11"/>
  <c r="C391" i="11"/>
  <c r="C400" i="11"/>
  <c r="C408" i="11"/>
  <c r="C417" i="11"/>
  <c r="C426" i="11"/>
  <c r="C434" i="11"/>
  <c r="C444" i="11"/>
  <c r="C481" i="11"/>
  <c r="C504" i="11"/>
  <c r="C544" i="11"/>
  <c r="C576" i="11"/>
  <c r="C610" i="11"/>
  <c r="C65" i="11"/>
  <c r="C154" i="11"/>
  <c r="C194" i="11"/>
  <c r="C259" i="11"/>
  <c r="C308" i="11"/>
  <c r="C349" i="11"/>
  <c r="C384" i="11"/>
  <c r="C427" i="11"/>
  <c r="C579" i="11"/>
  <c r="C594" i="11"/>
  <c r="C368" i="11"/>
  <c r="C61" i="11"/>
  <c r="C500" i="11"/>
  <c r="C174" i="11"/>
  <c r="C470" i="11"/>
  <c r="C74" i="11"/>
  <c r="C312" i="11"/>
  <c r="C512" i="11"/>
  <c r="C197" i="11"/>
  <c r="C196" i="11"/>
  <c r="C439" i="11"/>
  <c r="C339" i="11"/>
  <c r="C123" i="11"/>
  <c r="C280" i="11"/>
  <c r="C548" i="11"/>
  <c r="C494" i="11"/>
  <c r="C49" i="11"/>
  <c r="C450" i="11"/>
  <c r="C498" i="11"/>
  <c r="C309" i="11"/>
  <c r="C599" i="11"/>
  <c r="C553" i="11"/>
  <c r="C12" i="11"/>
  <c r="C526" i="11"/>
  <c r="C317" i="11"/>
  <c r="C598" i="11"/>
  <c r="C127" i="11"/>
  <c r="C311" i="11"/>
  <c r="C4" i="11"/>
  <c r="C6" i="11"/>
  <c r="C27" i="11"/>
  <c r="C25" i="11"/>
  <c r="C565" i="11"/>
  <c r="C456" i="11"/>
  <c r="C57" i="11"/>
  <c r="C44" i="11"/>
  <c r="C157" i="11"/>
  <c r="C141" i="11"/>
  <c r="C583" i="11"/>
  <c r="C132" i="11"/>
  <c r="C5" i="11"/>
  <c r="C299" i="11"/>
  <c r="C459" i="11"/>
  <c r="C559" i="11"/>
  <c r="C134" i="11"/>
  <c r="C212" i="11"/>
  <c r="C114" i="11"/>
  <c r="C581" i="11"/>
  <c r="C348" i="11"/>
  <c r="C508" i="11"/>
  <c r="C590" i="11"/>
  <c r="C28" i="11"/>
  <c r="C58" i="11"/>
  <c r="C597" i="11"/>
  <c r="C372" i="11"/>
  <c r="C510" i="11"/>
  <c r="C472" i="11"/>
  <c r="C286" i="11"/>
  <c r="C238" i="11"/>
  <c r="C183" i="11"/>
  <c r="C491" i="11"/>
  <c r="C81" i="11"/>
  <c r="C118" i="11"/>
  <c r="C165" i="11"/>
  <c r="C337" i="11"/>
  <c r="C609" i="11"/>
  <c r="C376" i="11"/>
  <c r="C176" i="11"/>
  <c r="C233" i="11"/>
  <c r="C45" i="11"/>
  <c r="C333" i="11"/>
  <c r="C202" i="11"/>
  <c r="C131" i="11"/>
  <c r="C29" i="11"/>
  <c r="C122" i="11"/>
  <c r="C454" i="11"/>
  <c r="C509" i="11"/>
  <c r="C8" i="11"/>
  <c r="C495" i="11"/>
  <c r="C600" i="11"/>
  <c r="C20" i="11"/>
  <c r="C70" i="11"/>
  <c r="C303" i="11"/>
  <c r="C101" i="11"/>
  <c r="C310" i="11"/>
  <c r="C151" i="11"/>
  <c r="C595" i="11"/>
  <c r="C542" i="11"/>
  <c r="C71" i="11"/>
  <c r="C23" i="11"/>
  <c r="C215" i="11"/>
  <c r="C525" i="11"/>
  <c r="C557" i="11"/>
  <c r="C109" i="11"/>
  <c r="C18" i="11"/>
  <c r="C276" i="11"/>
  <c r="C371" i="11"/>
  <c r="C274" i="11"/>
  <c r="C104" i="11"/>
  <c r="C545" i="11"/>
  <c r="C201" i="11"/>
  <c r="C492" i="11"/>
  <c r="C243" i="11"/>
  <c r="C250" i="11"/>
  <c r="C487" i="11"/>
  <c r="C473" i="11"/>
  <c r="C477" i="11"/>
  <c r="C171" i="11"/>
  <c r="C475" i="11"/>
  <c r="C121" i="11"/>
  <c r="C608" i="11"/>
  <c r="C234" i="11"/>
  <c r="C73" i="11"/>
  <c r="C287" i="11"/>
  <c r="C78" i="11"/>
  <c r="C442" i="11"/>
  <c r="C208" i="11"/>
  <c r="C476" i="11"/>
  <c r="C254" i="11"/>
  <c r="C301" i="11"/>
  <c r="C3" i="11"/>
  <c r="C524" i="11"/>
  <c r="C31" i="11"/>
  <c r="C457" i="11"/>
  <c r="C564" i="11"/>
  <c r="C38" i="11"/>
  <c r="C24" i="11"/>
  <c r="C244" i="11"/>
  <c r="C328" i="11"/>
  <c r="C257" i="11"/>
  <c r="C546" i="11"/>
  <c r="C602" i="11"/>
  <c r="C92" i="11"/>
  <c r="C363" i="11"/>
  <c r="C532" i="11"/>
  <c r="C219" i="11"/>
  <c r="C268" i="11"/>
  <c r="C41" i="11"/>
  <c r="C534" i="11"/>
  <c r="C552" i="11"/>
  <c r="C42" i="11"/>
  <c r="C480" i="11"/>
  <c r="C289" i="11"/>
  <c r="C37" i="11"/>
  <c r="C150" i="11"/>
  <c r="C105" i="11"/>
  <c r="C294" i="11"/>
  <c r="C242" i="11"/>
  <c r="C573" i="11"/>
  <c r="C96" i="11"/>
  <c r="C451" i="11"/>
  <c r="C43" i="11"/>
  <c r="C592" i="11"/>
  <c r="C117" i="11"/>
  <c r="C314" i="11"/>
  <c r="C133" i="11"/>
  <c r="C235" i="11"/>
  <c r="C572" i="11"/>
  <c r="C251" i="11"/>
  <c r="C396" i="11"/>
  <c r="C331" i="11"/>
  <c r="C587" i="11"/>
  <c r="C502" i="11"/>
  <c r="C236" i="11"/>
  <c r="C370" i="11"/>
  <c r="C383" i="11"/>
  <c r="C493" i="11"/>
  <c r="C95" i="11"/>
  <c r="C261" i="11"/>
  <c r="C547" i="11"/>
  <c r="C516" i="11"/>
  <c r="C34" i="11"/>
  <c r="C523" i="11"/>
  <c r="C539" i="11"/>
  <c r="C79" i="11"/>
  <c r="C97" i="11"/>
  <c r="C469" i="11"/>
  <c r="C304" i="11"/>
  <c r="C169" i="11"/>
  <c r="C46" i="11"/>
  <c r="C54" i="11"/>
  <c r="C245" i="11"/>
  <c r="C102" i="11"/>
  <c r="C22" i="11"/>
  <c r="C135" i="11"/>
  <c r="C540" i="11"/>
  <c r="C142" i="11"/>
  <c r="C30" i="11"/>
  <c r="C26" i="11"/>
  <c r="C129" i="11"/>
  <c r="C467" i="11"/>
  <c r="C577" i="11"/>
  <c r="C465" i="11"/>
  <c r="C593" i="11"/>
  <c r="C11" i="11"/>
  <c r="C210" i="11"/>
  <c r="C128" i="11"/>
  <c r="C413" i="11"/>
  <c r="C617" i="11"/>
  <c r="C125" i="11"/>
  <c r="C252" i="11"/>
  <c r="C158" i="11"/>
  <c r="C112" i="11"/>
  <c r="C353" i="11"/>
  <c r="C106" i="11"/>
  <c r="C586" i="11"/>
  <c r="C618" i="11"/>
  <c r="C209" i="11"/>
  <c r="C17" i="11"/>
  <c r="C47" i="11"/>
  <c r="C279" i="11"/>
  <c r="C471" i="11"/>
  <c r="C255" i="11"/>
  <c r="C313" i="11"/>
  <c r="C241" i="11"/>
  <c r="C479" i="11"/>
  <c r="C51" i="11"/>
  <c r="C50" i="11"/>
  <c r="C19" i="11"/>
  <c r="C621" i="11"/>
  <c r="C7" i="11"/>
  <c r="C336" i="11"/>
  <c r="C253" i="11"/>
  <c r="C527" i="11"/>
  <c r="C115" i="11"/>
  <c r="C56" i="11"/>
  <c r="C275" i="11"/>
  <c r="C554" i="11"/>
  <c r="C354" i="11"/>
  <c r="C64" i="11"/>
  <c r="C53" i="11"/>
  <c r="C186" i="11"/>
  <c r="C13" i="11"/>
  <c r="C14" i="11"/>
  <c r="C329" i="11"/>
  <c r="C266" i="11"/>
  <c r="C483" i="11"/>
  <c r="C571" i="11"/>
  <c r="C55" i="11"/>
  <c r="C110" i="11"/>
  <c r="C601" i="11"/>
  <c r="C513" i="11"/>
  <c r="C522" i="11"/>
  <c r="C195" i="11"/>
  <c r="C306" i="11"/>
  <c r="C163" i="11"/>
  <c r="C556" i="11"/>
  <c r="C462" i="11"/>
  <c r="C568" i="11"/>
  <c r="C103" i="11"/>
  <c r="C536" i="11"/>
  <c r="C566" i="11"/>
  <c r="C519" i="11"/>
  <c r="C113" i="11"/>
  <c r="C453" i="11"/>
  <c r="C239" i="11"/>
  <c r="C611" i="11"/>
  <c r="C538" i="11"/>
  <c r="C240" i="11"/>
  <c r="C170" i="11"/>
  <c r="C507" i="11"/>
  <c r="C425" i="11"/>
  <c r="C373" i="11"/>
  <c r="C84" i="11"/>
  <c r="C48" i="11"/>
  <c r="C52" i="11"/>
  <c r="C124" i="11"/>
  <c r="C488" i="11"/>
  <c r="C189" i="11"/>
  <c r="C69" i="11"/>
  <c r="C258" i="11"/>
  <c r="C531" i="11"/>
  <c r="C468" i="11"/>
  <c r="C300" i="11"/>
  <c r="C283" i="11"/>
  <c r="C159" i="11"/>
  <c r="C533" i="11"/>
  <c r="C99" i="11"/>
  <c r="C40" i="11"/>
  <c r="C187" i="11"/>
  <c r="C143" i="11"/>
  <c r="C36" i="11"/>
  <c r="C9" i="11"/>
  <c r="C543" i="11"/>
  <c r="C93" i="11"/>
  <c r="C560" i="11"/>
  <c r="C107" i="11"/>
  <c r="C267" i="11"/>
  <c r="C82" i="11"/>
  <c r="C256" i="11"/>
  <c r="C445" i="11"/>
  <c r="C59" i="11"/>
  <c r="C603" i="11"/>
  <c r="C455" i="11"/>
  <c r="C75" i="11"/>
  <c r="C521" i="11"/>
  <c r="C489" i="11"/>
  <c r="C561" i="11"/>
  <c r="C520" i="11"/>
  <c r="C199" i="11"/>
  <c r="C198" i="11"/>
  <c r="C335" i="11"/>
  <c r="C39" i="11"/>
  <c r="C83" i="11"/>
  <c r="C100" i="11"/>
  <c r="C302" i="11"/>
  <c r="C237" i="11"/>
  <c r="C478" i="11"/>
  <c r="C249" i="11"/>
  <c r="C362" i="11"/>
  <c r="C490" i="11"/>
  <c r="C297" i="11"/>
  <c r="C190" i="11"/>
  <c r="C145" i="11"/>
  <c r="C506" i="11"/>
  <c r="C466" i="11"/>
  <c r="C501" i="11"/>
  <c r="C21" i="11"/>
  <c r="C585" i="11"/>
  <c r="C305" i="11"/>
  <c r="C518" i="11"/>
  <c r="C220" i="11"/>
  <c r="C152" i="11"/>
  <c r="C184" i="11"/>
  <c r="C94" i="11"/>
  <c r="C446" i="11"/>
  <c r="C541" i="11"/>
  <c r="C530" i="11"/>
  <c r="C33" i="11"/>
  <c r="C535" i="11"/>
  <c r="C578" i="11"/>
  <c r="C588" i="11"/>
  <c r="C32" i="11"/>
  <c r="C232" i="11"/>
  <c r="C569" i="11"/>
  <c r="C555" i="11"/>
  <c r="C88" i="11"/>
  <c r="C126" i="11"/>
  <c r="C604" i="11"/>
  <c r="C529" i="11"/>
  <c r="C200" i="11"/>
  <c r="C111" i="11"/>
  <c r="C108" i="11"/>
  <c r="C307" i="11"/>
  <c r="C591" i="11"/>
  <c r="C549" i="11"/>
  <c r="C85" i="11"/>
  <c r="C66" i="11"/>
  <c r="C204" i="11"/>
  <c r="C144" i="11"/>
  <c r="C458" i="11"/>
  <c r="C582" i="11"/>
  <c r="C562" i="11"/>
  <c r="C35" i="11"/>
  <c r="C452" i="11"/>
  <c r="C80" i="11"/>
  <c r="C248" i="11"/>
  <c r="C60" i="11"/>
  <c r="C550" i="11"/>
  <c r="C68" i="11"/>
  <c r="C484" i="11"/>
  <c r="J518" i="10"/>
  <c r="L409" i="10"/>
  <c r="K409" i="10"/>
  <c r="M409" i="10" s="1"/>
  <c r="L530" i="10"/>
  <c r="K530" i="10"/>
  <c r="L427" i="10"/>
  <c r="K427" i="10"/>
  <c r="M427" i="10" s="1"/>
  <c r="K408" i="10"/>
  <c r="M408" i="10" s="1"/>
  <c r="L408" i="10"/>
  <c r="K360" i="10"/>
  <c r="M360" i="10" s="1"/>
  <c r="I600" i="5" s="1"/>
  <c r="L360" i="10"/>
  <c r="L354" i="10"/>
  <c r="K354" i="10"/>
  <c r="M354" i="10" s="1"/>
  <c r="L531" i="10"/>
  <c r="K531" i="10"/>
  <c r="L359" i="10"/>
  <c r="K359" i="10"/>
  <c r="M359" i="10" s="1"/>
  <c r="I599" i="5" s="1"/>
  <c r="L436" i="10"/>
  <c r="K436" i="10"/>
  <c r="M436" i="10" s="1"/>
  <c r="L457" i="10"/>
  <c r="K457" i="10"/>
  <c r="M457" i="10" s="1"/>
  <c r="K432" i="10"/>
  <c r="M432" i="10" s="1"/>
  <c r="L432" i="10"/>
  <c r="L350" i="10"/>
  <c r="K350" i="10"/>
  <c r="M350" i="10" s="1"/>
  <c r="K532" i="10"/>
  <c r="L532" i="10"/>
  <c r="L459" i="10"/>
  <c r="K459" i="10"/>
  <c r="M459" i="10" s="1"/>
  <c r="L351" i="10"/>
  <c r="K351" i="10"/>
  <c r="M351" i="10" s="1"/>
  <c r="K357" i="10"/>
  <c r="M357" i="10" s="1"/>
  <c r="I597" i="5" s="1"/>
  <c r="L357" i="10"/>
  <c r="L468" i="10"/>
  <c r="K468" i="10"/>
  <c r="M468" i="10" s="1"/>
  <c r="K361" i="10"/>
  <c r="M361" i="10" s="1"/>
  <c r="I601" i="5" s="1"/>
  <c r="L361" i="10"/>
  <c r="K352" i="10"/>
  <c r="M352" i="10" s="1"/>
  <c r="L352" i="10"/>
  <c r="L358" i="10"/>
  <c r="K358" i="10"/>
  <c r="M358" i="10" s="1"/>
  <c r="I598" i="5" s="1"/>
  <c r="L512" i="10"/>
  <c r="K512" i="10"/>
  <c r="M512" i="10" s="1"/>
  <c r="K353" i="10"/>
  <c r="M353" i="10" s="1"/>
  <c r="L353" i="10"/>
  <c r="M982" i="3"/>
  <c r="M2208" i="3"/>
  <c r="M2196" i="3"/>
  <c r="M2200" i="3"/>
  <c r="M680" i="3"/>
  <c r="M683" i="3"/>
  <c r="M640" i="3"/>
  <c r="M677" i="3"/>
  <c r="M678" i="3"/>
  <c r="M682" i="3"/>
  <c r="M639" i="3"/>
  <c r="M679" i="3"/>
  <c r="D451" i="11"/>
  <c r="H451" i="11" s="1"/>
  <c r="M2767" i="3"/>
  <c r="J461" i="10" s="1"/>
  <c r="M2568" i="3"/>
  <c r="J460" i="10" s="1"/>
  <c r="M2763" i="3"/>
  <c r="J444" i="10" s="1"/>
  <c r="M2716" i="3"/>
  <c r="M1278" i="3"/>
  <c r="M2563" i="3"/>
  <c r="J423" i="10" s="1"/>
  <c r="M2560" i="3"/>
  <c r="J418" i="10" s="1"/>
  <c r="M2575" i="3"/>
  <c r="J429" i="10" s="1"/>
  <c r="M2562" i="3"/>
  <c r="J422" i="10" s="1"/>
  <c r="M2561" i="3"/>
  <c r="J420" i="10" s="1"/>
  <c r="M899" i="3"/>
  <c r="M2633" i="3"/>
  <c r="M2597" i="3"/>
  <c r="M2721" i="3"/>
  <c r="M2434" i="3"/>
  <c r="M231" i="3"/>
  <c r="M2191" i="3"/>
  <c r="M797" i="3"/>
  <c r="M957" i="3"/>
  <c r="M968" i="3"/>
  <c r="M2687" i="3"/>
  <c r="M2692" i="3"/>
  <c r="M288" i="3"/>
  <c r="M358" i="3"/>
  <c r="M2546" i="3"/>
  <c r="J413" i="10" s="1"/>
  <c r="M878" i="3"/>
  <c r="M1135" i="3"/>
  <c r="M1127" i="3"/>
  <c r="M300" i="3"/>
  <c r="M2771" i="3"/>
  <c r="M2766" i="3"/>
  <c r="J456" i="10" s="1"/>
  <c r="M97" i="3"/>
  <c r="M786" i="3"/>
  <c r="M1959" i="3"/>
  <c r="M1888" i="3"/>
  <c r="M1806" i="3"/>
  <c r="M511" i="3"/>
  <c r="M477" i="3"/>
  <c r="M1667" i="3"/>
  <c r="M236" i="3"/>
  <c r="M194" i="3"/>
  <c r="M208" i="3"/>
  <c r="M156" i="3"/>
  <c r="M2681" i="3"/>
  <c r="M2574" i="3"/>
  <c r="J411" i="10" s="1"/>
  <c r="K2" i="2"/>
  <c r="L2" i="2" s="1"/>
  <c r="M890" i="3"/>
  <c r="M832" i="3"/>
  <c r="M707" i="3"/>
  <c r="M579" i="3"/>
  <c r="M342" i="3"/>
  <c r="M256" i="3"/>
  <c r="M362" i="3"/>
  <c r="M893" i="3"/>
  <c r="M1212" i="3"/>
  <c r="M1154" i="3"/>
  <c r="M366" i="3"/>
  <c r="M254" i="3"/>
  <c r="M1001" i="3"/>
  <c r="M1690" i="3"/>
  <c r="M876" i="3"/>
  <c r="M1671" i="3"/>
  <c r="M869" i="3"/>
  <c r="M2772" i="3"/>
  <c r="M952" i="3"/>
  <c r="M2648" i="3"/>
  <c r="M2717" i="3"/>
  <c r="M2594" i="3"/>
  <c r="M2658" i="3"/>
  <c r="M1279" i="3"/>
  <c r="M2668" i="3"/>
  <c r="M941" i="3"/>
  <c r="M2629" i="3"/>
  <c r="M2731" i="3"/>
  <c r="M2723" i="3"/>
  <c r="M2611" i="3"/>
  <c r="M2599" i="3"/>
  <c r="M881" i="3"/>
  <c r="M195" i="3"/>
  <c r="M888" i="3"/>
  <c r="M160" i="3"/>
  <c r="M2475" i="3"/>
  <c r="M2530" i="3"/>
  <c r="M2503" i="3"/>
  <c r="M2485" i="3"/>
  <c r="M901" i="3"/>
  <c r="M2537" i="3"/>
  <c r="M1666" i="3"/>
  <c r="M1184" i="3"/>
  <c r="M833" i="3"/>
  <c r="M1178" i="3"/>
  <c r="M1246" i="3"/>
  <c r="M1626" i="3"/>
  <c r="M1217" i="3"/>
  <c r="M2494" i="3"/>
  <c r="M134" i="3"/>
  <c r="M1230" i="3"/>
  <c r="M1206" i="3"/>
  <c r="M706" i="3"/>
  <c r="M1533" i="3"/>
  <c r="M743" i="3"/>
  <c r="M583" i="3"/>
  <c r="M1168" i="3"/>
  <c r="M1141" i="3"/>
  <c r="M1131" i="3"/>
  <c r="M1074" i="3"/>
  <c r="M1063" i="3"/>
  <c r="M1108" i="3"/>
  <c r="M350" i="3"/>
  <c r="M304" i="3"/>
  <c r="M320" i="3"/>
  <c r="M985" i="3"/>
  <c r="M269" i="3"/>
  <c r="M1097" i="3"/>
  <c r="M1049" i="3"/>
  <c r="M2773" i="3"/>
  <c r="M970" i="3"/>
  <c r="M2630" i="3"/>
  <c r="M2593" i="3"/>
  <c r="M2724" i="3"/>
  <c r="M923" i="3"/>
  <c r="M2612" i="3"/>
  <c r="M2600" i="3"/>
  <c r="M954" i="3"/>
  <c r="M2718" i="3"/>
  <c r="M2457" i="3"/>
  <c r="M197" i="3"/>
  <c r="M2466" i="3"/>
  <c r="M2450" i="3"/>
  <c r="M2584" i="3"/>
  <c r="M2443" i="3"/>
  <c r="M127" i="3"/>
  <c r="M1665" i="3"/>
  <c r="M2039" i="3"/>
  <c r="M2329" i="3"/>
  <c r="M2101" i="3"/>
  <c r="M636" i="3"/>
  <c r="M1912" i="3"/>
  <c r="M1838" i="3"/>
  <c r="M1050" i="3"/>
  <c r="M527" i="3"/>
  <c r="M331" i="3"/>
  <c r="M428" i="3"/>
  <c r="M319" i="3"/>
  <c r="M279" i="3"/>
  <c r="M2240" i="3"/>
  <c r="M445" i="3"/>
  <c r="M2404" i="3"/>
  <c r="M1354" i="3"/>
  <c r="M1349" i="3"/>
  <c r="M162" i="3"/>
  <c r="M826" i="3"/>
  <c r="M135" i="3"/>
  <c r="M336" i="3"/>
  <c r="M886" i="3"/>
  <c r="M917" i="3"/>
  <c r="M1243" i="3"/>
  <c r="M835" i="3"/>
  <c r="M703" i="3"/>
  <c r="M1165" i="3"/>
  <c r="M696" i="3"/>
  <c r="M995" i="3"/>
  <c r="M341" i="3"/>
  <c r="M2509" i="3"/>
  <c r="M1223" i="3"/>
  <c r="M1236" i="3"/>
  <c r="M1183" i="3"/>
  <c r="M356" i="3"/>
  <c r="M716" i="3"/>
  <c r="M1387" i="3"/>
  <c r="M1392" i="3"/>
  <c r="M1370" i="3"/>
  <c r="M1375" i="3"/>
  <c r="M1366" i="3"/>
  <c r="M1414" i="3"/>
  <c r="M405" i="3"/>
  <c r="M393" i="3"/>
  <c r="M400" i="3"/>
  <c r="M396" i="3"/>
  <c r="M718" i="3"/>
  <c r="M1416" i="3"/>
  <c r="M1377" i="3"/>
  <c r="M407" i="3"/>
  <c r="M2405" i="3"/>
  <c r="M967" i="3"/>
  <c r="M203" i="3"/>
  <c r="M2144" i="3"/>
  <c r="M914" i="3"/>
  <c r="M2393" i="3"/>
  <c r="M2080" i="3"/>
  <c r="M1995" i="3"/>
  <c r="M619" i="3"/>
  <c r="M625" i="3"/>
  <c r="M2050" i="3"/>
  <c r="M1986" i="3"/>
  <c r="M435" i="3"/>
  <c r="M2286" i="3"/>
  <c r="M422" i="3"/>
  <c r="M742" i="3"/>
  <c r="M2377" i="3"/>
  <c r="M2334" i="3"/>
  <c r="M1625" i="3"/>
  <c r="M2370" i="3"/>
  <c r="M2225" i="3"/>
  <c r="M2233" i="3"/>
  <c r="M2271" i="3"/>
  <c r="M2619" i="3"/>
  <c r="M2400" i="3"/>
  <c r="M2383" i="3"/>
  <c r="M748" i="3"/>
  <c r="M2372" i="3"/>
  <c r="M2359" i="3"/>
  <c r="M2253" i="3"/>
  <c r="M2272" i="3"/>
  <c r="M429" i="3"/>
  <c r="M2260" i="3"/>
  <c r="M973" i="3"/>
  <c r="M2369" i="3"/>
  <c r="M2270" i="3"/>
  <c r="M965" i="3"/>
  <c r="M202" i="3"/>
  <c r="M922" i="3"/>
  <c r="M2582" i="3"/>
  <c r="M2458" i="3"/>
  <c r="M2444" i="3"/>
  <c r="M788" i="3"/>
  <c r="M809" i="3"/>
  <c r="M2467" i="3"/>
  <c r="M800" i="3"/>
  <c r="M2451" i="3"/>
  <c r="M2135" i="3"/>
  <c r="M781" i="3"/>
  <c r="M2123" i="3"/>
  <c r="M735" i="3"/>
  <c r="M668" i="3"/>
  <c r="M652" i="3"/>
  <c r="M726" i="3"/>
  <c r="M659" i="3"/>
  <c r="M2100" i="3"/>
  <c r="M2111" i="3"/>
  <c r="M1911" i="3"/>
  <c r="M1952" i="3"/>
  <c r="M1944" i="3"/>
  <c r="M1879" i="3"/>
  <c r="M1837" i="3"/>
  <c r="M1816" i="3"/>
  <c r="M1969" i="3"/>
  <c r="M1961" i="3"/>
  <c r="M1889" i="3"/>
  <c r="M1858" i="3"/>
  <c r="M1774" i="3"/>
  <c r="M1807" i="3"/>
  <c r="M1787" i="3"/>
  <c r="M1828" i="3"/>
  <c r="M1850" i="3"/>
  <c r="M2031" i="3"/>
  <c r="M1934" i="3"/>
  <c r="M1926" i="3"/>
  <c r="M1901" i="3"/>
  <c r="M1870" i="3"/>
  <c r="M1799" i="3"/>
  <c r="M478" i="3"/>
  <c r="M470" i="3"/>
  <c r="M526" i="3"/>
  <c r="M491" i="3"/>
  <c r="M520" i="3"/>
  <c r="M512" i="3"/>
  <c r="M504" i="3"/>
  <c r="M463" i="3"/>
  <c r="M456" i="3"/>
  <c r="M498" i="3"/>
  <c r="M484" i="3"/>
  <c r="M975" i="3"/>
  <c r="M909" i="3"/>
  <c r="M412" i="3"/>
  <c r="M205" i="3"/>
  <c r="M143" i="3"/>
  <c r="M2420" i="3"/>
  <c r="M2423" i="3"/>
  <c r="M2258" i="3"/>
  <c r="M2250" i="3"/>
  <c r="M2239" i="3"/>
  <c r="M2236" i="3"/>
  <c r="M2230" i="3"/>
  <c r="M2274" i="3"/>
  <c r="M2264" i="3"/>
  <c r="M2226" i="3"/>
  <c r="M2166" i="3"/>
  <c r="M2147" i="3"/>
  <c r="M2392" i="3"/>
  <c r="M1917" i="3"/>
  <c r="M1843" i="3"/>
  <c r="M2314" i="3"/>
  <c r="M2317" i="3"/>
  <c r="M2298" i="3"/>
  <c r="M2285" i="3"/>
  <c r="M1918" i="3"/>
  <c r="M1856" i="3"/>
  <c r="M1429" i="3"/>
  <c r="M1346" i="3"/>
  <c r="M1322" i="3"/>
  <c r="M1351" i="3"/>
  <c r="M1340" i="3"/>
  <c r="M2310" i="3"/>
  <c r="M1334" i="3"/>
  <c r="M1310" i="3"/>
  <c r="M1407" i="3"/>
  <c r="M1363" i="3"/>
  <c r="M1299" i="3"/>
  <c r="M1328" i="3"/>
  <c r="M1304" i="3"/>
  <c r="M1401" i="3"/>
  <c r="M1357" i="3"/>
  <c r="M1317" i="3"/>
  <c r="M1390" i="3"/>
  <c r="M1368" i="3"/>
  <c r="M1373" i="3"/>
  <c r="M1420" i="3"/>
  <c r="M1412" i="3"/>
  <c r="M1396" i="3"/>
  <c r="M1379" i="3"/>
  <c r="M2776" i="3"/>
  <c r="M222" i="3"/>
  <c r="M2727" i="3"/>
  <c r="M2194" i="3"/>
  <c r="M2186" i="3"/>
  <c r="M155" i="3"/>
  <c r="M182" i="3"/>
  <c r="M2160" i="3"/>
  <c r="M193" i="3"/>
  <c r="M207" i="3"/>
  <c r="M2167" i="3"/>
  <c r="M2151" i="3"/>
  <c r="M2074" i="3"/>
  <c r="M2058" i="3"/>
  <c r="M2104" i="3"/>
  <c r="M2096" i="3"/>
  <c r="M2116" i="3"/>
  <c r="M2026" i="3"/>
  <c r="M2065" i="3"/>
  <c r="M2036" i="3"/>
  <c r="M1981" i="3"/>
  <c r="M1947" i="3"/>
  <c r="M1919" i="3"/>
  <c r="M1867" i="3"/>
  <c r="M1835" i="3"/>
  <c r="M2044" i="3"/>
  <c r="M1972" i="3"/>
  <c r="M1928" i="3"/>
  <c r="M1895" i="3"/>
  <c r="M1824" i="3"/>
  <c r="M1964" i="3"/>
  <c r="M1954" i="3"/>
  <c r="M1780" i="3"/>
  <c r="M1991" i="3"/>
  <c r="M1886" i="3"/>
  <c r="M2129" i="3"/>
  <c r="M1907" i="3"/>
  <c r="M1876" i="3"/>
  <c r="M1846" i="3"/>
  <c r="M2014" i="3"/>
  <c r="M2008" i="3"/>
  <c r="M1937" i="3"/>
  <c r="M1797" i="3"/>
  <c r="M1855" i="3"/>
  <c r="M1814" i="3"/>
  <c r="M1805" i="3"/>
  <c r="M241" i="3"/>
  <c r="M2193" i="3"/>
  <c r="M2185" i="3"/>
  <c r="M2736" i="3"/>
  <c r="M2680" i="3"/>
  <c r="M2685" i="3"/>
  <c r="M2756" i="3"/>
  <c r="M2742" i="3"/>
  <c r="M2690" i="3"/>
  <c r="M2747" i="3"/>
  <c r="M2695" i="3"/>
  <c r="M2752" i="3"/>
  <c r="M2652" i="3"/>
  <c r="M2760" i="3"/>
  <c r="M2662" i="3"/>
  <c r="M2642" i="3"/>
  <c r="M2715" i="3"/>
  <c r="M2707" i="3"/>
  <c r="M2699" i="3"/>
  <c r="M2675" i="3"/>
  <c r="M1758" i="3"/>
  <c r="M1738" i="3"/>
  <c r="M1730" i="3"/>
  <c r="M1722" i="3"/>
  <c r="M2169" i="3"/>
  <c r="M2153" i="3"/>
  <c r="M1717" i="3"/>
  <c r="M2483" i="3"/>
  <c r="M2511" i="3"/>
  <c r="M1747" i="3"/>
  <c r="M1638" i="3"/>
  <c r="M1240" i="3"/>
  <c r="M1699" i="3"/>
  <c r="M844" i="3"/>
  <c r="M1654" i="3"/>
  <c r="M1228" i="3"/>
  <c r="M2162" i="3"/>
  <c r="M1710" i="3"/>
  <c r="M1645" i="3"/>
  <c r="M1614" i="3"/>
  <c r="M2107" i="3"/>
  <c r="M1577" i="3"/>
  <c r="M1561" i="3"/>
  <c r="M1526" i="3"/>
  <c r="M1477" i="3"/>
  <c r="M1461" i="3"/>
  <c r="M1453" i="3"/>
  <c r="M2073" i="3"/>
  <c r="M2057" i="3"/>
  <c r="M1622" i="3"/>
  <c r="M1425" i="3"/>
  <c r="M1554" i="3"/>
  <c r="M1546" i="3"/>
  <c r="M2043" i="3"/>
  <c r="M1512" i="3"/>
  <c r="M1487" i="3"/>
  <c r="M1539" i="3"/>
  <c r="M2089" i="3"/>
  <c r="M2064" i="3"/>
  <c r="M2023" i="3"/>
  <c r="M2007" i="3"/>
  <c r="M1955" i="3"/>
  <c r="M1939" i="3"/>
  <c r="M1403" i="3"/>
  <c r="M2016" i="3"/>
  <c r="M1949" i="3"/>
  <c r="M1598" i="3"/>
  <c r="M2035" i="3"/>
  <c r="M1974" i="3"/>
  <c r="M1930" i="3"/>
  <c r="M2000" i="3"/>
  <c r="M1966" i="3"/>
  <c r="M1106" i="3"/>
  <c r="M1990" i="3"/>
  <c r="M2267" i="3"/>
  <c r="M1004" i="3"/>
  <c r="M239" i="3"/>
  <c r="M1683" i="3"/>
  <c r="M1705" i="3"/>
  <c r="M1697" i="3"/>
  <c r="M1748" i="3"/>
  <c r="M1759" i="3"/>
  <c r="M1739" i="3"/>
  <c r="M1731" i="3"/>
  <c r="M1723" i="3"/>
  <c r="M1715" i="3"/>
  <c r="M842" i="3"/>
  <c r="M1651" i="3"/>
  <c r="M1643" i="3"/>
  <c r="M1631" i="3"/>
  <c r="M1636" i="3"/>
  <c r="M1559" i="3"/>
  <c r="M1493" i="3"/>
  <c r="M1467" i="3"/>
  <c r="M1459" i="3"/>
  <c r="M1451" i="3"/>
  <c r="M1597" i="3"/>
  <c r="M1517" i="3"/>
  <c r="M1500" i="3"/>
  <c r="M1619" i="3"/>
  <c r="M1566" i="3"/>
  <c r="M1523" i="3"/>
  <c r="M1474" i="3"/>
  <c r="M1602" i="3"/>
  <c r="M1581" i="3"/>
  <c r="M1551" i="3"/>
  <c r="M1543" i="3"/>
  <c r="M1508" i="3"/>
  <c r="M1484" i="3"/>
  <c r="M1536" i="3"/>
  <c r="M1611" i="3"/>
  <c r="M246" i="3"/>
  <c r="M218" i="3"/>
  <c r="M206" i="3"/>
  <c r="M185" i="3"/>
  <c r="M181" i="3"/>
  <c r="M154" i="3"/>
  <c r="M192" i="3"/>
  <c r="M20" i="3"/>
  <c r="M772" i="3"/>
  <c r="M30" i="3"/>
  <c r="M94" i="3"/>
  <c r="M78" i="3"/>
  <c r="M43" i="3"/>
  <c r="M24" i="3"/>
  <c r="M126" i="3"/>
  <c r="M88" i="3"/>
  <c r="M64" i="3"/>
  <c r="M82" i="3"/>
  <c r="M74" i="3"/>
  <c r="M52" i="3"/>
  <c r="M36" i="3"/>
  <c r="M113" i="3"/>
  <c r="M778" i="3"/>
  <c r="M58" i="3"/>
  <c r="M16" i="3"/>
  <c r="M1276" i="3"/>
  <c r="M2513" i="3"/>
  <c r="M1239" i="3"/>
  <c r="M1215" i="3"/>
  <c r="M1204" i="3"/>
  <c r="M1196" i="3"/>
  <c r="M1188" i="3"/>
  <c r="M1259" i="3"/>
  <c r="M1174" i="3"/>
  <c r="M1227" i="3"/>
  <c r="M1157" i="3"/>
  <c r="M1134" i="3"/>
  <c r="M1126" i="3"/>
  <c r="M1162" i="3"/>
  <c r="M1080" i="3"/>
  <c r="M1032" i="3"/>
  <c r="M1069" i="3"/>
  <c r="M1003" i="3"/>
  <c r="M1012" i="3"/>
  <c r="M1023" i="3"/>
  <c r="M993" i="3"/>
  <c r="M1241" i="3"/>
  <c r="M1163" i="3"/>
  <c r="M701" i="3"/>
  <c r="M953" i="3"/>
  <c r="M2614" i="3"/>
  <c r="M2602" i="3"/>
  <c r="M2631" i="3"/>
  <c r="M2719" i="3"/>
  <c r="M2175" i="3"/>
  <c r="M2775" i="3"/>
  <c r="M2726" i="3"/>
  <c r="M2177" i="3"/>
  <c r="M2595" i="3"/>
  <c r="M2587" i="3"/>
  <c r="M2583" i="3"/>
  <c r="M2589" i="3"/>
  <c r="M2585" i="3"/>
  <c r="M2468" i="3"/>
  <c r="M2452" i="3"/>
  <c r="M2445" i="3"/>
  <c r="M2136" i="3"/>
  <c r="M2459" i="3"/>
  <c r="M2138" i="3"/>
  <c r="M956" i="3"/>
  <c r="M2616" i="3"/>
  <c r="M2604" i="3"/>
  <c r="M1668" i="3"/>
  <c r="M145" i="3"/>
  <c r="M2768" i="3"/>
  <c r="J463" i="10" s="1"/>
  <c r="M2569" i="3"/>
  <c r="J462" i="10" s="1"/>
  <c r="M2576" i="3"/>
  <c r="J430" i="10" s="1"/>
  <c r="M753" i="3"/>
  <c r="M699" i="3"/>
  <c r="M433" i="3"/>
  <c r="M2709" i="3"/>
  <c r="M2701" i="3"/>
  <c r="M2439" i="3"/>
  <c r="M2432" i="3"/>
  <c r="M2557" i="3"/>
  <c r="J455" i="10" s="1"/>
  <c r="M106" i="3"/>
  <c r="M259" i="3"/>
  <c r="M2548" i="3"/>
  <c r="J466" i="10" s="1"/>
  <c r="M325" i="3"/>
  <c r="M2696" i="3"/>
  <c r="M327" i="3"/>
  <c r="M2544" i="3"/>
  <c r="J410" i="10" s="1"/>
  <c r="M2388" i="3"/>
  <c r="M752" i="3"/>
  <c r="M1628" i="3"/>
  <c r="M745" i="3"/>
  <c r="M2265" i="3"/>
  <c r="M2641" i="3"/>
  <c r="M2647" i="3"/>
  <c r="M2657" i="3"/>
  <c r="M1763" i="3"/>
  <c r="J557" i="10"/>
  <c r="M2556" i="3"/>
  <c r="J451" i="10" s="1"/>
  <c r="M2558" i="3"/>
  <c r="J447" i="10" s="1"/>
  <c r="M2555" i="3"/>
  <c r="J450" i="10" s="1"/>
  <c r="M157" i="3"/>
  <c r="M2559" i="3"/>
  <c r="J448" i="10" s="1"/>
  <c r="M896" i="3"/>
  <c r="M2554" i="3"/>
  <c r="J449" i="10" s="1"/>
  <c r="M76" i="3"/>
  <c r="M18" i="3"/>
  <c r="M13" i="3"/>
  <c r="M22" i="3"/>
  <c r="M2" i="3"/>
  <c r="M771" i="3"/>
  <c r="M80" i="3"/>
  <c r="M111" i="3"/>
  <c r="M747" i="3"/>
  <c r="J179" i="10" s="1"/>
  <c r="M71" i="3"/>
  <c r="M1583" i="3"/>
  <c r="J271" i="10" s="1"/>
  <c r="M1479" i="3"/>
  <c r="D458" i="11"/>
  <c r="H458" i="11" s="1"/>
  <c r="M543" i="3"/>
  <c r="M2754" i="3"/>
  <c r="M2740" i="3"/>
  <c r="M2688" i="3"/>
  <c r="M2745" i="3"/>
  <c r="M2693" i="3"/>
  <c r="M2750" i="3"/>
  <c r="M2758" i="3"/>
  <c r="M2697" i="3"/>
  <c r="M2678" i="3"/>
  <c r="M2683" i="3"/>
  <c r="M2670" i="3"/>
  <c r="M1661" i="3"/>
  <c r="M1072" i="3"/>
  <c r="M1061" i="3"/>
  <c r="M1147" i="3"/>
  <c r="M1136" i="3"/>
  <c r="M360" i="3"/>
  <c r="M255" i="3"/>
  <c r="M275" i="3"/>
  <c r="M329" i="3"/>
  <c r="M2672" i="3"/>
  <c r="M947" i="3"/>
  <c r="M2661" i="3"/>
  <c r="M972" i="3"/>
  <c r="M2734" i="3"/>
  <c r="M1284" i="3"/>
  <c r="M2651" i="3"/>
  <c r="M161" i="3"/>
  <c r="M904" i="3"/>
  <c r="M201" i="3"/>
  <c r="M892" i="3"/>
  <c r="M2498" i="3"/>
  <c r="M2479" i="3"/>
  <c r="M796" i="3"/>
  <c r="M838" i="3"/>
  <c r="M137" i="3"/>
  <c r="M827" i="3"/>
  <c r="M2508" i="3"/>
  <c r="M2489" i="3"/>
  <c r="M805" i="3"/>
  <c r="M1222" i="3"/>
  <c r="M1235" i="3"/>
  <c r="M1532" i="3"/>
  <c r="M710" i="3"/>
  <c r="M582" i="3"/>
  <c r="M1211" i="3"/>
  <c r="M1182" i="3"/>
  <c r="M1827" i="3"/>
  <c r="M1123" i="3"/>
  <c r="M1078" i="3"/>
  <c r="M1054" i="3"/>
  <c r="M1900" i="3"/>
  <c r="M1067" i="3"/>
  <c r="M1112" i="3"/>
  <c r="M1101" i="3"/>
  <c r="M1172" i="3"/>
  <c r="M1152" i="3"/>
  <c r="M519" i="3"/>
  <c r="M326" i="3"/>
  <c r="M253" i="3"/>
  <c r="M1000" i="3"/>
  <c r="M273" i="3"/>
  <c r="M365" i="3"/>
  <c r="M354" i="3"/>
  <c r="M346" i="3"/>
  <c r="M335" i="3"/>
  <c r="M297" i="3"/>
  <c r="M989" i="3"/>
  <c r="M813" i="3"/>
  <c r="M1882" i="3"/>
  <c r="M1819" i="3"/>
  <c r="M1380" i="3"/>
  <c r="M1904" i="3"/>
  <c r="M1017" i="3"/>
  <c r="M370" i="3"/>
  <c r="M375" i="3"/>
  <c r="M261" i="3"/>
  <c r="M759" i="3"/>
  <c r="J95" i="10" s="1"/>
  <c r="M756" i="3"/>
  <c r="M763" i="3"/>
  <c r="M675" i="3"/>
  <c r="M635" i="3"/>
  <c r="M2245" i="3"/>
  <c r="M427" i="3"/>
  <c r="M449" i="3"/>
  <c r="M421" i="3"/>
  <c r="M266" i="3"/>
  <c r="M1207" i="3"/>
  <c r="M1103" i="3"/>
  <c r="M1160" i="3"/>
  <c r="M991" i="3"/>
  <c r="M2430" i="3"/>
  <c r="M2671" i="3"/>
  <c r="M178" i="3"/>
  <c r="M2418" i="3"/>
  <c r="M814" i="3"/>
  <c r="M2321" i="3"/>
  <c r="M2098" i="3"/>
  <c r="M1588" i="3"/>
  <c r="M597" i="3"/>
  <c r="M1385" i="3"/>
  <c r="M1062" i="3"/>
  <c r="M2356" i="3"/>
  <c r="M594" i="3"/>
  <c r="M1155" i="3"/>
  <c r="M1116" i="3"/>
  <c r="M334" i="3"/>
  <c r="M2281" i="3"/>
  <c r="M258" i="3"/>
  <c r="M1073" i="3"/>
  <c r="M376" i="3"/>
  <c r="M389" i="3"/>
  <c r="M274" i="3"/>
  <c r="M905" i="3"/>
  <c r="M1055" i="3"/>
  <c r="M1280" i="3"/>
  <c r="M2506" i="3"/>
  <c r="M1627" i="3"/>
  <c r="M744" i="3"/>
  <c r="M1220" i="3"/>
  <c r="M1233" i="3"/>
  <c r="M1209" i="3"/>
  <c r="M1177" i="3"/>
  <c r="M1534" i="3"/>
  <c r="M2242" i="3"/>
  <c r="M352" i="3"/>
  <c r="M140" i="3"/>
  <c r="M2304" i="3"/>
  <c r="M382" i="3"/>
  <c r="M1395" i="3"/>
  <c r="M403" i="3"/>
  <c r="M2428" i="3"/>
  <c r="M1257" i="3"/>
  <c r="M674" i="3"/>
  <c r="M2322" i="3"/>
  <c r="M419" i="3"/>
  <c r="M314" i="3"/>
  <c r="M415" i="3"/>
  <c r="M163" i="3"/>
  <c r="M176" i="3"/>
  <c r="M812" i="3"/>
  <c r="M803" i="3"/>
  <c r="M1263" i="3"/>
  <c r="M417" i="3"/>
  <c r="M444" i="3"/>
  <c r="M426" i="3"/>
  <c r="M2241" i="3"/>
  <c r="M2433" i="3"/>
  <c r="M2376" i="3"/>
  <c r="M754" i="3"/>
  <c r="J92" i="10" s="1"/>
  <c r="M2224" i="3"/>
  <c r="M65" i="3"/>
  <c r="M229" i="3"/>
  <c r="M103" i="3"/>
  <c r="M249" i="3"/>
  <c r="M1684" i="3"/>
  <c r="M1741" i="3"/>
  <c r="M1733" i="3"/>
  <c r="M2413" i="3"/>
  <c r="M1658" i="3"/>
  <c r="M1653" i="3"/>
  <c r="M1620" i="3"/>
  <c r="M1524" i="3"/>
  <c r="M1475" i="3"/>
  <c r="M1552" i="3"/>
  <c r="M1544" i="3"/>
  <c r="M1509" i="3"/>
  <c r="M1485" i="3"/>
  <c r="M1612" i="3"/>
  <c r="M1537" i="3"/>
  <c r="M1494" i="3"/>
  <c r="M1585" i="3"/>
  <c r="M1575" i="3"/>
  <c r="M2252" i="3"/>
  <c r="M2518" i="3"/>
  <c r="M2531" i="3"/>
  <c r="M2481" i="3"/>
  <c r="M2512" i="3"/>
  <c r="M2538" i="3"/>
  <c r="M2491" i="3"/>
  <c r="M2524" i="3"/>
  <c r="M2500" i="3"/>
  <c r="M1226" i="3"/>
  <c r="M1238" i="3"/>
  <c r="M1203" i="3"/>
  <c r="M1094" i="3"/>
  <c r="M1046" i="3"/>
  <c r="M1143" i="3"/>
  <c r="M1104" i="3"/>
  <c r="M1114" i="3"/>
  <c r="M1087" i="3"/>
  <c r="M1079" i="3"/>
  <c r="M1039" i="3"/>
  <c r="M1057" i="3"/>
  <c r="M1362" i="3"/>
  <c r="M1298" i="3"/>
  <c r="M1327" i="3"/>
  <c r="M1303" i="3"/>
  <c r="M1356" i="3"/>
  <c r="M1316" i="3"/>
  <c r="M1345" i="3"/>
  <c r="M1321" i="3"/>
  <c r="M1382" i="3"/>
  <c r="M1350" i="3"/>
  <c r="M1339" i="3"/>
  <c r="M2305" i="3"/>
  <c r="M2309" i="3"/>
  <c r="M1333" i="3"/>
  <c r="M1309" i="3"/>
  <c r="M602" i="3"/>
  <c r="M1344" i="3"/>
  <c r="M562" i="3"/>
  <c r="M2313" i="3"/>
  <c r="M2354" i="3"/>
  <c r="M2130" i="3"/>
  <c r="M2117" i="3"/>
  <c r="M1778" i="3"/>
  <c r="M1795" i="3"/>
  <c r="M1844" i="3"/>
  <c r="M1812" i="3"/>
  <c r="M1833" i="3"/>
  <c r="M1822" i="3"/>
  <c r="M1803" i="3"/>
  <c r="M238" i="3"/>
  <c r="M1772" i="3"/>
  <c r="M1766" i="3"/>
  <c r="M1746" i="3"/>
  <c r="M1757" i="3"/>
  <c r="M1737" i="3"/>
  <c r="M1729" i="3"/>
  <c r="M1721" i="3"/>
  <c r="M1689" i="3"/>
  <c r="M1713" i="3"/>
  <c r="M1704" i="3"/>
  <c r="M1696" i="3"/>
  <c r="M1630" i="3"/>
  <c r="M1635" i="3"/>
  <c r="M841" i="3"/>
  <c r="M1657" i="3"/>
  <c r="M1682" i="3"/>
  <c r="M1672" i="3"/>
  <c r="M1650" i="3"/>
  <c r="M1580" i="3"/>
  <c r="M1550" i="3"/>
  <c r="M1542" i="3"/>
  <c r="M1610" i="3"/>
  <c r="M1507" i="3"/>
  <c r="M1483" i="3"/>
  <c r="M1589" i="3"/>
  <c r="M1535" i="3"/>
  <c r="M1594" i="3"/>
  <c r="M1579" i="3"/>
  <c r="M1558" i="3"/>
  <c r="M1492" i="3"/>
  <c r="M1642" i="3"/>
  <c r="M1466" i="3"/>
  <c r="M1458" i="3"/>
  <c r="M1450" i="3"/>
  <c r="M1618" i="3"/>
  <c r="M1516" i="3"/>
  <c r="M1499" i="3"/>
  <c r="M1565" i="3"/>
  <c r="M1522" i="3"/>
  <c r="M1473" i="3"/>
  <c r="M1601" i="3"/>
  <c r="M2216" i="3"/>
  <c r="J355" i="10" s="1"/>
  <c r="M821" i="3"/>
  <c r="J89" i="10" s="1"/>
  <c r="M959" i="3"/>
  <c r="M2426" i="3"/>
  <c r="M214" i="3"/>
  <c r="M41" i="3"/>
  <c r="M57" i="3"/>
  <c r="M29" i="3"/>
  <c r="M93" i="3"/>
  <c r="M87" i="3"/>
  <c r="M63" i="3"/>
  <c r="M1784" i="3"/>
  <c r="M2291" i="3"/>
  <c r="M2295" i="3"/>
  <c r="M2277" i="3"/>
  <c r="M2282" i="3"/>
  <c r="M2300" i="3"/>
  <c r="M2407" i="3"/>
  <c r="M913" i="3"/>
  <c r="M1750" i="3"/>
  <c r="M1761" i="3"/>
  <c r="M1725" i="3"/>
  <c r="M2399" i="3"/>
  <c r="M2414" i="3"/>
  <c r="M663" i="3"/>
  <c r="M655" i="3"/>
  <c r="M2345" i="3"/>
  <c r="M2347" i="3"/>
  <c r="M2095" i="3"/>
  <c r="M2086" i="3"/>
  <c r="M1958" i="3"/>
  <c r="M2025" i="3"/>
  <c r="M2257" i="3"/>
  <c r="M2209" i="3"/>
  <c r="J356" i="10" s="1"/>
  <c r="M820" i="3"/>
  <c r="J88" i="10" s="1"/>
  <c r="M2401" i="3"/>
  <c r="M436" i="3"/>
  <c r="M2613" i="3"/>
  <c r="M2601" i="3"/>
  <c r="M2366" i="3"/>
  <c r="M2268" i="3"/>
  <c r="M2720" i="3"/>
  <c r="M2632" i="3"/>
  <c r="M2596" i="3"/>
  <c r="M2446" i="3"/>
  <c r="M2469" i="3"/>
  <c r="M2460" i="3"/>
  <c r="M2453" i="3"/>
  <c r="M2774" i="3"/>
  <c r="M2725" i="3"/>
  <c r="M2591" i="3"/>
  <c r="M247" i="3"/>
  <c r="M223" i="3"/>
  <c r="M2620" i="3"/>
  <c r="M2607" i="3"/>
  <c r="M2712" i="3"/>
  <c r="M2704" i="3"/>
  <c r="M822" i="3"/>
  <c r="M2637" i="3"/>
  <c r="M2634" i="3"/>
  <c r="M2708" i="3"/>
  <c r="M2700" i="3"/>
  <c r="M2549" i="3"/>
  <c r="J467" i="10" s="1"/>
  <c r="M2547" i="3"/>
  <c r="J464" i="10" s="1"/>
  <c r="H538" i="5" s="1"/>
  <c r="M1202" i="3"/>
  <c r="M1194" i="3"/>
  <c r="M578" i="3"/>
  <c r="M1528" i="3"/>
  <c r="M2738" i="3"/>
  <c r="M2743" i="3"/>
  <c r="M2543" i="3"/>
  <c r="J406" i="10" s="1"/>
  <c r="M243" i="3"/>
  <c r="M2765" i="3"/>
  <c r="J514" i="10" s="1"/>
  <c r="M215" i="3"/>
  <c r="M2553" i="3"/>
  <c r="J454" i="10" s="1"/>
  <c r="M2550" i="3"/>
  <c r="J452" i="10" s="1"/>
  <c r="M2552" i="3"/>
  <c r="J453" i="10" s="1"/>
  <c r="M2761" i="3"/>
  <c r="J498" i="10" s="1"/>
  <c r="M2762" i="3"/>
  <c r="M2757" i="3"/>
  <c r="M2318" i="3"/>
  <c r="M534" i="3"/>
  <c r="M2778" i="3"/>
  <c r="M2664" i="3"/>
  <c r="M2737" i="3"/>
  <c r="M2729" i="3"/>
  <c r="M2654" i="3"/>
  <c r="M2644" i="3"/>
  <c r="J552" i="10"/>
  <c r="M761" i="3"/>
  <c r="M872" i="3"/>
  <c r="M755" i="3"/>
  <c r="M1137" i="3"/>
  <c r="M447" i="3"/>
  <c r="M299" i="3"/>
  <c r="M1176" i="3"/>
  <c r="M1158" i="3"/>
  <c r="M868" i="3"/>
  <c r="M907" i="3"/>
  <c r="M898" i="3"/>
  <c r="M877" i="3"/>
  <c r="M775" i="3"/>
  <c r="M830" i="3"/>
  <c r="M574" i="3"/>
  <c r="M566" i="3"/>
  <c r="M676" i="3"/>
  <c r="J46" i="10" s="1"/>
  <c r="M606" i="3"/>
  <c r="M538" i="3"/>
  <c r="M559" i="3"/>
  <c r="M555" i="3"/>
  <c r="M291" i="3"/>
  <c r="M974" i="3"/>
  <c r="M1277" i="3"/>
  <c r="M2732" i="3"/>
  <c r="M2649" i="3"/>
  <c r="M2659" i="3"/>
  <c r="M912" i="3"/>
  <c r="M1200" i="3"/>
  <c r="M1192" i="3"/>
  <c r="M852" i="3"/>
  <c r="M1255" i="3"/>
  <c r="M1180" i="3"/>
  <c r="M711" i="3"/>
  <c r="M634" i="3"/>
  <c r="M1086" i="3"/>
  <c r="M1038" i="3"/>
  <c r="M1029" i="3"/>
  <c r="M1021" i="3"/>
  <c r="M1124" i="3"/>
  <c r="M2327" i="3"/>
  <c r="M374" i="3"/>
  <c r="M286" i="3"/>
  <c r="M328" i="3"/>
  <c r="M312" i="3"/>
  <c r="M2290" i="3"/>
  <c r="M2244" i="3"/>
  <c r="M295" i="3"/>
  <c r="M416" i="3"/>
  <c r="M443" i="3"/>
  <c r="M413" i="3"/>
  <c r="M264" i="3"/>
  <c r="M348" i="3"/>
  <c r="M945" i="3"/>
  <c r="M1282" i="3"/>
  <c r="M964" i="3"/>
  <c r="M2490" i="3"/>
  <c r="M2499" i="3"/>
  <c r="M883" i="3"/>
  <c r="M2480" i="3"/>
  <c r="M204" i="3"/>
  <c r="M188" i="3"/>
  <c r="M144" i="3"/>
  <c r="M1179" i="3"/>
  <c r="M823" i="3"/>
  <c r="M109" i="3"/>
  <c r="M104" i="3"/>
  <c r="M1110" i="3"/>
  <c r="M1307" i="3"/>
  <c r="M1142" i="3"/>
  <c r="M1132" i="3"/>
  <c r="M1121" i="3"/>
  <c r="M1076" i="3"/>
  <c r="M271" i="3"/>
  <c r="M351" i="3"/>
  <c r="M305" i="3"/>
  <c r="M1065" i="3"/>
  <c r="M284" i="3"/>
  <c r="M198" i="3"/>
  <c r="M2189" i="3"/>
  <c r="M2181" i="3"/>
  <c r="M2157" i="3"/>
  <c r="M2159" i="3"/>
  <c r="M2137" i="3"/>
  <c r="M799" i="3"/>
  <c r="M780" i="3"/>
  <c r="M787" i="3"/>
  <c r="M808" i="3"/>
  <c r="M658" i="3"/>
  <c r="M727" i="3"/>
  <c r="M2112" i="3"/>
  <c r="M2093" i="3"/>
  <c r="M2003" i="3"/>
  <c r="M2013" i="3"/>
  <c r="M667" i="3"/>
  <c r="M651" i="3"/>
  <c r="M629" i="3"/>
  <c r="M2067" i="3"/>
  <c r="M2124" i="3"/>
  <c r="M736" i="3"/>
  <c r="M612" i="3"/>
  <c r="M2030" i="3"/>
  <c r="M2018" i="3"/>
  <c r="M1890" i="3"/>
  <c r="M1859" i="3"/>
  <c r="M1808" i="3"/>
  <c r="M1788" i="3"/>
  <c r="M1933" i="3"/>
  <c r="M1925" i="3"/>
  <c r="M1829" i="3"/>
  <c r="M1851" i="3"/>
  <c r="M1800" i="3"/>
  <c r="M1980" i="3"/>
  <c r="M1978" i="3"/>
  <c r="M1951" i="3"/>
  <c r="M1943" i="3"/>
  <c r="M1902" i="3"/>
  <c r="M1871" i="3"/>
  <c r="M1968" i="3"/>
  <c r="M1960" i="3"/>
  <c r="M1880" i="3"/>
  <c r="M1817" i="3"/>
  <c r="M1775" i="3"/>
  <c r="M492" i="3"/>
  <c r="M521" i="3"/>
  <c r="M513" i="3"/>
  <c r="M505" i="3"/>
  <c r="M464" i="3"/>
  <c r="M457" i="3"/>
  <c r="M499" i="3"/>
  <c r="M485" i="3"/>
  <c r="M479" i="3"/>
  <c r="M471" i="3"/>
  <c r="M139" i="3"/>
  <c r="M337" i="3"/>
  <c r="M887" i="3"/>
  <c r="M1660" i="3"/>
  <c r="M1244" i="3"/>
  <c r="M837" i="3"/>
  <c r="M1166" i="3"/>
  <c r="M1530" i="3"/>
  <c r="M580" i="3"/>
  <c r="M704" i="3"/>
  <c r="M997" i="3"/>
  <c r="M343" i="3"/>
  <c r="M130" i="3"/>
  <c r="M368" i="3"/>
  <c r="M1015" i="3"/>
  <c r="M873" i="3"/>
  <c r="M722" i="3"/>
  <c r="M1421" i="3"/>
  <c r="M1378" i="3"/>
  <c r="M2248" i="3"/>
  <c r="M408" i="3"/>
  <c r="M721" i="3"/>
  <c r="M1419" i="3"/>
  <c r="M1389" i="3"/>
  <c r="M1360" i="3"/>
  <c r="M398" i="3"/>
  <c r="M2358" i="3"/>
  <c r="M1782" i="3"/>
  <c r="M411" i="3"/>
  <c r="M2289" i="3"/>
  <c r="M969" i="3"/>
  <c r="M960" i="3"/>
  <c r="M2394" i="3"/>
  <c r="M2385" i="3"/>
  <c r="M2361" i="3"/>
  <c r="M749" i="3"/>
  <c r="M2261" i="3"/>
  <c r="M2254" i="3"/>
  <c r="M430" i="3"/>
  <c r="M2435" i="3"/>
  <c r="M847" i="3"/>
  <c r="M690" i="3"/>
  <c r="M719" i="3"/>
  <c r="M1417" i="3"/>
  <c r="M409" i="3"/>
  <c r="M2411" i="3"/>
  <c r="M2371" i="3"/>
  <c r="M695" i="3"/>
  <c r="M767" i="3"/>
  <c r="J94" i="10" s="1"/>
  <c r="M760" i="3"/>
  <c r="J93" i="10" s="1"/>
  <c r="M165" i="3"/>
  <c r="M138" i="3"/>
  <c r="M142" i="3"/>
  <c r="M230" i="3"/>
  <c r="M101" i="3"/>
  <c r="M221" i="3"/>
  <c r="M2621" i="3"/>
  <c r="M2608" i="3"/>
  <c r="M2164" i="3"/>
  <c r="M2150" i="3"/>
  <c r="M2419" i="3"/>
  <c r="M2382" i="3"/>
  <c r="M2380" i="3"/>
  <c r="M2368" i="3"/>
  <c r="M2337" i="3"/>
  <c r="M2342" i="3"/>
  <c r="M1864" i="3"/>
  <c r="M1793" i="3"/>
  <c r="M2229" i="3"/>
  <c r="M2247" i="3"/>
  <c r="M2235" i="3"/>
  <c r="M212" i="3"/>
  <c r="M1887" i="3"/>
  <c r="M1845" i="3"/>
  <c r="M1908" i="3"/>
  <c r="M1877" i="3"/>
  <c r="M1868" i="3"/>
  <c r="M1896" i="3"/>
  <c r="M1335" i="3"/>
  <c r="M1311" i="3"/>
  <c r="M1408" i="3"/>
  <c r="M1364" i="3"/>
  <c r="M1300" i="3"/>
  <c r="M1329" i="3"/>
  <c r="M1305" i="3"/>
  <c r="M1402" i="3"/>
  <c r="M1383" i="3"/>
  <c r="M1358" i="3"/>
  <c r="M1318" i="3"/>
  <c r="M1347" i="3"/>
  <c r="M1323" i="3"/>
  <c r="M1352" i="3"/>
  <c r="M1341" i="3"/>
  <c r="M2438" i="3"/>
  <c r="M2145" i="3"/>
  <c r="M510" i="3"/>
  <c r="M476" i="3"/>
  <c r="M2103" i="3"/>
  <c r="M1936" i="3"/>
  <c r="M1946" i="3"/>
  <c r="M1971" i="3"/>
  <c r="M1927" i="3"/>
  <c r="M1963" i="3"/>
  <c r="M1953" i="3"/>
  <c r="M2192" i="3"/>
  <c r="M2184" i="3"/>
  <c r="M2161" i="3"/>
  <c r="M2168" i="3"/>
  <c r="M2152" i="3"/>
  <c r="M2088" i="3"/>
  <c r="M2063" i="3"/>
  <c r="M2051" i="3"/>
  <c r="M2041" i="3"/>
  <c r="M2005" i="3"/>
  <c r="M2097" i="3"/>
  <c r="M2081" i="3"/>
  <c r="M2072" i="3"/>
  <c r="M2056" i="3"/>
  <c r="M1997" i="3"/>
  <c r="M2022" i="3"/>
  <c r="M2015" i="3"/>
  <c r="M1982" i="3"/>
  <c r="M2033" i="3"/>
  <c r="M1988" i="3"/>
  <c r="M240" i="3"/>
  <c r="M1764" i="3"/>
  <c r="M224" i="3"/>
  <c r="M1771" i="3"/>
  <c r="M1708" i="3"/>
  <c r="M1698" i="3"/>
  <c r="M1749" i="3"/>
  <c r="M1716" i="3"/>
  <c r="M2424" i="3"/>
  <c r="M1760" i="3"/>
  <c r="M1740" i="3"/>
  <c r="M1732" i="3"/>
  <c r="M1724" i="3"/>
  <c r="M1685" i="3"/>
  <c r="M2421" i="3"/>
  <c r="M1250" i="3"/>
  <c r="M1652" i="3"/>
  <c r="M1644" i="3"/>
  <c r="M1632" i="3"/>
  <c r="M1637" i="3"/>
  <c r="M843" i="3"/>
  <c r="M42" i="3"/>
  <c r="M1659" i="3"/>
  <c r="M1621" i="3"/>
  <c r="M1613" i="3"/>
  <c r="M1175" i="3"/>
  <c r="M1567" i="3"/>
  <c r="M1511" i="3"/>
  <c r="M1486" i="3"/>
  <c r="M1538" i="3"/>
  <c r="M1495" i="3"/>
  <c r="M1603" i="3"/>
  <c r="M1591" i="3"/>
  <c r="M1576" i="3"/>
  <c r="M1596" i="3"/>
  <c r="M1560" i="3"/>
  <c r="M1525" i="3"/>
  <c r="M1476" i="3"/>
  <c r="M1468" i="3"/>
  <c r="M1460" i="3"/>
  <c r="M1452" i="3"/>
  <c r="M1545" i="3"/>
  <c r="M1501" i="3"/>
  <c r="M1024" i="3"/>
  <c r="M1553" i="3"/>
  <c r="M1518" i="3"/>
  <c r="M2266" i="3"/>
  <c r="M2539" i="3"/>
  <c r="M2492" i="3"/>
  <c r="M2525" i="3"/>
  <c r="M2501" i="3"/>
  <c r="M2519" i="3"/>
  <c r="M2482" i="3"/>
  <c r="M2532" i="3"/>
  <c r="M1115" i="3"/>
  <c r="M1088" i="3"/>
  <c r="M1040" i="3"/>
  <c r="M1058" i="3"/>
  <c r="M1095" i="3"/>
  <c r="M1047" i="3"/>
  <c r="M1144" i="3"/>
  <c r="M1105" i="3"/>
  <c r="M2365" i="3"/>
  <c r="M2378" i="3"/>
  <c r="M2374" i="3"/>
  <c r="M2389" i="3"/>
  <c r="M2326" i="3"/>
  <c r="M2331" i="3"/>
  <c r="M2338" i="3"/>
  <c r="M2343" i="3"/>
  <c r="M2615" i="3"/>
  <c r="M2603" i="3"/>
  <c r="M199" i="3"/>
  <c r="M105" i="3"/>
  <c r="M2566" i="3"/>
  <c r="J458" i="10" s="1"/>
  <c r="M942" i="3"/>
  <c r="M889" i="3"/>
  <c r="M2495" i="3"/>
  <c r="M2476" i="3"/>
  <c r="M2505" i="3"/>
  <c r="M2486" i="3"/>
  <c r="M834" i="3"/>
  <c r="M1232" i="3"/>
  <c r="M849" i="3"/>
  <c r="M1219" i="3"/>
  <c r="M1128" i="3"/>
  <c r="M1051" i="3"/>
  <c r="M1150" i="3"/>
  <c r="M1098" i="3"/>
  <c r="M1139" i="3"/>
  <c r="M323" i="3"/>
  <c r="M363" i="3"/>
  <c r="M330" i="3"/>
  <c r="M292" i="3"/>
  <c r="M986" i="3"/>
  <c r="M2733" i="3"/>
  <c r="M2669" i="3"/>
  <c r="M2650" i="3"/>
  <c r="M2660" i="3"/>
  <c r="M1283" i="3"/>
  <c r="M971" i="3"/>
  <c r="M944" i="3"/>
  <c r="M2507" i="3"/>
  <c r="M2488" i="3"/>
  <c r="M891" i="3"/>
  <c r="M2497" i="3"/>
  <c r="M164" i="3"/>
  <c r="M902" i="3"/>
  <c r="M200" i="3"/>
  <c r="M882" i="3"/>
  <c r="M141" i="3"/>
  <c r="M839" i="3"/>
  <c r="M804" i="3"/>
  <c r="M1221" i="3"/>
  <c r="M1234" i="3"/>
  <c r="M1210" i="3"/>
  <c r="M1181" i="3"/>
  <c r="M2478" i="3"/>
  <c r="M795" i="3"/>
  <c r="M1201" i="3"/>
  <c r="M1193" i="3"/>
  <c r="M853" i="3"/>
  <c r="M1171" i="3"/>
  <c r="M638" i="3"/>
  <c r="M1151" i="3"/>
  <c r="M1826" i="3"/>
  <c r="M1130" i="3"/>
  <c r="M1122" i="3"/>
  <c r="M1077" i="3"/>
  <c r="M1053" i="3"/>
  <c r="M1899" i="3"/>
  <c r="M1066" i="3"/>
  <c r="M1111" i="3"/>
  <c r="M709" i="3"/>
  <c r="M1100" i="3"/>
  <c r="M296" i="3"/>
  <c r="M988" i="3"/>
  <c r="M301" i="3"/>
  <c r="M518" i="3"/>
  <c r="M252" i="3"/>
  <c r="M999" i="3"/>
  <c r="M272" i="3"/>
  <c r="M425" i="3"/>
  <c r="M332" i="3"/>
  <c r="M324" i="3"/>
  <c r="M364" i="3"/>
  <c r="M353" i="3"/>
  <c r="M345" i="3"/>
  <c r="M2431" i="3"/>
  <c r="M2408" i="3"/>
  <c r="M673" i="3"/>
  <c r="M2323" i="3"/>
  <c r="M2346" i="3"/>
  <c r="M1159" i="3"/>
  <c r="M420" i="3"/>
  <c r="M2287" i="3"/>
  <c r="M453" i="3"/>
  <c r="M943" i="3"/>
  <c r="M2176" i="3"/>
  <c r="M926" i="3"/>
  <c r="M2436" i="3"/>
  <c r="M179" i="3"/>
  <c r="M2523" i="3"/>
  <c r="M2462" i="3"/>
  <c r="M2536" i="3"/>
  <c r="M2517" i="3"/>
  <c r="M2448" i="3"/>
  <c r="M885" i="3"/>
  <c r="M2487" i="3"/>
  <c r="M910" i="3"/>
  <c r="M2496" i="3"/>
  <c r="M2477" i="3"/>
  <c r="M2588" i="3"/>
  <c r="M2529" i="3"/>
  <c r="M815" i="3"/>
  <c r="M1208" i="3"/>
  <c r="M801" i="3"/>
  <c r="M2471" i="3"/>
  <c r="M2455" i="3"/>
  <c r="M854" i="3"/>
  <c r="M784" i="3"/>
  <c r="M848" i="3"/>
  <c r="M1198" i="3"/>
  <c r="M1190" i="3"/>
  <c r="M1185" i="3"/>
  <c r="M810" i="3"/>
  <c r="M730" i="3"/>
  <c r="M2127" i="3"/>
  <c r="M739" i="3"/>
  <c r="M2115" i="3"/>
  <c r="M1915" i="3"/>
  <c r="M1811" i="3"/>
  <c r="M1791" i="3"/>
  <c r="M1841" i="3"/>
  <c r="M1832" i="3"/>
  <c r="M1099" i="3"/>
  <c r="M1075" i="3"/>
  <c r="M1905" i="3"/>
  <c r="M1874" i="3"/>
  <c r="M1140" i="3"/>
  <c r="M1064" i="3"/>
  <c r="M1384" i="3"/>
  <c r="M1109" i="3"/>
  <c r="M1093" i="3"/>
  <c r="M1085" i="3"/>
  <c r="M1045" i="3"/>
  <c r="M1037" i="3"/>
  <c r="M1028" i="3"/>
  <c r="M1883" i="3"/>
  <c r="M1853" i="3"/>
  <c r="M1820" i="3"/>
  <c r="M1010" i="3"/>
  <c r="M1893" i="3"/>
  <c r="M1862" i="3"/>
  <c r="M1777" i="3"/>
  <c r="M1129" i="3"/>
  <c r="M1052" i="3"/>
  <c r="M495" i="3"/>
  <c r="M524" i="3"/>
  <c r="M516" i="3"/>
  <c r="M508" i="3"/>
  <c r="M355" i="3"/>
  <c r="M293" i="3"/>
  <c r="M467" i="3"/>
  <c r="M379" i="3"/>
  <c r="M502" i="3"/>
  <c r="M333" i="3"/>
  <c r="M317" i="3"/>
  <c r="M303" i="3"/>
  <c r="M280" i="3"/>
  <c r="M270" i="3"/>
  <c r="M987" i="3"/>
  <c r="M482" i="3"/>
  <c r="M474" i="3"/>
  <c r="M459" i="3"/>
  <c r="M487" i="3"/>
  <c r="M530" i="3"/>
  <c r="M321" i="3"/>
  <c r="M136" i="3"/>
  <c r="M1256" i="3"/>
  <c r="M1020" i="3"/>
  <c r="M298" i="3"/>
  <c r="M265" i="3"/>
  <c r="M373" i="3"/>
  <c r="M313" i="3"/>
  <c r="M2429" i="3"/>
  <c r="M915" i="3"/>
  <c r="M2403" i="3"/>
  <c r="M2396" i="3"/>
  <c r="M2360" i="3"/>
  <c r="M846" i="3"/>
  <c r="M2384" i="3"/>
  <c r="M2355" i="3"/>
  <c r="M2333" i="3"/>
  <c r="M2276" i="3"/>
  <c r="M438" i="3"/>
  <c r="M2280" i="3"/>
  <c r="M2294" i="3"/>
  <c r="M2232" i="3"/>
  <c r="M2534" i="3"/>
  <c r="M2515" i="3"/>
  <c r="M2527" i="3"/>
  <c r="M196" i="3"/>
  <c r="M2521" i="3"/>
  <c r="M129" i="3"/>
  <c r="M1090" i="3"/>
  <c r="M1082" i="3"/>
  <c r="M1042" i="3"/>
  <c r="M1034" i="3"/>
  <c r="M318" i="3"/>
  <c r="M281" i="3"/>
  <c r="M1007" i="3"/>
  <c r="M257" i="3"/>
  <c r="M359" i="3"/>
  <c r="M825" i="3"/>
  <c r="M338" i="3"/>
  <c r="M911" i="3"/>
  <c r="M1245" i="3"/>
  <c r="M692" i="3"/>
  <c r="M713" i="3"/>
  <c r="M705" i="3"/>
  <c r="M688" i="3"/>
  <c r="M601" i="3"/>
  <c r="M1376" i="3"/>
  <c r="M1338" i="3"/>
  <c r="M1332" i="3"/>
  <c r="M1167" i="3"/>
  <c r="M717" i="3"/>
  <c r="M1410" i="3"/>
  <c r="M1367" i="3"/>
  <c r="M1361" i="3"/>
  <c r="M1415" i="3"/>
  <c r="M1326" i="3"/>
  <c r="M1302" i="3"/>
  <c r="M1388" i="3"/>
  <c r="M1393" i="3"/>
  <c r="M1371" i="3"/>
  <c r="M998" i="3"/>
  <c r="M344" i="3"/>
  <c r="M401" i="3"/>
  <c r="M397" i="3"/>
  <c r="M406" i="3"/>
  <c r="M394" i="3"/>
  <c r="M600" i="3"/>
  <c r="M689" i="3"/>
  <c r="M1343" i="3"/>
  <c r="M1297" i="3"/>
  <c r="M2303" i="3"/>
  <c r="M1355" i="3"/>
  <c r="M1315" i="3"/>
  <c r="M381" i="3"/>
  <c r="M720" i="3"/>
  <c r="M1418" i="3"/>
  <c r="M1372" i="3"/>
  <c r="M1331" i="3"/>
  <c r="M948" i="3"/>
  <c r="M916" i="3"/>
  <c r="M2402" i="3"/>
  <c r="M2332" i="3"/>
  <c r="M694" i="3"/>
  <c r="M2231" i="3"/>
  <c r="M434" i="3"/>
  <c r="M446" i="3"/>
  <c r="M423" i="3"/>
  <c r="M977" i="3"/>
  <c r="M2395" i="3"/>
  <c r="M751" i="3"/>
  <c r="M857" i="3"/>
  <c r="M2387" i="3"/>
  <c r="M840" i="3"/>
  <c r="M2363" i="3"/>
  <c r="M697" i="3"/>
  <c r="M432" i="3"/>
  <c r="M2263" i="3"/>
  <c r="M2255" i="3"/>
  <c r="M450" i="3"/>
  <c r="M2243" i="3"/>
  <c r="M2666" i="3"/>
  <c r="M637" i="3"/>
  <c r="M2328" i="3"/>
  <c r="M2710" i="3"/>
  <c r="M2702" i="3"/>
  <c r="M2636" i="3"/>
  <c r="M158" i="3"/>
  <c r="M824" i="3"/>
  <c r="M131" i="3"/>
  <c r="M132" i="3"/>
  <c r="M228" i="3"/>
  <c r="M102" i="3"/>
  <c r="M2412" i="3"/>
  <c r="M2714" i="3"/>
  <c r="M2706" i="3"/>
  <c r="M2645" i="3"/>
  <c r="M2655" i="3"/>
  <c r="M2665" i="3"/>
  <c r="M1785" i="3"/>
  <c r="M2296" i="3"/>
  <c r="M2278" i="3"/>
  <c r="M2283" i="3"/>
  <c r="M2301" i="3"/>
  <c r="M2292" i="3"/>
  <c r="M2259" i="3"/>
  <c r="M1187" i="3"/>
  <c r="M1258" i="3"/>
  <c r="M1214" i="3"/>
  <c r="M1173" i="3"/>
  <c r="M1195" i="3"/>
  <c r="M1022" i="3"/>
  <c r="M1156" i="3"/>
  <c r="M1133" i="3"/>
  <c r="M1125" i="3"/>
  <c r="M1161" i="3"/>
  <c r="M1030" i="3"/>
  <c r="M1068" i="3"/>
  <c r="M992" i="3"/>
  <c r="M1002" i="3"/>
  <c r="M1011" i="3"/>
  <c r="M1445" i="3"/>
  <c r="M1441" i="3"/>
  <c r="M2118" i="3"/>
  <c r="M2131" i="3"/>
  <c r="M1432" i="3"/>
  <c r="M1436" i="3"/>
  <c r="M1796" i="3"/>
  <c r="M1813" i="3"/>
  <c r="M1834" i="3"/>
  <c r="M1804" i="3"/>
  <c r="M1823" i="3"/>
  <c r="M1779" i="3"/>
  <c r="M1314" i="3"/>
  <c r="M1308" i="3"/>
  <c r="M1428" i="3"/>
  <c r="M1406" i="3"/>
  <c r="M1424" i="3"/>
  <c r="M1400" i="3"/>
  <c r="M1906" i="3"/>
  <c r="M1875" i="3"/>
  <c r="M1854" i="3"/>
  <c r="M1866" i="3"/>
  <c r="M1920" i="3"/>
  <c r="M1894" i="3"/>
  <c r="M1885" i="3"/>
  <c r="M617" i="3"/>
  <c r="M624" i="3"/>
  <c r="M2049" i="3"/>
  <c r="M2079" i="3"/>
  <c r="M1985" i="3"/>
  <c r="M1994" i="3"/>
  <c r="M963" i="3"/>
  <c r="M1531" i="3"/>
  <c r="M581" i="3"/>
  <c r="M242" i="3"/>
  <c r="M1765" i="3"/>
  <c r="M1714" i="3"/>
  <c r="M1745" i="3"/>
  <c r="M1700" i="3"/>
  <c r="M1756" i="3"/>
  <c r="M1691" i="3"/>
  <c r="M1646" i="3"/>
  <c r="M1675" i="3"/>
  <c r="M1634" i="3"/>
  <c r="M794" i="3"/>
  <c r="M1604" i="3"/>
  <c r="M1462" i="3"/>
  <c r="M1454" i="3"/>
  <c r="M2319" i="3"/>
  <c r="J371" i="10" s="1"/>
  <c r="M1469" i="3"/>
  <c r="M1519" i="3"/>
  <c r="M1502" i="3"/>
  <c r="M1562" i="3"/>
  <c r="M1247" i="3"/>
  <c r="M1169" i="3"/>
  <c r="M1529" i="3"/>
  <c r="M1149" i="3"/>
  <c r="M996" i="3"/>
  <c r="M933" i="3"/>
  <c r="M936" i="3"/>
  <c r="M1446" i="3"/>
  <c r="M1442" i="3"/>
  <c r="M1433" i="3"/>
  <c r="M1437" i="3"/>
  <c r="M128" i="3"/>
  <c r="M836" i="3"/>
  <c r="M856" i="3"/>
  <c r="M2618" i="3"/>
  <c r="M2606" i="3"/>
  <c r="M819" i="3"/>
  <c r="J87" i="10" s="1"/>
  <c r="M2210" i="3"/>
  <c r="J349" i="10" s="1"/>
  <c r="M2410" i="3"/>
  <c r="M2777" i="3"/>
  <c r="M2728" i="3"/>
  <c r="M2759" i="3"/>
  <c r="M2653" i="3"/>
  <c r="M2698" i="3"/>
  <c r="M2674" i="3"/>
  <c r="M2643" i="3"/>
  <c r="M2735" i="3"/>
  <c r="M2679" i="3"/>
  <c r="M2663" i="3"/>
  <c r="M2684" i="3"/>
  <c r="M2755" i="3"/>
  <c r="M2741" i="3"/>
  <c r="M2689" i="3"/>
  <c r="M2746" i="3"/>
  <c r="M2694" i="3"/>
  <c r="M2751" i="3"/>
  <c r="M2656" i="3"/>
  <c r="M2730" i="3"/>
  <c r="J551" i="10"/>
  <c r="M2646" i="3"/>
  <c r="M2640" i="3"/>
  <c r="M2667" i="3"/>
  <c r="M2564" i="3"/>
  <c r="J465" i="10" s="1"/>
  <c r="M226" i="3"/>
  <c r="M283" i="3"/>
  <c r="M2578" i="3"/>
  <c r="J431" i="10" s="1"/>
  <c r="M762" i="3"/>
  <c r="M757" i="3"/>
  <c r="M2713" i="3"/>
  <c r="M2705" i="3"/>
  <c r="M2673" i="3"/>
  <c r="J561" i="10"/>
  <c r="J553" i="10"/>
  <c r="M2183" i="3"/>
  <c r="M806" i="3"/>
  <c r="M2083" i="3"/>
  <c r="M2780" i="3"/>
  <c r="J419" i="10" s="1"/>
  <c r="M2592" i="3"/>
  <c r="M2134" i="3"/>
  <c r="J334" i="10" s="1"/>
  <c r="M1967" i="3"/>
  <c r="M1898" i="3"/>
  <c r="M2037" i="3"/>
  <c r="M1070" i="3"/>
  <c r="M2001" i="3"/>
  <c r="M1107" i="3"/>
  <c r="M1059" i="3"/>
  <c r="M1825" i="3"/>
  <c r="M267" i="3"/>
  <c r="M517" i="3"/>
  <c r="M2686" i="3"/>
  <c r="M2764" i="3"/>
  <c r="J424" i="10" s="1"/>
  <c r="M2691" i="3"/>
  <c r="M2090" i="3"/>
  <c r="M1145" i="3"/>
  <c r="M250" i="3"/>
  <c r="M2722" i="3"/>
  <c r="M2676" i="3"/>
  <c r="M2545" i="3"/>
  <c r="J412" i="10" s="1"/>
  <c r="M2099" i="3"/>
  <c r="M2638" i="3"/>
  <c r="M2628" i="3"/>
  <c r="M2635" i="3"/>
  <c r="M2174" i="3"/>
  <c r="M2470" i="3"/>
  <c r="M2454" i="3"/>
  <c r="M2586" i="3"/>
  <c r="M2461" i="3"/>
  <c r="M2542" i="3"/>
  <c r="J470" i="10" s="1"/>
  <c r="M2447" i="3"/>
  <c r="M817" i="3"/>
  <c r="J86" i="10" s="1"/>
  <c r="M2052" i="3"/>
  <c r="M2133" i="3"/>
  <c r="J333" i="10" s="1"/>
  <c r="M2059" i="3"/>
  <c r="M1399" i="3"/>
  <c r="M388" i="3"/>
  <c r="M187" i="3"/>
  <c r="M2551" i="3"/>
  <c r="J501" i="10" s="1"/>
  <c r="M921" i="3"/>
  <c r="M2484" i="3"/>
  <c r="M2493" i="3"/>
  <c r="M1677" i="3"/>
  <c r="M1728" i="3"/>
  <c r="M2474" i="3"/>
  <c r="M1096" i="3"/>
  <c r="M1048" i="3"/>
  <c r="M984" i="3"/>
  <c r="M2769" i="3"/>
  <c r="J407" i="10" s="1"/>
  <c r="D606" i="11" l="1"/>
  <c r="H606" i="11" s="1"/>
  <c r="D609" i="11"/>
  <c r="H609" i="11" s="1"/>
  <c r="D460" i="11"/>
  <c r="H460" i="11" s="1"/>
  <c r="D377" i="1"/>
  <c r="D505" i="1"/>
  <c r="P3359" i="3"/>
  <c r="P3361" i="3"/>
  <c r="P3360" i="3"/>
  <c r="P3362" i="3"/>
  <c r="P3366" i="3"/>
  <c r="P3364" i="3"/>
  <c r="P3363" i="3"/>
  <c r="P3365" i="3"/>
  <c r="P3357" i="3"/>
  <c r="P3356" i="3"/>
  <c r="P3358" i="3"/>
  <c r="P3355" i="3"/>
  <c r="P3386" i="3"/>
  <c r="P3385" i="3"/>
  <c r="P3387" i="3"/>
  <c r="P3388" i="3"/>
  <c r="P3453" i="3"/>
  <c r="P3451" i="3"/>
  <c r="P3450" i="3"/>
  <c r="P3452" i="3"/>
  <c r="J544" i="10"/>
  <c r="J549" i="10"/>
  <c r="J541" i="10"/>
  <c r="J559" i="10"/>
  <c r="J560" i="10"/>
  <c r="J545" i="10"/>
  <c r="J542" i="10"/>
  <c r="J543" i="10"/>
  <c r="J548" i="10"/>
  <c r="J550" i="10"/>
  <c r="D482" i="1"/>
  <c r="H482" i="1" s="1"/>
  <c r="J335" i="10"/>
  <c r="J344" i="10"/>
  <c r="J380" i="10"/>
  <c r="J482" i="10"/>
  <c r="J343" i="10"/>
  <c r="J477" i="10"/>
  <c r="J492" i="10"/>
  <c r="J491" i="10"/>
  <c r="J425" i="10"/>
  <c r="J509" i="10"/>
  <c r="J493" i="10"/>
  <c r="J480" i="10"/>
  <c r="J426" i="10"/>
  <c r="J483" i="10"/>
  <c r="J485" i="10"/>
  <c r="J90" i="10"/>
  <c r="J507" i="10"/>
  <c r="J216" i="10"/>
  <c r="J428" i="10"/>
  <c r="J47" i="10"/>
  <c r="J91" i="10"/>
  <c r="J502" i="10"/>
  <c r="J141" i="10"/>
  <c r="J469" i="10"/>
  <c r="J517" i="10"/>
  <c r="J421" i="10"/>
  <c r="J474" i="10"/>
  <c r="J35" i="10"/>
  <c r="J511" i="10"/>
  <c r="J336" i="10"/>
  <c r="J508" i="10"/>
  <c r="J490" i="10"/>
  <c r="J478" i="10"/>
  <c r="J59" i="10"/>
  <c r="J385" i="10"/>
  <c r="J119" i="10"/>
  <c r="J484" i="10"/>
  <c r="J189" i="10"/>
  <c r="J211" i="10"/>
  <c r="J500" i="10"/>
  <c r="K465" i="10"/>
  <c r="M465" i="10" s="1"/>
  <c r="L465" i="10"/>
  <c r="D495" i="11"/>
  <c r="H495" i="11" s="1"/>
  <c r="D543" i="11"/>
  <c r="H543" i="11" s="1"/>
  <c r="D506" i="11"/>
  <c r="H506" i="11" s="1"/>
  <c r="D542" i="11"/>
  <c r="H542" i="11" s="1"/>
  <c r="D457" i="11"/>
  <c r="H457" i="11" s="1"/>
  <c r="D555" i="11"/>
  <c r="H555" i="11" s="1"/>
  <c r="D564" i="11"/>
  <c r="H564" i="11" s="1"/>
  <c r="D466" i="11"/>
  <c r="H466" i="11" s="1"/>
  <c r="D492" i="11"/>
  <c r="H492" i="11" s="1"/>
  <c r="D463" i="11"/>
  <c r="H463" i="11" s="1"/>
  <c r="D530" i="11"/>
  <c r="H530" i="11" s="1"/>
  <c r="D557" i="11"/>
  <c r="H557" i="11" s="1"/>
  <c r="D532" i="11"/>
  <c r="H532" i="11" s="1"/>
  <c r="D489" i="11"/>
  <c r="H489" i="11" s="1"/>
  <c r="D568" i="11"/>
  <c r="H568" i="11" s="1"/>
  <c r="D469" i="11"/>
  <c r="H469" i="11" s="1"/>
  <c r="D571" i="11"/>
  <c r="H571" i="11" s="1"/>
  <c r="D548" i="11"/>
  <c r="H548" i="11" s="1"/>
  <c r="D552" i="11"/>
  <c r="H552" i="11" s="1"/>
  <c r="D576" i="11"/>
  <c r="H576" i="11" s="1"/>
  <c r="D575" i="11"/>
  <c r="H575" i="11" s="1"/>
  <c r="D592" i="11"/>
  <c r="H592" i="11" s="1"/>
  <c r="D539" i="11"/>
  <c r="H539" i="11" s="1"/>
  <c r="D570" i="11"/>
  <c r="H570" i="11" s="1"/>
  <c r="D597" i="11"/>
  <c r="H597" i="11" s="1"/>
  <c r="D526" i="11"/>
  <c r="H526" i="11" s="1"/>
  <c r="D464" i="11"/>
  <c r="H464" i="11" s="1"/>
  <c r="D565" i="11"/>
  <c r="H565" i="11" s="1"/>
  <c r="D449" i="11"/>
  <c r="H449" i="11" s="1"/>
  <c r="D578" i="11"/>
  <c r="H578" i="11" s="1"/>
  <c r="D535" i="11"/>
  <c r="H535" i="11" s="1"/>
  <c r="D519" i="11"/>
  <c r="H519" i="11" s="1"/>
  <c r="D513" i="11"/>
  <c r="H513" i="11" s="1"/>
  <c r="D584" i="11"/>
  <c r="H584" i="11" s="1"/>
  <c r="D487" i="11"/>
  <c r="H487" i="11" s="1"/>
  <c r="D566" i="11"/>
  <c r="H566" i="11" s="1"/>
  <c r="D531" i="11"/>
  <c r="H531" i="11" s="1"/>
  <c r="D560" i="11"/>
  <c r="H560" i="11" s="1"/>
  <c r="D514" i="11"/>
  <c r="H514" i="11" s="1"/>
  <c r="D498" i="11"/>
  <c r="H498" i="11" s="1"/>
  <c r="D527" i="11"/>
  <c r="H527" i="11" s="1"/>
  <c r="D600" i="11"/>
  <c r="H600" i="11" s="1"/>
  <c r="D596" i="11"/>
  <c r="H596" i="11" s="1"/>
  <c r="D470" i="11"/>
  <c r="H470" i="11" s="1"/>
  <c r="D481" i="11"/>
  <c r="H481" i="11" s="1"/>
  <c r="D556" i="11"/>
  <c r="H556" i="11" s="1"/>
  <c r="D585" i="11"/>
  <c r="H585" i="11" s="1"/>
  <c r="D445" i="11"/>
  <c r="H445" i="11" s="1"/>
  <c r="D541" i="11"/>
  <c r="H541" i="11" s="1"/>
  <c r="D551" i="11"/>
  <c r="H551" i="11" s="1"/>
  <c r="D598" i="11"/>
  <c r="H598" i="11" s="1"/>
  <c r="D537" i="11"/>
  <c r="H537" i="11" s="1"/>
  <c r="D452" i="11"/>
  <c r="H452" i="11" s="1"/>
  <c r="D518" i="11"/>
  <c r="H518" i="11" s="1"/>
  <c r="D491" i="11"/>
  <c r="H491" i="11" s="1"/>
  <c r="D510" i="11"/>
  <c r="H510" i="11" s="1"/>
  <c r="D569" i="11"/>
  <c r="H569" i="11" s="1"/>
  <c r="D594" i="11"/>
  <c r="H594" i="11" s="1"/>
  <c r="D563" i="11"/>
  <c r="H563" i="11" s="1"/>
  <c r="D524" i="11"/>
  <c r="H524" i="11" s="1"/>
  <c r="D485" i="11"/>
  <c r="H485" i="11" s="1"/>
  <c r="D572" i="11"/>
  <c r="H572" i="11" s="1"/>
  <c r="D577" i="11"/>
  <c r="H577" i="11" s="1"/>
  <c r="D490" i="11"/>
  <c r="H490" i="11" s="1"/>
  <c r="D448" i="11"/>
  <c r="H448" i="11" s="1"/>
  <c r="D523" i="11"/>
  <c r="H523" i="11" s="1"/>
  <c r="D516" i="11"/>
  <c r="H516" i="11" s="1"/>
  <c r="D550" i="11"/>
  <c r="H550" i="11" s="1"/>
  <c r="D547" i="11"/>
  <c r="H547" i="11" s="1"/>
  <c r="D595" i="11"/>
  <c r="H595" i="11" s="1"/>
  <c r="D586" i="11"/>
  <c r="H586" i="11" s="1"/>
  <c r="D573" i="11"/>
  <c r="H573" i="11" s="1"/>
  <c r="D544" i="11"/>
  <c r="H544" i="11" s="1"/>
  <c r="D465" i="11"/>
  <c r="H465" i="11" s="1"/>
  <c r="D587" i="11"/>
  <c r="H587" i="11" s="1"/>
  <c r="D450" i="11"/>
  <c r="H450" i="11" s="1"/>
  <c r="D593" i="11"/>
  <c r="H593" i="11" s="1"/>
  <c r="D529" i="11"/>
  <c r="H529" i="11" s="1"/>
  <c r="D533" i="11"/>
  <c r="H533" i="11" s="1"/>
  <c r="D579" i="11"/>
  <c r="H579" i="11" s="1"/>
  <c r="D459" i="11"/>
  <c r="H459" i="11" s="1"/>
  <c r="D538" i="11"/>
  <c r="H538" i="11" s="1"/>
  <c r="D479" i="11"/>
  <c r="H479" i="11" s="1"/>
  <c r="D455" i="11"/>
  <c r="H455" i="11" s="1"/>
  <c r="D517" i="11"/>
  <c r="H517" i="11" s="1"/>
  <c r="D454" i="11"/>
  <c r="D471" i="11"/>
  <c r="H471" i="11" s="1"/>
  <c r="D424" i="1"/>
  <c r="D380" i="1"/>
  <c r="H380" i="1" s="1"/>
  <c r="D485" i="1"/>
  <c r="D483" i="1"/>
  <c r="D369" i="1"/>
  <c r="D429" i="1"/>
  <c r="D387" i="1"/>
  <c r="D498" i="1"/>
  <c r="D450" i="1"/>
  <c r="D502" i="1"/>
  <c r="D437" i="1"/>
  <c r="D381" i="1"/>
  <c r="D476" i="1"/>
  <c r="D366" i="1"/>
  <c r="H366" i="1" s="1"/>
  <c r="D402" i="1"/>
  <c r="H402" i="1" s="1"/>
  <c r="D453" i="1"/>
  <c r="D492" i="1"/>
  <c r="D452" i="1"/>
  <c r="D462" i="1"/>
  <c r="H462" i="1" s="1"/>
  <c r="D503" i="1"/>
  <c r="D448" i="1"/>
  <c r="H448" i="1" s="1"/>
  <c r="D375" i="1"/>
  <c r="D455" i="1"/>
  <c r="H455" i="1" s="1"/>
  <c r="K372" i="2" s="1"/>
  <c r="L372" i="2" s="1"/>
  <c r="D382" i="1"/>
  <c r="D494" i="1"/>
  <c r="D367" i="1"/>
  <c r="D398" i="1"/>
  <c r="H398" i="1" s="1"/>
  <c r="K907" i="2" s="1"/>
  <c r="L907" i="2" s="1"/>
  <c r="D467" i="1"/>
  <c r="D446" i="1"/>
  <c r="D430" i="1"/>
  <c r="D426" i="1"/>
  <c r="D409" i="1"/>
  <c r="D408" i="1"/>
  <c r="D412" i="1"/>
  <c r="D404" i="1"/>
  <c r="D477" i="1"/>
  <c r="D442" i="1"/>
  <c r="D471" i="1"/>
  <c r="D427" i="1"/>
  <c r="H427" i="1" s="1"/>
  <c r="D415" i="1"/>
  <c r="D443" i="1"/>
  <c r="D406" i="1"/>
  <c r="D479" i="1"/>
  <c r="D396" i="1"/>
  <c r="D372" i="1"/>
  <c r="D407" i="1"/>
  <c r="D365" i="1"/>
  <c r="H365" i="1" s="1"/>
  <c r="D434" i="1"/>
  <c r="D428" i="1"/>
  <c r="D368" i="1"/>
  <c r="D499" i="1"/>
  <c r="D440" i="1"/>
  <c r="D441" i="1"/>
  <c r="D468" i="1"/>
  <c r="D463" i="1"/>
  <c r="D444" i="1"/>
  <c r="D461" i="1"/>
  <c r="D458" i="1"/>
  <c r="H458" i="1" s="1"/>
  <c r="D501" i="1"/>
  <c r="D459" i="1"/>
  <c r="D480" i="1"/>
  <c r="D500" i="1"/>
  <c r="D474" i="1"/>
  <c r="H474" i="1" s="1"/>
  <c r="D435" i="1"/>
  <c r="D486" i="1"/>
  <c r="D491" i="1"/>
  <c r="D386" i="1"/>
  <c r="D371" i="1"/>
  <c r="D376" i="1"/>
  <c r="D449" i="1"/>
  <c r="D420" i="1"/>
  <c r="D475" i="1"/>
  <c r="D383" i="1"/>
  <c r="D493" i="1"/>
  <c r="D438" i="1"/>
  <c r="H377" i="1"/>
  <c r="D388" i="1"/>
  <c r="D466" i="1"/>
  <c r="D454" i="1"/>
  <c r="D374" i="1"/>
  <c r="D484" i="1"/>
  <c r="H484" i="1" s="1"/>
  <c r="D481" i="1"/>
  <c r="D363" i="1"/>
  <c r="M530" i="10"/>
  <c r="M532" i="10"/>
  <c r="M531" i="10"/>
  <c r="K452" i="10"/>
  <c r="M452" i="10" s="1"/>
  <c r="L452" i="10"/>
  <c r="L413" i="10"/>
  <c r="K413" i="10"/>
  <c r="M413" i="10" s="1"/>
  <c r="L456" i="10"/>
  <c r="K456" i="10"/>
  <c r="M456" i="10" s="1"/>
  <c r="K429" i="10"/>
  <c r="M429" i="10" s="1"/>
  <c r="L429" i="10"/>
  <c r="L461" i="10"/>
  <c r="K461" i="10"/>
  <c r="M461" i="10" s="1"/>
  <c r="L355" i="10"/>
  <c r="K355" i="10"/>
  <c r="M355" i="10" s="1"/>
  <c r="K424" i="10"/>
  <c r="M424" i="10" s="1"/>
  <c r="L424" i="10"/>
  <c r="K450" i="10"/>
  <c r="M450" i="10" s="1"/>
  <c r="L450" i="10"/>
  <c r="K333" i="10"/>
  <c r="M333" i="10" s="1"/>
  <c r="L333" i="10"/>
  <c r="K412" i="10"/>
  <c r="L412" i="10"/>
  <c r="L371" i="10"/>
  <c r="K371" i="10"/>
  <c r="M371" i="10" s="1"/>
  <c r="L94" i="10"/>
  <c r="K94" i="10"/>
  <c r="M94" i="10" s="1"/>
  <c r="K179" i="10"/>
  <c r="M179" i="10" s="1"/>
  <c r="L179" i="10"/>
  <c r="L455" i="10"/>
  <c r="K455" i="10"/>
  <c r="M455" i="10" s="1"/>
  <c r="K418" i="10"/>
  <c r="M418" i="10" s="1"/>
  <c r="L418" i="10"/>
  <c r="K419" i="10"/>
  <c r="M419" i="10" s="1"/>
  <c r="L419" i="10"/>
  <c r="L271" i="10"/>
  <c r="K271" i="10"/>
  <c r="M271" i="10" s="1"/>
  <c r="L460" i="10"/>
  <c r="K460" i="10"/>
  <c r="M460" i="10" s="1"/>
  <c r="K406" i="10"/>
  <c r="M406" i="10" s="1"/>
  <c r="L406" i="10"/>
  <c r="K431" i="10"/>
  <c r="M431" i="10" s="1"/>
  <c r="L431" i="10"/>
  <c r="K514" i="10"/>
  <c r="M514" i="10" s="1"/>
  <c r="L514" i="10"/>
  <c r="K451" i="10"/>
  <c r="M451" i="10" s="1"/>
  <c r="L451" i="10"/>
  <c r="L411" i="10"/>
  <c r="K411" i="10"/>
  <c r="M411" i="10" s="1"/>
  <c r="L423" i="10"/>
  <c r="K423" i="10"/>
  <c r="M423" i="10" s="1"/>
  <c r="L518" i="10"/>
  <c r="K518" i="10"/>
  <c r="M518" i="10" s="1"/>
  <c r="L449" i="10"/>
  <c r="K449" i="10"/>
  <c r="M449" i="10" s="1"/>
  <c r="K557" i="10"/>
  <c r="M557" i="10" s="1"/>
  <c r="L557" i="10"/>
  <c r="K410" i="10"/>
  <c r="M410" i="10" s="1"/>
  <c r="L410" i="10"/>
  <c r="L422" i="10"/>
  <c r="K422" i="10"/>
  <c r="M422" i="10" s="1"/>
  <c r="K561" i="10"/>
  <c r="M561" i="10" s="1"/>
  <c r="L561" i="10"/>
  <c r="K407" i="10"/>
  <c r="M407" i="10" s="1"/>
  <c r="L407" i="10"/>
  <c r="L86" i="10"/>
  <c r="K86" i="10"/>
  <c r="M86" i="10" s="1"/>
  <c r="L458" i="10"/>
  <c r="K458" i="10"/>
  <c r="M458" i="10" s="1"/>
  <c r="K430" i="10"/>
  <c r="M430" i="10" s="1"/>
  <c r="L430" i="10"/>
  <c r="K454" i="10"/>
  <c r="M454" i="10" s="1"/>
  <c r="L454" i="10"/>
  <c r="K334" i="10"/>
  <c r="M334" i="10" s="1"/>
  <c r="L334" i="10"/>
  <c r="K464" i="10"/>
  <c r="M464" i="10" s="1"/>
  <c r="L464" i="10"/>
  <c r="L88" i="10"/>
  <c r="K88" i="10"/>
  <c r="M88" i="10" s="1"/>
  <c r="K92" i="10"/>
  <c r="M92" i="10" s="1"/>
  <c r="L92" i="10"/>
  <c r="K448" i="10"/>
  <c r="M448" i="10" s="1"/>
  <c r="L448" i="10"/>
  <c r="L466" i="10"/>
  <c r="K466" i="10"/>
  <c r="M466" i="10" s="1"/>
  <c r="K462" i="10"/>
  <c r="M462" i="10" s="1"/>
  <c r="L462" i="10"/>
  <c r="L444" i="10"/>
  <c r="K444" i="10"/>
  <c r="M444" i="10" s="1"/>
  <c r="L87" i="10"/>
  <c r="K87" i="10"/>
  <c r="M87" i="10" s="1"/>
  <c r="K501" i="10"/>
  <c r="M501" i="10" s="1"/>
  <c r="L501" i="10"/>
  <c r="K349" i="10"/>
  <c r="M349" i="10" s="1"/>
  <c r="L349" i="10"/>
  <c r="L453" i="10"/>
  <c r="K453" i="10"/>
  <c r="M453" i="10" s="1"/>
  <c r="L467" i="10"/>
  <c r="K467" i="10"/>
  <c r="M467" i="10" s="1"/>
  <c r="L356" i="10"/>
  <c r="K356" i="10"/>
  <c r="M356" i="10" s="1"/>
  <c r="K463" i="10"/>
  <c r="M463" i="10" s="1"/>
  <c r="L463" i="10"/>
  <c r="K420" i="10"/>
  <c r="L420" i="10"/>
  <c r="M930" i="3"/>
  <c r="H207" i="5" l="1"/>
  <c r="H206" i="5"/>
  <c r="H214" i="5"/>
  <c r="H199" i="5"/>
  <c r="H203" i="5"/>
  <c r="H197" i="5"/>
  <c r="P3305" i="3"/>
  <c r="P3304" i="3"/>
  <c r="P3306" i="3"/>
  <c r="P3303" i="3"/>
  <c r="P3350" i="3"/>
  <c r="P3354" i="3"/>
  <c r="P3347" i="3"/>
  <c r="P3346" i="3"/>
  <c r="P3348" i="3"/>
  <c r="P3352" i="3"/>
  <c r="P3345" i="3"/>
  <c r="P3349" i="3"/>
  <c r="P3351" i="3"/>
  <c r="P3353" i="3"/>
  <c r="P3343" i="3"/>
  <c r="P3341" i="3"/>
  <c r="P3342" i="3"/>
  <c r="P3344" i="3"/>
  <c r="Q3387" i="3"/>
  <c r="Q3385" i="3"/>
  <c r="Q3386" i="3"/>
  <c r="Q3388" i="3"/>
  <c r="P3338" i="3"/>
  <c r="P3337" i="3"/>
  <c r="P3340" i="3"/>
  <c r="P3339" i="3"/>
  <c r="P3318" i="3"/>
  <c r="P3320" i="3"/>
  <c r="P3321" i="3"/>
  <c r="P3317" i="3"/>
  <c r="P3319" i="3"/>
  <c r="P3315" i="3"/>
  <c r="P3314" i="3"/>
  <c r="P3316" i="3"/>
  <c r="P3313" i="3"/>
  <c r="P3312" i="3"/>
  <c r="Q3453" i="3"/>
  <c r="Q3451" i="3"/>
  <c r="Q3452" i="3"/>
  <c r="Q3450" i="3"/>
  <c r="P3311" i="3"/>
  <c r="P3310" i="3"/>
  <c r="P3309" i="3"/>
  <c r="P3308" i="3"/>
  <c r="P3307" i="3"/>
  <c r="P3322" i="3"/>
  <c r="P3325" i="3"/>
  <c r="P3324" i="3"/>
  <c r="P3323" i="3"/>
  <c r="P3404" i="3"/>
  <c r="P3405" i="3"/>
  <c r="P3406" i="3"/>
  <c r="P3403" i="3"/>
  <c r="P3397" i="3"/>
  <c r="P3395" i="3"/>
  <c r="P3398" i="3"/>
  <c r="P3396" i="3"/>
  <c r="L2981" i="3"/>
  <c r="M2981" i="3" s="1"/>
  <c r="L1921" i="3"/>
  <c r="L2206" i="3"/>
  <c r="L2199" i="3"/>
  <c r="L2207" i="3"/>
  <c r="L1847" i="3"/>
  <c r="L3293" i="3"/>
  <c r="M3293" i="3" s="1"/>
  <c r="L2390" i="3"/>
  <c r="L3287" i="3"/>
  <c r="M3287" i="3" s="1"/>
  <c r="L2929" i="3"/>
  <c r="M2929" i="3" s="1"/>
  <c r="L2932" i="3"/>
  <c r="M2932" i="3" s="1"/>
  <c r="L2957" i="3"/>
  <c r="M2957" i="3" s="1"/>
  <c r="L2963" i="3"/>
  <c r="M2963" i="3" s="1"/>
  <c r="K24" i="2"/>
  <c r="L24" i="2" s="1"/>
  <c r="K15" i="2"/>
  <c r="L15" i="2" s="1"/>
  <c r="K162" i="2"/>
  <c r="L162" i="2" s="1"/>
  <c r="L3135" i="3"/>
  <c r="M3135" i="3" s="1"/>
  <c r="J596" i="10" s="1"/>
  <c r="L3277" i="3"/>
  <c r="M3277" i="3" s="1"/>
  <c r="J653" i="10" s="1"/>
  <c r="L2955" i="3"/>
  <c r="M2955" i="3" s="1"/>
  <c r="J573" i="10" s="1"/>
  <c r="L3136" i="3"/>
  <c r="M3136" i="3" s="1"/>
  <c r="J597" i="10" s="1"/>
  <c r="L3278" i="3"/>
  <c r="M3278" i="3" s="1"/>
  <c r="J654" i="10" s="1"/>
  <c r="L2956" i="3"/>
  <c r="M2956" i="3" s="1"/>
  <c r="J574" i="10" s="1"/>
  <c r="L1541" i="3"/>
  <c r="K461" i="2"/>
  <c r="L461" i="2" s="1"/>
  <c r="K463" i="2"/>
  <c r="L463" i="2" s="1"/>
  <c r="K465" i="2"/>
  <c r="L465" i="2" s="1"/>
  <c r="K923" i="2"/>
  <c r="L923" i="2" s="1"/>
  <c r="K899" i="2"/>
  <c r="L899" i="2" s="1"/>
  <c r="H420" i="1"/>
  <c r="L961" i="3" s="1"/>
  <c r="H486" i="1"/>
  <c r="H501" i="1"/>
  <c r="H426" i="1"/>
  <c r="H467" i="1"/>
  <c r="H492" i="1"/>
  <c r="H381" i="1"/>
  <c r="H369" i="1"/>
  <c r="H491" i="1"/>
  <c r="H461" i="1"/>
  <c r="H428" i="1"/>
  <c r="H443" i="1"/>
  <c r="H442" i="1"/>
  <c r="H502" i="1"/>
  <c r="H387" i="1"/>
  <c r="L2473" i="3" s="1"/>
  <c r="H485" i="1"/>
  <c r="H481" i="1"/>
  <c r="H386" i="1"/>
  <c r="H480" i="1"/>
  <c r="H479" i="1"/>
  <c r="H404" i="1"/>
  <c r="H382" i="1"/>
  <c r="H503" i="1"/>
  <c r="H450" i="1"/>
  <c r="H424" i="1"/>
  <c r="H466" i="1"/>
  <c r="H383" i="1"/>
  <c r="L159" i="3" s="1"/>
  <c r="H499" i="1"/>
  <c r="H372" i="1"/>
  <c r="H408" i="1"/>
  <c r="L2422" i="3" s="1"/>
  <c r="H367" i="1"/>
  <c r="H505" i="1"/>
  <c r="H388" i="1"/>
  <c r="H438" i="1"/>
  <c r="H475" i="1"/>
  <c r="H376" i="1"/>
  <c r="H500" i="1"/>
  <c r="H463" i="1"/>
  <c r="H441" i="1"/>
  <c r="H434" i="1"/>
  <c r="H396" i="1"/>
  <c r="L32" i="3" s="1"/>
  <c r="H415" i="1"/>
  <c r="H477" i="1"/>
  <c r="H409" i="1"/>
  <c r="H446" i="1"/>
  <c r="H494" i="1"/>
  <c r="L2320" i="3" s="1"/>
  <c r="H375" i="1"/>
  <c r="H452" i="1"/>
  <c r="H476" i="1"/>
  <c r="H429" i="1"/>
  <c r="H374" i="1"/>
  <c r="H371" i="1"/>
  <c r="H454" i="1"/>
  <c r="H493" i="1"/>
  <c r="L950" i="3" s="1"/>
  <c r="H449" i="1"/>
  <c r="H435" i="1"/>
  <c r="H459" i="1"/>
  <c r="H444" i="1"/>
  <c r="H468" i="1"/>
  <c r="H440" i="1"/>
  <c r="H368" i="1"/>
  <c r="H407" i="1"/>
  <c r="H406" i="1"/>
  <c r="H471" i="1"/>
  <c r="H412" i="1"/>
  <c r="H430" i="1"/>
  <c r="L2351" i="3" s="1"/>
  <c r="H453" i="1"/>
  <c r="H437" i="1"/>
  <c r="L3486" i="3" s="1"/>
  <c r="M3486" i="3" s="1"/>
  <c r="J577" i="10" s="1"/>
  <c r="H498" i="1"/>
  <c r="H483" i="1"/>
  <c r="L1633" i="3" s="1"/>
  <c r="L541" i="10"/>
  <c r="K541" i="10"/>
  <c r="M541" i="10" s="1"/>
  <c r="K500" i="10"/>
  <c r="M500" i="10" s="1"/>
  <c r="L542" i="10"/>
  <c r="L500" i="10"/>
  <c r="K46" i="10"/>
  <c r="M46" i="10" s="1"/>
  <c r="L95" i="10"/>
  <c r="K553" i="10"/>
  <c r="M553" i="10" s="1"/>
  <c r="L46" i="10"/>
  <c r="K93" i="10"/>
  <c r="M93" i="10" s="1"/>
  <c r="K95" i="10"/>
  <c r="M95" i="10" s="1"/>
  <c r="L93" i="10"/>
  <c r="K89" i="10"/>
  <c r="M89" i="10" s="1"/>
  <c r="L498" i="10"/>
  <c r="K498" i="10"/>
  <c r="L89" i="10"/>
  <c r="H454" i="11"/>
  <c r="I454" i="11"/>
  <c r="M420" i="10"/>
  <c r="M412" i="10"/>
  <c r="K380" i="10"/>
  <c r="M380" i="10" s="1"/>
  <c r="L35" i="10"/>
  <c r="K35" i="10"/>
  <c r="M35" i="10" s="1"/>
  <c r="L344" i="10"/>
  <c r="K344" i="10"/>
  <c r="M344" i="10" s="1"/>
  <c r="L553" i="10"/>
  <c r="L492" i="10"/>
  <c r="L477" i="10"/>
  <c r="K492" i="10"/>
  <c r="K477" i="10"/>
  <c r="M477" i="10" s="1"/>
  <c r="L380" i="10"/>
  <c r="K426" i="10"/>
  <c r="M426" i="10" s="1"/>
  <c r="K509" i="10"/>
  <c r="L491" i="10"/>
  <c r="K552" i="10"/>
  <c r="M552" i="10" s="1"/>
  <c r="K469" i="10"/>
  <c r="M469" i="10" s="1"/>
  <c r="K493" i="10"/>
  <c r="L428" i="10"/>
  <c r="K559" i="10"/>
  <c r="M559" i="10" s="1"/>
  <c r="K491" i="10"/>
  <c r="M491" i="10" s="1"/>
  <c r="L552" i="10"/>
  <c r="L559" i="10"/>
  <c r="L493" i="10"/>
  <c r="L469" i="10"/>
  <c r="L509" i="10"/>
  <c r="L426" i="10"/>
  <c r="K428" i="10"/>
  <c r="M428" i="10" s="1"/>
  <c r="L385" i="10"/>
  <c r="K385" i="10"/>
  <c r="M385" i="10" s="1"/>
  <c r="L470" i="10"/>
  <c r="K470" i="10"/>
  <c r="L508" i="10"/>
  <c r="K508" i="10"/>
  <c r="M508" i="10" s="1"/>
  <c r="L211" i="10"/>
  <c r="K211" i="10"/>
  <c r="K511" i="10"/>
  <c r="M511" i="10" s="1"/>
  <c r="L511" i="10"/>
  <c r="K550" i="10"/>
  <c r="M550" i="10" s="1"/>
  <c r="L550" i="10"/>
  <c r="L90" i="10"/>
  <c r="K90" i="10"/>
  <c r="M90" i="10" s="1"/>
  <c r="L59" i="10"/>
  <c r="K59" i="10"/>
  <c r="M59" i="10" s="1"/>
  <c r="K425" i="10"/>
  <c r="M425" i="10" s="1"/>
  <c r="L425" i="10"/>
  <c r="L335" i="10"/>
  <c r="K335" i="10"/>
  <c r="M335" i="10" s="1"/>
  <c r="L483" i="10"/>
  <c r="K483" i="10"/>
  <c r="K560" i="10"/>
  <c r="M560" i="10" s="1"/>
  <c r="L560" i="10"/>
  <c r="L548" i="10"/>
  <c r="K548" i="10"/>
  <c r="M548" i="10" s="1"/>
  <c r="K502" i="10"/>
  <c r="L502" i="10"/>
  <c r="L480" i="10"/>
  <c r="K480" i="10"/>
  <c r="K517" i="10"/>
  <c r="M517" i="10" s="1"/>
  <c r="L517" i="10"/>
  <c r="K543" i="10"/>
  <c r="M543" i="10" s="1"/>
  <c r="L543" i="10"/>
  <c r="L189" i="10"/>
  <c r="K189" i="10"/>
  <c r="M189" i="10" s="1"/>
  <c r="L549" i="10"/>
  <c r="K549" i="10"/>
  <c r="M549" i="10" s="1"/>
  <c r="K507" i="10"/>
  <c r="M507" i="10" s="1"/>
  <c r="L507" i="10"/>
  <c r="K119" i="10"/>
  <c r="M119" i="10" s="1"/>
  <c r="L119" i="10"/>
  <c r="L343" i="10"/>
  <c r="K343" i="10"/>
  <c r="M343" i="10" s="1"/>
  <c r="L474" i="10"/>
  <c r="K474" i="10"/>
  <c r="M474" i="10" s="1"/>
  <c r="L490" i="10"/>
  <c r="K490" i="10"/>
  <c r="L336" i="10"/>
  <c r="K336" i="10"/>
  <c r="M336" i="10" s="1"/>
  <c r="L47" i="10"/>
  <c r="K47" i="10"/>
  <c r="M47" i="10" s="1"/>
  <c r="K447" i="10"/>
  <c r="L447" i="10"/>
  <c r="L485" i="10"/>
  <c r="K485" i="10"/>
  <c r="M485" i="10" s="1"/>
  <c r="K482" i="10"/>
  <c r="L482" i="10"/>
  <c r="K542" i="10"/>
  <c r="M542" i="10" s="1"/>
  <c r="K544" i="10"/>
  <c r="M544" i="10" s="1"/>
  <c r="L544" i="10"/>
  <c r="L484" i="10"/>
  <c r="K484" i="10"/>
  <c r="M484" i="10" s="1"/>
  <c r="K545" i="10"/>
  <c r="M545" i="10" s="1"/>
  <c r="L545" i="10"/>
  <c r="L91" i="10"/>
  <c r="K91" i="10"/>
  <c r="M91" i="10" s="1"/>
  <c r="L478" i="10"/>
  <c r="K478" i="10"/>
  <c r="M478" i="10" s="1"/>
  <c r="K421" i="10"/>
  <c r="M421" i="10" s="1"/>
  <c r="L421" i="10"/>
  <c r="L141" i="10"/>
  <c r="K141" i="10"/>
  <c r="M141" i="10" s="1"/>
  <c r="M929" i="3"/>
  <c r="M928" i="3"/>
  <c r="M927" i="3"/>
  <c r="K1215" i="2" l="1"/>
  <c r="K1217" i="2"/>
  <c r="L1217" i="2" s="1"/>
  <c r="L3514" i="3"/>
  <c r="M3514" i="3" s="1"/>
  <c r="L3525" i="3"/>
  <c r="M3525" i="3" s="1"/>
  <c r="L3512" i="3"/>
  <c r="M3512" i="3" s="1"/>
  <c r="L3523" i="3"/>
  <c r="M3523" i="3" s="1"/>
  <c r="L3510" i="3"/>
  <c r="M3510" i="3" s="1"/>
  <c r="L3521" i="3"/>
  <c r="M3521" i="3" s="1"/>
  <c r="P3487" i="3"/>
  <c r="P3469" i="3"/>
  <c r="P3468" i="3"/>
  <c r="K577" i="10"/>
  <c r="M577" i="10" s="1"/>
  <c r="P3490" i="3"/>
  <c r="P3486" i="3"/>
  <c r="P3479" i="3"/>
  <c r="P3488" i="3"/>
  <c r="P3478" i="3"/>
  <c r="P3471" i="3"/>
  <c r="P3489" i="3"/>
  <c r="P3481" i="3"/>
  <c r="P3482" i="3"/>
  <c r="P3470" i="3"/>
  <c r="P3484" i="3"/>
  <c r="P3472" i="3"/>
  <c r="L577" i="10"/>
  <c r="P3483" i="3"/>
  <c r="P3473" i="3"/>
  <c r="P3474" i="3"/>
  <c r="P3475" i="3"/>
  <c r="P3485" i="3"/>
  <c r="P3480" i="3"/>
  <c r="P3477" i="3"/>
  <c r="P3476" i="3"/>
  <c r="L3438" i="3"/>
  <c r="M3438" i="3" s="1"/>
  <c r="L3422" i="3"/>
  <c r="M3422" i="3" s="1"/>
  <c r="L3389" i="3"/>
  <c r="M3389" i="3" s="1"/>
  <c r="J558" i="10" s="1"/>
  <c r="H212" i="5"/>
  <c r="Q3315" i="3"/>
  <c r="Q3313" i="3"/>
  <c r="Q3312" i="3"/>
  <c r="Q3314" i="3"/>
  <c r="Q3316" i="3"/>
  <c r="Q3405" i="3"/>
  <c r="Q3403" i="3"/>
  <c r="Q3404" i="3"/>
  <c r="Q3406" i="3"/>
  <c r="Q3321" i="3"/>
  <c r="Q3319" i="3"/>
  <c r="Q3317" i="3"/>
  <c r="Q3320" i="3"/>
  <c r="Q3318" i="3"/>
  <c r="Q3343" i="3"/>
  <c r="Q3341" i="3"/>
  <c r="Q3344" i="3"/>
  <c r="Q3342" i="3"/>
  <c r="Q3361" i="3"/>
  <c r="Q3359" i="3"/>
  <c r="Q3362" i="3"/>
  <c r="Q3360" i="3"/>
  <c r="Q3353" i="3"/>
  <c r="Q3351" i="3"/>
  <c r="Q3349" i="3"/>
  <c r="Q3347" i="3"/>
  <c r="Q3345" i="3"/>
  <c r="Q3352" i="3"/>
  <c r="Q3350" i="3"/>
  <c r="Q3354" i="3"/>
  <c r="Q3346" i="3"/>
  <c r="Q3348" i="3"/>
  <c r="Q3305" i="3"/>
  <c r="Q3303" i="3"/>
  <c r="Q3304" i="3"/>
  <c r="Q3306" i="3"/>
  <c r="Q3325" i="3"/>
  <c r="Q3323" i="3"/>
  <c r="Q3322" i="3"/>
  <c r="Q3324" i="3"/>
  <c r="Q3339" i="3"/>
  <c r="Q3337" i="3"/>
  <c r="Q3340" i="3"/>
  <c r="Q3338" i="3"/>
  <c r="Q3365" i="3"/>
  <c r="Q3363" i="3"/>
  <c r="Q3364" i="3"/>
  <c r="Q3366" i="3"/>
  <c r="Q3397" i="3"/>
  <c r="Q3395" i="3"/>
  <c r="Q3396" i="3"/>
  <c r="Q3398" i="3"/>
  <c r="Q3311" i="3"/>
  <c r="Q3309" i="3"/>
  <c r="Q3307" i="3"/>
  <c r="Q3308" i="3"/>
  <c r="Q3310" i="3"/>
  <c r="L3" i="3"/>
  <c r="M3" i="3" s="1"/>
  <c r="L31" i="3"/>
  <c r="L547" i="3"/>
  <c r="L542" i="3"/>
  <c r="L216" i="3"/>
  <c r="L1478" i="3"/>
  <c r="L1488" i="3"/>
  <c r="L1676" i="3"/>
  <c r="L110" i="3"/>
  <c r="L89" i="3"/>
  <c r="L769" i="3"/>
  <c r="L773" i="3"/>
  <c r="L535" i="3"/>
  <c r="L1463" i="3"/>
  <c r="K800" i="2"/>
  <c r="L800" i="2" s="1"/>
  <c r="L59" i="3"/>
  <c r="L17" i="3"/>
  <c r="L571" i="3"/>
  <c r="L1513" i="3"/>
  <c r="L386" i="3"/>
  <c r="L399" i="3"/>
  <c r="L596" i="3"/>
  <c r="L390" i="3"/>
  <c r="L593" i="3"/>
  <c r="L392" i="3"/>
  <c r="L404" i="3"/>
  <c r="L395" i="3"/>
  <c r="L712" i="3"/>
  <c r="L715" i="3"/>
  <c r="L1306" i="3"/>
  <c r="L1330" i="3"/>
  <c r="L1324" i="3"/>
  <c r="L1348" i="3"/>
  <c r="L599" i="3"/>
  <c r="L687" i="3"/>
  <c r="L1301" i="3"/>
  <c r="L1336" i="3"/>
  <c r="L1359" i="3"/>
  <c r="L1386" i="3"/>
  <c r="L1427" i="3"/>
  <c r="L1435" i="3"/>
  <c r="L1443" i="3"/>
  <c r="L1369" i="3"/>
  <c r="L1404" i="3"/>
  <c r="L932" i="3"/>
  <c r="L1312" i="3"/>
  <c r="L1397" i="3"/>
  <c r="L1413" i="3"/>
  <c r="L1296" i="3"/>
  <c r="L1342" i="3"/>
  <c r="L1353" i="3"/>
  <c r="L691" i="3"/>
  <c r="L935" i="3"/>
  <c r="L1391" i="3"/>
  <c r="L1374" i="3"/>
  <c r="L1431" i="3"/>
  <c r="L1409" i="3"/>
  <c r="L1439" i="3"/>
  <c r="L1423" i="3"/>
  <c r="L1319" i="3"/>
  <c r="L1365" i="3"/>
  <c r="L3074" i="3"/>
  <c r="M3074" i="3" s="1"/>
  <c r="L3065" i="3"/>
  <c r="M3065" i="3" s="1"/>
  <c r="J616" i="10" s="1"/>
  <c r="L3035" i="3"/>
  <c r="M3035" i="3" s="1"/>
  <c r="J610" i="10" s="1"/>
  <c r="L3068" i="3"/>
  <c r="M3068" i="3" s="1"/>
  <c r="J618" i="10" s="1"/>
  <c r="L3070" i="3"/>
  <c r="M3070" i="3" s="1"/>
  <c r="L3177" i="3"/>
  <c r="M3177" i="3" s="1"/>
  <c r="L3123" i="3"/>
  <c r="M3123" i="3" s="1"/>
  <c r="J614" i="10" s="1"/>
  <c r="L3063" i="3"/>
  <c r="M3063" i="3" s="1"/>
  <c r="L3125" i="3"/>
  <c r="M3125" i="3" s="1"/>
  <c r="J617" i="10" s="1"/>
  <c r="L3180" i="3"/>
  <c r="M3180" i="3" s="1"/>
  <c r="L951" i="3"/>
  <c r="L2598" i="3"/>
  <c r="M2598" i="3" s="1"/>
  <c r="L2622" i="3"/>
  <c r="L483" i="3"/>
  <c r="L664" i="3"/>
  <c r="L734" i="3"/>
  <c r="L628" i="3"/>
  <c r="L779" i="3"/>
  <c r="L455" i="3"/>
  <c r="L725" i="3"/>
  <c r="L1773" i="3"/>
  <c r="L1849" i="3"/>
  <c r="L2017" i="3"/>
  <c r="L2122" i="3"/>
  <c r="L2456" i="3"/>
  <c r="L2110" i="3"/>
  <c r="L1950" i="3"/>
  <c r="L2028" i="3"/>
  <c r="L1941" i="3"/>
  <c r="L2066" i="3"/>
  <c r="L2463" i="3"/>
  <c r="L2141" i="3"/>
  <c r="L3113" i="3"/>
  <c r="M3113" i="3" s="1"/>
  <c r="L3085" i="3"/>
  <c r="M3085" i="3" s="1"/>
  <c r="L414" i="3"/>
  <c r="L2275" i="3"/>
  <c r="L2350" i="3"/>
  <c r="L740" i="3"/>
  <c r="L1623" i="3"/>
  <c r="L1411" i="3"/>
  <c r="L714" i="3"/>
  <c r="L378" i="3"/>
  <c r="L693" i="3"/>
  <c r="L816" i="3"/>
  <c r="L1381" i="3"/>
  <c r="L818" i="3"/>
  <c r="L3271" i="3"/>
  <c r="M3271" i="3" s="1"/>
  <c r="J655" i="10" s="1"/>
  <c r="L776" i="3"/>
  <c r="L831" i="3"/>
  <c r="L897" i="3"/>
  <c r="L2425" i="3"/>
  <c r="L2379" i="3"/>
  <c r="L3014" i="3"/>
  <c r="M3014" i="3" s="1"/>
  <c r="L3298" i="3"/>
  <c r="M3298" i="3" s="1"/>
  <c r="L3039" i="3"/>
  <c r="M3039" i="3" s="1"/>
  <c r="J592" i="10" s="1"/>
  <c r="K582" i="2"/>
  <c r="L582" i="2" s="1"/>
  <c r="L26" i="3"/>
  <c r="L90" i="3"/>
  <c r="L60" i="3"/>
  <c r="L84" i="3"/>
  <c r="L45" i="3"/>
  <c r="L133" i="3"/>
  <c r="L38" i="3"/>
  <c r="L54" i="3"/>
  <c r="L548" i="3"/>
  <c r="L564" i="3"/>
  <c r="L572" i="3"/>
  <c r="L604" i="3"/>
  <c r="L557" i="3"/>
  <c r="L774" i="3"/>
  <c r="L768" i="3"/>
  <c r="L536" i="3"/>
  <c r="L553" i="3"/>
  <c r="L1514" i="3"/>
  <c r="L1556" i="3"/>
  <c r="L1549" i="3"/>
  <c r="L1582" i="3"/>
  <c r="L1448" i="3"/>
  <c r="L1489" i="3"/>
  <c r="L1456" i="3"/>
  <c r="L1497" i="3"/>
  <c r="L1464" i="3"/>
  <c r="L2624" i="3"/>
  <c r="L2930" i="3"/>
  <c r="M2930" i="3" s="1"/>
  <c r="J580" i="10" s="1"/>
  <c r="L2994" i="3"/>
  <c r="M2994" i="3" s="1"/>
  <c r="L1593" i="3"/>
  <c r="L2933" i="3"/>
  <c r="M2933" i="3" s="1"/>
  <c r="J581" i="10" s="1"/>
  <c r="L2941" i="3"/>
  <c r="M2941" i="3" s="1"/>
  <c r="J584" i="10" s="1"/>
  <c r="L2982" i="3"/>
  <c r="M2982" i="3" s="1"/>
  <c r="L3057" i="3"/>
  <c r="M3057" i="3" s="1"/>
  <c r="L3059" i="3"/>
  <c r="M3059" i="3" s="1"/>
  <c r="L3062" i="3"/>
  <c r="M3062" i="3" s="1"/>
  <c r="J620" i="10" s="1"/>
  <c r="L369" i="3"/>
  <c r="L277" i="3"/>
  <c r="M277" i="3" s="1"/>
  <c r="L906" i="3"/>
  <c r="L1027" i="3"/>
  <c r="L1035" i="3"/>
  <c r="L1083" i="3"/>
  <c r="L1189" i="3"/>
  <c r="L1197" i="3"/>
  <c r="L865" i="3"/>
  <c r="L1016" i="3"/>
  <c r="L1649" i="3"/>
  <c r="L2522" i="3"/>
  <c r="L2516" i="3"/>
  <c r="L2897" i="3"/>
  <c r="M2897" i="3" s="1"/>
  <c r="L2847" i="3"/>
  <c r="M2847" i="3" s="1"/>
  <c r="L489" i="3"/>
  <c r="L500" i="3"/>
  <c r="L610" i="3"/>
  <c r="L653" i="3"/>
  <c r="L480" i="3"/>
  <c r="L528" i="3"/>
  <c r="L782" i="3"/>
  <c r="L798" i="3"/>
  <c r="L461" i="3"/>
  <c r="L472" i="3"/>
  <c r="L493" i="3"/>
  <c r="L522" i="3"/>
  <c r="L728" i="3"/>
  <c r="L377" i="3"/>
  <c r="L465" i="3"/>
  <c r="L506" i="3"/>
  <c r="L514" i="3"/>
  <c r="L630" i="3"/>
  <c r="L807" i="3"/>
  <c r="L737" i="3"/>
  <c r="L660" i="3"/>
  <c r="L1261" i="3"/>
  <c r="L789" i="3"/>
  <c r="L924" i="3"/>
  <c r="L669" i="3"/>
  <c r="L1801" i="3"/>
  <c r="L1809" i="3"/>
  <c r="L1872" i="3"/>
  <c r="L1818" i="3"/>
  <c r="L1881" i="3"/>
  <c r="L1913" i="3"/>
  <c r="L1945" i="3"/>
  <c r="L2038" i="3"/>
  <c r="L2113" i="3"/>
  <c r="L1891" i="3"/>
  <c r="L1962" i="3"/>
  <c r="L1970" i="3"/>
  <c r="L2002" i="3"/>
  <c r="L1789" i="3"/>
  <c r="L1979" i="3"/>
  <c r="L2188" i="3"/>
  <c r="L2012" i="3"/>
  <c r="L2171" i="3"/>
  <c r="L2180" i="3"/>
  <c r="L1839" i="3"/>
  <c r="L2060" i="3"/>
  <c r="L2125" i="3"/>
  <c r="L1903" i="3"/>
  <c r="L1935" i="3"/>
  <c r="L2087" i="3"/>
  <c r="L1860" i="3"/>
  <c r="L2019" i="3"/>
  <c r="L2102" i="3"/>
  <c r="L1830" i="3"/>
  <c r="L1956" i="3"/>
  <c r="L2092" i="3"/>
  <c r="L1783" i="3"/>
  <c r="M1783" i="3" s="1"/>
  <c r="L2053" i="3"/>
  <c r="L2158" i="3"/>
  <c r="L3173" i="3"/>
  <c r="M3173" i="3" s="1"/>
  <c r="L2068" i="3"/>
  <c r="L3080" i="3"/>
  <c r="M3080" i="3" s="1"/>
  <c r="L3132" i="3"/>
  <c r="M3132" i="3" s="1"/>
  <c r="L3052" i="3"/>
  <c r="M3052" i="3" s="1"/>
  <c r="L3115" i="3"/>
  <c r="M3115" i="3" s="1"/>
  <c r="L3043" i="3"/>
  <c r="M3043" i="3" s="1"/>
  <c r="L2335" i="3"/>
  <c r="L2238" i="3"/>
  <c r="L2330" i="3"/>
  <c r="L2234" i="3"/>
  <c r="L2340" i="3"/>
  <c r="L2415" i="3"/>
  <c r="L2858" i="3"/>
  <c r="M2858" i="3" s="1"/>
  <c r="L2228" i="3"/>
  <c r="L371" i="3"/>
  <c r="L1018" i="3"/>
  <c r="L490" i="3"/>
  <c r="L1983" i="3"/>
  <c r="L1786" i="3"/>
  <c r="L1857" i="3"/>
  <c r="L1992" i="3"/>
  <c r="L1703" i="3"/>
  <c r="L3040" i="3"/>
  <c r="M3040" i="3" s="1"/>
  <c r="L2781" i="3"/>
  <c r="L2792" i="3"/>
  <c r="M2792" i="3" s="1"/>
  <c r="J497" i="10" s="1"/>
  <c r="L290" i="3"/>
  <c r="L262" i="3"/>
  <c r="L316" i="3"/>
  <c r="L938" i="3"/>
  <c r="L1043" i="3"/>
  <c r="L1091" i="3"/>
  <c r="L310" i="3"/>
  <c r="L1253" i="3"/>
  <c r="L1008" i="3"/>
  <c r="L2528" i="3"/>
  <c r="L2535" i="3"/>
  <c r="L3198" i="3"/>
  <c r="M3198" i="3" s="1"/>
  <c r="L588" i="3"/>
  <c r="L644" i="3"/>
  <c r="L569" i="3"/>
  <c r="L648" i="3"/>
  <c r="L1570" i="3"/>
  <c r="L1617" i="3"/>
  <c r="L1608" i="3"/>
  <c r="L1505" i="3"/>
  <c r="K962" i="2"/>
  <c r="L962" i="2" s="1"/>
  <c r="L19" i="3"/>
  <c r="L27" i="3"/>
  <c r="L35" i="3"/>
  <c r="L91" i="3"/>
  <c r="L61" i="3"/>
  <c r="L77" i="3"/>
  <c r="L85" i="3"/>
  <c r="L149" i="3"/>
  <c r="L6" i="3"/>
  <c r="M6" i="3" s="1"/>
  <c r="L14" i="3"/>
  <c r="L118" i="3"/>
  <c r="M118" i="3" s="1"/>
  <c r="L23" i="3"/>
  <c r="L39" i="3"/>
  <c r="L55" i="3"/>
  <c r="L191" i="3"/>
  <c r="L263" i="3"/>
  <c r="L311" i="3"/>
  <c r="L73" i="3"/>
  <c r="L81" i="3"/>
  <c r="L219" i="3"/>
  <c r="L347" i="3"/>
  <c r="L537" i="3"/>
  <c r="L565" i="3"/>
  <c r="L180" i="3"/>
  <c r="L294" i="3"/>
  <c r="L285" i="3"/>
  <c r="L558" i="3"/>
  <c r="L233" i="3"/>
  <c r="L372" i="3"/>
  <c r="L541" i="3"/>
  <c r="L550" i="3"/>
  <c r="L605" i="3"/>
  <c r="L245" i="3"/>
  <c r="L545" i="3"/>
  <c r="L573" i="3"/>
  <c r="L591" i="3"/>
  <c r="L793" i="3"/>
  <c r="L1265" i="3"/>
  <c r="L385" i="3"/>
  <c r="L895" i="3"/>
  <c r="L1170" i="3"/>
  <c r="L1019" i="3"/>
  <c r="L770" i="3"/>
  <c r="L112" i="3"/>
  <c r="L708" i="3"/>
  <c r="L1005" i="3"/>
  <c r="L746" i="3"/>
  <c r="L1498" i="3"/>
  <c r="L1119" i="3"/>
  <c r="L1515" i="3"/>
  <c r="L1571" i="3"/>
  <c r="M1571" i="3" s="1"/>
  <c r="L1595" i="3"/>
  <c r="L1755" i="3"/>
  <c r="L1248" i="3"/>
  <c r="L1254" i="3"/>
  <c r="L1557" i="3"/>
  <c r="L1629" i="3"/>
  <c r="L1191" i="3"/>
  <c r="L1662" i="3"/>
  <c r="L777" i="3"/>
  <c r="L1465" i="3"/>
  <c r="L1768" i="3"/>
  <c r="L1449" i="3"/>
  <c r="L1472" i="3"/>
  <c r="L1600" i="3"/>
  <c r="L1199" i="3"/>
  <c r="L1641" i="3"/>
  <c r="L1720" i="3"/>
  <c r="L2308" i="3"/>
  <c r="L1695" i="3"/>
  <c r="L2989" i="3"/>
  <c r="M2989" i="3" s="1"/>
  <c r="L3200" i="3"/>
  <c r="M3200" i="3" s="1"/>
  <c r="L1744" i="3"/>
  <c r="L2850" i="3"/>
  <c r="M2850" i="3" s="1"/>
  <c r="L2959" i="3"/>
  <c r="M2959" i="3" s="1"/>
  <c r="J576" i="10" s="1"/>
  <c r="L3263" i="3"/>
  <c r="M3263" i="3" s="1"/>
  <c r="L2971" i="3"/>
  <c r="M2971" i="3" s="1"/>
  <c r="L2983" i="3"/>
  <c r="M2983" i="3" s="1"/>
  <c r="L3015" i="3"/>
  <c r="M3015" i="3" s="1"/>
  <c r="J591" i="10" s="1"/>
  <c r="L3165" i="3"/>
  <c r="M3165" i="3" s="1"/>
  <c r="L2895" i="3"/>
  <c r="M2895" i="3" s="1"/>
  <c r="L2907" i="3"/>
  <c r="M2907" i="3" s="1"/>
  <c r="L3157" i="3"/>
  <c r="M3157" i="3" s="1"/>
  <c r="L2996" i="3"/>
  <c r="M2996" i="3" s="1"/>
  <c r="L3060" i="3"/>
  <c r="M3060" i="3" s="1"/>
  <c r="L3149" i="3"/>
  <c r="M3149" i="3" s="1"/>
  <c r="L2966" i="3"/>
  <c r="M2966" i="3" s="1"/>
  <c r="L3094" i="3"/>
  <c r="M3094" i="3" s="1"/>
  <c r="J595" i="10" s="1"/>
  <c r="L3214" i="3"/>
  <c r="M3214" i="3" s="1"/>
  <c r="L2899" i="3"/>
  <c r="M2899" i="3" s="1"/>
  <c r="L3188" i="3"/>
  <c r="M3188" i="3" s="1"/>
  <c r="L3296" i="3"/>
  <c r="M3296" i="3" s="1"/>
  <c r="L34" i="3"/>
  <c r="L486" i="3"/>
  <c r="L494" i="3"/>
  <c r="L507" i="3"/>
  <c r="L515" i="3"/>
  <c r="L523" i="3"/>
  <c r="L546" i="3"/>
  <c r="L458" i="3"/>
  <c r="L501" i="3"/>
  <c r="L481" i="3"/>
  <c r="L529" i="3"/>
  <c r="L614" i="3"/>
  <c r="L790" i="3"/>
  <c r="L656" i="3"/>
  <c r="L473" i="3"/>
  <c r="L551" i="3"/>
  <c r="L466" i="3"/>
  <c r="L622" i="3"/>
  <c r="L633" i="3"/>
  <c r="L661" i="3"/>
  <c r="L670" i="3"/>
  <c r="L811" i="3"/>
  <c r="L925" i="3"/>
  <c r="L1225" i="3"/>
  <c r="L738" i="3"/>
  <c r="L785" i="3"/>
  <c r="L1013" i="3"/>
  <c r="L1237" i="3"/>
  <c r="L1031" i="3"/>
  <c r="M1031" i="3" s="1"/>
  <c r="L1482" i="3"/>
  <c r="L802" i="3"/>
  <c r="L729" i="3"/>
  <c r="L608" i="3"/>
  <c r="L1680" i="3"/>
  <c r="L1802" i="3"/>
  <c r="L1810" i="3"/>
  <c r="L1873" i="3"/>
  <c r="L1976" i="3"/>
  <c r="L1984" i="3"/>
  <c r="L2047" i="3"/>
  <c r="L2055" i="3"/>
  <c r="L1914" i="3"/>
  <c r="L1993" i="3"/>
  <c r="L2032" i="3"/>
  <c r="L1852" i="3"/>
  <c r="L2010" i="3"/>
  <c r="L2040" i="3"/>
  <c r="L2106" i="3"/>
  <c r="L2114" i="3"/>
  <c r="L1932" i="3"/>
  <c r="L2084" i="3"/>
  <c r="L2142" i="3"/>
  <c r="L2170" i="3"/>
  <c r="L2179" i="3"/>
  <c r="L2197" i="3"/>
  <c r="L2510" i="3"/>
  <c r="L1790" i="3"/>
  <c r="L2070" i="3"/>
  <c r="L1776" i="3"/>
  <c r="L1840" i="3"/>
  <c r="L2126" i="3"/>
  <c r="L2155" i="3"/>
  <c r="L1892" i="3"/>
  <c r="L1924" i="3"/>
  <c r="L2062" i="3"/>
  <c r="L2077" i="3"/>
  <c r="L2091" i="3"/>
  <c r="L1861" i="3"/>
  <c r="L2004" i="3"/>
  <c r="L2139" i="3"/>
  <c r="L1831" i="3"/>
  <c r="L2021" i="3"/>
  <c r="L2204" i="3"/>
  <c r="L2802" i="3"/>
  <c r="M2802" i="3" s="1"/>
  <c r="J534" i="10" s="1"/>
  <c r="L2813" i="3"/>
  <c r="M2813" i="3" s="1"/>
  <c r="J535" i="10" s="1"/>
  <c r="L2187" i="3"/>
  <c r="L2822" i="3"/>
  <c r="M2822" i="3" s="1"/>
  <c r="J536" i="10" s="1"/>
  <c r="L2885" i="3"/>
  <c r="M2885" i="3" s="1"/>
  <c r="J564" i="10" s="1"/>
  <c r="L3053" i="3"/>
  <c r="M3053" i="3" s="1"/>
  <c r="L3285" i="3"/>
  <c r="M3285" i="3" s="1"/>
  <c r="L3044" i="3"/>
  <c r="M3044" i="3" s="1"/>
  <c r="L3078" i="3"/>
  <c r="M3078" i="3" s="1"/>
  <c r="L3089" i="3"/>
  <c r="M3089" i="3" s="1"/>
  <c r="L3117" i="3"/>
  <c r="M3117" i="3" s="1"/>
  <c r="L3127" i="3"/>
  <c r="M3127" i="3" s="1"/>
  <c r="J609" i="10" s="1"/>
  <c r="L3174" i="3"/>
  <c r="M3174" i="3" s="1"/>
  <c r="L3291" i="3"/>
  <c r="M3291" i="3" s="1"/>
  <c r="L2871" i="3"/>
  <c r="M2871" i="3" s="1"/>
  <c r="J563" i="10" s="1"/>
  <c r="L3133" i="3"/>
  <c r="M3133" i="3" s="1"/>
  <c r="L1009" i="3"/>
  <c r="L1036" i="3"/>
  <c r="L1044" i="3"/>
  <c r="L1084" i="3"/>
  <c r="L1092" i="3"/>
  <c r="L2269" i="3"/>
  <c r="L2367" i="3"/>
  <c r="L764" i="3"/>
  <c r="L2416" i="3"/>
  <c r="L174" i="3"/>
  <c r="L1438" i="3"/>
  <c r="L3257" i="3"/>
  <c r="M3257" i="3" s="1"/>
  <c r="L3159" i="3"/>
  <c r="M3159" i="3" s="1"/>
  <c r="L3151" i="3"/>
  <c r="M3151" i="3" s="1"/>
  <c r="L2968" i="3"/>
  <c r="M2968" i="3" s="1"/>
  <c r="L383" i="3"/>
  <c r="L380" i="3"/>
  <c r="L2302" i="3"/>
  <c r="L2306" i="3"/>
  <c r="L585" i="3"/>
  <c r="L1564" i="3"/>
  <c r="L2472" i="3"/>
  <c r="L2623" i="3"/>
  <c r="L2610" i="3"/>
  <c r="L598" i="3"/>
  <c r="L2223" i="3"/>
  <c r="L2375" i="3"/>
  <c r="L2246" i="3"/>
  <c r="L2324" i="3"/>
  <c r="L349" i="3"/>
  <c r="L340" i="3"/>
  <c r="L702" i="3"/>
  <c r="L994" i="3"/>
  <c r="L1242" i="3"/>
  <c r="L1164" i="3"/>
  <c r="L1205" i="3"/>
  <c r="L1229" i="3"/>
  <c r="L1216" i="3"/>
  <c r="L2502" i="3"/>
  <c r="L2364" i="3"/>
  <c r="L2889" i="3"/>
  <c r="M2889" i="3" s="1"/>
  <c r="L2848" i="3"/>
  <c r="M2848" i="3" s="1"/>
  <c r="L79" i="3"/>
  <c r="L183" i="3"/>
  <c r="L25" i="3"/>
  <c r="L603" i="3"/>
  <c r="L1586" i="3"/>
  <c r="L1592" i="3"/>
  <c r="L3120" i="3"/>
  <c r="M3120" i="3" s="1"/>
  <c r="L114" i="3"/>
  <c r="L44" i="3"/>
  <c r="L21" i="3"/>
  <c r="L147" i="3"/>
  <c r="L552" i="3"/>
  <c r="L1694" i="3"/>
  <c r="L1455" i="3"/>
  <c r="L282" i="3"/>
  <c r="L410" i="3"/>
  <c r="L685" i="3"/>
  <c r="L681" i="3"/>
  <c r="L1117" i="3"/>
  <c r="L2288" i="3"/>
  <c r="L2173" i="3"/>
  <c r="L1781" i="3"/>
  <c r="L2348" i="3"/>
  <c r="L2905" i="3"/>
  <c r="M2905" i="3" s="1"/>
  <c r="L2119" i="3"/>
  <c r="L2912" i="3"/>
  <c r="M2912" i="3" s="1"/>
  <c r="L83" i="3"/>
  <c r="L12" i="3"/>
  <c r="L563" i="3"/>
  <c r="L1496" i="3"/>
  <c r="L584" i="3"/>
  <c r="L577" i="3"/>
  <c r="L586" i="3"/>
  <c r="L589" i="3"/>
  <c r="L1578" i="3"/>
  <c r="L649" i="3"/>
  <c r="L1547" i="3"/>
  <c r="L1655" i="3"/>
  <c r="L1568" i="3"/>
  <c r="L1527" i="3"/>
  <c r="L1624" i="3"/>
  <c r="L1719" i="3"/>
  <c r="L741" i="3"/>
  <c r="L251" i="3"/>
  <c r="L361" i="3"/>
  <c r="L1148" i="3"/>
  <c r="L3019" i="3"/>
  <c r="M3019" i="3" s="1"/>
  <c r="J624" i="10" s="1"/>
  <c r="L3234" i="3"/>
  <c r="M3234" i="3" s="1"/>
  <c r="J645" i="10" s="1"/>
  <c r="L560" i="3"/>
  <c r="L2299" i="3"/>
  <c r="L3269" i="3"/>
  <c r="M3269" i="3" s="1"/>
  <c r="J651" i="10" s="1"/>
  <c r="L672" i="3"/>
  <c r="L2279" i="3"/>
  <c r="L2353" i="3"/>
  <c r="L2427" i="3"/>
  <c r="L3138" i="3"/>
  <c r="M3138" i="3" s="1"/>
  <c r="L3243" i="3"/>
  <c r="M3243" i="3" s="1"/>
  <c r="L177" i="3"/>
  <c r="L3154" i="3"/>
  <c r="M3154" i="3" s="1"/>
  <c r="L3260" i="3"/>
  <c r="M3260" i="3" s="1"/>
  <c r="L3162" i="3"/>
  <c r="M3162" i="3" s="1"/>
  <c r="L1548" i="3"/>
  <c r="L3056" i="3"/>
  <c r="M3056" i="3" s="1"/>
  <c r="L387" i="3"/>
  <c r="L1398" i="3"/>
  <c r="L540" i="3"/>
  <c r="L642" i="3"/>
  <c r="L575" i="3"/>
  <c r="L567" i="3"/>
  <c r="L1563" i="3"/>
  <c r="L1540" i="3"/>
  <c r="L1471" i="3"/>
  <c r="L1726" i="3"/>
  <c r="L1520" i="3"/>
  <c r="L1609" i="3"/>
  <c r="L1615" i="3"/>
  <c r="L1503" i="3"/>
  <c r="L3144" i="3"/>
  <c r="M3144" i="3" s="1"/>
  <c r="L3055" i="3"/>
  <c r="M3055" i="3" s="1"/>
  <c r="L4" i="3"/>
  <c r="M4" i="3" s="1"/>
  <c r="L33" i="3"/>
  <c r="L549" i="3"/>
  <c r="L217" i="3"/>
  <c r="L544" i="3"/>
  <c r="L1490" i="3"/>
  <c r="L1678" i="3"/>
  <c r="L1584" i="3"/>
  <c r="L1480" i="3"/>
  <c r="L1325" i="3"/>
  <c r="L1320" i="3"/>
  <c r="L3064" i="3"/>
  <c r="M3064" i="3" s="1"/>
  <c r="L175" i="3"/>
  <c r="L3152" i="3"/>
  <c r="M3152" i="3" s="1"/>
  <c r="L3160" i="3"/>
  <c r="M3160" i="3" s="1"/>
  <c r="L2969" i="3"/>
  <c r="M2969" i="3" s="1"/>
  <c r="L3258" i="3"/>
  <c r="M3258" i="3" s="1"/>
  <c r="L315" i="3"/>
  <c r="L276" i="3"/>
  <c r="L1025" i="3"/>
  <c r="L1033" i="3"/>
  <c r="L1041" i="3"/>
  <c r="L1081" i="3"/>
  <c r="L1089" i="3"/>
  <c r="L1006" i="3"/>
  <c r="L2526" i="3"/>
  <c r="L2520" i="3"/>
  <c r="L2514" i="3"/>
  <c r="L2533" i="3"/>
  <c r="L1727" i="3"/>
  <c r="L3145" i="3"/>
  <c r="M3145" i="3" s="1"/>
  <c r="L186" i="3"/>
  <c r="L28" i="3"/>
  <c r="L92" i="3"/>
  <c r="L213" i="3"/>
  <c r="L62" i="3"/>
  <c r="L86" i="3"/>
  <c r="L15" i="3"/>
  <c r="L49" i="3"/>
  <c r="M49" i="3" s="1"/>
  <c r="L72" i="3"/>
  <c r="L56" i="3"/>
  <c r="L248" i="3"/>
  <c r="L40" i="3"/>
  <c r="L172" i="3"/>
  <c r="L2251" i="3"/>
  <c r="L2984" i="3"/>
  <c r="M2984" i="3" s="1"/>
  <c r="L75" i="3"/>
  <c r="L37" i="3"/>
  <c r="L232" i="3"/>
  <c r="L792" i="3"/>
  <c r="L1555" i="3"/>
  <c r="L1702" i="3"/>
  <c r="L1712" i="3"/>
  <c r="L1640" i="3"/>
  <c r="L3058" i="3"/>
  <c r="M3058" i="3" s="1"/>
  <c r="L2202" i="3"/>
  <c r="L2195" i="3"/>
  <c r="M2195" i="3" s="1"/>
  <c r="L3289" i="3"/>
  <c r="M3289" i="3" s="1"/>
  <c r="L3283" i="3"/>
  <c r="M3283" i="3" s="1"/>
  <c r="L1734" i="3"/>
  <c r="L2978" i="3"/>
  <c r="M2978" i="3" s="1"/>
  <c r="L2972" i="3"/>
  <c r="M2972" i="3" s="1"/>
  <c r="L2975" i="3"/>
  <c r="M2975" i="3" s="1"/>
  <c r="L3167" i="3"/>
  <c r="M3167" i="3" s="1"/>
  <c r="L367" i="3"/>
  <c r="L1118" i="3"/>
  <c r="L828" i="3"/>
  <c r="L1014" i="3"/>
  <c r="L2906" i="3"/>
  <c r="M2906" i="3" s="1"/>
  <c r="L2913" i="3"/>
  <c r="M2913" i="3" s="1"/>
  <c r="L3011" i="3"/>
  <c r="M3011" i="3" s="1"/>
  <c r="L309" i="3"/>
  <c r="L937" i="3"/>
  <c r="L1252" i="3"/>
  <c r="L289" i="3"/>
  <c r="L2417" i="3"/>
  <c r="L2249" i="3"/>
  <c r="L2341" i="3"/>
  <c r="L2325" i="3"/>
  <c r="L3209" i="3"/>
  <c r="M3209" i="3" s="1"/>
  <c r="L2846" i="3"/>
  <c r="M2846" i="3" s="1"/>
  <c r="L3197" i="3"/>
  <c r="M3197" i="3" s="1"/>
  <c r="L431" i="3"/>
  <c r="L750" i="3"/>
  <c r="L2262" i="3"/>
  <c r="L2386" i="3"/>
  <c r="L2256" i="3"/>
  <c r="L2362" i="3"/>
  <c r="L2397" i="3"/>
  <c r="L576" i="3"/>
  <c r="L1521" i="3"/>
  <c r="L2352" i="3"/>
  <c r="M2352" i="3" s="1"/>
  <c r="L607" i="3"/>
  <c r="L1975" i="3"/>
  <c r="L2009" i="3"/>
  <c r="L2027" i="3"/>
  <c r="L2154" i="3"/>
  <c r="L3077" i="3"/>
  <c r="M3077" i="3" s="1"/>
  <c r="L3084" i="3"/>
  <c r="M3084" i="3" s="1"/>
  <c r="L107" i="3"/>
  <c r="L100" i="3"/>
  <c r="L189" i="3"/>
  <c r="L3002" i="3"/>
  <c r="M3002" i="3" s="1"/>
  <c r="J585" i="10" s="1"/>
  <c r="K468" i="2"/>
  <c r="L468" i="2" s="1"/>
  <c r="K583" i="2"/>
  <c r="L583" i="2" s="1"/>
  <c r="K922" i="2"/>
  <c r="L922" i="2" s="1"/>
  <c r="K831" i="2"/>
  <c r="L831" i="2" s="1"/>
  <c r="K961" i="2"/>
  <c r="L961" i="2" s="1"/>
  <c r="K1058" i="2"/>
  <c r="L1058" i="2" s="1"/>
  <c r="K638" i="2"/>
  <c r="L638" i="2" s="1"/>
  <c r="K1164" i="2"/>
  <c r="L1164" i="2" s="1"/>
  <c r="K674" i="2"/>
  <c r="L674" i="2" s="1"/>
  <c r="K959" i="2"/>
  <c r="L959" i="2" s="1"/>
  <c r="K1060" i="2"/>
  <c r="L1060" i="2" s="1"/>
  <c r="K829" i="2"/>
  <c r="L829" i="2" s="1"/>
  <c r="K942" i="2"/>
  <c r="L942" i="2" s="1"/>
  <c r="K855" i="2"/>
  <c r="L855" i="2" s="1"/>
  <c r="K1084" i="2"/>
  <c r="L1084" i="2" s="1"/>
  <c r="L573" i="10"/>
  <c r="K573" i="10"/>
  <c r="M573" i="10" s="1"/>
  <c r="Q2955" i="3" s="1"/>
  <c r="P2955" i="3"/>
  <c r="P3278" i="3"/>
  <c r="L654" i="10"/>
  <c r="K654" i="10"/>
  <c r="M654" i="10" s="1"/>
  <c r="Q3278" i="3" s="1"/>
  <c r="L653" i="10"/>
  <c r="K653" i="10"/>
  <c r="M653" i="10" s="1"/>
  <c r="Q3277" i="3" s="1"/>
  <c r="P3277" i="3"/>
  <c r="L597" i="10"/>
  <c r="P3136" i="3"/>
  <c r="K597" i="10"/>
  <c r="M597" i="10" s="1"/>
  <c r="Q3136" i="3" s="1"/>
  <c r="L596" i="10"/>
  <c r="K596" i="10"/>
  <c r="M596" i="10" s="1"/>
  <c r="Q3135" i="3" s="1"/>
  <c r="P3135" i="3"/>
  <c r="P2956" i="3"/>
  <c r="L574" i="10"/>
  <c r="K574" i="10"/>
  <c r="M574" i="10" s="1"/>
  <c r="Q2956" i="3" s="1"/>
  <c r="M498" i="10"/>
  <c r="J49" i="10"/>
  <c r="M492" i="10"/>
  <c r="M483" i="10"/>
  <c r="M482" i="10"/>
  <c r="M490" i="10"/>
  <c r="M480" i="10"/>
  <c r="M493" i="10"/>
  <c r="M447" i="10"/>
  <c r="M509" i="10"/>
  <c r="M470" i="10"/>
  <c r="M502" i="10"/>
  <c r="M211" i="10"/>
  <c r="K551" i="10"/>
  <c r="P3391" i="3" l="1"/>
  <c r="P3390" i="3"/>
  <c r="H196" i="5"/>
  <c r="H213" i="5"/>
  <c r="L1215" i="2"/>
  <c r="D535" i="1"/>
  <c r="H535" i="1" s="1"/>
  <c r="Q3490" i="3"/>
  <c r="Q3488" i="3"/>
  <c r="Q3476" i="3"/>
  <c r="Q3489" i="3"/>
  <c r="Q3468" i="3"/>
  <c r="Q3477" i="3"/>
  <c r="Q3487" i="3"/>
  <c r="Q3480" i="3"/>
  <c r="Q3469" i="3"/>
  <c r="Q3486" i="3"/>
  <c r="Q3472" i="3"/>
  <c r="Q3483" i="3"/>
  <c r="Q3478" i="3"/>
  <c r="Q3479" i="3"/>
  <c r="Q3475" i="3"/>
  <c r="Q3470" i="3"/>
  <c r="Q3471" i="3"/>
  <c r="Q3473" i="3"/>
  <c r="Q3482" i="3"/>
  <c r="Q3484" i="3"/>
  <c r="Q3474" i="3"/>
  <c r="Q3485" i="3"/>
  <c r="Q3481" i="3"/>
  <c r="P3393" i="3"/>
  <c r="P3394" i="3"/>
  <c r="P3392" i="3"/>
  <c r="P3389" i="3"/>
  <c r="J537" i="10"/>
  <c r="J603" i="10"/>
  <c r="L655" i="10"/>
  <c r="P3271" i="3"/>
  <c r="K655" i="10"/>
  <c r="M655" i="10" s="1"/>
  <c r="Q3273" i="3" s="1"/>
  <c r="P3272" i="3"/>
  <c r="J615" i="10"/>
  <c r="P3269" i="3"/>
  <c r="K651" i="10"/>
  <c r="M651" i="10" s="1"/>
  <c r="Q3269" i="3" s="1"/>
  <c r="L651" i="10"/>
  <c r="J633" i="10"/>
  <c r="J5" i="10"/>
  <c r="P3273" i="3"/>
  <c r="P3001" i="3"/>
  <c r="P3004" i="3"/>
  <c r="P3002" i="3"/>
  <c r="K585" i="10"/>
  <c r="M585" i="10" s="1"/>
  <c r="Q3003" i="3" s="1"/>
  <c r="P3003" i="3"/>
  <c r="L585" i="10"/>
  <c r="P2865" i="3"/>
  <c r="P2884" i="3"/>
  <c r="K535" i="10"/>
  <c r="M535" i="10" s="1"/>
  <c r="L534" i="10"/>
  <c r="L497" i="10"/>
  <c r="L536" i="10"/>
  <c r="L558" i="10"/>
  <c r="K558" i="10"/>
  <c r="M558" i="10" s="1"/>
  <c r="J602" i="10"/>
  <c r="J630" i="10"/>
  <c r="L580" i="10"/>
  <c r="P2930" i="3"/>
  <c r="P2929" i="3"/>
  <c r="K580" i="10"/>
  <c r="M580" i="10" s="1"/>
  <c r="P2931" i="3"/>
  <c r="J638" i="10"/>
  <c r="P3127" i="3"/>
  <c r="L609" i="10"/>
  <c r="K609" i="10"/>
  <c r="M609" i="10" s="1"/>
  <c r="Q3127" i="3" s="1"/>
  <c r="J589" i="10"/>
  <c r="P3039" i="3"/>
  <c r="L592" i="10"/>
  <c r="K592" i="10"/>
  <c r="M592" i="10" s="1"/>
  <c r="Q3039" i="3" s="1"/>
  <c r="L618" i="10"/>
  <c r="K618" i="10"/>
  <c r="M618" i="10" s="1"/>
  <c r="P3069" i="3"/>
  <c r="P3068" i="3"/>
  <c r="P3126" i="3"/>
  <c r="K617" i="10"/>
  <c r="M617" i="10" s="1"/>
  <c r="P3125" i="3"/>
  <c r="L617" i="10"/>
  <c r="P3066" i="3"/>
  <c r="K616" i="10"/>
  <c r="M616" i="10" s="1"/>
  <c r="P3065" i="3"/>
  <c r="P3067" i="3"/>
  <c r="L616" i="10"/>
  <c r="P3124" i="3"/>
  <c r="L614" i="10"/>
  <c r="P3123" i="3"/>
  <c r="K614" i="10"/>
  <c r="M614" i="10" s="1"/>
  <c r="J566" i="10"/>
  <c r="J690" i="10" s="1"/>
  <c r="J691" i="10" s="1"/>
  <c r="P3062" i="3"/>
  <c r="L620" i="10"/>
  <c r="K620" i="10"/>
  <c r="M620" i="10" s="1"/>
  <c r="Q3062" i="3" s="1"/>
  <c r="P2961" i="3"/>
  <c r="K576" i="10"/>
  <c r="M576" i="10" s="1"/>
  <c r="P2959" i="3"/>
  <c r="L576" i="10"/>
  <c r="P2962" i="3"/>
  <c r="P2958" i="3"/>
  <c r="P2960" i="3"/>
  <c r="P2957" i="3"/>
  <c r="P3094" i="3"/>
  <c r="L595" i="10"/>
  <c r="K595" i="10"/>
  <c r="M595" i="10" s="1"/>
  <c r="Q3094" i="3" s="1"/>
  <c r="K591" i="10"/>
  <c r="M591" i="10" s="1"/>
  <c r="L591" i="10"/>
  <c r="P3016" i="3"/>
  <c r="P3015" i="3"/>
  <c r="P2949" i="3"/>
  <c r="L584" i="10"/>
  <c r="P2945" i="3"/>
  <c r="K584" i="10"/>
  <c r="M584" i="10" s="1"/>
  <c r="P2943" i="3"/>
  <c r="P2946" i="3"/>
  <c r="P2942" i="3"/>
  <c r="P2941" i="3"/>
  <c r="P2953" i="3"/>
  <c r="P2939" i="3"/>
  <c r="P2951" i="3"/>
  <c r="P2954" i="3"/>
  <c r="P2937" i="3"/>
  <c r="P2948" i="3"/>
  <c r="P2952" i="3"/>
  <c r="P2947" i="3"/>
  <c r="P2935" i="3"/>
  <c r="P2940" i="3"/>
  <c r="P2944" i="3"/>
  <c r="P2938" i="3"/>
  <c r="P2936" i="3"/>
  <c r="P2950" i="3"/>
  <c r="P3231" i="3"/>
  <c r="P3239" i="3"/>
  <c r="P3241" i="3"/>
  <c r="P3237" i="3"/>
  <c r="P3234" i="3"/>
  <c r="P3240" i="3"/>
  <c r="P3232" i="3"/>
  <c r="P3238" i="3"/>
  <c r="L645" i="10"/>
  <c r="P3236" i="3"/>
  <c r="K645" i="10"/>
  <c r="M645" i="10" s="1"/>
  <c r="P3233" i="3"/>
  <c r="P3235" i="3"/>
  <c r="J650" i="10"/>
  <c r="K610" i="10"/>
  <c r="M610" i="10" s="1"/>
  <c r="P3036" i="3"/>
  <c r="P3038" i="3"/>
  <c r="P3035" i="3"/>
  <c r="P3037" i="3"/>
  <c r="L610" i="10"/>
  <c r="P2933" i="3"/>
  <c r="K581" i="10"/>
  <c r="M581" i="10" s="1"/>
  <c r="P2932" i="3"/>
  <c r="P2934" i="3"/>
  <c r="L581" i="10"/>
  <c r="K624" i="10"/>
  <c r="M624" i="10" s="1"/>
  <c r="P3017" i="3"/>
  <c r="P3021" i="3"/>
  <c r="L624" i="10"/>
  <c r="P3019" i="3"/>
  <c r="P3020" i="3"/>
  <c r="P3018" i="3"/>
  <c r="J637" i="10"/>
  <c r="J590" i="10"/>
  <c r="J629" i="10"/>
  <c r="K497" i="10"/>
  <c r="M497" i="10" s="1"/>
  <c r="J102" i="10"/>
  <c r="J565" i="10"/>
  <c r="P2870" i="3"/>
  <c r="K536" i="10"/>
  <c r="M536" i="10" s="1"/>
  <c r="P2862" i="3"/>
  <c r="P2869" i="3"/>
  <c r="P2863" i="3"/>
  <c r="P2871" i="3"/>
  <c r="P2868" i="3"/>
  <c r="K534" i="10"/>
  <c r="M534" i="10" s="1"/>
  <c r="L535" i="10"/>
  <c r="P2872" i="3"/>
  <c r="P2873" i="3"/>
  <c r="P2861" i="3"/>
  <c r="L563" i="10"/>
  <c r="P2866" i="3"/>
  <c r="K563" i="10"/>
  <c r="M563" i="10" s="1"/>
  <c r="Q2872" i="3" s="1"/>
  <c r="P2864" i="3"/>
  <c r="P2867" i="3"/>
  <c r="P2885" i="3"/>
  <c r="P2880" i="3"/>
  <c r="P2878" i="3"/>
  <c r="P2887" i="3"/>
  <c r="P2883" i="3"/>
  <c r="P2886" i="3"/>
  <c r="P2882" i="3"/>
  <c r="P2876" i="3"/>
  <c r="P2875" i="3"/>
  <c r="P2881" i="3"/>
  <c r="K564" i="10"/>
  <c r="M564" i="10" s="1"/>
  <c r="Q2880" i="3" s="1"/>
  <c r="P2879" i="3"/>
  <c r="P2877" i="3"/>
  <c r="L564" i="10"/>
  <c r="P2874" i="3"/>
  <c r="L551" i="10"/>
  <c r="K49" i="10"/>
  <c r="M551" i="10"/>
  <c r="D534" i="1" l="1"/>
  <c r="H534" i="1" s="1"/>
  <c r="L51" i="3" s="1"/>
  <c r="Q3391" i="3"/>
  <c r="Q3390" i="3"/>
  <c r="H215" i="5"/>
  <c r="L647" i="3"/>
  <c r="L1590" i="3"/>
  <c r="L1607" i="3"/>
  <c r="L3122" i="3"/>
  <c r="M3122" i="3" s="1"/>
  <c r="L1506" i="3"/>
  <c r="L1457" i="3"/>
  <c r="L554" i="3"/>
  <c r="L1706" i="3"/>
  <c r="M1706" i="3" s="1"/>
  <c r="L570" i="3"/>
  <c r="L1679" i="3"/>
  <c r="L1481" i="3"/>
  <c r="L1491" i="3"/>
  <c r="P3445" i="3"/>
  <c r="P3443" i="3"/>
  <c r="P3441" i="3"/>
  <c r="P3439" i="3"/>
  <c r="P3440" i="3"/>
  <c r="P3438" i="3"/>
  <c r="P3444" i="3"/>
  <c r="P3442" i="3"/>
  <c r="Q3357" i="3"/>
  <c r="Q3355" i="3"/>
  <c r="Q3356" i="3"/>
  <c r="Q3358" i="3"/>
  <c r="Q3393" i="3"/>
  <c r="Q3389" i="3"/>
  <c r="Q3394" i="3"/>
  <c r="Q3392" i="3"/>
  <c r="K603" i="10"/>
  <c r="M603" i="10" s="1"/>
  <c r="Q3171" i="3" s="1"/>
  <c r="L603" i="10"/>
  <c r="P3173" i="3"/>
  <c r="P3172" i="3"/>
  <c r="Q3272" i="3"/>
  <c r="Q3271" i="3"/>
  <c r="P3171" i="3"/>
  <c r="P3174" i="3"/>
  <c r="P3170" i="3"/>
  <c r="P3175" i="3"/>
  <c r="Q3004" i="3"/>
  <c r="Q3001" i="3"/>
  <c r="Q3002" i="3"/>
  <c r="P3146" i="3"/>
  <c r="P3063" i="3"/>
  <c r="L615" i="10"/>
  <c r="P3064" i="3"/>
  <c r="P3144" i="3"/>
  <c r="K615" i="10"/>
  <c r="M615" i="10" s="1"/>
  <c r="Q3063" i="3" s="1"/>
  <c r="P3145" i="3"/>
  <c r="K633" i="10"/>
  <c r="M633" i="10" s="1"/>
  <c r="Q3145" i="3" s="1"/>
  <c r="L633" i="10"/>
  <c r="L102" i="10"/>
  <c r="L602" i="10"/>
  <c r="K537" i="10"/>
  <c r="M537" i="10" s="1"/>
  <c r="P2893" i="3"/>
  <c r="P3055" i="3"/>
  <c r="P2897" i="3"/>
  <c r="P3050" i="3"/>
  <c r="K602" i="10"/>
  <c r="M602" i="10" s="1"/>
  <c r="Q3047" i="3" s="1"/>
  <c r="P3048" i="3"/>
  <c r="P3053" i="3"/>
  <c r="P3051" i="3"/>
  <c r="P3049" i="3"/>
  <c r="P3047" i="3"/>
  <c r="P3054" i="3"/>
  <c r="P3052" i="3"/>
  <c r="L537" i="10"/>
  <c r="P3056" i="3"/>
  <c r="K630" i="10"/>
  <c r="M630" i="10" s="1"/>
  <c r="Q3057" i="3" s="1"/>
  <c r="P3057" i="3"/>
  <c r="L630" i="10"/>
  <c r="P2898" i="3"/>
  <c r="K566" i="10"/>
  <c r="M566" i="10" s="1"/>
  <c r="Q2903" i="3" s="1"/>
  <c r="P2899" i="3"/>
  <c r="P2902" i="3"/>
  <c r="P2904" i="3"/>
  <c r="K638" i="10"/>
  <c r="M638" i="10" s="1"/>
  <c r="P3161" i="3"/>
  <c r="P3164" i="3"/>
  <c r="P3163" i="3"/>
  <c r="P3159" i="3"/>
  <c r="P3160" i="3"/>
  <c r="P3165" i="3"/>
  <c r="P3162" i="3"/>
  <c r="L638" i="10"/>
  <c r="P3166" i="3"/>
  <c r="Q3066" i="3"/>
  <c r="Q3065" i="3"/>
  <c r="Q3067" i="3"/>
  <c r="P3155" i="3"/>
  <c r="P3157" i="3"/>
  <c r="P3154" i="3"/>
  <c r="L637" i="10"/>
  <c r="P3151" i="3"/>
  <c r="K637" i="10"/>
  <c r="M637" i="10" s="1"/>
  <c r="P3156" i="3"/>
  <c r="P3152" i="3"/>
  <c r="P3153" i="3"/>
  <c r="P3158" i="3"/>
  <c r="P2900" i="3"/>
  <c r="P2901" i="3"/>
  <c r="L566" i="10"/>
  <c r="Q3036" i="3"/>
  <c r="Q3037" i="3"/>
  <c r="Q3038" i="3"/>
  <c r="Q3035" i="3"/>
  <c r="Q3015" i="3"/>
  <c r="Q3016" i="3"/>
  <c r="Q3123" i="3"/>
  <c r="Q3124" i="3"/>
  <c r="Q3231" i="3"/>
  <c r="Q3239" i="3"/>
  <c r="Q3238" i="3"/>
  <c r="Q3232" i="3"/>
  <c r="Q3234" i="3"/>
  <c r="Q3237" i="3"/>
  <c r="Q3235" i="3"/>
  <c r="Q3240" i="3"/>
  <c r="Q3233" i="3"/>
  <c r="Q3241" i="3"/>
  <c r="Q3236" i="3"/>
  <c r="P2903" i="3"/>
  <c r="Q2934" i="3"/>
  <c r="Q2932" i="3"/>
  <c r="Q2933" i="3"/>
  <c r="Q2951" i="3"/>
  <c r="Q2952" i="3"/>
  <c r="Q2937" i="3"/>
  <c r="Q2940" i="3"/>
  <c r="Q2953" i="3"/>
  <c r="Q2942" i="3"/>
  <c r="Q2946" i="3"/>
  <c r="Q2944" i="3"/>
  <c r="Q2943" i="3"/>
  <c r="Q2935" i="3"/>
  <c r="Q2936" i="3"/>
  <c r="Q2954" i="3"/>
  <c r="Q2939" i="3"/>
  <c r="Q2938" i="3"/>
  <c r="Q2949" i="3"/>
  <c r="Q2950" i="3"/>
  <c r="Q2941" i="3"/>
  <c r="Q2947" i="3"/>
  <c r="Q2945" i="3"/>
  <c r="Q2948" i="3"/>
  <c r="Q3126" i="3"/>
  <c r="Q3125" i="3"/>
  <c r="Q2929" i="3"/>
  <c r="Q2930" i="3"/>
  <c r="Q2931" i="3"/>
  <c r="P3058" i="3"/>
  <c r="P3060" i="3"/>
  <c r="L629" i="10"/>
  <c r="K629" i="10"/>
  <c r="M629" i="10" s="1"/>
  <c r="P3059" i="3"/>
  <c r="P3061" i="3"/>
  <c r="P3258" i="3"/>
  <c r="P3257" i="3"/>
  <c r="P3264" i="3"/>
  <c r="P3261" i="3"/>
  <c r="P3263" i="3"/>
  <c r="P3259" i="3"/>
  <c r="P3266" i="3"/>
  <c r="P3268" i="3"/>
  <c r="P3260" i="3"/>
  <c r="P3265" i="3"/>
  <c r="P3267" i="3"/>
  <c r="L650" i="10"/>
  <c r="K650" i="10"/>
  <c r="M650" i="10" s="1"/>
  <c r="P3262" i="3"/>
  <c r="Q2961" i="3"/>
  <c r="Q2960" i="3"/>
  <c r="Q2958" i="3"/>
  <c r="Q2962" i="3"/>
  <c r="Q2957" i="3"/>
  <c r="Q2959" i="3"/>
  <c r="P2968" i="3"/>
  <c r="L589" i="10"/>
  <c r="K589" i="10"/>
  <c r="M589" i="10" s="1"/>
  <c r="P2971" i="3"/>
  <c r="P2969" i="3"/>
  <c r="P2970" i="3"/>
  <c r="P2986" i="3"/>
  <c r="P2984" i="3"/>
  <c r="P2983" i="3"/>
  <c r="P2981" i="3"/>
  <c r="P2985" i="3"/>
  <c r="P2982" i="3"/>
  <c r="L590" i="10"/>
  <c r="K590" i="10"/>
  <c r="M590" i="10" s="1"/>
  <c r="Q3020" i="3"/>
  <c r="Q3019" i="3"/>
  <c r="Q3021" i="3"/>
  <c r="Q3018" i="3"/>
  <c r="Q3017" i="3"/>
  <c r="Q3069" i="3"/>
  <c r="Q3068" i="3"/>
  <c r="K102" i="10"/>
  <c r="M102" i="10" s="1"/>
  <c r="L565" i="10"/>
  <c r="P2895" i="3"/>
  <c r="P2888" i="3"/>
  <c r="P2891" i="3"/>
  <c r="P2896" i="3"/>
  <c r="P2892" i="3"/>
  <c r="P2889" i="3"/>
  <c r="P2890" i="3"/>
  <c r="K565" i="10"/>
  <c r="M565" i="10" s="1"/>
  <c r="Q2894" i="3" s="1"/>
  <c r="P2894" i="3"/>
  <c r="Q2861" i="3"/>
  <c r="Q2863" i="3"/>
  <c r="Q2864" i="3"/>
  <c r="Q2866" i="3"/>
  <c r="Q2871" i="3"/>
  <c r="Q2869" i="3"/>
  <c r="Q2868" i="3"/>
  <c r="Q2862" i="3"/>
  <c r="Q2870" i="3"/>
  <c r="Q2865" i="3"/>
  <c r="Q2867" i="3"/>
  <c r="Q2873" i="3"/>
  <c r="Q2876" i="3"/>
  <c r="Q2886" i="3"/>
  <c r="Q2883" i="3"/>
  <c r="Q2875" i="3"/>
  <c r="Q2878" i="3"/>
  <c r="Q2879" i="3"/>
  <c r="Q2877" i="3"/>
  <c r="Q2881" i="3"/>
  <c r="Q2874" i="3"/>
  <c r="Q2885" i="3"/>
  <c r="Q2884" i="3"/>
  <c r="Q2882" i="3"/>
  <c r="Q2887" i="3"/>
  <c r="M1983" i="3"/>
  <c r="M2027" i="3"/>
  <c r="M1857" i="3"/>
  <c r="M490" i="3"/>
  <c r="M1992" i="3"/>
  <c r="M1786" i="3"/>
  <c r="M951" i="3"/>
  <c r="M455" i="3"/>
  <c r="M1773" i="3"/>
  <c r="M2154" i="3"/>
  <c r="M828" i="3"/>
  <c r="M2610" i="3"/>
  <c r="M1014" i="3"/>
  <c r="M2017" i="3"/>
  <c r="M2066" i="3"/>
  <c r="M483" i="3"/>
  <c r="M779" i="3"/>
  <c r="M1975" i="3"/>
  <c r="M2009" i="3"/>
  <c r="M367" i="3"/>
  <c r="M1281" i="3"/>
  <c r="J217" i="10" s="1"/>
  <c r="M607" i="3"/>
  <c r="M664" i="3"/>
  <c r="M628" i="3"/>
  <c r="M2473" i="3"/>
  <c r="J440" i="10" s="1"/>
  <c r="M2141" i="3"/>
  <c r="J331" i="10" s="1"/>
  <c r="M2472" i="3"/>
  <c r="J439" i="10" s="1"/>
  <c r="M2623" i="3"/>
  <c r="J489" i="10" s="1"/>
  <c r="M2456" i="3"/>
  <c r="J471" i="10" s="1"/>
  <c r="M2622" i="3"/>
  <c r="J488" i="10" s="1"/>
  <c r="M816" i="3"/>
  <c r="J76" i="10" s="1"/>
  <c r="M2463" i="3"/>
  <c r="M1381" i="3"/>
  <c r="J234" i="10" s="1"/>
  <c r="M1849" i="3"/>
  <c r="M1950" i="3"/>
  <c r="M1703" i="3"/>
  <c r="M378" i="3"/>
  <c r="M693" i="3"/>
  <c r="M2122" i="3"/>
  <c r="M2028" i="3"/>
  <c r="M725" i="3"/>
  <c r="M1941" i="3"/>
  <c r="M2110" i="3"/>
  <c r="M734" i="3"/>
  <c r="M1118" i="3"/>
  <c r="L2914" i="3" l="1"/>
  <c r="M2914" i="3" s="1"/>
  <c r="H198" i="5"/>
  <c r="D391" i="1"/>
  <c r="H391" i="1" s="1"/>
  <c r="K467" i="2" s="1"/>
  <c r="L467" i="2" s="1"/>
  <c r="D474" i="11"/>
  <c r="H474" i="11" s="1"/>
  <c r="D495" i="1"/>
  <c r="H495" i="1" s="1"/>
  <c r="D588" i="11"/>
  <c r="H588" i="11" s="1"/>
  <c r="Q3445" i="3"/>
  <c r="Q3443" i="3"/>
  <c r="Q3441" i="3"/>
  <c r="Q3439" i="3"/>
  <c r="Q3444" i="3"/>
  <c r="Q3442" i="3"/>
  <c r="Q3440" i="3"/>
  <c r="Q3438" i="3"/>
  <c r="Q3174" i="3"/>
  <c r="Q3144" i="3"/>
  <c r="Q3170" i="3"/>
  <c r="Q3172" i="3"/>
  <c r="Q3173" i="3"/>
  <c r="Q3175" i="3"/>
  <c r="Q3146" i="3"/>
  <c r="Q3064" i="3"/>
  <c r="Q3053" i="3"/>
  <c r="Q3054" i="3"/>
  <c r="Q3052" i="3"/>
  <c r="Q3048" i="3"/>
  <c r="Q3049" i="3"/>
  <c r="Q3051" i="3"/>
  <c r="Q3050" i="3"/>
  <c r="Q3056" i="3"/>
  <c r="Q3055" i="3"/>
  <c r="Q2901" i="3"/>
  <c r="Q2898" i="3"/>
  <c r="Q2899" i="3"/>
  <c r="Q2904" i="3"/>
  <c r="Q2902" i="3"/>
  <c r="Q2897" i="3"/>
  <c r="Q2900" i="3"/>
  <c r="Q2981" i="3"/>
  <c r="Q2983" i="3"/>
  <c r="Q2982" i="3"/>
  <c r="Q2986" i="3"/>
  <c r="Q2985" i="3"/>
  <c r="Q2984" i="3"/>
  <c r="Q3061" i="3"/>
  <c r="Q3059" i="3"/>
  <c r="Q3060" i="3"/>
  <c r="Q3058" i="3"/>
  <c r="Q3267" i="3"/>
  <c r="Q3264" i="3"/>
  <c r="Q3263" i="3"/>
  <c r="Q3257" i="3"/>
  <c r="Q3265" i="3"/>
  <c r="Q3266" i="3"/>
  <c r="Q3268" i="3"/>
  <c r="Q3261" i="3"/>
  <c r="Q3260" i="3"/>
  <c r="Q3262" i="3"/>
  <c r="Q3259" i="3"/>
  <c r="Q3258" i="3"/>
  <c r="Q2969" i="3"/>
  <c r="Q2970" i="3"/>
  <c r="Q2971" i="3"/>
  <c r="Q2968" i="3"/>
  <c r="Q3151" i="3"/>
  <c r="Q3157" i="3"/>
  <c r="Q3155" i="3"/>
  <c r="Q3153" i="3"/>
  <c r="Q3156" i="3"/>
  <c r="Q3158" i="3"/>
  <c r="Q3154" i="3"/>
  <c r="Q3152" i="3"/>
  <c r="Q3159" i="3"/>
  <c r="Q3166" i="3"/>
  <c r="Q3162" i="3"/>
  <c r="Q3163" i="3"/>
  <c r="Q3161" i="3"/>
  <c r="Q3165" i="3"/>
  <c r="Q3160" i="3"/>
  <c r="Q3164" i="3"/>
  <c r="Q2892" i="3"/>
  <c r="Q2891" i="3"/>
  <c r="Q2895" i="3"/>
  <c r="Q2888" i="3"/>
  <c r="Q2893" i="3"/>
  <c r="Q2890" i="3"/>
  <c r="Q2889" i="3"/>
  <c r="Q2896" i="3"/>
  <c r="L217" i="10"/>
  <c r="D370" i="1"/>
  <c r="D453" i="11"/>
  <c r="H453" i="11" s="1"/>
  <c r="K489" i="10"/>
  <c r="L489" i="10"/>
  <c r="L2237" i="3" l="1"/>
  <c r="L2339" i="3"/>
  <c r="L981" i="3"/>
  <c r="L121" i="3"/>
  <c r="M121" i="3" s="1"/>
  <c r="H370" i="1"/>
  <c r="L76" i="10"/>
  <c r="K76" i="10"/>
  <c r="M76" i="10" s="1"/>
  <c r="M489" i="10"/>
  <c r="K216" i="10"/>
  <c r="L216" i="10"/>
  <c r="K471" i="10"/>
  <c r="L471" i="10"/>
  <c r="K488" i="10"/>
  <c r="L488" i="10"/>
  <c r="K440" i="10"/>
  <c r="L440" i="10"/>
  <c r="K439" i="10"/>
  <c r="L439" i="10"/>
  <c r="K331" i="10"/>
  <c r="L331" i="10"/>
  <c r="L66" i="3" l="1"/>
  <c r="L3246" i="3"/>
  <c r="M3246" i="3" s="1"/>
  <c r="L3141" i="3"/>
  <c r="M3141" i="3" s="1"/>
  <c r="K980" i="2"/>
  <c r="L980" i="2" s="1"/>
  <c r="K949" i="2"/>
  <c r="L949" i="2" s="1"/>
  <c r="K982" i="2"/>
  <c r="L982" i="2" s="1"/>
  <c r="K1006" i="2"/>
  <c r="L1006" i="2" s="1"/>
  <c r="M331" i="10"/>
  <c r="M439" i="10"/>
  <c r="M440" i="10"/>
  <c r="M216" i="10"/>
  <c r="M488" i="10"/>
  <c r="M471" i="10"/>
  <c r="H219" i="5" l="1"/>
  <c r="K217" i="10" l="1"/>
  <c r="M217" i="10" l="1"/>
  <c r="M2180" i="3"/>
  <c r="M1497" i="3"/>
  <c r="M1514" i="3"/>
  <c r="M1712" i="3"/>
  <c r="M1457" i="3"/>
  <c r="M649" i="3"/>
  <c r="M545" i="3"/>
  <c r="M1119" i="3"/>
  <c r="M558" i="3"/>
  <c r="M2158" i="3"/>
  <c r="M489" i="3"/>
  <c r="M1609" i="3"/>
  <c r="M865" i="3"/>
  <c r="M1481" i="3"/>
  <c r="M233" i="3"/>
  <c r="M1505" i="3"/>
  <c r="M1570" i="3"/>
  <c r="M1254" i="3"/>
  <c r="M1548" i="3"/>
  <c r="M1521" i="3"/>
  <c r="M39" i="3"/>
  <c r="M91" i="3"/>
  <c r="M1600" i="3"/>
  <c r="D467" i="11"/>
  <c r="H467" i="11" s="1"/>
  <c r="M1608" i="3"/>
  <c r="M1320" i="3"/>
  <c r="M792" i="3"/>
  <c r="M23" i="3"/>
  <c r="M1465" i="3"/>
  <c r="M1590" i="3"/>
  <c r="M180" i="3"/>
  <c r="M15" i="3"/>
  <c r="M2357" i="3"/>
  <c r="M61" i="3"/>
  <c r="M2188" i="3"/>
  <c r="M648" i="3"/>
  <c r="M186" i="3"/>
  <c r="M1170" i="3"/>
  <c r="M610" i="3"/>
  <c r="M708" i="3"/>
  <c r="M1593" i="3"/>
  <c r="M1755" i="3"/>
  <c r="M310" i="3"/>
  <c r="M1491" i="3"/>
  <c r="M27" i="3"/>
  <c r="M1720" i="3"/>
  <c r="M906" i="3"/>
  <c r="M1019" i="3"/>
  <c r="M28" i="3"/>
  <c r="M56" i="3"/>
  <c r="M553" i="3"/>
  <c r="M177" i="3"/>
  <c r="M1498" i="3"/>
  <c r="M2351" i="3"/>
  <c r="M576" i="3"/>
  <c r="M1564" i="3"/>
  <c r="M26" i="3"/>
  <c r="M1641" i="3"/>
  <c r="M1005" i="3"/>
  <c r="M2364" i="3"/>
  <c r="M1009" i="3"/>
  <c r="M549" i="3"/>
  <c r="M2324" i="3"/>
  <c r="M2207" i="3"/>
  <c r="M1148" i="3"/>
  <c r="M644" i="3"/>
  <c r="M2092" i="3"/>
  <c r="M1480" i="3"/>
  <c r="M1008" i="3"/>
  <c r="M565" i="3"/>
  <c r="M1472" i="3"/>
  <c r="M774" i="3"/>
  <c r="M1781" i="3"/>
  <c r="M1607" i="3"/>
  <c r="M1471" i="3"/>
  <c r="M550" i="3"/>
  <c r="M1935" i="3"/>
  <c r="M90" i="3"/>
  <c r="M217" i="3"/>
  <c r="M1035" i="3"/>
  <c r="M554" i="3"/>
  <c r="M1191" i="3"/>
  <c r="M2199" i="3"/>
  <c r="M294" i="3"/>
  <c r="M1744" i="3"/>
  <c r="M536" i="3"/>
  <c r="M1847" i="3"/>
  <c r="M45" i="3"/>
  <c r="M1265" i="3"/>
  <c r="M1092" i="3"/>
  <c r="M316" i="3"/>
  <c r="M54" i="3"/>
  <c r="M569" i="3"/>
  <c r="M564" i="3"/>
  <c r="M32" i="3"/>
  <c r="M1199" i="3"/>
  <c r="M1695" i="3"/>
  <c r="M2535" i="3"/>
  <c r="M385" i="3"/>
  <c r="M1018" i="3"/>
  <c r="M248" i="3"/>
  <c r="M1649" i="3"/>
  <c r="M540" i="3"/>
  <c r="M191" i="3"/>
  <c r="M1678" i="3"/>
  <c r="M1617" i="3"/>
  <c r="M1515" i="3"/>
  <c r="M285" i="3"/>
  <c r="M1624" i="3"/>
  <c r="M1629" i="3"/>
  <c r="M81" i="3"/>
  <c r="M647" i="3"/>
  <c r="M1541" i="3"/>
  <c r="M1727" i="3"/>
  <c r="M1595" i="3"/>
  <c r="M537" i="3"/>
  <c r="M541" i="3"/>
  <c r="M311" i="3"/>
  <c r="M2528" i="3"/>
  <c r="M714" i="3"/>
  <c r="M1979" i="3"/>
  <c r="M572" i="3"/>
  <c r="M245" i="3"/>
  <c r="M92" i="3"/>
  <c r="M461" i="3"/>
  <c r="M1044" i="3"/>
  <c r="M2415" i="3"/>
  <c r="M591" i="3"/>
  <c r="M175" i="3"/>
  <c r="M86" i="3"/>
  <c r="M60" i="3"/>
  <c r="M1083" i="3"/>
  <c r="M263" i="3"/>
  <c r="M85" i="3"/>
  <c r="M2238" i="3"/>
  <c r="M14" i="3"/>
  <c r="D603" i="11"/>
  <c r="H603" i="11" s="1"/>
  <c r="M605" i="3"/>
  <c r="M72" i="3"/>
  <c r="M213" i="3"/>
  <c r="M1549" i="3"/>
  <c r="M77" i="3"/>
  <c r="M548" i="3"/>
  <c r="M149" i="3"/>
  <c r="M51" i="3"/>
  <c r="M895" i="3"/>
  <c r="M770" i="3"/>
  <c r="M1456" i="3"/>
  <c r="M1325" i="3"/>
  <c r="M1449" i="3"/>
  <c r="M219" i="3"/>
  <c r="M585" i="3"/>
  <c r="M55" i="3"/>
  <c r="M2522" i="3"/>
  <c r="M1556" i="3"/>
  <c r="M2119" i="3"/>
  <c r="M2516" i="3"/>
  <c r="M1506" i="3"/>
  <c r="M1557" i="3"/>
  <c r="M2171" i="3"/>
  <c r="M570" i="3"/>
  <c r="M35" i="3"/>
  <c r="M262" i="3"/>
  <c r="J556" i="10"/>
  <c r="M544" i="3"/>
  <c r="M777" i="3"/>
  <c r="M1489" i="3"/>
  <c r="M793" i="3"/>
  <c r="M741" i="3"/>
  <c r="J555" i="10"/>
  <c r="M347" i="3"/>
  <c r="M1448" i="3"/>
  <c r="M1464" i="3"/>
  <c r="M1719" i="3"/>
  <c r="M290" i="3"/>
  <c r="M2087" i="3"/>
  <c r="M1027" i="3"/>
  <c r="M33" i="3"/>
  <c r="M2206" i="3"/>
  <c r="M2308" i="3"/>
  <c r="M1490" i="3"/>
  <c r="M38" i="3"/>
  <c r="M1091" i="3"/>
  <c r="M2340" i="3"/>
  <c r="M588" i="3"/>
  <c r="M1043" i="3"/>
  <c r="M1084" i="3"/>
  <c r="M2353" i="3"/>
  <c r="M938" i="3"/>
  <c r="M2350" i="3"/>
  <c r="M1036" i="3"/>
  <c r="M112" i="3"/>
  <c r="M1253" i="3"/>
  <c r="M573" i="3"/>
  <c r="M746" i="3"/>
  <c r="M557" i="3"/>
  <c r="M1640" i="3"/>
  <c r="M1768" i="3"/>
  <c r="M2386" i="3"/>
  <c r="J547" i="10"/>
  <c r="M1679" i="3"/>
  <c r="M371" i="3"/>
  <c r="M604" i="3"/>
  <c r="M1411" i="3"/>
  <c r="M1248" i="3"/>
  <c r="J554" i="10"/>
  <c r="M19" i="3"/>
  <c r="M40" i="3"/>
  <c r="M372" i="3"/>
  <c r="M84" i="3"/>
  <c r="M1662" i="3"/>
  <c r="M73" i="3"/>
  <c r="M172" i="3"/>
  <c r="M2012" i="3"/>
  <c r="M1921" i="3"/>
  <c r="M1438" i="3"/>
  <c r="J244" i="10" s="1"/>
  <c r="M1582" i="3"/>
  <c r="J266" i="10" s="1"/>
  <c r="M133" i="3"/>
  <c r="J36" i="10" s="1"/>
  <c r="M2770" i="3"/>
  <c r="J435" i="10" s="1"/>
  <c r="M1578" i="3"/>
  <c r="J267" i="10" s="1"/>
  <c r="M2256" i="3"/>
  <c r="J390" i="10" s="1"/>
  <c r="M2275" i="3"/>
  <c r="J365" i="10" s="1"/>
  <c r="M598" i="3"/>
  <c r="J131" i="10" s="1"/>
  <c r="M2251" i="3"/>
  <c r="J368" i="10" s="1"/>
  <c r="M981" i="3"/>
  <c r="J136" i="10" s="1"/>
  <c r="J546" i="10"/>
  <c r="M2581" i="3"/>
  <c r="J434" i="10" s="1"/>
  <c r="M2330" i="3"/>
  <c r="J387" i="10" s="1"/>
  <c r="M575" i="3"/>
  <c r="M2269" i="3"/>
  <c r="J394" i="10" s="1"/>
  <c r="M2362" i="3"/>
  <c r="M672" i="3"/>
  <c r="J42" i="10" s="1"/>
  <c r="M2223" i="3"/>
  <c r="J398" i="10" s="1"/>
  <c r="M560" i="3"/>
  <c r="J129" i="10" s="1"/>
  <c r="M2427" i="3"/>
  <c r="J383" i="10" s="1"/>
  <c r="M107" i="3"/>
  <c r="J25" i="10" s="1"/>
  <c r="M189" i="3"/>
  <c r="M315" i="3"/>
  <c r="M276" i="3"/>
  <c r="J142" i="10" s="1"/>
  <c r="M2390" i="3"/>
  <c r="J369" i="10" s="1"/>
  <c r="M232" i="3"/>
  <c r="M1081" i="3"/>
  <c r="M2624" i="3"/>
  <c r="J527" i="10" s="1"/>
  <c r="M1970" i="3"/>
  <c r="M2422" i="3"/>
  <c r="J405" i="10" s="1"/>
  <c r="M685" i="3"/>
  <c r="M1016" i="3"/>
  <c r="M1520" i="3"/>
  <c r="M1242" i="3"/>
  <c r="M410" i="3"/>
  <c r="J45" i="10" s="1"/>
  <c r="M282" i="3"/>
  <c r="M961" i="3"/>
  <c r="J122" i="10" s="1"/>
  <c r="M414" i="3"/>
  <c r="J43" i="10" s="1"/>
  <c r="M552" i="3"/>
  <c r="M431" i="3"/>
  <c r="J126" i="10" s="1"/>
  <c r="M768" i="3"/>
  <c r="J180" i="10" s="1"/>
  <c r="M1694" i="3"/>
  <c r="M349" i="3"/>
  <c r="M369" i="3"/>
  <c r="M75" i="3"/>
  <c r="M2288" i="3"/>
  <c r="J367" i="10" s="1"/>
  <c r="M59" i="3"/>
  <c r="M2397" i="3"/>
  <c r="J391" i="10" s="1"/>
  <c r="M2262" i="3"/>
  <c r="J392" i="10" s="1"/>
  <c r="M1041" i="3"/>
  <c r="M12" i="3"/>
  <c r="M147" i="3"/>
  <c r="M2348" i="3"/>
  <c r="M1547" i="3"/>
  <c r="M2533" i="3"/>
  <c r="M1945" i="3"/>
  <c r="M2514" i="3"/>
  <c r="M1513" i="3"/>
  <c r="M2279" i="3"/>
  <c r="J363" i="10" s="1"/>
  <c r="M1563" i="3"/>
  <c r="M1903" i="3"/>
  <c r="M377" i="3"/>
  <c r="J106" i="10" s="1"/>
  <c r="M1584" i="3"/>
  <c r="J268" i="10" s="1"/>
  <c r="M2781" i="3"/>
  <c r="J442" i="10" s="1"/>
  <c r="M563" i="3"/>
  <c r="M584" i="3"/>
  <c r="M2228" i="3"/>
  <c r="M89" i="3"/>
  <c r="M1655" i="3"/>
  <c r="M2580" i="3"/>
  <c r="J433" i="10" s="1"/>
  <c r="M361" i="3"/>
  <c r="J149" i="10" s="1"/>
  <c r="M994" i="3"/>
  <c r="M2173" i="3"/>
  <c r="J341" i="10" s="1"/>
  <c r="M1197" i="3"/>
  <c r="M1623" i="3"/>
  <c r="M1568" i="3"/>
  <c r="M2234" i="3"/>
  <c r="J400" i="10" s="1"/>
  <c r="M571" i="3"/>
  <c r="M1527" i="3"/>
  <c r="J254" i="10" s="1"/>
  <c r="M818" i="3"/>
  <c r="J138" i="10" s="1"/>
  <c r="M702" i="3"/>
  <c r="M44" i="3"/>
  <c r="M37" i="3"/>
  <c r="M642" i="3"/>
  <c r="M2299" i="3"/>
  <c r="J364" i="10" s="1"/>
  <c r="M100" i="3"/>
  <c r="M1189" i="3"/>
  <c r="J208" i="10" s="1"/>
  <c r="M1033" i="3"/>
  <c r="M1455" i="3"/>
  <c r="M567" i="3"/>
  <c r="M2237" i="3"/>
  <c r="M586" i="3"/>
  <c r="M1555" i="3"/>
  <c r="M1463" i="3"/>
  <c r="M251" i="3"/>
  <c r="J153" i="10" s="1"/>
  <c r="M1205" i="3"/>
  <c r="M1503" i="3"/>
  <c r="M589" i="3"/>
  <c r="M1734" i="3"/>
  <c r="M2375" i="3"/>
  <c r="J399" i="10" s="1"/>
  <c r="M21" i="3"/>
  <c r="M1540" i="3"/>
  <c r="M1025" i="3"/>
  <c r="M340" i="3"/>
  <c r="M950" i="3"/>
  <c r="J134" i="10" s="1"/>
  <c r="M750" i="3"/>
  <c r="J132" i="10" s="1"/>
  <c r="M216" i="3"/>
  <c r="M2526" i="3"/>
  <c r="M535" i="3"/>
  <c r="M2367" i="3"/>
  <c r="J395" i="10" s="1"/>
  <c r="M159" i="3"/>
  <c r="M2520" i="3"/>
  <c r="M740" i="3"/>
  <c r="M174" i="3"/>
  <c r="M25" i="3"/>
  <c r="M769" i="3"/>
  <c r="M764" i="3"/>
  <c r="J139" i="10" s="1"/>
  <c r="M1164" i="3"/>
  <c r="M1117" i="3"/>
  <c r="M83" i="3"/>
  <c r="M114" i="3"/>
  <c r="M1615" i="3"/>
  <c r="M1956" i="3"/>
  <c r="M737" i="3"/>
  <c r="M506" i="3"/>
  <c r="M630" i="3"/>
  <c r="M807" i="3"/>
  <c r="M522" i="3"/>
  <c r="M2335" i="3"/>
  <c r="M2102" i="3"/>
  <c r="M542" i="3"/>
  <c r="M2502" i="3"/>
  <c r="M782" i="3"/>
  <c r="M1676" i="3"/>
  <c r="M1496" i="3"/>
  <c r="M1860" i="3"/>
  <c r="M2416" i="3"/>
  <c r="M472" i="3"/>
  <c r="M31" i="3"/>
  <c r="M2038" i="3"/>
  <c r="M480" i="3"/>
  <c r="M500" i="3"/>
  <c r="M1586" i="3"/>
  <c r="M2019" i="3"/>
  <c r="M2068" i="3"/>
  <c r="M2320" i="3"/>
  <c r="M1229" i="3"/>
  <c r="M2339" i="3"/>
  <c r="M1789" i="3"/>
  <c r="M528" i="3"/>
  <c r="M2202" i="3"/>
  <c r="M1830" i="3"/>
  <c r="M2053" i="3"/>
  <c r="M669" i="3"/>
  <c r="M1839" i="3"/>
  <c r="M1216" i="3"/>
  <c r="M1488" i="3"/>
  <c r="M2246" i="3"/>
  <c r="M2002" i="3"/>
  <c r="M1913" i="3"/>
  <c r="M728" i="3"/>
  <c r="M2113" i="3"/>
  <c r="M789" i="3"/>
  <c r="M1872" i="3"/>
  <c r="M2125" i="3"/>
  <c r="M1261" i="3"/>
  <c r="M1881" i="3"/>
  <c r="M2060" i="3"/>
  <c r="M493" i="3"/>
  <c r="M1089" i="3"/>
  <c r="M547" i="3"/>
  <c r="M681" i="3"/>
  <c r="M603" i="3"/>
  <c r="M1809" i="3"/>
  <c r="M17" i="3"/>
  <c r="M1891" i="3"/>
  <c r="M1726" i="3"/>
  <c r="M1962" i="3"/>
  <c r="M1006" i="3"/>
  <c r="M465" i="3"/>
  <c r="M660" i="3"/>
  <c r="M798" i="3"/>
  <c r="M1801" i="3"/>
  <c r="M653" i="3"/>
  <c r="M1592" i="3"/>
  <c r="M773" i="3"/>
  <c r="M924" i="3"/>
  <c r="M1818" i="3"/>
  <c r="M183" i="3"/>
  <c r="M514" i="3"/>
  <c r="M1633" i="3"/>
  <c r="J286" i="10" s="1"/>
  <c r="M1478" i="3"/>
  <c r="M79" i="3"/>
  <c r="M966" i="3"/>
  <c r="J121" i="10" s="1"/>
  <c r="M577" i="3"/>
  <c r="J159" i="10" s="1"/>
  <c r="M1702" i="3"/>
  <c r="J283" i="10" s="1"/>
  <c r="M110" i="3"/>
  <c r="P2273" i="3" l="1"/>
  <c r="P2373" i="3"/>
  <c r="P962" i="3"/>
  <c r="H205" i="5"/>
  <c r="J12" i="10"/>
  <c r="D601" i="11"/>
  <c r="H601" i="11" s="1"/>
  <c r="D607" i="11"/>
  <c r="H607" i="11" s="1"/>
  <c r="D483" i="11"/>
  <c r="H483" i="11" s="1"/>
  <c r="D400" i="1"/>
  <c r="H400" i="1" s="1"/>
  <c r="D540" i="11"/>
  <c r="H540" i="11" s="1"/>
  <c r="D553" i="11"/>
  <c r="H553" i="11" s="1"/>
  <c r="D464" i="1"/>
  <c r="H464" i="1" s="1"/>
  <c r="D574" i="11"/>
  <c r="H574" i="11" s="1"/>
  <c r="D411" i="1"/>
  <c r="H411" i="1" s="1"/>
  <c r="D494" i="11"/>
  <c r="H494" i="11" s="1"/>
  <c r="D423" i="1"/>
  <c r="H423" i="1" s="1"/>
  <c r="D509" i="11"/>
  <c r="H509" i="11" s="1"/>
  <c r="D559" i="11"/>
  <c r="H559" i="11" s="1"/>
  <c r="D470" i="1"/>
  <c r="H470" i="1" s="1"/>
  <c r="D394" i="1"/>
  <c r="H394" i="1" s="1"/>
  <c r="L2172" i="3" s="1"/>
  <c r="M2172" i="3" s="1"/>
  <c r="D477" i="11"/>
  <c r="H477" i="11" s="1"/>
  <c r="D499" i="11"/>
  <c r="H499" i="11" s="1"/>
  <c r="D416" i="1"/>
  <c r="H416" i="1" s="1"/>
  <c r="L3182" i="3" s="1"/>
  <c r="M3182" i="3" s="1"/>
  <c r="J628" i="10" s="1"/>
  <c r="D410" i="1"/>
  <c r="H410" i="1" s="1"/>
  <c r="D493" i="11"/>
  <c r="H493" i="11" s="1"/>
  <c r="D525" i="11"/>
  <c r="H525" i="11" s="1"/>
  <c r="D436" i="1"/>
  <c r="H436" i="1" s="1"/>
  <c r="H200" i="5"/>
  <c r="H204" i="5"/>
  <c r="H208" i="5"/>
  <c r="J13" i="10"/>
  <c r="J506" i="10"/>
  <c r="H209" i="5"/>
  <c r="H201" i="5"/>
  <c r="H202" i="5"/>
  <c r="H210" i="5"/>
  <c r="H211" i="5"/>
  <c r="P3334" i="3"/>
  <c r="P3332" i="3"/>
  <c r="P3336" i="3"/>
  <c r="P3331" i="3"/>
  <c r="P3333" i="3"/>
  <c r="P3335" i="3"/>
  <c r="P3330" i="3"/>
  <c r="P3327" i="3"/>
  <c r="P3329" i="3"/>
  <c r="P3328" i="3"/>
  <c r="P3326" i="3"/>
  <c r="P3367" i="3"/>
  <c r="P3368" i="3"/>
  <c r="P3370" i="3"/>
  <c r="P3369" i="3"/>
  <c r="P3382" i="3"/>
  <c r="P3384" i="3"/>
  <c r="P3381" i="3"/>
  <c r="P3383" i="3"/>
  <c r="P3375" i="3"/>
  <c r="P3379" i="3"/>
  <c r="P3376" i="3"/>
  <c r="P3380" i="3"/>
  <c r="P3377" i="3"/>
  <c r="P3373" i="3"/>
  <c r="P3372" i="3"/>
  <c r="P3374" i="3"/>
  <c r="P3378" i="3"/>
  <c r="P3371" i="3"/>
  <c r="J209" i="10"/>
  <c r="P278" i="3"/>
  <c r="P277" i="3"/>
  <c r="J259" i="10"/>
  <c r="J252" i="10"/>
  <c r="J192" i="10"/>
  <c r="J264" i="10"/>
  <c r="J143" i="10"/>
  <c r="J253" i="10"/>
  <c r="J203" i="10"/>
  <c r="M62" i="3"/>
  <c r="J20" i="10" s="1"/>
  <c r="J260" i="10"/>
  <c r="J8" i="10"/>
  <c r="J178" i="10"/>
  <c r="J19" i="10"/>
  <c r="J162" i="10"/>
  <c r="J21" i="10"/>
  <c r="J257" i="10"/>
  <c r="J263" i="10"/>
  <c r="J504" i="10"/>
  <c r="J6" i="10"/>
  <c r="J191" i="10"/>
  <c r="J281" i="10"/>
  <c r="J258" i="10"/>
  <c r="J157" i="10"/>
  <c r="J152" i="10"/>
  <c r="J182" i="10"/>
  <c r="J38" i="10"/>
  <c r="J503" i="10"/>
  <c r="J148" i="10"/>
  <c r="J186" i="10"/>
  <c r="J160" i="10"/>
  <c r="J16" i="10"/>
  <c r="J9" i="10"/>
  <c r="J505" i="10"/>
  <c r="J213" i="10"/>
  <c r="J206" i="10"/>
  <c r="J11" i="10"/>
  <c r="J255" i="10"/>
  <c r="J207" i="10"/>
  <c r="J164" i="10"/>
  <c r="J10" i="10"/>
  <c r="J273" i="10"/>
  <c r="J161" i="10"/>
  <c r="J396" i="10"/>
  <c r="J156" i="10"/>
  <c r="J99" i="10"/>
  <c r="J15" i="10"/>
  <c r="J18" i="10"/>
  <c r="J262" i="10"/>
  <c r="J17" i="10"/>
  <c r="J165" i="10"/>
  <c r="J393" i="10"/>
  <c r="L554" i="10"/>
  <c r="K554" i="10"/>
  <c r="M554" i="10" s="1"/>
  <c r="L547" i="10"/>
  <c r="K547" i="10"/>
  <c r="M547" i="10" s="1"/>
  <c r="K556" i="10"/>
  <c r="M556" i="10" s="1"/>
  <c r="L556" i="10"/>
  <c r="L555" i="10"/>
  <c r="K555" i="10"/>
  <c r="M555" i="10" s="1"/>
  <c r="D462" i="11"/>
  <c r="H462" i="11" s="1"/>
  <c r="D476" i="11"/>
  <c r="H476" i="11" s="1"/>
  <c r="D488" i="11"/>
  <c r="H488" i="11" s="1"/>
  <c r="D401" i="1"/>
  <c r="D484" i="11"/>
  <c r="H484" i="11" s="1"/>
  <c r="D395" i="1"/>
  <c r="D478" i="11"/>
  <c r="H478" i="11" s="1"/>
  <c r="D373" i="1"/>
  <c r="D456" i="11"/>
  <c r="H456" i="11" s="1"/>
  <c r="D389" i="1"/>
  <c r="D472" i="11"/>
  <c r="H472" i="11" s="1"/>
  <c r="D422" i="1"/>
  <c r="D508" i="11"/>
  <c r="H508" i="11" s="1"/>
  <c r="D504" i="1"/>
  <c r="D599" i="11"/>
  <c r="H599" i="11" s="1"/>
  <c r="D511" i="11"/>
  <c r="H511" i="11" s="1"/>
  <c r="D447" i="1"/>
  <c r="D536" i="11"/>
  <c r="H536" i="11" s="1"/>
  <c r="D447" i="11"/>
  <c r="H447" i="11" s="1"/>
  <c r="D390" i="1"/>
  <c r="D473" i="11"/>
  <c r="H473" i="11" s="1"/>
  <c r="D561" i="11"/>
  <c r="H561" i="11" s="1"/>
  <c r="D384" i="1"/>
  <c r="D379" i="1"/>
  <c r="D506" i="1"/>
  <c r="D508" i="1"/>
  <c r="D472" i="1"/>
  <c r="D405" i="1"/>
  <c r="D393" i="1"/>
  <c r="D451" i="1"/>
  <c r="D608" i="11"/>
  <c r="H608" i="11" s="1"/>
  <c r="K122" i="10"/>
  <c r="L398" i="10"/>
  <c r="K398" i="10"/>
  <c r="L142" i="10"/>
  <c r="K142" i="10"/>
  <c r="L435" i="10"/>
  <c r="K435" i="10"/>
  <c r="L2605" i="3" l="1"/>
  <c r="M2605" i="3" s="1"/>
  <c r="J486" i="10" s="1"/>
  <c r="L2617" i="3"/>
  <c r="M2617" i="3" s="1"/>
  <c r="J487" i="10" s="1"/>
  <c r="L2703" i="3"/>
  <c r="M2703" i="3" s="1"/>
  <c r="J438" i="10" s="1"/>
  <c r="L438" i="10" s="1"/>
  <c r="L3417" i="3"/>
  <c r="M3417" i="3" s="1"/>
  <c r="J540" i="10" s="1"/>
  <c r="L2711" i="3"/>
  <c r="M2711" i="3" s="1"/>
  <c r="J437" i="10" s="1"/>
  <c r="L418" i="3"/>
  <c r="M418" i="3" s="1"/>
  <c r="J44" i="10" s="1"/>
  <c r="L2293" i="3"/>
  <c r="M2293" i="3" s="1"/>
  <c r="J366" i="10" s="1"/>
  <c r="L867" i="3"/>
  <c r="M867" i="3" s="1"/>
  <c r="L1762" i="3"/>
  <c r="M1762" i="3" s="1"/>
  <c r="J288" i="10" s="1"/>
  <c r="L875" i="3"/>
  <c r="M875" i="3" s="1"/>
  <c r="L1743" i="3"/>
  <c r="M1743" i="3" s="1"/>
  <c r="L3148" i="3"/>
  <c r="M3148" i="3" s="1"/>
  <c r="L3295" i="3"/>
  <c r="M3295" i="3" s="1"/>
  <c r="L894" i="3"/>
  <c r="M894" i="3" s="1"/>
  <c r="L1752" i="3"/>
  <c r="M1752" i="3" s="1"/>
  <c r="L700" i="3"/>
  <c r="M700" i="3" s="1"/>
  <c r="J168" i="10" s="1"/>
  <c r="L3012" i="3"/>
  <c r="M3012" i="3" s="1"/>
  <c r="J582" i="10" s="1"/>
  <c r="L829" i="3"/>
  <c r="M829" i="3" s="1"/>
  <c r="L1670" i="3"/>
  <c r="M1670" i="3" s="1"/>
  <c r="L190" i="3"/>
  <c r="M190" i="3" s="1"/>
  <c r="J26" i="10" s="1"/>
  <c r="L1599" i="3"/>
  <c r="M1599" i="3" s="1"/>
  <c r="J269" i="10" s="1"/>
  <c r="L244" i="3"/>
  <c r="M244" i="3" s="1"/>
  <c r="J40" i="10" s="1"/>
  <c r="L1688" i="3"/>
  <c r="M1688" i="3" s="1"/>
  <c r="K628" i="10"/>
  <c r="M628" i="10" s="1"/>
  <c r="P3182" i="3"/>
  <c r="L628" i="10"/>
  <c r="L3458" i="3"/>
  <c r="M3458" i="3" s="1"/>
  <c r="L209" i="3"/>
  <c r="M209" i="3" s="1"/>
  <c r="L1447" i="3"/>
  <c r="M1447" i="3" s="1"/>
  <c r="J251" i="10" s="1"/>
  <c r="L70" i="3"/>
  <c r="M70" i="3" s="1"/>
  <c r="J7" i="10" s="1"/>
  <c r="L53" i="3"/>
  <c r="M53" i="3" s="1"/>
  <c r="J14" i="10" s="1"/>
  <c r="L556" i="3"/>
  <c r="M556" i="3" s="1"/>
  <c r="J177" i="10" s="1"/>
  <c r="L2677" i="3"/>
  <c r="M2677" i="3" s="1"/>
  <c r="J414" i="10" s="1"/>
  <c r="L414" i="10" s="1"/>
  <c r="L2749" i="3"/>
  <c r="M2749" i="3" s="1"/>
  <c r="L2744" i="3"/>
  <c r="M2744" i="3" s="1"/>
  <c r="J417" i="10" s="1"/>
  <c r="K417" i="10" s="1"/>
  <c r="L2682" i="3"/>
  <c r="M2682" i="3" s="1"/>
  <c r="J415" i="10" s="1"/>
  <c r="K415" i="10" s="1"/>
  <c r="L2739" i="3"/>
  <c r="M2739" i="3" s="1"/>
  <c r="J416" i="10" s="1"/>
  <c r="L322" i="3"/>
  <c r="M322" i="3" s="1"/>
  <c r="J150" i="10" s="1"/>
  <c r="L845" i="3"/>
  <c r="M845" i="3" s="1"/>
  <c r="J120" i="10" s="1"/>
  <c r="L1102" i="3"/>
  <c r="M1102" i="3" s="1"/>
  <c r="J195" i="10" s="1"/>
  <c r="K195" i="10" s="1"/>
  <c r="L3071" i="3"/>
  <c r="M3071" i="3" s="1"/>
  <c r="J619" i="10" s="1"/>
  <c r="L454" i="3"/>
  <c r="M454" i="3" s="1"/>
  <c r="J125" i="10" s="1"/>
  <c r="L884" i="3"/>
  <c r="M884" i="3" s="1"/>
  <c r="L1120" i="3"/>
  <c r="M1120" i="3" s="1"/>
  <c r="J210" i="10" s="1"/>
  <c r="L3075" i="3"/>
  <c r="M3075" i="3" s="1"/>
  <c r="J613" i="10" s="1"/>
  <c r="L1218" i="3"/>
  <c r="M1218" i="3" s="1"/>
  <c r="L946" i="3"/>
  <c r="M946" i="3" s="1"/>
  <c r="J144" i="10" s="1"/>
  <c r="L990" i="3"/>
  <c r="M990" i="3" s="1"/>
  <c r="J193" i="10" s="1"/>
  <c r="K1139" i="2"/>
  <c r="L1139" i="2" s="1"/>
  <c r="L287" i="3"/>
  <c r="M287" i="3" s="1"/>
  <c r="J154" i="10" s="1"/>
  <c r="L1138" i="3"/>
  <c r="M1138" i="3" s="1"/>
  <c r="J212" i="10" s="1"/>
  <c r="L1231" i="3"/>
  <c r="M1231" i="3" s="1"/>
  <c r="L339" i="3"/>
  <c r="M339" i="3" s="1"/>
  <c r="J147" i="10" s="1"/>
  <c r="L641" i="3"/>
  <c r="M641" i="3" s="1"/>
  <c r="J124" i="10" s="1"/>
  <c r="K951" i="2"/>
  <c r="L951" i="2" s="1"/>
  <c r="L424" i="3"/>
  <c r="M424" i="3" s="1"/>
  <c r="J128" i="10" s="1"/>
  <c r="L2504" i="3"/>
  <c r="M2504" i="3" s="1"/>
  <c r="K435" i="2"/>
  <c r="L435" i="2" s="1"/>
  <c r="L302" i="3"/>
  <c r="M302" i="3" s="1"/>
  <c r="L908" i="3"/>
  <c r="M908" i="3" s="1"/>
  <c r="L2922" i="3"/>
  <c r="M2922" i="3" s="1"/>
  <c r="J569" i="10" s="1"/>
  <c r="K998" i="2"/>
  <c r="L998" i="2" s="1"/>
  <c r="L1313" i="3"/>
  <c r="M1313" i="3" s="1"/>
  <c r="L1056" i="3"/>
  <c r="M1056" i="3" s="1"/>
  <c r="J194" i="10" s="1"/>
  <c r="L2908" i="3"/>
  <c r="M2908" i="3" s="1"/>
  <c r="J567" i="10" s="1"/>
  <c r="L1113" i="3"/>
  <c r="M1113" i="3" s="1"/>
  <c r="J199" i="10" s="1"/>
  <c r="L2915" i="3"/>
  <c r="M2915" i="3" s="1"/>
  <c r="J568" i="10" s="1"/>
  <c r="L308" i="3"/>
  <c r="M308" i="3" s="1"/>
  <c r="L1251" i="3"/>
  <c r="M1251" i="3" s="1"/>
  <c r="Q3383" i="3"/>
  <c r="Q3381" i="3"/>
  <c r="Q3384" i="3"/>
  <c r="Q3382" i="3"/>
  <c r="Q3335" i="3"/>
  <c r="Q3333" i="3"/>
  <c r="Q3331" i="3"/>
  <c r="Q3336" i="3"/>
  <c r="Q3330" i="3"/>
  <c r="Q3332" i="3"/>
  <c r="Q3334" i="3"/>
  <c r="Q3369" i="3"/>
  <c r="Q3367" i="3"/>
  <c r="Q3368" i="3"/>
  <c r="Q3370" i="3"/>
  <c r="Q3379" i="3"/>
  <c r="Q3377" i="3"/>
  <c r="Q3375" i="3"/>
  <c r="Q3373" i="3"/>
  <c r="Q3371" i="3"/>
  <c r="Q3372" i="3"/>
  <c r="Q3376" i="3"/>
  <c r="Q3380" i="3"/>
  <c r="Q3374" i="3"/>
  <c r="Q3378" i="3"/>
  <c r="H405" i="1"/>
  <c r="H395" i="1"/>
  <c r="L3459" i="3" s="1"/>
  <c r="M3459" i="3" s="1"/>
  <c r="H508" i="1"/>
  <c r="H504" i="1"/>
  <c r="H389" i="1"/>
  <c r="H401" i="1"/>
  <c r="H422" i="1"/>
  <c r="H472" i="1"/>
  <c r="H451" i="1"/>
  <c r="H393" i="1"/>
  <c r="H384" i="1"/>
  <c r="H447" i="1"/>
  <c r="H373" i="1"/>
  <c r="H506" i="1"/>
  <c r="H379" i="1"/>
  <c r="H390" i="1"/>
  <c r="M2828" i="3"/>
  <c r="J475" i="10" s="1"/>
  <c r="L10" i="10"/>
  <c r="K258" i="10"/>
  <c r="M258" i="10" s="1"/>
  <c r="K36" i="10"/>
  <c r="L36" i="10"/>
  <c r="L199" i="10"/>
  <c r="L42" i="10"/>
  <c r="L365" i="10"/>
  <c r="L341" i="10"/>
  <c r="L143" i="10"/>
  <c r="L383" i="10"/>
  <c r="L122" i="10"/>
  <c r="L16" i="10"/>
  <c r="L213" i="10"/>
  <c r="K10" i="10"/>
  <c r="M10" i="10" s="1"/>
  <c r="D507" i="1"/>
  <c r="D602" i="11"/>
  <c r="H602" i="11" s="1"/>
  <c r="K143" i="10"/>
  <c r="M2639" i="3"/>
  <c r="J516" i="10" s="1"/>
  <c r="L149" i="10"/>
  <c r="K369" i="10"/>
  <c r="L369" i="10"/>
  <c r="L131" i="10"/>
  <c r="K365" i="10"/>
  <c r="K121" i="10"/>
  <c r="K139" i="10"/>
  <c r="K20" i="10"/>
  <c r="K394" i="10"/>
  <c r="K132" i="10"/>
  <c r="M132" i="10" s="1"/>
  <c r="K383" i="10"/>
  <c r="L136" i="10"/>
  <c r="K15" i="10"/>
  <c r="K16" i="10"/>
  <c r="K149" i="10"/>
  <c r="K341" i="10"/>
  <c r="K434" i="10"/>
  <c r="K161" i="10"/>
  <c r="L258" i="10"/>
  <c r="L266" i="10"/>
  <c r="K126" i="10"/>
  <c r="K264" i="10"/>
  <c r="L20" i="10"/>
  <c r="L244" i="10"/>
  <c r="K129" i="10"/>
  <c r="L394" i="10"/>
  <c r="L391" i="10"/>
  <c r="K391" i="10"/>
  <c r="L264" i="10"/>
  <c r="K266" i="10"/>
  <c r="L434" i="10"/>
  <c r="L129" i="10"/>
  <c r="K252" i="10"/>
  <c r="L252" i="10"/>
  <c r="L267" i="10"/>
  <c r="L45" i="10"/>
  <c r="K267" i="10"/>
  <c r="L134" i="10"/>
  <c r="L153" i="10"/>
  <c r="K153" i="10"/>
  <c r="L126" i="10"/>
  <c r="K244" i="10"/>
  <c r="K131" i="10"/>
  <c r="K213" i="10"/>
  <c r="K42" i="10"/>
  <c r="K162" i="10"/>
  <c r="L162" i="10"/>
  <c r="L286" i="10"/>
  <c r="K134" i="10"/>
  <c r="L15" i="10"/>
  <c r="L139" i="10"/>
  <c r="K286" i="10"/>
  <c r="L164" i="10"/>
  <c r="L161" i="10"/>
  <c r="K164" i="10"/>
  <c r="K120" i="10"/>
  <c r="K136" i="10"/>
  <c r="L121" i="10"/>
  <c r="K253" i="10"/>
  <c r="L253" i="10"/>
  <c r="L182" i="10"/>
  <c r="K283" i="10"/>
  <c r="K182" i="10"/>
  <c r="K206" i="10"/>
  <c r="L206" i="10"/>
  <c r="L283" i="10"/>
  <c r="L132" i="10"/>
  <c r="K399" i="10"/>
  <c r="K21" i="10"/>
  <c r="L399" i="10"/>
  <c r="L21" i="10"/>
  <c r="K45" i="10"/>
  <c r="L504" i="10"/>
  <c r="K504" i="10"/>
  <c r="L38" i="10"/>
  <c r="K38" i="10"/>
  <c r="L11" i="10"/>
  <c r="K11" i="10"/>
  <c r="L262" i="10"/>
  <c r="K262" i="10"/>
  <c r="L192" i="10"/>
  <c r="K192" i="10"/>
  <c r="L273" i="10"/>
  <c r="K273" i="10"/>
  <c r="L159" i="10"/>
  <c r="K159" i="10"/>
  <c r="L368" i="10"/>
  <c r="K368" i="10"/>
  <c r="L364" i="10"/>
  <c r="K364" i="10"/>
  <c r="L160" i="10"/>
  <c r="K160" i="10"/>
  <c r="M435" i="10"/>
  <c r="L393" i="10"/>
  <c r="K393" i="10"/>
  <c r="L195" i="10"/>
  <c r="K43" i="10"/>
  <c r="L43" i="10"/>
  <c r="L186" i="10"/>
  <c r="K186" i="10"/>
  <c r="L392" i="10"/>
  <c r="K392" i="10"/>
  <c r="K506" i="10"/>
  <c r="L506" i="10"/>
  <c r="L268" i="10"/>
  <c r="K268" i="10"/>
  <c r="L260" i="10"/>
  <c r="K260" i="10"/>
  <c r="L106" i="10"/>
  <c r="K106" i="10"/>
  <c r="L12" i="10"/>
  <c r="K12" i="10"/>
  <c r="K209" i="10"/>
  <c r="L209" i="10"/>
  <c r="K13" i="10"/>
  <c r="L13" i="10"/>
  <c r="L203" i="10"/>
  <c r="K203" i="10"/>
  <c r="L281" i="10"/>
  <c r="K281" i="10"/>
  <c r="L433" i="10"/>
  <c r="K433" i="10"/>
  <c r="M142" i="10"/>
  <c r="L17" i="10"/>
  <c r="K17" i="10"/>
  <c r="L259" i="10"/>
  <c r="K259" i="10"/>
  <c r="L18" i="10"/>
  <c r="K18" i="10"/>
  <c r="L546" i="10"/>
  <c r="K546" i="10"/>
  <c r="L156" i="10"/>
  <c r="K156" i="10"/>
  <c r="L208" i="10"/>
  <c r="K208" i="10"/>
  <c r="L405" i="10"/>
  <c r="K405" i="10"/>
  <c r="L25" i="10"/>
  <c r="K25" i="10"/>
  <c r="L191" i="10"/>
  <c r="K191" i="10"/>
  <c r="L99" i="10"/>
  <c r="K99" i="10"/>
  <c r="L387" i="10"/>
  <c r="K387" i="10"/>
  <c r="M122" i="10"/>
  <c r="Q962" i="3" s="1"/>
  <c r="K180" i="10"/>
  <c r="L180" i="10"/>
  <c r="K503" i="10"/>
  <c r="L503" i="10"/>
  <c r="L367" i="10"/>
  <c r="K367" i="10"/>
  <c r="L400" i="10"/>
  <c r="K400" i="10"/>
  <c r="L255" i="10"/>
  <c r="K255" i="10"/>
  <c r="L257" i="10"/>
  <c r="K257" i="10"/>
  <c r="L396" i="10"/>
  <c r="K396" i="10"/>
  <c r="L390" i="10"/>
  <c r="K390" i="10"/>
  <c r="M398" i="10"/>
  <c r="L442" i="10"/>
  <c r="K442" i="10"/>
  <c r="L19" i="10"/>
  <c r="K19" i="10"/>
  <c r="L152" i="10"/>
  <c r="K152" i="10"/>
  <c r="L395" i="10"/>
  <c r="K395" i="10"/>
  <c r="L138" i="10"/>
  <c r="K138" i="10"/>
  <c r="L9" i="10"/>
  <c r="K9" i="10"/>
  <c r="K157" i="10"/>
  <c r="L157" i="10"/>
  <c r="K207" i="10"/>
  <c r="L207" i="10"/>
  <c r="L527" i="10"/>
  <c r="K527" i="10"/>
  <c r="L178" i="10"/>
  <c r="K178" i="10"/>
  <c r="L8" i="10"/>
  <c r="K8" i="10"/>
  <c r="L165" i="10"/>
  <c r="K165" i="10"/>
  <c r="L6" i="10"/>
  <c r="K6" i="10"/>
  <c r="L363" i="10"/>
  <c r="K363" i="10"/>
  <c r="L254" i="10"/>
  <c r="K254" i="10"/>
  <c r="L263" i="10"/>
  <c r="K263" i="10"/>
  <c r="L148" i="10"/>
  <c r="K148" i="10"/>
  <c r="L505" i="10"/>
  <c r="K505" i="10"/>
  <c r="L366" i="10"/>
  <c r="L234" i="10"/>
  <c r="K234" i="10"/>
  <c r="K194" i="10" l="1"/>
  <c r="L128" i="10"/>
  <c r="K193" i="10"/>
  <c r="M193" i="10" s="1"/>
  <c r="L177" i="10"/>
  <c r="K147" i="10"/>
  <c r="K144" i="10"/>
  <c r="M144" i="10" s="1"/>
  <c r="L120" i="10"/>
  <c r="L14" i="10"/>
  <c r="K366" i="10"/>
  <c r="K288" i="10"/>
  <c r="M288" i="10" s="1"/>
  <c r="K124" i="10"/>
  <c r="M124" i="10" s="1"/>
  <c r="K150" i="10"/>
  <c r="K7" i="10"/>
  <c r="K40" i="10"/>
  <c r="M40" i="10" s="1"/>
  <c r="K44" i="10"/>
  <c r="M44" i="10" s="1"/>
  <c r="K269" i="10"/>
  <c r="M269" i="10" s="1"/>
  <c r="K437" i="10"/>
  <c r="L26" i="10"/>
  <c r="K416" i="10"/>
  <c r="M416" i="10" s="1"/>
  <c r="K210" i="10"/>
  <c r="K212" i="10"/>
  <c r="M212" i="10" s="1"/>
  <c r="L125" i="10"/>
  <c r="L487" i="10"/>
  <c r="L251" i="10"/>
  <c r="K199" i="10"/>
  <c r="L154" i="10"/>
  <c r="K486" i="10"/>
  <c r="M486" i="10" s="1"/>
  <c r="Q3182" i="3"/>
  <c r="L40" i="10"/>
  <c r="L7" i="10"/>
  <c r="L150" i="10"/>
  <c r="L44" i="10"/>
  <c r="L124" i="10"/>
  <c r="L193" i="10"/>
  <c r="L144" i="10"/>
  <c r="K177" i="10"/>
  <c r="M177" i="10" s="1"/>
  <c r="K14" i="10"/>
  <c r="M14" i="10" s="1"/>
  <c r="L288" i="10"/>
  <c r="K251" i="10"/>
  <c r="L269" i="10"/>
  <c r="L194" i="10"/>
  <c r="K128" i="10"/>
  <c r="M128" i="10" s="1"/>
  <c r="L210" i="10"/>
  <c r="D480" i="11"/>
  <c r="H480" i="11" s="1"/>
  <c r="D397" i="1"/>
  <c r="H397" i="1" s="1"/>
  <c r="L919" i="3" s="1"/>
  <c r="M919" i="3" s="1"/>
  <c r="J133" i="10" s="1"/>
  <c r="D414" i="1"/>
  <c r="H414" i="1" s="1"/>
  <c r="D497" i="11"/>
  <c r="H497" i="11" s="1"/>
  <c r="D364" i="1"/>
  <c r="H364" i="1" s="1"/>
  <c r="L561" i="3" s="1"/>
  <c r="M561" i="3" s="1"/>
  <c r="J54" i="10" s="1"/>
  <c r="D446" i="11"/>
  <c r="H446" i="11" s="1"/>
  <c r="D512" i="11"/>
  <c r="H512" i="11" s="1"/>
  <c r="D425" i="1"/>
  <c r="H425" i="1" s="1"/>
  <c r="L686" i="3" s="1"/>
  <c r="M686" i="3" s="1"/>
  <c r="J51" i="10" s="1"/>
  <c r="K125" i="10"/>
  <c r="M125" i="10" s="1"/>
  <c r="L168" i="10"/>
  <c r="K168" i="10"/>
  <c r="M168" i="10" s="1"/>
  <c r="L486" i="10"/>
  <c r="L416" i="10"/>
  <c r="L437" i="10"/>
  <c r="L147" i="10"/>
  <c r="K438" i="10"/>
  <c r="M438" i="10" s="1"/>
  <c r="L212" i="10"/>
  <c r="K154" i="10"/>
  <c r="M154" i="10" s="1"/>
  <c r="K26" i="10"/>
  <c r="M26" i="10" s="1"/>
  <c r="D501" i="11"/>
  <c r="H501" i="11" s="1"/>
  <c r="D418" i="1"/>
  <c r="H418" i="1" s="1"/>
  <c r="K487" i="10"/>
  <c r="M487" i="10" s="1"/>
  <c r="J668" i="10"/>
  <c r="P3462" i="3" s="1"/>
  <c r="L567" i="10"/>
  <c r="P2911" i="3"/>
  <c r="P2908" i="3"/>
  <c r="P2905" i="3"/>
  <c r="K567" i="10"/>
  <c r="M567" i="10" s="1"/>
  <c r="P2909" i="3"/>
  <c r="P2906" i="3"/>
  <c r="P2910" i="3"/>
  <c r="P2907" i="3"/>
  <c r="D439" i="1"/>
  <c r="H439" i="1" s="1"/>
  <c r="D528" i="11"/>
  <c r="H528" i="11" s="1"/>
  <c r="L619" i="10"/>
  <c r="P3071" i="3"/>
  <c r="K619" i="10"/>
  <c r="M619" i="10" s="1"/>
  <c r="P3070" i="3"/>
  <c r="P3073" i="3"/>
  <c r="P3072" i="3"/>
  <c r="P3012" i="3"/>
  <c r="P3013" i="3"/>
  <c r="P3011" i="3"/>
  <c r="L582" i="10"/>
  <c r="P3007" i="3"/>
  <c r="P3014" i="3"/>
  <c r="P3005" i="3"/>
  <c r="K582" i="10"/>
  <c r="M582" i="10" s="1"/>
  <c r="P3009" i="3"/>
  <c r="P3006" i="3"/>
  <c r="P3010" i="3"/>
  <c r="P3008" i="3"/>
  <c r="L415" i="10"/>
  <c r="P3417" i="3"/>
  <c r="P3414" i="3"/>
  <c r="P3415" i="3"/>
  <c r="P3410" i="3"/>
  <c r="P3413" i="3"/>
  <c r="P3407" i="3"/>
  <c r="P3411" i="3"/>
  <c r="P3416" i="3"/>
  <c r="P3421" i="3"/>
  <c r="P3420" i="3"/>
  <c r="P3409" i="3"/>
  <c r="P3418" i="3"/>
  <c r="P3408" i="3"/>
  <c r="P3419" i="3"/>
  <c r="P3412" i="3"/>
  <c r="K540" i="10"/>
  <c r="M540" i="10" s="1"/>
  <c r="L540" i="10"/>
  <c r="D580" i="11"/>
  <c r="H580" i="11" s="1"/>
  <c r="D487" i="1"/>
  <c r="H487" i="1" s="1"/>
  <c r="K823" i="2" s="1"/>
  <c r="L823" i="2" s="1"/>
  <c r="K414" i="10"/>
  <c r="M414" i="10" s="1"/>
  <c r="L417" i="10"/>
  <c r="P2927" i="3"/>
  <c r="P2921" i="3"/>
  <c r="K569" i="10"/>
  <c r="M569" i="10" s="1"/>
  <c r="P2926" i="3"/>
  <c r="P2919" i="3"/>
  <c r="P2924" i="3"/>
  <c r="P2920" i="3"/>
  <c r="P2922" i="3"/>
  <c r="P2923" i="3"/>
  <c r="L569" i="10"/>
  <c r="P2928" i="3"/>
  <c r="P2925" i="3"/>
  <c r="K613" i="10"/>
  <c r="M613" i="10" s="1"/>
  <c r="L613" i="10"/>
  <c r="P3075" i="3"/>
  <c r="P3076" i="3"/>
  <c r="P3074" i="3"/>
  <c r="P2914" i="3"/>
  <c r="P2912" i="3"/>
  <c r="P2916" i="3"/>
  <c r="P2913" i="3"/>
  <c r="P2917" i="3"/>
  <c r="P2915" i="3"/>
  <c r="K568" i="10"/>
  <c r="M568" i="10" s="1"/>
  <c r="L568" i="10"/>
  <c r="P2918" i="3"/>
  <c r="D385" i="1"/>
  <c r="H385" i="1" s="1"/>
  <c r="D468" i="11"/>
  <c r="H468" i="11" s="1"/>
  <c r="P451" i="3"/>
  <c r="P452" i="3"/>
  <c r="L539" i="3"/>
  <c r="M539" i="3" s="1"/>
  <c r="J176" i="10" s="1"/>
  <c r="L1470" i="3"/>
  <c r="M1470" i="3" s="1"/>
  <c r="J250" i="10" s="1"/>
  <c r="L237" i="3"/>
  <c r="M237" i="3" s="1"/>
  <c r="J41" i="10" s="1"/>
  <c r="L934" i="3"/>
  <c r="M934" i="3" s="1"/>
  <c r="L595" i="3"/>
  <c r="M595" i="3" s="1"/>
  <c r="L931" i="3"/>
  <c r="M931" i="3" s="1"/>
  <c r="L1426" i="3"/>
  <c r="M1426" i="3" s="1"/>
  <c r="L1434" i="3"/>
  <c r="M1434" i="3" s="1"/>
  <c r="L1440" i="3"/>
  <c r="M1440" i="3" s="1"/>
  <c r="L1751" i="3"/>
  <c r="M1751" i="3" s="1"/>
  <c r="L1742" i="3"/>
  <c r="M1742" i="3" s="1"/>
  <c r="J289" i="10" s="1"/>
  <c r="L3294" i="3"/>
  <c r="M3294" i="3" s="1"/>
  <c r="J641" i="10" s="1"/>
  <c r="L1736" i="3"/>
  <c r="M1736" i="3" s="1"/>
  <c r="L2973" i="3"/>
  <c r="M2973" i="3" s="1"/>
  <c r="L2980" i="3"/>
  <c r="M2980" i="3" s="1"/>
  <c r="L3169" i="3"/>
  <c r="M3169" i="3" s="1"/>
  <c r="L2977" i="3"/>
  <c r="M2977" i="3" s="1"/>
  <c r="K1163" i="2"/>
  <c r="L1163" i="2" s="1"/>
  <c r="L307" i="3"/>
  <c r="M307" i="3" s="1"/>
  <c r="L260" i="3"/>
  <c r="M260" i="3" s="1"/>
  <c r="J100" i="10" s="1"/>
  <c r="L268" i="3"/>
  <c r="M268" i="3" s="1"/>
  <c r="J146" i="10" s="1"/>
  <c r="L1060" i="3"/>
  <c r="M1060" i="3" s="1"/>
  <c r="J197" i="10" s="1"/>
  <c r="L879" i="3"/>
  <c r="M879" i="3" s="1"/>
  <c r="L1071" i="3"/>
  <c r="M1071" i="3" s="1"/>
  <c r="J198" i="10" s="1"/>
  <c r="L3208" i="3"/>
  <c r="M3208" i="3" s="1"/>
  <c r="J642" i="10" s="1"/>
  <c r="L3196" i="3"/>
  <c r="M3196" i="3" s="1"/>
  <c r="J643" i="10" s="1"/>
  <c r="L1735" i="3"/>
  <c r="M1735" i="3" s="1"/>
  <c r="L3168" i="3"/>
  <c r="M3168" i="3" s="1"/>
  <c r="L2974" i="3"/>
  <c r="M2974" i="3" s="1"/>
  <c r="L2976" i="3"/>
  <c r="M2976" i="3" s="1"/>
  <c r="L2979" i="3"/>
  <c r="M2979" i="3" s="1"/>
  <c r="L874" i="3"/>
  <c r="M874" i="3" s="1"/>
  <c r="J170" i="10" s="1"/>
  <c r="L866" i="3"/>
  <c r="M866" i="3" s="1"/>
  <c r="L1669" i="3"/>
  <c r="M1669" i="3" s="1"/>
  <c r="J287" i="10" s="1"/>
  <c r="L1687" i="3"/>
  <c r="M1687" i="3" s="1"/>
  <c r="L210" i="3"/>
  <c r="M210" i="3" s="1"/>
  <c r="L462" i="3"/>
  <c r="M462" i="3" s="1"/>
  <c r="L665" i="3"/>
  <c r="M665" i="3" s="1"/>
  <c r="L657" i="3"/>
  <c r="M657" i="3" s="1"/>
  <c r="L723" i="3"/>
  <c r="M723" i="3" s="1"/>
  <c r="L732" i="3"/>
  <c r="M732" i="3" s="1"/>
  <c r="L939" i="3"/>
  <c r="M939" i="3" s="1"/>
  <c r="L1260" i="3"/>
  <c r="M1260" i="3" s="1"/>
  <c r="L1701" i="3"/>
  <c r="M1701" i="3" s="1"/>
  <c r="J282" i="10" s="1"/>
  <c r="L497" i="3"/>
  <c r="M497" i="3" s="1"/>
  <c r="L2120" i="3"/>
  <c r="M2120" i="3" s="1"/>
  <c r="L1923" i="3"/>
  <c r="M1923" i="3" s="1"/>
  <c r="L2464" i="3"/>
  <c r="M2464" i="3" s="1"/>
  <c r="L1869" i="3"/>
  <c r="M1869" i="3" s="1"/>
  <c r="L2442" i="3"/>
  <c r="M2442" i="3" s="1"/>
  <c r="J472" i="10" s="1"/>
  <c r="L1940" i="3"/>
  <c r="M1940" i="3" s="1"/>
  <c r="L1798" i="3"/>
  <c r="M1798" i="3" s="1"/>
  <c r="L2132" i="3"/>
  <c r="M2132" i="3" s="1"/>
  <c r="J332" i="10" s="1"/>
  <c r="J538" i="10"/>
  <c r="L2108" i="3"/>
  <c r="M2108" i="3" s="1"/>
  <c r="L1794" i="3"/>
  <c r="M1794" i="3" s="1"/>
  <c r="L1865" i="3"/>
  <c r="M1865" i="3" s="1"/>
  <c r="L2128" i="3"/>
  <c r="M2128" i="3" s="1"/>
  <c r="L791" i="3"/>
  <c r="M791" i="3" s="1"/>
  <c r="J172" i="10" s="1"/>
  <c r="L1639" i="3"/>
  <c r="M1639" i="3" s="1"/>
  <c r="J275" i="10" s="1"/>
  <c r="L1711" i="3"/>
  <c r="M1711" i="3" s="1"/>
  <c r="J284" i="10" s="1"/>
  <c r="L98" i="3"/>
  <c r="M98" i="3" s="1"/>
  <c r="J24" i="10" s="1"/>
  <c r="L99" i="3"/>
  <c r="M99" i="3" s="1"/>
  <c r="J27" i="10" s="1"/>
  <c r="L184" i="3"/>
  <c r="M184" i="3" s="1"/>
  <c r="J23" i="10" s="1"/>
  <c r="L2964" i="3"/>
  <c r="M2964" i="3" s="1"/>
  <c r="J579" i="10" s="1"/>
  <c r="L391" i="3"/>
  <c r="M391" i="3" s="1"/>
  <c r="L1405" i="3"/>
  <c r="M1405" i="3" s="1"/>
  <c r="L590" i="3"/>
  <c r="M590" i="3" s="1"/>
  <c r="J158" i="10" s="1"/>
  <c r="L1656" i="3"/>
  <c r="M1656" i="3" s="1"/>
  <c r="J272" i="10" s="1"/>
  <c r="L1587" i="3"/>
  <c r="M1587" i="3" s="1"/>
  <c r="J256" i="10" s="1"/>
  <c r="L3121" i="3"/>
  <c r="M3121" i="3" s="1"/>
  <c r="J631" i="10" s="1"/>
  <c r="Q278" i="3"/>
  <c r="Q277" i="3"/>
  <c r="H507" i="1"/>
  <c r="M131" i="10"/>
  <c r="M266" i="10"/>
  <c r="M383" i="10"/>
  <c r="M36" i="10"/>
  <c r="M143" i="10"/>
  <c r="M199" i="10"/>
  <c r="M369" i="10"/>
  <c r="K475" i="10"/>
  <c r="M475" i="10" s="1"/>
  <c r="L475" i="10"/>
  <c r="M365" i="10"/>
  <c r="M341" i="10"/>
  <c r="M161" i="10"/>
  <c r="M139" i="10"/>
  <c r="M15" i="10"/>
  <c r="M121" i="10"/>
  <c r="K516" i="10"/>
  <c r="L516" i="10"/>
  <c r="M20" i="10"/>
  <c r="M434" i="10"/>
  <c r="M16" i="10"/>
  <c r="M149" i="10"/>
  <c r="M394" i="10"/>
  <c r="Q2273" i="3" s="1"/>
  <c r="M126" i="10"/>
  <c r="M264" i="10"/>
  <c r="M129" i="10"/>
  <c r="M391" i="10"/>
  <c r="M213" i="10"/>
  <c r="M252" i="10"/>
  <c r="M267" i="10"/>
  <c r="M153" i="10"/>
  <c r="M162" i="10"/>
  <c r="M244" i="10"/>
  <c r="M134" i="10"/>
  <c r="M42" i="10"/>
  <c r="M283" i="10"/>
  <c r="M206" i="10"/>
  <c r="M136" i="10"/>
  <c r="M120" i="10"/>
  <c r="M286" i="10"/>
  <c r="M21" i="10"/>
  <c r="M399" i="10"/>
  <c r="M253" i="10"/>
  <c r="M164" i="10"/>
  <c r="M182" i="10"/>
  <c r="M150" i="10"/>
  <c r="M45" i="10"/>
  <c r="M138" i="10"/>
  <c r="M405" i="10"/>
  <c r="M263" i="10"/>
  <c r="M257" i="10"/>
  <c r="M147" i="10"/>
  <c r="M417" i="10"/>
  <c r="M506" i="10"/>
  <c r="M195" i="10"/>
  <c r="M393" i="10"/>
  <c r="M442" i="10"/>
  <c r="M367" i="10"/>
  <c r="M503" i="10"/>
  <c r="M437" i="10"/>
  <c r="M387" i="10"/>
  <c r="M99" i="10"/>
  <c r="M203" i="10"/>
  <c r="M260" i="10"/>
  <c r="M368" i="10"/>
  <c r="M273" i="10"/>
  <c r="M11" i="10"/>
  <c r="M38" i="10"/>
  <c r="M152" i="10"/>
  <c r="M390" i="10"/>
  <c r="M396" i="10"/>
  <c r="M433" i="10"/>
  <c r="M209" i="10"/>
  <c r="M262" i="10"/>
  <c r="M505" i="10"/>
  <c r="M363" i="10"/>
  <c r="M527" i="10"/>
  <c r="M9" i="10"/>
  <c r="M234" i="10"/>
  <c r="M254" i="10"/>
  <c r="M6" i="10"/>
  <c r="M8" i="10"/>
  <c r="M366" i="10"/>
  <c r="M148" i="10"/>
  <c r="M178" i="10"/>
  <c r="M208" i="10"/>
  <c r="M156" i="10"/>
  <c r="M281" i="10"/>
  <c r="M12" i="10"/>
  <c r="M268" i="10"/>
  <c r="M159" i="10"/>
  <c r="M192" i="10"/>
  <c r="M400" i="10"/>
  <c r="M191" i="10"/>
  <c r="M259" i="10"/>
  <c r="M160" i="10"/>
  <c r="M19" i="10"/>
  <c r="M255" i="10"/>
  <c r="M180" i="10"/>
  <c r="M194" i="10"/>
  <c r="M210" i="10"/>
  <c r="M13" i="10"/>
  <c r="M106" i="10"/>
  <c r="M43" i="10"/>
  <c r="M364" i="10"/>
  <c r="M165" i="10"/>
  <c r="M207" i="10"/>
  <c r="M395" i="10"/>
  <c r="Q2373" i="3" s="1"/>
  <c r="M251" i="10"/>
  <c r="M415" i="10"/>
  <c r="M25" i="10"/>
  <c r="M546" i="10"/>
  <c r="M18" i="10"/>
  <c r="M186" i="10"/>
  <c r="M7" i="10"/>
  <c r="M157" i="10"/>
  <c r="M17" i="10"/>
  <c r="M392" i="10"/>
  <c r="M504" i="10"/>
  <c r="M925" i="3"/>
  <c r="J72" i="10" s="1"/>
  <c r="M932" i="3"/>
  <c r="M2062" i="3"/>
  <c r="M2341" i="3"/>
  <c r="J397" i="10" s="1"/>
  <c r="M546" i="3"/>
  <c r="J173" i="10" s="1"/>
  <c r="M1312" i="3"/>
  <c r="J226" i="10" s="1"/>
  <c r="M776" i="3"/>
  <c r="J181" i="10" s="1"/>
  <c r="M2417" i="3"/>
  <c r="J404" i="10" s="1"/>
  <c r="M2204" i="3"/>
  <c r="M1348" i="3"/>
  <c r="J224" i="10" s="1"/>
  <c r="M1330" i="3"/>
  <c r="J222" i="10" s="1"/>
  <c r="M1680" i="3"/>
  <c r="J278" i="10" s="1"/>
  <c r="M2187" i="3"/>
  <c r="M2179" i="3"/>
  <c r="M2126" i="3"/>
  <c r="M1840" i="3"/>
  <c r="M633" i="3"/>
  <c r="M1369" i="3"/>
  <c r="J240" i="10" s="1"/>
  <c r="M66" i="3"/>
  <c r="J31" i="10" s="1"/>
  <c r="M1482" i="3"/>
  <c r="J247" i="10" s="1"/>
  <c r="M2084" i="3"/>
  <c r="M1431" i="3"/>
  <c r="M1914" i="3"/>
  <c r="M2004" i="3"/>
  <c r="M380" i="3"/>
  <c r="J55" i="10" s="1"/>
  <c r="M390" i="3"/>
  <c r="M501" i="3"/>
  <c r="M1353" i="3"/>
  <c r="J223" i="10" s="1"/>
  <c r="M1427" i="3"/>
  <c r="M383" i="3"/>
  <c r="M1413" i="3"/>
  <c r="J243" i="10" s="1"/>
  <c r="M2047" i="3"/>
  <c r="M738" i="3"/>
  <c r="M2379" i="3"/>
  <c r="J372" i="10" s="1"/>
  <c r="M593" i="3"/>
  <c r="M1861" i="3"/>
  <c r="M2170" i="3"/>
  <c r="J338" i="10" s="1"/>
  <c r="M712" i="3"/>
  <c r="J113" i="10" s="1"/>
  <c r="M897" i="3"/>
  <c r="J167" i="10" s="1"/>
  <c r="M802" i="3"/>
  <c r="J68" i="10" s="1"/>
  <c r="M614" i="3"/>
  <c r="M2021" i="3"/>
  <c r="M1892" i="3"/>
  <c r="M1810" i="3"/>
  <c r="J310" i="10" s="1"/>
  <c r="M1397" i="3"/>
  <c r="M1423" i="3"/>
  <c r="M1296" i="3"/>
  <c r="J225" i="10" s="1"/>
  <c r="M466" i="3"/>
  <c r="M2155" i="3"/>
  <c r="M486" i="3"/>
  <c r="M507" i="3"/>
  <c r="J270" i="10"/>
  <c r="M811" i="3"/>
  <c r="J75" i="10" s="1"/>
  <c r="M1374" i="3"/>
  <c r="J239" i="10" s="1"/>
  <c r="M2040" i="3"/>
  <c r="M661" i="3"/>
  <c r="M2249" i="3"/>
  <c r="J388" i="10" s="1"/>
  <c r="M1386" i="3"/>
  <c r="J241" i="10" s="1"/>
  <c r="M1976" i="3"/>
  <c r="M715" i="3"/>
  <c r="J115" i="10" s="1"/>
  <c r="M34" i="3"/>
  <c r="J22" i="10" s="1"/>
  <c r="M937" i="3"/>
  <c r="M691" i="3"/>
  <c r="J108" i="10" s="1"/>
  <c r="M1306" i="3"/>
  <c r="J229" i="10" s="1"/>
  <c r="M935" i="3"/>
  <c r="M2425" i="3"/>
  <c r="J384" i="10" s="1"/>
  <c r="M2306" i="3"/>
  <c r="M392" i="3"/>
  <c r="J114" i="10" s="1"/>
  <c r="M1336" i="3"/>
  <c r="M404" i="3"/>
  <c r="J110" i="10" s="1"/>
  <c r="M1993" i="3"/>
  <c r="M523" i="3"/>
  <c r="J70" i="10" s="1"/>
  <c r="M2510" i="3"/>
  <c r="J510" i="10" s="1"/>
  <c r="M309" i="3"/>
  <c r="J98" i="10" s="1"/>
  <c r="M596" i="3"/>
  <c r="M622" i="3"/>
  <c r="M386" i="3"/>
  <c r="M481" i="3"/>
  <c r="J74" i="10" s="1"/>
  <c r="M494" i="3"/>
  <c r="M1391" i="3"/>
  <c r="M515" i="3"/>
  <c r="J73" i="10" s="1"/>
  <c r="M608" i="3"/>
  <c r="M1831" i="3"/>
  <c r="J317" i="10" s="1"/>
  <c r="M289" i="3"/>
  <c r="J97" i="10" s="1"/>
  <c r="M687" i="3"/>
  <c r="J109" i="10" s="1"/>
  <c r="M458" i="3"/>
  <c r="M785" i="3"/>
  <c r="M2055" i="3"/>
  <c r="M1319" i="3"/>
  <c r="J220" i="10" s="1"/>
  <c r="M599" i="3"/>
  <c r="M1013" i="3"/>
  <c r="J190" i="10" s="1"/>
  <c r="M1924" i="3"/>
  <c r="M1342" i="3"/>
  <c r="J219" i="10" s="1"/>
  <c r="M473" i="3"/>
  <c r="M1252" i="3"/>
  <c r="J187" i="10" s="1"/>
  <c r="M2139" i="3"/>
  <c r="J337" i="10" s="1"/>
  <c r="M831" i="3"/>
  <c r="J171" i="10" s="1"/>
  <c r="M2010" i="3"/>
  <c r="M1365" i="3"/>
  <c r="J237" i="10" s="1"/>
  <c r="M2032" i="3"/>
  <c r="M670" i="3"/>
  <c r="M1324" i="3"/>
  <c r="J221" i="10" s="1"/>
  <c r="M551" i="3"/>
  <c r="J169" i="10" s="1"/>
  <c r="M790" i="3"/>
  <c r="J85" i="10" s="1"/>
  <c r="M2325" i="3"/>
  <c r="J389" i="10" s="1"/>
  <c r="M2302" i="3"/>
  <c r="J377" i="10" s="1"/>
  <c r="M1873" i="3"/>
  <c r="M1802" i="3"/>
  <c r="M1439" i="3"/>
  <c r="M1404" i="3"/>
  <c r="M2091" i="3"/>
  <c r="M2142" i="3"/>
  <c r="M1790" i="3"/>
  <c r="M729" i="3"/>
  <c r="M2070" i="3"/>
  <c r="M1435" i="3"/>
  <c r="M1301" i="3"/>
  <c r="J218" i="10" s="1"/>
  <c r="M2106" i="3"/>
  <c r="M1932" i="3"/>
  <c r="M1237" i="3"/>
  <c r="J202" i="10" s="1"/>
  <c r="M1398" i="3"/>
  <c r="M2114" i="3"/>
  <c r="M387" i="3"/>
  <c r="M2077" i="3"/>
  <c r="M399" i="3"/>
  <c r="M1776" i="3"/>
  <c r="J304" i="10" s="1"/>
  <c r="M1984" i="3"/>
  <c r="M2197" i="3"/>
  <c r="M395" i="3"/>
  <c r="J111" i="10" s="1"/>
  <c r="M1852" i="3"/>
  <c r="J303" i="10" s="1"/>
  <c r="M1359" i="3"/>
  <c r="J228" i="10" s="1"/>
  <c r="M656" i="3"/>
  <c r="M1443" i="3"/>
  <c r="M1409" i="3"/>
  <c r="J238" i="10" s="1"/>
  <c r="M1225" i="3"/>
  <c r="M529" i="3"/>
  <c r="I371" i="1"/>
  <c r="L51" i="10" l="1"/>
  <c r="H216" i="5"/>
  <c r="L698" i="3"/>
  <c r="M698" i="3" s="1"/>
  <c r="J130" i="10" s="1"/>
  <c r="L2311" i="3"/>
  <c r="M2311" i="3" s="1"/>
  <c r="J375" i="10" s="1"/>
  <c r="D378" i="1"/>
  <c r="H378" i="1" s="1"/>
  <c r="D461" i="11"/>
  <c r="H461" i="11" s="1"/>
  <c r="P3459" i="3"/>
  <c r="D589" i="11"/>
  <c r="H589" i="11" s="1"/>
  <c r="D520" i="1"/>
  <c r="H520" i="1" s="1"/>
  <c r="D620" i="11"/>
  <c r="H620" i="11" s="1"/>
  <c r="D522" i="1"/>
  <c r="H522" i="1" s="1"/>
  <c r="K466" i="2" s="1"/>
  <c r="L466" i="2" s="1"/>
  <c r="D497" i="1"/>
  <c r="H497" i="1" s="1"/>
  <c r="D591" i="11"/>
  <c r="H591" i="11" s="1"/>
  <c r="K668" i="10"/>
  <c r="M668" i="10" s="1"/>
  <c r="Q3458" i="3" s="1"/>
  <c r="Q3074" i="3"/>
  <c r="Q3075" i="3"/>
  <c r="Q3076" i="3"/>
  <c r="Q3010" i="3"/>
  <c r="Q3011" i="3"/>
  <c r="Q3013" i="3"/>
  <c r="Q3014" i="3"/>
  <c r="Q3009" i="3"/>
  <c r="Q3008" i="3"/>
  <c r="Q3007" i="3"/>
  <c r="Q3006" i="3"/>
  <c r="Q3005" i="3"/>
  <c r="Q3012" i="3"/>
  <c r="D507" i="11"/>
  <c r="H507" i="11" s="1"/>
  <c r="D421" i="1"/>
  <c r="H421" i="1" s="1"/>
  <c r="P3463" i="3"/>
  <c r="L1213" i="3"/>
  <c r="M1213" i="3" s="1"/>
  <c r="J200" i="10" s="1"/>
  <c r="L1224" i="3"/>
  <c r="M1224" i="3" s="1"/>
  <c r="J201" i="10" s="1"/>
  <c r="L306" i="3"/>
  <c r="M306" i="3" s="1"/>
  <c r="J151" i="10" s="1"/>
  <c r="L903" i="3"/>
  <c r="M903" i="3" s="1"/>
  <c r="J155" i="10" s="1"/>
  <c r="K1089" i="2"/>
  <c r="L1089" i="2" s="1"/>
  <c r="K1099" i="2"/>
  <c r="L1099" i="2" s="1"/>
  <c r="L357" i="3"/>
  <c r="M357" i="3" s="1"/>
  <c r="J145" i="10" s="1"/>
  <c r="L3105" i="3"/>
  <c r="M3105" i="3" s="1"/>
  <c r="J623" i="10" s="1"/>
  <c r="L880" i="3"/>
  <c r="M880" i="3" s="1"/>
  <c r="J58" i="10" s="1"/>
  <c r="L1153" i="3"/>
  <c r="M1153" i="3" s="1"/>
  <c r="L1249" i="3"/>
  <c r="M1249" i="3" s="1"/>
  <c r="J204" i="10" s="1"/>
  <c r="L1186" i="3"/>
  <c r="M1186" i="3" s="1"/>
  <c r="J196" i="10" s="1"/>
  <c r="Q2924" i="3"/>
  <c r="Q2927" i="3"/>
  <c r="Q2926" i="3"/>
  <c r="Q2919" i="3"/>
  <c r="Q2923" i="3"/>
  <c r="Q2920" i="3"/>
  <c r="Q2925" i="3"/>
  <c r="Q2928" i="3"/>
  <c r="Q2921" i="3"/>
  <c r="Q2922" i="3"/>
  <c r="P3460" i="3"/>
  <c r="Q3409" i="3"/>
  <c r="Q3412" i="3"/>
  <c r="Q3407" i="3"/>
  <c r="Q3421" i="3"/>
  <c r="Q3414" i="3"/>
  <c r="Q3419" i="3"/>
  <c r="Q3416" i="3"/>
  <c r="Q3417" i="3"/>
  <c r="Q3408" i="3"/>
  <c r="Q3415" i="3"/>
  <c r="Q3418" i="3"/>
  <c r="Q3413" i="3"/>
  <c r="Q3410" i="3"/>
  <c r="Q3411" i="3"/>
  <c r="Q3420" i="3"/>
  <c r="Q3070" i="3"/>
  <c r="Q3072" i="3"/>
  <c r="Q3071" i="3"/>
  <c r="Q3073" i="3"/>
  <c r="L3189" i="3"/>
  <c r="M3189" i="3" s="1"/>
  <c r="L1769" i="3"/>
  <c r="M1769" i="3" s="1"/>
  <c r="P3458" i="3"/>
  <c r="Q2908" i="3"/>
  <c r="Q2905" i="3"/>
  <c r="Q2906" i="3"/>
  <c r="Q2907" i="3"/>
  <c r="Q2910" i="3"/>
  <c r="Q2909" i="3"/>
  <c r="Q2911" i="3"/>
  <c r="P3461" i="3"/>
  <c r="Q2914" i="3"/>
  <c r="Q2917" i="3"/>
  <c r="Q2916" i="3"/>
  <c r="Q2912" i="3"/>
  <c r="Q2915" i="3"/>
  <c r="Q2918" i="3"/>
  <c r="Q2913" i="3"/>
  <c r="D496" i="1"/>
  <c r="H496" i="1" s="1"/>
  <c r="D590" i="11"/>
  <c r="H590" i="11" s="1"/>
  <c r="L668" i="10"/>
  <c r="L2993" i="3"/>
  <c r="M2993" i="3" s="1"/>
  <c r="J578" i="10" s="1"/>
  <c r="L2987" i="3"/>
  <c r="M2987" i="3" s="1"/>
  <c r="J575" i="10" s="1"/>
  <c r="H218" i="5"/>
  <c r="Q3329" i="3"/>
  <c r="Q3327" i="3"/>
  <c r="Q3328" i="3"/>
  <c r="Q3326" i="3"/>
  <c r="P3429" i="3"/>
  <c r="P3427" i="3"/>
  <c r="P3425" i="3"/>
  <c r="P3423" i="3"/>
  <c r="P3426" i="3"/>
  <c r="P3422" i="3"/>
  <c r="P3428" i="3"/>
  <c r="P3424" i="3"/>
  <c r="J285" i="10"/>
  <c r="P3297" i="3"/>
  <c r="P3296" i="3"/>
  <c r="K641" i="10"/>
  <c r="M641" i="10" s="1"/>
  <c r="Q3298" i="3" s="1"/>
  <c r="P3295" i="3"/>
  <c r="K41" i="10"/>
  <c r="M41" i="10" s="1"/>
  <c r="L41" i="10"/>
  <c r="P2965" i="3"/>
  <c r="P2963" i="3"/>
  <c r="L641" i="10"/>
  <c r="P3298" i="3"/>
  <c r="P2967" i="3"/>
  <c r="J118" i="10"/>
  <c r="L592" i="3"/>
  <c r="M592" i="3" s="1"/>
  <c r="J103" i="10" s="1"/>
  <c r="L384" i="3"/>
  <c r="M384" i="3" s="1"/>
  <c r="J56" i="10" s="1"/>
  <c r="L1444" i="3"/>
  <c r="M1444" i="3" s="1"/>
  <c r="J246" i="10" s="1"/>
  <c r="L1422" i="3"/>
  <c r="M1422" i="3" s="1"/>
  <c r="J232" i="10" s="1"/>
  <c r="L1430" i="3"/>
  <c r="M1430" i="3" s="1"/>
  <c r="J236" i="10" s="1"/>
  <c r="L2307" i="3"/>
  <c r="M2307" i="3" s="1"/>
  <c r="J378" i="10" s="1"/>
  <c r="L3176" i="3"/>
  <c r="M3176" i="3" s="1"/>
  <c r="J611" i="10" s="1"/>
  <c r="L3179" i="3"/>
  <c r="M3179" i="3" s="1"/>
  <c r="J612" i="10" s="1"/>
  <c r="P3294" i="3"/>
  <c r="K579" i="10"/>
  <c r="M579" i="10" s="1"/>
  <c r="Q2964" i="3" s="1"/>
  <c r="K51" i="10"/>
  <c r="M51" i="10" s="1"/>
  <c r="L579" i="10"/>
  <c r="P2966" i="3"/>
  <c r="P2964" i="3"/>
  <c r="K24" i="10"/>
  <c r="M24" i="10" s="1"/>
  <c r="K332" i="10"/>
  <c r="M332" i="10" s="1"/>
  <c r="L472" i="10"/>
  <c r="J64" i="10"/>
  <c r="K538" i="10"/>
  <c r="M538" i="10" s="1"/>
  <c r="J104" i="10"/>
  <c r="J587" i="10"/>
  <c r="J245" i="10"/>
  <c r="J639" i="10"/>
  <c r="L24" i="10"/>
  <c r="J235" i="10"/>
  <c r="J588" i="10"/>
  <c r="J586" i="10"/>
  <c r="P3122" i="3"/>
  <c r="K631" i="10"/>
  <c r="M631" i="10" s="1"/>
  <c r="P3121" i="3"/>
  <c r="L631" i="10"/>
  <c r="P3120" i="3"/>
  <c r="P3203" i="3"/>
  <c r="P3198" i="3"/>
  <c r="P3199" i="3"/>
  <c r="P3201" i="3"/>
  <c r="P3202" i="3"/>
  <c r="L643" i="10"/>
  <c r="K643" i="10"/>
  <c r="M643" i="10" s="1"/>
  <c r="P3205" i="3"/>
  <c r="P3197" i="3"/>
  <c r="P3206" i="3"/>
  <c r="P3200" i="3"/>
  <c r="P3195" i="3"/>
  <c r="P3196" i="3"/>
  <c r="P3204" i="3"/>
  <c r="P3219" i="3"/>
  <c r="P3213" i="3"/>
  <c r="P3214" i="3"/>
  <c r="P3209" i="3"/>
  <c r="P3210" i="3"/>
  <c r="P3211" i="3"/>
  <c r="P3216" i="3"/>
  <c r="P3221" i="3"/>
  <c r="P3208" i="3"/>
  <c r="P3215" i="3"/>
  <c r="L642" i="10"/>
  <c r="P3207" i="3"/>
  <c r="P3217" i="3"/>
  <c r="K642" i="10"/>
  <c r="M642" i="10" s="1"/>
  <c r="P3220" i="3"/>
  <c r="P3212" i="3"/>
  <c r="P3218" i="3"/>
  <c r="Q451" i="3"/>
  <c r="Q452" i="3"/>
  <c r="J233" i="10"/>
  <c r="J117" i="10"/>
  <c r="D618" i="11"/>
  <c r="H618" i="11" s="1"/>
  <c r="J101" i="10"/>
  <c r="J306" i="10"/>
  <c r="L538" i="10"/>
  <c r="L332" i="10"/>
  <c r="J305" i="10"/>
  <c r="K472" i="10"/>
  <c r="M472" i="10" s="1"/>
  <c r="J231" i="10"/>
  <c r="J105" i="10"/>
  <c r="J230" i="10"/>
  <c r="J107" i="10"/>
  <c r="J116" i="10"/>
  <c r="L23" i="10"/>
  <c r="L172" i="10"/>
  <c r="K172" i="10"/>
  <c r="M172" i="10" s="1"/>
  <c r="K133" i="10"/>
  <c r="M133" i="10" s="1"/>
  <c r="K275" i="10"/>
  <c r="M275" i="10" s="1"/>
  <c r="L284" i="10"/>
  <c r="L250" i="10"/>
  <c r="L176" i="10"/>
  <c r="K176" i="10"/>
  <c r="M176" i="10" s="1"/>
  <c r="K284" i="10"/>
  <c r="M284" i="10" s="1"/>
  <c r="L133" i="10"/>
  <c r="K250" i="10"/>
  <c r="M250" i="10" s="1"/>
  <c r="L275" i="10"/>
  <c r="K23" i="10"/>
  <c r="M23" i="10" s="1"/>
  <c r="D488" i="1"/>
  <c r="D581" i="11"/>
  <c r="H581" i="11" s="1"/>
  <c r="D490" i="1"/>
  <c r="D583" i="11"/>
  <c r="H583" i="11" s="1"/>
  <c r="D504" i="11"/>
  <c r="H504" i="11" s="1"/>
  <c r="D489" i="1"/>
  <c r="D582" i="11"/>
  <c r="H582" i="11" s="1"/>
  <c r="D403" i="1"/>
  <c r="H403" i="1" s="1"/>
  <c r="D486" i="11"/>
  <c r="H486" i="11" s="1"/>
  <c r="D505" i="11"/>
  <c r="H505" i="11" s="1"/>
  <c r="L158" i="10"/>
  <c r="K158" i="10"/>
  <c r="K272" i="10"/>
  <c r="L272" i="10"/>
  <c r="L170" i="10"/>
  <c r="K170" i="10"/>
  <c r="K197" i="10"/>
  <c r="L197" i="10"/>
  <c r="L289" i="10"/>
  <c r="K289" i="10"/>
  <c r="L282" i="10"/>
  <c r="K282" i="10"/>
  <c r="K198" i="10"/>
  <c r="L198" i="10"/>
  <c r="K100" i="10"/>
  <c r="L100" i="10"/>
  <c r="L287" i="10"/>
  <c r="K287" i="10"/>
  <c r="K146" i="10"/>
  <c r="L146" i="10"/>
  <c r="L256" i="10"/>
  <c r="K256" i="10"/>
  <c r="M516" i="10"/>
  <c r="K218" i="10"/>
  <c r="K220" i="10"/>
  <c r="L220" i="10"/>
  <c r="L218" i="10"/>
  <c r="K190" i="10"/>
  <c r="L190" i="10"/>
  <c r="K187" i="10"/>
  <c r="L187" i="10"/>
  <c r="K384" i="10"/>
  <c r="L384" i="10"/>
  <c r="L375" i="10" l="1"/>
  <c r="L130" i="10"/>
  <c r="D457" i="1"/>
  <c r="H457" i="1" s="1"/>
  <c r="D546" i="11"/>
  <c r="H546" i="11" s="1"/>
  <c r="K130" i="10"/>
  <c r="M130" i="10" s="1"/>
  <c r="Q3459" i="3"/>
  <c r="K375" i="10"/>
  <c r="M375" i="10" s="1"/>
  <c r="Q3461" i="3"/>
  <c r="Q3460" i="3"/>
  <c r="Q3462" i="3"/>
  <c r="Q3463" i="3"/>
  <c r="D419" i="1"/>
  <c r="H419" i="1" s="1"/>
  <c r="D502" i="11"/>
  <c r="H502" i="11" s="1"/>
  <c r="L3248" i="3"/>
  <c r="M3248" i="3" s="1"/>
  <c r="J647" i="10" s="1"/>
  <c r="L3251" i="3"/>
  <c r="M3251" i="3" s="1"/>
  <c r="J648" i="10" s="1"/>
  <c r="L3142" i="3"/>
  <c r="M3142" i="3" s="1"/>
  <c r="J635" i="10" s="1"/>
  <c r="L3254" i="3"/>
  <c r="M3254" i="3" s="1"/>
  <c r="J649" i="10" s="1"/>
  <c r="D417" i="1"/>
  <c r="H417" i="1" s="1"/>
  <c r="D500" i="11"/>
  <c r="H500" i="11" s="1"/>
  <c r="K58" i="10"/>
  <c r="M58" i="10" s="1"/>
  <c r="L58" i="10"/>
  <c r="K151" i="10"/>
  <c r="M151" i="10" s="1"/>
  <c r="L151" i="10"/>
  <c r="L2227" i="3"/>
  <c r="M2227" i="3" s="1"/>
  <c r="J386" i="10" s="1"/>
  <c r="L2853" i="3"/>
  <c r="M2853" i="3" s="1"/>
  <c r="J562" i="10" s="1"/>
  <c r="L2409" i="3"/>
  <c r="M2409" i="3" s="1"/>
  <c r="J403" i="10" s="1"/>
  <c r="L979" i="3"/>
  <c r="M979" i="3" s="1"/>
  <c r="J135" i="10" s="1"/>
  <c r="L2349" i="3"/>
  <c r="M2349" i="3" s="1"/>
  <c r="J362" i="10" s="1"/>
  <c r="D431" i="1"/>
  <c r="H431" i="1" s="1"/>
  <c r="L983" i="3" s="1"/>
  <c r="M983" i="3" s="1"/>
  <c r="J137" i="10" s="1"/>
  <c r="D520" i="11"/>
  <c r="H520" i="11" s="1"/>
  <c r="D433" i="1"/>
  <c r="H433" i="1" s="1"/>
  <c r="L3559" i="3" s="1"/>
  <c r="M3559" i="3" s="1"/>
  <c r="J689" i="10" s="1"/>
  <c r="D522" i="11"/>
  <c r="H522" i="11" s="1"/>
  <c r="L978" i="3"/>
  <c r="M978" i="3" s="1"/>
  <c r="J140" i="10" s="1"/>
  <c r="L3191" i="3"/>
  <c r="M3191" i="3" s="1"/>
  <c r="J622" i="10" s="1"/>
  <c r="K575" i="10"/>
  <c r="M575" i="10" s="1"/>
  <c r="P2991" i="3"/>
  <c r="P2992" i="3"/>
  <c r="P2988" i="3"/>
  <c r="P2990" i="3"/>
  <c r="P2987" i="3"/>
  <c r="P2989" i="3"/>
  <c r="L575" i="10"/>
  <c r="K196" i="10"/>
  <c r="M196" i="10" s="1"/>
  <c r="L196" i="10"/>
  <c r="L155" i="10"/>
  <c r="K155" i="10"/>
  <c r="M155" i="10" s="1"/>
  <c r="L437" i="3"/>
  <c r="M437" i="3" s="1"/>
  <c r="J127" i="10" s="1"/>
  <c r="L2406" i="3"/>
  <c r="M2406" i="3" s="1"/>
  <c r="J402" i="10" s="1"/>
  <c r="P2997" i="3"/>
  <c r="P2993" i="3"/>
  <c r="L578" i="10"/>
  <c r="K578" i="10"/>
  <c r="M578" i="10" s="1"/>
  <c r="P2995" i="3"/>
  <c r="P2994" i="3"/>
  <c r="P2996" i="3"/>
  <c r="L204" i="10"/>
  <c r="K204" i="10"/>
  <c r="M204" i="10" s="1"/>
  <c r="K479" i="2"/>
  <c r="L479" i="2" s="1"/>
  <c r="K459" i="2"/>
  <c r="Q3297" i="3"/>
  <c r="K200" i="10"/>
  <c r="M200" i="10" s="1"/>
  <c r="L200" i="10"/>
  <c r="P3101" i="3"/>
  <c r="P3098" i="3"/>
  <c r="P3097" i="3"/>
  <c r="L623" i="10"/>
  <c r="P3099" i="3"/>
  <c r="P3105" i="3"/>
  <c r="P3095" i="3"/>
  <c r="P3100" i="3"/>
  <c r="P3102" i="3"/>
  <c r="P3096" i="3"/>
  <c r="P3103" i="3"/>
  <c r="K623" i="10"/>
  <c r="M623" i="10" s="1"/>
  <c r="P3104" i="3"/>
  <c r="L145" i="10"/>
  <c r="K145" i="10"/>
  <c r="M145" i="10" s="1"/>
  <c r="D558" i="11"/>
  <c r="H558" i="11" s="1"/>
  <c r="D469" i="1"/>
  <c r="H469" i="1" s="1"/>
  <c r="Q3296" i="3"/>
  <c r="Q3295" i="3"/>
  <c r="Q3294" i="3"/>
  <c r="K285" i="10"/>
  <c r="M285" i="10" s="1"/>
  <c r="L285" i="10"/>
  <c r="Q3429" i="3"/>
  <c r="Q3427" i="3"/>
  <c r="Q3425" i="3"/>
  <c r="Q3423" i="3"/>
  <c r="Q3422" i="3"/>
  <c r="Q3424" i="3"/>
  <c r="Q3428" i="3"/>
  <c r="Q3426" i="3"/>
  <c r="Q2963" i="3"/>
  <c r="Q2967" i="3"/>
  <c r="Q2965" i="3"/>
  <c r="Q2966" i="3"/>
  <c r="L3147" i="3"/>
  <c r="M3147" i="3" s="1"/>
  <c r="J636" i="10" s="1"/>
  <c r="L1718" i="3"/>
  <c r="M1718" i="3" s="1"/>
  <c r="J280" i="10" s="1"/>
  <c r="P3168" i="3"/>
  <c r="K245" i="10"/>
  <c r="M245" i="10" s="1"/>
  <c r="P2978" i="3"/>
  <c r="P2976" i="3"/>
  <c r="K117" i="10"/>
  <c r="M117" i="10" s="1"/>
  <c r="L245" i="10"/>
  <c r="P2977" i="3"/>
  <c r="P2975" i="3"/>
  <c r="K587" i="10"/>
  <c r="M587" i="10" s="1"/>
  <c r="Q2976" i="3" s="1"/>
  <c r="L587" i="10"/>
  <c r="P3169" i="3"/>
  <c r="P3167" i="3"/>
  <c r="K639" i="10"/>
  <c r="M639" i="10" s="1"/>
  <c r="Q3167" i="3" s="1"/>
  <c r="L639" i="10"/>
  <c r="K588" i="10"/>
  <c r="M588" i="10" s="1"/>
  <c r="Q2980" i="3" s="1"/>
  <c r="P2979" i="3"/>
  <c r="L588" i="10"/>
  <c r="P2980" i="3"/>
  <c r="P3179" i="3"/>
  <c r="P3181" i="3"/>
  <c r="P3180" i="3"/>
  <c r="L612" i="10"/>
  <c r="K612" i="10"/>
  <c r="M612" i="10" s="1"/>
  <c r="P2972" i="3"/>
  <c r="P2974" i="3"/>
  <c r="L586" i="10"/>
  <c r="K586" i="10"/>
  <c r="M586" i="10" s="1"/>
  <c r="P2973" i="3"/>
  <c r="P3177" i="3"/>
  <c r="L611" i="10"/>
  <c r="P3178" i="3"/>
  <c r="K611" i="10"/>
  <c r="M611" i="10" s="1"/>
  <c r="P3176" i="3"/>
  <c r="Q3121" i="3"/>
  <c r="Q3120" i="3"/>
  <c r="Q3122" i="3"/>
  <c r="Q3216" i="3"/>
  <c r="Q3211" i="3"/>
  <c r="Q3214" i="3"/>
  <c r="Q3221" i="3"/>
  <c r="Q3212" i="3"/>
  <c r="Q3219" i="3"/>
  <c r="Q3207" i="3"/>
  <c r="Q3217" i="3"/>
  <c r="Q3220" i="3"/>
  <c r="Q3215" i="3"/>
  <c r="Q3218" i="3"/>
  <c r="Q3210" i="3"/>
  <c r="Q3213" i="3"/>
  <c r="Q3208" i="3"/>
  <c r="Q3209" i="3"/>
  <c r="Q3200" i="3"/>
  <c r="Q3205" i="3"/>
  <c r="Q3206" i="3"/>
  <c r="Q3197" i="3"/>
  <c r="Q3204" i="3"/>
  <c r="Q3202" i="3"/>
  <c r="Q3199" i="3"/>
  <c r="Q3201" i="3"/>
  <c r="Q3195" i="3"/>
  <c r="Q3196" i="3"/>
  <c r="Q3198" i="3"/>
  <c r="Q3203" i="3"/>
  <c r="H490" i="1"/>
  <c r="H489" i="1"/>
  <c r="H488" i="1"/>
  <c r="L116" i="10"/>
  <c r="K116" i="10"/>
  <c r="M116" i="10" s="1"/>
  <c r="L101" i="10"/>
  <c r="K101" i="10"/>
  <c r="M101" i="10" s="1"/>
  <c r="K171" i="10"/>
  <c r="M171" i="10" s="1"/>
  <c r="L171" i="10"/>
  <c r="K103" i="10"/>
  <c r="M103" i="10" s="1"/>
  <c r="L103" i="10"/>
  <c r="L97" i="10"/>
  <c r="K97" i="10"/>
  <c r="M97" i="10" s="1"/>
  <c r="K54" i="10"/>
  <c r="M54" i="10" s="1"/>
  <c r="L54" i="10"/>
  <c r="K201" i="10"/>
  <c r="M201" i="10" s="1"/>
  <c r="L404" i="10"/>
  <c r="M197" i="10"/>
  <c r="M272" i="10"/>
  <c r="M158" i="10"/>
  <c r="M282" i="10"/>
  <c r="M287" i="10"/>
  <c r="M289" i="10"/>
  <c r="M256" i="10"/>
  <c r="M198" i="10"/>
  <c r="M170" i="10"/>
  <c r="M100" i="10"/>
  <c r="M146" i="10"/>
  <c r="K404" i="10"/>
  <c r="L222" i="10"/>
  <c r="K105" i="10"/>
  <c r="K55" i="10"/>
  <c r="K68" i="10"/>
  <c r="M68" i="10" s="1"/>
  <c r="L237" i="10"/>
  <c r="L201" i="10"/>
  <c r="L56" i="10"/>
  <c r="K109" i="10"/>
  <c r="K337" i="10"/>
  <c r="K231" i="10"/>
  <c r="K222" i="10"/>
  <c r="K173" i="10"/>
  <c r="L173" i="10"/>
  <c r="L117" i="10"/>
  <c r="L232" i="10"/>
  <c r="K232" i="10"/>
  <c r="L111" i="10"/>
  <c r="K246" i="10"/>
  <c r="L55" i="10"/>
  <c r="L246" i="10"/>
  <c r="K111" i="10"/>
  <c r="L337" i="10"/>
  <c r="L109" i="10"/>
  <c r="L231" i="10"/>
  <c r="K510" i="10"/>
  <c r="L243" i="10"/>
  <c r="K70" i="10"/>
  <c r="L70" i="10"/>
  <c r="K74" i="10"/>
  <c r="K243" i="10"/>
  <c r="L105" i="10"/>
  <c r="K169" i="10"/>
  <c r="M169" i="10" s="1"/>
  <c r="K306" i="10"/>
  <c r="L510" i="10"/>
  <c r="L306" i="10"/>
  <c r="L68" i="10"/>
  <c r="L74" i="10"/>
  <c r="L169" i="10"/>
  <c r="L389" i="10"/>
  <c r="K389" i="10"/>
  <c r="K237" i="10"/>
  <c r="K310" i="10"/>
  <c r="L310" i="10"/>
  <c r="K56" i="10"/>
  <c r="K238" i="10"/>
  <c r="L238" i="10"/>
  <c r="K202" i="10"/>
  <c r="L202" i="10"/>
  <c r="K305" i="10"/>
  <c r="L305" i="10"/>
  <c r="K278" i="10"/>
  <c r="L278" i="10"/>
  <c r="K372" i="10"/>
  <c r="L372" i="10"/>
  <c r="K239" i="10"/>
  <c r="L239" i="10"/>
  <c r="K240" i="10"/>
  <c r="L240" i="10"/>
  <c r="K233" i="10"/>
  <c r="L233" i="10"/>
  <c r="K107" i="10"/>
  <c r="L107" i="10"/>
  <c r="K181" i="10"/>
  <c r="L181" i="10"/>
  <c r="K338" i="10"/>
  <c r="L338" i="10"/>
  <c r="K270" i="10"/>
  <c r="L270" i="10"/>
  <c r="K167" i="10"/>
  <c r="L167" i="10"/>
  <c r="M190" i="10"/>
  <c r="K110" i="10"/>
  <c r="L110" i="10"/>
  <c r="K388" i="10"/>
  <c r="L388" i="10"/>
  <c r="K235" i="10"/>
  <c r="L235" i="10"/>
  <c r="K219" i="10"/>
  <c r="L219" i="10"/>
  <c r="K73" i="10"/>
  <c r="L73" i="10"/>
  <c r="K108" i="10"/>
  <c r="L108" i="10"/>
  <c r="K236" i="10"/>
  <c r="L236" i="10"/>
  <c r="K64" i="10"/>
  <c r="L64" i="10"/>
  <c r="K5" i="10"/>
  <c r="L5" i="10"/>
  <c r="K229" i="10"/>
  <c r="L229" i="10"/>
  <c r="K304" i="10"/>
  <c r="L304" i="10"/>
  <c r="M218" i="10"/>
  <c r="K397" i="10"/>
  <c r="L397" i="10"/>
  <c r="K223" i="10"/>
  <c r="L223" i="10"/>
  <c r="K225" i="10"/>
  <c r="L225" i="10"/>
  <c r="K114" i="10"/>
  <c r="L114" i="10"/>
  <c r="K317" i="10"/>
  <c r="L317" i="10"/>
  <c r="K226" i="10"/>
  <c r="L226" i="10"/>
  <c r="K378" i="10"/>
  <c r="L378" i="10"/>
  <c r="M220" i="10"/>
  <c r="K113" i="10"/>
  <c r="L113" i="10"/>
  <c r="K230" i="10"/>
  <c r="L230" i="10"/>
  <c r="K221" i="10"/>
  <c r="L221" i="10"/>
  <c r="K118" i="10"/>
  <c r="L118" i="10"/>
  <c r="K104" i="10"/>
  <c r="L104" i="10"/>
  <c r="K224" i="10"/>
  <c r="L224" i="10"/>
  <c r="K241" i="10"/>
  <c r="L241" i="10"/>
  <c r="K75" i="10"/>
  <c r="L75" i="10"/>
  <c r="M384" i="10"/>
  <c r="M187" i="10"/>
  <c r="K22" i="10"/>
  <c r="L22" i="10"/>
  <c r="K72" i="10"/>
  <c r="L72" i="10"/>
  <c r="K247" i="10"/>
  <c r="L247" i="10"/>
  <c r="K115" i="10"/>
  <c r="L115" i="10"/>
  <c r="L303" i="10"/>
  <c r="K303" i="10"/>
  <c r="K377" i="10"/>
  <c r="L377" i="10"/>
  <c r="K228" i="10"/>
  <c r="L228" i="10"/>
  <c r="K85" i="10"/>
  <c r="L85" i="10"/>
  <c r="K98" i="10"/>
  <c r="L98" i="10"/>
  <c r="L689" i="10" l="1"/>
  <c r="P3559" i="3"/>
  <c r="P3557" i="3"/>
  <c r="P3558" i="3"/>
  <c r="K689" i="10"/>
  <c r="M689" i="10" s="1"/>
  <c r="P3556" i="3"/>
  <c r="P2859" i="3"/>
  <c r="L765" i="3"/>
  <c r="M765" i="3" s="1"/>
  <c r="J52" i="10" s="1"/>
  <c r="L2297" i="3"/>
  <c r="M2297" i="3" s="1"/>
  <c r="J373" i="10" s="1"/>
  <c r="L3538" i="3"/>
  <c r="M3538" i="3" s="1"/>
  <c r="L3550" i="3"/>
  <c r="M3550" i="3" s="1"/>
  <c r="L459" i="2"/>
  <c r="L3515" i="3"/>
  <c r="M3515" i="3" s="1"/>
  <c r="L3526" i="3"/>
  <c r="M3526" i="3" s="1"/>
  <c r="D549" i="11"/>
  <c r="H549" i="11" s="1"/>
  <c r="D460" i="1"/>
  <c r="H460" i="1" s="1"/>
  <c r="L1767" i="3"/>
  <c r="M1767" i="3" s="1"/>
  <c r="L3187" i="3"/>
  <c r="M3187" i="3" s="1"/>
  <c r="P3255" i="3"/>
  <c r="P3256" i="3"/>
  <c r="P3254" i="3"/>
  <c r="K649" i="10"/>
  <c r="M649" i="10" s="1"/>
  <c r="L649" i="10"/>
  <c r="K635" i="10"/>
  <c r="M635" i="10" s="1"/>
  <c r="L635" i="10"/>
  <c r="P3142" i="3"/>
  <c r="P3143" i="3"/>
  <c r="L648" i="10"/>
  <c r="P3252" i="3"/>
  <c r="P3251" i="3"/>
  <c r="K648" i="10"/>
  <c r="M648" i="10" s="1"/>
  <c r="P3253" i="3"/>
  <c r="P3249" i="3"/>
  <c r="K647" i="10"/>
  <c r="M647" i="10" s="1"/>
  <c r="P3248" i="3"/>
  <c r="L647" i="10"/>
  <c r="P3250" i="3"/>
  <c r="L3190" i="3"/>
  <c r="M3190" i="3" s="1"/>
  <c r="L1770" i="3"/>
  <c r="M1770" i="3" s="1"/>
  <c r="L137" i="10"/>
  <c r="K137" i="10"/>
  <c r="M137" i="10" s="1"/>
  <c r="Q2996" i="3"/>
  <c r="Q2994" i="3"/>
  <c r="Q2997" i="3"/>
  <c r="Q2993" i="3"/>
  <c r="Q2995" i="3"/>
  <c r="K362" i="10"/>
  <c r="M362" i="10" s="1"/>
  <c r="L362" i="10"/>
  <c r="D503" i="11"/>
  <c r="H503" i="11" s="1"/>
  <c r="Q2992" i="3"/>
  <c r="Q2987" i="3"/>
  <c r="Q2988" i="3"/>
  <c r="Q2990" i="3"/>
  <c r="Q2989" i="3"/>
  <c r="Q2991" i="3"/>
  <c r="K135" i="10"/>
  <c r="M135" i="10" s="1"/>
  <c r="L135" i="10"/>
  <c r="K622" i="10"/>
  <c r="M622" i="10" s="1"/>
  <c r="Q3191" i="3" s="1"/>
  <c r="L622" i="10"/>
  <c r="P3191" i="3"/>
  <c r="L403" i="10"/>
  <c r="K403" i="10"/>
  <c r="M403" i="10" s="1"/>
  <c r="L140" i="10"/>
  <c r="K140" i="10"/>
  <c r="M140" i="10" s="1"/>
  <c r="P2856" i="3"/>
  <c r="K562" i="10"/>
  <c r="M562" i="10" s="1"/>
  <c r="Q2859" i="3" s="1"/>
  <c r="P2855" i="3"/>
  <c r="P2860" i="3"/>
  <c r="L562" i="10"/>
  <c r="P2858" i="3"/>
  <c r="P2857" i="3"/>
  <c r="P2854" i="3"/>
  <c r="P2853" i="3"/>
  <c r="K402" i="10"/>
  <c r="M402" i="10" s="1"/>
  <c r="L402" i="10"/>
  <c r="L386" i="10"/>
  <c r="K386" i="10"/>
  <c r="M386" i="10" s="1"/>
  <c r="K175" i="2"/>
  <c r="L175" i="2" s="1"/>
  <c r="K145" i="2"/>
  <c r="L145" i="2" s="1"/>
  <c r="P442" i="3"/>
  <c r="P440" i="3"/>
  <c r="P441" i="3"/>
  <c r="P439" i="3"/>
  <c r="K127" i="10"/>
  <c r="M127" i="10" s="1"/>
  <c r="L127" i="10"/>
  <c r="L1916" i="3"/>
  <c r="M1916" i="3" s="1"/>
  <c r="L2146" i="3"/>
  <c r="M2146" i="3" s="1"/>
  <c r="L2315" i="3"/>
  <c r="M2315" i="3" s="1"/>
  <c r="J376" i="10" s="1"/>
  <c r="L2178" i="3"/>
  <c r="M2178" i="3" s="1"/>
  <c r="J342" i="10" s="1"/>
  <c r="L531" i="3"/>
  <c r="M531" i="3" s="1"/>
  <c r="L2165" i="3"/>
  <c r="M2165" i="3" s="1"/>
  <c r="L532" i="3"/>
  <c r="M532" i="3" s="1"/>
  <c r="J57" i="10" s="1"/>
  <c r="L1026" i="3"/>
  <c r="M1026" i="3" s="1"/>
  <c r="J205" i="10" s="1"/>
  <c r="L1146" i="3"/>
  <c r="M1146" i="3" s="1"/>
  <c r="J215" i="10" s="1"/>
  <c r="L1842" i="3"/>
  <c r="M1842" i="3" s="1"/>
  <c r="L955" i="3"/>
  <c r="M955" i="3" s="1"/>
  <c r="J123" i="10" s="1"/>
  <c r="Q3104" i="3"/>
  <c r="Q3098" i="3"/>
  <c r="Q3105" i="3"/>
  <c r="Q3095" i="3"/>
  <c r="Q3099" i="3"/>
  <c r="Q3097" i="3"/>
  <c r="Q3102" i="3"/>
  <c r="Q3100" i="3"/>
  <c r="Q3096" i="3"/>
  <c r="Q3101" i="3"/>
  <c r="Q3103" i="3"/>
  <c r="D473" i="1"/>
  <c r="H473" i="1" s="1"/>
  <c r="D562" i="11"/>
  <c r="H562" i="11" s="1"/>
  <c r="L280" i="10"/>
  <c r="K280" i="10"/>
  <c r="M280" i="10" s="1"/>
  <c r="L864" i="3"/>
  <c r="M864" i="3" s="1"/>
  <c r="L1648" i="3"/>
  <c r="M1648" i="3" s="1"/>
  <c r="L3245" i="3"/>
  <c r="M3245" i="3" s="1"/>
  <c r="L3140" i="3"/>
  <c r="M3140" i="3" s="1"/>
  <c r="L636" i="10"/>
  <c r="L69" i="3"/>
  <c r="M69" i="3" s="1"/>
  <c r="L870" i="3"/>
  <c r="M870" i="3" s="1"/>
  <c r="L96" i="3"/>
  <c r="M96" i="3" s="1"/>
  <c r="L235" i="3"/>
  <c r="M235" i="3" s="1"/>
  <c r="L859" i="3"/>
  <c r="M859" i="3" s="1"/>
  <c r="L225" i="3"/>
  <c r="M225" i="3" s="1"/>
  <c r="J2" i="10" s="1"/>
  <c r="L1754" i="3"/>
  <c r="M1754" i="3" s="1"/>
  <c r="L1663" i="3"/>
  <c r="M1663" i="3" s="1"/>
  <c r="L1692" i="3"/>
  <c r="M1692" i="3" s="1"/>
  <c r="P3148" i="3"/>
  <c r="K636" i="10"/>
  <c r="M636" i="10" s="1"/>
  <c r="Q3147" i="3" s="1"/>
  <c r="P3149" i="3"/>
  <c r="P3150" i="3"/>
  <c r="P3147" i="3"/>
  <c r="L234" i="3"/>
  <c r="M234" i="3" s="1"/>
  <c r="L67" i="3"/>
  <c r="M67" i="3" s="1"/>
  <c r="J32" i="10" s="1"/>
  <c r="L68" i="3"/>
  <c r="M68" i="3" s="1"/>
  <c r="L95" i="3"/>
  <c r="M95" i="3" s="1"/>
  <c r="L871" i="3"/>
  <c r="M871" i="3" s="1"/>
  <c r="L860" i="3"/>
  <c r="M860" i="3" s="1"/>
  <c r="L863" i="3"/>
  <c r="M863" i="3" s="1"/>
  <c r="L1693" i="3"/>
  <c r="M1693" i="3" s="1"/>
  <c r="L1664" i="3"/>
  <c r="M1664" i="3" s="1"/>
  <c r="L1753" i="3"/>
  <c r="M1753" i="3" s="1"/>
  <c r="L1647" i="3"/>
  <c r="M1647" i="3" s="1"/>
  <c r="L3139" i="3"/>
  <c r="M3139" i="3" s="1"/>
  <c r="L3244" i="3"/>
  <c r="M3244" i="3" s="1"/>
  <c r="Q2977" i="3"/>
  <c r="Q2975" i="3"/>
  <c r="Q3168" i="3"/>
  <c r="Q3169" i="3"/>
  <c r="Q2979" i="3"/>
  <c r="Q2978" i="3"/>
  <c r="Q3179" i="3"/>
  <c r="Q3181" i="3"/>
  <c r="Q3180" i="3"/>
  <c r="Q2974" i="3"/>
  <c r="Q2972" i="3"/>
  <c r="Q2973" i="3"/>
  <c r="Q3176" i="3"/>
  <c r="Q3177" i="3"/>
  <c r="Q3178" i="3"/>
  <c r="M109" i="10"/>
  <c r="M70" i="10"/>
  <c r="M306" i="10"/>
  <c r="M231" i="10"/>
  <c r="M55" i="10"/>
  <c r="K31" i="10"/>
  <c r="L31" i="10"/>
  <c r="L27" i="10"/>
  <c r="K27" i="10"/>
  <c r="M404" i="10"/>
  <c r="M337" i="10"/>
  <c r="M105" i="10"/>
  <c r="M222" i="10"/>
  <c r="M173" i="10"/>
  <c r="M510" i="10"/>
  <c r="M246" i="10"/>
  <c r="M232" i="10"/>
  <c r="M243" i="10"/>
  <c r="M389" i="10"/>
  <c r="M111" i="10"/>
  <c r="M74" i="10"/>
  <c r="M237" i="10"/>
  <c r="M310" i="10"/>
  <c r="M56" i="10"/>
  <c r="M228" i="10"/>
  <c r="M75" i="10"/>
  <c r="M98" i="10"/>
  <c r="M115" i="10"/>
  <c r="M225" i="10"/>
  <c r="M229" i="10"/>
  <c r="M240" i="10"/>
  <c r="M372" i="10"/>
  <c r="M238" i="10"/>
  <c r="M303" i="10"/>
  <c r="M72" i="10"/>
  <c r="M378" i="10"/>
  <c r="M304" i="10"/>
  <c r="M85" i="10"/>
  <c r="M22" i="10"/>
  <c r="M104" i="10"/>
  <c r="M113" i="10"/>
  <c r="M397" i="10"/>
  <c r="M110" i="10"/>
  <c r="M305" i="10"/>
  <c r="M181" i="10"/>
  <c r="M233" i="10"/>
  <c r="M239" i="10"/>
  <c r="M224" i="10"/>
  <c r="M221" i="10"/>
  <c r="M230" i="10"/>
  <c r="M223" i="10"/>
  <c r="M108" i="10"/>
  <c r="M270" i="10"/>
  <c r="M338" i="10"/>
  <c r="M107" i="10"/>
  <c r="M226" i="10"/>
  <c r="M114" i="10"/>
  <c r="M235" i="10"/>
  <c r="M247" i="10"/>
  <c r="M317" i="10"/>
  <c r="M5" i="10"/>
  <c r="M236" i="10"/>
  <c r="M73" i="10"/>
  <c r="M219" i="10"/>
  <c r="M388" i="10"/>
  <c r="M278" i="10"/>
  <c r="M64" i="10"/>
  <c r="M241" i="10"/>
  <c r="M377" i="10"/>
  <c r="M118" i="10"/>
  <c r="M167" i="10"/>
  <c r="M202" i="10"/>
  <c r="Q3556" i="3" l="1"/>
  <c r="Q3558" i="3"/>
  <c r="Q3559" i="3"/>
  <c r="Q3557" i="3"/>
  <c r="D482" i="11"/>
  <c r="H482" i="11" s="1"/>
  <c r="P533" i="3"/>
  <c r="P2316" i="3"/>
  <c r="K373" i="10"/>
  <c r="M373" i="10" s="1"/>
  <c r="L373" i="10"/>
  <c r="K52" i="10"/>
  <c r="M52" i="10" s="1"/>
  <c r="L52" i="10"/>
  <c r="D399" i="1"/>
  <c r="H399" i="1" s="1"/>
  <c r="K462" i="2" s="1"/>
  <c r="L462" i="2" s="1"/>
  <c r="D545" i="11" s="1"/>
  <c r="H545" i="11" s="1"/>
  <c r="J640" i="10"/>
  <c r="P3189" i="3" s="1"/>
  <c r="Q3256" i="3"/>
  <c r="Q3254" i="3"/>
  <c r="Q3255" i="3"/>
  <c r="D521" i="11"/>
  <c r="H521" i="11" s="1"/>
  <c r="D432" i="1"/>
  <c r="H432" i="1" s="1"/>
  <c r="D610" i="11"/>
  <c r="H610" i="11" s="1"/>
  <c r="D509" i="1"/>
  <c r="H509" i="1" s="1"/>
  <c r="D604" i="11"/>
  <c r="H604" i="11" s="1"/>
  <c r="Q3250" i="3"/>
  <c r="Q3249" i="3"/>
  <c r="Q3248" i="3"/>
  <c r="J291" i="10"/>
  <c r="Q3142" i="3"/>
  <c r="Q3143" i="3"/>
  <c r="L1569" i="3"/>
  <c r="M1569" i="3" s="1"/>
  <c r="J248" i="10" s="1"/>
  <c r="L587" i="3"/>
  <c r="M587" i="3" s="1"/>
  <c r="J174" i="10" s="1"/>
  <c r="K619" i="2"/>
  <c r="L619" i="2" s="1"/>
  <c r="Q3252" i="3"/>
  <c r="Q3251" i="3"/>
  <c r="Q3253" i="3"/>
  <c r="K123" i="10"/>
  <c r="M123" i="10" s="1"/>
  <c r="L123" i="10"/>
  <c r="D445" i="1"/>
  <c r="H445" i="1" s="1"/>
  <c r="D534" i="11"/>
  <c r="H534" i="11" s="1"/>
  <c r="L646" i="3"/>
  <c r="M646" i="3" s="1"/>
  <c r="L643" i="3"/>
  <c r="M643" i="3" s="1"/>
  <c r="J166" i="10" s="1"/>
  <c r="L2440" i="3"/>
  <c r="M2440" i="3" s="1"/>
  <c r="J528" i="10" s="1"/>
  <c r="L1606" i="3"/>
  <c r="M1606" i="3" s="1"/>
  <c r="L1616" i="3"/>
  <c r="M1616" i="3" s="1"/>
  <c r="J265" i="10" s="1"/>
  <c r="Q2858" i="3"/>
  <c r="Q2860" i="3"/>
  <c r="Q2856" i="3"/>
  <c r="Q2857" i="3"/>
  <c r="Q2855" i="3"/>
  <c r="Q2854" i="3"/>
  <c r="Q2853" i="3"/>
  <c r="L342" i="10"/>
  <c r="K342" i="10"/>
  <c r="M342" i="10" s="1"/>
  <c r="L376" i="10"/>
  <c r="K376" i="10"/>
  <c r="M376" i="10" s="1"/>
  <c r="Q2316" i="3" s="1"/>
  <c r="L205" i="10"/>
  <c r="K205" i="10"/>
  <c r="M205" i="10" s="1"/>
  <c r="H195" i="5"/>
  <c r="L215" i="10"/>
  <c r="K215" i="10"/>
  <c r="M215" i="10" s="1"/>
  <c r="L57" i="10"/>
  <c r="K57" i="10"/>
  <c r="M57" i="10" s="1"/>
  <c r="Q533" i="3" s="1"/>
  <c r="Q440" i="3"/>
  <c r="Q441" i="3"/>
  <c r="Q439" i="3"/>
  <c r="Q442" i="3"/>
  <c r="Q3150" i="3"/>
  <c r="Q3149" i="3"/>
  <c r="J274" i="10"/>
  <c r="Q3148" i="3"/>
  <c r="J33" i="10"/>
  <c r="J28" i="10"/>
  <c r="L32" i="10"/>
  <c r="K2" i="10"/>
  <c r="M2" i="10" s="1"/>
  <c r="J184" i="10"/>
  <c r="J634" i="10"/>
  <c r="J290" i="10"/>
  <c r="J646" i="10"/>
  <c r="J276" i="10"/>
  <c r="J185" i="10"/>
  <c r="J279" i="10"/>
  <c r="M862" i="3"/>
  <c r="J183" i="10" s="1"/>
  <c r="J34" i="10"/>
  <c r="D515" i="11"/>
  <c r="H515" i="11" s="1"/>
  <c r="K32" i="10"/>
  <c r="M32" i="10" s="1"/>
  <c r="L2" i="10"/>
  <c r="M31" i="10"/>
  <c r="M27" i="10"/>
  <c r="H363" i="1"/>
  <c r="L28" i="10" l="1"/>
  <c r="L3533" i="3"/>
  <c r="M3533" i="3" s="1"/>
  <c r="L3545" i="3"/>
  <c r="M3545" i="3" s="1"/>
  <c r="L3532" i="3"/>
  <c r="M3532" i="3" s="1"/>
  <c r="L3544" i="3"/>
  <c r="M3544" i="3" s="1"/>
  <c r="J688" i="10" s="1"/>
  <c r="D456" i="1"/>
  <c r="H456" i="1" s="1"/>
  <c r="K464" i="2"/>
  <c r="L464" i="2" s="1"/>
  <c r="K640" i="10"/>
  <c r="M640" i="10" s="1"/>
  <c r="Q3187" i="3" s="1"/>
  <c r="P3190" i="3"/>
  <c r="P3187" i="3"/>
  <c r="P3188" i="3"/>
  <c r="L640" i="10"/>
  <c r="L3511" i="3"/>
  <c r="M3511" i="3" s="1"/>
  <c r="J685" i="10" s="1"/>
  <c r="L3522" i="3"/>
  <c r="M3522" i="3" s="1"/>
  <c r="J686" i="10" s="1"/>
  <c r="K248" i="10"/>
  <c r="M248" i="10" s="1"/>
  <c r="L248" i="10"/>
  <c r="L148" i="3"/>
  <c r="M148" i="3" s="1"/>
  <c r="J30" i="10" s="1"/>
  <c r="L525" i="3"/>
  <c r="M525" i="3" s="1"/>
  <c r="J71" i="10" s="1"/>
  <c r="L1836" i="3"/>
  <c r="M1836" i="3" s="1"/>
  <c r="L2590" i="3"/>
  <c r="M2590" i="3" s="1"/>
  <c r="J479" i="10" s="1"/>
  <c r="L125" i="3"/>
  <c r="M125" i="3" s="1"/>
  <c r="J29" i="10" s="1"/>
  <c r="L1910" i="3"/>
  <c r="M1910" i="3" s="1"/>
  <c r="L3128" i="3"/>
  <c r="M3128" i="3" s="1"/>
  <c r="J632" i="10" s="1"/>
  <c r="L146" i="3"/>
  <c r="M146" i="3" s="1"/>
  <c r="J37" i="10" s="1"/>
  <c r="L291" i="10"/>
  <c r="K291" i="10"/>
  <c r="M291" i="10" s="1"/>
  <c r="D478" i="1"/>
  <c r="H478" i="1" s="1"/>
  <c r="D567" i="11"/>
  <c r="H567" i="11" s="1"/>
  <c r="L174" i="10"/>
  <c r="K174" i="10"/>
  <c r="M174" i="10" s="1"/>
  <c r="L3430" i="3"/>
  <c r="M3430" i="3" s="1"/>
  <c r="J539" i="10" s="1"/>
  <c r="L469" i="3"/>
  <c r="M469" i="3" s="1"/>
  <c r="L2045" i="3"/>
  <c r="M2045" i="3" s="1"/>
  <c r="L2748" i="3"/>
  <c r="M2748" i="3" s="1"/>
  <c r="J441" i="10" s="1"/>
  <c r="L211" i="3"/>
  <c r="M211" i="3" s="1"/>
  <c r="J39" i="10" s="1"/>
  <c r="L2121" i="3"/>
  <c r="M2121" i="3" s="1"/>
  <c r="J301" i="10" s="1"/>
  <c r="L2140" i="3"/>
  <c r="M2140" i="3" s="1"/>
  <c r="J330" i="10" s="1"/>
  <c r="L503" i="3"/>
  <c r="M503" i="3" s="1"/>
  <c r="L1931" i="3"/>
  <c r="M1931" i="3" s="1"/>
  <c r="L620" i="3"/>
  <c r="M620" i="3" s="1"/>
  <c r="L2109" i="3"/>
  <c r="M2109" i="3" s="1"/>
  <c r="J302" i="10" s="1"/>
  <c r="L1815" i="3"/>
  <c r="M1815" i="3" s="1"/>
  <c r="L402" i="3"/>
  <c r="M402" i="3" s="1"/>
  <c r="J112" i="10" s="1"/>
  <c r="L733" i="3"/>
  <c r="M733" i="3" s="1"/>
  <c r="J60" i="10" s="1"/>
  <c r="L2143" i="3"/>
  <c r="M2143" i="3" s="1"/>
  <c r="L1878" i="3"/>
  <c r="M1878" i="3" s="1"/>
  <c r="L613" i="3"/>
  <c r="M613" i="3" s="1"/>
  <c r="L724" i="3"/>
  <c r="M724" i="3" s="1"/>
  <c r="L2449" i="3"/>
  <c r="M2449" i="3" s="1"/>
  <c r="J481" i="10" s="1"/>
  <c r="L1942" i="3"/>
  <c r="M1942" i="3" s="1"/>
  <c r="L650" i="3"/>
  <c r="M650" i="3" s="1"/>
  <c r="L1394" i="3"/>
  <c r="M1394" i="3" s="1"/>
  <c r="J242" i="10" s="1"/>
  <c r="L2465" i="3"/>
  <c r="M2465" i="3" s="1"/>
  <c r="J473" i="10" s="1"/>
  <c r="L666" i="3"/>
  <c r="M666" i="3" s="1"/>
  <c r="L1337" i="3"/>
  <c r="M1337" i="3" s="1"/>
  <c r="J227" i="10" s="1"/>
  <c r="L2075" i="3"/>
  <c r="M2075" i="3" s="1"/>
  <c r="L568" i="3"/>
  <c r="M568" i="3" s="1"/>
  <c r="J175" i="10" s="1"/>
  <c r="L645" i="3"/>
  <c r="M645" i="3" s="1"/>
  <c r="J163" i="10" s="1"/>
  <c r="L1605" i="3"/>
  <c r="M1605" i="3" s="1"/>
  <c r="J261" i="10" s="1"/>
  <c r="L1504" i="3"/>
  <c r="M1504" i="3" s="1"/>
  <c r="J249" i="10" s="1"/>
  <c r="L3000" i="3"/>
  <c r="M3000" i="3" s="1"/>
  <c r="J571" i="10" s="1"/>
  <c r="K528" i="10"/>
  <c r="M528" i="10" s="1"/>
  <c r="L528" i="10"/>
  <c r="L166" i="10"/>
  <c r="K166" i="10"/>
  <c r="M166" i="10" s="1"/>
  <c r="L631" i="3"/>
  <c r="M631" i="3" s="1"/>
  <c r="J80" i="10" s="1"/>
  <c r="L2024" i="3"/>
  <c r="M2024" i="3" s="1"/>
  <c r="L2163" i="3"/>
  <c r="M2163" i="3" s="1"/>
  <c r="L1957" i="3"/>
  <c r="M1957" i="3" s="1"/>
  <c r="J299" i="10" s="1"/>
  <c r="L3119" i="3"/>
  <c r="M3119" i="3" s="1"/>
  <c r="L783" i="3"/>
  <c r="M783" i="3" s="1"/>
  <c r="J84" i="10" s="1"/>
  <c r="L1948" i="3"/>
  <c r="M1948" i="3" s="1"/>
  <c r="L2190" i="3"/>
  <c r="M2190" i="3" s="1"/>
  <c r="J346" i="10" s="1"/>
  <c r="L1973" i="3"/>
  <c r="M1973" i="3" s="1"/>
  <c r="J329" i="10" s="1"/>
  <c r="L468" i="3"/>
  <c r="M468" i="3" s="1"/>
  <c r="J65" i="10" s="1"/>
  <c r="L1262" i="3"/>
  <c r="M1262" i="3" s="1"/>
  <c r="J188" i="10" s="1"/>
  <c r="L2011" i="3"/>
  <c r="M2011" i="3" s="1"/>
  <c r="J319" i="10" s="1"/>
  <c r="L2029" i="3"/>
  <c r="M2029" i="3" s="1"/>
  <c r="L2094" i="3"/>
  <c r="M2094" i="3" s="1"/>
  <c r="J327" i="10" s="1"/>
  <c r="L488" i="3"/>
  <c r="M488" i="3" s="1"/>
  <c r="J62" i="10" s="1"/>
  <c r="L2071" i="3"/>
  <c r="M2071" i="3" s="1"/>
  <c r="L2344" i="3"/>
  <c r="M2344" i="3" s="1"/>
  <c r="J379" i="10" s="1"/>
  <c r="L1909" i="3"/>
  <c r="M1909" i="3" s="1"/>
  <c r="J316" i="10" s="1"/>
  <c r="L3079" i="3"/>
  <c r="M3079" i="3" s="1"/>
  <c r="J604" i="10" s="1"/>
  <c r="P3082" i="3" s="1"/>
  <c r="L662" i="3"/>
  <c r="M662" i="3" s="1"/>
  <c r="J81" i="10" s="1"/>
  <c r="L2054" i="3"/>
  <c r="M2054" i="3" s="1"/>
  <c r="J295" i="10" s="1"/>
  <c r="L2069" i="3"/>
  <c r="M2069" i="3" s="1"/>
  <c r="L2061" i="3"/>
  <c r="M2061" i="3" s="1"/>
  <c r="J296" i="10" s="1"/>
  <c r="L3086" i="3"/>
  <c r="M3086" i="3" s="1"/>
  <c r="L671" i="3"/>
  <c r="M671" i="3" s="1"/>
  <c r="L1897" i="3"/>
  <c r="M1897" i="3" s="1"/>
  <c r="J309" i="10" s="1"/>
  <c r="L2042" i="3"/>
  <c r="M2042" i="3" s="1"/>
  <c r="J293" i="10" s="1"/>
  <c r="L2182" i="3"/>
  <c r="M2182" i="3" s="1"/>
  <c r="J345" i="10" s="1"/>
  <c r="L3116" i="3"/>
  <c r="M3116" i="3" s="1"/>
  <c r="J605" i="10" s="1"/>
  <c r="P3118" i="3" s="1"/>
  <c r="L460" i="3"/>
  <c r="M460" i="3" s="1"/>
  <c r="J63" i="10" s="1"/>
  <c r="L1929" i="3"/>
  <c r="M1929" i="3" s="1"/>
  <c r="J298" i="10" s="1"/>
  <c r="L2085" i="3"/>
  <c r="M2085" i="3" s="1"/>
  <c r="J292" i="10" s="1"/>
  <c r="L2156" i="3"/>
  <c r="M2156" i="3" s="1"/>
  <c r="L2006" i="3"/>
  <c r="M2006" i="3" s="1"/>
  <c r="J294" i="10" s="1"/>
  <c r="L609" i="3"/>
  <c r="M609" i="3" s="1"/>
  <c r="J77" i="10" s="1"/>
  <c r="L1977" i="3"/>
  <c r="M1977" i="3" s="1"/>
  <c r="J318" i="10" s="1"/>
  <c r="L1965" i="3"/>
  <c r="M1965" i="3" s="1"/>
  <c r="J328" i="10" s="1"/>
  <c r="L2020" i="3"/>
  <c r="M2020" i="3" s="1"/>
  <c r="L3090" i="3"/>
  <c r="M3090" i="3" s="1"/>
  <c r="L265" i="10"/>
  <c r="K265" i="10"/>
  <c r="M265" i="10" s="1"/>
  <c r="L274" i="10"/>
  <c r="K274" i="10"/>
  <c r="M274" i="10" s="1"/>
  <c r="L33" i="10"/>
  <c r="K33" i="10"/>
  <c r="M33" i="10" s="1"/>
  <c r="K28" i="10"/>
  <c r="M28" i="10" s="1"/>
  <c r="K919" i="2"/>
  <c r="L919" i="2" s="1"/>
  <c r="L475" i="3"/>
  <c r="M475" i="3" s="1"/>
  <c r="J67" i="10" s="1"/>
  <c r="L509" i="3"/>
  <c r="M509" i="3" s="1"/>
  <c r="L623" i="3"/>
  <c r="M623" i="3" s="1"/>
  <c r="L627" i="3"/>
  <c r="M627" i="3" s="1"/>
  <c r="L616" i="3"/>
  <c r="M616" i="3" s="1"/>
  <c r="L684" i="3"/>
  <c r="M684" i="3" s="1"/>
  <c r="J50" i="10" s="1"/>
  <c r="L731" i="3"/>
  <c r="M731" i="3" s="1"/>
  <c r="L654" i="3"/>
  <c r="M654" i="3" s="1"/>
  <c r="L858" i="3"/>
  <c r="M858" i="3" s="1"/>
  <c r="J48" i="10" s="1"/>
  <c r="L496" i="3"/>
  <c r="M496" i="3" s="1"/>
  <c r="J69" i="10" s="1"/>
  <c r="L1922" i="3"/>
  <c r="M1922" i="3" s="1"/>
  <c r="J313" i="10" s="1"/>
  <c r="L2048" i="3"/>
  <c r="M2048" i="3" s="1"/>
  <c r="L2105" i="3"/>
  <c r="M2105" i="3" s="1"/>
  <c r="J315" i="10" s="1"/>
  <c r="L2082" i="3"/>
  <c r="M2082" i="3" s="1"/>
  <c r="L1821" i="3"/>
  <c r="M1821" i="3" s="1"/>
  <c r="L1884" i="3"/>
  <c r="M1884" i="3" s="1"/>
  <c r="L2205" i="3"/>
  <c r="M2205" i="3" s="1"/>
  <c r="J348" i="10" s="1"/>
  <c r="L1996" i="3"/>
  <c r="M1996" i="3" s="1"/>
  <c r="L2198" i="3"/>
  <c r="M2198" i="3" s="1"/>
  <c r="J347" i="10" s="1"/>
  <c r="L2336" i="3"/>
  <c r="M2336" i="3" s="1"/>
  <c r="J401" i="10" s="1"/>
  <c r="L1792" i="3"/>
  <c r="M1792" i="3" s="1"/>
  <c r="J312" i="10" s="1"/>
  <c r="L1998" i="3"/>
  <c r="M1998" i="3" s="1"/>
  <c r="L1987" i="3"/>
  <c r="M1987" i="3" s="1"/>
  <c r="L2034" i="3"/>
  <c r="M2034" i="3" s="1"/>
  <c r="L2078" i="3"/>
  <c r="M2078" i="3" s="1"/>
  <c r="L2148" i="3"/>
  <c r="M2148" i="3" s="1"/>
  <c r="L2381" i="3"/>
  <c r="M2381" i="3" s="1"/>
  <c r="J370" i="10" s="1"/>
  <c r="L1848" i="3"/>
  <c r="M1848" i="3" s="1"/>
  <c r="J314" i="10" s="1"/>
  <c r="L1989" i="3"/>
  <c r="M1989" i="3" s="1"/>
  <c r="L2149" i="3"/>
  <c r="M2149" i="3" s="1"/>
  <c r="L1863" i="3"/>
  <c r="M1863" i="3" s="1"/>
  <c r="J311" i="10" s="1"/>
  <c r="L3046" i="3"/>
  <c r="M3046" i="3" s="1"/>
  <c r="J601" i="10" s="1"/>
  <c r="L2391" i="3"/>
  <c r="M2391" i="3" s="1"/>
  <c r="J381" i="10" s="1"/>
  <c r="L3292" i="3"/>
  <c r="M3292" i="3" s="1"/>
  <c r="J608" i="10" s="1"/>
  <c r="L3286" i="3"/>
  <c r="M3286" i="3" s="1"/>
  <c r="J607" i="10" s="1"/>
  <c r="L3134" i="3"/>
  <c r="M3134" i="3" s="1"/>
  <c r="J600" i="10" s="1"/>
  <c r="K634" i="10"/>
  <c r="M634" i="10" s="1"/>
  <c r="Q3140" i="3" s="1"/>
  <c r="K34" i="10"/>
  <c r="M34" i="10" s="1"/>
  <c r="L185" i="10"/>
  <c r="P3247" i="3"/>
  <c r="K184" i="10"/>
  <c r="M184" i="10" s="1"/>
  <c r="L183" i="10"/>
  <c r="K290" i="10"/>
  <c r="M290" i="10" s="1"/>
  <c r="L184" i="10"/>
  <c r="L634" i="10"/>
  <c r="P3141" i="3"/>
  <c r="P3138" i="3"/>
  <c r="P3137" i="3"/>
  <c r="P3140" i="3"/>
  <c r="P3139" i="3"/>
  <c r="L290" i="10"/>
  <c r="L279" i="10"/>
  <c r="K276" i="10"/>
  <c r="M276" i="10" s="1"/>
  <c r="K646" i="10"/>
  <c r="M646" i="10" s="1"/>
  <c r="Q3246" i="3" s="1"/>
  <c r="L646" i="10"/>
  <c r="P3244" i="3"/>
  <c r="P3246" i="3"/>
  <c r="P3242" i="3"/>
  <c r="P3243" i="3"/>
  <c r="P3245" i="3"/>
  <c r="L276" i="10"/>
  <c r="K185" i="10"/>
  <c r="M185" i="10" s="1"/>
  <c r="K279" i="10"/>
  <c r="M279" i="10" s="1"/>
  <c r="L34" i="10"/>
  <c r="K183" i="10"/>
  <c r="M183" i="10" s="1"/>
  <c r="M1938" i="3"/>
  <c r="L1243" i="2" l="1"/>
  <c r="P632" i="3"/>
  <c r="P611" i="3"/>
  <c r="J687" i="10"/>
  <c r="P3535" i="3" s="1"/>
  <c r="L688" i="10"/>
  <c r="P3547" i="3"/>
  <c r="P3553" i="3"/>
  <c r="P3545" i="3"/>
  <c r="K688" i="10"/>
  <c r="M688" i="10" s="1"/>
  <c r="P3549" i="3"/>
  <c r="P3550" i="3"/>
  <c r="P3546" i="3"/>
  <c r="P3552" i="3"/>
  <c r="P3555" i="3"/>
  <c r="P3554" i="3"/>
  <c r="P3548" i="3"/>
  <c r="P3544" i="3"/>
  <c r="P3551" i="3"/>
  <c r="D554" i="11"/>
  <c r="H554" i="11" s="1"/>
  <c r="D465" i="1"/>
  <c r="H465" i="1" s="1"/>
  <c r="Q3190" i="3"/>
  <c r="Q3188" i="3"/>
  <c r="Q3189" i="3"/>
  <c r="J82" i="10"/>
  <c r="J340" i="10"/>
  <c r="P3526" i="3"/>
  <c r="L686" i="10"/>
  <c r="P3523" i="3"/>
  <c r="P3522" i="3"/>
  <c r="K686" i="10"/>
  <c r="M686" i="10" s="1"/>
  <c r="P3525" i="3"/>
  <c r="P3527" i="3"/>
  <c r="P3521" i="3"/>
  <c r="P3529" i="3"/>
  <c r="P3528" i="3"/>
  <c r="P3531" i="3"/>
  <c r="P3524" i="3"/>
  <c r="P3530" i="3"/>
  <c r="L685" i="10"/>
  <c r="P3512" i="3"/>
  <c r="K685" i="10"/>
  <c r="M685" i="10" s="1"/>
  <c r="P3511" i="3"/>
  <c r="P3514" i="3"/>
  <c r="P3516" i="3"/>
  <c r="P3510" i="3"/>
  <c r="P3518" i="3"/>
  <c r="P3517" i="3"/>
  <c r="P3520" i="3"/>
  <c r="P3513" i="3"/>
  <c r="P3519" i="3"/>
  <c r="P3515" i="3"/>
  <c r="J66" i="10"/>
  <c r="J78" i="10"/>
  <c r="J300" i="10"/>
  <c r="J83" i="10"/>
  <c r="J326" i="10"/>
  <c r="J307" i="10"/>
  <c r="J322" i="10"/>
  <c r="K261" i="10"/>
  <c r="M261" i="10" s="1"/>
  <c r="L261" i="10"/>
  <c r="K163" i="10"/>
  <c r="M163" i="10" s="1"/>
  <c r="L163" i="10"/>
  <c r="K473" i="10"/>
  <c r="M473" i="10" s="1"/>
  <c r="L473" i="10"/>
  <c r="K330" i="10"/>
  <c r="M330" i="10" s="1"/>
  <c r="L330" i="10"/>
  <c r="L30" i="10"/>
  <c r="K30" i="10"/>
  <c r="M30" i="10" s="1"/>
  <c r="L249" i="10"/>
  <c r="K249" i="10"/>
  <c r="M249" i="10" s="1"/>
  <c r="L242" i="10"/>
  <c r="K242" i="10"/>
  <c r="M242" i="10" s="1"/>
  <c r="L60" i="10"/>
  <c r="K60" i="10"/>
  <c r="M60" i="10" s="1"/>
  <c r="K301" i="10"/>
  <c r="M301" i="10" s="1"/>
  <c r="L301" i="10"/>
  <c r="L37" i="10"/>
  <c r="K37" i="10"/>
  <c r="M37" i="10" s="1"/>
  <c r="L571" i="10"/>
  <c r="K571" i="10"/>
  <c r="M571" i="10" s="1"/>
  <c r="Q3000" i="3" s="1"/>
  <c r="P3000" i="3"/>
  <c r="K112" i="10"/>
  <c r="M112" i="10" s="1"/>
  <c r="L112" i="10"/>
  <c r="L39" i="10"/>
  <c r="K39" i="10"/>
  <c r="M39" i="10" s="1"/>
  <c r="L3274" i="3"/>
  <c r="M3274" i="3" s="1"/>
  <c r="J656" i="10" s="1"/>
  <c r="L3112" i="3"/>
  <c r="M3112" i="3" s="1"/>
  <c r="J621" i="10" s="1"/>
  <c r="P3128" i="3"/>
  <c r="L632" i="10"/>
  <c r="K632" i="10"/>
  <c r="M632" i="10" s="1"/>
  <c r="Q3128" i="3" s="1"/>
  <c r="L441" i="10"/>
  <c r="K441" i="10"/>
  <c r="M441" i="10" s="1"/>
  <c r="K175" i="10"/>
  <c r="M175" i="10" s="1"/>
  <c r="L175" i="10"/>
  <c r="K481" i="10"/>
  <c r="M481" i="10" s="1"/>
  <c r="L481" i="10"/>
  <c r="K302" i="10"/>
  <c r="M302" i="10" s="1"/>
  <c r="L302" i="10"/>
  <c r="L29" i="10"/>
  <c r="K29" i="10"/>
  <c r="M29" i="10" s="1"/>
  <c r="K479" i="10"/>
  <c r="M479" i="10" s="1"/>
  <c r="L479" i="10"/>
  <c r="P3432" i="3"/>
  <c r="P3437" i="3"/>
  <c r="K539" i="10"/>
  <c r="M539" i="10" s="1"/>
  <c r="P3435" i="3"/>
  <c r="P3433" i="3"/>
  <c r="L539" i="10"/>
  <c r="P3431" i="3"/>
  <c r="P3436" i="3"/>
  <c r="P3430" i="3"/>
  <c r="P3434" i="3"/>
  <c r="H217" i="5"/>
  <c r="J297" i="10"/>
  <c r="K227" i="10"/>
  <c r="M227" i="10" s="1"/>
  <c r="L227" i="10"/>
  <c r="J308" i="10"/>
  <c r="J61" i="10"/>
  <c r="J320" i="10"/>
  <c r="J321" i="10"/>
  <c r="L71" i="10"/>
  <c r="K71" i="10"/>
  <c r="M71" i="10" s="1"/>
  <c r="K328" i="10"/>
  <c r="M328" i="10" s="1"/>
  <c r="L328" i="10"/>
  <c r="P3114" i="3"/>
  <c r="P3116" i="3"/>
  <c r="P3115" i="3"/>
  <c r="P3119" i="3"/>
  <c r="L605" i="10"/>
  <c r="K605" i="10"/>
  <c r="M605" i="10" s="1"/>
  <c r="Q3118" i="3" s="1"/>
  <c r="P3117" i="3"/>
  <c r="P3113" i="3"/>
  <c r="L295" i="10"/>
  <c r="K295" i="10"/>
  <c r="M295" i="10" s="1"/>
  <c r="K318" i="10"/>
  <c r="M318" i="10" s="1"/>
  <c r="L318" i="10"/>
  <c r="K345" i="10"/>
  <c r="M345" i="10" s="1"/>
  <c r="L345" i="10"/>
  <c r="L81" i="10"/>
  <c r="K81" i="10"/>
  <c r="M81" i="10" s="1"/>
  <c r="L319" i="10"/>
  <c r="K319" i="10"/>
  <c r="M319" i="10" s="1"/>
  <c r="K299" i="10"/>
  <c r="M299" i="10" s="1"/>
  <c r="L299" i="10"/>
  <c r="L77" i="10"/>
  <c r="K77" i="10"/>
  <c r="M77" i="10" s="1"/>
  <c r="Q611" i="3" s="1"/>
  <c r="K293" i="10"/>
  <c r="M293" i="10" s="1"/>
  <c r="L293" i="10"/>
  <c r="P3077" i="3"/>
  <c r="P3083" i="3"/>
  <c r="P3080" i="3"/>
  <c r="L604" i="10"/>
  <c r="K604" i="10"/>
  <c r="M604" i="10" s="1"/>
  <c r="Q3082" i="3" s="1"/>
  <c r="P3079" i="3"/>
  <c r="P3081" i="3"/>
  <c r="P3078" i="3"/>
  <c r="L188" i="10"/>
  <c r="K188" i="10"/>
  <c r="M188" i="10" s="1"/>
  <c r="L294" i="10"/>
  <c r="K294" i="10"/>
  <c r="M294" i="10" s="1"/>
  <c r="L309" i="10"/>
  <c r="K309" i="10"/>
  <c r="M309" i="10" s="1"/>
  <c r="L316" i="10"/>
  <c r="K316" i="10"/>
  <c r="M316" i="10" s="1"/>
  <c r="K65" i="10"/>
  <c r="M65" i="10" s="1"/>
  <c r="L65" i="10"/>
  <c r="K379" i="10"/>
  <c r="M379" i="10" s="1"/>
  <c r="L379" i="10"/>
  <c r="K329" i="10"/>
  <c r="M329" i="10" s="1"/>
  <c r="L329" i="10"/>
  <c r="K80" i="10"/>
  <c r="M80" i="10" s="1"/>
  <c r="Q632" i="3" s="1"/>
  <c r="L80" i="10"/>
  <c r="L292" i="10"/>
  <c r="K292" i="10"/>
  <c r="M292" i="10" s="1"/>
  <c r="J606" i="10"/>
  <c r="K346" i="10"/>
  <c r="M346" i="10" s="1"/>
  <c r="L346" i="10"/>
  <c r="D496" i="11"/>
  <c r="H496" i="11" s="1"/>
  <c r="D413" i="1"/>
  <c r="H413" i="1" s="1"/>
  <c r="L2998" i="3" s="1"/>
  <c r="M2998" i="3" s="1"/>
  <c r="J583" i="10" s="1"/>
  <c r="K298" i="10"/>
  <c r="M298" i="10" s="1"/>
  <c r="L298" i="10"/>
  <c r="K296" i="10"/>
  <c r="M296" i="10" s="1"/>
  <c r="L296" i="10"/>
  <c r="K62" i="10"/>
  <c r="M62" i="10" s="1"/>
  <c r="L62" i="10"/>
  <c r="K63" i="10"/>
  <c r="M63" i="10" s="1"/>
  <c r="L63" i="10"/>
  <c r="K327" i="10"/>
  <c r="M327" i="10" s="1"/>
  <c r="L327" i="10"/>
  <c r="L84" i="10"/>
  <c r="K84" i="10"/>
  <c r="M84" i="10" s="1"/>
  <c r="Q3139" i="3"/>
  <c r="Q3141" i="3"/>
  <c r="Q3137" i="3"/>
  <c r="Q3138" i="3"/>
  <c r="Q3242" i="3"/>
  <c r="Q3247" i="3"/>
  <c r="Q3244" i="3"/>
  <c r="Q3243" i="3"/>
  <c r="Q3245" i="3"/>
  <c r="L601" i="10"/>
  <c r="P3044" i="3"/>
  <c r="K601" i="10"/>
  <c r="M601" i="10" s="1"/>
  <c r="P3041" i="3"/>
  <c r="P3043" i="3"/>
  <c r="P3045" i="3"/>
  <c r="P3040" i="3"/>
  <c r="P3046" i="3"/>
  <c r="P3042" i="3"/>
  <c r="P3292" i="3"/>
  <c r="P3293" i="3"/>
  <c r="P3289" i="3"/>
  <c r="P3291" i="3"/>
  <c r="L608" i="10"/>
  <c r="P3290" i="3"/>
  <c r="K608" i="10"/>
  <c r="M608" i="10" s="1"/>
  <c r="P3129" i="3"/>
  <c r="P3131" i="3"/>
  <c r="K600" i="10"/>
  <c r="M600" i="10" s="1"/>
  <c r="P3134" i="3"/>
  <c r="L600" i="10"/>
  <c r="P3130" i="3"/>
  <c r="P3133" i="3"/>
  <c r="P3132" i="3"/>
  <c r="P3284" i="3"/>
  <c r="P3285" i="3"/>
  <c r="L607" i="10"/>
  <c r="K607" i="10"/>
  <c r="M607" i="10" s="1"/>
  <c r="P3286" i="3"/>
  <c r="P3288" i="3"/>
  <c r="P3287" i="3"/>
  <c r="P3283" i="3"/>
  <c r="J339" i="10"/>
  <c r="J79" i="10"/>
  <c r="J325" i="10"/>
  <c r="J324" i="10"/>
  <c r="J323" i="10"/>
  <c r="D392" i="1"/>
  <c r="D475" i="11"/>
  <c r="H475" i="11" s="1"/>
  <c r="L315" i="10"/>
  <c r="K315" i="10"/>
  <c r="L370" i="10"/>
  <c r="K370" i="10"/>
  <c r="L297" i="10" l="1"/>
  <c r="K320" i="10"/>
  <c r="M320" i="10" s="1"/>
  <c r="K83" i="10"/>
  <c r="M83" i="10" s="1"/>
  <c r="P2076" i="3"/>
  <c r="P3091" i="3"/>
  <c r="P1999" i="3"/>
  <c r="P2046" i="3"/>
  <c r="L340" i="10"/>
  <c r="L321" i="10"/>
  <c r="P3534" i="3"/>
  <c r="L687" i="10"/>
  <c r="P3532" i="3"/>
  <c r="P3537" i="3"/>
  <c r="P3536" i="3"/>
  <c r="P3540" i="3"/>
  <c r="P3538" i="3"/>
  <c r="P3543" i="3"/>
  <c r="P3539" i="3"/>
  <c r="P3541" i="3"/>
  <c r="K687" i="10"/>
  <c r="M687" i="10" s="1"/>
  <c r="Q3543" i="3" s="1"/>
  <c r="P3542" i="3"/>
  <c r="P3533" i="3"/>
  <c r="P626" i="3"/>
  <c r="P621" i="3"/>
  <c r="P618" i="3"/>
  <c r="P615" i="3"/>
  <c r="Q3545" i="3"/>
  <c r="Q3552" i="3"/>
  <c r="Q3548" i="3"/>
  <c r="Q3551" i="3"/>
  <c r="Q3555" i="3"/>
  <c r="Q3554" i="3"/>
  <c r="Q3547" i="3"/>
  <c r="Q3546" i="3"/>
  <c r="Q3550" i="3"/>
  <c r="Q3549" i="3"/>
  <c r="Q3553" i="3"/>
  <c r="Q3544" i="3"/>
  <c r="L766" i="3"/>
  <c r="M766" i="3" s="1"/>
  <c r="J53" i="10" s="1"/>
  <c r="L2284" i="3"/>
  <c r="M2284" i="3" s="1"/>
  <c r="J374" i="10" s="1"/>
  <c r="L2999" i="3"/>
  <c r="M2999" i="3" s="1"/>
  <c r="J572" i="10" s="1"/>
  <c r="K340" i="10"/>
  <c r="M340" i="10" s="1"/>
  <c r="Q3531" i="3"/>
  <c r="Q3526" i="3"/>
  <c r="Q3525" i="3"/>
  <c r="Q3524" i="3"/>
  <c r="Q3529" i="3"/>
  <c r="Q3521" i="3"/>
  <c r="Q3527" i="3"/>
  <c r="Q3530" i="3"/>
  <c r="Q3523" i="3"/>
  <c r="Q3528" i="3"/>
  <c r="Q3522" i="3"/>
  <c r="Q3518" i="3"/>
  <c r="Q3516" i="3"/>
  <c r="Q3515" i="3"/>
  <c r="Q3514" i="3"/>
  <c r="Q3510" i="3"/>
  <c r="Q3511" i="3"/>
  <c r="Q3513" i="3"/>
  <c r="Q3517" i="3"/>
  <c r="Q3519" i="3"/>
  <c r="Q3520" i="3"/>
  <c r="Q3512" i="3"/>
  <c r="L320" i="10"/>
  <c r="L83" i="10"/>
  <c r="K321" i="10"/>
  <c r="M321" i="10" s="1"/>
  <c r="K297" i="10"/>
  <c r="M297" i="10" s="1"/>
  <c r="P3112" i="3"/>
  <c r="L621" i="10"/>
  <c r="K621" i="10"/>
  <c r="M621" i="10" s="1"/>
  <c r="Q3112" i="3" s="1"/>
  <c r="L656" i="10"/>
  <c r="K656" i="10"/>
  <c r="M656" i="10" s="1"/>
  <c r="P3275" i="3"/>
  <c r="P3274" i="3"/>
  <c r="P3276" i="3"/>
  <c r="Q3437" i="3"/>
  <c r="Q3434" i="3"/>
  <c r="Q3435" i="3"/>
  <c r="Q3431" i="3"/>
  <c r="Q3433" i="3"/>
  <c r="Q3430" i="3"/>
  <c r="Q3436" i="3"/>
  <c r="Q3432" i="3"/>
  <c r="Q3080" i="3"/>
  <c r="Q3079" i="3"/>
  <c r="Q3081" i="3"/>
  <c r="Q3083" i="3"/>
  <c r="Q3077" i="3"/>
  <c r="Q3078" i="3"/>
  <c r="Q3116" i="3"/>
  <c r="Q3117" i="3"/>
  <c r="Q3114" i="3"/>
  <c r="Q3119" i="3"/>
  <c r="Q3115" i="3"/>
  <c r="Q3113" i="3"/>
  <c r="L583" i="10"/>
  <c r="K583" i="10"/>
  <c r="M583" i="10" s="1"/>
  <c r="Q2998" i="3" s="1"/>
  <c r="P2998" i="3"/>
  <c r="K606" i="10"/>
  <c r="M606" i="10" s="1"/>
  <c r="Q3091" i="3" s="1"/>
  <c r="P3084" i="3"/>
  <c r="P3092" i="3"/>
  <c r="P3087" i="3"/>
  <c r="P3086" i="3"/>
  <c r="P3090" i="3"/>
  <c r="P3088" i="3"/>
  <c r="P3085" i="3"/>
  <c r="P3089" i="3"/>
  <c r="L606" i="10"/>
  <c r="Q3289" i="3"/>
  <c r="Q3291" i="3"/>
  <c r="Q3292" i="3"/>
  <c r="Q3290" i="3"/>
  <c r="Q3293" i="3"/>
  <c r="Q3288" i="3"/>
  <c r="Q3286" i="3"/>
  <c r="Q3284" i="3"/>
  <c r="Q3283" i="3"/>
  <c r="Q3287" i="3"/>
  <c r="Q3285" i="3"/>
  <c r="Q3132" i="3"/>
  <c r="Q3129" i="3"/>
  <c r="Q3131" i="3"/>
  <c r="Q3134" i="3"/>
  <c r="Q3133" i="3"/>
  <c r="Q3130" i="3"/>
  <c r="Q3043" i="3"/>
  <c r="Q3045" i="3"/>
  <c r="Q3044" i="3"/>
  <c r="Q3040" i="3"/>
  <c r="Q3041" i="3"/>
  <c r="Q3046" i="3"/>
  <c r="Q3042" i="3"/>
  <c r="H392" i="1"/>
  <c r="K69" i="10"/>
  <c r="M69" i="10" s="1"/>
  <c r="L78" i="10"/>
  <c r="L313" i="10"/>
  <c r="K401" i="10"/>
  <c r="M401" i="10" s="1"/>
  <c r="L401" i="10"/>
  <c r="L69" i="10"/>
  <c r="K78" i="10"/>
  <c r="M78" i="10" s="1"/>
  <c r="K314" i="10"/>
  <c r="M314" i="10" s="1"/>
  <c r="L314" i="10"/>
  <c r="K313" i="10"/>
  <c r="M313" i="10" s="1"/>
  <c r="L326" i="10"/>
  <c r="K326" i="10"/>
  <c r="M326" i="10" s="1"/>
  <c r="K66" i="10"/>
  <c r="M66" i="10" s="1"/>
  <c r="L66" i="10"/>
  <c r="L381" i="10"/>
  <c r="K381" i="10"/>
  <c r="L300" i="10"/>
  <c r="K300" i="10"/>
  <c r="L312" i="10"/>
  <c r="K312" i="10"/>
  <c r="L348" i="10"/>
  <c r="K348" i="10"/>
  <c r="L307" i="10"/>
  <c r="K307" i="10"/>
  <c r="L323" i="10"/>
  <c r="K323" i="10"/>
  <c r="M370" i="10"/>
  <c r="L308" i="10"/>
  <c r="K308" i="10"/>
  <c r="L61" i="10"/>
  <c r="K61" i="10"/>
  <c r="L67" i="10"/>
  <c r="K67" i="10"/>
  <c r="L311" i="10"/>
  <c r="K311" i="10"/>
  <c r="L325" i="10"/>
  <c r="K325" i="10"/>
  <c r="M325" i="10" s="1"/>
  <c r="Q1999" i="3" s="1"/>
  <c r="L50" i="10"/>
  <c r="K50" i="10"/>
  <c r="L322" i="10"/>
  <c r="K322" i="10"/>
  <c r="L347" i="10"/>
  <c r="K347" i="10"/>
  <c r="M315" i="10"/>
  <c r="L324" i="10"/>
  <c r="K324" i="10"/>
  <c r="L82" i="10"/>
  <c r="K82" i="10"/>
  <c r="L79" i="10"/>
  <c r="K79" i="10"/>
  <c r="L339" i="10"/>
  <c r="K339" i="10"/>
  <c r="K48" i="10"/>
  <c r="L48" i="10"/>
  <c r="Q3538" i="3" l="1"/>
  <c r="Q3532" i="3"/>
  <c r="Q3533" i="3"/>
  <c r="Q3537" i="3"/>
  <c r="Q3539" i="3"/>
  <c r="Q3541" i="3"/>
  <c r="Q3534" i="3"/>
  <c r="Q3542" i="3"/>
  <c r="Q3535" i="3"/>
  <c r="Q3536" i="3"/>
  <c r="Q3540" i="3"/>
  <c r="Q618" i="3"/>
  <c r="Q615" i="3"/>
  <c r="K572" i="10"/>
  <c r="M572" i="10" s="1"/>
  <c r="Q2999" i="3" s="1"/>
  <c r="P2999" i="3"/>
  <c r="L572" i="10"/>
  <c r="L374" i="10"/>
  <c r="K374" i="10"/>
  <c r="M374" i="10" s="1"/>
  <c r="L53" i="10"/>
  <c r="K53" i="10"/>
  <c r="M53" i="10" s="1"/>
  <c r="Q766" i="3" s="1"/>
  <c r="Q3274" i="3"/>
  <c r="Q3275" i="3"/>
  <c r="Q3276" i="3"/>
  <c r="Q3084" i="3"/>
  <c r="Q3088" i="3"/>
  <c r="Q3090" i="3"/>
  <c r="Q3086" i="3"/>
  <c r="Q3085" i="3"/>
  <c r="Q3089" i="3"/>
  <c r="Q3087" i="3"/>
  <c r="Q3092" i="3"/>
  <c r="L2398" i="3"/>
  <c r="M2398" i="3" s="1"/>
  <c r="J382" i="10" s="1"/>
  <c r="H371" i="5" s="1"/>
  <c r="M347" i="10"/>
  <c r="I707" i="5" s="1"/>
  <c r="M348" i="10"/>
  <c r="I1168" i="5" s="1"/>
  <c r="M48" i="10"/>
  <c r="Q858" i="3" s="1"/>
  <c r="M50" i="10"/>
  <c r="Q682" i="3" s="1"/>
  <c r="M381" i="10"/>
  <c r="I758" i="5" s="1"/>
  <c r="M300" i="10"/>
  <c r="I41" i="5" s="1"/>
  <c r="M324" i="10"/>
  <c r="Q1989" i="3" s="1"/>
  <c r="M312" i="10"/>
  <c r="I86" i="5" s="1"/>
  <c r="M311" i="10"/>
  <c r="Q1859" i="3" s="1"/>
  <c r="M308" i="10"/>
  <c r="I49" i="5" s="1"/>
  <c r="M307" i="10"/>
  <c r="I677" i="5" s="1"/>
  <c r="M67" i="10"/>
  <c r="Q471" i="3" s="1"/>
  <c r="M79" i="10"/>
  <c r="Q621" i="3" s="1"/>
  <c r="M323" i="10"/>
  <c r="M339" i="10"/>
  <c r="Q2152" i="3" s="1"/>
  <c r="M61" i="10"/>
  <c r="Q723" i="3" s="1"/>
  <c r="M82" i="10"/>
  <c r="Q652" i="3" s="1"/>
  <c r="M322" i="10"/>
  <c r="L257" i="5"/>
  <c r="M257" i="5" s="1"/>
  <c r="L248" i="5"/>
  <c r="M248" i="5" s="1"/>
  <c r="L359" i="5"/>
  <c r="J359" i="5" s="1"/>
  <c r="K359" i="5" s="1"/>
  <c r="L512" i="5"/>
  <c r="L535" i="5"/>
  <c r="M535" i="5" s="1"/>
  <c r="L629" i="5"/>
  <c r="M629" i="5" s="1"/>
  <c r="L618" i="5"/>
  <c r="M618" i="5" s="1"/>
  <c r="L630" i="5"/>
  <c r="J630" i="5" s="1"/>
  <c r="K630" i="5" s="1"/>
  <c r="L920" i="5"/>
  <c r="J920" i="5" s="1"/>
  <c r="K920" i="5" s="1"/>
  <c r="L1046" i="5"/>
  <c r="M1046" i="5" s="1"/>
  <c r="L1040" i="5"/>
  <c r="L466" i="5"/>
  <c r="M466" i="5" s="1"/>
  <c r="L509" i="5"/>
  <c r="M509" i="5" s="1"/>
  <c r="L313" i="5"/>
  <c r="M313" i="5" s="1"/>
  <c r="L1029" i="5"/>
  <c r="J1029" i="5" s="1"/>
  <c r="K1029" i="5" s="1"/>
  <c r="L22" i="5"/>
  <c r="M22" i="5" s="1"/>
  <c r="L13" i="5"/>
  <c r="M13" i="5" s="1"/>
  <c r="L157" i="5"/>
  <c r="L43" i="5"/>
  <c r="M43" i="5" s="1"/>
  <c r="L237" i="5"/>
  <c r="M237" i="5" s="1"/>
  <c r="L220" i="5"/>
  <c r="J220" i="5" s="1"/>
  <c r="K220" i="5" s="1"/>
  <c r="L80" i="5"/>
  <c r="M80" i="5" s="1"/>
  <c r="L367" i="5"/>
  <c r="J367" i="5" s="1"/>
  <c r="K367" i="5" s="1"/>
  <c r="L201" i="5"/>
  <c r="J201" i="5" s="1"/>
  <c r="K201" i="5" s="1"/>
  <c r="L517" i="5"/>
  <c r="M517" i="5" s="1"/>
  <c r="L398" i="5"/>
  <c r="J398" i="5" s="1"/>
  <c r="K398" i="5" s="1"/>
  <c r="L530" i="5"/>
  <c r="L433" i="5"/>
  <c r="J433" i="5" s="1"/>
  <c r="K433" i="5" s="1"/>
  <c r="L560" i="5"/>
  <c r="J560" i="5" s="1"/>
  <c r="K560" i="5" s="1"/>
  <c r="L216" i="5"/>
  <c r="M216" i="5" s="1"/>
  <c r="L168" i="5"/>
  <c r="J168" i="5" s="1"/>
  <c r="K168" i="5" s="1"/>
  <c r="L626" i="5"/>
  <c r="M626" i="5" s="1"/>
  <c r="L701" i="5"/>
  <c r="M701" i="5" s="1"/>
  <c r="L747" i="5"/>
  <c r="L562" i="5"/>
  <c r="J562" i="5" s="1"/>
  <c r="K562" i="5" s="1"/>
  <c r="L263" i="5"/>
  <c r="M263" i="5" s="1"/>
  <c r="L89" i="5"/>
  <c r="M89" i="5" s="1"/>
  <c r="L185" i="5"/>
  <c r="J185" i="5" s="1"/>
  <c r="K185" i="5" s="1"/>
  <c r="L35" i="5"/>
  <c r="M35" i="5" s="1"/>
  <c r="L265" i="5"/>
  <c r="J265" i="5" s="1"/>
  <c r="K265" i="5" s="1"/>
  <c r="L295" i="5"/>
  <c r="L416" i="5"/>
  <c r="J416" i="5" s="1"/>
  <c r="K416" i="5" s="1"/>
  <c r="L101" i="5"/>
  <c r="M101" i="5" s="1"/>
  <c r="L57" i="5"/>
  <c r="J57" i="5" s="1"/>
  <c r="K57" i="5" s="1"/>
  <c r="L55" i="5"/>
  <c r="M55" i="5" s="1"/>
  <c r="L159" i="5"/>
  <c r="M159" i="5" s="1"/>
  <c r="L273" i="5"/>
  <c r="L163" i="5"/>
  <c r="J163" i="5" s="1"/>
  <c r="K163" i="5" s="1"/>
  <c r="L188" i="5"/>
  <c r="M188" i="5" s="1"/>
  <c r="L42" i="5"/>
  <c r="M42" i="5" s="1"/>
  <c r="L200" i="5"/>
  <c r="M200" i="5" s="1"/>
  <c r="L303" i="5"/>
  <c r="J303" i="5" s="1"/>
  <c r="K303" i="5" s="1"/>
  <c r="L375" i="5"/>
  <c r="M375" i="5" s="1"/>
  <c r="L241" i="5"/>
  <c r="J241" i="5" s="1"/>
  <c r="K241" i="5" s="1"/>
  <c r="L192" i="5"/>
  <c r="J192" i="5" s="1"/>
  <c r="K192" i="5" s="1"/>
  <c r="L557" i="5"/>
  <c r="L452" i="5"/>
  <c r="M452" i="5" s="1"/>
  <c r="L465" i="5"/>
  <c r="M465" i="5" s="1"/>
  <c r="L567" i="5"/>
  <c r="J567" i="5" s="1"/>
  <c r="K567" i="5" s="1"/>
  <c r="L440" i="5"/>
  <c r="J440" i="5" s="1"/>
  <c r="K440" i="5" s="1"/>
  <c r="L444" i="5"/>
  <c r="M444" i="5" s="1"/>
  <c r="L425" i="5"/>
  <c r="M425" i="5" s="1"/>
  <c r="L406" i="5"/>
  <c r="M406" i="5" s="1"/>
  <c r="L635" i="5"/>
  <c r="J635" i="5" s="1"/>
  <c r="K635" i="5" s="1"/>
  <c r="L749" i="5"/>
  <c r="M749" i="5" s="1"/>
  <c r="L1028" i="5"/>
  <c r="J1028" i="5" s="1"/>
  <c r="K1028" i="5" s="1"/>
  <c r="L104" i="5"/>
  <c r="J104" i="5" s="1"/>
  <c r="K104" i="5" s="1"/>
  <c r="L105" i="5"/>
  <c r="L197" i="5"/>
  <c r="M197" i="5" s="1"/>
  <c r="L72" i="5"/>
  <c r="J72" i="5" s="1"/>
  <c r="K72" i="5" s="1"/>
  <c r="L117" i="5"/>
  <c r="M117" i="5" s="1"/>
  <c r="L125" i="5"/>
  <c r="M125" i="5" s="1"/>
  <c r="L311" i="5"/>
  <c r="M311" i="5" s="1"/>
  <c r="L392" i="5"/>
  <c r="J392" i="5" s="1"/>
  <c r="K392" i="5" s="1"/>
  <c r="L48" i="5"/>
  <c r="L432" i="5"/>
  <c r="J432" i="5" s="1"/>
  <c r="K432" i="5" s="1"/>
  <c r="L400" i="5"/>
  <c r="J400" i="5" s="1"/>
  <c r="K400" i="5" s="1"/>
  <c r="L589" i="5"/>
  <c r="J589" i="5" s="1"/>
  <c r="K589" i="5" s="1"/>
  <c r="L481" i="5"/>
  <c r="M481" i="5" s="1"/>
  <c r="L581" i="5"/>
  <c r="J581" i="5" s="1"/>
  <c r="K581" i="5" s="1"/>
  <c r="L224" i="5"/>
  <c r="J224" i="5" s="1"/>
  <c r="K224" i="5" s="1"/>
  <c r="L441" i="5"/>
  <c r="J441" i="5" s="1"/>
  <c r="K441" i="5" s="1"/>
  <c r="L638" i="5"/>
  <c r="J638" i="5" s="1"/>
  <c r="K638" i="5" s="1"/>
  <c r="L744" i="5"/>
  <c r="J744" i="5" s="1"/>
  <c r="K744" i="5" s="1"/>
  <c r="L36" i="5"/>
  <c r="J36" i="5" s="1"/>
  <c r="K36" i="5" s="1"/>
  <c r="L700" i="5"/>
  <c r="M700" i="5" s="1"/>
  <c r="L272" i="5"/>
  <c r="J272" i="5" s="1"/>
  <c r="K272" i="5" s="1"/>
  <c r="L280" i="5"/>
  <c r="L29" i="5"/>
  <c r="J29" i="5" s="1"/>
  <c r="K29" i="5" s="1"/>
  <c r="L127" i="5"/>
  <c r="J127" i="5" s="1"/>
  <c r="K127" i="5" s="1"/>
  <c r="L239" i="5"/>
  <c r="M239" i="5" s="1"/>
  <c r="L240" i="5"/>
  <c r="M240" i="5" s="1"/>
  <c r="L496" i="5"/>
  <c r="M496" i="5" s="1"/>
  <c r="L456" i="5"/>
  <c r="J456" i="5" s="1"/>
  <c r="K456" i="5" s="1"/>
  <c r="L460" i="5"/>
  <c r="J460" i="5" s="1"/>
  <c r="K460" i="5" s="1"/>
  <c r="L497" i="5"/>
  <c r="J497" i="5" s="1"/>
  <c r="K497" i="5" s="1"/>
  <c r="L957" i="5"/>
  <c r="M957" i="5" s="1"/>
  <c r="L172" i="5"/>
  <c r="J172" i="5" s="1"/>
  <c r="K172" i="5" s="1"/>
  <c r="L129" i="5"/>
  <c r="M129" i="5" s="1"/>
  <c r="L450" i="5"/>
  <c r="M450" i="5" s="1"/>
  <c r="L399" i="5"/>
  <c r="M399" i="5" s="1"/>
  <c r="L62" i="5"/>
  <c r="L63" i="5"/>
  <c r="J63" i="5" s="1"/>
  <c r="K63" i="5" s="1"/>
  <c r="L126" i="5"/>
  <c r="J126" i="5" s="1"/>
  <c r="K126" i="5" s="1"/>
  <c r="L319" i="5"/>
  <c r="J319" i="5" s="1"/>
  <c r="K319" i="5" s="1"/>
  <c r="L24" i="5"/>
  <c r="J24" i="5" s="1"/>
  <c r="K24" i="5" s="1"/>
  <c r="L119" i="5"/>
  <c r="M119" i="5" s="1"/>
  <c r="L131" i="5"/>
  <c r="J131" i="5" s="1"/>
  <c r="K131" i="5" s="1"/>
  <c r="L189" i="5"/>
  <c r="M189" i="5" s="1"/>
  <c r="L327" i="5"/>
  <c r="M327" i="5" s="1"/>
  <c r="L93" i="5"/>
  <c r="M93" i="5" s="1"/>
  <c r="L134" i="5"/>
  <c r="L448" i="5"/>
  <c r="J448" i="5" s="1"/>
  <c r="K448" i="5" s="1"/>
  <c r="L299" i="5"/>
  <c r="J299" i="5" s="1"/>
  <c r="K299" i="5" s="1"/>
  <c r="L445" i="5"/>
  <c r="M445" i="5" s="1"/>
  <c r="L484" i="5"/>
  <c r="J484" i="5" s="1"/>
  <c r="K484" i="5" s="1"/>
  <c r="L514" i="5"/>
  <c r="L267" i="5"/>
  <c r="L500" i="5"/>
  <c r="J500" i="5" s="1"/>
  <c r="K500" i="5" s="1"/>
  <c r="L382" i="5"/>
  <c r="J382" i="5" s="1"/>
  <c r="K382" i="5" s="1"/>
  <c r="L824" i="5"/>
  <c r="M824" i="5" s="1"/>
  <c r="L973" i="5"/>
  <c r="M973" i="5" s="1"/>
  <c r="L276" i="5"/>
  <c r="M276" i="5" s="1"/>
  <c r="L53" i="5"/>
  <c r="M53" i="5" s="1"/>
  <c r="L711" i="5"/>
  <c r="M711" i="5" s="1"/>
  <c r="L121" i="5"/>
  <c r="J121" i="5" s="1"/>
  <c r="K121" i="5" s="1"/>
  <c r="L9" i="5"/>
  <c r="L130" i="5"/>
  <c r="L259" i="5"/>
  <c r="J259" i="5" s="1"/>
  <c r="K259" i="5" s="1"/>
  <c r="L413" i="5"/>
  <c r="M413" i="5" s="1"/>
  <c r="L142" i="5"/>
  <c r="L74" i="5"/>
  <c r="L66" i="5"/>
  <c r="L91" i="5"/>
  <c r="M91" i="5" s="1"/>
  <c r="L45" i="5"/>
  <c r="J45" i="5" s="1"/>
  <c r="K45" i="5" s="1"/>
  <c r="L30" i="5"/>
  <c r="J30" i="5" s="1"/>
  <c r="K30" i="5" s="1"/>
  <c r="L110" i="5"/>
  <c r="L275" i="5"/>
  <c r="J275" i="5" s="1"/>
  <c r="K275" i="5" s="1"/>
  <c r="L343" i="5"/>
  <c r="L170" i="5"/>
  <c r="J170" i="5" s="1"/>
  <c r="K170" i="5" s="1"/>
  <c r="L245" i="5"/>
  <c r="M245" i="5" s="1"/>
  <c r="L461" i="5"/>
  <c r="J461" i="5" s="1"/>
  <c r="K461" i="5" s="1"/>
  <c r="L420" i="5"/>
  <c r="J420" i="5" s="1"/>
  <c r="K420" i="5" s="1"/>
  <c r="L529" i="5"/>
  <c r="M529" i="5" s="1"/>
  <c r="L472" i="5"/>
  <c r="L503" i="5"/>
  <c r="L856" i="5"/>
  <c r="M856" i="5" s="1"/>
  <c r="L989" i="5"/>
  <c r="J989" i="5" s="1"/>
  <c r="K989" i="5" s="1"/>
  <c r="L1019" i="5"/>
  <c r="J1019" i="5" s="1"/>
  <c r="K1019" i="5" s="1"/>
  <c r="L306" i="5"/>
  <c r="M306" i="5" s="1"/>
  <c r="L78" i="5"/>
  <c r="J78" i="5" s="1"/>
  <c r="K78" i="5" s="1"/>
  <c r="L647" i="5"/>
  <c r="M647" i="5" s="1"/>
  <c r="L21" i="5"/>
  <c r="M21" i="5" s="1"/>
  <c r="L61" i="5"/>
  <c r="M61" i="5" s="1"/>
  <c r="L169" i="5"/>
  <c r="M169" i="5" s="1"/>
  <c r="L249" i="5"/>
  <c r="L151" i="5"/>
  <c r="J151" i="5" s="1"/>
  <c r="K151" i="5" s="1"/>
  <c r="L141" i="5"/>
  <c r="M141" i="5" s="1"/>
  <c r="L77" i="5"/>
  <c r="J77" i="5" s="1"/>
  <c r="K77" i="5" s="1"/>
  <c r="L204" i="5"/>
  <c r="L208" i="5"/>
  <c r="L5" i="5"/>
  <c r="M5" i="5" s="1"/>
  <c r="L155" i="5"/>
  <c r="J155" i="5" s="1"/>
  <c r="K155" i="5" s="1"/>
  <c r="L109" i="5"/>
  <c r="J109" i="5" s="1"/>
  <c r="K109" i="5" s="1"/>
  <c r="L165" i="5"/>
  <c r="J165" i="5" s="1"/>
  <c r="K165" i="5" s="1"/>
  <c r="L173" i="5"/>
  <c r="M173" i="5" s="1"/>
  <c r="L144" i="5"/>
  <c r="M144" i="5" s="1"/>
  <c r="L217" i="5"/>
  <c r="L37" i="5"/>
  <c r="L140" i="5"/>
  <c r="J140" i="5" s="1"/>
  <c r="K140" i="5" s="1"/>
  <c r="L221" i="5"/>
  <c r="M221" i="5" s="1"/>
  <c r="L174" i="5"/>
  <c r="L40" i="5"/>
  <c r="J40" i="5" s="1"/>
  <c r="K40" i="5" s="1"/>
  <c r="L149" i="5"/>
  <c r="M149" i="5" s="1"/>
  <c r="L232" i="5"/>
  <c r="M232" i="5" s="1"/>
  <c r="L176" i="5"/>
  <c r="L351" i="5"/>
  <c r="M351" i="5" s="1"/>
  <c r="L233" i="5"/>
  <c r="M233" i="5" s="1"/>
  <c r="L106" i="5"/>
  <c r="M106" i="5" s="1"/>
  <c r="L12" i="5"/>
  <c r="L171" i="5"/>
  <c r="J171" i="5" s="1"/>
  <c r="K171" i="5" s="1"/>
  <c r="L480" i="5"/>
  <c r="M480" i="5" s="1"/>
  <c r="L331" i="5"/>
  <c r="M331" i="5" s="1"/>
  <c r="L477" i="5"/>
  <c r="L436" i="5"/>
  <c r="M436" i="5" s="1"/>
  <c r="L384" i="5"/>
  <c r="J384" i="5" s="1"/>
  <c r="K384" i="5" s="1"/>
  <c r="L532" i="5"/>
  <c r="L408" i="5"/>
  <c r="J408" i="5" s="1"/>
  <c r="K408" i="5" s="1"/>
  <c r="L428" i="5"/>
  <c r="M428" i="5" s="1"/>
  <c r="L166" i="5"/>
  <c r="M166" i="5" s="1"/>
  <c r="L525" i="5"/>
  <c r="L493" i="5"/>
  <c r="M493" i="5" s="1"/>
  <c r="L888" i="5"/>
  <c r="M888" i="5" s="1"/>
  <c r="L1005" i="5"/>
  <c r="J1005" i="5" s="1"/>
  <c r="K1005" i="5" s="1"/>
  <c r="L748" i="5"/>
  <c r="M748" i="5" s="1"/>
  <c r="L378" i="5"/>
  <c r="J378" i="5" s="1"/>
  <c r="K378" i="5" s="1"/>
  <c r="L911" i="5"/>
  <c r="M911" i="5" s="1"/>
  <c r="L1168" i="5"/>
  <c r="M1168" i="5" s="1"/>
  <c r="L473" i="5"/>
  <c r="J473" i="5" s="1"/>
  <c r="K473" i="5" s="1"/>
  <c r="L511" i="5"/>
  <c r="M511" i="5" s="1"/>
  <c r="L621" i="5"/>
  <c r="J621" i="5" s="1"/>
  <c r="K621" i="5" s="1"/>
  <c r="L569" i="5"/>
  <c r="M569" i="5" s="1"/>
  <c r="L663" i="5"/>
  <c r="L587" i="5"/>
  <c r="L614" i="5"/>
  <c r="L733" i="5"/>
  <c r="M733" i="5" s="1"/>
  <c r="L712" i="5"/>
  <c r="M712" i="5" s="1"/>
  <c r="L816" i="5"/>
  <c r="M816" i="5" s="1"/>
  <c r="L848" i="5"/>
  <c r="L880" i="5"/>
  <c r="M880" i="5" s="1"/>
  <c r="L912" i="5"/>
  <c r="J912" i="5" s="1"/>
  <c r="K912" i="5" s="1"/>
  <c r="L715" i="5"/>
  <c r="L969" i="5"/>
  <c r="M969" i="5" s="1"/>
  <c r="L985" i="5"/>
  <c r="J985" i="5" s="1"/>
  <c r="K985" i="5" s="1"/>
  <c r="L1001" i="5"/>
  <c r="M1001" i="5" s="1"/>
  <c r="L1032" i="5"/>
  <c r="M1032" i="5" s="1"/>
  <c r="L952" i="5"/>
  <c r="M952" i="5" s="1"/>
  <c r="L968" i="5"/>
  <c r="M968" i="5" s="1"/>
  <c r="L984" i="5"/>
  <c r="J984" i="5" s="1"/>
  <c r="K984" i="5" s="1"/>
  <c r="L1000" i="5"/>
  <c r="L1031" i="5"/>
  <c r="J1031" i="5" s="1"/>
  <c r="K1031" i="5" s="1"/>
  <c r="L932" i="5"/>
  <c r="L20" i="5"/>
  <c r="M20" i="5" s="1"/>
  <c r="L156" i="5"/>
  <c r="J156" i="5" s="1"/>
  <c r="K156" i="5" s="1"/>
  <c r="L252" i="5"/>
  <c r="L354" i="5"/>
  <c r="M354" i="5" s="1"/>
  <c r="L434" i="5"/>
  <c r="J434" i="5" s="1"/>
  <c r="K434" i="5" s="1"/>
  <c r="L546" i="5"/>
  <c r="L684" i="5"/>
  <c r="M684" i="5" s="1"/>
  <c r="L107" i="5"/>
  <c r="J107" i="5" s="1"/>
  <c r="K107" i="5" s="1"/>
  <c r="L99" i="5"/>
  <c r="L177" i="5"/>
  <c r="L405" i="5"/>
  <c r="M405" i="5" s="1"/>
  <c r="L388" i="5"/>
  <c r="J388" i="5" s="1"/>
  <c r="K388" i="5" s="1"/>
  <c r="L58" i="5"/>
  <c r="L184" i="5"/>
  <c r="M184" i="5" s="1"/>
  <c r="L111" i="5"/>
  <c r="M111" i="5" s="1"/>
  <c r="L1045" i="5"/>
  <c r="M1045" i="5" s="1"/>
  <c r="L339" i="5"/>
  <c r="J339" i="5" s="1"/>
  <c r="K339" i="5" s="1"/>
  <c r="L371" i="5"/>
  <c r="M371" i="5" s="1"/>
  <c r="L488" i="5"/>
  <c r="L622" i="5"/>
  <c r="M622" i="5" s="1"/>
  <c r="L699" i="5"/>
  <c r="L735" i="5"/>
  <c r="M735" i="5" s="1"/>
  <c r="L728" i="5"/>
  <c r="L675" i="5"/>
  <c r="M675" i="5" s="1"/>
  <c r="L820" i="5"/>
  <c r="M820" i="5" s="1"/>
  <c r="L852" i="5"/>
  <c r="L884" i="5"/>
  <c r="M884" i="5" s="1"/>
  <c r="L916" i="5"/>
  <c r="J916" i="5" s="1"/>
  <c r="K916" i="5" s="1"/>
  <c r="L731" i="5"/>
  <c r="M731" i="5" s="1"/>
  <c r="L822" i="5"/>
  <c r="J822" i="5" s="1"/>
  <c r="K822" i="5" s="1"/>
  <c r="L886" i="5"/>
  <c r="M886" i="5" s="1"/>
  <c r="L955" i="5"/>
  <c r="L971" i="5"/>
  <c r="L987" i="5"/>
  <c r="J987" i="5" s="1"/>
  <c r="K987" i="5" s="1"/>
  <c r="L1003" i="5"/>
  <c r="L1039" i="5"/>
  <c r="M1039" i="5" s="1"/>
  <c r="L706" i="5"/>
  <c r="M706" i="5" s="1"/>
  <c r="L834" i="5"/>
  <c r="M834" i="5" s="1"/>
  <c r="L898" i="5"/>
  <c r="M898" i="5" s="1"/>
  <c r="L693" i="5"/>
  <c r="M693" i="5" s="1"/>
  <c r="L928" i="5"/>
  <c r="J928" i="5" s="1"/>
  <c r="K928" i="5" s="1"/>
  <c r="L745" i="5"/>
  <c r="J745" i="5" s="1"/>
  <c r="K745" i="5" s="1"/>
  <c r="L830" i="5"/>
  <c r="M830" i="5" s="1"/>
  <c r="L894" i="5"/>
  <c r="J894" i="5" s="1"/>
  <c r="K894" i="5" s="1"/>
  <c r="L954" i="5"/>
  <c r="J954" i="5" s="1"/>
  <c r="K954" i="5" s="1"/>
  <c r="L970" i="5"/>
  <c r="L986" i="5"/>
  <c r="M986" i="5" s="1"/>
  <c r="L1002" i="5"/>
  <c r="L1038" i="5"/>
  <c r="L695" i="5"/>
  <c r="J695" i="5" s="1"/>
  <c r="K695" i="5" s="1"/>
  <c r="L826" i="5"/>
  <c r="M826" i="5" s="1"/>
  <c r="L890" i="5"/>
  <c r="J890" i="5" s="1"/>
  <c r="K890" i="5" s="1"/>
  <c r="L1010" i="5"/>
  <c r="L788" i="5"/>
  <c r="J788" i="5" s="1"/>
  <c r="K788" i="5" s="1"/>
  <c r="L948" i="5"/>
  <c r="L4" i="5"/>
  <c r="L1004" i="5"/>
  <c r="M1004" i="5" s="1"/>
  <c r="L28" i="5"/>
  <c r="J28" i="5" s="1"/>
  <c r="K28" i="5" s="1"/>
  <c r="L164" i="5"/>
  <c r="L260" i="5"/>
  <c r="L370" i="5"/>
  <c r="M370" i="5" s="1"/>
  <c r="L458" i="5"/>
  <c r="L554" i="5"/>
  <c r="M554" i="5" s="1"/>
  <c r="L692" i="5"/>
  <c r="J692" i="5" s="1"/>
  <c r="K692" i="5" s="1"/>
  <c r="L123" i="5"/>
  <c r="M123" i="5" s="1"/>
  <c r="L115" i="5"/>
  <c r="J115" i="5" s="1"/>
  <c r="K115" i="5" s="1"/>
  <c r="L329" i="5"/>
  <c r="L407" i="5"/>
  <c r="M407" i="5" s="1"/>
  <c r="L226" i="5"/>
  <c r="J226" i="5" s="1"/>
  <c r="K226" i="5" s="1"/>
  <c r="L17" i="5"/>
  <c r="M17" i="5" s="1"/>
  <c r="L268" i="5"/>
  <c r="M268" i="5" s="1"/>
  <c r="L390" i="5"/>
  <c r="M390" i="5" s="1"/>
  <c r="L73" i="5"/>
  <c r="L266" i="5"/>
  <c r="M266" i="5" s="1"/>
  <c r="L305" i="5"/>
  <c r="J305" i="5" s="1"/>
  <c r="K305" i="5" s="1"/>
  <c r="L309" i="5"/>
  <c r="L190" i="5"/>
  <c r="M190" i="5" s="1"/>
  <c r="L150" i="5"/>
  <c r="M150" i="5" s="1"/>
  <c r="L358" i="5"/>
  <c r="M358" i="5" s="1"/>
  <c r="L797" i="5"/>
  <c r="L787" i="5"/>
  <c r="J787" i="5" s="1"/>
  <c r="K787" i="5" s="1"/>
  <c r="L219" i="5"/>
  <c r="J219" i="5" s="1"/>
  <c r="K219" i="5" s="1"/>
  <c r="L347" i="5"/>
  <c r="M347" i="5" s="1"/>
  <c r="L548" i="5"/>
  <c r="J548" i="5" s="1"/>
  <c r="K548" i="5" s="1"/>
  <c r="L521" i="5"/>
  <c r="J521" i="5" s="1"/>
  <c r="K521" i="5" s="1"/>
  <c r="L645" i="5"/>
  <c r="L703" i="5"/>
  <c r="L751" i="5"/>
  <c r="J751" i="5" s="1"/>
  <c r="K751" i="5" s="1"/>
  <c r="L765" i="5"/>
  <c r="J765" i="5" s="1"/>
  <c r="K765" i="5" s="1"/>
  <c r="L679" i="5"/>
  <c r="M679" i="5" s="1"/>
  <c r="L828" i="5"/>
  <c r="L860" i="5"/>
  <c r="M860" i="5" s="1"/>
  <c r="L892" i="5"/>
  <c r="J892" i="5" s="1"/>
  <c r="K892" i="5" s="1"/>
  <c r="L924" i="5"/>
  <c r="L766" i="5"/>
  <c r="M766" i="5" s="1"/>
  <c r="L838" i="5"/>
  <c r="J838" i="5" s="1"/>
  <c r="K838" i="5" s="1"/>
  <c r="L902" i="5"/>
  <c r="M902" i="5" s="1"/>
  <c r="L959" i="5"/>
  <c r="J959" i="5" s="1"/>
  <c r="K959" i="5" s="1"/>
  <c r="L975" i="5"/>
  <c r="L991" i="5"/>
  <c r="J991" i="5" s="1"/>
  <c r="K991" i="5" s="1"/>
  <c r="L1007" i="5"/>
  <c r="M1007" i="5" s="1"/>
  <c r="L1048" i="5"/>
  <c r="L794" i="5"/>
  <c r="M794" i="5" s="1"/>
  <c r="L738" i="5"/>
  <c r="J738" i="5" s="1"/>
  <c r="K738" i="5" s="1"/>
  <c r="L850" i="5"/>
  <c r="M850" i="5" s="1"/>
  <c r="L914" i="5"/>
  <c r="J914" i="5" s="1"/>
  <c r="K914" i="5" s="1"/>
  <c r="L958" i="5"/>
  <c r="L974" i="5"/>
  <c r="M974" i="5" s="1"/>
  <c r="L990" i="5"/>
  <c r="J990" i="5" s="1"/>
  <c r="K990" i="5" s="1"/>
  <c r="L1006" i="5"/>
  <c r="M1006" i="5" s="1"/>
  <c r="L1047" i="5"/>
  <c r="J1047" i="5" s="1"/>
  <c r="K1047" i="5" s="1"/>
  <c r="L722" i="5"/>
  <c r="J722" i="5" s="1"/>
  <c r="K722" i="5" s="1"/>
  <c r="L842" i="5"/>
  <c r="M842" i="5" s="1"/>
  <c r="L906" i="5"/>
  <c r="L1026" i="5"/>
  <c r="M1026" i="5" s="1"/>
  <c r="L1012" i="5"/>
  <c r="J1012" i="5" s="1"/>
  <c r="K1012" i="5" s="1"/>
  <c r="L716" i="5"/>
  <c r="J716" i="5" s="1"/>
  <c r="K716" i="5" s="1"/>
  <c r="L956" i="5"/>
  <c r="J956" i="5" s="1"/>
  <c r="K956" i="5" s="1"/>
  <c r="L732" i="5"/>
  <c r="L44" i="5"/>
  <c r="M44" i="5" s="1"/>
  <c r="L180" i="5"/>
  <c r="J180" i="5" s="1"/>
  <c r="K180" i="5" s="1"/>
  <c r="L314" i="5"/>
  <c r="J314" i="5" s="1"/>
  <c r="K314" i="5" s="1"/>
  <c r="L386" i="5"/>
  <c r="J386" i="5" s="1"/>
  <c r="K386" i="5" s="1"/>
  <c r="L474" i="5"/>
  <c r="J474" i="5" s="1"/>
  <c r="K474" i="5" s="1"/>
  <c r="L570" i="5"/>
  <c r="M570" i="5" s="1"/>
  <c r="L636" i="5"/>
  <c r="L724" i="5"/>
  <c r="M724" i="5" s="1"/>
  <c r="L18" i="5"/>
  <c r="J18" i="5" s="1"/>
  <c r="K18" i="5" s="1"/>
  <c r="L337" i="5"/>
  <c r="J337" i="5" s="1"/>
  <c r="K337" i="5" s="1"/>
  <c r="L120" i="5"/>
  <c r="L504" i="5"/>
  <c r="L281" i="5"/>
  <c r="M281" i="5" s="1"/>
  <c r="L82" i="5"/>
  <c r="J82" i="5" s="1"/>
  <c r="K82" i="5" s="1"/>
  <c r="L271" i="5"/>
  <c r="L349" i="5"/>
  <c r="L409" i="5"/>
  <c r="L718" i="5"/>
  <c r="L801" i="5"/>
  <c r="M801" i="5" s="1"/>
  <c r="L674" i="5"/>
  <c r="L710" i="5"/>
  <c r="J710" i="5" s="1"/>
  <c r="K710" i="5" s="1"/>
  <c r="L754" i="5"/>
  <c r="M754" i="5" s="1"/>
  <c r="L832" i="5"/>
  <c r="L864" i="5"/>
  <c r="L896" i="5"/>
  <c r="M896" i="5" s="1"/>
  <c r="L961" i="5"/>
  <c r="M961" i="5" s="1"/>
  <c r="L977" i="5"/>
  <c r="L993" i="5"/>
  <c r="L1014" i="5"/>
  <c r="J1014" i="5" s="1"/>
  <c r="K1014" i="5" s="1"/>
  <c r="L770" i="5"/>
  <c r="L760" i="5"/>
  <c r="L846" i="5"/>
  <c r="L910" i="5"/>
  <c r="J910" i="5" s="1"/>
  <c r="K910" i="5" s="1"/>
  <c r="L960" i="5"/>
  <c r="M960" i="5" s="1"/>
  <c r="L976" i="5"/>
  <c r="L992" i="5"/>
  <c r="L1008" i="5"/>
  <c r="J1008" i="5" s="1"/>
  <c r="K1008" i="5" s="1"/>
  <c r="L752" i="5"/>
  <c r="L1035" i="5"/>
  <c r="J1035" i="5" s="1"/>
  <c r="K1035" i="5" s="1"/>
  <c r="L1044" i="5"/>
  <c r="J1044" i="5" s="1"/>
  <c r="K1044" i="5" s="1"/>
  <c r="L1036" i="5"/>
  <c r="L756" i="5"/>
  <c r="J756" i="5" s="1"/>
  <c r="K756" i="5" s="1"/>
  <c r="L52" i="5"/>
  <c r="M52" i="5" s="1"/>
  <c r="L212" i="5"/>
  <c r="J212" i="5" s="1"/>
  <c r="K212" i="5" s="1"/>
  <c r="L322" i="5"/>
  <c r="J322" i="5" s="1"/>
  <c r="K322" i="5" s="1"/>
  <c r="L394" i="5"/>
  <c r="L482" i="5"/>
  <c r="L578" i="5"/>
  <c r="L644" i="5"/>
  <c r="J644" i="5" s="1"/>
  <c r="K644" i="5" s="1"/>
  <c r="L41" i="5"/>
  <c r="L341" i="5"/>
  <c r="L19" i="5"/>
  <c r="L270" i="5"/>
  <c r="J270" i="5" s="1"/>
  <c r="K270" i="5" s="1"/>
  <c r="L118" i="5"/>
  <c r="J118" i="5" s="1"/>
  <c r="K118" i="5" s="1"/>
  <c r="L372" i="5"/>
  <c r="J372" i="5" s="1"/>
  <c r="K372" i="5" s="1"/>
  <c r="L336" i="5"/>
  <c r="L360" i="5"/>
  <c r="L435" i="5"/>
  <c r="J435" i="5" s="1"/>
  <c r="K435" i="5" s="1"/>
  <c r="L469" i="5"/>
  <c r="L867" i="5"/>
  <c r="L734" i="5"/>
  <c r="L1086" i="5"/>
  <c r="L528" i="5"/>
  <c r="L651" i="5"/>
  <c r="J651" i="5" s="1"/>
  <c r="K651" i="5" s="1"/>
  <c r="L612" i="5"/>
  <c r="L678" i="5"/>
  <c r="L717" i="5"/>
  <c r="L759" i="5"/>
  <c r="L667" i="5"/>
  <c r="L683" i="5"/>
  <c r="J683" i="5" s="1"/>
  <c r="K683" i="5" s="1"/>
  <c r="L836" i="5"/>
  <c r="L868" i="5"/>
  <c r="J868" i="5" s="1"/>
  <c r="K868" i="5" s="1"/>
  <c r="L900" i="5"/>
  <c r="L687" i="5"/>
  <c r="J687" i="5" s="1"/>
  <c r="K687" i="5" s="1"/>
  <c r="L729" i="5"/>
  <c r="L854" i="5"/>
  <c r="L918" i="5"/>
  <c r="L963" i="5"/>
  <c r="L979" i="5"/>
  <c r="L995" i="5"/>
  <c r="L1016" i="5"/>
  <c r="L818" i="5"/>
  <c r="L798" i="5"/>
  <c r="L866" i="5"/>
  <c r="L930" i="5"/>
  <c r="L962" i="5"/>
  <c r="L978" i="5"/>
  <c r="L994" i="5"/>
  <c r="L1015" i="5"/>
  <c r="L763" i="5"/>
  <c r="L858" i="5"/>
  <c r="L922" i="5"/>
  <c r="L1042" i="5"/>
  <c r="L740" i="5"/>
  <c r="L972" i="5"/>
  <c r="L780" i="5"/>
  <c r="J780" i="5" s="1"/>
  <c r="K780" i="5" s="1"/>
  <c r="L116" i="5"/>
  <c r="L228" i="5"/>
  <c r="J228" i="5" s="1"/>
  <c r="K228" i="5" s="1"/>
  <c r="L330" i="5"/>
  <c r="J330" i="5" s="1"/>
  <c r="K330" i="5" s="1"/>
  <c r="L402" i="5"/>
  <c r="L490" i="5"/>
  <c r="J490" i="5" s="1"/>
  <c r="K490" i="5" s="1"/>
  <c r="L586" i="5"/>
  <c r="L660" i="5"/>
  <c r="L25" i="5"/>
  <c r="L210" i="5"/>
  <c r="M210" i="5" s="1"/>
  <c r="L318" i="5"/>
  <c r="M318" i="5" s="1"/>
  <c r="L198" i="5"/>
  <c r="J198" i="5" s="1"/>
  <c r="K198" i="5" s="1"/>
  <c r="L283" i="5"/>
  <c r="J283" i="5" s="1"/>
  <c r="K283" i="5" s="1"/>
  <c r="L135" i="5"/>
  <c r="L374" i="5"/>
  <c r="M374" i="5" s="1"/>
  <c r="L147" i="5"/>
  <c r="L366" i="5"/>
  <c r="M366" i="5" s="1"/>
  <c r="L483" i="5"/>
  <c r="M483" i="5" s="1"/>
  <c r="L817" i="5"/>
  <c r="L551" i="5"/>
  <c r="M551" i="5" s="1"/>
  <c r="L606" i="5"/>
  <c r="J606" i="5" s="1"/>
  <c r="K606" i="5" s="1"/>
  <c r="L508" i="5"/>
  <c r="L655" i="5"/>
  <c r="M655" i="5" s="1"/>
  <c r="L307" i="5"/>
  <c r="M307" i="5" s="1"/>
  <c r="L355" i="5"/>
  <c r="L583" i="5"/>
  <c r="M583" i="5" s="1"/>
  <c r="L620" i="5"/>
  <c r="M620" i="5" s="1"/>
  <c r="L682" i="5"/>
  <c r="J682" i="5" s="1"/>
  <c r="K682" i="5" s="1"/>
  <c r="L719" i="5"/>
  <c r="J719" i="5" s="1"/>
  <c r="K719" i="5" s="1"/>
  <c r="L762" i="5"/>
  <c r="J762" i="5" s="1"/>
  <c r="K762" i="5" s="1"/>
  <c r="L808" i="5"/>
  <c r="M808" i="5" s="1"/>
  <c r="L840" i="5"/>
  <c r="L872" i="5"/>
  <c r="M872" i="5" s="1"/>
  <c r="L904" i="5"/>
  <c r="M904" i="5" s="1"/>
  <c r="L936" i="5"/>
  <c r="J936" i="5" s="1"/>
  <c r="K936" i="5" s="1"/>
  <c r="L965" i="5"/>
  <c r="J965" i="5" s="1"/>
  <c r="K965" i="5" s="1"/>
  <c r="L981" i="5"/>
  <c r="J981" i="5" s="1"/>
  <c r="K981" i="5" s="1"/>
  <c r="L997" i="5"/>
  <c r="J997" i="5" s="1"/>
  <c r="K997" i="5" s="1"/>
  <c r="L1023" i="5"/>
  <c r="J1023" i="5" s="1"/>
  <c r="K1023" i="5" s="1"/>
  <c r="L945" i="5"/>
  <c r="M945" i="5" s="1"/>
  <c r="L802" i="5"/>
  <c r="M802" i="5" s="1"/>
  <c r="L942" i="5"/>
  <c r="J942" i="5" s="1"/>
  <c r="K942" i="5" s="1"/>
  <c r="L774" i="5"/>
  <c r="J774" i="5" s="1"/>
  <c r="K774" i="5" s="1"/>
  <c r="L862" i="5"/>
  <c r="L926" i="5"/>
  <c r="L964" i="5"/>
  <c r="M964" i="5" s="1"/>
  <c r="L996" i="5"/>
  <c r="M996" i="5" s="1"/>
  <c r="L1022" i="5"/>
  <c r="L778" i="5"/>
  <c r="J778" i="5" s="1"/>
  <c r="K778" i="5" s="1"/>
  <c r="L944" i="5"/>
  <c r="J944" i="5" s="1"/>
  <c r="K944" i="5" s="1"/>
  <c r="L1051" i="5"/>
  <c r="L772" i="5"/>
  <c r="L804" i="5"/>
  <c r="M804" i="5" s="1"/>
  <c r="L980" i="5"/>
  <c r="M980" i="5" s="1"/>
  <c r="L940" i="5"/>
  <c r="L132" i="5"/>
  <c r="M132" i="5" s="1"/>
  <c r="L236" i="5"/>
  <c r="M236" i="5" s="1"/>
  <c r="L338" i="5"/>
  <c r="L410" i="5"/>
  <c r="L498" i="5"/>
  <c r="M498" i="5" s="1"/>
  <c r="L668" i="5"/>
  <c r="M668" i="5" s="1"/>
  <c r="L59" i="5"/>
  <c r="J59" i="5" s="1"/>
  <c r="K59" i="5" s="1"/>
  <c r="L352" i="5"/>
  <c r="L230" i="5"/>
  <c r="M230" i="5" s="1"/>
  <c r="L324" i="5"/>
  <c r="M324" i="5" s="1"/>
  <c r="L202" i="5"/>
  <c r="M202" i="5" s="1"/>
  <c r="L227" i="5"/>
  <c r="J227" i="5" s="1"/>
  <c r="K227" i="5" s="1"/>
  <c r="L178" i="5"/>
  <c r="L345" i="5"/>
  <c r="J345" i="5" s="1"/>
  <c r="K345" i="5" s="1"/>
  <c r="L877" i="5"/>
  <c r="M877" i="5" s="1"/>
  <c r="L823" i="5"/>
  <c r="M823" i="5" s="1"/>
  <c r="L160" i="5"/>
  <c r="M160" i="5" s="1"/>
  <c r="L136" i="5"/>
  <c r="L27" i="5"/>
  <c r="J27" i="5" s="1"/>
  <c r="K27" i="5" s="1"/>
  <c r="L46" i="5"/>
  <c r="L85" i="5"/>
  <c r="M85" i="5" s="1"/>
  <c r="L75" i="5"/>
  <c r="M75" i="5" s="1"/>
  <c r="L183" i="5"/>
  <c r="M183" i="5" s="1"/>
  <c r="L287" i="5"/>
  <c r="J287" i="5" s="1"/>
  <c r="K287" i="5" s="1"/>
  <c r="L335" i="5"/>
  <c r="L108" i="5"/>
  <c r="L76" i="5"/>
  <c r="L205" i="5"/>
  <c r="J205" i="5" s="1"/>
  <c r="K205" i="5" s="1"/>
  <c r="L3" i="5"/>
  <c r="M3" i="5" s="1"/>
  <c r="L102" i="5"/>
  <c r="L383" i="5"/>
  <c r="M383" i="5" s="1"/>
  <c r="L464" i="5"/>
  <c r="M464" i="5" s="1"/>
  <c r="L315" i="5"/>
  <c r="L429" i="5"/>
  <c r="J429" i="5" s="1"/>
  <c r="K429" i="5" s="1"/>
  <c r="L251" i="5"/>
  <c r="L468" i="5"/>
  <c r="M468" i="5" s="1"/>
  <c r="L449" i="5"/>
  <c r="M449" i="5" s="1"/>
  <c r="L549" i="5"/>
  <c r="M549" i="5" s="1"/>
  <c r="L424" i="5"/>
  <c r="J424" i="5" s="1"/>
  <c r="K424" i="5" s="1"/>
  <c r="L412" i="5"/>
  <c r="L476" i="5"/>
  <c r="M476" i="5" s="1"/>
  <c r="L457" i="5"/>
  <c r="L565" i="5"/>
  <c r="M565" i="5" s="1"/>
  <c r="L613" i="5"/>
  <c r="M613" i="5" s="1"/>
  <c r="L555" i="5"/>
  <c r="M555" i="5" s="1"/>
  <c r="L576" i="5"/>
  <c r="J576" i="5" s="1"/>
  <c r="K576" i="5" s="1"/>
  <c r="L659" i="5"/>
  <c r="L323" i="5"/>
  <c r="J323" i="5" s="1"/>
  <c r="K323" i="5" s="1"/>
  <c r="L363" i="5"/>
  <c r="L592" i="5"/>
  <c r="J592" i="5" s="1"/>
  <c r="K592" i="5" s="1"/>
  <c r="L628" i="5"/>
  <c r="M628" i="5" s="1"/>
  <c r="L686" i="5"/>
  <c r="J686" i="5" s="1"/>
  <c r="K686" i="5" s="1"/>
  <c r="L726" i="5"/>
  <c r="L690" i="5"/>
  <c r="J690" i="5" s="1"/>
  <c r="K690" i="5" s="1"/>
  <c r="L671" i="5"/>
  <c r="L812" i="5"/>
  <c r="M812" i="5" s="1"/>
  <c r="L844" i="5"/>
  <c r="M844" i="5" s="1"/>
  <c r="L876" i="5"/>
  <c r="M876" i="5" s="1"/>
  <c r="L908" i="5"/>
  <c r="M908" i="5" s="1"/>
  <c r="L691" i="5"/>
  <c r="M691" i="5" s="1"/>
  <c r="L790" i="5"/>
  <c r="L870" i="5"/>
  <c r="M870" i="5" s="1"/>
  <c r="L938" i="5"/>
  <c r="L967" i="5"/>
  <c r="J967" i="5" s="1"/>
  <c r="K967" i="5" s="1"/>
  <c r="L983" i="5"/>
  <c r="M983" i="5" s="1"/>
  <c r="L999" i="5"/>
  <c r="M999" i="5" s="1"/>
  <c r="L1030" i="5"/>
  <c r="J1030" i="5" s="1"/>
  <c r="K1030" i="5" s="1"/>
  <c r="L934" i="5"/>
  <c r="L814" i="5"/>
  <c r="M814" i="5" s="1"/>
  <c r="L882" i="5"/>
  <c r="L810" i="5"/>
  <c r="L713" i="5"/>
  <c r="M713" i="5" s="1"/>
  <c r="L806" i="5"/>
  <c r="L878" i="5"/>
  <c r="M878" i="5" s="1"/>
  <c r="L937" i="5"/>
  <c r="L966" i="5"/>
  <c r="L982" i="5"/>
  <c r="L998" i="5"/>
  <c r="M998" i="5" s="1"/>
  <c r="L1024" i="5"/>
  <c r="J1024" i="5" s="1"/>
  <c r="K1024" i="5" s="1"/>
  <c r="L950" i="5"/>
  <c r="L786" i="5"/>
  <c r="J786" i="5" s="1"/>
  <c r="K786" i="5" s="1"/>
  <c r="L782" i="5"/>
  <c r="L874" i="5"/>
  <c r="L946" i="5"/>
  <c r="L796" i="5"/>
  <c r="M796" i="5" s="1"/>
  <c r="L988" i="5"/>
  <c r="L148" i="5"/>
  <c r="L244" i="5"/>
  <c r="L346" i="5"/>
  <c r="M346" i="5" s="1"/>
  <c r="L418" i="5"/>
  <c r="M418" i="5" s="1"/>
  <c r="L538" i="5"/>
  <c r="L676" i="5"/>
  <c r="M676" i="5" s="1"/>
  <c r="L97" i="5"/>
  <c r="L65" i="5"/>
  <c r="M65" i="5" s="1"/>
  <c r="L310" i="5"/>
  <c r="M310" i="5" s="1"/>
  <c r="L369" i="5"/>
  <c r="J369" i="5" s="1"/>
  <c r="K369" i="5" s="1"/>
  <c r="L181" i="5"/>
  <c r="M181" i="5" s="1"/>
  <c r="L348" i="5"/>
  <c r="L261" i="5"/>
  <c r="M261" i="5" s="1"/>
  <c r="L357" i="5"/>
  <c r="L253" i="5"/>
  <c r="M253" i="5" s="1"/>
  <c r="L38" i="5"/>
  <c r="L242" i="5"/>
  <c r="M242" i="5" s="1"/>
  <c r="L385" i="5"/>
  <c r="J385" i="5" s="1"/>
  <c r="K385" i="5" s="1"/>
  <c r="L182" i="5"/>
  <c r="L95" i="5"/>
  <c r="M95" i="5" s="1"/>
  <c r="L356" i="5"/>
  <c r="L590" i="5"/>
  <c r="L1011" i="5"/>
  <c r="M1011" i="5" s="1"/>
  <c r="L771" i="5"/>
  <c r="J771" i="5" s="1"/>
  <c r="K771" i="5" s="1"/>
  <c r="L437" i="5"/>
  <c r="M437" i="5" s="1"/>
  <c r="L16" i="5"/>
  <c r="L254" i="5"/>
  <c r="L333" i="5"/>
  <c r="L397" i="5"/>
  <c r="J397" i="5" s="1"/>
  <c r="K397" i="5" s="1"/>
  <c r="L707" i="5"/>
  <c r="M707" i="5" s="1"/>
  <c r="L575" i="5"/>
  <c r="L835" i="5"/>
  <c r="J835" i="5" s="1"/>
  <c r="K835" i="5" s="1"/>
  <c r="L947" i="5"/>
  <c r="L775" i="5"/>
  <c r="M775" i="5" s="1"/>
  <c r="L879" i="5"/>
  <c r="L845" i="5"/>
  <c r="J845" i="5" s="1"/>
  <c r="K845" i="5" s="1"/>
  <c r="L596" i="5"/>
  <c r="M596" i="5" s="1"/>
  <c r="L653" i="5"/>
  <c r="L791" i="5"/>
  <c r="M791" i="5" s="1"/>
  <c r="L919" i="5"/>
  <c r="L234" i="5"/>
  <c r="M234" i="5" s="1"/>
  <c r="L553" i="5"/>
  <c r="L767" i="5"/>
  <c r="J767" i="5" s="1"/>
  <c r="K767" i="5" s="1"/>
  <c r="L527" i="5"/>
  <c r="M527" i="5" s="1"/>
  <c r="L588" i="5"/>
  <c r="L353" i="5"/>
  <c r="J353" i="5" s="1"/>
  <c r="K353" i="5" s="1"/>
  <c r="L623" i="5"/>
  <c r="J623" i="5" s="1"/>
  <c r="K623" i="5" s="1"/>
  <c r="L793" i="5"/>
  <c r="M793" i="5" s="1"/>
  <c r="L162" i="5"/>
  <c r="L585" i="5"/>
  <c r="M585" i="5" s="1"/>
  <c r="L1057" i="5"/>
  <c r="L1116" i="5"/>
  <c r="J1116" i="5" s="1"/>
  <c r="K1116" i="5" s="1"/>
  <c r="L632" i="5"/>
  <c r="M632" i="5" s="1"/>
  <c r="L851" i="5"/>
  <c r="L949" i="5"/>
  <c r="M949" i="5" s="1"/>
  <c r="L656" i="5"/>
  <c r="L536" i="5"/>
  <c r="J536" i="5" s="1"/>
  <c r="K536" i="5" s="1"/>
  <c r="L661" i="5"/>
  <c r="L792" i="5"/>
  <c r="M792" i="5" s="1"/>
  <c r="L895" i="5"/>
  <c r="J895" i="5" s="1"/>
  <c r="K895" i="5" s="1"/>
  <c r="L572" i="5"/>
  <c r="L697" i="5"/>
  <c r="M697" i="5" s="1"/>
  <c r="L861" i="5"/>
  <c r="L534" i="5"/>
  <c r="J534" i="5" s="1"/>
  <c r="K534" i="5" s="1"/>
  <c r="L702" i="5"/>
  <c r="L631" i="5"/>
  <c r="M631" i="5" s="1"/>
  <c r="L777" i="5"/>
  <c r="M777" i="5" s="1"/>
  <c r="L736" i="5"/>
  <c r="L821" i="5"/>
  <c r="L953" i="5"/>
  <c r="M953" i="5" s="1"/>
  <c r="L501" i="5"/>
  <c r="L681" i="5"/>
  <c r="L51" i="5"/>
  <c r="L87" i="5"/>
  <c r="M87" i="5" s="1"/>
  <c r="L71" i="5"/>
  <c r="L222" i="5"/>
  <c r="M222" i="5" s="1"/>
  <c r="L279" i="5"/>
  <c r="L179" i="5"/>
  <c r="M179" i="5" s="1"/>
  <c r="L8" i="5"/>
  <c r="L14" i="5"/>
  <c r="J14" i="5" s="1"/>
  <c r="K14" i="5" s="1"/>
  <c r="L499" i="5"/>
  <c r="L213" i="5"/>
  <c r="L519" i="5"/>
  <c r="L203" i="5"/>
  <c r="L64" i="5"/>
  <c r="L340" i="5"/>
  <c r="J340" i="5" s="1"/>
  <c r="K340" i="5" s="1"/>
  <c r="L206" i="5"/>
  <c r="L510" i="5"/>
  <c r="L727" i="5"/>
  <c r="M727" i="5" s="1"/>
  <c r="L547" i="5"/>
  <c r="L781" i="5"/>
  <c r="J781" i="5" s="1"/>
  <c r="K781" i="5" s="1"/>
  <c r="L422" i="5"/>
  <c r="L505" i="5"/>
  <c r="L694" i="5"/>
  <c r="M694" i="5" s="1"/>
  <c r="L556" i="5"/>
  <c r="L563" i="5"/>
  <c r="M563" i="5" s="1"/>
  <c r="L625" i="5"/>
  <c r="L391" i="5"/>
  <c r="M391" i="5" s="1"/>
  <c r="L800" i="5"/>
  <c r="L214" i="5"/>
  <c r="M214" i="5" s="1"/>
  <c r="L404" i="5"/>
  <c r="L1065" i="5"/>
  <c r="L1134" i="5"/>
  <c r="M1134" i="5" s="1"/>
  <c r="L1118" i="5"/>
  <c r="M1118" i="5" s="1"/>
  <c r="L1080" i="5"/>
  <c r="M1080" i="5" s="1"/>
  <c r="L689" i="5"/>
  <c r="M689" i="5" s="1"/>
  <c r="L883" i="5"/>
  <c r="J883" i="5" s="1"/>
  <c r="K883" i="5" s="1"/>
  <c r="L595" i="5"/>
  <c r="L666" i="5"/>
  <c r="M666" i="5" s="1"/>
  <c r="L807" i="5"/>
  <c r="L927" i="5"/>
  <c r="J927" i="5" s="1"/>
  <c r="K927" i="5" s="1"/>
  <c r="L580" i="5"/>
  <c r="L893" i="5"/>
  <c r="M893" i="5" s="1"/>
  <c r="L475" i="5"/>
  <c r="M475" i="5" s="1"/>
  <c r="L750" i="5"/>
  <c r="L839" i="5"/>
  <c r="L1034" i="5"/>
  <c r="L11" i="5"/>
  <c r="L289" i="5"/>
  <c r="J289" i="5" s="1"/>
  <c r="K289" i="5" s="1"/>
  <c r="L68" i="5"/>
  <c r="L783" i="5"/>
  <c r="J783" i="5" s="1"/>
  <c r="K783" i="5" s="1"/>
  <c r="L841" i="5"/>
  <c r="M841" i="5" s="1"/>
  <c r="L542" i="5"/>
  <c r="L708" i="5"/>
  <c r="L646" i="5"/>
  <c r="M646" i="5" s="1"/>
  <c r="L15" i="5"/>
  <c r="M15" i="5" s="1"/>
  <c r="L897" i="5"/>
  <c r="L285" i="5"/>
  <c r="J285" i="5" s="1"/>
  <c r="K285" i="5" s="1"/>
  <c r="L561" i="5"/>
  <c r="M561" i="5" s="1"/>
  <c r="L1052" i="5"/>
  <c r="L540" i="5"/>
  <c r="M540" i="5" s="1"/>
  <c r="L1119" i="5"/>
  <c r="M1119" i="5" s="1"/>
  <c r="L1173" i="5"/>
  <c r="J1173" i="5" s="1"/>
  <c r="K1173" i="5" s="1"/>
  <c r="L1096" i="5"/>
  <c r="M1096" i="5" s="1"/>
  <c r="L899" i="5"/>
  <c r="M899" i="5" s="1"/>
  <c r="L739" i="5"/>
  <c r="L813" i="5"/>
  <c r="M813" i="5" s="1"/>
  <c r="L1018" i="5"/>
  <c r="J1018" i="5" s="1"/>
  <c r="K1018" i="5" s="1"/>
  <c r="L479" i="5"/>
  <c r="M479" i="5" s="1"/>
  <c r="L607" i="5"/>
  <c r="M607" i="5" s="1"/>
  <c r="L723" i="5"/>
  <c r="M723" i="5" s="1"/>
  <c r="L909" i="5"/>
  <c r="M909" i="5" s="1"/>
  <c r="L487" i="5"/>
  <c r="M487" i="5" s="1"/>
  <c r="L662" i="5"/>
  <c r="J662" i="5" s="1"/>
  <c r="K662" i="5" s="1"/>
  <c r="L755" i="5"/>
  <c r="M755" i="5" s="1"/>
  <c r="L855" i="5"/>
  <c r="M855" i="5" s="1"/>
  <c r="L1043" i="5"/>
  <c r="J1043" i="5" s="1"/>
  <c r="K1043" i="5" s="1"/>
  <c r="L545" i="5"/>
  <c r="M545" i="5" s="1"/>
  <c r="L705" i="5"/>
  <c r="M705" i="5" s="1"/>
  <c r="L138" i="5"/>
  <c r="M138" i="5" s="1"/>
  <c r="L113" i="5"/>
  <c r="L312" i="5"/>
  <c r="M312" i="5" s="1"/>
  <c r="L133" i="5"/>
  <c r="M133" i="5" s="1"/>
  <c r="L60" i="5"/>
  <c r="M60" i="5" s="1"/>
  <c r="L274" i="5"/>
  <c r="M274" i="5" s="1"/>
  <c r="L568" i="5"/>
  <c r="J568" i="5" s="1"/>
  <c r="K568" i="5" s="1"/>
  <c r="L186" i="5"/>
  <c r="M186" i="5" s="1"/>
  <c r="L453" i="5"/>
  <c r="J453" i="5" s="1"/>
  <c r="K453" i="5" s="1"/>
  <c r="L344" i="5"/>
  <c r="M344" i="5" s="1"/>
  <c r="L566" i="5"/>
  <c r="M566" i="5" s="1"/>
  <c r="L853" i="5"/>
  <c r="M853" i="5" s="1"/>
  <c r="L558" i="5"/>
  <c r="L873" i="5"/>
  <c r="L334" i="5"/>
  <c r="M334" i="5" s="1"/>
  <c r="L673" i="5"/>
  <c r="J673" i="5" s="1"/>
  <c r="K673" i="5" s="1"/>
  <c r="L753" i="5"/>
  <c r="M753" i="5" s="1"/>
  <c r="L34" i="5"/>
  <c r="M34" i="5" s="1"/>
  <c r="L98" i="5"/>
  <c r="M98" i="5" s="1"/>
  <c r="L785" i="5"/>
  <c r="M785" i="5" s="1"/>
  <c r="L209" i="5"/>
  <c r="J209" i="5" s="1"/>
  <c r="K209" i="5" s="1"/>
  <c r="L518" i="5"/>
  <c r="M518" i="5" s="1"/>
  <c r="L1098" i="5"/>
  <c r="L1084" i="5"/>
  <c r="L321" i="5"/>
  <c r="L396" i="5"/>
  <c r="M396" i="5" s="1"/>
  <c r="L175" i="5"/>
  <c r="M175" i="5" s="1"/>
  <c r="L741" i="5"/>
  <c r="J741" i="5" s="1"/>
  <c r="K741" i="5" s="1"/>
  <c r="L915" i="5"/>
  <c r="M915" i="5" s="1"/>
  <c r="L513" i="5"/>
  <c r="L639" i="5"/>
  <c r="M639" i="5" s="1"/>
  <c r="L725" i="5"/>
  <c r="L831" i="5"/>
  <c r="M831" i="5" s="1"/>
  <c r="L1027" i="5"/>
  <c r="M1027" i="5" s="1"/>
  <c r="L609" i="5"/>
  <c r="J609" i="5" s="1"/>
  <c r="K609" i="5" s="1"/>
  <c r="L742" i="5"/>
  <c r="L925" i="5"/>
  <c r="J925" i="5" s="1"/>
  <c r="K925" i="5" s="1"/>
  <c r="L485" i="5"/>
  <c r="M485" i="5" s="1"/>
  <c r="L761" i="5"/>
  <c r="J761" i="5" s="1"/>
  <c r="K761" i="5" s="1"/>
  <c r="L871" i="5"/>
  <c r="M871" i="5" s="1"/>
  <c r="L161" i="5"/>
  <c r="L23" i="5"/>
  <c r="M23" i="5" s="1"/>
  <c r="L304" i="5"/>
  <c r="L81" i="5"/>
  <c r="L308" i="5"/>
  <c r="L619" i="5"/>
  <c r="M619" i="5" s="1"/>
  <c r="L875" i="5"/>
  <c r="L637" i="5"/>
  <c r="L654" i="5"/>
  <c r="M654" i="5" s="1"/>
  <c r="L643" i="5"/>
  <c r="L191" i="5"/>
  <c r="M191" i="5" s="1"/>
  <c r="L215" i="5"/>
  <c r="L70" i="5"/>
  <c r="J70" i="5" s="1"/>
  <c r="K70" i="5" s="1"/>
  <c r="L167" i="5"/>
  <c r="M167" i="5" s="1"/>
  <c r="L951" i="5"/>
  <c r="M951" i="5" s="1"/>
  <c r="L438" i="5"/>
  <c r="L523" i="5"/>
  <c r="M523" i="5" s="1"/>
  <c r="L1106" i="5"/>
  <c r="L1089" i="5"/>
  <c r="L1144" i="5"/>
  <c r="M1144" i="5" s="1"/>
  <c r="L757" i="5"/>
  <c r="M757" i="5" s="1"/>
  <c r="L328" i="5"/>
  <c r="L506" i="5"/>
  <c r="L54" i="5"/>
  <c r="L262" i="5"/>
  <c r="M262" i="5" s="1"/>
  <c r="L377" i="5"/>
  <c r="L223" i="5"/>
  <c r="M223" i="5" s="1"/>
  <c r="L300" i="5"/>
  <c r="M300" i="5" s="1"/>
  <c r="L373" i="5"/>
  <c r="J373" i="5" s="1"/>
  <c r="K373" i="5" s="1"/>
  <c r="L634" i="5"/>
  <c r="J634" i="5" s="1"/>
  <c r="K634" i="5" s="1"/>
  <c r="L533" i="5"/>
  <c r="L615" i="5"/>
  <c r="M615" i="5" s="1"/>
  <c r="L799" i="5"/>
  <c r="L931" i="5"/>
  <c r="J931" i="5" s="1"/>
  <c r="K931" i="5" s="1"/>
  <c r="L584" i="5"/>
  <c r="M584" i="5" s="1"/>
  <c r="L467" i="5"/>
  <c r="L737" i="5"/>
  <c r="L847" i="5"/>
  <c r="J847" i="5" s="1"/>
  <c r="K847" i="5" s="1"/>
  <c r="L1050" i="5"/>
  <c r="L491" i="5"/>
  <c r="M491" i="5" s="1"/>
  <c r="L611" i="5"/>
  <c r="L779" i="5"/>
  <c r="L943" i="5"/>
  <c r="M943" i="5" s="1"/>
  <c r="L648" i="5"/>
  <c r="M648" i="5" s="1"/>
  <c r="L507" i="5"/>
  <c r="L688" i="5"/>
  <c r="M688" i="5" s="1"/>
  <c r="L539" i="5"/>
  <c r="M539" i="5" s="1"/>
  <c r="L776" i="5"/>
  <c r="L887" i="5"/>
  <c r="M887" i="5" s="1"/>
  <c r="L743" i="5"/>
  <c r="L218" i="5"/>
  <c r="L526" i="5"/>
  <c r="M526" i="5" s="1"/>
  <c r="L393" i="5"/>
  <c r="L235" i="5"/>
  <c r="J235" i="5" s="1"/>
  <c r="K235" i="5" s="1"/>
  <c r="L84" i="5"/>
  <c r="L649" i="5"/>
  <c r="M649" i="5" s="1"/>
  <c r="L86" i="5"/>
  <c r="L492" i="5"/>
  <c r="M492" i="5" s="1"/>
  <c r="L364" i="5"/>
  <c r="M364" i="5" s="1"/>
  <c r="L294" i="5"/>
  <c r="M294" i="5" s="1"/>
  <c r="L593" i="5"/>
  <c r="L885" i="5"/>
  <c r="J885" i="5" s="1"/>
  <c r="K885" i="5" s="1"/>
  <c r="L680" i="5"/>
  <c r="L698" i="5"/>
  <c r="L430" i="5"/>
  <c r="L795" i="5"/>
  <c r="M795" i="5" s="1"/>
  <c r="L803" i="5"/>
  <c r="M803" i="5" s="1"/>
  <c r="L96" i="5"/>
  <c r="J96" i="5" s="1"/>
  <c r="K96" i="5" s="1"/>
  <c r="L278" i="5"/>
  <c r="J278" i="5" s="1"/>
  <c r="K278" i="5" s="1"/>
  <c r="L454" i="5"/>
  <c r="J454" i="5" s="1"/>
  <c r="K454" i="5" s="1"/>
  <c r="L1103" i="5"/>
  <c r="J1103" i="5" s="1"/>
  <c r="K1103" i="5" s="1"/>
  <c r="L1148" i="5"/>
  <c r="J1148" i="5" s="1"/>
  <c r="K1148" i="5" s="1"/>
  <c r="L1060" i="5"/>
  <c r="L1072" i="5"/>
  <c r="J1072" i="5" s="1"/>
  <c r="K1072" i="5" s="1"/>
  <c r="L92" i="5"/>
  <c r="J92" i="5" s="1"/>
  <c r="K92" i="5" s="1"/>
  <c r="L196" i="5"/>
  <c r="J196" i="5" s="1"/>
  <c r="K196" i="5" s="1"/>
  <c r="L284" i="5"/>
  <c r="J284" i="5" s="1"/>
  <c r="K284" i="5" s="1"/>
  <c r="L298" i="5"/>
  <c r="J298" i="5" s="1"/>
  <c r="K298" i="5" s="1"/>
  <c r="L362" i="5"/>
  <c r="J362" i="5" s="1"/>
  <c r="K362" i="5" s="1"/>
  <c r="L426" i="5"/>
  <c r="J426" i="5" s="1"/>
  <c r="K426" i="5" s="1"/>
  <c r="L522" i="5"/>
  <c r="L652" i="5"/>
  <c r="J652" i="5" s="1"/>
  <c r="K652" i="5" s="1"/>
  <c r="L764" i="5"/>
  <c r="J764" i="5" s="1"/>
  <c r="K764" i="5" s="1"/>
  <c r="L158" i="5"/>
  <c r="L145" i="5"/>
  <c r="L250" i="5"/>
  <c r="L316" i="5"/>
  <c r="L365" i="5"/>
  <c r="L31" i="5"/>
  <c r="J31" i="5" s="1"/>
  <c r="K31" i="5" s="1"/>
  <c r="L146" i="5"/>
  <c r="J146" i="5" s="1"/>
  <c r="K146" i="5" s="1"/>
  <c r="L277" i="5"/>
  <c r="L442" i="5"/>
  <c r="J442" i="5" s="1"/>
  <c r="K442" i="5" s="1"/>
  <c r="L255" i="5"/>
  <c r="L56" i="5"/>
  <c r="L229" i="5"/>
  <c r="L332" i="5"/>
  <c r="J332" i="5" s="1"/>
  <c r="K332" i="5" s="1"/>
  <c r="L69" i="5"/>
  <c r="J69" i="5" s="1"/>
  <c r="K69" i="5" s="1"/>
  <c r="L128" i="5"/>
  <c r="L264" i="5"/>
  <c r="L387" i="5"/>
  <c r="J387" i="5" s="1"/>
  <c r="K387" i="5" s="1"/>
  <c r="L243" i="5"/>
  <c r="L302" i="5"/>
  <c r="L379" i="5"/>
  <c r="J379" i="5" s="1"/>
  <c r="K379" i="5" s="1"/>
  <c r="L670" i="5"/>
  <c r="L571" i="5"/>
  <c r="J571" i="5" s="1"/>
  <c r="K571" i="5" s="1"/>
  <c r="L627" i="5"/>
  <c r="L815" i="5"/>
  <c r="L933" i="5"/>
  <c r="L531" i="5"/>
  <c r="J531" i="5" s="1"/>
  <c r="K531" i="5" s="1"/>
  <c r="L641" i="5"/>
  <c r="L769" i="5"/>
  <c r="L863" i="5"/>
  <c r="L520" i="5"/>
  <c r="L616" i="5"/>
  <c r="L829" i="5"/>
  <c r="L1025" i="5"/>
  <c r="L650" i="5"/>
  <c r="J650" i="5" s="1"/>
  <c r="K650" i="5" s="1"/>
  <c r="L564" i="5"/>
  <c r="L709" i="5"/>
  <c r="J709" i="5" s="1"/>
  <c r="K709" i="5" s="1"/>
  <c r="L594" i="5"/>
  <c r="L617" i="5"/>
  <c r="L789" i="5"/>
  <c r="L903" i="5"/>
  <c r="L665" i="5"/>
  <c r="J665" i="5" s="1"/>
  <c r="K665" i="5" s="1"/>
  <c r="L6" i="5"/>
  <c r="J6" i="5" s="1"/>
  <c r="K6" i="5" s="1"/>
  <c r="L47" i="5"/>
  <c r="L153" i="5"/>
  <c r="L114" i="5"/>
  <c r="J114" i="5" s="1"/>
  <c r="K114" i="5" s="1"/>
  <c r="L122" i="5"/>
  <c r="J122" i="5" s="1"/>
  <c r="K122" i="5" s="1"/>
  <c r="L401" i="5"/>
  <c r="J401" i="5" s="1"/>
  <c r="K401" i="5" s="1"/>
  <c r="L187" i="5"/>
  <c r="L502" i="5"/>
  <c r="L103" i="5"/>
  <c r="L421" i="5"/>
  <c r="J421" i="5" s="1"/>
  <c r="K421" i="5" s="1"/>
  <c r="L194" i="5"/>
  <c r="M194" i="5" s="1"/>
  <c r="L238" i="5"/>
  <c r="M238" i="5" s="1"/>
  <c r="L320" i="5"/>
  <c r="M320" i="5" s="1"/>
  <c r="L154" i="5"/>
  <c r="M154" i="5" s="1"/>
  <c r="L423" i="5"/>
  <c r="J423" i="5" s="1"/>
  <c r="K423" i="5" s="1"/>
  <c r="L411" i="5"/>
  <c r="M411" i="5" s="1"/>
  <c r="L541" i="5"/>
  <c r="J541" i="5" s="1"/>
  <c r="K541" i="5" s="1"/>
  <c r="L672" i="5"/>
  <c r="J672" i="5" s="1"/>
  <c r="K672" i="5" s="1"/>
  <c r="L350" i="5"/>
  <c r="J350" i="5" s="1"/>
  <c r="K350" i="5" s="1"/>
  <c r="L730" i="5"/>
  <c r="M730" i="5" s="1"/>
  <c r="L486" i="5"/>
  <c r="J486" i="5" s="1"/>
  <c r="K486" i="5" s="1"/>
  <c r="L704" i="5"/>
  <c r="J704" i="5" s="1"/>
  <c r="K704" i="5" s="1"/>
  <c r="L515" i="5"/>
  <c r="M515" i="5" s="1"/>
  <c r="L891" i="5"/>
  <c r="J891" i="5" s="1"/>
  <c r="K891" i="5" s="1"/>
  <c r="L758" i="5"/>
  <c r="J758" i="5" s="1"/>
  <c r="K758" i="5" s="1"/>
  <c r="L380" i="5"/>
  <c r="J380" i="5" s="1"/>
  <c r="K380" i="5" s="1"/>
  <c r="L889" i="5"/>
  <c r="M889" i="5" s="1"/>
  <c r="L199" i="5"/>
  <c r="J199" i="5" s="1"/>
  <c r="K199" i="5" s="1"/>
  <c r="L446" i="5"/>
  <c r="M446" i="5" s="1"/>
  <c r="L1111" i="5"/>
  <c r="J1111" i="5" s="1"/>
  <c r="K1111" i="5" s="1"/>
  <c r="L1156" i="5"/>
  <c r="J1156" i="5" s="1"/>
  <c r="K1156" i="5" s="1"/>
  <c r="L1063" i="5"/>
  <c r="J1063" i="5" s="1"/>
  <c r="K1063" i="5" s="1"/>
  <c r="L301" i="5"/>
  <c r="M301" i="5" s="1"/>
  <c r="L100" i="5"/>
  <c r="M100" i="5" s="1"/>
  <c r="L297" i="5"/>
  <c r="M297" i="5" s="1"/>
  <c r="L809" i="5"/>
  <c r="M809" i="5" s="1"/>
  <c r="L1021" i="5"/>
  <c r="M1021" i="5" s="1"/>
  <c r="L494" i="5"/>
  <c r="M494" i="5" s="1"/>
  <c r="L247" i="5"/>
  <c r="M247" i="5" s="1"/>
  <c r="L361" i="5"/>
  <c r="M361" i="5" s="1"/>
  <c r="L833" i="5"/>
  <c r="M833" i="5" s="1"/>
  <c r="L231" i="5"/>
  <c r="J231" i="5" s="1"/>
  <c r="K231" i="5" s="1"/>
  <c r="L827" i="5"/>
  <c r="M827" i="5" s="1"/>
  <c r="L669" i="5"/>
  <c r="M669" i="5" s="1"/>
  <c r="L524" i="5"/>
  <c r="J524" i="5" s="1"/>
  <c r="K524" i="5" s="1"/>
  <c r="L88" i="5"/>
  <c r="M88" i="5" s="1"/>
  <c r="L559" i="5"/>
  <c r="M559" i="5" s="1"/>
  <c r="L901" i="5"/>
  <c r="M901" i="5" s="1"/>
  <c r="L543" i="5"/>
  <c r="J543" i="5" s="1"/>
  <c r="K543" i="5" s="1"/>
  <c r="L49" i="5"/>
  <c r="M49" i="5" s="1"/>
  <c r="L1114" i="5"/>
  <c r="J1114" i="5" s="1"/>
  <c r="K1114" i="5" s="1"/>
  <c r="L1059" i="5"/>
  <c r="J1059" i="5" s="1"/>
  <c r="K1059" i="5" s="1"/>
  <c r="L1073" i="5"/>
  <c r="J1073" i="5" s="1"/>
  <c r="K1073" i="5" s="1"/>
  <c r="L1130" i="5"/>
  <c r="J1130" i="5" s="1"/>
  <c r="K1130" i="5" s="1"/>
  <c r="L1115" i="5"/>
  <c r="M1115" i="5" s="1"/>
  <c r="L1122" i="5"/>
  <c r="J1122" i="5" s="1"/>
  <c r="K1122" i="5" s="1"/>
  <c r="L1094" i="5"/>
  <c r="J1094" i="5" s="1"/>
  <c r="K1094" i="5" s="1"/>
  <c r="L1158" i="5"/>
  <c r="J1158" i="5" s="1"/>
  <c r="K1158" i="5" s="1"/>
  <c r="L1171" i="5"/>
  <c r="M1171" i="5" s="1"/>
  <c r="L1069" i="5"/>
  <c r="M1069" i="5" s="1"/>
  <c r="L1121" i="5"/>
  <c r="M1121" i="5" s="1"/>
  <c r="L1102" i="5"/>
  <c r="J1102" i="5" s="1"/>
  <c r="K1102" i="5" s="1"/>
  <c r="L1093" i="5"/>
  <c r="J1093" i="5" s="1"/>
  <c r="K1093" i="5" s="1"/>
  <c r="L1109" i="5"/>
  <c r="J1109" i="5" s="1"/>
  <c r="K1109" i="5" s="1"/>
  <c r="L1137" i="5"/>
  <c r="M1137" i="5" s="1"/>
  <c r="L768" i="5"/>
  <c r="J768" i="5" s="1"/>
  <c r="K768" i="5" s="1"/>
  <c r="L368" i="5"/>
  <c r="J368" i="5" s="1"/>
  <c r="K368" i="5" s="1"/>
  <c r="L696" i="5"/>
  <c r="M696" i="5" s="1"/>
  <c r="L137" i="5"/>
  <c r="M137" i="5" s="1"/>
  <c r="L537" i="5"/>
  <c r="M537" i="5" s="1"/>
  <c r="L881" i="5"/>
  <c r="M881" i="5" s="1"/>
  <c r="L325" i="5"/>
  <c r="M325" i="5" s="1"/>
  <c r="L7" i="5"/>
  <c r="M7" i="5" s="1"/>
  <c r="L258" i="5"/>
  <c r="J258" i="5" s="1"/>
  <c r="K258" i="5" s="1"/>
  <c r="L443" i="5"/>
  <c r="J443" i="5" s="1"/>
  <c r="K443" i="5" s="1"/>
  <c r="L905" i="5"/>
  <c r="M905" i="5" s="1"/>
  <c r="L419" i="5"/>
  <c r="J419" i="5" s="1"/>
  <c r="K419" i="5" s="1"/>
  <c r="L282" i="5"/>
  <c r="M282" i="5" s="1"/>
  <c r="L112" i="5"/>
  <c r="J112" i="5" s="1"/>
  <c r="K112" i="5" s="1"/>
  <c r="L746" i="5"/>
  <c r="M746" i="5" s="1"/>
  <c r="L582" i="5"/>
  <c r="J582" i="5" s="1"/>
  <c r="K582" i="5" s="1"/>
  <c r="L342" i="5"/>
  <c r="J342" i="5" s="1"/>
  <c r="K342" i="5" s="1"/>
  <c r="L923" i="5"/>
  <c r="M923" i="5" s="1"/>
  <c r="L550" i="5"/>
  <c r="J550" i="5" s="1"/>
  <c r="K550" i="5" s="1"/>
  <c r="L1058" i="5"/>
  <c r="M1058" i="5" s="1"/>
  <c r="L1055" i="5"/>
  <c r="M1055" i="5" s="1"/>
  <c r="L1067" i="5"/>
  <c r="J1067" i="5" s="1"/>
  <c r="K1067" i="5" s="1"/>
  <c r="L1081" i="5"/>
  <c r="M1081" i="5" s="1"/>
  <c r="L1146" i="5"/>
  <c r="J1146" i="5" s="1"/>
  <c r="K1146" i="5" s="1"/>
  <c r="L1161" i="5"/>
  <c r="M1161" i="5" s="1"/>
  <c r="L1147" i="5"/>
  <c r="J1147" i="5" s="1"/>
  <c r="K1147" i="5" s="1"/>
  <c r="L1064" i="5"/>
  <c r="M1064" i="5" s="1"/>
  <c r="L1104" i="5"/>
  <c r="M1104" i="5" s="1"/>
  <c r="L1172" i="5"/>
  <c r="M1172" i="5" s="1"/>
  <c r="L1077" i="5"/>
  <c r="J1077" i="5" s="1"/>
  <c r="K1077" i="5" s="1"/>
  <c r="L1124" i="5"/>
  <c r="M1124" i="5" s="1"/>
  <c r="L1140" i="5"/>
  <c r="J1140" i="5" s="1"/>
  <c r="K1140" i="5" s="1"/>
  <c r="L1136" i="5"/>
  <c r="J1136" i="5" s="1"/>
  <c r="K1136" i="5" s="1"/>
  <c r="L1108" i="5"/>
  <c r="J1108" i="5" s="1"/>
  <c r="K1108" i="5" s="1"/>
  <c r="L1097" i="5"/>
  <c r="M1097" i="5" s="1"/>
  <c r="L1061" i="5"/>
  <c r="M1061" i="5" s="1"/>
  <c r="L1150" i="5"/>
  <c r="M1150" i="5" s="1"/>
  <c r="L579" i="5"/>
  <c r="J579" i="5" s="1"/>
  <c r="K579" i="5" s="1"/>
  <c r="L26" i="5"/>
  <c r="M26" i="5" s="1"/>
  <c r="L286" i="5"/>
  <c r="M286" i="5" s="1"/>
  <c r="L552" i="5"/>
  <c r="J552" i="5" s="1"/>
  <c r="K552" i="5" s="1"/>
  <c r="L941" i="5"/>
  <c r="L427" i="5"/>
  <c r="L2" i="5"/>
  <c r="L207" i="5"/>
  <c r="L784" i="5"/>
  <c r="L865" i="5"/>
  <c r="L326" i="5"/>
  <c r="L381" i="5"/>
  <c r="L843" i="5"/>
  <c r="L1053" i="5"/>
  <c r="L642" i="5"/>
  <c r="L573" i="5"/>
  <c r="L1066" i="5"/>
  <c r="L1071" i="5"/>
  <c r="L1075" i="5"/>
  <c r="L1139" i="5"/>
  <c r="L1154" i="5"/>
  <c r="L1131" i="5"/>
  <c r="L1174" i="5"/>
  <c r="L1101" i="5"/>
  <c r="L1056" i="5"/>
  <c r="L1120" i="5"/>
  <c r="L1085" i="5"/>
  <c r="L1128" i="5"/>
  <c r="L1152" i="5"/>
  <c r="L1126" i="5"/>
  <c r="L1088" i="5"/>
  <c r="L1165" i="5"/>
  <c r="L1112" i="5"/>
  <c r="L819" i="5"/>
  <c r="M819" i="5" s="1"/>
  <c r="L447" i="5"/>
  <c r="J447" i="5" s="1"/>
  <c r="K447" i="5" s="1"/>
  <c r="L577" i="5"/>
  <c r="M577" i="5" s="1"/>
  <c r="L720" i="5"/>
  <c r="J720" i="5" s="1"/>
  <c r="K720" i="5" s="1"/>
  <c r="L837" i="5"/>
  <c r="J837" i="5" s="1"/>
  <c r="K837" i="5" s="1"/>
  <c r="L544" i="5"/>
  <c r="J544" i="5" s="1"/>
  <c r="K544" i="5" s="1"/>
  <c r="L825" i="5"/>
  <c r="J825" i="5" s="1"/>
  <c r="K825" i="5" s="1"/>
  <c r="L907" i="5"/>
  <c r="J907" i="5" s="1"/>
  <c r="K907" i="5" s="1"/>
  <c r="L913" i="5"/>
  <c r="J913" i="5" s="1"/>
  <c r="K913" i="5" s="1"/>
  <c r="L773" i="5"/>
  <c r="M773" i="5" s="1"/>
  <c r="L1009" i="5"/>
  <c r="J1009" i="5" s="1"/>
  <c r="K1009" i="5" s="1"/>
  <c r="L451" i="5"/>
  <c r="M451" i="5" s="1"/>
  <c r="L849" i="5"/>
  <c r="J849" i="5" s="1"/>
  <c r="K849" i="5" s="1"/>
  <c r="L290" i="5"/>
  <c r="M290" i="5" s="1"/>
  <c r="L633" i="5"/>
  <c r="L139" i="5"/>
  <c r="J139" i="5" s="1"/>
  <c r="K139" i="5" s="1"/>
  <c r="L685" i="5"/>
  <c r="L33" i="5"/>
  <c r="J33" i="5" s="1"/>
  <c r="K33" i="5" s="1"/>
  <c r="L288" i="5"/>
  <c r="L574" i="5"/>
  <c r="L1017" i="5"/>
  <c r="L459" i="5"/>
  <c r="L32" i="5"/>
  <c r="L317" i="5"/>
  <c r="L1020" i="5"/>
  <c r="L10" i="5"/>
  <c r="L640" i="5"/>
  <c r="L83" i="5"/>
  <c r="L225" i="5"/>
  <c r="L414" i="5"/>
  <c r="L1074" i="5"/>
  <c r="L1079" i="5"/>
  <c r="L1083" i="5"/>
  <c r="L1123" i="5"/>
  <c r="L1169" i="5"/>
  <c r="L1162" i="5"/>
  <c r="L1176" i="5"/>
  <c r="L1151" i="5"/>
  <c r="L1132" i="5"/>
  <c r="L1129" i="5"/>
  <c r="L1062" i="5"/>
  <c r="L1125" i="5"/>
  <c r="L1100" i="5"/>
  <c r="L1141" i="5"/>
  <c r="L1170" i="5"/>
  <c r="L1163" i="5"/>
  <c r="L1078" i="5"/>
  <c r="L1142" i="5"/>
  <c r="L1092" i="5"/>
  <c r="L805" i="5"/>
  <c r="L859" i="5"/>
  <c r="L857" i="5"/>
  <c r="L610" i="5"/>
  <c r="L917" i="5"/>
  <c r="L1041" i="5"/>
  <c r="L921" i="5"/>
  <c r="L1033" i="5"/>
  <c r="L489" i="5"/>
  <c r="L462" i="5"/>
  <c r="L929" i="5"/>
  <c r="L193" i="5"/>
  <c r="L657" i="5"/>
  <c r="L246" i="5"/>
  <c r="L714" i="5"/>
  <c r="L50" i="5"/>
  <c r="L624" i="5"/>
  <c r="L39" i="5"/>
  <c r="L395" i="5"/>
  <c r="L376" i="5"/>
  <c r="L152" i="5"/>
  <c r="L94" i="5"/>
  <c r="L935" i="5"/>
  <c r="L143" i="5"/>
  <c r="L195" i="5"/>
  <c r="L463" i="5"/>
  <c r="L471" i="5"/>
  <c r="L1082" i="5"/>
  <c r="L1087" i="5"/>
  <c r="L1091" i="5"/>
  <c r="L1107" i="5"/>
  <c r="L1127" i="5"/>
  <c r="L1177" i="5"/>
  <c r="L1153" i="5"/>
  <c r="L1160" i="5"/>
  <c r="L1068" i="5"/>
  <c r="L1138" i="5"/>
  <c r="L1105" i="5"/>
  <c r="L1149" i="5"/>
  <c r="L1113" i="5"/>
  <c r="L1164" i="5"/>
  <c r="L1167" i="5"/>
  <c r="M1167" i="5" s="1"/>
  <c r="L1117" i="5"/>
  <c r="L664" i="5"/>
  <c r="M664" i="5" s="1"/>
  <c r="L296" i="5"/>
  <c r="M296" i="5" s="1"/>
  <c r="L470" i="5"/>
  <c r="M470" i="5" s="1"/>
  <c r="L869" i="5"/>
  <c r="M869" i="5" s="1"/>
  <c r="L591" i="5"/>
  <c r="L439" i="5"/>
  <c r="M439" i="5" s="1"/>
  <c r="L389" i="5"/>
  <c r="L939" i="5"/>
  <c r="M939" i="5" s="1"/>
  <c r="L415" i="5"/>
  <c r="M415" i="5" s="1"/>
  <c r="L1013" i="5"/>
  <c r="L1049" i="5"/>
  <c r="M1049" i="5" s="1"/>
  <c r="L67" i="5"/>
  <c r="L495" i="5"/>
  <c r="L269" i="5"/>
  <c r="M269" i="5" s="1"/>
  <c r="L677" i="5"/>
  <c r="M677" i="5" s="1"/>
  <c r="L721" i="5"/>
  <c r="M721" i="5" s="1"/>
  <c r="L79" i="5"/>
  <c r="L608" i="5"/>
  <c r="M608" i="5" s="1"/>
  <c r="L658" i="5"/>
  <c r="M658" i="5" s="1"/>
  <c r="L90" i="5"/>
  <c r="L455" i="5"/>
  <c r="L403" i="5"/>
  <c r="L811" i="5"/>
  <c r="M811" i="5" s="1"/>
  <c r="L256" i="5"/>
  <c r="L124" i="5"/>
  <c r="L1037" i="5"/>
  <c r="L211" i="5"/>
  <c r="L431" i="5"/>
  <c r="L516" i="5"/>
  <c r="L478" i="5"/>
  <c r="L1090" i="5"/>
  <c r="L1095" i="5"/>
  <c r="L1099" i="5"/>
  <c r="M1099" i="5" s="1"/>
  <c r="L1143" i="5"/>
  <c r="L1135" i="5"/>
  <c r="M1135" i="5" s="1"/>
  <c r="L1155" i="5"/>
  <c r="M1155" i="5" s="1"/>
  <c r="L1159" i="5"/>
  <c r="M1159" i="5" s="1"/>
  <c r="L1175" i="5"/>
  <c r="M1175" i="5" s="1"/>
  <c r="L1076" i="5"/>
  <c r="L1145" i="5"/>
  <c r="L1110" i="5"/>
  <c r="L1157" i="5"/>
  <c r="M1157" i="5" s="1"/>
  <c r="L1166" i="5"/>
  <c r="L1133" i="5"/>
  <c r="M1133" i="5" s="1"/>
  <c r="L1070" i="5"/>
  <c r="I1169" i="5"/>
  <c r="I1117" i="5"/>
  <c r="I343" i="5"/>
  <c r="I761" i="5"/>
  <c r="Q2336" i="3"/>
  <c r="Q492" i="3"/>
  <c r="P1824" i="3"/>
  <c r="P2081" i="3"/>
  <c r="P655" i="3"/>
  <c r="P2391" i="3"/>
  <c r="Q2382" i="3"/>
  <c r="Q1841" i="3"/>
  <c r="Q2030" i="3"/>
  <c r="Q2029" i="3"/>
  <c r="Q1921" i="3"/>
  <c r="Q509" i="3"/>
  <c r="Q2333" i="3"/>
  <c r="Q1993" i="3"/>
  <c r="Q2103" i="3"/>
  <c r="Q495" i="3"/>
  <c r="P1862" i="3"/>
  <c r="P2031" i="3"/>
  <c r="P723" i="3"/>
  <c r="P1816" i="3"/>
  <c r="P1921" i="3"/>
  <c r="P1818" i="3"/>
  <c r="P1914" i="3"/>
  <c r="P1819" i="3"/>
  <c r="P2147" i="3"/>
  <c r="P2078" i="3"/>
  <c r="I694" i="5"/>
  <c r="I112" i="5"/>
  <c r="I756" i="5"/>
  <c r="I695" i="5"/>
  <c r="P1789" i="3"/>
  <c r="P2150" i="3"/>
  <c r="Q508" i="3"/>
  <c r="Q2104" i="3"/>
  <c r="P1911" i="3"/>
  <c r="P1985" i="3"/>
  <c r="P613" i="3"/>
  <c r="P2143" i="3"/>
  <c r="I363" i="5"/>
  <c r="I743" i="5"/>
  <c r="P682" i="3"/>
  <c r="Q2381" i="3"/>
  <c r="Q1847" i="3"/>
  <c r="Q2036" i="3"/>
  <c r="Q2032" i="3"/>
  <c r="Q1911" i="3"/>
  <c r="Q617" i="3"/>
  <c r="Q504" i="3"/>
  <c r="Q1996" i="3"/>
  <c r="Q2100" i="3"/>
  <c r="Q490" i="3"/>
  <c r="P1797" i="3"/>
  <c r="P1993" i="3"/>
  <c r="P1786" i="3"/>
  <c r="P509" i="3"/>
  <c r="P725" i="3"/>
  <c r="P1910" i="3"/>
  <c r="P727" i="3"/>
  <c r="P1821" i="3"/>
  <c r="I344" i="5"/>
  <c r="I739" i="5"/>
  <c r="I755" i="5"/>
  <c r="I345" i="5"/>
  <c r="P1939" i="3"/>
  <c r="Q1848" i="3"/>
  <c r="P1866" i="3"/>
  <c r="P1792" i="3"/>
  <c r="Q2338" i="3"/>
  <c r="P1997" i="3"/>
  <c r="P1858" i="3"/>
  <c r="P1984" i="3"/>
  <c r="P616" i="3"/>
  <c r="P1845" i="3"/>
  <c r="I738" i="5"/>
  <c r="I362" i="5"/>
  <c r="Q2031" i="3"/>
  <c r="Q1910" i="3"/>
  <c r="Q613" i="3"/>
  <c r="Q2334" i="3"/>
  <c r="Q1998" i="3"/>
  <c r="Q2106" i="3"/>
  <c r="Q494" i="3"/>
  <c r="P1843" i="3"/>
  <c r="P726" i="3"/>
  <c r="P1986" i="3"/>
  <c r="P1883" i="3"/>
  <c r="P1796" i="3"/>
  <c r="P1989" i="3"/>
  <c r="P503" i="3"/>
  <c r="P1841" i="3"/>
  <c r="P1838" i="3"/>
  <c r="I715" i="5"/>
  <c r="I809" i="5"/>
  <c r="I388" i="5"/>
  <c r="P2080" i="3"/>
  <c r="P1820" i="3"/>
  <c r="Q1920" i="3"/>
  <c r="P1837" i="3"/>
  <c r="P2082" i="3"/>
  <c r="Q2033" i="3"/>
  <c r="Q614" i="3"/>
  <c r="Q2107" i="3"/>
  <c r="P506" i="3"/>
  <c r="P731" i="3"/>
  <c r="P652" i="3"/>
  <c r="Q1846" i="3"/>
  <c r="Q1919" i="3"/>
  <c r="Q510" i="3"/>
  <c r="Q1839" i="3"/>
  <c r="Q1837" i="3"/>
  <c r="Q2034" i="3"/>
  <c r="Q1916" i="3"/>
  <c r="Q1914" i="3"/>
  <c r="Q616" i="3"/>
  <c r="Q507" i="3"/>
  <c r="Q2337" i="3"/>
  <c r="Q1995" i="3"/>
  <c r="Q2099" i="3"/>
  <c r="Q493" i="3"/>
  <c r="P1844" i="3"/>
  <c r="P1878" i="3"/>
  <c r="P2036" i="3"/>
  <c r="P1995" i="3"/>
  <c r="P1788" i="3"/>
  <c r="P656" i="3"/>
  <c r="P1790" i="3"/>
  <c r="P1860" i="3"/>
  <c r="P1842" i="3"/>
  <c r="P1857" i="3"/>
  <c r="P504" i="3"/>
  <c r="I404" i="5"/>
  <c r="I144" i="5"/>
  <c r="P2204" i="3"/>
  <c r="P2201" i="3"/>
  <c r="P473" i="3"/>
  <c r="Q2027" i="3"/>
  <c r="P1787" i="3"/>
  <c r="Q1845" i="3"/>
  <c r="Q1913" i="3"/>
  <c r="Q505" i="3"/>
  <c r="P614" i="3"/>
  <c r="P2208" i="3"/>
  <c r="P724" i="3"/>
  <c r="P730" i="3"/>
  <c r="I87" i="5"/>
  <c r="I791" i="5"/>
  <c r="Q1838" i="3"/>
  <c r="Q2028" i="3"/>
  <c r="Q1915" i="3"/>
  <c r="Q1912" i="3"/>
  <c r="Q619" i="3"/>
  <c r="Q503" i="3"/>
  <c r="Q2332" i="3"/>
  <c r="Q1994" i="3"/>
  <c r="Q2102" i="3"/>
  <c r="Q2105" i="3"/>
  <c r="Q491" i="3"/>
  <c r="P505" i="3"/>
  <c r="P619" i="3"/>
  <c r="P617" i="3"/>
  <c r="P2075" i="3"/>
  <c r="P1847" i="3"/>
  <c r="P681" i="3"/>
  <c r="P1885" i="3"/>
  <c r="P469" i="3"/>
  <c r="P2151" i="3"/>
  <c r="P1793" i="3"/>
  <c r="P1839" i="3"/>
  <c r="P1822" i="3"/>
  <c r="I160" i="5"/>
  <c r="I928" i="5"/>
  <c r="P728" i="3"/>
  <c r="P1861" i="3"/>
  <c r="Q1918" i="3"/>
  <c r="Q1992" i="3"/>
  <c r="P1817" i="3"/>
  <c r="P1987" i="3"/>
  <c r="Q1842" i="3"/>
  <c r="Q1997" i="3"/>
  <c r="P1815" i="3"/>
  <c r="P1865" i="3"/>
  <c r="P508" i="3"/>
  <c r="Q1836" i="3"/>
  <c r="Q1840" i="3"/>
  <c r="Q1844" i="3"/>
  <c r="Q1843" i="3"/>
  <c r="Q2035" i="3"/>
  <c r="Q1917" i="3"/>
  <c r="Q1922" i="3"/>
  <c r="Q506" i="3"/>
  <c r="Q2335" i="3"/>
  <c r="Q2000" i="3"/>
  <c r="Q2101" i="3"/>
  <c r="Q496" i="3"/>
  <c r="P507" i="3"/>
  <c r="P1846" i="3"/>
  <c r="P476" i="3"/>
  <c r="P1836" i="3"/>
  <c r="P1823" i="3"/>
  <c r="P1848" i="3"/>
  <c r="P1880" i="3"/>
  <c r="P1864" i="3"/>
  <c r="P1886" i="3"/>
  <c r="P684" i="3"/>
  <c r="P510" i="3"/>
  <c r="P683" i="3"/>
  <c r="I744" i="5"/>
  <c r="I225" i="5"/>
  <c r="P1990" i="3"/>
  <c r="P627" i="3"/>
  <c r="P1879" i="3"/>
  <c r="P2152" i="3"/>
  <c r="P1937" i="3"/>
  <c r="P2381" i="3"/>
  <c r="P1988" i="3"/>
  <c r="P1887" i="3"/>
  <c r="P2207" i="3"/>
  <c r="P1934" i="3"/>
  <c r="P494" i="3"/>
  <c r="P2336" i="3"/>
  <c r="H404" i="5"/>
  <c r="P2198" i="3"/>
  <c r="P475" i="3"/>
  <c r="P493" i="3"/>
  <c r="H109" i="5"/>
  <c r="P2144" i="3"/>
  <c r="P2048" i="3"/>
  <c r="P2000" i="3"/>
  <c r="P1938" i="3"/>
  <c r="P2335" i="3"/>
  <c r="H361" i="5"/>
  <c r="P1915" i="3"/>
  <c r="P495" i="3"/>
  <c r="P2338" i="3"/>
  <c r="H713" i="5"/>
  <c r="H160" i="5"/>
  <c r="P2203" i="3"/>
  <c r="P1920" i="3"/>
  <c r="P2334" i="3"/>
  <c r="P2045" i="3"/>
  <c r="P1932" i="3"/>
  <c r="P625" i="3"/>
  <c r="P2195" i="3"/>
  <c r="P1996" i="3"/>
  <c r="P470" i="3"/>
  <c r="P1881" i="3"/>
  <c r="P1935" i="3"/>
  <c r="P1916" i="3"/>
  <c r="P1913" i="3"/>
  <c r="P496" i="3"/>
  <c r="P2337" i="3"/>
  <c r="H712" i="5"/>
  <c r="P2099" i="3"/>
  <c r="P2051" i="3"/>
  <c r="P1863" i="3"/>
  <c r="P1791" i="3"/>
  <c r="P1919" i="3"/>
  <c r="P2149" i="3"/>
  <c r="P1867" i="3"/>
  <c r="P2202" i="3"/>
  <c r="H809" i="5"/>
  <c r="P2145" i="3"/>
  <c r="P2197" i="3"/>
  <c r="P2200" i="3"/>
  <c r="P2206" i="3"/>
  <c r="P2049" i="3"/>
  <c r="P2142" i="3"/>
  <c r="P624" i="3"/>
  <c r="P650" i="3"/>
  <c r="P1998" i="3"/>
  <c r="P1859" i="3"/>
  <c r="P472" i="3"/>
  <c r="P1884" i="3"/>
  <c r="P2205" i="3"/>
  <c r="P1933" i="3"/>
  <c r="P2392" i="3"/>
  <c r="P1918" i="3"/>
  <c r="P1917" i="3"/>
  <c r="P490" i="3"/>
  <c r="P2106" i="3"/>
  <c r="H360" i="5"/>
  <c r="P2382" i="3"/>
  <c r="P1991" i="3"/>
  <c r="P2077" i="3"/>
  <c r="P729" i="3"/>
  <c r="P1922" i="3"/>
  <c r="P492" i="3"/>
  <c r="P1983" i="3"/>
  <c r="P620" i="3"/>
  <c r="P653" i="3"/>
  <c r="P858" i="3"/>
  <c r="P622" i="3"/>
  <c r="P651" i="3"/>
  <c r="P2196" i="3"/>
  <c r="P2050" i="3"/>
  <c r="P1994" i="3"/>
  <c r="P1868" i="3"/>
  <c r="P2079" i="3"/>
  <c r="P1882" i="3"/>
  <c r="P1936" i="3"/>
  <c r="P2035" i="3"/>
  <c r="P2027" i="3"/>
  <c r="P2033" i="3"/>
  <c r="P2333" i="3"/>
  <c r="P491" i="3"/>
  <c r="P2102" i="3"/>
  <c r="H359" i="5"/>
  <c r="H757" i="5"/>
  <c r="P2032" i="3"/>
  <c r="P1794" i="3"/>
  <c r="P2029" i="3"/>
  <c r="P1840" i="3"/>
  <c r="P2148" i="3"/>
  <c r="P474" i="3"/>
  <c r="P2034" i="3"/>
  <c r="P2153" i="3"/>
  <c r="P654" i="3"/>
  <c r="P2146" i="3"/>
  <c r="P623" i="3"/>
  <c r="P2199" i="3"/>
  <c r="P2047" i="3"/>
  <c r="P1992" i="3"/>
  <c r="P471" i="3"/>
  <c r="P1795" i="3"/>
  <c r="P1931" i="3"/>
  <c r="P2030" i="3"/>
  <c r="P2028" i="3"/>
  <c r="P1912" i="3"/>
  <c r="P2332" i="3"/>
  <c r="P2104" i="3"/>
  <c r="H108" i="5"/>
  <c r="H362" i="5"/>
  <c r="H364" i="5"/>
  <c r="H125" i="5"/>
  <c r="H322" i="5"/>
  <c r="H106" i="5"/>
  <c r="H724" i="5"/>
  <c r="H762" i="5"/>
  <c r="H691" i="5"/>
  <c r="H687" i="5"/>
  <c r="H1117" i="5"/>
  <c r="H1098" i="5"/>
  <c r="H1168" i="5"/>
  <c r="H714" i="5"/>
  <c r="H345" i="5"/>
  <c r="H323" i="5"/>
  <c r="H107" i="5"/>
  <c r="H135" i="5"/>
  <c r="H684" i="5"/>
  <c r="H343" i="5"/>
  <c r="H686" i="5"/>
  <c r="H1099" i="5"/>
  <c r="H1174" i="5"/>
  <c r="H715" i="5"/>
  <c r="H124" i="5"/>
  <c r="H669" i="5"/>
  <c r="H358" i="5"/>
  <c r="H728" i="5"/>
  <c r="H763" i="5"/>
  <c r="H755" i="5"/>
  <c r="H87" i="5"/>
  <c r="H1108" i="5"/>
  <c r="H1116" i="5"/>
  <c r="H1169" i="5"/>
  <c r="P2103" i="3"/>
  <c r="P2105" i="3"/>
  <c r="P2101" i="3"/>
  <c r="H791" i="5"/>
  <c r="H695" i="5"/>
  <c r="H739" i="5"/>
  <c r="H336" i="5"/>
  <c r="H685" i="5"/>
  <c r="H1115" i="5"/>
  <c r="H1075" i="5"/>
  <c r="H1119" i="5"/>
  <c r="H388" i="5"/>
  <c r="H112" i="5"/>
  <c r="H88" i="5"/>
  <c r="H64" i="5"/>
  <c r="H738" i="5"/>
  <c r="H134" i="5"/>
  <c r="H337" i="5"/>
  <c r="H85" i="5"/>
  <c r="H338" i="5"/>
  <c r="H363" i="5"/>
  <c r="H63" i="5"/>
  <c r="H723" i="5"/>
  <c r="H692" i="5"/>
  <c r="H1129" i="5"/>
  <c r="H1173" i="5"/>
  <c r="P2107" i="3"/>
  <c r="H144" i="5"/>
  <c r="H403" i="5"/>
  <c r="H711" i="5"/>
  <c r="H744" i="5"/>
  <c r="H741" i="5"/>
  <c r="H77" i="5"/>
  <c r="H84" i="5"/>
  <c r="H339" i="5"/>
  <c r="H1077" i="5"/>
  <c r="H89" i="5"/>
  <c r="P2100" i="3"/>
  <c r="H928" i="5"/>
  <c r="H693" i="5"/>
  <c r="H159" i="5"/>
  <c r="H710" i="5"/>
  <c r="H743" i="5"/>
  <c r="H740" i="5"/>
  <c r="H76" i="5"/>
  <c r="H694" i="5"/>
  <c r="H78" i="5"/>
  <c r="H1113" i="5"/>
  <c r="H225" i="5"/>
  <c r="H86" i="5"/>
  <c r="H670" i="5"/>
  <c r="H357" i="5"/>
  <c r="H727" i="5"/>
  <c r="H761" i="5"/>
  <c r="H756" i="5"/>
  <c r="H344" i="5"/>
  <c r="H79" i="5"/>
  <c r="Q100" i="3"/>
  <c r="Q1666" i="3"/>
  <c r="Q1758" i="3"/>
  <c r="Q69" i="3"/>
  <c r="Q1654" i="3"/>
  <c r="Q860" i="3"/>
  <c r="P865" i="3"/>
  <c r="P866" i="3"/>
  <c r="Q208" i="3"/>
  <c r="I437" i="5"/>
  <c r="I442" i="5"/>
  <c r="I634" i="5"/>
  <c r="Q103" i="3"/>
  <c r="Q1667" i="3"/>
  <c r="Q1754" i="3"/>
  <c r="Q68" i="3"/>
  <c r="Q1653" i="3"/>
  <c r="Q859" i="3"/>
  <c r="P864" i="3"/>
  <c r="Q204" i="3"/>
  <c r="Q66" i="3"/>
  <c r="I196" i="5"/>
  <c r="I201" i="5"/>
  <c r="Q197" i="3"/>
  <c r="I848" i="5"/>
  <c r="I636" i="5"/>
  <c r="Q101" i="3"/>
  <c r="Q1690" i="3"/>
  <c r="Q1757" i="3"/>
  <c r="Q1761" i="3"/>
  <c r="Q1652" i="3"/>
  <c r="Q1668" i="3"/>
  <c r="Q1687" i="3"/>
  <c r="Q866" i="3"/>
  <c r="Q1759" i="3"/>
  <c r="Q1753" i="3"/>
  <c r="Q1649" i="3"/>
  <c r="Q67" i="3"/>
  <c r="Q1688" i="3"/>
  <c r="P870" i="3"/>
  <c r="P1758" i="3"/>
  <c r="Q198" i="3"/>
  <c r="Q203" i="3"/>
  <c r="Q199" i="3"/>
  <c r="I635" i="5"/>
  <c r="Q1755" i="3"/>
  <c r="Q102" i="3"/>
  <c r="Q1689" i="3"/>
  <c r="Q861" i="3"/>
  <c r="P1667" i="3"/>
  <c r="P1688" i="3"/>
  <c r="Q202" i="3"/>
  <c r="Q196" i="3"/>
  <c r="I660" i="5"/>
  <c r="Q206" i="3"/>
  <c r="Q195" i="3"/>
  <c r="Q99" i="3"/>
  <c r="Q1665" i="3"/>
  <c r="Q1693" i="3"/>
  <c r="Q869" i="3"/>
  <c r="Q1756" i="3"/>
  <c r="Q1760" i="3"/>
  <c r="Q1651" i="3"/>
  <c r="Q867" i="3"/>
  <c r="P1663" i="3"/>
  <c r="P68" i="3"/>
  <c r="Q205" i="3"/>
  <c r="I850" i="5"/>
  <c r="I858" i="5"/>
  <c r="Q65" i="3"/>
  <c r="I655" i="5"/>
  <c r="Q105" i="3"/>
  <c r="Q1664" i="3"/>
  <c r="Q1692" i="3"/>
  <c r="Q871" i="3"/>
  <c r="Q1751" i="3"/>
  <c r="Q864" i="3"/>
  <c r="Q1648" i="3"/>
  <c r="Q95" i="3"/>
  <c r="P1687" i="3"/>
  <c r="P1690" i="3"/>
  <c r="Q200" i="3"/>
  <c r="I439" i="5"/>
  <c r="I208" i="5"/>
  <c r="Q201" i="3"/>
  <c r="I50" i="5"/>
  <c r="Q865" i="3"/>
  <c r="Q1647" i="3"/>
  <c r="Q97" i="3"/>
  <c r="Q862" i="3"/>
  <c r="P1692" i="3"/>
  <c r="I854" i="5"/>
  <c r="Q868" i="3"/>
  <c r="Q104" i="3"/>
  <c r="Q1663" i="3"/>
  <c r="Q1691" i="3"/>
  <c r="Q870" i="3"/>
  <c r="Q1752" i="3"/>
  <c r="Q863" i="3"/>
  <c r="Q1650" i="3"/>
  <c r="Q96" i="3"/>
  <c r="P1689" i="3"/>
  <c r="Q207" i="3"/>
  <c r="I198" i="5"/>
  <c r="I447" i="5"/>
  <c r="Q1678" i="3"/>
  <c r="Q628" i="3"/>
  <c r="Q486" i="3"/>
  <c r="Q2026" i="3"/>
  <c r="Q1888" i="3"/>
  <c r="Q2308" i="3"/>
  <c r="Q1235" i="3"/>
  <c r="Q2165" i="3"/>
  <c r="Q468" i="3"/>
  <c r="Q393" i="3"/>
  <c r="Q1422" i="3"/>
  <c r="Q1777" i="3"/>
  <c r="Q786" i="3"/>
  <c r="Q1324" i="3"/>
  <c r="Q1410" i="3"/>
  <c r="Q1398" i="3"/>
  <c r="Q1491" i="3"/>
  <c r="Q894" i="3"/>
  <c r="Q1804" i="3"/>
  <c r="P1664" i="3"/>
  <c r="P96" i="3"/>
  <c r="P1757" i="3"/>
  <c r="P202" i="3"/>
  <c r="P99" i="3"/>
  <c r="I541" i="5"/>
  <c r="I735" i="5"/>
  <c r="I341" i="5"/>
  <c r="I65" i="5"/>
  <c r="H850" i="5"/>
  <c r="I221" i="5"/>
  <c r="I545" i="5"/>
  <c r="I843" i="5"/>
  <c r="I200" i="5"/>
  <c r="I102" i="5"/>
  <c r="I543" i="5"/>
  <c r="I105" i="5"/>
  <c r="I146" i="5"/>
  <c r="I985" i="5"/>
  <c r="I13" i="5"/>
  <c r="I1148" i="5"/>
  <c r="I1016" i="5"/>
  <c r="I508" i="5"/>
  <c r="Q2190" i="3"/>
  <c r="Q480" i="3"/>
  <c r="Q661" i="3"/>
  <c r="Q595" i="3"/>
  <c r="Q1346" i="3"/>
  <c r="Q1686" i="3"/>
  <c r="Q781" i="3"/>
  <c r="Q612" i="3"/>
  <c r="Q1332" i="3"/>
  <c r="Q2505" i="3"/>
  <c r="Q629" i="3"/>
  <c r="Q36" i="3"/>
  <c r="Q1317" i="3"/>
  <c r="Q1827" i="3"/>
  <c r="Q401" i="3"/>
  <c r="Q1929" i="3"/>
  <c r="Q485" i="3"/>
  <c r="Q717" i="3"/>
  <c r="Q1306" i="3"/>
  <c r="Q1391" i="3"/>
  <c r="Q1337" i="3"/>
  <c r="Q2022" i="3"/>
  <c r="Q1428" i="3"/>
  <c r="Q1434" i="3"/>
  <c r="Q2122" i="3"/>
  <c r="Q498" i="3"/>
  <c r="Q1894" i="3"/>
  <c r="Q2305" i="3"/>
  <c r="Q1869" i="3"/>
  <c r="Q1485" i="3"/>
  <c r="Q2062" i="3"/>
  <c r="Q1444" i="3"/>
  <c r="Q667" i="3"/>
  <c r="Q1413" i="3"/>
  <c r="Q1812" i="3"/>
  <c r="Q2307" i="3"/>
  <c r="Q2012" i="3"/>
  <c r="Q2004" i="3"/>
  <c r="Q2089" i="3"/>
  <c r="Q459" i="3"/>
  <c r="Q1234" i="3"/>
  <c r="Q1237" i="3"/>
  <c r="Q2321" i="3"/>
  <c r="Q2379" i="3"/>
  <c r="Q811" i="3"/>
  <c r="Q2053" i="3"/>
  <c r="Q1852" i="3"/>
  <c r="Q2167" i="3"/>
  <c r="Q2157" i="3"/>
  <c r="Q2040" i="3"/>
  <c r="Q2170" i="3"/>
  <c r="Q2093" i="3"/>
  <c r="Q525" i="3"/>
  <c r="Q467" i="3"/>
  <c r="Q2340" i="3"/>
  <c r="Q392" i="3"/>
  <c r="Q2246" i="3"/>
  <c r="Q2073" i="3"/>
  <c r="Q2071" i="3"/>
  <c r="Q542" i="3"/>
  <c r="Q1362" i="3"/>
  <c r="Q311" i="3"/>
  <c r="Q1783" i="3"/>
  <c r="Q1779" i="3"/>
  <c r="Q776" i="3"/>
  <c r="Q391" i="3"/>
  <c r="Q1409" i="3"/>
  <c r="Q921" i="3"/>
  <c r="Q1350" i="3"/>
  <c r="Q1397" i="3"/>
  <c r="Q1493" i="3"/>
  <c r="Q936" i="3"/>
  <c r="Q2179" i="3"/>
  <c r="Q2139" i="3"/>
  <c r="Q1805" i="3"/>
  <c r="Q1405" i="3"/>
  <c r="P97" i="3"/>
  <c r="Q9" i="3"/>
  <c r="Q225" i="3"/>
  <c r="P1755" i="3"/>
  <c r="P859" i="3"/>
  <c r="P1653" i="3"/>
  <c r="P66" i="3"/>
  <c r="P1647" i="3"/>
  <c r="I75" i="5"/>
  <c r="I1013" i="5"/>
  <c r="I526" i="5"/>
  <c r="I100" i="5"/>
  <c r="H858" i="5"/>
  <c r="H442" i="5"/>
  <c r="I331" i="5"/>
  <c r="I732" i="5"/>
  <c r="H439" i="5"/>
  <c r="I1004" i="5"/>
  <c r="I812" i="5"/>
  <c r="I60" i="5"/>
  <c r="I914" i="5"/>
  <c r="I842" i="5"/>
  <c r="I1002" i="5"/>
  <c r="I987" i="5"/>
  <c r="I650" i="5"/>
  <c r="I984" i="5"/>
  <c r="I356" i="5"/>
  <c r="I528" i="5"/>
  <c r="I525" i="5"/>
  <c r="I804" i="5"/>
  <c r="I400" i="5"/>
  <c r="Q689" i="3"/>
  <c r="Q231" i="3"/>
  <c r="I1165" i="5"/>
  <c r="I1142" i="5"/>
  <c r="I1100" i="5"/>
  <c r="Q524" i="3"/>
  <c r="I632" i="5"/>
  <c r="H636" i="5"/>
  <c r="I745" i="5"/>
  <c r="I1062" i="5"/>
  <c r="Q481" i="3"/>
  <c r="Q782" i="3"/>
  <c r="Q31" i="3"/>
  <c r="Q1877" i="3"/>
  <c r="Q1813" i="3"/>
  <c r="Q516" i="3"/>
  <c r="Q1300" i="3"/>
  <c r="Q2054" i="3"/>
  <c r="Q526" i="3"/>
  <c r="Q2343" i="3"/>
  <c r="Q2248" i="3"/>
  <c r="Q2072" i="3"/>
  <c r="Q1780" i="3"/>
  <c r="Q777" i="3"/>
  <c r="Q922" i="3"/>
  <c r="Q1351" i="3"/>
  <c r="Q1356" i="3"/>
  <c r="Q2180" i="3"/>
  <c r="Q2419" i="3"/>
  <c r="Q1798" i="3"/>
  <c r="Q4" i="3"/>
  <c r="Q1404" i="3"/>
  <c r="P1759" i="3"/>
  <c r="P861" i="3"/>
  <c r="P65" i="3"/>
  <c r="I1014" i="5"/>
  <c r="I101" i="5"/>
  <c r="I676" i="5"/>
  <c r="I996" i="5"/>
  <c r="I533" i="5"/>
  <c r="I319" i="5"/>
  <c r="I347" i="5"/>
  <c r="I624" i="5"/>
  <c r="Q232" i="3"/>
  <c r="I751" i="5"/>
  <c r="I750" i="5"/>
  <c r="I311" i="5"/>
  <c r="Q2189" i="3"/>
  <c r="Q479" i="3"/>
  <c r="Q662" i="3"/>
  <c r="Q1371" i="3"/>
  <c r="Q407" i="3"/>
  <c r="Q1345" i="3"/>
  <c r="Q1677" i="3"/>
  <c r="Q780" i="3"/>
  <c r="Q609" i="3"/>
  <c r="Q2513" i="3"/>
  <c r="Q2511" i="3"/>
  <c r="Q631" i="3"/>
  <c r="Q35" i="3"/>
  <c r="Q1316" i="3"/>
  <c r="Q1834" i="3"/>
  <c r="Q400" i="3"/>
  <c r="Q1928" i="3"/>
  <c r="Q716" i="3"/>
  <c r="Q1311" i="3"/>
  <c r="Q1396" i="3"/>
  <c r="Q1336" i="3"/>
  <c r="Q2021" i="3"/>
  <c r="Q1427" i="3"/>
  <c r="Q1437" i="3"/>
  <c r="Q2126" i="3"/>
  <c r="Q499" i="3"/>
  <c r="Q1893" i="3"/>
  <c r="Q2304" i="3"/>
  <c r="Q1875" i="3"/>
  <c r="Q1482" i="3"/>
  <c r="Q1484" i="3"/>
  <c r="Q2061" i="3"/>
  <c r="Q1443" i="3"/>
  <c r="Q664" i="3"/>
  <c r="Q1420" i="3"/>
  <c r="Q1811" i="3"/>
  <c r="Q714" i="3"/>
  <c r="Q2009" i="3"/>
  <c r="Q2088" i="3"/>
  <c r="Q458" i="3"/>
  <c r="Q1233" i="3"/>
  <c r="Q1229" i="3"/>
  <c r="Q2326" i="3"/>
  <c r="Q2380" i="3"/>
  <c r="Q810" i="3"/>
  <c r="Q2052" i="3"/>
  <c r="Q1851" i="3"/>
  <c r="Q2166" i="3"/>
  <c r="Q2164" i="3"/>
  <c r="Q2044" i="3"/>
  <c r="Q2171" i="3"/>
  <c r="Q2092" i="3"/>
  <c r="Q466" i="3"/>
  <c r="Q2342" i="3"/>
  <c r="Q2247" i="3"/>
  <c r="Q2243" i="3"/>
  <c r="Q2070" i="3"/>
  <c r="Q385" i="3"/>
  <c r="Q1361" i="3"/>
  <c r="Q310" i="3"/>
  <c r="Q1776" i="3"/>
  <c r="Q1785" i="3"/>
  <c r="Q775" i="3"/>
  <c r="Q390" i="3"/>
  <c r="Q1412" i="3"/>
  <c r="Q1349" i="3"/>
  <c r="Q1403" i="3"/>
  <c r="Q1490" i="3"/>
  <c r="Q935" i="3"/>
  <c r="Q2184" i="3"/>
  <c r="Q2420" i="3"/>
  <c r="Q1799" i="3"/>
  <c r="Q1407" i="3"/>
  <c r="P95" i="3"/>
  <c r="Q8" i="3"/>
  <c r="P1760" i="3"/>
  <c r="P1753" i="3"/>
  <c r="P197" i="3"/>
  <c r="P1648" i="3"/>
  <c r="I983" i="5"/>
  <c r="I997" i="5"/>
  <c r="I990" i="5"/>
  <c r="I351" i="5"/>
  <c r="H447" i="5"/>
  <c r="I1007" i="5"/>
  <c r="I690" i="5"/>
  <c r="I328" i="5"/>
  <c r="I330" i="5"/>
  <c r="I537" i="5"/>
  <c r="I689" i="5"/>
  <c r="I407" i="5"/>
  <c r="I916" i="5"/>
  <c r="I491" i="5"/>
  <c r="I432" i="5"/>
  <c r="I544" i="5"/>
  <c r="I527" i="5"/>
  <c r="I35" i="5"/>
  <c r="I104" i="5"/>
  <c r="I803" i="5"/>
  <c r="I806" i="5"/>
  <c r="Q519" i="3"/>
  <c r="Q236" i="3"/>
  <c r="I1139" i="5"/>
  <c r="I1162" i="5"/>
  <c r="I1076" i="5"/>
  <c r="Q522" i="3"/>
  <c r="P207" i="3"/>
  <c r="H51" i="5"/>
  <c r="I1010" i="5"/>
  <c r="Q1333" i="3"/>
  <c r="Q1835" i="3"/>
  <c r="Q1307" i="3"/>
  <c r="Q1429" i="3"/>
  <c r="Q1895" i="3"/>
  <c r="Q2065" i="3"/>
  <c r="Q2013" i="3"/>
  <c r="Q1230" i="3"/>
  <c r="Q2094" i="3"/>
  <c r="Q312" i="3"/>
  <c r="Q1370" i="3"/>
  <c r="Q779" i="3"/>
  <c r="Q1826" i="3"/>
  <c r="Q2125" i="3"/>
  <c r="Q1874" i="3"/>
  <c r="Q1418" i="3"/>
  <c r="Q2016" i="3"/>
  <c r="Q457" i="3"/>
  <c r="Q2163" i="3"/>
  <c r="Q2097" i="3"/>
  <c r="Q465" i="3"/>
  <c r="Q2066" i="3"/>
  <c r="Q1360" i="3"/>
  <c r="Q1782" i="3"/>
  <c r="Q1329" i="3"/>
  <c r="Q1411" i="3"/>
  <c r="Q1355" i="3"/>
  <c r="Q2183" i="3"/>
  <c r="Q380" i="3"/>
  <c r="P225" i="3"/>
  <c r="I342" i="5"/>
  <c r="I340" i="5"/>
  <c r="I164" i="5"/>
  <c r="I192" i="5"/>
  <c r="I307" i="5"/>
  <c r="I637" i="5"/>
  <c r="I656" i="5"/>
  <c r="Q687" i="3"/>
  <c r="I747" i="5"/>
  <c r="Q477" i="3"/>
  <c r="Q405" i="3"/>
  <c r="Q1676" i="3"/>
  <c r="Q1331" i="3"/>
  <c r="Q2510" i="3"/>
  <c r="Q1315" i="3"/>
  <c r="Q1831" i="3"/>
  <c r="Q1833" i="3"/>
  <c r="Q1927" i="3"/>
  <c r="Q484" i="3"/>
  <c r="Q722" i="3"/>
  <c r="Q1309" i="3"/>
  <c r="Q1340" i="3"/>
  <c r="Q2024" i="3"/>
  <c r="Q1378" i="3"/>
  <c r="Q1435" i="3"/>
  <c r="Q2124" i="3"/>
  <c r="Q502" i="3"/>
  <c r="Q1890" i="3"/>
  <c r="Q2303" i="3"/>
  <c r="Q1873" i="3"/>
  <c r="Q1481" i="3"/>
  <c r="Q1433" i="3"/>
  <c r="Q2059" i="3"/>
  <c r="Q669" i="3"/>
  <c r="Q1417" i="3"/>
  <c r="Q1808" i="3"/>
  <c r="Q1809" i="3"/>
  <c r="Q712" i="3"/>
  <c r="Q2015" i="3"/>
  <c r="Q2001" i="3"/>
  <c r="Q2087" i="3"/>
  <c r="Q515" i="3"/>
  <c r="Q456" i="3"/>
  <c r="Q1232" i="3"/>
  <c r="Q2" i="3"/>
  <c r="Q395" i="3"/>
  <c r="Q1299" i="3"/>
  <c r="Q386" i="3"/>
  <c r="Q808" i="3"/>
  <c r="Q2055" i="3"/>
  <c r="Q2162" i="3"/>
  <c r="Q2169" i="3"/>
  <c r="Q2043" i="3"/>
  <c r="Q2095" i="3"/>
  <c r="Q2096" i="3"/>
  <c r="Q531" i="3"/>
  <c r="Q464" i="3"/>
  <c r="Q693" i="3"/>
  <c r="Q2244" i="3"/>
  <c r="Q2242" i="3"/>
  <c r="Q2074" i="3"/>
  <c r="Q383" i="3"/>
  <c r="Q1368" i="3"/>
  <c r="Q1359" i="3"/>
  <c r="Q308" i="3"/>
  <c r="Q1775" i="3"/>
  <c r="Q790" i="3"/>
  <c r="Q1328" i="3"/>
  <c r="Q1390" i="3"/>
  <c r="Q926" i="3"/>
  <c r="Q1402" i="3"/>
  <c r="Q1354" i="3"/>
  <c r="Q1495" i="3"/>
  <c r="Q2185" i="3"/>
  <c r="Q898" i="3"/>
  <c r="Q2416" i="3"/>
  <c r="Q382" i="3"/>
  <c r="Q1800" i="3"/>
  <c r="Q1408" i="3"/>
  <c r="P863" i="3"/>
  <c r="Q6" i="3"/>
  <c r="P1756" i="3"/>
  <c r="Q1681" i="3"/>
  <c r="P1650" i="3"/>
  <c r="P199" i="3"/>
  <c r="I531" i="5"/>
  <c r="I535" i="5"/>
  <c r="I991" i="5"/>
  <c r="I83" i="5"/>
  <c r="I672" i="5"/>
  <c r="I80" i="5"/>
  <c r="I315" i="5"/>
  <c r="I992" i="5"/>
  <c r="I126" i="5"/>
  <c r="I980" i="5"/>
  <c r="I214" i="5"/>
  <c r="I696" i="5"/>
  <c r="I766" i="5"/>
  <c r="I433" i="5"/>
  <c r="I379" i="5"/>
  <c r="I722" i="5"/>
  <c r="I529" i="5"/>
  <c r="I638" i="5"/>
  <c r="I154" i="5"/>
  <c r="I399" i="5"/>
  <c r="Q690" i="3"/>
  <c r="Q233" i="3"/>
  <c r="I1136" i="5"/>
  <c r="Q688" i="3"/>
  <c r="H635" i="5"/>
  <c r="I1022" i="5"/>
  <c r="I1015" i="5"/>
  <c r="I1021" i="5"/>
  <c r="Q2193" i="3"/>
  <c r="Q1347" i="3"/>
  <c r="Q402" i="3"/>
  <c r="Q1392" i="3"/>
  <c r="Q2123" i="3"/>
  <c r="Q1478" i="3"/>
  <c r="Q1421" i="3"/>
  <c r="Q2084" i="3"/>
  <c r="Q2154" i="3"/>
  <c r="Q478" i="3"/>
  <c r="Q1344" i="3"/>
  <c r="Q608" i="3"/>
  <c r="Q1924" i="3"/>
  <c r="Q715" i="3"/>
  <c r="Q2020" i="3"/>
  <c r="Q1436" i="3"/>
  <c r="Q2302" i="3"/>
  <c r="Q2060" i="3"/>
  <c r="Q1810" i="3"/>
  <c r="Q1236" i="3"/>
  <c r="Q387" i="3"/>
  <c r="Q809" i="3"/>
  <c r="Q2156" i="3"/>
  <c r="Q2341" i="3"/>
  <c r="Q1348" i="3"/>
  <c r="Q1406" i="3"/>
  <c r="P867" i="3"/>
  <c r="I683" i="5"/>
  <c r="I538" i="5"/>
  <c r="I547" i="5"/>
  <c r="I71" i="5"/>
  <c r="I993" i="5"/>
  <c r="I769" i="5"/>
  <c r="I736" i="5"/>
  <c r="I805" i="5"/>
  <c r="I1056" i="5"/>
  <c r="Q2187" i="3"/>
  <c r="Q1369" i="3"/>
  <c r="Q1343" i="3"/>
  <c r="Q785" i="3"/>
  <c r="Q2512" i="3"/>
  <c r="Q2192" i="3"/>
  <c r="Q660" i="3"/>
  <c r="Q1373" i="3"/>
  <c r="Q404" i="3"/>
  <c r="Q1342" i="3"/>
  <c r="Q1684" i="3"/>
  <c r="Q784" i="3"/>
  <c r="Q1330" i="3"/>
  <c r="Q2509" i="3"/>
  <c r="Q2502" i="3"/>
  <c r="Q1314" i="3"/>
  <c r="Q1830" i="3"/>
  <c r="Q1825" i="3"/>
  <c r="Q1926" i="3"/>
  <c r="Q489" i="3"/>
  <c r="Q721" i="3"/>
  <c r="Q1308" i="3"/>
  <c r="Q2025" i="3"/>
  <c r="Q2017" i="3"/>
  <c r="Q1377" i="3"/>
  <c r="Q2131" i="3"/>
  <c r="Q2129" i="3"/>
  <c r="Q501" i="3"/>
  <c r="Q1897" i="3"/>
  <c r="Q1876" i="3"/>
  <c r="Q1872" i="3"/>
  <c r="Q1480" i="3"/>
  <c r="Q1432" i="3"/>
  <c r="Q2064" i="3"/>
  <c r="Q668" i="3"/>
  <c r="Q1416" i="3"/>
  <c r="Q1807" i="3"/>
  <c r="Q2310" i="3"/>
  <c r="Q2011" i="3"/>
  <c r="Q2003" i="3"/>
  <c r="Q2007" i="3"/>
  <c r="Q2083" i="3"/>
  <c r="Q513" i="3"/>
  <c r="Q455" i="3"/>
  <c r="Q1239" i="3"/>
  <c r="Q2324" i="3"/>
  <c r="Q398" i="3"/>
  <c r="Q1298" i="3"/>
  <c r="Q389" i="3"/>
  <c r="Q806" i="3"/>
  <c r="Q807" i="3"/>
  <c r="Q1853" i="3"/>
  <c r="Q1849" i="3"/>
  <c r="Q2159" i="3"/>
  <c r="Q2161" i="3"/>
  <c r="Q2042" i="3"/>
  <c r="Q2091" i="3"/>
  <c r="Q529" i="3"/>
  <c r="Q463" i="3"/>
  <c r="Q692" i="3"/>
  <c r="Q2241" i="3"/>
  <c r="Q1425" i="3"/>
  <c r="Q2069" i="3"/>
  <c r="Q546" i="3"/>
  <c r="Q1367" i="3"/>
  <c r="Q1364" i="3"/>
  <c r="Q1781" i="3"/>
  <c r="Q789" i="3"/>
  <c r="Q774" i="3"/>
  <c r="Q1327" i="3"/>
  <c r="Q1389" i="3"/>
  <c r="Q925" i="3"/>
  <c r="Q1401" i="3"/>
  <c r="Q1353" i="3"/>
  <c r="Q1488" i="3"/>
  <c r="Q2182" i="3"/>
  <c r="Q897" i="3"/>
  <c r="Q2418" i="3"/>
  <c r="Q381" i="3"/>
  <c r="Q1802" i="3"/>
  <c r="P1691" i="3"/>
  <c r="P1668" i="3"/>
  <c r="Q3" i="3"/>
  <c r="Q11" i="3"/>
  <c r="P1754" i="3"/>
  <c r="P206" i="3"/>
  <c r="P201" i="3"/>
  <c r="P196" i="3"/>
  <c r="I765" i="5"/>
  <c r="I982" i="5"/>
  <c r="I539" i="5"/>
  <c r="I706" i="5"/>
  <c r="I989" i="5"/>
  <c r="I1000" i="5"/>
  <c r="I671" i="5"/>
  <c r="I96" i="5"/>
  <c r="I534" i="5"/>
  <c r="I924" i="5"/>
  <c r="I290" i="5"/>
  <c r="I760" i="5"/>
  <c r="I767" i="5"/>
  <c r="I191" i="5"/>
  <c r="I353" i="5"/>
  <c r="I122" i="5"/>
  <c r="I97" i="5"/>
  <c r="I132" i="5"/>
  <c r="I301" i="5"/>
  <c r="I754" i="5"/>
  <c r="I156" i="5"/>
  <c r="Q520" i="3"/>
  <c r="Q235" i="3"/>
  <c r="I1154" i="5"/>
  <c r="I448" i="5"/>
  <c r="I1020" i="5"/>
  <c r="I1011" i="5"/>
  <c r="I616" i="5"/>
  <c r="H634" i="5"/>
  <c r="Q663" i="3"/>
  <c r="Q607" i="3"/>
  <c r="Q1318" i="3"/>
  <c r="Q718" i="3"/>
  <c r="Q2120" i="3"/>
  <c r="Q1445" i="3"/>
  <c r="Q2005" i="3"/>
  <c r="Q2320" i="3"/>
  <c r="Q804" i="3"/>
  <c r="Q2041" i="3"/>
  <c r="Q1363" i="3"/>
  <c r="Q659" i="3"/>
  <c r="Q1685" i="3"/>
  <c r="Q2503" i="3"/>
  <c r="Q1832" i="3"/>
  <c r="Q1395" i="3"/>
  <c r="Q497" i="3"/>
  <c r="Q1486" i="3"/>
  <c r="Q671" i="3"/>
  <c r="Q713" i="3"/>
  <c r="Q514" i="3"/>
  <c r="Q2325" i="3"/>
  <c r="Q1850" i="3"/>
  <c r="Q2172" i="3"/>
  <c r="Q2250" i="3"/>
  <c r="Q1489" i="3"/>
  <c r="Q1801" i="3"/>
  <c r="Q7" i="3"/>
  <c r="P1761" i="3"/>
  <c r="I523" i="5"/>
  <c r="I994" i="5"/>
  <c r="I329" i="5"/>
  <c r="I915" i="5"/>
  <c r="I524" i="5"/>
  <c r="I398" i="5"/>
  <c r="I1167" i="5"/>
  <c r="I1029" i="5"/>
  <c r="Q658" i="3"/>
  <c r="Q409" i="3"/>
  <c r="Q1683" i="3"/>
  <c r="Q1335" i="3"/>
  <c r="Q2508" i="3"/>
  <c r="Q633" i="3"/>
  <c r="Q33" i="3"/>
  <c r="Q1313" i="3"/>
  <c r="Q1829" i="3"/>
  <c r="Q399" i="3"/>
  <c r="Q1925" i="3"/>
  <c r="Q488" i="3"/>
  <c r="Q720" i="3"/>
  <c r="Q1394" i="3"/>
  <c r="Q2019" i="3"/>
  <c r="Q1376" i="3"/>
  <c r="Q2130" i="3"/>
  <c r="Q2121" i="3"/>
  <c r="Q500" i="3"/>
  <c r="Q1889" i="3"/>
  <c r="Q1871" i="3"/>
  <c r="Q1487" i="3"/>
  <c r="Q1431" i="3"/>
  <c r="Q2063" i="3"/>
  <c r="Q666" i="3"/>
  <c r="Q1415" i="3"/>
  <c r="Q1814" i="3"/>
  <c r="Q2309" i="3"/>
  <c r="Q2010" i="3"/>
  <c r="Q2002" i="3"/>
  <c r="Q2086" i="3"/>
  <c r="Q512" i="3"/>
  <c r="Q461" i="3"/>
  <c r="Q1231" i="3"/>
  <c r="Q2323" i="3"/>
  <c r="Q397" i="3"/>
  <c r="Q1297" i="3"/>
  <c r="Q388" i="3"/>
  <c r="Q805" i="3"/>
  <c r="Q2058" i="3"/>
  <c r="Q1856" i="3"/>
  <c r="Q2158" i="3"/>
  <c r="Q2168" i="3"/>
  <c r="Q2039" i="3"/>
  <c r="Q2090" i="3"/>
  <c r="Q528" i="3"/>
  <c r="Q462" i="3"/>
  <c r="Q691" i="3"/>
  <c r="Q2240" i="3"/>
  <c r="Q1424" i="3"/>
  <c r="Q2068" i="3"/>
  <c r="Q545" i="3"/>
  <c r="Q1366" i="3"/>
  <c r="Q314" i="3"/>
  <c r="Q1774" i="3"/>
  <c r="Q788" i="3"/>
  <c r="Q773" i="3"/>
  <c r="Q1326" i="3"/>
  <c r="Q1388" i="3"/>
  <c r="Q924" i="3"/>
  <c r="Q1400" i="3"/>
  <c r="Q1358" i="3"/>
  <c r="Q1494" i="3"/>
  <c r="Q2181" i="3"/>
  <c r="Q896" i="3"/>
  <c r="Q2421" i="3"/>
  <c r="P869" i="3"/>
  <c r="P871" i="3"/>
  <c r="P1693" i="3"/>
  <c r="P1665" i="3"/>
  <c r="Q5" i="3"/>
  <c r="Q1803" i="3"/>
  <c r="P862" i="3"/>
  <c r="P1652" i="3"/>
  <c r="P203" i="3"/>
  <c r="P1654" i="3"/>
  <c r="I764" i="5"/>
  <c r="I522" i="5"/>
  <c r="I705" i="5"/>
  <c r="I734" i="5"/>
  <c r="I532" i="5"/>
  <c r="I729" i="5"/>
  <c r="I530" i="5"/>
  <c r="I679" i="5"/>
  <c r="I66" i="5"/>
  <c r="I749" i="5"/>
  <c r="I923" i="5"/>
  <c r="I520" i="5"/>
  <c r="I759" i="5"/>
  <c r="I91" i="5"/>
  <c r="I853" i="5"/>
  <c r="I354" i="5"/>
  <c r="I1001" i="5"/>
  <c r="I998" i="5"/>
  <c r="I709" i="5"/>
  <c r="I793" i="5"/>
  <c r="I312" i="5"/>
  <c r="I14" i="5"/>
  <c r="I753" i="5"/>
  <c r="I155" i="5"/>
  <c r="Q523" i="3"/>
  <c r="Q234" i="3"/>
  <c r="I1146" i="5"/>
  <c r="I1102" i="5"/>
  <c r="H50" i="5"/>
  <c r="I1072" i="5"/>
  <c r="I1019" i="5"/>
  <c r="I746" i="5"/>
  <c r="P103" i="3"/>
  <c r="P1649" i="3"/>
  <c r="Q597" i="3"/>
  <c r="Q2506" i="3"/>
  <c r="Q1930" i="3"/>
  <c r="Q1338" i="3"/>
  <c r="Q1374" i="3"/>
  <c r="Q670" i="3"/>
  <c r="Q1854" i="3"/>
  <c r="Q543" i="3"/>
  <c r="Q2188" i="3"/>
  <c r="Q406" i="3"/>
  <c r="Q2504" i="3"/>
  <c r="Q32" i="3"/>
  <c r="Q483" i="3"/>
  <c r="Q1310" i="3"/>
  <c r="Q1341" i="3"/>
  <c r="Q1379" i="3"/>
  <c r="Q1891" i="3"/>
  <c r="Q1483" i="3"/>
  <c r="Q1419" i="3"/>
  <c r="Q2008" i="3"/>
  <c r="Q1240" i="3"/>
  <c r="Q2056" i="3"/>
  <c r="Q2037" i="3"/>
  <c r="Q530" i="3"/>
  <c r="Q2245" i="3"/>
  <c r="Q384" i="3"/>
  <c r="Q309" i="3"/>
  <c r="Q1778" i="3"/>
  <c r="Q1386" i="3"/>
  <c r="Q934" i="3"/>
  <c r="P195" i="3"/>
  <c r="I680" i="5"/>
  <c r="I324" i="5"/>
  <c r="I127" i="5"/>
  <c r="I213" i="5"/>
  <c r="I988" i="5"/>
  <c r="Q521" i="3"/>
  <c r="I133" i="5"/>
  <c r="Q2191" i="3"/>
  <c r="Q1372" i="3"/>
  <c r="Q1680" i="3"/>
  <c r="Q783" i="3"/>
  <c r="Q2194" i="3"/>
  <c r="Q482" i="3"/>
  <c r="Q657" i="3"/>
  <c r="Q596" i="3"/>
  <c r="Q408" i="3"/>
  <c r="Q1679" i="3"/>
  <c r="Q1682" i="3"/>
  <c r="Q610" i="3"/>
  <c r="Q1334" i="3"/>
  <c r="Q2507" i="3"/>
  <c r="Q630" i="3"/>
  <c r="Q34" i="3"/>
  <c r="Q1312" i="3"/>
  <c r="Q1828" i="3"/>
  <c r="Q403" i="3"/>
  <c r="Q1923" i="3"/>
  <c r="Q487" i="3"/>
  <c r="Q719" i="3"/>
  <c r="Q1393" i="3"/>
  <c r="Q1339" i="3"/>
  <c r="Q2018" i="3"/>
  <c r="Q2023" i="3"/>
  <c r="Q1426" i="3"/>
  <c r="Q1375" i="3"/>
  <c r="Q2127" i="3"/>
  <c r="Q2128" i="3"/>
  <c r="Q1892" i="3"/>
  <c r="Q1896" i="3"/>
  <c r="Q1870" i="3"/>
  <c r="Q1479" i="3"/>
  <c r="Q1430" i="3"/>
  <c r="Q1446" i="3"/>
  <c r="Q665" i="3"/>
  <c r="Q1414" i="3"/>
  <c r="Q1806" i="3"/>
  <c r="Q2306" i="3"/>
  <c r="Q2014" i="3"/>
  <c r="Q2006" i="3"/>
  <c r="Q2085" i="3"/>
  <c r="Q511" i="3"/>
  <c r="Q460" i="3"/>
  <c r="Q1238" i="3"/>
  <c r="Q2322" i="3"/>
  <c r="Q396" i="3"/>
  <c r="Q1296" i="3"/>
  <c r="Q812" i="3"/>
  <c r="Q2057" i="3"/>
  <c r="Q1855" i="3"/>
  <c r="Q2155" i="3"/>
  <c r="Q2160" i="3"/>
  <c r="Q2038" i="3"/>
  <c r="Q2098" i="3"/>
  <c r="Q527" i="3"/>
  <c r="Q2339" i="3"/>
  <c r="Q394" i="3"/>
  <c r="Q2249" i="3"/>
  <c r="Q1423" i="3"/>
  <c r="Q2067" i="3"/>
  <c r="Q544" i="3"/>
  <c r="Q1365" i="3"/>
  <c r="Q313" i="3"/>
  <c r="Q1784" i="3"/>
  <c r="Q1773" i="3"/>
  <c r="Q787" i="3"/>
  <c r="Q778" i="3"/>
  <c r="Q1325" i="3"/>
  <c r="Q1387" i="3"/>
  <c r="Q923" i="3"/>
  <c r="Q1352" i="3"/>
  <c r="Q1399" i="3"/>
  <c r="Q1357" i="3"/>
  <c r="Q1492" i="3"/>
  <c r="Q2186" i="3"/>
  <c r="Q895" i="3"/>
  <c r="Q2417" i="3"/>
  <c r="P868" i="3"/>
  <c r="P1666" i="3"/>
  <c r="Q10" i="3"/>
  <c r="P69" i="3"/>
  <c r="P1752" i="3"/>
  <c r="P1751" i="3"/>
  <c r="P860" i="3"/>
  <c r="P208" i="3"/>
  <c r="P205" i="3"/>
  <c r="I999" i="5"/>
  <c r="I986" i="5"/>
  <c r="I352" i="5"/>
  <c r="H854" i="5"/>
  <c r="I730" i="5"/>
  <c r="I542" i="5"/>
  <c r="I325" i="5"/>
  <c r="I113" i="5"/>
  <c r="I748" i="5"/>
  <c r="I925" i="5"/>
  <c r="I666" i="5"/>
  <c r="I1003" i="5"/>
  <c r="I697" i="5"/>
  <c r="I95" i="5"/>
  <c r="I441" i="5"/>
  <c r="I103" i="5"/>
  <c r="I540" i="5"/>
  <c r="I355" i="5"/>
  <c r="I390" i="5"/>
  <c r="I300" i="5"/>
  <c r="I623" i="5"/>
  <c r="Q517" i="3"/>
  <c r="I946" i="5"/>
  <c r="I123" i="5"/>
  <c r="I1017" i="5"/>
  <c r="I1018" i="5"/>
  <c r="I1025" i="5"/>
  <c r="Q823" i="3"/>
  <c r="Q290" i="3"/>
  <c r="Q271" i="3"/>
  <c r="Q1694" i="3"/>
  <c r="Q1725" i="3"/>
  <c r="Q304" i="3"/>
  <c r="Q1442" i="3"/>
  <c r="Q600" i="3"/>
  <c r="Q1980" i="3"/>
  <c r="Q2112" i="3"/>
  <c r="Q735" i="3"/>
  <c r="Q2426" i="3"/>
  <c r="Q1007" i="3"/>
  <c r="Q1224" i="3"/>
  <c r="Q1586" i="3"/>
  <c r="Q270" i="3"/>
  <c r="Q1264" i="3"/>
  <c r="Q1943" i="3"/>
  <c r="Q1609" i="3"/>
  <c r="Q1605" i="3"/>
  <c r="Q210" i="3"/>
  <c r="Q1669" i="3"/>
  <c r="P1651" i="3"/>
  <c r="Q1075" i="3"/>
  <c r="Q259" i="3"/>
  <c r="Q1505" i="3"/>
  <c r="Q1699" i="3"/>
  <c r="Q2286" i="3"/>
  <c r="Q1723" i="3"/>
  <c r="Q1748" i="3"/>
  <c r="Q1742" i="3"/>
  <c r="Q303" i="3"/>
  <c r="Q1661" i="3"/>
  <c r="P200" i="3"/>
  <c r="Q1063" i="3"/>
  <c r="P204" i="3"/>
  <c r="P735" i="3"/>
  <c r="P778" i="3"/>
  <c r="P2074" i="3"/>
  <c r="P1366" i="3"/>
  <c r="P1684" i="3"/>
  <c r="P775" i="3"/>
  <c r="P2042" i="3"/>
  <c r="P1355" i="3"/>
  <c r="P2302" i="3"/>
  <c r="P1778" i="3"/>
  <c r="P1344" i="3"/>
  <c r="P1927" i="3"/>
  <c r="P1427" i="3"/>
  <c r="P2340" i="3"/>
  <c r="P2193" i="3"/>
  <c r="P482" i="3"/>
  <c r="P2250" i="3"/>
  <c r="P2131" i="3"/>
  <c r="P2126" i="3"/>
  <c r="P1350" i="3"/>
  <c r="P1488" i="3"/>
  <c r="P714" i="3"/>
  <c r="P2026" i="3"/>
  <c r="P2158" i="3"/>
  <c r="P2155" i="3"/>
  <c r="P2009" i="3"/>
  <c r="P1483" i="3"/>
  <c r="P548" i="3"/>
  <c r="P1409" i="3"/>
  <c r="P1419" i="3"/>
  <c r="P659" i="3"/>
  <c r="P1230" i="3"/>
  <c r="P2170" i="3"/>
  <c r="P529" i="3"/>
  <c r="P1325" i="3"/>
  <c r="P397" i="3"/>
  <c r="P466" i="3"/>
  <c r="P1485" i="3"/>
  <c r="P457" i="3"/>
  <c r="P1806" i="3"/>
  <c r="P1923" i="3"/>
  <c r="P2511" i="3"/>
  <c r="P2513" i="3"/>
  <c r="P497" i="3"/>
  <c r="P2089" i="3"/>
  <c r="P1833" i="3"/>
  <c r="P1315" i="3"/>
  <c r="P2004" i="3"/>
  <c r="P1361" i="3"/>
  <c r="P628" i="3"/>
  <c r="P1849" i="3"/>
  <c r="P31" i="3"/>
  <c r="P1402" i="3"/>
  <c r="P1388" i="3"/>
  <c r="P408" i="3"/>
  <c r="P1335" i="3"/>
  <c r="P519" i="3"/>
  <c r="P11" i="3"/>
  <c r="P2180" i="3"/>
  <c r="P1870" i="3"/>
  <c r="P690" i="3"/>
  <c r="P809" i="3"/>
  <c r="P936" i="3"/>
  <c r="P2097" i="3"/>
  <c r="P1341" i="3"/>
  <c r="P512" i="3"/>
  <c r="P595" i="3"/>
  <c r="I549" i="5"/>
  <c r="I392" i="5"/>
  <c r="I59" i="5"/>
  <c r="I725" i="5"/>
  <c r="I175" i="5"/>
  <c r="I855" i="5"/>
  <c r="I405" i="5"/>
  <c r="I798" i="5"/>
  <c r="I845" i="5"/>
  <c r="I801" i="5"/>
  <c r="P233" i="3"/>
  <c r="I1101" i="5"/>
  <c r="P1311" i="3"/>
  <c r="H49" i="5"/>
  <c r="P810" i="3"/>
  <c r="P502" i="3"/>
  <c r="P1369" i="3"/>
  <c r="Q1510" i="3"/>
  <c r="P1490" i="3"/>
  <c r="I626" i="5"/>
  <c r="P1296" i="3"/>
  <c r="P409" i="3"/>
  <c r="Q1305" i="3"/>
  <c r="Q2111" i="3"/>
  <c r="Q292" i="3"/>
  <c r="Q273" i="3"/>
  <c r="Q211" i="3"/>
  <c r="Q1076" i="3"/>
  <c r="Q2284" i="3"/>
  <c r="Q591" i="3"/>
  <c r="Q593" i="3"/>
  <c r="Q800" i="3"/>
  <c r="Q1441" i="3"/>
  <c r="Q939" i="3"/>
  <c r="Q1303" i="3"/>
  <c r="Q1255" i="3"/>
  <c r="Q547" i="3"/>
  <c r="Q828" i="3"/>
  <c r="Q602" i="3"/>
  <c r="Q1977" i="3"/>
  <c r="Q594" i="3"/>
  <c r="Q2118" i="3"/>
  <c r="Q734" i="3"/>
  <c r="Q289" i="3"/>
  <c r="Q2425" i="3"/>
  <c r="Q1006" i="3"/>
  <c r="Q1216" i="3"/>
  <c r="Q1589" i="3"/>
  <c r="Q272" i="3"/>
  <c r="Q1265" i="3"/>
  <c r="Q1941" i="3"/>
  <c r="Q1610" i="3"/>
  <c r="Q1607" i="3"/>
  <c r="Q213" i="3"/>
  <c r="Q646" i="3"/>
  <c r="Q1080" i="3"/>
  <c r="Q1073" i="3"/>
  <c r="Q266" i="3"/>
  <c r="Q1504" i="3"/>
  <c r="Q1698" i="3"/>
  <c r="Q1724" i="3"/>
  <c r="Q1747" i="3"/>
  <c r="Q301" i="3"/>
  <c r="Q1657" i="3"/>
  <c r="P198" i="3"/>
  <c r="Q1065" i="3"/>
  <c r="Q1674" i="3"/>
  <c r="P561" i="3"/>
  <c r="P292" i="3"/>
  <c r="P468" i="3"/>
  <c r="P2095" i="3"/>
  <c r="P1426" i="3"/>
  <c r="P2067" i="3"/>
  <c r="P1365" i="3"/>
  <c r="P1681" i="3"/>
  <c r="P2041" i="3"/>
  <c r="P2091" i="3"/>
  <c r="P1354" i="3"/>
  <c r="P923" i="3"/>
  <c r="P2304" i="3"/>
  <c r="P1784" i="3"/>
  <c r="P1345" i="3"/>
  <c r="P2008" i="3"/>
  <c r="P2024" i="3"/>
  <c r="P1814" i="3"/>
  <c r="P478" i="3"/>
  <c r="P2245" i="3"/>
  <c r="P2121" i="3"/>
  <c r="P2129" i="3"/>
  <c r="P811" i="3"/>
  <c r="P1489" i="3"/>
  <c r="P1298" i="3"/>
  <c r="P2017" i="3"/>
  <c r="P2160" i="3"/>
  <c r="P2157" i="3"/>
  <c r="P2053" i="3"/>
  <c r="P1413" i="3"/>
  <c r="P658" i="3"/>
  <c r="P1239" i="3"/>
  <c r="P403" i="3"/>
  <c r="P525" i="3"/>
  <c r="P1327" i="3"/>
  <c r="P783" i="3"/>
  <c r="P462" i="3"/>
  <c r="P1478" i="3"/>
  <c r="P405" i="3"/>
  <c r="P666" i="3"/>
  <c r="P1930" i="3"/>
  <c r="P2505" i="3"/>
  <c r="P500" i="3"/>
  <c r="P2085" i="3"/>
  <c r="P1828" i="3"/>
  <c r="P1314" i="3"/>
  <c r="P2007" i="3"/>
  <c r="P1363" i="3"/>
  <c r="P630" i="3"/>
  <c r="P1851" i="3"/>
  <c r="P36" i="3"/>
  <c r="P2061" i="3"/>
  <c r="P1401" i="3"/>
  <c r="P1390" i="3"/>
  <c r="P1396" i="3"/>
  <c r="P1331" i="3"/>
  <c r="P522" i="3"/>
  <c r="P8" i="3"/>
  <c r="P2179" i="3"/>
  <c r="P1873" i="3"/>
  <c r="P689" i="3"/>
  <c r="P715" i="3"/>
  <c r="P935" i="3"/>
  <c r="P789" i="3"/>
  <c r="P1395" i="3"/>
  <c r="P515" i="3"/>
  <c r="I704" i="5"/>
  <c r="I147" i="5"/>
  <c r="I1009" i="5"/>
  <c r="I419" i="5"/>
  <c r="I202" i="5"/>
  <c r="I162" i="5"/>
  <c r="I796" i="5"/>
  <c r="I194" i="5"/>
  <c r="I395" i="5"/>
  <c r="P231" i="3"/>
  <c r="I1083" i="5"/>
  <c r="I618" i="5"/>
  <c r="P1387" i="3"/>
  <c r="I619" i="5"/>
  <c r="P2244" i="3"/>
  <c r="P1312" i="3"/>
  <c r="I742" i="5"/>
  <c r="P691" i="3"/>
  <c r="P668" i="3"/>
  <c r="I1028" i="5"/>
  <c r="I1024" i="5"/>
  <c r="Q802" i="3"/>
  <c r="Q822" i="3"/>
  <c r="Q2113" i="3"/>
  <c r="Q1217" i="3"/>
  <c r="Q1611" i="3"/>
  <c r="Q260" i="3"/>
  <c r="Q1319" i="3"/>
  <c r="Q1256" i="3"/>
  <c r="Q297" i="3"/>
  <c r="Q798" i="3"/>
  <c r="Q799" i="3"/>
  <c r="Q1440" i="3"/>
  <c r="Q938" i="3"/>
  <c r="Q1302" i="3"/>
  <c r="Q518" i="3"/>
  <c r="Q1254" i="3"/>
  <c r="Q548" i="3"/>
  <c r="Q827" i="3"/>
  <c r="Q601" i="3"/>
  <c r="Q1976" i="3"/>
  <c r="Q592" i="3"/>
  <c r="Q2110" i="3"/>
  <c r="Q733" i="3"/>
  <c r="Q296" i="3"/>
  <c r="Q1011" i="3"/>
  <c r="Q1227" i="3"/>
  <c r="Q1223" i="3"/>
  <c r="Q1591" i="3"/>
  <c r="Q269" i="3"/>
  <c r="Q1263" i="3"/>
  <c r="Q1947" i="3"/>
  <c r="Q1608" i="3"/>
  <c r="Q568" i="3"/>
  <c r="Q214" i="3"/>
  <c r="Q645" i="3"/>
  <c r="Q1071" i="3"/>
  <c r="Q1077" i="3"/>
  <c r="Q265" i="3"/>
  <c r="Q1512" i="3"/>
  <c r="Q1697" i="3"/>
  <c r="Q1722" i="3"/>
  <c r="Q1744" i="3"/>
  <c r="Q302" i="3"/>
  <c r="Q1660" i="3"/>
  <c r="Q1059" i="3"/>
  <c r="Q1062" i="3"/>
  <c r="Q1673" i="3"/>
  <c r="P388" i="3"/>
  <c r="P2069" i="3"/>
  <c r="P662" i="3"/>
  <c r="P489" i="3"/>
  <c r="P2070" i="3"/>
  <c r="P1367" i="3"/>
  <c r="P1370" i="3"/>
  <c r="P2038" i="3"/>
  <c r="P2098" i="3"/>
  <c r="P926" i="3"/>
  <c r="P2187" i="3"/>
  <c r="P1781" i="3"/>
  <c r="P1347" i="3"/>
  <c r="P2307" i="3"/>
  <c r="P665" i="3"/>
  <c r="P2246" i="3"/>
  <c r="P2127" i="3"/>
  <c r="P2125" i="3"/>
  <c r="P806" i="3"/>
  <c r="P1493" i="3"/>
  <c r="P1300" i="3"/>
  <c r="P787" i="3"/>
  <c r="P2154" i="3"/>
  <c r="P2016" i="3"/>
  <c r="P34" i="3"/>
  <c r="P1407" i="3"/>
  <c r="P1420" i="3"/>
  <c r="P661" i="3"/>
  <c r="P1234" i="3"/>
  <c r="P399" i="3"/>
  <c r="P528" i="3"/>
  <c r="P1326" i="3"/>
  <c r="P779" i="3"/>
  <c r="P465" i="3"/>
  <c r="P1479" i="3"/>
  <c r="P404" i="3"/>
  <c r="P2064" i="3"/>
  <c r="P544" i="3"/>
  <c r="P1423" i="3"/>
  <c r="P2507" i="3"/>
  <c r="P499" i="3"/>
  <c r="P2088" i="3"/>
  <c r="P1829" i="3"/>
  <c r="P1316" i="3"/>
  <c r="P2001" i="3"/>
  <c r="P1379" i="3"/>
  <c r="P1803" i="3"/>
  <c r="P1854" i="3"/>
  <c r="P35" i="3"/>
  <c r="P804" i="3"/>
  <c r="P2324" i="3"/>
  <c r="P309" i="3"/>
  <c r="P1685" i="3"/>
  <c r="P1330" i="3"/>
  <c r="P7" i="3"/>
  <c r="P2186" i="3"/>
  <c r="P1869" i="3"/>
  <c r="P1339" i="3"/>
  <c r="P934" i="3"/>
  <c r="P1677" i="3"/>
  <c r="P550" i="3"/>
  <c r="P514" i="3"/>
  <c r="I703" i="5"/>
  <c r="I446" i="5"/>
  <c r="I318" i="5"/>
  <c r="I1008" i="5"/>
  <c r="I1006" i="5"/>
  <c r="I981" i="5"/>
  <c r="I967" i="5"/>
  <c r="I443" i="5"/>
  <c r="I620" i="5"/>
  <c r="I394" i="5"/>
  <c r="I435" i="5"/>
  <c r="I152" i="5"/>
  <c r="P236" i="3"/>
  <c r="I1023" i="5"/>
  <c r="P2122" i="3"/>
  <c r="P2305" i="3"/>
  <c r="I1065" i="5"/>
  <c r="P1809" i="3"/>
  <c r="P713" i="3"/>
  <c r="I234" i="5"/>
  <c r="P2018" i="3"/>
  <c r="P2010" i="3"/>
  <c r="Q1320" i="3"/>
  <c r="Q1257" i="3"/>
  <c r="Q1009" i="3"/>
  <c r="Q1949" i="3"/>
  <c r="Q1671" i="3"/>
  <c r="P104" i="3"/>
  <c r="Q1662" i="3"/>
  <c r="Q1304" i="3"/>
  <c r="Q2119" i="3"/>
  <c r="Q2313" i="3"/>
  <c r="Q1439" i="3"/>
  <c r="Q1301" i="3"/>
  <c r="Q551" i="3"/>
  <c r="Q599" i="3"/>
  <c r="Q562" i="3"/>
  <c r="Q732" i="3"/>
  <c r="Q288" i="3"/>
  <c r="Q1008" i="3"/>
  <c r="Q1222" i="3"/>
  <c r="Q1588" i="3"/>
  <c r="Q268" i="3"/>
  <c r="Q1262" i="3"/>
  <c r="Q1946" i="3"/>
  <c r="Q1614" i="3"/>
  <c r="Q570" i="3"/>
  <c r="Q212" i="3"/>
  <c r="Q649" i="3"/>
  <c r="Q1079" i="3"/>
  <c r="Q1074" i="3"/>
  <c r="Q264" i="3"/>
  <c r="Q1503" i="3"/>
  <c r="Q1696" i="3"/>
  <c r="P102" i="3"/>
  <c r="Q1721" i="3"/>
  <c r="Q1746" i="3"/>
  <c r="Q300" i="3"/>
  <c r="Q1659" i="3"/>
  <c r="Q1069" i="3"/>
  <c r="Q1064" i="3"/>
  <c r="Q1670" i="3"/>
  <c r="P386" i="3"/>
  <c r="P523" i="3"/>
  <c r="P456" i="3"/>
  <c r="P483" i="3"/>
  <c r="P2066" i="3"/>
  <c r="P1680" i="3"/>
  <c r="P1372" i="3"/>
  <c r="P2094" i="3"/>
  <c r="P922" i="3"/>
  <c r="P1785" i="3"/>
  <c r="P1773" i="3"/>
  <c r="P1343" i="3"/>
  <c r="P1416" i="3"/>
  <c r="P1360" i="3"/>
  <c r="P1888" i="3"/>
  <c r="P546" i="3"/>
  <c r="P2241" i="3"/>
  <c r="P2128" i="3"/>
  <c r="P1433" i="3"/>
  <c r="P807" i="3"/>
  <c r="P1491" i="3"/>
  <c r="P1297" i="3"/>
  <c r="P790" i="3"/>
  <c r="P2156" i="3"/>
  <c r="P2012" i="3"/>
  <c r="P2325" i="3"/>
  <c r="P2059" i="3"/>
  <c r="P2190" i="3"/>
  <c r="P1418" i="3"/>
  <c r="P1232" i="3"/>
  <c r="P1231" i="3"/>
  <c r="P402" i="3"/>
  <c r="P531" i="3"/>
  <c r="P1324" i="3"/>
  <c r="P782" i="3"/>
  <c r="P464" i="3"/>
  <c r="P1484" i="3"/>
  <c r="P407" i="3"/>
  <c r="P2019" i="3"/>
  <c r="P1926" i="3"/>
  <c r="P1424" i="3"/>
  <c r="P2503" i="3"/>
  <c r="P498" i="3"/>
  <c r="P2084" i="3"/>
  <c r="P1835" i="3"/>
  <c r="P1318" i="3"/>
  <c r="P2003" i="3"/>
  <c r="P716" i="3"/>
  <c r="P1375" i="3"/>
  <c r="P1798" i="3"/>
  <c r="P1306" i="3"/>
  <c r="P33" i="3"/>
  <c r="P2023" i="3"/>
  <c r="P2320" i="3"/>
  <c r="P312" i="3"/>
  <c r="P2341" i="3"/>
  <c r="P518" i="3"/>
  <c r="P5" i="3"/>
  <c r="P6" i="3"/>
  <c r="P1876" i="3"/>
  <c r="P896" i="3"/>
  <c r="P1240" i="3"/>
  <c r="P1682" i="3"/>
  <c r="P1391" i="3"/>
  <c r="P2060" i="3"/>
  <c r="P513" i="3"/>
  <c r="I350" i="5"/>
  <c r="I207" i="5"/>
  <c r="I665" i="5"/>
  <c r="I815" i="5"/>
  <c r="I228" i="5"/>
  <c r="I1026" i="5"/>
  <c r="I621" i="5"/>
  <c r="I393" i="5"/>
  <c r="I663" i="5"/>
  <c r="I396" i="5"/>
  <c r="P2043" i="3"/>
  <c r="Q2312" i="3"/>
  <c r="P527" i="3"/>
  <c r="I956" i="5"/>
  <c r="P781" i="3"/>
  <c r="P2189" i="3"/>
  <c r="P1398" i="3"/>
  <c r="Q1981" i="3"/>
  <c r="Q736" i="3"/>
  <c r="Q1590" i="3"/>
  <c r="Q1944" i="3"/>
  <c r="Q874" i="3"/>
  <c r="Q1508" i="3"/>
  <c r="Q1749" i="3"/>
  <c r="Q1067" i="3"/>
  <c r="Q801" i="3"/>
  <c r="Q829" i="3"/>
  <c r="Q797" i="3"/>
  <c r="Q937" i="3"/>
  <c r="Q1253" i="3"/>
  <c r="Q826" i="3"/>
  <c r="Q1975" i="3"/>
  <c r="Q2117" i="3"/>
  <c r="Q1219" i="3"/>
  <c r="Q796" i="3"/>
  <c r="Q2314" i="3"/>
  <c r="Q1323" i="3"/>
  <c r="Q932" i="3"/>
  <c r="Q1252" i="3"/>
  <c r="Q550" i="3"/>
  <c r="Q825" i="3"/>
  <c r="Q1979" i="3"/>
  <c r="Q561" i="3"/>
  <c r="Q2109" i="3"/>
  <c r="Q739" i="3"/>
  <c r="Q299" i="3"/>
  <c r="Q295" i="3"/>
  <c r="Q1013" i="3"/>
  <c r="Q1226" i="3"/>
  <c r="Q1221" i="3"/>
  <c r="Q1587" i="3"/>
  <c r="Q275" i="3"/>
  <c r="Q1261" i="3"/>
  <c r="Q1948" i="3"/>
  <c r="Q1606" i="3"/>
  <c r="Q569" i="3"/>
  <c r="Q209" i="3"/>
  <c r="P67" i="3"/>
  <c r="Q647" i="3"/>
  <c r="Q1078" i="3"/>
  <c r="Q262" i="3"/>
  <c r="Q1507" i="3"/>
  <c r="Q1511" i="3"/>
  <c r="Q1695" i="3"/>
  <c r="P101" i="3"/>
  <c r="Q1720" i="3"/>
  <c r="Q1745" i="3"/>
  <c r="Q307" i="3"/>
  <c r="Q1658" i="3"/>
  <c r="Q1061" i="3"/>
  <c r="Q1060" i="3"/>
  <c r="Q875" i="3"/>
  <c r="P600" i="3"/>
  <c r="P601" i="3"/>
  <c r="P479" i="3"/>
  <c r="P1359" i="3"/>
  <c r="P487" i="3"/>
  <c r="P2073" i="3"/>
  <c r="P1676" i="3"/>
  <c r="P1373" i="3"/>
  <c r="P2044" i="3"/>
  <c r="P2090" i="3"/>
  <c r="P1358" i="3"/>
  <c r="P924" i="3"/>
  <c r="P1779" i="3"/>
  <c r="P1776" i="3"/>
  <c r="P1346" i="3"/>
  <c r="P1336" i="3"/>
  <c r="P1891" i="3"/>
  <c r="P1444" i="3"/>
  <c r="P2242" i="3"/>
  <c r="P2123" i="3"/>
  <c r="P1431" i="3"/>
  <c r="P2306" i="3"/>
  <c r="P812" i="3"/>
  <c r="P1494" i="3"/>
  <c r="P1299" i="3"/>
  <c r="P2166" i="3"/>
  <c r="P2167" i="3"/>
  <c r="P2015" i="3"/>
  <c r="P2183" i="3"/>
  <c r="P390" i="3"/>
  <c r="P1810" i="3"/>
  <c r="P1417" i="3"/>
  <c r="P1237" i="3"/>
  <c r="P1238" i="3"/>
  <c r="P401" i="3"/>
  <c r="P530" i="3"/>
  <c r="P2054" i="3"/>
  <c r="P785" i="3"/>
  <c r="P467" i="3"/>
  <c r="P1480" i="3"/>
  <c r="P1774" i="3"/>
  <c r="P2310" i="3"/>
  <c r="P1896" i="3"/>
  <c r="P1929" i="3"/>
  <c r="P1422" i="3"/>
  <c r="P2510" i="3"/>
  <c r="P501" i="3"/>
  <c r="P2087" i="3"/>
  <c r="P1825" i="3"/>
  <c r="P1317" i="3"/>
  <c r="P2006" i="3"/>
  <c r="P719" i="3"/>
  <c r="P1378" i="3"/>
  <c r="P1802" i="3"/>
  <c r="P1310" i="3"/>
  <c r="P32" i="3"/>
  <c r="P406" i="3"/>
  <c r="P1399" i="3"/>
  <c r="P2323" i="3"/>
  <c r="P308" i="3"/>
  <c r="P1855" i="3"/>
  <c r="P2058" i="3"/>
  <c r="P521" i="3"/>
  <c r="P10" i="3"/>
  <c r="P2182" i="3"/>
  <c r="P1871" i="3"/>
  <c r="P898" i="3"/>
  <c r="P1805" i="3"/>
  <c r="P1389" i="3"/>
  <c r="P549" i="3"/>
  <c r="P2063" i="3"/>
  <c r="P774" i="3"/>
  <c r="I98" i="5"/>
  <c r="I795" i="5"/>
  <c r="I814" i="5"/>
  <c r="I327" i="5"/>
  <c r="I521" i="5"/>
  <c r="I499" i="5"/>
  <c r="I548" i="5"/>
  <c r="H848" i="5"/>
  <c r="I149" i="5"/>
  <c r="I310" i="5"/>
  <c r="I151" i="5"/>
  <c r="P1877" i="3"/>
  <c r="I504" i="5"/>
  <c r="I607" i="5"/>
  <c r="P1430" i="3"/>
  <c r="P389" i="3"/>
  <c r="P391" i="3"/>
  <c r="P657" i="3"/>
  <c r="P1894" i="3"/>
  <c r="P314" i="3"/>
  <c r="P1777" i="3"/>
  <c r="P1800" i="3"/>
  <c r="P1481" i="3"/>
  <c r="I1058" i="5"/>
  <c r="Q803" i="3"/>
  <c r="Q2311" i="3"/>
  <c r="Q1322" i="3"/>
  <c r="Q931" i="3"/>
  <c r="Q1259" i="3"/>
  <c r="Q549" i="3"/>
  <c r="Q824" i="3"/>
  <c r="Q1978" i="3"/>
  <c r="Q2115" i="3"/>
  <c r="Q2116" i="3"/>
  <c r="Q738" i="3"/>
  <c r="Q291" i="3"/>
  <c r="Q294" i="3"/>
  <c r="Q1012" i="3"/>
  <c r="Q1218" i="3"/>
  <c r="Q1228" i="3"/>
  <c r="Q2298" i="3"/>
  <c r="Q274" i="3"/>
  <c r="Q1260" i="3"/>
  <c r="Q1945" i="3"/>
  <c r="Q1612" i="3"/>
  <c r="Q567" i="3"/>
  <c r="Q877" i="3"/>
  <c r="Q1672" i="3"/>
  <c r="Q648" i="3"/>
  <c r="Q1070" i="3"/>
  <c r="Q263" i="3"/>
  <c r="Q1506" i="3"/>
  <c r="Q1701" i="3"/>
  <c r="Q2287" i="3"/>
  <c r="P100" i="3"/>
  <c r="Q1719" i="3"/>
  <c r="Q1743" i="3"/>
  <c r="Q306" i="3"/>
  <c r="Q1656" i="3"/>
  <c r="Q590" i="3"/>
  <c r="Q1068" i="3"/>
  <c r="P939" i="3"/>
  <c r="P290" i="3"/>
  <c r="P380" i="3"/>
  <c r="P1486" i="3"/>
  <c r="P1340" i="3"/>
  <c r="P488" i="3"/>
  <c r="P2072" i="3"/>
  <c r="P1686" i="3"/>
  <c r="P1371" i="3"/>
  <c r="P2040" i="3"/>
  <c r="P2093" i="3"/>
  <c r="P1356" i="3"/>
  <c r="P925" i="3"/>
  <c r="P1780" i="3"/>
  <c r="P1782" i="3"/>
  <c r="P1342" i="3"/>
  <c r="P480" i="3"/>
  <c r="P551" i="3"/>
  <c r="P1411" i="3"/>
  <c r="P1446" i="3"/>
  <c r="P2248" i="3"/>
  <c r="P2124" i="3"/>
  <c r="P392" i="3"/>
  <c r="P2309" i="3"/>
  <c r="P808" i="3"/>
  <c r="P692" i="3"/>
  <c r="P2025" i="3"/>
  <c r="P2168" i="3"/>
  <c r="P2169" i="3"/>
  <c r="P2011" i="3"/>
  <c r="P1364" i="3"/>
  <c r="P669" i="3"/>
  <c r="P1414" i="3"/>
  <c r="P1233" i="3"/>
  <c r="P1429" i="3"/>
  <c r="P400" i="3"/>
  <c r="P526" i="3"/>
  <c r="P396" i="3"/>
  <c r="P784" i="3"/>
  <c r="P384" i="3"/>
  <c r="P455" i="3"/>
  <c r="P1394" i="3"/>
  <c r="P2057" i="3"/>
  <c r="P1925" i="3"/>
  <c r="P1425" i="3"/>
  <c r="P2512" i="3"/>
  <c r="P2083" i="3"/>
  <c r="P1831" i="3"/>
  <c r="P1313" i="3"/>
  <c r="P2002" i="3"/>
  <c r="P718" i="3"/>
  <c r="P1374" i="3"/>
  <c r="P1804" i="3"/>
  <c r="P1308" i="3"/>
  <c r="P511" i="3"/>
  <c r="P1392" i="3"/>
  <c r="P1403" i="3"/>
  <c r="P2326" i="3"/>
  <c r="P311" i="3"/>
  <c r="P805" i="3"/>
  <c r="P1332" i="3"/>
  <c r="P517" i="3"/>
  <c r="P3" i="3"/>
  <c r="P2185" i="3"/>
  <c r="P1872" i="3"/>
  <c r="P894" i="3"/>
  <c r="P1443" i="3"/>
  <c r="P2062" i="3"/>
  <c r="P2020" i="3"/>
  <c r="P2339" i="3"/>
  <c r="I99" i="5"/>
  <c r="I794" i="5"/>
  <c r="I316" i="5"/>
  <c r="I409" i="5"/>
  <c r="I236" i="5"/>
  <c r="I674" i="5"/>
  <c r="I857" i="5"/>
  <c r="I979" i="5"/>
  <c r="I150" i="5"/>
  <c r="I56" i="5"/>
  <c r="P235" i="3"/>
  <c r="I1094" i="5"/>
  <c r="P2165" i="3"/>
  <c r="P2139" i="3"/>
  <c r="I612" i="5"/>
  <c r="P2308" i="3"/>
  <c r="P1404" i="3"/>
  <c r="P1235" i="3"/>
  <c r="P1412" i="3"/>
  <c r="P1337" i="3"/>
  <c r="P385" i="3"/>
  <c r="P786" i="3"/>
  <c r="Q795" i="3"/>
  <c r="Q1321" i="3"/>
  <c r="Q933" i="3"/>
  <c r="Q1258" i="3"/>
  <c r="Q1251" i="3"/>
  <c r="Q830" i="3"/>
  <c r="Q831" i="3"/>
  <c r="Q1982" i="3"/>
  <c r="Q2114" i="3"/>
  <c r="Q2108" i="3"/>
  <c r="Q737" i="3"/>
  <c r="Q298" i="3"/>
  <c r="Q293" i="3"/>
  <c r="Q1010" i="3"/>
  <c r="Q1225" i="3"/>
  <c r="Q1220" i="3"/>
  <c r="Q2297" i="3"/>
  <c r="Q267" i="3"/>
  <c r="Q1942" i="3"/>
  <c r="Q1940" i="3"/>
  <c r="Q1613" i="3"/>
  <c r="Q876" i="3"/>
  <c r="Q1675" i="3"/>
  <c r="Q1072" i="3"/>
  <c r="Q261" i="3"/>
  <c r="Q1509" i="3"/>
  <c r="Q1700" i="3"/>
  <c r="Q2285" i="3"/>
  <c r="P105" i="3"/>
  <c r="Q1718" i="3"/>
  <c r="Q1750" i="3"/>
  <c r="Q305" i="3"/>
  <c r="Q1655" i="3"/>
  <c r="Q589" i="3"/>
  <c r="Q1066" i="3"/>
  <c r="Q765" i="3"/>
  <c r="P599" i="3"/>
  <c r="P739" i="3"/>
  <c r="P298" i="3"/>
  <c r="P593" i="3"/>
  <c r="P382" i="3"/>
  <c r="P1376" i="3"/>
  <c r="P547" i="3"/>
  <c r="P484" i="3"/>
  <c r="P2068" i="3"/>
  <c r="P1683" i="3"/>
  <c r="P773" i="3"/>
  <c r="P2037" i="3"/>
  <c r="P2096" i="3"/>
  <c r="P1357" i="3"/>
  <c r="P921" i="3"/>
  <c r="P1775" i="3"/>
  <c r="P631" i="3"/>
  <c r="P1487" i="3"/>
  <c r="P2056" i="3"/>
  <c r="P481" i="3"/>
  <c r="P2243" i="3"/>
  <c r="P2240" i="3"/>
  <c r="P2130" i="3"/>
  <c r="P394" i="3"/>
  <c r="P1351" i="3"/>
  <c r="P1492" i="3"/>
  <c r="P693" i="3"/>
  <c r="P2022" i="3"/>
  <c r="P2162" i="3"/>
  <c r="P2159" i="3"/>
  <c r="P2014" i="3"/>
  <c r="P1421" i="3"/>
  <c r="P1338" i="3"/>
  <c r="P1892" i="3"/>
  <c r="P543" i="3"/>
  <c r="P660" i="3"/>
  <c r="P1236" i="3"/>
  <c r="P1428" i="3"/>
  <c r="P1328" i="3"/>
  <c r="P395" i="3"/>
  <c r="P780" i="3"/>
  <c r="P383" i="3"/>
  <c r="P461" i="3"/>
  <c r="P608" i="3"/>
  <c r="P1405" i="3"/>
  <c r="P1928" i="3"/>
  <c r="P2504" i="3"/>
  <c r="P2502" i="3"/>
  <c r="P1826" i="3"/>
  <c r="P1834" i="3"/>
  <c r="P2005" i="3"/>
  <c r="P721" i="3"/>
  <c r="P629" i="3"/>
  <c r="P1799" i="3"/>
  <c r="P1853" i="3"/>
  <c r="P1309" i="3"/>
  <c r="P486" i="3"/>
  <c r="P609" i="3"/>
  <c r="P1397" i="3"/>
  <c r="P2322" i="3"/>
  <c r="P310" i="3"/>
  <c r="P1334" i="3"/>
  <c r="P524" i="3"/>
  <c r="P4" i="3"/>
  <c r="P2181" i="3"/>
  <c r="P1875" i="3"/>
  <c r="P895" i="3"/>
  <c r="P788" i="3"/>
  <c r="P1856" i="3"/>
  <c r="P2342" i="3"/>
  <c r="P2065" i="3"/>
  <c r="P459" i="3"/>
  <c r="P2055" i="3"/>
  <c r="P597" i="3"/>
  <c r="I349" i="5"/>
  <c r="I391" i="5"/>
  <c r="I664" i="5"/>
  <c r="I166" i="5"/>
  <c r="I507" i="5"/>
  <c r="I673" i="5"/>
  <c r="I205" i="5"/>
  <c r="I519" i="5"/>
  <c r="I811" i="5"/>
  <c r="H437" i="5"/>
  <c r="I831" i="5"/>
  <c r="I800" i="5"/>
  <c r="P234" i="3"/>
  <c r="I1079" i="5"/>
  <c r="P2343" i="3"/>
  <c r="P542" i="3"/>
  <c r="I1031" i="5"/>
  <c r="P607" i="3"/>
  <c r="P2506" i="3"/>
  <c r="P2052" i="3"/>
  <c r="P2172" i="3"/>
  <c r="P717" i="3"/>
  <c r="H448" i="5"/>
  <c r="P485" i="3"/>
  <c r="P1393" i="3"/>
  <c r="I961" i="5"/>
  <c r="P294" i="3"/>
  <c r="P937" i="3"/>
  <c r="P562" i="3"/>
  <c r="P381" i="3"/>
  <c r="P2071" i="3"/>
  <c r="P1368" i="3"/>
  <c r="P1679" i="3"/>
  <c r="P776" i="3"/>
  <c r="P2039" i="3"/>
  <c r="P1353" i="3"/>
  <c r="P2303" i="3"/>
  <c r="P1783" i="3"/>
  <c r="P1827" i="3"/>
  <c r="P1408" i="3"/>
  <c r="P477" i="3"/>
  <c r="P2249" i="3"/>
  <c r="P2247" i="3"/>
  <c r="P2120" i="3"/>
  <c r="P393" i="3"/>
  <c r="P1352" i="3"/>
  <c r="P1495" i="3"/>
  <c r="P712" i="3"/>
  <c r="P2021" i="3"/>
  <c r="P2164" i="3"/>
  <c r="P2161" i="3"/>
  <c r="P2013" i="3"/>
  <c r="P612" i="3"/>
  <c r="P1895" i="3"/>
  <c r="P1415" i="3"/>
  <c r="P663" i="3"/>
  <c r="P1229" i="3"/>
  <c r="P2171" i="3"/>
  <c r="P1329" i="3"/>
  <c r="P398" i="3"/>
  <c r="P463" i="3"/>
  <c r="P1482" i="3"/>
  <c r="P460" i="3"/>
  <c r="P1348" i="3"/>
  <c r="P2194" i="3"/>
  <c r="P1924" i="3"/>
  <c r="P2509" i="3"/>
  <c r="P2508" i="3"/>
  <c r="P2086" i="3"/>
  <c r="P1832" i="3"/>
  <c r="P1830" i="3"/>
  <c r="P1362" i="3"/>
  <c r="P633" i="3"/>
  <c r="P1801" i="3"/>
  <c r="P1852" i="3"/>
  <c r="P1307" i="3"/>
  <c r="P1386" i="3"/>
  <c r="P1400" i="3"/>
  <c r="P2321" i="3"/>
  <c r="P313" i="3"/>
  <c r="P722" i="3"/>
  <c r="P1333" i="3"/>
  <c r="P520" i="3"/>
  <c r="P9" i="3"/>
  <c r="P2184" i="3"/>
  <c r="P1874" i="3"/>
  <c r="P897" i="3"/>
  <c r="P687" i="3"/>
  <c r="P1432" i="3"/>
  <c r="P2163" i="3"/>
  <c r="P720" i="3"/>
  <c r="P516" i="3"/>
  <c r="P596" i="3"/>
  <c r="I1027" i="5"/>
  <c r="I148" i="5"/>
  <c r="I317" i="5"/>
  <c r="I726" i="5"/>
  <c r="I825" i="5"/>
  <c r="I444" i="5"/>
  <c r="I289" i="5"/>
  <c r="I810" i="5"/>
  <c r="I797" i="5"/>
  <c r="I181" i="5"/>
  <c r="I799" i="5"/>
  <c r="P232" i="3"/>
  <c r="H656" i="5"/>
  <c r="P1850" i="3"/>
  <c r="I1032" i="5"/>
  <c r="P1445" i="3"/>
  <c r="P1349" i="3"/>
  <c r="P1434" i="3"/>
  <c r="P1678" i="3"/>
  <c r="P1377" i="3"/>
  <c r="I856" i="5"/>
  <c r="P777" i="3"/>
  <c r="P2" i="3"/>
  <c r="P458" i="3"/>
  <c r="P2092" i="3"/>
  <c r="P1808" i="3"/>
  <c r="P671" i="3"/>
  <c r="P610" i="3"/>
  <c r="P1218" i="3"/>
  <c r="P2419" i="3"/>
  <c r="Q1639" i="3"/>
  <c r="Q540" i="3"/>
  <c r="P1609" i="3"/>
  <c r="P667" i="3"/>
  <c r="P2191" i="3"/>
  <c r="P1890" i="3"/>
  <c r="P688" i="3"/>
  <c r="P1228" i="3"/>
  <c r="P1219" i="3"/>
  <c r="P802" i="3"/>
  <c r="Q2637" i="3"/>
  <c r="Q2471" i="3"/>
  <c r="Q2447" i="3"/>
  <c r="Q884" i="3"/>
  <c r="Q2132" i="3"/>
  <c r="Q1645" i="3"/>
  <c r="Q1712" i="3"/>
  <c r="Q1715" i="3"/>
  <c r="P295" i="3"/>
  <c r="P296" i="3"/>
  <c r="P831" i="3"/>
  <c r="P825" i="3"/>
  <c r="P829" i="3"/>
  <c r="Q1473" i="3"/>
  <c r="Q794" i="3"/>
  <c r="Q697" i="3"/>
  <c r="P1741" i="3"/>
  <c r="P1642" i="3"/>
  <c r="P1947" i="3"/>
  <c r="P1589" i="3"/>
  <c r="P1505" i="3"/>
  <c r="P274" i="3"/>
  <c r="P1503" i="3"/>
  <c r="P1260" i="3"/>
  <c r="P1013" i="3"/>
  <c r="P1608" i="3"/>
  <c r="P2112" i="3"/>
  <c r="P1614" i="3"/>
  <c r="H1008" i="5"/>
  <c r="H400" i="5"/>
  <c r="I119" i="5"/>
  <c r="I941" i="5"/>
  <c r="P305" i="3"/>
  <c r="P1943" i="3"/>
  <c r="P875" i="3"/>
  <c r="P2313" i="3"/>
  <c r="P1217" i="3"/>
  <c r="P1813" i="3"/>
  <c r="P1406" i="3"/>
  <c r="P1897" i="3"/>
  <c r="P1222" i="3"/>
  <c r="P799" i="3"/>
  <c r="P798" i="3"/>
  <c r="P387" i="3"/>
  <c r="Q2639" i="3"/>
  <c r="Q2470" i="3"/>
  <c r="Q2446" i="3"/>
  <c r="Q885" i="3"/>
  <c r="Q920" i="3"/>
  <c r="Q1640" i="3"/>
  <c r="Q1476" i="3"/>
  <c r="Q1472" i="3"/>
  <c r="P594" i="3"/>
  <c r="Q1739" i="3"/>
  <c r="Q539" i="3"/>
  <c r="P736" i="3"/>
  <c r="P822" i="3"/>
  <c r="P938" i="3"/>
  <c r="Q1711" i="3"/>
  <c r="Q699" i="3"/>
  <c r="P916" i="3"/>
  <c r="P1735" i="3"/>
  <c r="P184" i="3"/>
  <c r="P1721" i="3"/>
  <c r="P1253" i="3"/>
  <c r="P1613" i="3"/>
  <c r="P269" i="3"/>
  <c r="P2314" i="3"/>
  <c r="P1506" i="3"/>
  <c r="P261" i="3"/>
  <c r="P1979" i="3"/>
  <c r="P1949" i="3"/>
  <c r="P2111" i="3"/>
  <c r="P2285" i="3"/>
  <c r="P1941" i="3"/>
  <c r="I651" i="5"/>
  <c r="H156" i="5"/>
  <c r="H1007" i="5"/>
  <c r="I849" i="5"/>
  <c r="H533" i="5"/>
  <c r="I373" i="5"/>
  <c r="P1265" i="3"/>
  <c r="P1725" i="3"/>
  <c r="P1251" i="3"/>
  <c r="Q1716" i="3"/>
  <c r="P293" i="3"/>
  <c r="Q1736" i="3"/>
  <c r="P830" i="3"/>
  <c r="P828" i="3"/>
  <c r="P823" i="3"/>
  <c r="Q793" i="3"/>
  <c r="Q694" i="3"/>
  <c r="P186" i="3"/>
  <c r="P699" i="3"/>
  <c r="P1658" i="3"/>
  <c r="P880" i="3"/>
  <c r="P2110" i="3"/>
  <c r="P568" i="3"/>
  <c r="P1945" i="3"/>
  <c r="P1254" i="3"/>
  <c r="P1321" i="3"/>
  <c r="P1655" i="3"/>
  <c r="P1612" i="3"/>
  <c r="P1669" i="3"/>
  <c r="P2284" i="3"/>
  <c r="P1948" i="3"/>
  <c r="P1007" i="3"/>
  <c r="P1610" i="3"/>
  <c r="P2286" i="3"/>
  <c r="P646" i="3"/>
  <c r="I36" i="5"/>
  <c r="H399" i="5"/>
  <c r="I438" i="5"/>
  <c r="H534" i="5"/>
  <c r="H997" i="5"/>
  <c r="I2" i="5"/>
  <c r="P2113" i="3"/>
  <c r="P2426" i="3"/>
  <c r="P1010" i="3"/>
  <c r="P545" i="3"/>
  <c r="P1807" i="3"/>
  <c r="P1893" i="3"/>
  <c r="P2418" i="3"/>
  <c r="P803" i="3"/>
  <c r="Q2469" i="3"/>
  <c r="Q919" i="3"/>
  <c r="P1811" i="3"/>
  <c r="P1437" i="3"/>
  <c r="P1889" i="3"/>
  <c r="P1225" i="3"/>
  <c r="P2421" i="3"/>
  <c r="P801" i="3"/>
  <c r="P933" i="3"/>
  <c r="Q2467" i="3"/>
  <c r="Q2468" i="3"/>
  <c r="Q880" i="3"/>
  <c r="Q918" i="3"/>
  <c r="Q1642" i="3"/>
  <c r="Q1477" i="3"/>
  <c r="Q183" i="3"/>
  <c r="Q1738" i="3"/>
  <c r="P288" i="3"/>
  <c r="P291" i="3"/>
  <c r="P733" i="3"/>
  <c r="P734" i="3"/>
  <c r="P732" i="3"/>
  <c r="Q792" i="3"/>
  <c r="P1606" i="3"/>
  <c r="P695" i="3"/>
  <c r="P570" i="3"/>
  <c r="P883" i="3"/>
  <c r="P1064" i="3"/>
  <c r="P1940" i="3"/>
  <c r="P1259" i="3"/>
  <c r="P267" i="3"/>
  <c r="P1062" i="3"/>
  <c r="P649" i="3"/>
  <c r="P1976" i="3"/>
  <c r="P1946" i="3"/>
  <c r="P1067" i="3"/>
  <c r="P1263" i="3"/>
  <c r="H991" i="5"/>
  <c r="I197" i="5"/>
  <c r="P766" i="3"/>
  <c r="P1323" i="3"/>
  <c r="P1978" i="3"/>
  <c r="I622" i="5"/>
  <c r="P670" i="3"/>
  <c r="P1436" i="3"/>
  <c r="P800" i="3"/>
  <c r="P1216" i="3"/>
  <c r="Q2638" i="3"/>
  <c r="Q2444" i="3"/>
  <c r="Q878" i="3"/>
  <c r="Q1641" i="3"/>
  <c r="P1812" i="3"/>
  <c r="P1435" i="3"/>
  <c r="P1226" i="3"/>
  <c r="P1221" i="3"/>
  <c r="P2417" i="3"/>
  <c r="P797" i="3"/>
  <c r="P931" i="3"/>
  <c r="Q2465" i="3"/>
  <c r="Q2443" i="3"/>
  <c r="Q879" i="3"/>
  <c r="Q917" i="3"/>
  <c r="Q1643" i="3"/>
  <c r="Q541" i="3"/>
  <c r="Q1713" i="3"/>
  <c r="Q185" i="3"/>
  <c r="P289" i="3"/>
  <c r="P824" i="3"/>
  <c r="Q791" i="3"/>
  <c r="P878" i="3"/>
  <c r="P1069" i="3"/>
  <c r="P1262" i="3"/>
  <c r="P1060" i="3"/>
  <c r="P881" i="3"/>
  <c r="P2114" i="3"/>
  <c r="P2116" i="3"/>
  <c r="P1068" i="3"/>
  <c r="P1942" i="3"/>
  <c r="P271" i="3"/>
  <c r="P1320" i="3"/>
  <c r="P1059" i="3"/>
  <c r="P1264" i="3"/>
  <c r="P1674" i="3"/>
  <c r="P1066" i="3"/>
  <c r="P275" i="3"/>
  <c r="H547" i="5"/>
  <c r="I410" i="5"/>
  <c r="I718" i="5"/>
  <c r="P1507" i="3"/>
  <c r="I1073" i="5"/>
  <c r="P1587" i="3"/>
  <c r="H1023" i="5"/>
  <c r="P1660" i="3"/>
  <c r="P1220" i="3"/>
  <c r="P932" i="3"/>
  <c r="Q2463" i="3"/>
  <c r="Q2445" i="3"/>
  <c r="Q916" i="3"/>
  <c r="Q1644" i="3"/>
  <c r="Q1474" i="3"/>
  <c r="Q1470" i="3"/>
  <c r="Q186" i="3"/>
  <c r="P299" i="3"/>
  <c r="Q1740" i="3"/>
  <c r="Q1734" i="3"/>
  <c r="P737" i="3"/>
  <c r="P738" i="3"/>
  <c r="P827" i="3"/>
  <c r="Q698" i="3"/>
  <c r="P694" i="3"/>
  <c r="P1675" i="3"/>
  <c r="P1746" i="3"/>
  <c r="P260" i="3"/>
  <c r="P2115" i="3"/>
  <c r="P1742" i="3"/>
  <c r="P879" i="3"/>
  <c r="P1009" i="3"/>
  <c r="P541" i="3"/>
  <c r="P1063" i="3"/>
  <c r="P1944" i="3"/>
  <c r="P1258" i="3"/>
  <c r="P1748" i="3"/>
  <c r="P1672" i="3"/>
  <c r="P1670" i="3"/>
  <c r="P1744" i="3"/>
  <c r="H806" i="5"/>
  <c r="H532" i="5"/>
  <c r="H1014" i="5"/>
  <c r="I167" i="5"/>
  <c r="I372" i="5"/>
  <c r="H539" i="5"/>
  <c r="I1078" i="5"/>
  <c r="I938" i="5"/>
  <c r="P273" i="3"/>
  <c r="P1061" i="3"/>
  <c r="I627" i="5"/>
  <c r="P647" i="3"/>
  <c r="P664" i="3"/>
  <c r="P2192" i="3"/>
  <c r="P1410" i="3"/>
  <c r="P2380" i="3"/>
  <c r="P1224" i="3"/>
  <c r="P1227" i="3"/>
  <c r="P2416" i="3"/>
  <c r="P796" i="3"/>
  <c r="Q2464" i="3"/>
  <c r="Q2442" i="3"/>
  <c r="Q882" i="3"/>
  <c r="Q1646" i="3"/>
  <c r="Q1475" i="3"/>
  <c r="Q1714" i="3"/>
  <c r="Q184" i="3"/>
  <c r="P592" i="3"/>
  <c r="P297" i="3"/>
  <c r="Q1735" i="3"/>
  <c r="Q695" i="3"/>
  <c r="P696" i="3"/>
  <c r="P1473" i="3"/>
  <c r="P1696" i="3"/>
  <c r="P263" i="3"/>
  <c r="P1743" i="3"/>
  <c r="P648" i="3"/>
  <c r="P1975" i="3"/>
  <c r="P1747" i="3"/>
  <c r="P884" i="3"/>
  <c r="P2108" i="3"/>
  <c r="P1745" i="3"/>
  <c r="P270" i="3"/>
  <c r="P1322" i="3"/>
  <c r="P1673" i="3"/>
  <c r="P1700" i="3"/>
  <c r="P2425" i="3"/>
  <c r="H155" i="5"/>
  <c r="H990" i="5"/>
  <c r="H1013" i="5"/>
  <c r="H993" i="5"/>
  <c r="I717" i="5"/>
  <c r="I203" i="5"/>
  <c r="H1011" i="5"/>
  <c r="P2287" i="3"/>
  <c r="P1605" i="3"/>
  <c r="P567" i="3"/>
  <c r="P2420" i="3"/>
  <c r="P2188" i="3"/>
  <c r="P2379" i="3"/>
  <c r="P1223" i="3"/>
  <c r="P795" i="3"/>
  <c r="Q2466" i="3"/>
  <c r="Q2448" i="3"/>
  <c r="Q883" i="3"/>
  <c r="Q1471" i="3"/>
  <c r="Q1741" i="3"/>
  <c r="P826" i="3"/>
  <c r="Q1717" i="3"/>
  <c r="Q1737" i="3"/>
  <c r="Q881" i="3"/>
  <c r="Q696" i="3"/>
  <c r="P602" i="3"/>
  <c r="P1714" i="3"/>
  <c r="P304" i="3"/>
  <c r="P272" i="3"/>
  <c r="P1607" i="3"/>
  <c r="P1701" i="3"/>
  <c r="P1261" i="3"/>
  <c r="P1698" i="3"/>
  <c r="P645" i="3"/>
  <c r="P2118" i="3"/>
  <c r="P1697" i="3"/>
  <c r="P1252" i="3"/>
  <c r="P1256" i="3"/>
  <c r="P920" i="3"/>
  <c r="P1611" i="3"/>
  <c r="H1009" i="5"/>
  <c r="H805" i="5"/>
  <c r="H531" i="5"/>
  <c r="H992" i="5"/>
  <c r="I118" i="5"/>
  <c r="I1091" i="5"/>
  <c r="P1699" i="3"/>
  <c r="P1750" i="3"/>
  <c r="P266" i="3"/>
  <c r="P2298" i="3"/>
  <c r="Q1154" i="3"/>
  <c r="Q248" i="3"/>
  <c r="Q2288" i="3"/>
  <c r="Q1047" i="3"/>
  <c r="Q1027" i="3"/>
  <c r="Q1592" i="3"/>
  <c r="Q675" i="3"/>
  <c r="Q2528" i="3"/>
  <c r="Q1244" i="3"/>
  <c r="Q2299" i="3"/>
  <c r="Q1190" i="3"/>
  <c r="Q1023" i="3"/>
  <c r="Q357" i="3"/>
  <c r="Q2256" i="3"/>
  <c r="Q1453" i="3"/>
  <c r="Q178" i="3"/>
  <c r="Q2350" i="3"/>
  <c r="Q899" i="3"/>
  <c r="Q411" i="3"/>
  <c r="P1301" i="3"/>
  <c r="Q847" i="3"/>
  <c r="Q244" i="3"/>
  <c r="Q995" i="3"/>
  <c r="Q1176" i="3"/>
  <c r="P1303" i="3"/>
  <c r="Q1522" i="3"/>
  <c r="Q1148" i="3"/>
  <c r="Q1150" i="3"/>
  <c r="Q851" i="3"/>
  <c r="Q2424" i="3"/>
  <c r="Q2329" i="3"/>
  <c r="Q348" i="3"/>
  <c r="Q243" i="3"/>
  <c r="Q58" i="3"/>
  <c r="Q1556" i="3"/>
  <c r="Q2397" i="3"/>
  <c r="Q1005" i="3"/>
  <c r="Q998" i="3"/>
  <c r="Q1034" i="3"/>
  <c r="Q571" i="3"/>
  <c r="Q331" i="3"/>
  <c r="Q327" i="3"/>
  <c r="Q1187" i="3"/>
  <c r="Q1183" i="3"/>
  <c r="Q1621" i="3"/>
  <c r="Q2238" i="3"/>
  <c r="Q985" i="3"/>
  <c r="Q1528" i="3"/>
  <c r="Q1092" i="3"/>
  <c r="Q1041" i="3"/>
  <c r="Q2681" i="3"/>
  <c r="Q2521" i="3"/>
  <c r="Q1029" i="3"/>
  <c r="Q1638" i="3"/>
  <c r="Q1502" i="3"/>
  <c r="Q2230" i="3"/>
  <c r="Q370" i="3"/>
  <c r="Q1595" i="3"/>
  <c r="Q217" i="3"/>
  <c r="Q1554" i="3"/>
  <c r="Q2410" i="3"/>
  <c r="Q554" i="3"/>
  <c r="Q2605" i="3"/>
  <c r="Q287" i="3"/>
  <c r="Q433" i="3"/>
  <c r="Q2617" i="3"/>
  <c r="Q2619" i="3"/>
  <c r="Q1460" i="3"/>
  <c r="Q1767" i="3"/>
  <c r="Q1518" i="3"/>
  <c r="Q1625" i="3"/>
  <c r="Q2537" i="3"/>
  <c r="Q420" i="3"/>
  <c r="Q2527" i="3"/>
  <c r="Q1384" i="3"/>
  <c r="Q1730" i="3"/>
  <c r="Q1247" i="3"/>
  <c r="Q745" i="3"/>
  <c r="Q94" i="3"/>
  <c r="Q1058" i="3"/>
  <c r="Q375" i="3"/>
  <c r="Q1086" i="3"/>
  <c r="Q70" i="3"/>
  <c r="Q253" i="3"/>
  <c r="Q323" i="3"/>
  <c r="Q2709" i="3"/>
  <c r="Q1193" i="3"/>
  <c r="Q161" i="3"/>
  <c r="Q168" i="3"/>
  <c r="Q163" i="3"/>
  <c r="Q188" i="3"/>
  <c r="Q1020" i="3"/>
  <c r="Q2318" i="3"/>
  <c r="Q352" i="3"/>
  <c r="Q532" i="3"/>
  <c r="Q1102" i="3"/>
  <c r="Q1567" i="3"/>
  <c r="Q18" i="3"/>
  <c r="Q2258" i="3"/>
  <c r="Q1204" i="3"/>
  <c r="Q578" i="3"/>
  <c r="Q1117" i="3"/>
  <c r="Q1119" i="3"/>
  <c r="Q1448" i="3"/>
  <c r="Q2702" i="3"/>
  <c r="Q435" i="3"/>
  <c r="Q423" i="3"/>
  <c r="Q176" i="3"/>
  <c r="Q1599" i="3"/>
  <c r="Q2363" i="3"/>
  <c r="Q2386" i="3"/>
  <c r="Q1173" i="3"/>
  <c r="Q1168" i="3"/>
  <c r="Q2355" i="3"/>
  <c r="Q79" i="3"/>
  <c r="Q1959" i="3"/>
  <c r="Q1543" i="3"/>
  <c r="Q454" i="3"/>
  <c r="Q27" i="3"/>
  <c r="Q911" i="3"/>
  <c r="Q605" i="3"/>
  <c r="Q125" i="3"/>
  <c r="Q122" i="3"/>
  <c r="Q1138" i="3"/>
  <c r="Q1139" i="3"/>
  <c r="Q1957" i="3"/>
  <c r="Q2281" i="3"/>
  <c r="Q710" i="3"/>
  <c r="Q704" i="3"/>
  <c r="Q1974" i="3"/>
  <c r="Q22" i="3"/>
  <c r="Q2234" i="3"/>
  <c r="Q1902" i="3"/>
  <c r="Q1904" i="3"/>
  <c r="Q2370" i="3"/>
  <c r="Q2739" i="3"/>
  <c r="Q942" i="3"/>
  <c r="Q2262" i="3"/>
  <c r="Q147" i="3"/>
  <c r="Q41" i="3"/>
  <c r="Q156" i="3"/>
  <c r="P1590" i="3"/>
  <c r="P259" i="3"/>
  <c r="P1078" i="3"/>
  <c r="P882" i="3"/>
  <c r="P1718" i="3"/>
  <c r="P301" i="3"/>
  <c r="P1694" i="3"/>
  <c r="Q1210" i="3"/>
  <c r="P877" i="3"/>
  <c r="P210" i="3"/>
  <c r="P569" i="3"/>
  <c r="Q1215" i="3"/>
  <c r="Q1213" i="3"/>
  <c r="Q363" i="3"/>
  <c r="Q84" i="3"/>
  <c r="Q976" i="3"/>
  <c r="Q1569" i="3"/>
  <c r="Q537" i="3"/>
  <c r="Q636" i="3"/>
  <c r="Q1212" i="3"/>
  <c r="Q560" i="3"/>
  <c r="Q2401" i="3"/>
  <c r="Q2404" i="3"/>
  <c r="P1715" i="3"/>
  <c r="P1712" i="3"/>
  <c r="P1472" i="3"/>
  <c r="Q955" i="3"/>
  <c r="Q2827" i="3"/>
  <c r="P2637" i="3"/>
  <c r="Q1107" i="3"/>
  <c r="Q1110" i="3"/>
  <c r="I838" i="5"/>
  <c r="I183" i="5"/>
  <c r="I215" i="5"/>
  <c r="I422" i="5"/>
  <c r="I816" i="5"/>
  <c r="H660" i="5"/>
  <c r="H82" i="5"/>
  <c r="I930" i="5"/>
  <c r="I415" i="5"/>
  <c r="I922" i="5"/>
  <c r="I138" i="5"/>
  <c r="H525" i="5"/>
  <c r="H799" i="5"/>
  <c r="I218" i="5"/>
  <c r="I420" i="5"/>
  <c r="I787" i="5"/>
  <c r="I380" i="5"/>
  <c r="H925" i="5"/>
  <c r="H842" i="5"/>
  <c r="I187" i="5"/>
  <c r="I721" i="5"/>
  <c r="I386" i="5"/>
  <c r="I512" i="5"/>
  <c r="H853" i="5"/>
  <c r="H65" i="5"/>
  <c r="H349" i="5"/>
  <c r="H540" i="5"/>
  <c r="H678" i="5"/>
  <c r="H675" i="5"/>
  <c r="I832" i="5"/>
  <c r="I387" i="5"/>
  <c r="I235" i="5"/>
  <c r="I546" i="5"/>
  <c r="I233" i="5"/>
  <c r="I243" i="5"/>
  <c r="I24" i="5"/>
  <c r="I244" i="5"/>
  <c r="H984" i="5"/>
  <c r="H766" i="5"/>
  <c r="H988" i="5"/>
  <c r="I32" i="5"/>
  <c r="I30" i="5"/>
  <c r="I212" i="5"/>
  <c r="I782" i="5"/>
  <c r="H35" i="5"/>
  <c r="H315" i="5"/>
  <c r="H683" i="5"/>
  <c r="I653" i="5"/>
  <c r="I383" i="5"/>
  <c r="H81" i="5"/>
  <c r="I661" i="5"/>
  <c r="I229" i="5"/>
  <c r="H707" i="5"/>
  <c r="H760" i="5"/>
  <c r="H522" i="5"/>
  <c r="H356" i="5"/>
  <c r="I819" i="5"/>
  <c r="H979" i="5"/>
  <c r="H351" i="5"/>
  <c r="Q979" i="3"/>
  <c r="Q135" i="3"/>
  <c r="Q150" i="3"/>
  <c r="Q316" i="3"/>
  <c r="I1067" i="5"/>
  <c r="I1110" i="5"/>
  <c r="I1074" i="5"/>
  <c r="H1100" i="5"/>
  <c r="H1154" i="5"/>
  <c r="Q1709" i="3"/>
  <c r="I633" i="5"/>
  <c r="H742" i="5"/>
  <c r="I932" i="5"/>
  <c r="H632" i="5"/>
  <c r="I918" i="5"/>
  <c r="I609" i="5"/>
  <c r="H1028" i="5"/>
  <c r="I204" i="5"/>
  <c r="I935" i="5"/>
  <c r="H123" i="5"/>
  <c r="I954" i="5"/>
  <c r="I615" i="5"/>
  <c r="H508" i="5"/>
  <c r="P2117" i="3"/>
  <c r="Q2393" i="3"/>
  <c r="Q337" i="3"/>
  <c r="Q2752" i="3"/>
  <c r="Q1634" i="3"/>
  <c r="Q223" i="3"/>
  <c r="Q1770" i="3"/>
  <c r="Q1765" i="3"/>
  <c r="Q92" i="3"/>
  <c r="Q1705" i="3"/>
  <c r="Q2744" i="3"/>
  <c r="Q240" i="3"/>
  <c r="Q1101" i="3"/>
  <c r="Q1123" i="3"/>
  <c r="Q428" i="3"/>
  <c r="Q1164" i="3"/>
  <c r="Q449" i="3"/>
  <c r="Q1144" i="3"/>
  <c r="Q2268" i="3"/>
  <c r="Q1525" i="3"/>
  <c r="Q852" i="3"/>
  <c r="Q341" i="3"/>
  <c r="Q1558" i="3"/>
  <c r="Q573" i="3"/>
  <c r="Q339" i="3"/>
  <c r="Q1622" i="3"/>
  <c r="Q1576" i="3"/>
  <c r="P1008" i="3"/>
  <c r="P1011" i="3"/>
  <c r="Q1156" i="3"/>
  <c r="Q850" i="3"/>
  <c r="Q1555" i="3"/>
  <c r="Q2396" i="3"/>
  <c r="Q1039" i="3"/>
  <c r="Q1179" i="3"/>
  <c r="Q2290" i="3"/>
  <c r="Q991" i="3"/>
  <c r="Q1535" i="3"/>
  <c r="Q2682" i="3"/>
  <c r="Q2520" i="3"/>
  <c r="Q1636" i="3"/>
  <c r="Q2515" i="3"/>
  <c r="Q1594" i="3"/>
  <c r="Q1553" i="3"/>
  <c r="Q553" i="3"/>
  <c r="Q2602" i="3"/>
  <c r="Q286" i="3"/>
  <c r="Q2616" i="3"/>
  <c r="Q1772" i="3"/>
  <c r="Q1516" i="3"/>
  <c r="Q2538" i="3"/>
  <c r="Q2526" i="3"/>
  <c r="Q744" i="3"/>
  <c r="Q1050" i="3"/>
  <c r="Q2301" i="3"/>
  <c r="Q1085" i="3"/>
  <c r="Q251" i="3"/>
  <c r="Q252" i="3"/>
  <c r="Q322" i="3"/>
  <c r="Q2708" i="3"/>
  <c r="Q14" i="3"/>
  <c r="Q1192" i="3"/>
  <c r="Q159" i="3"/>
  <c r="Q160" i="3"/>
  <c r="Q106" i="3"/>
  <c r="Q194" i="3"/>
  <c r="Q1018" i="3"/>
  <c r="Q242" i="3"/>
  <c r="Q2317" i="3"/>
  <c r="Q351" i="3"/>
  <c r="Q588" i="3"/>
  <c r="Q1100" i="3"/>
  <c r="Q1566" i="3"/>
  <c r="Q17" i="3"/>
  <c r="Q1203" i="3"/>
  <c r="Q2296" i="3"/>
  <c r="Q577" i="3"/>
  <c r="Q1126" i="3"/>
  <c r="Q1124" i="3"/>
  <c r="Q1447" i="3"/>
  <c r="Q2701" i="3"/>
  <c r="Q434" i="3"/>
  <c r="Q1579" i="3"/>
  <c r="Q174" i="3"/>
  <c r="Q1604" i="3"/>
  <c r="Q2388" i="3"/>
  <c r="Q2361" i="3"/>
  <c r="Q1165" i="3"/>
  <c r="Q1175" i="3"/>
  <c r="Q2354" i="3"/>
  <c r="Q1963" i="3"/>
  <c r="Q1542" i="3"/>
  <c r="Q444" i="3"/>
  <c r="Q26" i="3"/>
  <c r="Q903" i="3"/>
  <c r="Q606" i="3"/>
  <c r="Q117" i="3"/>
  <c r="Q114" i="3"/>
  <c r="Q1137" i="3"/>
  <c r="Q413" i="3"/>
  <c r="Q1950" i="3"/>
  <c r="Q2280" i="3"/>
  <c r="Q702" i="3"/>
  <c r="Q711" i="3"/>
  <c r="Q1973" i="3"/>
  <c r="Q21" i="3"/>
  <c r="Q1909" i="3"/>
  <c r="Q2368" i="3"/>
  <c r="Q2738" i="3"/>
  <c r="Q947" i="3"/>
  <c r="Q2267" i="3"/>
  <c r="Q149" i="3"/>
  <c r="Q43" i="3"/>
  <c r="Q155" i="3"/>
  <c r="P268" i="3"/>
  <c r="P262" i="3"/>
  <c r="P1080" i="3"/>
  <c r="P885" i="3"/>
  <c r="P1719" i="3"/>
  <c r="P303" i="3"/>
  <c r="P1509" i="3"/>
  <c r="Q1211" i="3"/>
  <c r="P876" i="3"/>
  <c r="Q85" i="3"/>
  <c r="P1656" i="3"/>
  <c r="Q358" i="3"/>
  <c r="Q360" i="3"/>
  <c r="Q83" i="3"/>
  <c r="Q973" i="3"/>
  <c r="Q638" i="3"/>
  <c r="Q2581" i="3"/>
  <c r="Q359" i="3"/>
  <c r="Q2580" i="3"/>
  <c r="Q951" i="3"/>
  <c r="P183" i="3"/>
  <c r="P1645" i="3"/>
  <c r="P1716" i="3"/>
  <c r="Q535" i="3"/>
  <c r="P1641" i="3"/>
  <c r="Q2278" i="3"/>
  <c r="Q2829" i="3"/>
  <c r="P1768" i="3"/>
  <c r="P1772" i="3"/>
  <c r="P2442" i="3"/>
  <c r="Q2432" i="3"/>
  <c r="Q2390" i="3"/>
  <c r="I839" i="5"/>
  <c r="I931" i="5"/>
  <c r="I179" i="5"/>
  <c r="I817" i="5"/>
  <c r="H48" i="5"/>
  <c r="H914" i="5"/>
  <c r="I226" i="5"/>
  <c r="I172" i="5"/>
  <c r="I220" i="5"/>
  <c r="I699" i="5"/>
  <c r="I382" i="5"/>
  <c r="H801" i="5"/>
  <c r="I978" i="5"/>
  <c r="I176" i="5"/>
  <c r="I785" i="5"/>
  <c r="I136" i="5"/>
  <c r="H221" i="5"/>
  <c r="H433" i="5"/>
  <c r="I428" i="5"/>
  <c r="I129" i="5"/>
  <c r="I142" i="5"/>
  <c r="I242" i="5"/>
  <c r="H441" i="5"/>
  <c r="H734" i="5"/>
  <c r="H98" i="5"/>
  <c r="H331" i="5"/>
  <c r="H328" i="5"/>
  <c r="I182" i="5"/>
  <c r="I790" i="5"/>
  <c r="I835" i="5"/>
  <c r="I445" i="5"/>
  <c r="I927" i="5"/>
  <c r="I514" i="5"/>
  <c r="H524" i="5"/>
  <c r="H1000" i="5"/>
  <c r="H767" i="5"/>
  <c r="H529" i="5"/>
  <c r="I921" i="5"/>
  <c r="H1001" i="5"/>
  <c r="H507" i="5"/>
  <c r="I649" i="5"/>
  <c r="I642" i="5"/>
  <c r="I781" i="5"/>
  <c r="I975" i="5"/>
  <c r="H737" i="5"/>
  <c r="H811" i="5"/>
  <c r="H96" i="5"/>
  <c r="H682" i="5"/>
  <c r="I47" i="5"/>
  <c r="I645" i="5"/>
  <c r="H1026" i="5"/>
  <c r="H620" i="5"/>
  <c r="I55" i="5"/>
  <c r="I261" i="5"/>
  <c r="H708" i="5"/>
  <c r="H759" i="5"/>
  <c r="H673" i="5"/>
  <c r="I414" i="5"/>
  <c r="H289" i="5"/>
  <c r="H100" i="5"/>
  <c r="Q141" i="3"/>
  <c r="Q137" i="3"/>
  <c r="Q153" i="3"/>
  <c r="Q317" i="3"/>
  <c r="I1071" i="5"/>
  <c r="I1144" i="5"/>
  <c r="I1092" i="5"/>
  <c r="H1136" i="5"/>
  <c r="H1148" i="5"/>
  <c r="I1166" i="5"/>
  <c r="I57" i="5"/>
  <c r="I948" i="5"/>
  <c r="H1022" i="5"/>
  <c r="I871" i="5"/>
  <c r="H758" i="5"/>
  <c r="I942" i="5"/>
  <c r="I26" i="5"/>
  <c r="I1030" i="5"/>
  <c r="H1032" i="5"/>
  <c r="I1059" i="5"/>
  <c r="I950" i="5"/>
  <c r="H618" i="5"/>
  <c r="Q1526" i="3"/>
  <c r="Q345" i="3"/>
  <c r="Q2377" i="3"/>
  <c r="Q1178" i="3"/>
  <c r="Q1530" i="3"/>
  <c r="Q367" i="3"/>
  <c r="Q2608" i="3"/>
  <c r="Q2614" i="3"/>
  <c r="Q1631" i="3"/>
  <c r="Q686" i="3"/>
  <c r="Q1054" i="3"/>
  <c r="Q13" i="3"/>
  <c r="Q191" i="3"/>
  <c r="Q772" i="3"/>
  <c r="Q2293" i="3"/>
  <c r="Q2387" i="3"/>
  <c r="Q902" i="3"/>
  <c r="Q1955" i="3"/>
  <c r="Q1970" i="3"/>
  <c r="Q2680" i="3"/>
  <c r="Q42" i="3"/>
  <c r="Q967" i="3"/>
  <c r="P1012" i="3"/>
  <c r="Q1151" i="3"/>
  <c r="Q54" i="3"/>
  <c r="Q1037" i="3"/>
  <c r="Q335" i="3"/>
  <c r="Q2237" i="3"/>
  <c r="Q2749" i="3"/>
  <c r="P1439" i="3"/>
  <c r="P1440" i="3"/>
  <c r="P2311" i="3"/>
  <c r="Q1521" i="3"/>
  <c r="Q1155" i="3"/>
  <c r="Q2423" i="3"/>
  <c r="Q347" i="3"/>
  <c r="Q340" i="3"/>
  <c r="Q53" i="3"/>
  <c r="Q997" i="3"/>
  <c r="Q585" i="3"/>
  <c r="Q572" i="3"/>
  <c r="Q338" i="3"/>
  <c r="Q334" i="3"/>
  <c r="Q1620" i="3"/>
  <c r="Q987" i="3"/>
  <c r="Q1091" i="3"/>
  <c r="Q1045" i="3"/>
  <c r="Q1501" i="3"/>
  <c r="Q369" i="3"/>
  <c r="Q224" i="3"/>
  <c r="Q2409" i="3"/>
  <c r="Q432" i="3"/>
  <c r="Q2611" i="3"/>
  <c r="Q1459" i="3"/>
  <c r="Q1632" i="3"/>
  <c r="Q419" i="3"/>
  <c r="Q1383" i="3"/>
  <c r="Q1729" i="3"/>
  <c r="Q1246" i="3"/>
  <c r="Q1056" i="3"/>
  <c r="Q2745" i="3"/>
  <c r="P1442" i="3"/>
  <c r="P1982" i="3"/>
  <c r="P2119" i="3"/>
  <c r="Q1520" i="3"/>
  <c r="Q1146" i="3"/>
  <c r="Q1147" i="3"/>
  <c r="Q857" i="3"/>
  <c r="Q2422" i="3"/>
  <c r="Q346" i="3"/>
  <c r="Q249" i="3"/>
  <c r="Q1562" i="3"/>
  <c r="Q576" i="3"/>
  <c r="Q2394" i="3"/>
  <c r="Q1004" i="3"/>
  <c r="Q584" i="3"/>
  <c r="Q1038" i="3"/>
  <c r="Q574" i="3"/>
  <c r="Q330" i="3"/>
  <c r="Q333" i="3"/>
  <c r="Q1186" i="3"/>
  <c r="Q1619" i="3"/>
  <c r="Q2289" i="3"/>
  <c r="Q984" i="3"/>
  <c r="Q990" i="3"/>
  <c r="Q1533" i="3"/>
  <c r="Q1527" i="3"/>
  <c r="Q1089" i="3"/>
  <c r="Q1042" i="3"/>
  <c r="Q2684" i="3"/>
  <c r="Q1032" i="3"/>
  <c r="Q1635" i="3"/>
  <c r="Q1499" i="3"/>
  <c r="Q2516" i="3"/>
  <c r="Q368" i="3"/>
  <c r="Q1593" i="3"/>
  <c r="Q216" i="3"/>
  <c r="Q1549" i="3"/>
  <c r="Q2414" i="3"/>
  <c r="Q552" i="3"/>
  <c r="Q2601" i="3"/>
  <c r="Q285" i="3"/>
  <c r="Q431" i="3"/>
  <c r="Q2615" i="3"/>
  <c r="Q1458" i="3"/>
  <c r="Q672" i="3"/>
  <c r="Q1771" i="3"/>
  <c r="Q1515" i="3"/>
  <c r="Q1624" i="3"/>
  <c r="Q2536" i="3"/>
  <c r="Q418" i="3"/>
  <c r="Q1766" i="3"/>
  <c r="Q1382" i="3"/>
  <c r="Q1728" i="3"/>
  <c r="Q1243" i="3"/>
  <c r="Q1245" i="3"/>
  <c r="Q743" i="3"/>
  <c r="Q1052" i="3"/>
  <c r="Q1055" i="3"/>
  <c r="Q2300" i="3"/>
  <c r="Q1082" i="3"/>
  <c r="Q258" i="3"/>
  <c r="Q1708" i="3"/>
  <c r="Q321" i="3"/>
  <c r="Q2746" i="3"/>
  <c r="Q2710" i="3"/>
  <c r="Q15" i="3"/>
  <c r="Q1191" i="3"/>
  <c r="Q172" i="3"/>
  <c r="Q166" i="3"/>
  <c r="Q107" i="3"/>
  <c r="Q193" i="3"/>
  <c r="Q1017" i="3"/>
  <c r="Q241" i="3"/>
  <c r="Q950" i="3"/>
  <c r="Q350" i="3"/>
  <c r="Q587" i="3"/>
  <c r="Q1099" i="3"/>
  <c r="Q1564" i="3"/>
  <c r="Q2257" i="3"/>
  <c r="Q1202" i="3"/>
  <c r="Q2294" i="3"/>
  <c r="Q583" i="3"/>
  <c r="Q1125" i="3"/>
  <c r="Q414" i="3"/>
  <c r="Q1454" i="3"/>
  <c r="Q2700" i="3"/>
  <c r="Q422" i="3"/>
  <c r="Q1580" i="3"/>
  <c r="Q180" i="3"/>
  <c r="Q1603" i="3"/>
  <c r="Q2362" i="3"/>
  <c r="Q2383" i="3"/>
  <c r="Q1172" i="3"/>
  <c r="Q1167" i="3"/>
  <c r="Q2358" i="3"/>
  <c r="Q1966" i="3"/>
  <c r="Q1540" i="3"/>
  <c r="Q450" i="3"/>
  <c r="Q453" i="3"/>
  <c r="Q907" i="3"/>
  <c r="Q910" i="3"/>
  <c r="Q604" i="3"/>
  <c r="Q126" i="3"/>
  <c r="Q121" i="3"/>
  <c r="Q1136" i="3"/>
  <c r="Q412" i="3"/>
  <c r="Q1956" i="3"/>
  <c r="Q2279" i="3"/>
  <c r="Q709" i="3"/>
  <c r="Q703" i="3"/>
  <c r="Q1972" i="3"/>
  <c r="Q24" i="3"/>
  <c r="Q1901" i="3"/>
  <c r="Q2367" i="3"/>
  <c r="Q2741" i="3"/>
  <c r="Q946" i="3"/>
  <c r="Q2266" i="3"/>
  <c r="Q60" i="3"/>
  <c r="Q1206" i="3"/>
  <c r="P265" i="3"/>
  <c r="P1070" i="3"/>
  <c r="P1076" i="3"/>
  <c r="P1720" i="3"/>
  <c r="P302" i="3"/>
  <c r="P1504" i="3"/>
  <c r="Q1207" i="3"/>
  <c r="Q2272" i="3"/>
  <c r="Q972" i="3"/>
  <c r="Q969" i="3"/>
  <c r="Q975" i="3"/>
  <c r="Q1575" i="3"/>
  <c r="Q639" i="3"/>
  <c r="Q1438" i="3"/>
  <c r="Q2178" i="3"/>
  <c r="Q768" i="3"/>
  <c r="Q2624" i="3"/>
  <c r="Q2441" i="3"/>
  <c r="Q2405" i="3"/>
  <c r="P1711" i="3"/>
  <c r="P1713" i="3"/>
  <c r="P1475" i="3"/>
  <c r="P1737" i="3"/>
  <c r="Q956" i="3"/>
  <c r="P1471" i="3"/>
  <c r="Q641" i="3"/>
  <c r="Q46" i="3"/>
  <c r="Q2826" i="3"/>
  <c r="P2445" i="3"/>
  <c r="P1767" i="3"/>
  <c r="Q1113" i="3"/>
  <c r="Q2428" i="3"/>
  <c r="Q1111" i="3"/>
  <c r="I188" i="5"/>
  <c r="I227" i="5"/>
  <c r="I823" i="5"/>
  <c r="I169" i="5"/>
  <c r="H1004" i="5"/>
  <c r="H491" i="5"/>
  <c r="I659" i="5"/>
  <c r="I841" i="5"/>
  <c r="I367" i="5"/>
  <c r="H722" i="5"/>
  <c r="H396" i="5"/>
  <c r="I516" i="5"/>
  <c r="I836" i="5"/>
  <c r="I385" i="5"/>
  <c r="I773" i="5"/>
  <c r="I39" i="5"/>
  <c r="H983" i="5"/>
  <c r="H432" i="5"/>
  <c r="I657" i="5"/>
  <c r="I484" i="5"/>
  <c r="I18" i="5"/>
  <c r="H733" i="5"/>
  <c r="H732" i="5"/>
  <c r="H804" i="5"/>
  <c r="H330" i="5"/>
  <c r="H69" i="5"/>
  <c r="I424" i="5"/>
  <c r="I143" i="5"/>
  <c r="I426" i="5"/>
  <c r="I667" i="5"/>
  <c r="I852" i="5"/>
  <c r="I497" i="5"/>
  <c r="I654" i="5"/>
  <c r="H542" i="5"/>
  <c r="H666" i="5"/>
  <c r="I219" i="5"/>
  <c r="H543" i="5"/>
  <c r="H236" i="5"/>
  <c r="I306" i="5"/>
  <c r="I22" i="5"/>
  <c r="I384" i="5"/>
  <c r="I241" i="5"/>
  <c r="H736" i="5"/>
  <c r="H810" i="5"/>
  <c r="H314" i="5"/>
  <c r="H334" i="5"/>
  <c r="I778" i="5"/>
  <c r="I303" i="5"/>
  <c r="H548" i="5"/>
  <c r="H621" i="5"/>
  <c r="I262" i="5"/>
  <c r="H353" i="5"/>
  <c r="H348" i="5"/>
  <c r="H1006" i="5"/>
  <c r="H674" i="5"/>
  <c r="I171" i="5"/>
  <c r="H519" i="5"/>
  <c r="H101" i="5"/>
  <c r="Q130" i="3"/>
  <c r="Q132" i="3"/>
  <c r="Q151" i="3"/>
  <c r="I1070" i="5"/>
  <c r="I1147" i="5"/>
  <c r="I1088" i="5"/>
  <c r="I1153" i="5"/>
  <c r="H1102" i="5"/>
  <c r="I943" i="5"/>
  <c r="I625" i="5"/>
  <c r="H1017" i="5"/>
  <c r="I1069" i="5"/>
  <c r="H1058" i="5"/>
  <c r="I246" i="5"/>
  <c r="I933" i="5"/>
  <c r="I1068" i="5"/>
  <c r="I34" i="5"/>
  <c r="I939" i="5"/>
  <c r="P2312" i="3"/>
  <c r="I628" i="5"/>
  <c r="I232" i="5"/>
  <c r="Q48" i="3"/>
  <c r="Q2831" i="3"/>
  <c r="P2448" i="3"/>
  <c r="P2466" i="3"/>
  <c r="Q1116" i="3"/>
  <c r="Q1108" i="3"/>
  <c r="Q2429" i="3"/>
  <c r="I429" i="5"/>
  <c r="I807" i="5"/>
  <c r="I498" i="5"/>
  <c r="I822" i="5"/>
  <c r="I411" i="5"/>
  <c r="I43" i="5"/>
  <c r="I431" i="5"/>
  <c r="H132" i="5"/>
  <c r="H395" i="5"/>
  <c r="I248" i="5"/>
  <c r="I427" i="5"/>
  <c r="I141" i="5"/>
  <c r="I774" i="5"/>
  <c r="H523" i="5"/>
  <c r="H192" i="5"/>
  <c r="I308" i="5"/>
  <c r="I17" i="5"/>
  <c r="H671" i="5"/>
  <c r="H735" i="5"/>
  <c r="H731" i="5"/>
  <c r="H803" i="5"/>
  <c r="H72" i="5"/>
  <c r="I995" i="5"/>
  <c r="H855" i="5"/>
  <c r="I185" i="5"/>
  <c r="I668" i="5"/>
  <c r="I436" i="5"/>
  <c r="I206" i="5"/>
  <c r="I224" i="5"/>
  <c r="I38" i="5"/>
  <c r="H793" i="5"/>
  <c r="H319" i="5"/>
  <c r="I969" i="5"/>
  <c r="I647" i="5"/>
  <c r="H1003" i="5"/>
  <c r="I33" i="5"/>
  <c r="I23" i="5"/>
  <c r="I140" i="5"/>
  <c r="I511" i="5"/>
  <c r="H700" i="5"/>
  <c r="H405" i="5"/>
  <c r="H980" i="5"/>
  <c r="H681" i="5"/>
  <c r="I780" i="5"/>
  <c r="I29" i="5"/>
  <c r="I485" i="5"/>
  <c r="I92" i="5"/>
  <c r="H354" i="5"/>
  <c r="H697" i="5"/>
  <c r="H326" i="5"/>
  <c r="I413" i="5"/>
  <c r="H768" i="5"/>
  <c r="Q140" i="3"/>
  <c r="Q980" i="3"/>
  <c r="Q128" i="3"/>
  <c r="I1105" i="5"/>
  <c r="I1130" i="5"/>
  <c r="I1143" i="5"/>
  <c r="I1122" i="5"/>
  <c r="I1118" i="5"/>
  <c r="I1141" i="5"/>
  <c r="H1142" i="5"/>
  <c r="H1056" i="5"/>
  <c r="I870" i="5"/>
  <c r="H745" i="5"/>
  <c r="I960" i="5"/>
  <c r="I1066" i="5"/>
  <c r="I449" i="5"/>
  <c r="I641" i="5"/>
  <c r="I161" i="5"/>
  <c r="I28" i="5"/>
  <c r="I953" i="5"/>
  <c r="H311" i="5"/>
  <c r="I945" i="5"/>
  <c r="P1977" i="3"/>
  <c r="Q1145" i="3"/>
  <c r="Q2327" i="3"/>
  <c r="Q1557" i="3"/>
  <c r="Q1036" i="3"/>
  <c r="Q1618" i="3"/>
  <c r="Q1532" i="3"/>
  <c r="Q1090" i="3"/>
  <c r="Q2685" i="3"/>
  <c r="Q2525" i="3"/>
  <c r="Q1025" i="3"/>
  <c r="Q1633" i="3"/>
  <c r="Q1497" i="3"/>
  <c r="Q2517" i="3"/>
  <c r="Q374" i="3"/>
  <c r="Q1598" i="3"/>
  <c r="Q215" i="3"/>
  <c r="Q1551" i="3"/>
  <c r="Q2412" i="3"/>
  <c r="Q2598" i="3"/>
  <c r="Q2604" i="3"/>
  <c r="Q2613" i="3"/>
  <c r="Q1456" i="3"/>
  <c r="Q674" i="3"/>
  <c r="Q1513" i="3"/>
  <c r="Q1628" i="3"/>
  <c r="Q1629" i="3"/>
  <c r="Q2539" i="3"/>
  <c r="Q2532" i="3"/>
  <c r="Q1764" i="3"/>
  <c r="Q1380" i="3"/>
  <c r="Q685" i="3"/>
  <c r="Q1726" i="3"/>
  <c r="Q1242" i="3"/>
  <c r="Q742" i="3"/>
  <c r="Q93" i="3"/>
  <c r="Q1049" i="3"/>
  <c r="Q379" i="3"/>
  <c r="Q1084" i="3"/>
  <c r="Q74" i="3"/>
  <c r="Q257" i="3"/>
  <c r="Q1704" i="3"/>
  <c r="Q319" i="3"/>
  <c r="Q2743" i="3"/>
  <c r="Q2714" i="3"/>
  <c r="Q12" i="3"/>
  <c r="Q1189" i="3"/>
  <c r="Q169" i="3"/>
  <c r="Q173" i="3"/>
  <c r="Q189" i="3"/>
  <c r="Q1019" i="3"/>
  <c r="Q1015" i="3"/>
  <c r="Q239" i="3"/>
  <c r="Q948" i="3"/>
  <c r="Q349" i="3"/>
  <c r="Q771" i="3"/>
  <c r="Q1097" i="3"/>
  <c r="Q1106" i="3"/>
  <c r="Q2252" i="3"/>
  <c r="Q2255" i="3"/>
  <c r="Q1200" i="3"/>
  <c r="Q2295" i="3"/>
  <c r="Q556" i="3"/>
  <c r="Q1121" i="3"/>
  <c r="Q416" i="3"/>
  <c r="Q1452" i="3"/>
  <c r="Q2706" i="3"/>
  <c r="Q427" i="3"/>
  <c r="Q1581" i="3"/>
  <c r="Q177" i="3"/>
  <c r="Q1601" i="3"/>
  <c r="Q2360" i="3"/>
  <c r="Q2344" i="3"/>
  <c r="Q1171" i="3"/>
  <c r="Q2351" i="3"/>
  <c r="Q2349" i="3"/>
  <c r="Q1964" i="3"/>
  <c r="Q1546" i="3"/>
  <c r="Q448" i="3"/>
  <c r="Q25" i="3"/>
  <c r="Q906" i="3"/>
  <c r="Q909" i="3"/>
  <c r="Q52" i="3"/>
  <c r="Q124" i="3"/>
  <c r="Q119" i="3"/>
  <c r="Q1135" i="3"/>
  <c r="Q410" i="3"/>
  <c r="Q1954" i="3"/>
  <c r="Q75" i="3"/>
  <c r="Q708" i="3"/>
  <c r="Q564" i="3"/>
  <c r="Q1969" i="3"/>
  <c r="Q2232" i="3"/>
  <c r="Q1899" i="3"/>
  <c r="Q2366" i="3"/>
  <c r="Q2679" i="3"/>
  <c r="Q944" i="3"/>
  <c r="Q2265" i="3"/>
  <c r="Q2274" i="3"/>
  <c r="Q63" i="3"/>
  <c r="Q40" i="3"/>
  <c r="P1671" i="3"/>
  <c r="P1074" i="3"/>
  <c r="P1071" i="3"/>
  <c r="Q1205" i="3"/>
  <c r="P1723" i="3"/>
  <c r="P1508" i="3"/>
  <c r="P1749" i="3"/>
  <c r="P874" i="3"/>
  <c r="P214" i="3"/>
  <c r="P1662" i="3"/>
  <c r="Q361" i="3"/>
  <c r="Q970" i="3"/>
  <c r="Q38" i="3"/>
  <c r="Q1573" i="3"/>
  <c r="Q637" i="3"/>
  <c r="Q978" i="3"/>
  <c r="Q2781" i="3"/>
  <c r="Q2270" i="3"/>
  <c r="Q2408" i="3"/>
  <c r="P791" i="3"/>
  <c r="P793" i="3"/>
  <c r="P1739" i="3"/>
  <c r="Q2276" i="3"/>
  <c r="P697" i="3"/>
  <c r="Q974" i="3"/>
  <c r="Q47" i="3"/>
  <c r="Q2828" i="3"/>
  <c r="P1771" i="3"/>
  <c r="P2828" i="3"/>
  <c r="P2639" i="3"/>
  <c r="Q1582" i="3"/>
  <c r="Q598" i="3"/>
  <c r="Q1109" i="3"/>
  <c r="I833" i="5"/>
  <c r="I157" i="5"/>
  <c r="I821" i="5"/>
  <c r="I418" i="5"/>
  <c r="I412" i="5"/>
  <c r="H341" i="5"/>
  <c r="H989" i="5"/>
  <c r="I974" i="5"/>
  <c r="I190" i="5"/>
  <c r="I639" i="5"/>
  <c r="I813" i="5"/>
  <c r="I919" i="5"/>
  <c r="H812" i="5"/>
  <c r="H151" i="5"/>
  <c r="I802" i="5"/>
  <c r="I186" i="5"/>
  <c r="I830" i="5"/>
  <c r="I137" i="5"/>
  <c r="H191" i="5"/>
  <c r="I658" i="5"/>
  <c r="I640" i="5"/>
  <c r="H672" i="5"/>
  <c r="H704" i="5"/>
  <c r="H967" i="5"/>
  <c r="H398" i="5"/>
  <c r="H71" i="5"/>
  <c r="I536" i="5"/>
  <c r="H443" i="5"/>
  <c r="I320" i="5"/>
  <c r="I847" i="5"/>
  <c r="I45" i="5"/>
  <c r="I644" i="5"/>
  <c r="I37" i="5"/>
  <c r="H390" i="5"/>
  <c r="H528" i="5"/>
  <c r="H60" i="5"/>
  <c r="I501" i="5"/>
  <c r="I31" i="5"/>
  <c r="H729" i="5"/>
  <c r="H545" i="5"/>
  <c r="I912" i="5"/>
  <c r="I970" i="5"/>
  <c r="I840" i="5"/>
  <c r="H312" i="5"/>
  <c r="H162" i="5"/>
  <c r="H290" i="5"/>
  <c r="H335" i="5"/>
  <c r="I777" i="5"/>
  <c r="H689" i="5"/>
  <c r="H122" i="5"/>
  <c r="I698" i="5"/>
  <c r="H102" i="5"/>
  <c r="H696" i="5"/>
  <c r="H709" i="5"/>
  <c r="H327" i="5"/>
  <c r="I170" i="5"/>
  <c r="H769" i="5"/>
  <c r="Q136" i="3"/>
  <c r="Q134" i="3"/>
  <c r="Q142" i="3"/>
  <c r="H1079" i="5"/>
  <c r="I1106" i="5"/>
  <c r="I1109" i="5"/>
  <c r="H1162" i="5"/>
  <c r="H1146" i="5"/>
  <c r="I128" i="5"/>
  <c r="I614" i="5"/>
  <c r="H1016" i="5"/>
  <c r="I957" i="5"/>
  <c r="H746" i="5"/>
  <c r="I947" i="5"/>
  <c r="I606" i="5"/>
  <c r="I949" i="5"/>
  <c r="I958" i="5"/>
  <c r="I962" i="5"/>
  <c r="Q1031" i="3"/>
  <c r="I874" i="5"/>
  <c r="H1020" i="5"/>
  <c r="P2468" i="3"/>
  <c r="H616" i="5"/>
  <c r="P1319" i="3"/>
  <c r="Q854" i="3"/>
  <c r="Q992" i="3"/>
  <c r="Q1498" i="3"/>
  <c r="Q1552" i="3"/>
  <c r="Q1381" i="3"/>
  <c r="Q1051" i="3"/>
  <c r="Q320" i="3"/>
  <c r="Q2715" i="3"/>
  <c r="Q158" i="3"/>
  <c r="Q1563" i="3"/>
  <c r="Q417" i="3"/>
  <c r="Q1578" i="3"/>
  <c r="Q2353" i="3"/>
  <c r="Q443" i="3"/>
  <c r="Q120" i="3"/>
  <c r="Q701" i="3"/>
  <c r="Q1907" i="3"/>
  <c r="Q945" i="3"/>
  <c r="Q62" i="3"/>
  <c r="P1079" i="3"/>
  <c r="P306" i="3"/>
  <c r="P591" i="3"/>
  <c r="Q1574" i="3"/>
  <c r="Q953" i="3"/>
  <c r="P1717" i="3"/>
  <c r="P1644" i="3"/>
  <c r="P917" i="3"/>
  <c r="P698" i="3"/>
  <c r="Q538" i="3"/>
  <c r="P2109" i="3"/>
  <c r="Q856" i="3"/>
  <c r="Q344" i="3"/>
  <c r="Q56" i="3"/>
  <c r="Q2395" i="3"/>
  <c r="Q2376" i="3"/>
  <c r="Q329" i="3"/>
  <c r="Q1185" i="3"/>
  <c r="Q989" i="3"/>
  <c r="Q1529" i="3"/>
  <c r="Q2751" i="3"/>
  <c r="P1257" i="3"/>
  <c r="Q1153" i="3"/>
  <c r="Q848" i="3"/>
  <c r="Q2331" i="3"/>
  <c r="Q246" i="3"/>
  <c r="Q1560" i="3"/>
  <c r="Q994" i="3"/>
  <c r="Q2378" i="3"/>
  <c r="Q1181" i="3"/>
  <c r="Q1617" i="3"/>
  <c r="Q2291" i="3"/>
  <c r="Q988" i="3"/>
  <c r="Q1539" i="3"/>
  <c r="Q1095" i="3"/>
  <c r="Q1568" i="3"/>
  <c r="Q2750" i="3"/>
  <c r="Q2524" i="3"/>
  <c r="Q1028" i="3"/>
  <c r="Q1637" i="3"/>
  <c r="Q2229" i="3"/>
  <c r="Q2519" i="3"/>
  <c r="Q373" i="3"/>
  <c r="Q1597" i="3"/>
  <c r="Q222" i="3"/>
  <c r="Q1550" i="3"/>
  <c r="Q2411" i="3"/>
  <c r="Q2599" i="3"/>
  <c r="Q2603" i="3"/>
  <c r="Q284" i="3"/>
  <c r="Q2610" i="3"/>
  <c r="Q1455" i="3"/>
  <c r="Q673" i="3"/>
  <c r="Q1517" i="3"/>
  <c r="Q1627" i="3"/>
  <c r="Q642" i="3"/>
  <c r="Q2535" i="3"/>
  <c r="Q2531" i="3"/>
  <c r="Q1763" i="3"/>
  <c r="Q1733" i="3"/>
  <c r="Q1249" i="3"/>
  <c r="Q741" i="3"/>
  <c r="Q91" i="3"/>
  <c r="Q1048" i="3"/>
  <c r="Q378" i="3"/>
  <c r="Q1083" i="3"/>
  <c r="Q73" i="3"/>
  <c r="Q256" i="3"/>
  <c r="Q1703" i="3"/>
  <c r="Q326" i="3"/>
  <c r="Q2747" i="3"/>
  <c r="Q2713" i="3"/>
  <c r="Q16" i="3"/>
  <c r="Q1196" i="3"/>
  <c r="Q167" i="3"/>
  <c r="Q165" i="3"/>
  <c r="Q187" i="3"/>
  <c r="Q1016" i="3"/>
  <c r="Q1022" i="3"/>
  <c r="Q238" i="3"/>
  <c r="Q355" i="3"/>
  <c r="Q356" i="3"/>
  <c r="Q770" i="3"/>
  <c r="Q1096" i="3"/>
  <c r="Q1098" i="3"/>
  <c r="Q2251" i="3"/>
  <c r="Q2253" i="3"/>
  <c r="Q1199" i="3"/>
  <c r="Q581" i="3"/>
  <c r="Q559" i="3"/>
  <c r="Q1120" i="3"/>
  <c r="Q415" i="3"/>
  <c r="Q1451" i="3"/>
  <c r="Q2705" i="3"/>
  <c r="Q438" i="3"/>
  <c r="Q426" i="3"/>
  <c r="Q182" i="3"/>
  <c r="Q175" i="3"/>
  <c r="Q1600" i="3"/>
  <c r="Q2385" i="3"/>
  <c r="Q2345" i="3"/>
  <c r="Q1163" i="3"/>
  <c r="Q2348" i="3"/>
  <c r="Q82" i="3"/>
  <c r="Q1962" i="3"/>
  <c r="Q1545" i="3"/>
  <c r="Q447" i="3"/>
  <c r="Q30" i="3"/>
  <c r="Q905" i="3"/>
  <c r="Q901" i="3"/>
  <c r="Q51" i="3"/>
  <c r="Q116" i="3"/>
  <c r="Q982" i="3"/>
  <c r="Q1143" i="3"/>
  <c r="Q1953" i="3"/>
  <c r="Q78" i="3"/>
  <c r="Q707" i="3"/>
  <c r="Q566" i="3"/>
  <c r="Q1968" i="3"/>
  <c r="Q2231" i="3"/>
  <c r="Q1908" i="3"/>
  <c r="Q1906" i="3"/>
  <c r="Q2374" i="3"/>
  <c r="Q2678" i="3"/>
  <c r="Q943" i="3"/>
  <c r="Q2264" i="3"/>
  <c r="Q2269" i="3"/>
  <c r="Q64" i="3"/>
  <c r="P1591" i="3"/>
  <c r="P1077" i="3"/>
  <c r="P1072" i="3"/>
  <c r="P300" i="3"/>
  <c r="P1695" i="3"/>
  <c r="P213" i="3"/>
  <c r="P1661" i="3"/>
  <c r="P589" i="3"/>
  <c r="Q965" i="3"/>
  <c r="Q964" i="3"/>
  <c r="Q966" i="3"/>
  <c r="Q1572" i="3"/>
  <c r="Q640" i="3"/>
  <c r="Q952" i="3"/>
  <c r="Q983" i="3"/>
  <c r="Q764" i="3"/>
  <c r="Q954" i="3"/>
  <c r="Q2403" i="3"/>
  <c r="P1476" i="3"/>
  <c r="P1643" i="3"/>
  <c r="P1470" i="3"/>
  <c r="P919" i="3"/>
  <c r="P792" i="3"/>
  <c r="P1734" i="3"/>
  <c r="P1738" i="3"/>
  <c r="Q2609" i="3"/>
  <c r="Q49" i="3"/>
  <c r="Q2833" i="3"/>
  <c r="P98" i="3"/>
  <c r="Q2427" i="3"/>
  <c r="I834" i="5"/>
  <c r="I401" i="5"/>
  <c r="I173" i="5"/>
  <c r="I824" i="5"/>
  <c r="I168" i="5"/>
  <c r="H690" i="5"/>
  <c r="I510" i="5"/>
  <c r="I973" i="5"/>
  <c r="I16" i="5"/>
  <c r="I408" i="5"/>
  <c r="I493" i="5"/>
  <c r="H164" i="5"/>
  <c r="H152" i="5"/>
  <c r="I397" i="5"/>
  <c r="I783" i="5"/>
  <c r="I423" i="5"/>
  <c r="I381" i="5"/>
  <c r="H726" i="5"/>
  <c r="H1002" i="5"/>
  <c r="I309" i="5"/>
  <c r="I19" i="5"/>
  <c r="H325" i="5"/>
  <c r="H703" i="5"/>
  <c r="H499" i="5"/>
  <c r="H154" i="5"/>
  <c r="H329" i="5"/>
  <c r="I910" i="5"/>
  <c r="I61" i="5"/>
  <c r="I846" i="5"/>
  <c r="I44" i="5"/>
  <c r="I302" i="5"/>
  <c r="H987" i="5"/>
  <c r="H146" i="5"/>
  <c r="H680" i="5"/>
  <c r="I230" i="5"/>
  <c r="I965" i="5"/>
  <c r="H730" i="5"/>
  <c r="I911" i="5"/>
  <c r="I231" i="5"/>
  <c r="I430" i="5"/>
  <c r="H94" i="5"/>
  <c r="H754" i="5"/>
  <c r="H520" i="5"/>
  <c r="H75" i="5"/>
  <c r="I779" i="5"/>
  <c r="H340" i="5"/>
  <c r="H379" i="5"/>
  <c r="I971" i="5"/>
  <c r="I366" i="5"/>
  <c r="H103" i="5"/>
  <c r="H347" i="5"/>
  <c r="H355" i="5"/>
  <c r="H67" i="5"/>
  <c r="H981" i="5"/>
  <c r="H706" i="5"/>
  <c r="Q145" i="3"/>
  <c r="Q138" i="3"/>
  <c r="Q131" i="3"/>
  <c r="Q318" i="3"/>
  <c r="H1094" i="5"/>
  <c r="I1064" i="5"/>
  <c r="I1161" i="5"/>
  <c r="I1123" i="5"/>
  <c r="I1152" i="5"/>
  <c r="H1165" i="5"/>
  <c r="I959" i="5"/>
  <c r="I964" i="5"/>
  <c r="H1019" i="5"/>
  <c r="H1018" i="5"/>
  <c r="I217" i="5"/>
  <c r="H946" i="5"/>
  <c r="I937" i="5"/>
  <c r="I608" i="5"/>
  <c r="I505" i="5"/>
  <c r="I629" i="5"/>
  <c r="I955" i="5"/>
  <c r="I934" i="5"/>
  <c r="H1062" i="5"/>
  <c r="I613" i="5"/>
  <c r="H751" i="5"/>
  <c r="P1981" i="3"/>
  <c r="Q575" i="3"/>
  <c r="Q996" i="3"/>
  <c r="Q332" i="3"/>
  <c r="Q1534" i="3"/>
  <c r="Q2683" i="3"/>
  <c r="Q2514" i="3"/>
  <c r="Q2600" i="3"/>
  <c r="Q1457" i="3"/>
  <c r="Q2533" i="3"/>
  <c r="Q1727" i="3"/>
  <c r="Q250" i="3"/>
  <c r="Q170" i="3"/>
  <c r="Q949" i="3"/>
  <c r="Q1201" i="3"/>
  <c r="Q2707" i="3"/>
  <c r="Q1602" i="3"/>
  <c r="Q1965" i="3"/>
  <c r="Q603" i="3"/>
  <c r="Q2283" i="3"/>
  <c r="Q2233" i="3"/>
  <c r="Q2369" i="3"/>
  <c r="Q2260" i="3"/>
  <c r="P264" i="3"/>
  <c r="P1512" i="3"/>
  <c r="P1065" i="3"/>
  <c r="P209" i="3"/>
  <c r="Q366" i="3"/>
  <c r="Q634" i="3"/>
  <c r="Q818" i="3"/>
  <c r="Q59" i="3"/>
  <c r="Q2277" i="3"/>
  <c r="Q2275" i="3"/>
  <c r="P794" i="3"/>
  <c r="P1304" i="3"/>
  <c r="Q1524" i="3"/>
  <c r="Q846" i="3"/>
  <c r="Q247" i="3"/>
  <c r="Q1002" i="3"/>
  <c r="Q1182" i="3"/>
  <c r="Q2292" i="3"/>
  <c r="Q1046" i="3"/>
  <c r="P1302" i="3"/>
  <c r="P1980" i="3"/>
  <c r="Q1523" i="3"/>
  <c r="Q853" i="3"/>
  <c r="Q343" i="3"/>
  <c r="Q57" i="3"/>
  <c r="Q1003" i="3"/>
  <c r="Q1035" i="3"/>
  <c r="Q336" i="3"/>
  <c r="Q1177" i="3"/>
  <c r="Q1538" i="3"/>
  <c r="P1305" i="3"/>
  <c r="P1006" i="3"/>
  <c r="P1255" i="3"/>
  <c r="Q1149" i="3"/>
  <c r="Q1152" i="3"/>
  <c r="Q845" i="3"/>
  <c r="Q855" i="3"/>
  <c r="Q2330" i="3"/>
  <c r="Q342" i="3"/>
  <c r="Q245" i="3"/>
  <c r="Q55" i="3"/>
  <c r="Q1559" i="3"/>
  <c r="Q1000" i="3"/>
  <c r="Q1001" i="3"/>
  <c r="Q1033" i="3"/>
  <c r="Q2375" i="3"/>
  <c r="Q328" i="3"/>
  <c r="Q1188" i="3"/>
  <c r="Q1184" i="3"/>
  <c r="Q1616" i="3"/>
  <c r="Q2239" i="3"/>
  <c r="Q986" i="3"/>
  <c r="Q1537" i="3"/>
  <c r="Q1531" i="3"/>
  <c r="Q1044" i="3"/>
  <c r="Q1577" i="3"/>
  <c r="Q2748" i="3"/>
  <c r="Q2523" i="3"/>
  <c r="Q1026" i="3"/>
  <c r="Q1500" i="3"/>
  <c r="Q2228" i="3"/>
  <c r="Q2518" i="3"/>
  <c r="Q372" i="3"/>
  <c r="Q219" i="3"/>
  <c r="Q221" i="3"/>
  <c r="Q1548" i="3"/>
  <c r="Q2415" i="3"/>
  <c r="Q2607" i="3"/>
  <c r="Q283" i="3"/>
  <c r="Q430" i="3"/>
  <c r="Q2618" i="3"/>
  <c r="Q2620" i="3"/>
  <c r="Q1462" i="3"/>
  <c r="Q1769" i="3"/>
  <c r="Q1514" i="3"/>
  <c r="Q1623" i="3"/>
  <c r="Q644" i="3"/>
  <c r="Q2534" i="3"/>
  <c r="Q2530" i="3"/>
  <c r="Q1762" i="3"/>
  <c r="Q1732" i="3"/>
  <c r="Q1241" i="3"/>
  <c r="Q740" i="3"/>
  <c r="Q90" i="3"/>
  <c r="Q1057" i="3"/>
  <c r="Q377" i="3"/>
  <c r="Q1081" i="3"/>
  <c r="Q72" i="3"/>
  <c r="Q255" i="3"/>
  <c r="Q1702" i="3"/>
  <c r="Q325" i="3"/>
  <c r="Q2712" i="3"/>
  <c r="Q1195" i="3"/>
  <c r="Q1585" i="3"/>
  <c r="Q164" i="3"/>
  <c r="Q157" i="3"/>
  <c r="Q192" i="3"/>
  <c r="Q1024" i="3"/>
  <c r="Q1014" i="3"/>
  <c r="Q237" i="3"/>
  <c r="Q354" i="3"/>
  <c r="Q769" i="3"/>
  <c r="Q1105" i="3"/>
  <c r="Q1103" i="3"/>
  <c r="Q20" i="3"/>
  <c r="Q2254" i="3"/>
  <c r="Q1198" i="3"/>
  <c r="Q579" i="3"/>
  <c r="Q558" i="3"/>
  <c r="Q1118" i="3"/>
  <c r="Q1450" i="3"/>
  <c r="Q2704" i="3"/>
  <c r="Q437" i="3"/>
  <c r="Q425" i="3"/>
  <c r="Q181" i="3"/>
  <c r="Q2364" i="3"/>
  <c r="Q2359" i="3"/>
  <c r="Q1174" i="3"/>
  <c r="Q1170" i="3"/>
  <c r="Q2357" i="3"/>
  <c r="Q81" i="3"/>
  <c r="Q1961" i="3"/>
  <c r="Q1541" i="3"/>
  <c r="Q446" i="3"/>
  <c r="Q29" i="3"/>
  <c r="Q912" i="3"/>
  <c r="Q908" i="3"/>
  <c r="Q45" i="3"/>
  <c r="Q123" i="3"/>
  <c r="Q981" i="3"/>
  <c r="Q1142" i="3"/>
  <c r="Q1958" i="3"/>
  <c r="Q1952" i="3"/>
  <c r="Q76" i="3"/>
  <c r="Q706" i="3"/>
  <c r="Q565" i="3"/>
  <c r="Q1967" i="3"/>
  <c r="Q2236" i="3"/>
  <c r="Q1900" i="3"/>
  <c r="Q1898" i="3"/>
  <c r="Q2372" i="3"/>
  <c r="Q2742" i="3"/>
  <c r="Q2676" i="3"/>
  <c r="Q941" i="3"/>
  <c r="Q2263" i="3"/>
  <c r="Q2271" i="3"/>
  <c r="Q61" i="3"/>
  <c r="Q37" i="3"/>
  <c r="P1586" i="3"/>
  <c r="P1073" i="3"/>
  <c r="Q1208" i="3"/>
  <c r="P1722" i="3"/>
  <c r="P1511" i="3"/>
  <c r="P765" i="3"/>
  <c r="P212" i="3"/>
  <c r="P1657" i="3"/>
  <c r="P590" i="3"/>
  <c r="Q971" i="3"/>
  <c r="Q87" i="3"/>
  <c r="Q968" i="3"/>
  <c r="Q1571" i="3"/>
  <c r="Q635" i="3"/>
  <c r="Q39" i="3"/>
  <c r="Q2173" i="3"/>
  <c r="Q2406" i="3"/>
  <c r="P1639" i="3"/>
  <c r="P185" i="3"/>
  <c r="P1477" i="3"/>
  <c r="P1646" i="3"/>
  <c r="P539" i="3"/>
  <c r="P1740" i="3"/>
  <c r="Q108" i="3"/>
  <c r="Q50" i="3"/>
  <c r="Q2832" i="3"/>
  <c r="P2447" i="3"/>
  <c r="P2444" i="3"/>
  <c r="P1770" i="3"/>
  <c r="Q1115" i="3"/>
  <c r="Q2433" i="3"/>
  <c r="Q2431" i="3"/>
  <c r="I509" i="5"/>
  <c r="I425" i="5"/>
  <c r="I917" i="5"/>
  <c r="I416" i="5"/>
  <c r="H97" i="5"/>
  <c r="H83" i="5"/>
  <c r="H530" i="5"/>
  <c r="I240" i="5"/>
  <c r="I237" i="5"/>
  <c r="I15" i="5"/>
  <c r="I165" i="5"/>
  <c r="I216" i="5"/>
  <c r="H407" i="5"/>
  <c r="I920" i="5"/>
  <c r="I153" i="5"/>
  <c r="I786" i="5"/>
  <c r="I180" i="5"/>
  <c r="I346" i="5"/>
  <c r="H924" i="5"/>
  <c r="H725" i="5"/>
  <c r="H544" i="5"/>
  <c r="I42" i="5"/>
  <c r="I788" i="5"/>
  <c r="I20" i="5"/>
  <c r="H624" i="5"/>
  <c r="H66" i="5"/>
  <c r="H99" i="5"/>
  <c r="H228" i="5"/>
  <c r="H677" i="5"/>
  <c r="H70" i="5"/>
  <c r="I211" i="5"/>
  <c r="I972" i="5"/>
  <c r="I1005" i="5"/>
  <c r="I62" i="5"/>
  <c r="I195" i="5"/>
  <c r="I25" i="5"/>
  <c r="I27" i="5"/>
  <c r="H527" i="5"/>
  <c r="H986" i="5"/>
  <c r="H749" i="5"/>
  <c r="H332" i="5"/>
  <c r="I648" i="5"/>
  <c r="I646" i="5"/>
  <c r="H996" i="5"/>
  <c r="H916" i="5"/>
  <c r="I913" i="5"/>
  <c r="I189" i="5"/>
  <c r="H994" i="5"/>
  <c r="H650" i="5"/>
  <c r="H753" i="5"/>
  <c r="H764" i="5"/>
  <c r="H333" i="5"/>
  <c r="I776" i="5"/>
  <c r="H688" i="5"/>
  <c r="H999" i="5"/>
  <c r="I503" i="5"/>
  <c r="I968" i="5"/>
  <c r="H313" i="5"/>
  <c r="H126" i="5"/>
  <c r="H91" i="5"/>
  <c r="H105" i="5"/>
  <c r="H68" i="5"/>
  <c r="H521" i="5"/>
  <c r="H705" i="5"/>
  <c r="Q133" i="3"/>
  <c r="Q127" i="3"/>
  <c r="Q143" i="3"/>
  <c r="Q139" i="3"/>
  <c r="I1134" i="5"/>
  <c r="I1087" i="5"/>
  <c r="H1167" i="5"/>
  <c r="Q1706" i="3"/>
  <c r="I611" i="5"/>
  <c r="H747" i="5"/>
  <c r="I238" i="5"/>
  <c r="I610" i="5"/>
  <c r="I1055" i="5"/>
  <c r="H1021" i="5"/>
  <c r="I247" i="5"/>
  <c r="I1012" i="5"/>
  <c r="I223" i="5"/>
  <c r="I936" i="5"/>
  <c r="H1025" i="5"/>
  <c r="H1015" i="5"/>
  <c r="Q849" i="3"/>
  <c r="Q1561" i="3"/>
  <c r="Q1040" i="3"/>
  <c r="Q1615" i="3"/>
  <c r="Q1093" i="3"/>
  <c r="Q2413" i="3"/>
  <c r="Q1630" i="3"/>
  <c r="Q1250" i="3"/>
  <c r="Q1087" i="3"/>
  <c r="Q109" i="3"/>
  <c r="Q586" i="3"/>
  <c r="Q582" i="3"/>
  <c r="Q2365" i="3"/>
  <c r="Q118" i="3"/>
  <c r="Q563" i="3"/>
  <c r="Q977" i="3"/>
  <c r="P1441" i="3"/>
  <c r="Q1157" i="3"/>
  <c r="Q2328" i="3"/>
  <c r="Q999" i="3"/>
  <c r="Q1180" i="3"/>
  <c r="Q993" i="3"/>
  <c r="Q1536" i="3"/>
  <c r="Q1094" i="3"/>
  <c r="Q1043" i="3"/>
  <c r="Q2522" i="3"/>
  <c r="Q1030" i="3"/>
  <c r="Q1496" i="3"/>
  <c r="Q2227" i="3"/>
  <c r="Q371" i="3"/>
  <c r="Q1596" i="3"/>
  <c r="Q218" i="3"/>
  <c r="Q220" i="3"/>
  <c r="Q1547" i="3"/>
  <c r="Q555" i="3"/>
  <c r="Q2606" i="3"/>
  <c r="Q282" i="3"/>
  <c r="Q429" i="3"/>
  <c r="Q2621" i="3"/>
  <c r="Q2612" i="3"/>
  <c r="Q1461" i="3"/>
  <c r="Q1768" i="3"/>
  <c r="Q1519" i="3"/>
  <c r="Q1626" i="3"/>
  <c r="Q643" i="3"/>
  <c r="Q421" i="3"/>
  <c r="Q2529" i="3"/>
  <c r="Q1385" i="3"/>
  <c r="Q1731" i="3"/>
  <c r="Q1248" i="3"/>
  <c r="Q746" i="3"/>
  <c r="Q89" i="3"/>
  <c r="Q1053" i="3"/>
  <c r="Q376" i="3"/>
  <c r="Q1088" i="3"/>
  <c r="Q71" i="3"/>
  <c r="Q254" i="3"/>
  <c r="Q1710" i="3"/>
  <c r="Q324" i="3"/>
  <c r="Q2711" i="3"/>
  <c r="Q1194" i="3"/>
  <c r="Q1584" i="3"/>
  <c r="Q162" i="3"/>
  <c r="Q171" i="3"/>
  <c r="Q190" i="3"/>
  <c r="Q1021" i="3"/>
  <c r="Q2315" i="3"/>
  <c r="Q353" i="3"/>
  <c r="Q534" i="3"/>
  <c r="Q1104" i="3"/>
  <c r="Q1565" i="3"/>
  <c r="Q19" i="3"/>
  <c r="Q2259" i="3"/>
  <c r="Q1197" i="3"/>
  <c r="Q580" i="3"/>
  <c r="Q557" i="3"/>
  <c r="Q1122" i="3"/>
  <c r="Q1449" i="3"/>
  <c r="Q2703" i="3"/>
  <c r="Q436" i="3"/>
  <c r="Q424" i="3"/>
  <c r="Q179" i="3"/>
  <c r="Q2389" i="3"/>
  <c r="Q2384" i="3"/>
  <c r="Q1166" i="3"/>
  <c r="Q1169" i="3"/>
  <c r="Q2356" i="3"/>
  <c r="Q80" i="3"/>
  <c r="Q1960" i="3"/>
  <c r="Q1544" i="3"/>
  <c r="Q445" i="3"/>
  <c r="Q28" i="3"/>
  <c r="Q904" i="3"/>
  <c r="Q900" i="3"/>
  <c r="Q44" i="3"/>
  <c r="Q115" i="3"/>
  <c r="Q1140" i="3"/>
  <c r="Q1141" i="3"/>
  <c r="Q1951" i="3"/>
  <c r="Q2282" i="3"/>
  <c r="Q77" i="3"/>
  <c r="Q705" i="3"/>
  <c r="Q1971" i="3"/>
  <c r="Q23" i="3"/>
  <c r="Q2235" i="3"/>
  <c r="Q1903" i="3"/>
  <c r="Q1905" i="3"/>
  <c r="Q2371" i="3"/>
  <c r="Q2740" i="3"/>
  <c r="Q2677" i="3"/>
  <c r="Q940" i="3"/>
  <c r="Q2261" i="3"/>
  <c r="Q148" i="3"/>
  <c r="P1588" i="3"/>
  <c r="P1075" i="3"/>
  <c r="Q1209" i="3"/>
  <c r="P1724" i="3"/>
  <c r="P2297" i="3"/>
  <c r="P307" i="3"/>
  <c r="Q1214" i="3"/>
  <c r="P211" i="3"/>
  <c r="P1659" i="3"/>
  <c r="Q365" i="3"/>
  <c r="Q362" i="3"/>
  <c r="Q88" i="3"/>
  <c r="Q364" i="3"/>
  <c r="Q1570" i="3"/>
  <c r="Q536" i="3"/>
  <c r="Q86" i="3"/>
  <c r="Q154" i="3"/>
  <c r="Q2440" i="3"/>
  <c r="Q2400" i="3"/>
  <c r="Q2402" i="3"/>
  <c r="P1640" i="3"/>
  <c r="P540" i="3"/>
  <c r="P1474" i="3"/>
  <c r="P918" i="3"/>
  <c r="P1736" i="3"/>
  <c r="Q2407" i="3"/>
  <c r="Q98" i="3"/>
  <c r="Q2830" i="3"/>
  <c r="P2827" i="3"/>
  <c r="P2463" i="3"/>
  <c r="P2465" i="3"/>
  <c r="P2446" i="3"/>
  <c r="Q2430" i="3"/>
  <c r="Q1114" i="3"/>
  <c r="Q1112" i="3"/>
  <c r="I239" i="5"/>
  <c r="I184" i="5"/>
  <c r="I492" i="5"/>
  <c r="I829" i="5"/>
  <c r="I174" i="5"/>
  <c r="H702" i="5"/>
  <c r="H342" i="5"/>
  <c r="I929" i="5"/>
  <c r="I820" i="5"/>
  <c r="I495" i="5"/>
  <c r="I775" i="5"/>
  <c r="H985" i="5"/>
  <c r="H800" i="5"/>
  <c r="I494" i="5"/>
  <c r="I826" i="5"/>
  <c r="I784" i="5"/>
  <c r="I772" i="5"/>
  <c r="I90" i="5"/>
  <c r="H923" i="5"/>
  <c r="H843" i="5"/>
  <c r="I837" i="5"/>
  <c r="I789" i="5"/>
  <c r="I976" i="5"/>
  <c r="H623" i="5"/>
  <c r="H324" i="5"/>
  <c r="H350" i="5"/>
  <c r="H998" i="5"/>
  <c r="H679" i="5"/>
  <c r="H676" i="5"/>
  <c r="I489" i="5"/>
  <c r="H113" i="5"/>
  <c r="I506" i="5"/>
  <c r="I502" i="5"/>
  <c r="I513" i="5"/>
  <c r="I643" i="5"/>
  <c r="I977" i="5"/>
  <c r="H526" i="5"/>
  <c r="H748" i="5"/>
  <c r="H73" i="5"/>
  <c r="I305" i="5"/>
  <c r="I304" i="5"/>
  <c r="H537" i="5"/>
  <c r="H915" i="5"/>
  <c r="I490" i="5"/>
  <c r="H535" i="5"/>
  <c r="H307" i="5"/>
  <c r="H701" i="5"/>
  <c r="H765" i="5"/>
  <c r="H74" i="5"/>
  <c r="I139" i="5"/>
  <c r="H80" i="5"/>
  <c r="H541" i="5"/>
  <c r="I662" i="5"/>
  <c r="I500" i="5"/>
  <c r="H95" i="5"/>
  <c r="H127" i="5"/>
  <c r="H982" i="5"/>
  <c r="H104" i="5"/>
  <c r="I818" i="5"/>
  <c r="H352" i="5"/>
  <c r="Q144" i="3"/>
  <c r="Q129" i="3"/>
  <c r="Q152" i="3"/>
  <c r="Q315" i="3"/>
  <c r="I1135" i="5"/>
  <c r="I1131" i="5"/>
  <c r="H1076" i="5"/>
  <c r="I1140" i="5"/>
  <c r="H1139" i="5"/>
  <c r="Q1707" i="3"/>
  <c r="I944" i="5"/>
  <c r="H133" i="5"/>
  <c r="H1073" i="5"/>
  <c r="H1024" i="5"/>
  <c r="P2638" i="3"/>
  <c r="H750" i="5"/>
  <c r="I1057" i="5"/>
  <c r="P2443" i="3"/>
  <c r="H1072" i="5"/>
  <c r="I631" i="5"/>
  <c r="I963" i="5"/>
  <c r="H1010" i="5"/>
  <c r="Q2352" i="3"/>
  <c r="H1029" i="5"/>
  <c r="Q753" i="3"/>
  <c r="Q958" i="3"/>
  <c r="Q279" i="3"/>
  <c r="Q1464" i="3"/>
  <c r="Q110" i="3"/>
  <c r="P237" i="3"/>
  <c r="P2826" i="3"/>
  <c r="P142" i="3"/>
  <c r="P1116" i="3"/>
  <c r="P315" i="3"/>
  <c r="P132" i="3"/>
  <c r="P155" i="3"/>
  <c r="P745" i="3"/>
  <c r="P999" i="3"/>
  <c r="P1001" i="3"/>
  <c r="P711" i="3"/>
  <c r="P2375" i="3"/>
  <c r="P1200" i="3"/>
  <c r="P1633" i="3"/>
  <c r="P1554" i="3"/>
  <c r="P1094" i="3"/>
  <c r="P1631" i="3"/>
  <c r="P1629" i="3"/>
  <c r="P338" i="3"/>
  <c r="P334" i="3"/>
  <c r="P283" i="3"/>
  <c r="P2537" i="3"/>
  <c r="P1461" i="3"/>
  <c r="P1963" i="3"/>
  <c r="P1498" i="3"/>
  <c r="P410" i="3"/>
  <c r="P2386" i="3"/>
  <c r="P2260" i="3"/>
  <c r="P377" i="3"/>
  <c r="P1726" i="3"/>
  <c r="P50" i="3"/>
  <c r="P1902" i="3"/>
  <c r="P553" i="3"/>
  <c r="P770" i="3"/>
  <c r="P125" i="3"/>
  <c r="P2523" i="3"/>
  <c r="P430" i="3"/>
  <c r="P255" i="3"/>
  <c r="P674" i="3"/>
  <c r="P319" i="3"/>
  <c r="P2706" i="3"/>
  <c r="P2539" i="3"/>
  <c r="P946" i="3"/>
  <c r="P2680" i="3"/>
  <c r="P2233" i="3"/>
  <c r="P1763" i="3"/>
  <c r="P575" i="3"/>
  <c r="P707" i="3"/>
  <c r="P1545" i="3"/>
  <c r="P2366" i="3"/>
  <c r="P246" i="3"/>
  <c r="P189" i="3"/>
  <c r="P564" i="3"/>
  <c r="P77" i="3"/>
  <c r="P1517" i="3"/>
  <c r="P2356" i="3"/>
  <c r="P118" i="3"/>
  <c r="P2520" i="3"/>
  <c r="P1526" i="3"/>
  <c r="P438" i="3"/>
  <c r="P1156" i="3"/>
  <c r="P426" i="3"/>
  <c r="P1099" i="3"/>
  <c r="P1621" i="3"/>
  <c r="P2348" i="3"/>
  <c r="P1572" i="3"/>
  <c r="P1125" i="3"/>
  <c r="P371" i="3"/>
  <c r="P344" i="3"/>
  <c r="P454" i="3"/>
  <c r="P445" i="3"/>
  <c r="P1385" i="3"/>
  <c r="P2750" i="3"/>
  <c r="P1051" i="3"/>
  <c r="P2424" i="3"/>
  <c r="P93" i="3"/>
  <c r="P1183" i="3"/>
  <c r="P1186" i="3"/>
  <c r="P1248" i="3"/>
  <c r="P1565" i="3"/>
  <c r="P605" i="3"/>
  <c r="P1018" i="3"/>
  <c r="P1215" i="3"/>
  <c r="P2618" i="3"/>
  <c r="P352" i="3"/>
  <c r="P574" i="3"/>
  <c r="P1143" i="3"/>
  <c r="P223" i="3"/>
  <c r="P2228" i="3"/>
  <c r="P588" i="3"/>
  <c r="P2257" i="3"/>
  <c r="P1084" i="3"/>
  <c r="P74" i="3"/>
  <c r="P991" i="3"/>
  <c r="P1190" i="3"/>
  <c r="P2518" i="3"/>
  <c r="P2530" i="3"/>
  <c r="P21" i="3"/>
  <c r="P1579" i="3"/>
  <c r="P1201" i="3"/>
  <c r="P2395" i="3"/>
  <c r="P769" i="3"/>
  <c r="P906" i="3"/>
  <c r="P1171" i="3"/>
  <c r="P643" i="3"/>
  <c r="P2599" i="3"/>
  <c r="P1528" i="3"/>
  <c r="P1527" i="3"/>
  <c r="P741" i="3"/>
  <c r="P2684" i="3"/>
  <c r="P1208" i="3"/>
  <c r="P180" i="3"/>
  <c r="P174" i="3"/>
  <c r="P2410" i="3"/>
  <c r="P166" i="3"/>
  <c r="P172" i="3"/>
  <c r="P1560" i="3"/>
  <c r="P1563" i="3"/>
  <c r="P1971" i="3"/>
  <c r="P1449" i="3"/>
  <c r="I178" i="5"/>
  <c r="H119" i="5"/>
  <c r="H444" i="5"/>
  <c r="I873" i="5"/>
  <c r="H59" i="5"/>
  <c r="H549" i="5"/>
  <c r="H831" i="5"/>
  <c r="H814" i="5"/>
  <c r="H167" i="5"/>
  <c r="H961" i="5"/>
  <c r="H956" i="5"/>
  <c r="H619" i="5"/>
  <c r="P978" i="3"/>
  <c r="P1204" i="3"/>
  <c r="P148" i="3"/>
  <c r="P1966" i="3"/>
  <c r="Q752" i="3"/>
  <c r="Q963" i="3"/>
  <c r="Q276" i="3"/>
  <c r="Q1463" i="3"/>
  <c r="Q2223" i="3"/>
  <c r="P2132" i="3"/>
  <c r="P2469" i="3"/>
  <c r="P241" i="3"/>
  <c r="P2831" i="3"/>
  <c r="P134" i="3"/>
  <c r="P2390" i="3"/>
  <c r="P1114" i="3"/>
  <c r="P145" i="3"/>
  <c r="P2430" i="3"/>
  <c r="P147" i="3"/>
  <c r="P956" i="3"/>
  <c r="P703" i="3"/>
  <c r="P1578" i="3"/>
  <c r="P1005" i="3"/>
  <c r="P1003" i="3"/>
  <c r="P1172" i="3"/>
  <c r="P2525" i="3"/>
  <c r="P1582" i="3"/>
  <c r="P20" i="3"/>
  <c r="P1550" i="3"/>
  <c r="P1093" i="3"/>
  <c r="P1625" i="3"/>
  <c r="P1602" i="3"/>
  <c r="P330" i="3"/>
  <c r="P328" i="3"/>
  <c r="P287" i="3"/>
  <c r="P2740" i="3"/>
  <c r="P1702" i="3"/>
  <c r="P1500" i="3"/>
  <c r="P2389" i="3"/>
  <c r="P2388" i="3"/>
  <c r="P2262" i="3"/>
  <c r="P1733" i="3"/>
  <c r="P45" i="3"/>
  <c r="P46" i="3"/>
  <c r="P1898" i="3"/>
  <c r="P552" i="3"/>
  <c r="P1036" i="3"/>
  <c r="P115" i="3"/>
  <c r="P1593" i="3"/>
  <c r="P433" i="3"/>
  <c r="P251" i="3"/>
  <c r="P673" i="3"/>
  <c r="P326" i="3"/>
  <c r="P2702" i="3"/>
  <c r="P2534" i="3"/>
  <c r="P942" i="3"/>
  <c r="P2676" i="3"/>
  <c r="P2231" i="3"/>
  <c r="P1765" i="3"/>
  <c r="P576" i="3"/>
  <c r="P1584" i="3"/>
  <c r="P1540" i="3"/>
  <c r="P2374" i="3"/>
  <c r="P243" i="3"/>
  <c r="P188" i="3"/>
  <c r="P1957" i="3"/>
  <c r="P76" i="3"/>
  <c r="P1516" i="3"/>
  <c r="P123" i="3"/>
  <c r="P1597" i="3"/>
  <c r="P1524" i="3"/>
  <c r="P434" i="3"/>
  <c r="P1148" i="3"/>
  <c r="P425" i="3"/>
  <c r="P1104" i="3"/>
  <c r="P1618" i="3"/>
  <c r="P2580" i="3"/>
  <c r="P2349" i="3"/>
  <c r="P1575" i="3"/>
  <c r="P1121" i="3"/>
  <c r="P370" i="3"/>
  <c r="P340" i="3"/>
  <c r="P448" i="3"/>
  <c r="P1380" i="3"/>
  <c r="P2749" i="3"/>
  <c r="P1048" i="3"/>
  <c r="P2423" i="3"/>
  <c r="P1188" i="3"/>
  <c r="P1177" i="3"/>
  <c r="P1249" i="3"/>
  <c r="P1197" i="3"/>
  <c r="P1025" i="3"/>
  <c r="P2614" i="3"/>
  <c r="P355" i="3"/>
  <c r="P573" i="3"/>
  <c r="P1138" i="3"/>
  <c r="P222" i="3"/>
  <c r="P2230" i="3"/>
  <c r="P587" i="3"/>
  <c r="P2259" i="3"/>
  <c r="P1085" i="3"/>
  <c r="P987" i="3"/>
  <c r="P986" i="3"/>
  <c r="P1196" i="3"/>
  <c r="P2514" i="3"/>
  <c r="P2532" i="3"/>
  <c r="P107" i="3"/>
  <c r="P2384" i="3"/>
  <c r="P2394" i="3"/>
  <c r="P772" i="3"/>
  <c r="P902" i="3"/>
  <c r="P1168" i="3"/>
  <c r="P2598" i="3"/>
  <c r="P2606" i="3"/>
  <c r="P1533" i="3"/>
  <c r="P1539" i="3"/>
  <c r="P1580" i="3"/>
  <c r="P1199" i="3"/>
  <c r="P598" i="3"/>
  <c r="P179" i="3"/>
  <c r="P2415" i="3"/>
  <c r="P419" i="3"/>
  <c r="P173" i="3"/>
  <c r="P168" i="3"/>
  <c r="P1558" i="3"/>
  <c r="P1969" i="3"/>
  <c r="P1047" i="3"/>
  <c r="P1453" i="3"/>
  <c r="I177" i="5"/>
  <c r="H795" i="5"/>
  <c r="H653" i="5"/>
  <c r="H317" i="5"/>
  <c r="H798" i="5"/>
  <c r="H181" i="5"/>
  <c r="H815" i="5"/>
  <c r="P764" i="3"/>
  <c r="P2408" i="3"/>
  <c r="P54" i="3"/>
  <c r="H1068" i="5"/>
  <c r="P1165" i="3"/>
  <c r="I952" i="5"/>
  <c r="P1029" i="3"/>
  <c r="Q751" i="3"/>
  <c r="Q961" i="3"/>
  <c r="Q1469" i="3"/>
  <c r="Q2226" i="3"/>
  <c r="Q700" i="3"/>
  <c r="P2830" i="3"/>
  <c r="P1113" i="3"/>
  <c r="P130" i="3"/>
  <c r="P2427" i="3"/>
  <c r="P83" i="3"/>
  <c r="P1169" i="3"/>
  <c r="P997" i="3"/>
  <c r="P558" i="3"/>
  <c r="P579" i="3"/>
  <c r="P124" i="3"/>
  <c r="P19" i="3"/>
  <c r="P1547" i="3"/>
  <c r="P1091" i="3"/>
  <c r="P2288" i="3"/>
  <c r="P1627" i="3"/>
  <c r="P1604" i="3"/>
  <c r="P333" i="3"/>
  <c r="P337" i="3"/>
  <c r="P194" i="3"/>
  <c r="P848" i="3"/>
  <c r="P1496" i="3"/>
  <c r="P2387" i="3"/>
  <c r="P2365" i="3"/>
  <c r="P2261" i="3"/>
  <c r="P1729" i="3"/>
  <c r="P44" i="3"/>
  <c r="P2744" i="3"/>
  <c r="P1909" i="3"/>
  <c r="P555" i="3"/>
  <c r="P2538" i="3"/>
  <c r="P1960" i="3"/>
  <c r="P429" i="3"/>
  <c r="P258" i="3"/>
  <c r="P675" i="3"/>
  <c r="P323" i="3"/>
  <c r="P2705" i="3"/>
  <c r="P2345" i="3"/>
  <c r="P945" i="3"/>
  <c r="P2679" i="3"/>
  <c r="P2237" i="3"/>
  <c r="P534" i="3"/>
  <c r="P706" i="3"/>
  <c r="P1585" i="3"/>
  <c r="P2327" i="3"/>
  <c r="P2369" i="3"/>
  <c r="P248" i="3"/>
  <c r="P187" i="3"/>
  <c r="P1954" i="3"/>
  <c r="P75" i="3"/>
  <c r="P1514" i="3"/>
  <c r="P1170" i="3"/>
  <c r="P1457" i="3"/>
  <c r="P1964" i="3"/>
  <c r="P1523" i="3"/>
  <c r="P437" i="3"/>
  <c r="P1157" i="3"/>
  <c r="P2377" i="3"/>
  <c r="P1100" i="3"/>
  <c r="P1620" i="3"/>
  <c r="P2351" i="3"/>
  <c r="P1571" i="3"/>
  <c r="P1126" i="3"/>
  <c r="P373" i="3"/>
  <c r="P347" i="3"/>
  <c r="P453" i="3"/>
  <c r="P1382" i="3"/>
  <c r="P2752" i="3"/>
  <c r="P1057" i="3"/>
  <c r="P2422" i="3"/>
  <c r="P1180" i="3"/>
  <c r="P1179" i="3"/>
  <c r="P1241" i="3"/>
  <c r="P13" i="3"/>
  <c r="P1955" i="3"/>
  <c r="P38" i="3"/>
  <c r="P2617" i="3"/>
  <c r="P2610" i="3"/>
  <c r="P351" i="3"/>
  <c r="P1135" i="3"/>
  <c r="P1142" i="3"/>
  <c r="P218" i="3"/>
  <c r="P583" i="3"/>
  <c r="P415" i="3"/>
  <c r="P586" i="3"/>
  <c r="P606" i="3"/>
  <c r="P1088" i="3"/>
  <c r="P993" i="3"/>
  <c r="P989" i="3"/>
  <c r="P1191" i="3"/>
  <c r="P2517" i="3"/>
  <c r="P2528" i="3"/>
  <c r="P106" i="3"/>
  <c r="P1567" i="3"/>
  <c r="P119" i="3"/>
  <c r="P2397" i="3"/>
  <c r="P900" i="3"/>
  <c r="P909" i="3"/>
  <c r="P1164" i="3"/>
  <c r="P2608" i="3"/>
  <c r="P2602" i="3"/>
  <c r="P1538" i="3"/>
  <c r="P710" i="3"/>
  <c r="P176" i="3"/>
  <c r="P421" i="3"/>
  <c r="P162" i="3"/>
  <c r="P164" i="3"/>
  <c r="P1562" i="3"/>
  <c r="P1970" i="3"/>
  <c r="P1045" i="3"/>
  <c r="P1447" i="3"/>
  <c r="I421" i="5"/>
  <c r="H794" i="5"/>
  <c r="I908" i="5"/>
  <c r="H47" i="5"/>
  <c r="H796" i="5"/>
  <c r="H845" i="5"/>
  <c r="H409" i="5"/>
  <c r="H1091" i="5"/>
  <c r="P641" i="3"/>
  <c r="P363" i="3"/>
  <c r="I617" i="5"/>
  <c r="P951" i="3"/>
  <c r="H938" i="5"/>
  <c r="Q750" i="3"/>
  <c r="Q960" i="3"/>
  <c r="Q1468" i="3"/>
  <c r="Q2225" i="3"/>
  <c r="P2471" i="3"/>
  <c r="Q2770" i="3"/>
  <c r="P1769" i="3"/>
  <c r="P238" i="3"/>
  <c r="P2833" i="3"/>
  <c r="P140" i="3"/>
  <c r="P141" i="3"/>
  <c r="P953" i="3"/>
  <c r="P638" i="3"/>
  <c r="P582" i="3"/>
  <c r="P121" i="3"/>
  <c r="P1004" i="3"/>
  <c r="P557" i="3"/>
  <c r="P427" i="3"/>
  <c r="P114" i="3"/>
  <c r="P1959" i="3"/>
  <c r="P1634" i="3"/>
  <c r="P17" i="3"/>
  <c r="P1548" i="3"/>
  <c r="P1092" i="3"/>
  <c r="P2292" i="3"/>
  <c r="P1626" i="3"/>
  <c r="P1600" i="3"/>
  <c r="P329" i="3"/>
  <c r="P327" i="3"/>
  <c r="P1103" i="3"/>
  <c r="P2376" i="3"/>
  <c r="P1014" i="3"/>
  <c r="P855" i="3"/>
  <c r="P1499" i="3"/>
  <c r="P2385" i="3"/>
  <c r="P2363" i="3"/>
  <c r="P2263" i="3"/>
  <c r="P1731" i="3"/>
  <c r="P52" i="3"/>
  <c r="P2745" i="3"/>
  <c r="P1907" i="3"/>
  <c r="P1901" i="3"/>
  <c r="P192" i="3"/>
  <c r="P2738" i="3"/>
  <c r="P1459" i="3"/>
  <c r="P1708" i="3"/>
  <c r="P432" i="3"/>
  <c r="P250" i="3"/>
  <c r="P672" i="3"/>
  <c r="P325" i="3"/>
  <c r="P2704" i="3"/>
  <c r="P2344" i="3"/>
  <c r="P944" i="3"/>
  <c r="P2678" i="3"/>
  <c r="P2239" i="3"/>
  <c r="P532" i="3"/>
  <c r="P702" i="3"/>
  <c r="P1541" i="3"/>
  <c r="P2330" i="3"/>
  <c r="P2368" i="3"/>
  <c r="P247" i="3"/>
  <c r="P193" i="3"/>
  <c r="P1950" i="3"/>
  <c r="P2294" i="3"/>
  <c r="P1519" i="3"/>
  <c r="P771" i="3"/>
  <c r="P1710" i="3"/>
  <c r="P1525" i="3"/>
  <c r="P1151" i="3"/>
  <c r="P1150" i="3"/>
  <c r="P2378" i="3"/>
  <c r="P1096" i="3"/>
  <c r="P1617" i="3"/>
  <c r="P2355" i="3"/>
  <c r="P1576" i="3"/>
  <c r="P1574" i="3"/>
  <c r="P1122" i="3"/>
  <c r="P369" i="3"/>
  <c r="P342" i="3"/>
  <c r="P444" i="3"/>
  <c r="P1384" i="3"/>
  <c r="P2751" i="3"/>
  <c r="P1053" i="3"/>
  <c r="P91" i="3"/>
  <c r="P2279" i="3"/>
  <c r="P1176" i="3"/>
  <c r="P1184" i="3"/>
  <c r="P1247" i="3"/>
  <c r="P16" i="3"/>
  <c r="P1166" i="3"/>
  <c r="P361" i="3"/>
  <c r="P2524" i="3"/>
  <c r="P2616" i="3"/>
  <c r="P2620" i="3"/>
  <c r="P354" i="3"/>
  <c r="P1140" i="3"/>
  <c r="P1144" i="3"/>
  <c r="P224" i="3"/>
  <c r="P578" i="3"/>
  <c r="P416" i="3"/>
  <c r="P2256" i="3"/>
  <c r="P603" i="3"/>
  <c r="P1087" i="3"/>
  <c r="P985" i="3"/>
  <c r="P26" i="3"/>
  <c r="P1189" i="3"/>
  <c r="P2519" i="3"/>
  <c r="P2531" i="3"/>
  <c r="P109" i="3"/>
  <c r="P1951" i="3"/>
  <c r="P1462" i="3"/>
  <c r="P1592" i="3"/>
  <c r="P2393" i="3"/>
  <c r="P907" i="3"/>
  <c r="P905" i="3"/>
  <c r="P1175" i="3"/>
  <c r="P2605" i="3"/>
  <c r="P2603" i="3"/>
  <c r="P1529" i="3"/>
  <c r="P581" i="3"/>
  <c r="P120" i="3"/>
  <c r="P982" i="3"/>
  <c r="P175" i="3"/>
  <c r="P2413" i="3"/>
  <c r="P420" i="3"/>
  <c r="P158" i="3"/>
  <c r="P160" i="3"/>
  <c r="P1555" i="3"/>
  <c r="P1974" i="3"/>
  <c r="P1041" i="3"/>
  <c r="P1451" i="3"/>
  <c r="H718" i="5"/>
  <c r="H148" i="5"/>
  <c r="I486" i="5"/>
  <c r="H665" i="5"/>
  <c r="H797" i="5"/>
  <c r="H194" i="5"/>
  <c r="H166" i="5"/>
  <c r="H663" i="5"/>
  <c r="H1083" i="5"/>
  <c r="P1497" i="3"/>
  <c r="P28" i="3"/>
  <c r="H1065" i="5"/>
  <c r="P560" i="3"/>
  <c r="H607" i="5"/>
  <c r="H622" i="5"/>
  <c r="P1704" i="3"/>
  <c r="I464" i="5"/>
  <c r="P584" i="3"/>
  <c r="P1953" i="3"/>
  <c r="Q749" i="3"/>
  <c r="Q959" i="3"/>
  <c r="Q1467" i="3"/>
  <c r="Q2224" i="3"/>
  <c r="P2464" i="3"/>
  <c r="P242" i="3"/>
  <c r="P2832" i="3"/>
  <c r="P317" i="3"/>
  <c r="P1115" i="3"/>
  <c r="P64" i="3"/>
  <c r="P143" i="3"/>
  <c r="P138" i="3"/>
  <c r="P635" i="3"/>
  <c r="P640" i="3"/>
  <c r="P637" i="3"/>
  <c r="P156" i="3"/>
  <c r="P423" i="3"/>
  <c r="P1000" i="3"/>
  <c r="P556" i="3"/>
  <c r="P2533" i="3"/>
  <c r="P1455" i="3"/>
  <c r="P854" i="3"/>
  <c r="P1636" i="3"/>
  <c r="P18" i="3"/>
  <c r="P1551" i="3"/>
  <c r="P2251" i="3"/>
  <c r="P2289" i="3"/>
  <c r="P1624" i="3"/>
  <c r="P1601" i="3"/>
  <c r="P336" i="3"/>
  <c r="P285" i="3"/>
  <c r="P2682" i="3"/>
  <c r="P948" i="3"/>
  <c r="P1501" i="3"/>
  <c r="P2383" i="3"/>
  <c r="P2265" i="3"/>
  <c r="P376" i="3"/>
  <c r="P1727" i="3"/>
  <c r="P51" i="3"/>
  <c r="P2747" i="3"/>
  <c r="P1908" i="3"/>
  <c r="P1906" i="3"/>
  <c r="P2358" i="3"/>
  <c r="P852" i="3"/>
  <c r="P431" i="3"/>
  <c r="P254" i="3"/>
  <c r="P322" i="3"/>
  <c r="P2700" i="3"/>
  <c r="P941" i="3"/>
  <c r="P2236" i="3"/>
  <c r="P2238" i="3"/>
  <c r="P82" i="3"/>
  <c r="P708" i="3"/>
  <c r="P1544" i="3"/>
  <c r="P2328" i="3"/>
  <c r="P2367" i="3"/>
  <c r="P245" i="3"/>
  <c r="P1956" i="3"/>
  <c r="P2295" i="3"/>
  <c r="P1515" i="3"/>
  <c r="P1035" i="3"/>
  <c r="P1021" i="3"/>
  <c r="P856" i="3"/>
  <c r="P1521" i="3"/>
  <c r="P1146" i="3"/>
  <c r="P1145" i="3"/>
  <c r="P1098" i="3"/>
  <c r="P1619" i="3"/>
  <c r="P2350" i="3"/>
  <c r="P1568" i="3"/>
  <c r="P1569" i="3"/>
  <c r="P1120" i="3"/>
  <c r="P372" i="3"/>
  <c r="P343" i="3"/>
  <c r="P447" i="3"/>
  <c r="P1383" i="3"/>
  <c r="P2748" i="3"/>
  <c r="P1055" i="3"/>
  <c r="P90" i="3"/>
  <c r="P2282" i="3"/>
  <c r="P1187" i="3"/>
  <c r="P1178" i="3"/>
  <c r="P1243" i="3"/>
  <c r="P15" i="3"/>
  <c r="P1034" i="3"/>
  <c r="P126" i="3"/>
  <c r="P1596" i="3"/>
  <c r="P2613" i="3"/>
  <c r="P2621" i="3"/>
  <c r="P350" i="3"/>
  <c r="P1136" i="3"/>
  <c r="P221" i="3"/>
  <c r="P215" i="3"/>
  <c r="P414" i="3"/>
  <c r="P2255" i="3"/>
  <c r="P1082" i="3"/>
  <c r="P72" i="3"/>
  <c r="P990" i="3"/>
  <c r="P30" i="3"/>
  <c r="P1192" i="3"/>
  <c r="P2441" i="3"/>
  <c r="P2529" i="3"/>
  <c r="P108" i="3"/>
  <c r="P428" i="3"/>
  <c r="P1965" i="3"/>
  <c r="P2396" i="3"/>
  <c r="P912" i="3"/>
  <c r="P904" i="3"/>
  <c r="P1173" i="3"/>
  <c r="P2604" i="3"/>
  <c r="P2609" i="3"/>
  <c r="P1532" i="3"/>
  <c r="P422" i="3"/>
  <c r="P1456" i="3"/>
  <c r="P1598" i="3"/>
  <c r="P981" i="3"/>
  <c r="P182" i="3"/>
  <c r="P2414" i="3"/>
  <c r="P418" i="3"/>
  <c r="P165" i="3"/>
  <c r="P171" i="3"/>
  <c r="P1556" i="3"/>
  <c r="P1972" i="3"/>
  <c r="P1042" i="3"/>
  <c r="P1448" i="3"/>
  <c r="H717" i="5"/>
  <c r="H392" i="5"/>
  <c r="I926" i="5"/>
  <c r="H664" i="5"/>
  <c r="H446" i="5"/>
  <c r="H393" i="5"/>
  <c r="H435" i="5"/>
  <c r="H438" i="5"/>
  <c r="H310" i="5"/>
  <c r="H1101" i="5"/>
  <c r="P1097" i="3"/>
  <c r="P577" i="3"/>
  <c r="P2681" i="3"/>
  <c r="P2361" i="3"/>
  <c r="H856" i="5"/>
  <c r="H504" i="5"/>
  <c r="P2275" i="3"/>
  <c r="H57" i="5"/>
  <c r="P850" i="3"/>
  <c r="P2624" i="3"/>
  <c r="Q748" i="3"/>
  <c r="Q957" i="3"/>
  <c r="Q113" i="3"/>
  <c r="P2467" i="3"/>
  <c r="P239" i="3"/>
  <c r="P749" i="3"/>
  <c r="P131" i="3"/>
  <c r="P1112" i="3"/>
  <c r="P60" i="3"/>
  <c r="P137" i="3"/>
  <c r="P139" i="3"/>
  <c r="P154" i="3"/>
  <c r="P2710" i="3"/>
  <c r="P857" i="3"/>
  <c r="P996" i="3"/>
  <c r="P559" i="3"/>
  <c r="P58" i="3"/>
  <c r="P847" i="3"/>
  <c r="P1638" i="3"/>
  <c r="P1553" i="3"/>
  <c r="P1089" i="3"/>
  <c r="P2252" i="3"/>
  <c r="P2290" i="3"/>
  <c r="P1628" i="3"/>
  <c r="P1603" i="3"/>
  <c r="P332" i="3"/>
  <c r="P284" i="3"/>
  <c r="P1167" i="3"/>
  <c r="P117" i="3"/>
  <c r="P1203" i="3"/>
  <c r="P950" i="3"/>
  <c r="P411" i="3"/>
  <c r="P2364" i="3"/>
  <c r="P2267" i="3"/>
  <c r="P379" i="3"/>
  <c r="P1730" i="3"/>
  <c r="P48" i="3"/>
  <c r="P2743" i="3"/>
  <c r="P1903" i="3"/>
  <c r="P1900" i="3"/>
  <c r="P744" i="3"/>
  <c r="P1017" i="3"/>
  <c r="P851" i="3"/>
  <c r="P253" i="3"/>
  <c r="P257" i="3"/>
  <c r="P321" i="3"/>
  <c r="P2701" i="3"/>
  <c r="P2301" i="3"/>
  <c r="P947" i="3"/>
  <c r="P2232" i="3"/>
  <c r="P1766" i="3"/>
  <c r="P81" i="3"/>
  <c r="P709" i="3"/>
  <c r="P1542" i="3"/>
  <c r="P2329" i="3"/>
  <c r="P2370" i="3"/>
  <c r="P249" i="3"/>
  <c r="P565" i="3"/>
  <c r="P1958" i="3"/>
  <c r="P2714" i="3"/>
  <c r="P1518" i="3"/>
  <c r="P2742" i="3"/>
  <c r="P1023" i="3"/>
  <c r="P1211" i="3"/>
  <c r="P1522" i="3"/>
  <c r="P1153" i="3"/>
  <c r="P1152" i="3"/>
  <c r="P1101" i="3"/>
  <c r="P1622" i="3"/>
  <c r="P2357" i="3"/>
  <c r="P1570" i="3"/>
  <c r="P1124" i="3"/>
  <c r="P1118" i="3"/>
  <c r="P374" i="3"/>
  <c r="P348" i="3"/>
  <c r="P443" i="3"/>
  <c r="P1381" i="3"/>
  <c r="P1050" i="3"/>
  <c r="P1049" i="3"/>
  <c r="P89" i="3"/>
  <c r="P2281" i="3"/>
  <c r="P1185" i="3"/>
  <c r="P1242" i="3"/>
  <c r="P1250" i="3"/>
  <c r="P14" i="3"/>
  <c r="P2715" i="3"/>
  <c r="P1458" i="3"/>
  <c r="P1961" i="3"/>
  <c r="P2612" i="3"/>
  <c r="P2611" i="3"/>
  <c r="P353" i="3"/>
  <c r="P357" i="3"/>
  <c r="P1141" i="3"/>
  <c r="P220" i="3"/>
  <c r="P217" i="3"/>
  <c r="P417" i="3"/>
  <c r="P2258" i="3"/>
  <c r="P1086" i="3"/>
  <c r="P70" i="3"/>
  <c r="P992" i="3"/>
  <c r="P29" i="3"/>
  <c r="P1193" i="3"/>
  <c r="P2440" i="3"/>
  <c r="P24" i="3"/>
  <c r="P2741" i="3"/>
  <c r="P1039" i="3"/>
  <c r="P1703" i="3"/>
  <c r="P2315" i="3"/>
  <c r="P903" i="3"/>
  <c r="P911" i="3"/>
  <c r="P1163" i="3"/>
  <c r="P2601" i="3"/>
  <c r="P1535" i="3"/>
  <c r="P1530" i="3"/>
  <c r="P585" i="3"/>
  <c r="P1962" i="3"/>
  <c r="P1038" i="3"/>
  <c r="P181" i="3"/>
  <c r="P2409" i="3"/>
  <c r="P163" i="3"/>
  <c r="P169" i="3"/>
  <c r="P167" i="3"/>
  <c r="P1557" i="3"/>
  <c r="P1968" i="3"/>
  <c r="P1046" i="3"/>
  <c r="P1454" i="3"/>
  <c r="H373" i="5"/>
  <c r="H391" i="5"/>
  <c r="I496" i="5"/>
  <c r="H316" i="5"/>
  <c r="H149" i="5"/>
  <c r="H825" i="5"/>
  <c r="H849" i="5"/>
  <c r="H56" i="5"/>
  <c r="I940" i="5"/>
  <c r="P768" i="3"/>
  <c r="H234" i="5"/>
  <c r="P2711" i="3"/>
  <c r="P2521" i="3"/>
  <c r="H626" i="5"/>
  <c r="P1510" i="3"/>
  <c r="P116" i="3"/>
  <c r="H941" i="5"/>
  <c r="P1020" i="3"/>
  <c r="Q281" i="3"/>
  <c r="Q1466" i="3"/>
  <c r="Q112" i="3"/>
  <c r="P2470" i="3"/>
  <c r="P240" i="3"/>
  <c r="P133" i="3"/>
  <c r="P1109" i="3"/>
  <c r="P136" i="3"/>
  <c r="P129" i="3"/>
  <c r="P149" i="3"/>
  <c r="P952" i="3"/>
  <c r="P57" i="3"/>
  <c r="P1002" i="3"/>
  <c r="P995" i="3"/>
  <c r="P1102" i="3"/>
  <c r="P1024" i="3"/>
  <c r="P1635" i="3"/>
  <c r="P1549" i="3"/>
  <c r="P1095" i="3"/>
  <c r="P743" i="3"/>
  <c r="P2291" i="3"/>
  <c r="P1630" i="3"/>
  <c r="P1599" i="3"/>
  <c r="P339" i="3"/>
  <c r="P286" i="3"/>
  <c r="P580" i="3"/>
  <c r="P122" i="3"/>
  <c r="P2522" i="3"/>
  <c r="P949" i="3"/>
  <c r="P413" i="3"/>
  <c r="P2362" i="3"/>
  <c r="P2266" i="3"/>
  <c r="P375" i="3"/>
  <c r="P1728" i="3"/>
  <c r="P47" i="3"/>
  <c r="P2746" i="3"/>
  <c r="P1904" i="3"/>
  <c r="P1905" i="3"/>
  <c r="P1952" i="3"/>
  <c r="P979" i="3"/>
  <c r="P1022" i="3"/>
  <c r="P1212" i="3"/>
  <c r="P256" i="3"/>
  <c r="P980" i="3"/>
  <c r="P324" i="3"/>
  <c r="P2707" i="3"/>
  <c r="P2300" i="3"/>
  <c r="P943" i="3"/>
  <c r="P2235" i="3"/>
  <c r="P1764" i="3"/>
  <c r="P79" i="3"/>
  <c r="P704" i="3"/>
  <c r="P1546" i="3"/>
  <c r="P2331" i="3"/>
  <c r="P2372" i="3"/>
  <c r="P191" i="3"/>
  <c r="P563" i="3"/>
  <c r="P2713" i="3"/>
  <c r="P1513" i="3"/>
  <c r="P25" i="3"/>
  <c r="P1202" i="3"/>
  <c r="P1214" i="3"/>
  <c r="P436" i="3"/>
  <c r="P1155" i="3"/>
  <c r="P1147" i="3"/>
  <c r="P1616" i="3"/>
  <c r="P2353" i="3"/>
  <c r="P1573" i="3"/>
  <c r="P1119" i="3"/>
  <c r="P1117" i="3"/>
  <c r="P368" i="3"/>
  <c r="P346" i="3"/>
  <c r="P341" i="3"/>
  <c r="P450" i="3"/>
  <c r="P53" i="3"/>
  <c r="P1054" i="3"/>
  <c r="P1052" i="3"/>
  <c r="P94" i="3"/>
  <c r="P2280" i="3"/>
  <c r="P1182" i="3"/>
  <c r="P1244" i="3"/>
  <c r="P1245" i="3"/>
  <c r="P12" i="3"/>
  <c r="P2536" i="3"/>
  <c r="P1705" i="3"/>
  <c r="P2619" i="3"/>
  <c r="P356" i="3"/>
  <c r="P572" i="3"/>
  <c r="P1139" i="3"/>
  <c r="P219" i="3"/>
  <c r="P2229" i="3"/>
  <c r="P686" i="3"/>
  <c r="P2254" i="3"/>
  <c r="P1083" i="3"/>
  <c r="P73" i="3"/>
  <c r="P988" i="3"/>
  <c r="P1195" i="3"/>
  <c r="P2516" i="3"/>
  <c r="P2527" i="3"/>
  <c r="P23" i="3"/>
  <c r="P2739" i="3"/>
  <c r="P2712" i="3"/>
  <c r="P1019" i="3"/>
  <c r="P849" i="3"/>
  <c r="P2318" i="3"/>
  <c r="P910" i="3"/>
  <c r="P908" i="3"/>
  <c r="P642" i="3"/>
  <c r="P2600" i="3"/>
  <c r="P1531" i="3"/>
  <c r="P1534" i="3"/>
  <c r="P2709" i="3"/>
  <c r="P846" i="3"/>
  <c r="P1040" i="3"/>
  <c r="P177" i="3"/>
  <c r="P2412" i="3"/>
  <c r="P159" i="3"/>
  <c r="P157" i="3"/>
  <c r="P1559" i="3"/>
  <c r="P1564" i="3"/>
  <c r="P1967" i="3"/>
  <c r="P1044" i="3"/>
  <c r="P1450" i="3"/>
  <c r="I828" i="5"/>
  <c r="H372" i="5"/>
  <c r="H147" i="5"/>
  <c r="I222" i="5"/>
  <c r="H58" i="5"/>
  <c r="H1027" i="5"/>
  <c r="H394" i="5"/>
  <c r="H419" i="5"/>
  <c r="H651" i="5"/>
  <c r="H1078" i="5"/>
  <c r="H2" i="5"/>
  <c r="P2781" i="3"/>
  <c r="P983" i="3"/>
  <c r="P37" i="3"/>
  <c r="P818" i="3"/>
  <c r="P1594" i="3"/>
  <c r="P86" i="3"/>
  <c r="P1460" i="3"/>
  <c r="P2178" i="3"/>
  <c r="P2296" i="3"/>
  <c r="Q280" i="3"/>
  <c r="Q1465" i="3"/>
  <c r="Q111" i="3"/>
  <c r="P2829" i="3"/>
  <c r="P1111" i="3"/>
  <c r="P135" i="3"/>
  <c r="P127" i="3"/>
  <c r="P636" i="3"/>
  <c r="P954" i="3"/>
  <c r="P634" i="3"/>
  <c r="P1105" i="3"/>
  <c r="P998" i="3"/>
  <c r="P994" i="3"/>
  <c r="P746" i="3"/>
  <c r="P2685" i="3"/>
  <c r="P1637" i="3"/>
  <c r="P1552" i="3"/>
  <c r="P1090" i="3"/>
  <c r="P742" i="3"/>
  <c r="P1632" i="3"/>
  <c r="P1623" i="3"/>
  <c r="P331" i="3"/>
  <c r="P335" i="3"/>
  <c r="P282" i="3"/>
  <c r="P1037" i="3"/>
  <c r="P1595" i="3"/>
  <c r="P1502" i="3"/>
  <c r="P412" i="3"/>
  <c r="P2360" i="3"/>
  <c r="P2264" i="3"/>
  <c r="P378" i="3"/>
  <c r="P1732" i="3"/>
  <c r="P49" i="3"/>
  <c r="P1899" i="3"/>
  <c r="P554" i="3"/>
  <c r="P1174" i="3"/>
  <c r="P1198" i="3"/>
  <c r="P1030" i="3"/>
  <c r="P252" i="3"/>
  <c r="P320" i="3"/>
  <c r="P2703" i="3"/>
  <c r="P2299" i="3"/>
  <c r="P940" i="3"/>
  <c r="P2677" i="3"/>
  <c r="P2234" i="3"/>
  <c r="P1762" i="3"/>
  <c r="P80" i="3"/>
  <c r="P705" i="3"/>
  <c r="P1543" i="3"/>
  <c r="P2371" i="3"/>
  <c r="P244" i="3"/>
  <c r="P190" i="3"/>
  <c r="P566" i="3"/>
  <c r="P78" i="3"/>
  <c r="P2708" i="3"/>
  <c r="P1520" i="3"/>
  <c r="P604" i="3"/>
  <c r="P1027" i="3"/>
  <c r="P435" i="3"/>
  <c r="P1154" i="3"/>
  <c r="P1149" i="3"/>
  <c r="P1106" i="3"/>
  <c r="P1615" i="3"/>
  <c r="P2354" i="3"/>
  <c r="P1577" i="3"/>
  <c r="P1123" i="3"/>
  <c r="P367" i="3"/>
  <c r="P345" i="3"/>
  <c r="P449" i="3"/>
  <c r="P446" i="3"/>
  <c r="P56" i="3"/>
  <c r="P1058" i="3"/>
  <c r="P1056" i="3"/>
  <c r="P92" i="3"/>
  <c r="P2283" i="3"/>
  <c r="P1181" i="3"/>
  <c r="P1246" i="3"/>
  <c r="P2359" i="3"/>
  <c r="P27" i="3"/>
  <c r="P1015" i="3"/>
  <c r="P845" i="3"/>
  <c r="P2615" i="3"/>
  <c r="P349" i="3"/>
  <c r="P571" i="3"/>
  <c r="P1137" i="3"/>
  <c r="P216" i="3"/>
  <c r="P2227" i="3"/>
  <c r="P685" i="3"/>
  <c r="P2253" i="3"/>
  <c r="P1081" i="3"/>
  <c r="P71" i="3"/>
  <c r="P984" i="3"/>
  <c r="P1194" i="3"/>
  <c r="P2515" i="3"/>
  <c r="P2526" i="3"/>
  <c r="P22" i="3"/>
  <c r="P2293" i="3"/>
  <c r="P2683" i="3"/>
  <c r="P1028" i="3"/>
  <c r="P2317" i="3"/>
  <c r="P899" i="3"/>
  <c r="P901" i="3"/>
  <c r="P644" i="3"/>
  <c r="P2607" i="3"/>
  <c r="P1537" i="3"/>
  <c r="P1536" i="3"/>
  <c r="P55" i="3"/>
  <c r="P1016" i="3"/>
  <c r="P853" i="3"/>
  <c r="P1033" i="3"/>
  <c r="P178" i="3"/>
  <c r="P2411" i="3"/>
  <c r="P170" i="3"/>
  <c r="P161" i="3"/>
  <c r="P1561" i="3"/>
  <c r="P1566" i="3"/>
  <c r="P1973" i="3"/>
  <c r="P1043" i="3"/>
  <c r="P1452" i="3"/>
  <c r="I827" i="5"/>
  <c r="H118" i="5"/>
  <c r="H857" i="5"/>
  <c r="I872" i="5"/>
  <c r="H318" i="5"/>
  <c r="H150" i="5"/>
  <c r="H175" i="5"/>
  <c r="H410" i="5"/>
  <c r="H36" i="5"/>
  <c r="I21" i="5"/>
  <c r="P701" i="3"/>
  <c r="P1438" i="3"/>
  <c r="P1581" i="3"/>
  <c r="H1031" i="5"/>
  <c r="P2535" i="3"/>
  <c r="P1210" i="3"/>
  <c r="P424" i="3"/>
  <c r="P740" i="3"/>
  <c r="H612" i="5"/>
  <c r="H627" i="5"/>
  <c r="H826" i="5"/>
  <c r="H922" i="5"/>
  <c r="H411" i="5"/>
  <c r="H834" i="5"/>
  <c r="H43" i="5"/>
  <c r="H18" i="5"/>
  <c r="H408" i="5"/>
  <c r="H667" i="5"/>
  <c r="H16" i="5"/>
  <c r="H45" i="5"/>
  <c r="H302" i="5"/>
  <c r="H977" i="5"/>
  <c r="H968" i="5"/>
  <c r="H22" i="5"/>
  <c r="P152" i="3"/>
  <c r="H20" i="5"/>
  <c r="H614" i="5"/>
  <c r="H306" i="5"/>
  <c r="H629" i="5"/>
  <c r="P2223" i="3"/>
  <c r="H176" i="5"/>
  <c r="H495" i="5"/>
  <c r="H168" i="5"/>
  <c r="H184" i="5"/>
  <c r="H823" i="5"/>
  <c r="H182" i="5"/>
  <c r="H978" i="5"/>
  <c r="H320" i="5"/>
  <c r="H662" i="5"/>
  <c r="H44" i="5"/>
  <c r="H27" i="5"/>
  <c r="H514" i="5"/>
  <c r="H500" i="5"/>
  <c r="H847" i="5"/>
  <c r="P150" i="3"/>
  <c r="H640" i="5"/>
  <c r="H1066" i="5"/>
  <c r="H641" i="5"/>
  <c r="H1057" i="5"/>
  <c r="P1110" i="3"/>
  <c r="P1206" i="3"/>
  <c r="P2581" i="3"/>
  <c r="P362" i="3"/>
  <c r="P39" i="3"/>
  <c r="P84" i="3"/>
  <c r="P958" i="3"/>
  <c r="P110" i="3"/>
  <c r="P2400" i="3"/>
  <c r="P2433" i="3"/>
  <c r="P752" i="3"/>
  <c r="P2271" i="3"/>
  <c r="P316" i="3"/>
  <c r="P965" i="3"/>
  <c r="P972" i="3"/>
  <c r="P144" i="3"/>
  <c r="H420" i="5"/>
  <c r="H220" i="5"/>
  <c r="H169" i="5"/>
  <c r="H183" i="5"/>
  <c r="H822" i="5"/>
  <c r="H424" i="5"/>
  <c r="H248" i="5"/>
  <c r="H668" i="5"/>
  <c r="H661" i="5"/>
  <c r="H646" i="5"/>
  <c r="H974" i="5"/>
  <c r="H244" i="5"/>
  <c r="H229" i="5"/>
  <c r="H846" i="5"/>
  <c r="P153" i="3"/>
  <c r="I276" i="5"/>
  <c r="H962" i="5"/>
  <c r="H613" i="5"/>
  <c r="H21" i="5"/>
  <c r="H366" i="5"/>
  <c r="H828" i="5"/>
  <c r="I264" i="5"/>
  <c r="H965" i="5"/>
  <c r="H425" i="5"/>
  <c r="H832" i="5"/>
  <c r="H516" i="5"/>
  <c r="H321" i="5"/>
  <c r="H54" i="5"/>
  <c r="H304" i="5"/>
  <c r="H240" i="5"/>
  <c r="H647" i="5"/>
  <c r="H836" i="5"/>
  <c r="H436" i="5"/>
  <c r="P151" i="3"/>
  <c r="H32" i="5"/>
  <c r="I275" i="5"/>
  <c r="H611" i="5"/>
  <c r="P2352" i="3"/>
  <c r="H34" i="5"/>
  <c r="P128" i="3"/>
  <c r="P1207" i="3"/>
  <c r="P366" i="3"/>
  <c r="P40" i="3"/>
  <c r="P85" i="3"/>
  <c r="P963" i="3"/>
  <c r="P1466" i="3"/>
  <c r="P111" i="3"/>
  <c r="P2404" i="3"/>
  <c r="P2431" i="3"/>
  <c r="P753" i="3"/>
  <c r="P2268" i="3"/>
  <c r="P973" i="3"/>
  <c r="P976" i="3"/>
  <c r="P1465" i="3"/>
  <c r="P2407" i="3"/>
  <c r="P748" i="3"/>
  <c r="P1026" i="3"/>
  <c r="P536" i="3"/>
  <c r="P2173" i="3"/>
  <c r="P365" i="3"/>
  <c r="P281" i="3"/>
  <c r="P957" i="3"/>
  <c r="P1469" i="3"/>
  <c r="P2403" i="3"/>
  <c r="P750" i="3"/>
  <c r="P971" i="3"/>
  <c r="P964" i="3"/>
  <c r="P1107" i="3"/>
  <c r="H827" i="5"/>
  <c r="I263" i="5"/>
  <c r="H975" i="5"/>
  <c r="H645" i="5"/>
  <c r="H824" i="5"/>
  <c r="H509" i="5"/>
  <c r="H62" i="5"/>
  <c r="H55" i="5"/>
  <c r="H30" i="5"/>
  <c r="H510" i="5"/>
  <c r="H31" i="5"/>
  <c r="H427" i="5"/>
  <c r="H305" i="5"/>
  <c r="I277" i="5"/>
  <c r="H633" i="5"/>
  <c r="H655" i="5"/>
  <c r="H238" i="5"/>
  <c r="H1060" i="5"/>
  <c r="P358" i="3"/>
  <c r="P2270" i="3"/>
  <c r="P975" i="3"/>
  <c r="H421" i="5"/>
  <c r="H816" i="5"/>
  <c r="H241" i="5"/>
  <c r="H303" i="5"/>
  <c r="H418" i="5"/>
  <c r="H239" i="5"/>
  <c r="H61" i="5"/>
  <c r="H772" i="5"/>
  <c r="H367" i="5"/>
  <c r="H186" i="5"/>
  <c r="H972" i="5"/>
  <c r="H33" i="5"/>
  <c r="H648" i="5"/>
  <c r="H1030" i="5"/>
  <c r="H610" i="5"/>
  <c r="H609" i="5"/>
  <c r="H958" i="5"/>
  <c r="P1209" i="3"/>
  <c r="P537" i="3"/>
  <c r="P360" i="3"/>
  <c r="P42" i="3"/>
  <c r="P88" i="3"/>
  <c r="P276" i="3"/>
  <c r="P1468" i="3"/>
  <c r="P113" i="3"/>
  <c r="P2405" i="3"/>
  <c r="P2432" i="3"/>
  <c r="P2269" i="3"/>
  <c r="P61" i="3"/>
  <c r="P977" i="3"/>
  <c r="P970" i="3"/>
  <c r="P2277" i="3"/>
  <c r="P1213" i="3"/>
  <c r="P359" i="3"/>
  <c r="P41" i="3"/>
  <c r="P87" i="3"/>
  <c r="P960" i="3"/>
  <c r="P1464" i="3"/>
  <c r="P112" i="3"/>
  <c r="P2401" i="3"/>
  <c r="P2428" i="3"/>
  <c r="P751" i="3"/>
  <c r="P2272" i="3"/>
  <c r="P59" i="3"/>
  <c r="P969" i="3"/>
  <c r="P966" i="3"/>
  <c r="P2276" i="3"/>
  <c r="P961" i="3"/>
  <c r="P2429" i="3"/>
  <c r="P318" i="3"/>
  <c r="P968" i="3"/>
  <c r="P1032" i="3"/>
  <c r="P535" i="3"/>
  <c r="P280" i="3"/>
  <c r="P959" i="3"/>
  <c r="P1463" i="3"/>
  <c r="P639" i="3"/>
  <c r="P2406" i="3"/>
  <c r="P63" i="3"/>
  <c r="P967" i="3"/>
  <c r="P1205" i="3"/>
  <c r="P538" i="3"/>
  <c r="P364" i="3"/>
  <c r="P43" i="3"/>
  <c r="P279" i="3"/>
  <c r="P955" i="3"/>
  <c r="P1467" i="3"/>
  <c r="P2402" i="3"/>
  <c r="P2274" i="3"/>
  <c r="P62" i="3"/>
  <c r="P974" i="3"/>
  <c r="P2278" i="3"/>
  <c r="P1108" i="3"/>
  <c r="H178" i="5"/>
  <c r="H817" i="5"/>
  <c r="H511" i="5"/>
  <c r="H29" i="5"/>
  <c r="H174" i="5"/>
  <c r="H813" i="5"/>
  <c r="H639" i="5"/>
  <c r="H39" i="5"/>
  <c r="H136" i="5"/>
  <c r="H699" i="5"/>
  <c r="H642" i="5"/>
  <c r="H506" i="5"/>
  <c r="H698" i="5"/>
  <c r="H606" i="5"/>
  <c r="P1031" i="3"/>
  <c r="H870" i="5"/>
  <c r="H28" i="5"/>
  <c r="H247" i="5"/>
  <c r="H177" i="5"/>
  <c r="H412" i="5"/>
  <c r="H833" i="5"/>
  <c r="H659" i="5"/>
  <c r="H17" i="5"/>
  <c r="H165" i="5"/>
  <c r="H15" i="5"/>
  <c r="H40" i="5"/>
  <c r="H644" i="5"/>
  <c r="H380" i="5"/>
  <c r="H93" i="5"/>
  <c r="H23" i="5"/>
  <c r="H235" i="5"/>
  <c r="H649" i="5"/>
  <c r="H625" i="5"/>
  <c r="H19" i="5"/>
  <c r="H628" i="5"/>
  <c r="H615" i="5"/>
  <c r="P2225" i="3"/>
  <c r="Q1285" i="3"/>
  <c r="P2770" i="3"/>
  <c r="H188" i="5"/>
  <c r="H852" i="5"/>
  <c r="H829" i="5"/>
  <c r="H778" i="5"/>
  <c r="H921" i="5"/>
  <c r="H492" i="5"/>
  <c r="H783" i="5"/>
  <c r="H231" i="5"/>
  <c r="H496" i="5"/>
  <c r="H489" i="5"/>
  <c r="H416" i="5"/>
  <c r="H140" i="5"/>
  <c r="H414" i="5"/>
  <c r="H42" i="5"/>
  <c r="H971" i="5"/>
  <c r="H430" i="5"/>
  <c r="H230" i="5"/>
  <c r="H931" i="5"/>
  <c r="H261" i="5"/>
  <c r="H788" i="5"/>
  <c r="H1130" i="5"/>
  <c r="H1071" i="5"/>
  <c r="H1140" i="5"/>
  <c r="H232" i="5"/>
  <c r="H1012" i="5"/>
  <c r="H943" i="5"/>
  <c r="H950" i="5"/>
  <c r="H277" i="5"/>
  <c r="H948" i="5"/>
  <c r="H161" i="5"/>
  <c r="H721" i="5"/>
  <c r="H445" i="5"/>
  <c r="H422" i="5"/>
  <c r="H780" i="5"/>
  <c r="H786" i="5"/>
  <c r="H927" i="5"/>
  <c r="H222" i="5"/>
  <c r="H973" i="5"/>
  <c r="H773" i="5"/>
  <c r="H170" i="5"/>
  <c r="H92" i="5"/>
  <c r="H503" i="5"/>
  <c r="H189" i="5"/>
  <c r="H501" i="5"/>
  <c r="H227" i="5"/>
  <c r="H262" i="5"/>
  <c r="H386" i="5"/>
  <c r="H1147" i="5"/>
  <c r="H1067" i="5"/>
  <c r="H1152" i="5"/>
  <c r="P1706" i="3"/>
  <c r="H960" i="5"/>
  <c r="H949" i="5"/>
  <c r="H963" i="5"/>
  <c r="H874" i="5"/>
  <c r="H275" i="5"/>
  <c r="H223" i="5"/>
  <c r="H955" i="5"/>
  <c r="P2224" i="3"/>
  <c r="Q1284" i="3"/>
  <c r="Q1282" i="3"/>
  <c r="Q1283" i="3"/>
  <c r="H129" i="5"/>
  <c r="H179" i="5"/>
  <c r="H777" i="5"/>
  <c r="H784" i="5"/>
  <c r="H497" i="5"/>
  <c r="H237" i="5"/>
  <c r="H774" i="5"/>
  <c r="H171" i="5"/>
  <c r="H807" i="5"/>
  <c r="H775" i="5"/>
  <c r="H654" i="5"/>
  <c r="H498" i="5"/>
  <c r="H790" i="5"/>
  <c r="H643" i="5"/>
  <c r="H142" i="5"/>
  <c r="H1106" i="5"/>
  <c r="H1110" i="5"/>
  <c r="P1707" i="3"/>
  <c r="H954" i="5"/>
  <c r="H464" i="5"/>
  <c r="H932" i="5"/>
  <c r="H939" i="5"/>
  <c r="H957" i="5"/>
  <c r="H933" i="5"/>
  <c r="Q1281" i="3"/>
  <c r="H912" i="5"/>
  <c r="H502" i="5"/>
  <c r="H820" i="5"/>
  <c r="H779" i="5"/>
  <c r="H385" i="5"/>
  <c r="H224" i="5"/>
  <c r="H381" i="5"/>
  <c r="H658" i="5"/>
  <c r="H401" i="5"/>
  <c r="H382" i="5"/>
  <c r="H38" i="5"/>
  <c r="H1005" i="5"/>
  <c r="H387" i="5"/>
  <c r="H24" i="5"/>
  <c r="H1131" i="5"/>
  <c r="H1105" i="5"/>
  <c r="H1092" i="5"/>
  <c r="H1153" i="5"/>
  <c r="P1709" i="3"/>
  <c r="H945" i="5"/>
  <c r="H1055" i="5"/>
  <c r="I250" i="5"/>
  <c r="H942" i="5"/>
  <c r="H952" i="5"/>
  <c r="H871" i="5"/>
  <c r="H617" i="5"/>
  <c r="Q1286" i="3"/>
  <c r="Q1280" i="3"/>
  <c r="H911" i="5"/>
  <c r="H233" i="5"/>
  <c r="H415" i="5"/>
  <c r="H139" i="5"/>
  <c r="H837" i="5"/>
  <c r="H873" i="5"/>
  <c r="H141" i="5"/>
  <c r="H802" i="5"/>
  <c r="H920" i="5"/>
  <c r="H513" i="5"/>
  <c r="H137" i="5"/>
  <c r="H308" i="5"/>
  <c r="H157" i="5"/>
  <c r="H263" i="5"/>
  <c r="H835" i="5"/>
  <c r="H138" i="5"/>
  <c r="H37" i="5"/>
  <c r="H546" i="5"/>
  <c r="H143" i="5"/>
  <c r="H25" i="5"/>
  <c r="H1074" i="5"/>
  <c r="H1064" i="5"/>
  <c r="H1122" i="5"/>
  <c r="H1166" i="5"/>
  <c r="H128" i="5"/>
  <c r="H940" i="5"/>
  <c r="H276" i="5"/>
  <c r="H937" i="5"/>
  <c r="H1069" i="5"/>
  <c r="H1059" i="5"/>
  <c r="H485" i="5"/>
  <c r="Q1279" i="3"/>
  <c r="H838" i="5"/>
  <c r="H913" i="5"/>
  <c r="H830" i="5"/>
  <c r="H172" i="5"/>
  <c r="H976" i="5"/>
  <c r="H428" i="5"/>
  <c r="H872" i="5"/>
  <c r="H346" i="5"/>
  <c r="H397" i="5"/>
  <c r="H494" i="5"/>
  <c r="H243" i="5"/>
  <c r="H781" i="5"/>
  <c r="H818" i="5"/>
  <c r="H657" i="5"/>
  <c r="H929" i="5"/>
  <c r="H264" i="5"/>
  <c r="H426" i="5"/>
  <c r="H841" i="5"/>
  <c r="H919" i="5"/>
  <c r="H1143" i="5"/>
  <c r="H1134" i="5"/>
  <c r="H1135" i="5"/>
  <c r="H1118" i="5"/>
  <c r="H1123" i="5"/>
  <c r="H947" i="5"/>
  <c r="H53" i="5"/>
  <c r="H953" i="5"/>
  <c r="H918" i="5"/>
  <c r="H26" i="5"/>
  <c r="H839" i="5"/>
  <c r="H490" i="5"/>
  <c r="H423" i="5"/>
  <c r="H776" i="5"/>
  <c r="H512" i="5"/>
  <c r="H187" i="5"/>
  <c r="H785" i="5"/>
  <c r="H90" i="5"/>
  <c r="H153" i="5"/>
  <c r="H821" i="5"/>
  <c r="H782" i="5"/>
  <c r="H413" i="5"/>
  <c r="H309" i="5"/>
  <c r="H930" i="5"/>
  <c r="H908" i="5"/>
  <c r="H185" i="5"/>
  <c r="H431" i="5"/>
  <c r="H493" i="5"/>
  <c r="H1144" i="5"/>
  <c r="H1088" i="5"/>
  <c r="H1109" i="5"/>
  <c r="H1087" i="5"/>
  <c r="H1145" i="5"/>
  <c r="H934" i="5"/>
  <c r="H449" i="5"/>
  <c r="H631" i="5"/>
  <c r="H246" i="5"/>
  <c r="H964" i="5"/>
  <c r="P2226" i="3"/>
  <c r="Q1278" i="3"/>
  <c r="P700" i="3"/>
  <c r="H429" i="5"/>
  <c r="H180" i="5"/>
  <c r="H383" i="5"/>
  <c r="H242" i="5"/>
  <c r="H917" i="5"/>
  <c r="H787" i="5"/>
  <c r="H970" i="5"/>
  <c r="H926" i="5"/>
  <c r="H910" i="5"/>
  <c r="H173" i="5"/>
  <c r="H384" i="5"/>
  <c r="H819" i="5"/>
  <c r="H41" i="5"/>
  <c r="H226" i="5"/>
  <c r="H486" i="5"/>
  <c r="H840" i="5"/>
  <c r="H969" i="5"/>
  <c r="H190" i="5"/>
  <c r="H789" i="5"/>
  <c r="H1161" i="5"/>
  <c r="H1070" i="5"/>
  <c r="H1141" i="5"/>
  <c r="H505" i="5"/>
  <c r="H935" i="5"/>
  <c r="H944" i="5"/>
  <c r="H608" i="5"/>
  <c r="H959" i="5"/>
  <c r="H936" i="5"/>
  <c r="H484" i="5"/>
  <c r="P1283" i="3"/>
  <c r="P1284" i="3"/>
  <c r="P1280" i="3"/>
  <c r="P1286" i="3"/>
  <c r="P1282" i="3"/>
  <c r="P1281" i="3"/>
  <c r="P1285" i="3"/>
  <c r="P1278" i="3"/>
  <c r="P1279" i="3"/>
  <c r="Q2140" i="3"/>
  <c r="I368" i="5"/>
  <c r="I1085" i="5"/>
  <c r="I369" i="5"/>
  <c r="Q146" i="3"/>
  <c r="I114" i="5"/>
  <c r="I115" i="5"/>
  <c r="I1090" i="5"/>
  <c r="Q1267" i="3"/>
  <c r="Q1271" i="3"/>
  <c r="P2453" i="3"/>
  <c r="Q2449" i="3"/>
  <c r="Q2458" i="3"/>
  <c r="Q1270" i="3"/>
  <c r="Q2141" i="3"/>
  <c r="P146" i="3"/>
  <c r="P2454" i="3"/>
  <c r="Q2461" i="3"/>
  <c r="I116" i="5"/>
  <c r="Q2455" i="3"/>
  <c r="Q2460" i="3"/>
  <c r="Q1277" i="3"/>
  <c r="P2452" i="3"/>
  <c r="Q2452" i="3"/>
  <c r="Q2459" i="3"/>
  <c r="Q1269" i="3"/>
  <c r="Q2622" i="3"/>
  <c r="P2449" i="3"/>
  <c r="I1089" i="5"/>
  <c r="Q1272" i="3"/>
  <c r="Q2450" i="3"/>
  <c r="Q2472" i="3"/>
  <c r="Q2473" i="3"/>
  <c r="Q2591" i="3"/>
  <c r="Q2451" i="3"/>
  <c r="Q1274" i="3"/>
  <c r="Q1276" i="3"/>
  <c r="I517" i="5"/>
  <c r="I1086" i="5"/>
  <c r="Q2462" i="3"/>
  <c r="Q2590" i="3"/>
  <c r="Q1268" i="3"/>
  <c r="I249" i="5"/>
  <c r="Q2453" i="3"/>
  <c r="Q2457" i="3"/>
  <c r="Q1266" i="3"/>
  <c r="I370" i="5"/>
  <c r="Q2454" i="3"/>
  <c r="Q2456" i="3"/>
  <c r="Q1273" i="3"/>
  <c r="Q1275" i="3"/>
  <c r="I117" i="5"/>
  <c r="P2140" i="3"/>
  <c r="Q2623" i="3"/>
  <c r="P2451" i="3"/>
  <c r="P2462" i="3"/>
  <c r="P1270" i="3"/>
  <c r="H369" i="5"/>
  <c r="H1090" i="5"/>
  <c r="P2591" i="3"/>
  <c r="P1267" i="3"/>
  <c r="H368" i="5"/>
  <c r="I752" i="5"/>
  <c r="Q813" i="3"/>
  <c r="P1272" i="3"/>
  <c r="P1266" i="3"/>
  <c r="H114" i="5"/>
  <c r="P2461" i="3"/>
  <c r="Q814" i="3"/>
  <c r="P1273" i="3"/>
  <c r="P1277" i="3"/>
  <c r="H115" i="5"/>
  <c r="P2141" i="3"/>
  <c r="Q815" i="3"/>
  <c r="P2450" i="3"/>
  <c r="P1268" i="3"/>
  <c r="P1271" i="3"/>
  <c r="P2590" i="3"/>
  <c r="P1275" i="3"/>
  <c r="P1276" i="3"/>
  <c r="P2622" i="3"/>
  <c r="Q816" i="3"/>
  <c r="P2458" i="3"/>
  <c r="P1274" i="3"/>
  <c r="P2456" i="3"/>
  <c r="H1085" i="5"/>
  <c r="P2473" i="3"/>
  <c r="P2455" i="3"/>
  <c r="P2459" i="3"/>
  <c r="P1269" i="3"/>
  <c r="H716" i="5"/>
  <c r="P2472" i="3"/>
  <c r="P815" i="3"/>
  <c r="P2457" i="3"/>
  <c r="P813" i="3"/>
  <c r="P2460" i="3"/>
  <c r="P814" i="3"/>
  <c r="P816" i="3"/>
  <c r="H117" i="5"/>
  <c r="H1089" i="5"/>
  <c r="H995" i="5"/>
  <c r="H1086" i="5"/>
  <c r="H536" i="5"/>
  <c r="H116" i="5"/>
  <c r="P2623" i="3"/>
  <c r="H752" i="5"/>
  <c r="H370" i="5"/>
  <c r="H250" i="5"/>
  <c r="P927" i="3"/>
  <c r="Q2847" i="3"/>
  <c r="I1033" i="5"/>
  <c r="I271" i="5"/>
  <c r="Q2846" i="3"/>
  <c r="Q2849" i="3"/>
  <c r="Q2848" i="3"/>
  <c r="I272" i="5"/>
  <c r="Q2851" i="3"/>
  <c r="Q2852" i="3"/>
  <c r="Q2850" i="3"/>
  <c r="P2850" i="3"/>
  <c r="P930" i="3"/>
  <c r="Q1129" i="3"/>
  <c r="Q2729" i="3"/>
  <c r="Q2589" i="3"/>
  <c r="Q2595" i="3"/>
  <c r="Q2725" i="3"/>
  <c r="Q2495" i="3"/>
  <c r="Q2588" i="3"/>
  <c r="Q1132" i="3"/>
  <c r="Q2667" i="3"/>
  <c r="Q2657" i="3"/>
  <c r="Q2661" i="3"/>
  <c r="Q2797" i="3"/>
  <c r="Q2823" i="3"/>
  <c r="Q2811" i="3"/>
  <c r="Q2586" i="3"/>
  <c r="P2849" i="3"/>
  <c r="P2823" i="3"/>
  <c r="P2816" i="3"/>
  <c r="P2799" i="3"/>
  <c r="I550" i="5"/>
  <c r="Q2583" i="3"/>
  <c r="Q2658" i="3"/>
  <c r="Q2801" i="3"/>
  <c r="Q2814" i="3"/>
  <c r="Q2807" i="3"/>
  <c r="Q2656" i="3"/>
  <c r="P2852" i="3"/>
  <c r="P2797" i="3"/>
  <c r="P2802" i="3"/>
  <c r="I577" i="5"/>
  <c r="Q2761" i="3"/>
  <c r="I586" i="5"/>
  <c r="Q2675" i="3"/>
  <c r="Q2728" i="3"/>
  <c r="Q2493" i="3"/>
  <c r="Q1128" i="3"/>
  <c r="Q2582" i="3"/>
  <c r="Q2666" i="3"/>
  <c r="Q2665" i="3"/>
  <c r="Q2798" i="3"/>
  <c r="Q2800" i="3"/>
  <c r="Q2819" i="3"/>
  <c r="Q2813" i="3"/>
  <c r="Q2792" i="3"/>
  <c r="P2847" i="3"/>
  <c r="P2822" i="3"/>
  <c r="I576" i="5"/>
  <c r="Q2500" i="3"/>
  <c r="Q1134" i="3"/>
  <c r="Q2672" i="3"/>
  <c r="Q2674" i="3"/>
  <c r="Q2660" i="3"/>
  <c r="Q2804" i="3"/>
  <c r="Q2815" i="3"/>
  <c r="Q2824" i="3"/>
  <c r="Q2808" i="3"/>
  <c r="P2798" i="3"/>
  <c r="I515" i="5"/>
  <c r="I575" i="5"/>
  <c r="I583" i="5"/>
  <c r="Q2494" i="3"/>
  <c r="Q2597" i="3"/>
  <c r="Q2726" i="3"/>
  <c r="P928" i="3"/>
  <c r="Q2594" i="3"/>
  <c r="Q2724" i="3"/>
  <c r="Q2499" i="3"/>
  <c r="Q1133" i="3"/>
  <c r="Q2673" i="3"/>
  <c r="Q2669" i="3"/>
  <c r="Q2662" i="3"/>
  <c r="Q2796" i="3"/>
  <c r="Q2821" i="3"/>
  <c r="Q2820" i="3"/>
  <c r="Q2810" i="3"/>
  <c r="P2846" i="3"/>
  <c r="P2813" i="3"/>
  <c r="I245" i="5"/>
  <c r="Q2727" i="3"/>
  <c r="P929" i="3"/>
  <c r="Q2593" i="3"/>
  <c r="Q2723" i="3"/>
  <c r="Q2498" i="3"/>
  <c r="Q1131" i="3"/>
  <c r="Q2671" i="3"/>
  <c r="Q2542" i="3"/>
  <c r="Q2664" i="3"/>
  <c r="Q2799" i="3"/>
  <c r="Q2816" i="3"/>
  <c r="Q2818" i="3"/>
  <c r="Q2805" i="3"/>
  <c r="P2814" i="3"/>
  <c r="P2817" i="3"/>
  <c r="P2820" i="3"/>
  <c r="Q2501" i="3"/>
  <c r="Q2592" i="3"/>
  <c r="Q2722" i="3"/>
  <c r="Q2497" i="3"/>
  <c r="Q1130" i="3"/>
  <c r="Q2670" i="3"/>
  <c r="Q2558" i="3"/>
  <c r="Q2659" i="3"/>
  <c r="Q2803" i="3"/>
  <c r="Q2822" i="3"/>
  <c r="Q2812" i="3"/>
  <c r="Q2806" i="3"/>
  <c r="P2848" i="3"/>
  <c r="P2803" i="3"/>
  <c r="P2818" i="3"/>
  <c r="P2800" i="3"/>
  <c r="P2808" i="3"/>
  <c r="P2824" i="3"/>
  <c r="I1035" i="5"/>
  <c r="Q2596" i="3"/>
  <c r="Q2496" i="3"/>
  <c r="Q1127" i="3"/>
  <c r="Q2668" i="3"/>
  <c r="Q2663" i="3"/>
  <c r="Q2587" i="3"/>
  <c r="Q2802" i="3"/>
  <c r="Q2817" i="3"/>
  <c r="Q2809" i="3"/>
  <c r="P2851" i="3"/>
  <c r="P2801" i="3"/>
  <c r="P2805" i="3"/>
  <c r="P2810" i="3"/>
  <c r="P2815" i="3"/>
  <c r="I1034" i="5"/>
  <c r="H1033" i="5"/>
  <c r="Q2632" i="3"/>
  <c r="Q2773" i="3"/>
  <c r="Q2475" i="3"/>
  <c r="Q836" i="3"/>
  <c r="Q2175" i="3"/>
  <c r="Q891" i="3"/>
  <c r="P2630" i="3"/>
  <c r="P2724" i="3"/>
  <c r="P837" i="3"/>
  <c r="P838" i="3"/>
  <c r="P2649" i="3"/>
  <c r="P1127" i="3"/>
  <c r="P2776" i="3"/>
  <c r="P2488" i="3"/>
  <c r="P2500" i="3"/>
  <c r="P843" i="3"/>
  <c r="P915" i="3"/>
  <c r="P1158" i="3"/>
  <c r="P763" i="3"/>
  <c r="P1159" i="3"/>
  <c r="P761" i="3"/>
  <c r="P890" i="3"/>
  <c r="P2730" i="3"/>
  <c r="P2771" i="3"/>
  <c r="I585" i="5"/>
  <c r="I257" i="5"/>
  <c r="I808" i="5"/>
  <c r="I579" i="5"/>
  <c r="I901" i="5"/>
  <c r="I251" i="5"/>
  <c r="I121" i="5"/>
  <c r="I1107" i="5"/>
  <c r="I472" i="5"/>
  <c r="P2728" i="3"/>
  <c r="P2669" i="3"/>
  <c r="Q833" i="3"/>
  <c r="Q2731" i="3"/>
  <c r="Q2760" i="3"/>
  <c r="Q2630" i="3"/>
  <c r="Q2655" i="3"/>
  <c r="Q228" i="3"/>
  <c r="P2807" i="3"/>
  <c r="P1131" i="3"/>
  <c r="P2660" i="3"/>
  <c r="P2690" i="3"/>
  <c r="P2727" i="3"/>
  <c r="P2719" i="3"/>
  <c r="P2734" i="3"/>
  <c r="Q2629" i="3"/>
  <c r="Q680" i="3"/>
  <c r="Q2718" i="3"/>
  <c r="Q227" i="3"/>
  <c r="Q2690" i="3"/>
  <c r="Q2177" i="3"/>
  <c r="Q2545" i="3"/>
  <c r="P2812" i="3"/>
  <c r="Q2691" i="3"/>
  <c r="Q873" i="3"/>
  <c r="Q2737" i="3"/>
  <c r="Q2753" i="3"/>
  <c r="Q1159" i="3"/>
  <c r="Q2176" i="3"/>
  <c r="P2819" i="3"/>
  <c r="Q2346" i="3"/>
  <c r="Q2695" i="3"/>
  <c r="Q842" i="3"/>
  <c r="Q755" i="3"/>
  <c r="Q2778" i="3"/>
  <c r="Q2651" i="3"/>
  <c r="Q2735" i="3"/>
  <c r="Q2716" i="3"/>
  <c r="Q2754" i="3"/>
  <c r="Q2698" i="3"/>
  <c r="Q915" i="3"/>
  <c r="Q2135" i="3"/>
  <c r="Q2477" i="3"/>
  <c r="Q2644" i="3"/>
  <c r="Q2688" i="3"/>
  <c r="Q2439" i="3"/>
  <c r="Q888" i="3"/>
  <c r="Q2487" i="3"/>
  <c r="Q2488" i="3"/>
  <c r="Q758" i="3"/>
  <c r="P2796" i="3"/>
  <c r="P2655" i="3"/>
  <c r="P2716" i="3"/>
  <c r="P2775" i="3"/>
  <c r="P2699" i="3"/>
  <c r="P2753" i="3"/>
  <c r="P2722" i="3"/>
  <c r="P2693" i="3"/>
  <c r="P1160" i="3"/>
  <c r="P2773" i="3"/>
  <c r="P762" i="3"/>
  <c r="P2481" i="3"/>
  <c r="P844" i="3"/>
  <c r="P2737" i="3"/>
  <c r="P2474" i="3"/>
  <c r="P833" i="3"/>
  <c r="P2691" i="3"/>
  <c r="I256" i="5"/>
  <c r="I260" i="5"/>
  <c r="I402" i="5"/>
  <c r="I282" i="5"/>
  <c r="I471" i="5"/>
  <c r="I578" i="5"/>
  <c r="I252" i="5"/>
  <c r="I378" i="5"/>
  <c r="I865" i="5"/>
  <c r="H1061" i="5"/>
  <c r="Q2693" i="3"/>
  <c r="Q2648" i="3"/>
  <c r="Q1158" i="3"/>
  <c r="Q2584" i="3"/>
  <c r="Q2775" i="3"/>
  <c r="Q2645" i="3"/>
  <c r="Q2491" i="3"/>
  <c r="P2640" i="3"/>
  <c r="P2645" i="3"/>
  <c r="P1130" i="3"/>
  <c r="P841" i="3"/>
  <c r="Q2772" i="3"/>
  <c r="Q1160" i="3"/>
  <c r="Q2490" i="3"/>
  <c r="P2821" i="3"/>
  <c r="Q2347" i="3"/>
  <c r="Q835" i="3"/>
  <c r="Q2771" i="3"/>
  <c r="Q2719" i="3"/>
  <c r="Q226" i="3"/>
  <c r="Q2480" i="3"/>
  <c r="Q2628" i="3"/>
  <c r="Q872" i="3"/>
  <c r="Q2777" i="3"/>
  <c r="Q2650" i="3"/>
  <c r="Q2734" i="3"/>
  <c r="Q2721" i="3"/>
  <c r="Q2755" i="3"/>
  <c r="Q2697" i="3"/>
  <c r="Q914" i="3"/>
  <c r="Q2136" i="3"/>
  <c r="Q2476" i="3"/>
  <c r="Q2643" i="3"/>
  <c r="Q2687" i="3"/>
  <c r="Q2438" i="3"/>
  <c r="Q887" i="3"/>
  <c r="Q2486" i="3"/>
  <c r="Q2138" i="3"/>
  <c r="Q759" i="3"/>
  <c r="P2806" i="3"/>
  <c r="P2754" i="3"/>
  <c r="P2720" i="3"/>
  <c r="P2496" i="3"/>
  <c r="P2686" i="3"/>
  <c r="P2721" i="3"/>
  <c r="P2718" i="3"/>
  <c r="P840" i="3"/>
  <c r="P2761" i="3"/>
  <c r="P2174" i="3"/>
  <c r="P2346" i="3"/>
  <c r="P2636" i="3"/>
  <c r="P2347" i="3"/>
  <c r="P2698" i="3"/>
  <c r="P2495" i="3"/>
  <c r="I255" i="5"/>
  <c r="I259" i="5"/>
  <c r="I158" i="5"/>
  <c r="I281" i="5"/>
  <c r="I894" i="5"/>
  <c r="H300" i="5"/>
  <c r="I907" i="5"/>
  <c r="I268" i="5"/>
  <c r="I131" i="5"/>
  <c r="P2588" i="3"/>
  <c r="P2498" i="3"/>
  <c r="Q756" i="3"/>
  <c r="Q230" i="3"/>
  <c r="Q677" i="3"/>
  <c r="Q2653" i="3"/>
  <c r="Q2758" i="3"/>
  <c r="Q2474" i="3"/>
  <c r="Q2434" i="3"/>
  <c r="P758" i="3"/>
  <c r="P2501" i="3"/>
  <c r="P2494" i="3"/>
  <c r="P680" i="3"/>
  <c r="Q843" i="3"/>
  <c r="Q2646" i="3"/>
  <c r="Q2481" i="3"/>
  <c r="Q2652" i="3"/>
  <c r="Q2699" i="3"/>
  <c r="Q2478" i="3"/>
  <c r="Q2689" i="3"/>
  <c r="Q889" i="3"/>
  <c r="Q2489" i="3"/>
  <c r="Q2694" i="3"/>
  <c r="Q834" i="3"/>
  <c r="Q2633" i="3"/>
  <c r="Q2692" i="3"/>
  <c r="Q838" i="3"/>
  <c r="Q841" i="3"/>
  <c r="Q757" i="3"/>
  <c r="Q2776" i="3"/>
  <c r="Q2649" i="3"/>
  <c r="Q2732" i="3"/>
  <c r="Q2720" i="3"/>
  <c r="Q2756" i="3"/>
  <c r="Q2696" i="3"/>
  <c r="Q913" i="3"/>
  <c r="Q2483" i="3"/>
  <c r="Q2642" i="3"/>
  <c r="Q2686" i="3"/>
  <c r="Q2436" i="3"/>
  <c r="Q886" i="3"/>
  <c r="Q2485" i="3"/>
  <c r="Q2137" i="3"/>
  <c r="Q760" i="3"/>
  <c r="P2811" i="3"/>
  <c r="Q821" i="3"/>
  <c r="P2633" i="3"/>
  <c r="P1161" i="3"/>
  <c r="P832" i="3"/>
  <c r="P873" i="3"/>
  <c r="P2732" i="3"/>
  <c r="P2642" i="3"/>
  <c r="P2175" i="3"/>
  <c r="P2760" i="3"/>
  <c r="P2643" i="3"/>
  <c r="P2665" i="3"/>
  <c r="P2671" i="3"/>
  <c r="P1133" i="3"/>
  <c r="P888" i="3"/>
  <c r="P2644" i="3"/>
  <c r="P2641" i="3"/>
  <c r="I253" i="5"/>
  <c r="I462" i="5"/>
  <c r="H637" i="5"/>
  <c r="I479" i="5"/>
  <c r="I267" i="5"/>
  <c r="I274" i="5"/>
  <c r="I869" i="5"/>
  <c r="P2558" i="3"/>
  <c r="I862" i="5"/>
  <c r="I861" i="5"/>
  <c r="I863" i="5"/>
  <c r="I52" i="5"/>
  <c r="I951" i="5"/>
  <c r="Q679" i="3"/>
  <c r="Q2717" i="3"/>
  <c r="Q2641" i="3"/>
  <c r="Q2636" i="3"/>
  <c r="Q2435" i="3"/>
  <c r="Q893" i="3"/>
  <c r="Q2492" i="3"/>
  <c r="Q763" i="3"/>
  <c r="Q2762" i="3"/>
  <c r="P2804" i="3"/>
  <c r="P2809" i="3"/>
  <c r="P2792" i="3"/>
  <c r="P2475" i="3"/>
  <c r="P760" i="3"/>
  <c r="P2476" i="3"/>
  <c r="P835" i="3"/>
  <c r="P893" i="3"/>
  <c r="P1132" i="3"/>
  <c r="P2587" i="3"/>
  <c r="P2774" i="3"/>
  <c r="P2651" i="3"/>
  <c r="P2437" i="3"/>
  <c r="P2757" i="3"/>
  <c r="P2674" i="3"/>
  <c r="P2687" i="3"/>
  <c r="P2592" i="3"/>
  <c r="P2725" i="3"/>
  <c r="P2729" i="3"/>
  <c r="I254" i="5"/>
  <c r="I574" i="5"/>
  <c r="I269" i="5"/>
  <c r="H638" i="5"/>
  <c r="I377" i="5"/>
  <c r="Q2631" i="3"/>
  <c r="Q2585" i="3"/>
  <c r="Q844" i="3"/>
  <c r="Q840" i="3"/>
  <c r="Q678" i="3"/>
  <c r="Q2774" i="3"/>
  <c r="Q2654" i="3"/>
  <c r="Q2647" i="3"/>
  <c r="Q2730" i="3"/>
  <c r="Q2174" i="3"/>
  <c r="Q2759" i="3"/>
  <c r="Q229" i="3"/>
  <c r="Q1162" i="3"/>
  <c r="Q2482" i="3"/>
  <c r="Q2640" i="3"/>
  <c r="Q2635" i="3"/>
  <c r="Q2437" i="3"/>
  <c r="Q892" i="3"/>
  <c r="Q2484" i="3"/>
  <c r="Q762" i="3"/>
  <c r="Q2561" i="3"/>
  <c r="Q676" i="3"/>
  <c r="P2478" i="3"/>
  <c r="P2755" i="3"/>
  <c r="P2137" i="3"/>
  <c r="P2584" i="3"/>
  <c r="P2726" i="3"/>
  <c r="P1162" i="3"/>
  <c r="P2647" i="3"/>
  <c r="P1134" i="3"/>
  <c r="P2177" i="3"/>
  <c r="P2654" i="3"/>
  <c r="P1129" i="3"/>
  <c r="P2778" i="3"/>
  <c r="P2486" i="3"/>
  <c r="P834" i="3"/>
  <c r="P2675" i="3"/>
  <c r="P2688" i="3"/>
  <c r="P839" i="3"/>
  <c r="I406" i="5"/>
  <c r="I266" i="5"/>
  <c r="I587" i="5"/>
  <c r="I270" i="5"/>
  <c r="H301" i="5"/>
  <c r="I120" i="5"/>
  <c r="I477" i="5"/>
  <c r="I867" i="5"/>
  <c r="I273" i="5"/>
  <c r="I283" i="5"/>
  <c r="I163" i="5"/>
  <c r="I279" i="5"/>
  <c r="I265" i="5"/>
  <c r="I905" i="5"/>
  <c r="H14" i="5"/>
  <c r="I966" i="5"/>
  <c r="P2586" i="3"/>
  <c r="Q837" i="3"/>
  <c r="Q832" i="3"/>
  <c r="Q2733" i="3"/>
  <c r="Q1161" i="3"/>
  <c r="Q2634" i="3"/>
  <c r="Q761" i="3"/>
  <c r="P2696" i="3"/>
  <c r="P2634" i="3"/>
  <c r="Q839" i="3"/>
  <c r="Q2736" i="3"/>
  <c r="Q2757" i="3"/>
  <c r="Q2479" i="3"/>
  <c r="Q890" i="3"/>
  <c r="P2434" i="3"/>
  <c r="P842" i="3"/>
  <c r="P2439" i="3"/>
  <c r="P2135" i="3"/>
  <c r="P2493" i="3"/>
  <c r="P836" i="3"/>
  <c r="P2723" i="3"/>
  <c r="P2632" i="3"/>
  <c r="P913" i="3"/>
  <c r="P2629" i="3"/>
  <c r="P914" i="3"/>
  <c r="P2697" i="3"/>
  <c r="P2589" i="3"/>
  <c r="P2659" i="3"/>
  <c r="P2635" i="3"/>
  <c r="I258" i="5"/>
  <c r="I280" i="5"/>
  <c r="I476" i="5"/>
  <c r="H13" i="5"/>
  <c r="I1104" i="5"/>
  <c r="I130" i="5"/>
  <c r="P1128" i="3"/>
  <c r="P2658" i="3"/>
  <c r="P2595" i="3"/>
  <c r="P2492" i="3"/>
  <c r="P2482" i="3"/>
  <c r="P678" i="3"/>
  <c r="P887" i="3"/>
  <c r="P2759" i="3"/>
  <c r="P2653" i="3"/>
  <c r="Q2560" i="3"/>
  <c r="Q2566" i="3"/>
  <c r="Q2553" i="3"/>
  <c r="Q2556" i="3"/>
  <c r="P230" i="3"/>
  <c r="P2769" i="3"/>
  <c r="P819" i="3"/>
  <c r="P2554" i="3"/>
  <c r="P2546" i="3"/>
  <c r="H120" i="5"/>
  <c r="H158" i="5"/>
  <c r="H280" i="5"/>
  <c r="I898" i="5"/>
  <c r="I569" i="5"/>
  <c r="I554" i="5"/>
  <c r="H517" i="5"/>
  <c r="I1039" i="5"/>
  <c r="H259" i="5"/>
  <c r="I844" i="5"/>
  <c r="H253" i="5"/>
  <c r="H265" i="5"/>
  <c r="I596" i="5"/>
  <c r="I558" i="5"/>
  <c r="I473" i="5"/>
  <c r="H271" i="5"/>
  <c r="I890" i="5"/>
  <c r="H479" i="5"/>
  <c r="I1150" i="5"/>
  <c r="I481" i="5"/>
  <c r="H274" i="5"/>
  <c r="H273" i="5"/>
  <c r="P228" i="3"/>
  <c r="P2594" i="3"/>
  <c r="P2661" i="3"/>
  <c r="Q2544" i="3"/>
  <c r="P227" i="3"/>
  <c r="P2735" i="3"/>
  <c r="P2670" i="3"/>
  <c r="P756" i="3"/>
  <c r="P2663" i="3"/>
  <c r="P2479" i="3"/>
  <c r="Q2216" i="3"/>
  <c r="Q2319" i="3"/>
  <c r="Q2578" i="3"/>
  <c r="Q819" i="3"/>
  <c r="P2731" i="3"/>
  <c r="P2490" i="3"/>
  <c r="P2666" i="3"/>
  <c r="P891" i="3"/>
  <c r="P2717" i="3"/>
  <c r="P2758" i="3"/>
  <c r="P2585" i="3"/>
  <c r="P2631" i="3"/>
  <c r="P2652" i="3"/>
  <c r="Q2543" i="3"/>
  <c r="Q1583" i="3"/>
  <c r="Q2576" i="3"/>
  <c r="Q2574" i="3"/>
  <c r="Q2547" i="3"/>
  <c r="Q2564" i="3"/>
  <c r="Q2627" i="3"/>
  <c r="P226" i="3"/>
  <c r="P2489" i="3"/>
  <c r="P2673" i="3"/>
  <c r="P889" i="3"/>
  <c r="P2176" i="3"/>
  <c r="P2136" i="3"/>
  <c r="P2689" i="3"/>
  <c r="P2628" i="3"/>
  <c r="P2648" i="3"/>
  <c r="Q2769" i="3"/>
  <c r="Q2765" i="3"/>
  <c r="Q754" i="3"/>
  <c r="Q2763" i="3"/>
  <c r="Q2767" i="3"/>
  <c r="P821" i="3"/>
  <c r="P2217" i="3"/>
  <c r="P2566" i="3"/>
  <c r="P2559" i="3"/>
  <c r="H402" i="5"/>
  <c r="H279" i="5"/>
  <c r="I468" i="5"/>
  <c r="I571" i="5"/>
  <c r="I555" i="5"/>
  <c r="H249" i="5"/>
  <c r="I559" i="5"/>
  <c r="I552" i="5"/>
  <c r="H260" i="5"/>
  <c r="I434" i="5"/>
  <c r="I592" i="5"/>
  <c r="I899" i="5"/>
  <c r="H266" i="5"/>
  <c r="I595" i="5"/>
  <c r="I1053" i="5"/>
  <c r="I1050" i="5"/>
  <c r="H252" i="5"/>
  <c r="I459" i="5"/>
  <c r="I1164" i="5"/>
  <c r="I1158" i="5"/>
  <c r="I1114" i="5"/>
  <c r="I1120" i="5"/>
  <c r="I1171" i="5"/>
  <c r="H586" i="5"/>
  <c r="H966" i="5"/>
  <c r="P886" i="3"/>
  <c r="P2497" i="3"/>
  <c r="Q2575" i="3"/>
  <c r="P229" i="3"/>
  <c r="P2485" i="3"/>
  <c r="P2672" i="3"/>
  <c r="P2596" i="3"/>
  <c r="P892" i="3"/>
  <c r="P2694" i="3"/>
  <c r="P2662" i="3"/>
  <c r="P2436" i="3"/>
  <c r="P2499" i="3"/>
  <c r="Q2209" i="3"/>
  <c r="Q2569" i="3"/>
  <c r="Q2551" i="3"/>
  <c r="Q2552" i="3"/>
  <c r="Q2563" i="3"/>
  <c r="Q2626" i="3"/>
  <c r="P676" i="3"/>
  <c r="Q2791" i="3"/>
  <c r="P2562" i="3"/>
  <c r="P2569" i="3"/>
  <c r="P2767" i="3"/>
  <c r="H268" i="5"/>
  <c r="I885" i="5"/>
  <c r="I886" i="5"/>
  <c r="H378" i="5"/>
  <c r="I792" i="5"/>
  <c r="I553" i="5"/>
  <c r="I193" i="5"/>
  <c r="I593" i="5"/>
  <c r="I900" i="5"/>
  <c r="I895" i="5"/>
  <c r="I1052" i="5"/>
  <c r="I562" i="5"/>
  <c r="H251" i="5"/>
  <c r="I591" i="5"/>
  <c r="I458" i="5"/>
  <c r="I1128" i="5"/>
  <c r="I1097" i="5"/>
  <c r="I1159" i="5"/>
  <c r="I480" i="5"/>
  <c r="H131" i="5"/>
  <c r="H52" i="5"/>
  <c r="I866" i="5"/>
  <c r="H477" i="5"/>
  <c r="P2555" i="3"/>
  <c r="P747" i="3"/>
  <c r="P2563" i="3"/>
  <c r="P2133" i="3"/>
  <c r="H905" i="5"/>
  <c r="H579" i="5"/>
  <c r="H267" i="5"/>
  <c r="I452" i="5"/>
  <c r="H574" i="5"/>
  <c r="I453" i="5"/>
  <c r="H121" i="5"/>
  <c r="I389" i="5"/>
  <c r="I470" i="5"/>
  <c r="I557" i="5"/>
  <c r="I463" i="5"/>
  <c r="I564" i="5"/>
  <c r="I561" i="5"/>
  <c r="I903" i="5"/>
  <c r="I719" i="5"/>
  <c r="I1037" i="5"/>
  <c r="I1172" i="5"/>
  <c r="I1082" i="5"/>
  <c r="I482" i="5"/>
  <c r="H472" i="5"/>
  <c r="I466" i="5"/>
  <c r="P2780" i="3"/>
  <c r="P2319" i="3"/>
  <c r="P2544" i="3"/>
  <c r="P2541" i="3"/>
  <c r="P2556" i="3"/>
  <c r="H476" i="5"/>
  <c r="H269" i="5"/>
  <c r="I1042" i="5"/>
  <c r="H258" i="5"/>
  <c r="H245" i="5"/>
  <c r="I145" i="5"/>
  <c r="I469" i="5"/>
  <c r="I1046" i="5"/>
  <c r="I565" i="5"/>
  <c r="I474" i="5"/>
  <c r="I1038" i="5"/>
  <c r="I1096" i="5"/>
  <c r="I278" i="5"/>
  <c r="I860" i="5"/>
  <c r="H130" i="5"/>
  <c r="I630" i="5"/>
  <c r="P2668" i="3"/>
  <c r="P2435" i="3"/>
  <c r="Q2210" i="3"/>
  <c r="Q2768" i="3"/>
  <c r="P2484" i="3"/>
  <c r="P2597" i="3"/>
  <c r="P2695" i="3"/>
  <c r="P2657" i="3"/>
  <c r="P2477" i="3"/>
  <c r="Q2541" i="3"/>
  <c r="Q2554" i="3"/>
  <c r="Q2546" i="3"/>
  <c r="Q2134" i="3"/>
  <c r="P2733" i="3"/>
  <c r="P2777" i="3"/>
  <c r="P2762" i="3"/>
  <c r="P2765" i="3"/>
  <c r="P2549" i="3"/>
  <c r="P2568" i="3"/>
  <c r="H270" i="5"/>
  <c r="I1044" i="5"/>
  <c r="I594" i="5"/>
  <c r="H257" i="5"/>
  <c r="H515" i="5"/>
  <c r="I893" i="5"/>
  <c r="I568" i="5"/>
  <c r="I771" i="5"/>
  <c r="H256" i="5"/>
  <c r="I556" i="5"/>
  <c r="I892" i="5"/>
  <c r="H406" i="5"/>
  <c r="H281" i="5"/>
  <c r="I375" i="5"/>
  <c r="I1036" i="5"/>
  <c r="H1107" i="5"/>
  <c r="I1081" i="5"/>
  <c r="I864" i="5"/>
  <c r="H863" i="5"/>
  <c r="H869" i="5"/>
  <c r="P2692" i="3"/>
  <c r="Q2557" i="3"/>
  <c r="P2138" i="3"/>
  <c r="P2667" i="3"/>
  <c r="P872" i="3"/>
  <c r="P2438" i="3"/>
  <c r="P2756" i="3"/>
  <c r="Q767" i="3"/>
  <c r="Q2764" i="3"/>
  <c r="Q2562" i="3"/>
  <c r="P2542" i="3"/>
  <c r="P677" i="3"/>
  <c r="P2491" i="3"/>
  <c r="P2583" i="3"/>
  <c r="P2593" i="3"/>
  <c r="P755" i="3"/>
  <c r="P2664" i="3"/>
  <c r="P2480" i="3"/>
  <c r="P2650" i="3"/>
  <c r="Q2540" i="3"/>
  <c r="Q2550" i="3"/>
  <c r="Q2559" i="3"/>
  <c r="Q747" i="3"/>
  <c r="Q2555" i="3"/>
  <c r="Q817" i="3"/>
  <c r="Q820" i="3"/>
  <c r="P759" i="3"/>
  <c r="P2736" i="3"/>
  <c r="P679" i="3"/>
  <c r="P2487" i="3"/>
  <c r="P2582" i="3"/>
  <c r="P757" i="3"/>
  <c r="P2772" i="3"/>
  <c r="P2656" i="3"/>
  <c r="P2483" i="3"/>
  <c r="P2646" i="3"/>
  <c r="Q2217" i="3"/>
  <c r="Q2766" i="3"/>
  <c r="Q2133" i="3"/>
  <c r="Q2549" i="3"/>
  <c r="Q2780" i="3"/>
  <c r="Q2548" i="3"/>
  <c r="Q2568" i="3"/>
  <c r="P2548" i="3"/>
  <c r="P2578" i="3"/>
  <c r="P2557" i="3"/>
  <c r="P2134" i="3"/>
  <c r="P2216" i="3"/>
  <c r="H577" i="5"/>
  <c r="I904" i="5"/>
  <c r="I1041" i="5"/>
  <c r="I461" i="5"/>
  <c r="I566" i="5"/>
  <c r="I770" i="5"/>
  <c r="H255" i="5"/>
  <c r="I460" i="5"/>
  <c r="H163" i="5"/>
  <c r="H282" i="5"/>
  <c r="I374" i="5"/>
  <c r="I551" i="5"/>
  <c r="H1104" i="5"/>
  <c r="I1138" i="5"/>
  <c r="I1127" i="5"/>
  <c r="I859" i="5"/>
  <c r="I454" i="5"/>
  <c r="H951" i="5"/>
  <c r="P2545" i="3"/>
  <c r="I376" i="5"/>
  <c r="P2210" i="3"/>
  <c r="P2560" i="3"/>
  <c r="P820" i="3"/>
  <c r="P2547" i="3"/>
  <c r="H377" i="5"/>
  <c r="H808" i="5"/>
  <c r="H578" i="5"/>
  <c r="I475" i="5"/>
  <c r="I570" i="5"/>
  <c r="I572" i="5"/>
  <c r="H585" i="5"/>
  <c r="I1040" i="5"/>
  <c r="H587" i="5"/>
  <c r="I567" i="5"/>
  <c r="H254" i="5"/>
  <c r="I1047" i="5"/>
  <c r="I902" i="5"/>
  <c r="H272" i="5"/>
  <c r="I891" i="5"/>
  <c r="H907" i="5"/>
  <c r="I1133" i="5"/>
  <c r="I1149" i="5"/>
  <c r="I284" i="5"/>
  <c r="H283" i="5"/>
  <c r="H862" i="5"/>
  <c r="P2561" i="3"/>
  <c r="P2212" i="3"/>
  <c r="P2213" i="3"/>
  <c r="H1038" i="5"/>
  <c r="H592" i="5"/>
  <c r="I455" i="5"/>
  <c r="H567" i="5"/>
  <c r="H894" i="5"/>
  <c r="H1053" i="5"/>
  <c r="H1039" i="5"/>
  <c r="H893" i="5"/>
  <c r="I457" i="5"/>
  <c r="H471" i="5"/>
  <c r="H434" i="5"/>
  <c r="H1042" i="5"/>
  <c r="H892" i="5"/>
  <c r="H1138" i="5"/>
  <c r="H1097" i="5"/>
  <c r="H1158" i="5"/>
  <c r="H481" i="5"/>
  <c r="H583" i="5"/>
  <c r="P2570" i="3"/>
  <c r="I588" i="5"/>
  <c r="H551" i="5"/>
  <c r="H1050" i="5"/>
  <c r="H566" i="5"/>
  <c r="H462" i="5"/>
  <c r="H565" i="5"/>
  <c r="H552" i="5"/>
  <c r="H1045" i="5"/>
  <c r="I909" i="5"/>
  <c r="H1035" i="5"/>
  <c r="H1044" i="5"/>
  <c r="H460" i="5"/>
  <c r="I1170" i="5"/>
  <c r="I1155" i="5"/>
  <c r="I1156" i="5"/>
  <c r="H1114" i="5"/>
  <c r="I1157" i="5"/>
  <c r="I483" i="5"/>
  <c r="H630" i="5"/>
  <c r="H376" i="5"/>
  <c r="P2540" i="3"/>
  <c r="Q2221" i="3"/>
  <c r="P767" i="3"/>
  <c r="P817" i="3"/>
  <c r="Q2579" i="3"/>
  <c r="Q2219" i="3"/>
  <c r="Q2567" i="3"/>
  <c r="P754" i="3"/>
  <c r="P2574" i="3"/>
  <c r="P2550" i="3"/>
  <c r="P2572" i="3"/>
  <c r="H576" i="5"/>
  <c r="H792" i="5"/>
  <c r="H374" i="5"/>
  <c r="H561" i="5"/>
  <c r="H568" i="5"/>
  <c r="H570" i="5"/>
  <c r="H564" i="5"/>
  <c r="H553" i="5"/>
  <c r="H1046" i="5"/>
  <c r="I487" i="5"/>
  <c r="H1034" i="5"/>
  <c r="H1041" i="5"/>
  <c r="H900" i="5"/>
  <c r="H1164" i="5"/>
  <c r="I1177" i="5"/>
  <c r="I1095" i="5"/>
  <c r="H1096" i="5"/>
  <c r="H1120" i="5"/>
  <c r="I1084" i="5"/>
  <c r="H480" i="5"/>
  <c r="H864" i="5"/>
  <c r="H860" i="5"/>
  <c r="Q2218" i="3"/>
  <c r="Q2215" i="3"/>
  <c r="Q2779" i="3"/>
  <c r="Q2572" i="3"/>
  <c r="P2766" i="3"/>
  <c r="P2551" i="3"/>
  <c r="Q2577" i="3"/>
  <c r="Q2570" i="3"/>
  <c r="Q2222" i="3"/>
  <c r="Q2565" i="3"/>
  <c r="P2763" i="3"/>
  <c r="P2564" i="3"/>
  <c r="P2214" i="3"/>
  <c r="P2219" i="3"/>
  <c r="H575" i="5"/>
  <c r="H145" i="5"/>
  <c r="H720" i="5"/>
  <c r="H562" i="5"/>
  <c r="H903" i="5"/>
  <c r="H596" i="5"/>
  <c r="H898" i="5"/>
  <c r="H569" i="5"/>
  <c r="H891" i="5"/>
  <c r="H556" i="5"/>
  <c r="H550" i="5"/>
  <c r="H1043" i="5"/>
  <c r="H899" i="5"/>
  <c r="I1175" i="5"/>
  <c r="I1121" i="5"/>
  <c r="P2626" i="3"/>
  <c r="H859" i="5"/>
  <c r="Q2212" i="3"/>
  <c r="Q2573" i="3"/>
  <c r="P2764" i="3"/>
  <c r="P1583" i="3"/>
  <c r="Q2213" i="3"/>
  <c r="Q2211" i="3"/>
  <c r="Q2571" i="3"/>
  <c r="P2543" i="3"/>
  <c r="P2576" i="3"/>
  <c r="P2552" i="3"/>
  <c r="Q2214" i="3"/>
  <c r="P2553" i="3"/>
  <c r="P2209" i="3"/>
  <c r="P2571" i="3"/>
  <c r="P2791" i="3"/>
  <c r="I1049" i="5"/>
  <c r="H389" i="5"/>
  <c r="H719" i="5"/>
  <c r="H474" i="5"/>
  <c r="H595" i="5"/>
  <c r="H468" i="5"/>
  <c r="H571" i="5"/>
  <c r="H890" i="5"/>
  <c r="H557" i="5"/>
  <c r="I573" i="5"/>
  <c r="H904" i="5"/>
  <c r="H885" i="5"/>
  <c r="H554" i="5"/>
  <c r="H469" i="5"/>
  <c r="H1133" i="5"/>
  <c r="I1103" i="5"/>
  <c r="I1111" i="5"/>
  <c r="H1171" i="5"/>
  <c r="H1128" i="5"/>
  <c r="I1176" i="5"/>
  <c r="H867" i="5"/>
  <c r="H454" i="5"/>
  <c r="P2577" i="3"/>
  <c r="P2573" i="3"/>
  <c r="I560" i="5"/>
  <c r="H572" i="5"/>
  <c r="H771" i="5"/>
  <c r="H375" i="5"/>
  <c r="H1048" i="5"/>
  <c r="H895" i="5"/>
  <c r="H459" i="5"/>
  <c r="H902" i="5"/>
  <c r="I889" i="5"/>
  <c r="H475" i="5"/>
  <c r="H452" i="5"/>
  <c r="H555" i="5"/>
  <c r="H470" i="5"/>
  <c r="I1151" i="5"/>
  <c r="I1080" i="5"/>
  <c r="H1172" i="5"/>
  <c r="H1159" i="5"/>
  <c r="H1082" i="5"/>
  <c r="I1125" i="5"/>
  <c r="I1093" i="5"/>
  <c r="H482" i="5"/>
  <c r="H866" i="5"/>
  <c r="P2218" i="3"/>
  <c r="P2222" i="3"/>
  <c r="I1051" i="5"/>
  <c r="H591" i="5"/>
  <c r="H1036" i="5"/>
  <c r="H770" i="5"/>
  <c r="H886" i="5"/>
  <c r="I906" i="5"/>
  <c r="H559" i="5"/>
  <c r="H463" i="5"/>
  <c r="H458" i="5"/>
  <c r="H473" i="5"/>
  <c r="I456" i="5"/>
  <c r="H844" i="5"/>
  <c r="H1047" i="5"/>
  <c r="I1126" i="5"/>
  <c r="H1127" i="5"/>
  <c r="H1150" i="5"/>
  <c r="H278" i="5"/>
  <c r="H284" i="5"/>
  <c r="Q2220" i="3"/>
  <c r="P2575" i="3"/>
  <c r="P2768" i="3"/>
  <c r="P2220" i="3"/>
  <c r="P2221" i="3"/>
  <c r="I563" i="5"/>
  <c r="H1037" i="5"/>
  <c r="H453" i="5"/>
  <c r="H593" i="5"/>
  <c r="I478" i="5"/>
  <c r="I887" i="5"/>
  <c r="H1052" i="5"/>
  <c r="H1040" i="5"/>
  <c r="H461" i="5"/>
  <c r="I888" i="5"/>
  <c r="H901" i="5"/>
  <c r="H193" i="5"/>
  <c r="H558" i="5"/>
  <c r="H594" i="5"/>
  <c r="I1124" i="5"/>
  <c r="H1081" i="5"/>
  <c r="H1149" i="5"/>
  <c r="I1112" i="5"/>
  <c r="H466" i="5"/>
  <c r="H861" i="5"/>
  <c r="H865" i="5"/>
  <c r="P2779" i="3"/>
  <c r="H487" i="5"/>
  <c r="H456" i="5"/>
  <c r="H573" i="5"/>
  <c r="H1156" i="5"/>
  <c r="P2211" i="3"/>
  <c r="H1049" i="5"/>
  <c r="H1155" i="5"/>
  <c r="H1111" i="5"/>
  <c r="H1157" i="5"/>
  <c r="P2567" i="3"/>
  <c r="H560" i="5"/>
  <c r="H1126" i="5"/>
  <c r="H1125" i="5"/>
  <c r="P2579" i="3"/>
  <c r="H906" i="5"/>
  <c r="H1051" i="5"/>
  <c r="H1080" i="5"/>
  <c r="H1124" i="5"/>
  <c r="H1176" i="5"/>
  <c r="H1093" i="5"/>
  <c r="P2565" i="3"/>
  <c r="H588" i="5"/>
  <c r="H478" i="5"/>
  <c r="H563" i="5"/>
  <c r="H1151" i="5"/>
  <c r="H1121" i="5"/>
  <c r="P2215" i="3"/>
  <c r="H889" i="5"/>
  <c r="H887" i="5"/>
  <c r="H1170" i="5"/>
  <c r="H1177" i="5"/>
  <c r="H1112" i="5"/>
  <c r="H483" i="5"/>
  <c r="P2627" i="3"/>
  <c r="H888" i="5"/>
  <c r="H455" i="5"/>
  <c r="H1095" i="5"/>
  <c r="H1084" i="5"/>
  <c r="H909" i="5"/>
  <c r="H457" i="5"/>
  <c r="H1103" i="5"/>
  <c r="H1175" i="5"/>
  <c r="D255" i="3"/>
  <c r="D262" i="3"/>
  <c r="D270" i="3"/>
  <c r="D280" i="3"/>
  <c r="D295" i="3"/>
  <c r="D303" i="3"/>
  <c r="D309" i="3"/>
  <c r="D317" i="3"/>
  <c r="D325" i="3"/>
  <c r="D333" i="3"/>
  <c r="D341" i="3"/>
  <c r="D349" i="3"/>
  <c r="D357" i="3"/>
  <c r="D360" i="3"/>
  <c r="D368" i="3"/>
  <c r="D376" i="3"/>
  <c r="D384" i="3"/>
  <c r="D392" i="3"/>
  <c r="D404" i="3"/>
  <c r="D411" i="3"/>
  <c r="D419" i="3"/>
  <c r="D427" i="3"/>
  <c r="D435" i="3"/>
  <c r="D447" i="3"/>
  <c r="D457" i="3"/>
  <c r="D466" i="3"/>
  <c r="D474" i="3"/>
  <c r="D482" i="3"/>
  <c r="D490" i="3"/>
  <c r="D498" i="3"/>
  <c r="D506" i="3"/>
  <c r="D514" i="3"/>
  <c r="D522" i="3"/>
  <c r="D530" i="3"/>
  <c r="D539" i="3"/>
  <c r="D547" i="3"/>
  <c r="D555" i="3"/>
  <c r="D2226" i="3"/>
  <c r="D2234" i="3"/>
  <c r="D2242" i="3"/>
  <c r="D2250" i="3"/>
  <c r="D2258" i="3"/>
  <c r="D2266" i="3"/>
  <c r="D2275" i="3"/>
  <c r="D2283" i="3"/>
  <c r="D2290" i="3"/>
  <c r="D2298" i="3"/>
  <c r="D985" i="3"/>
  <c r="D993" i="3"/>
  <c r="D1001" i="3"/>
  <c r="D1009" i="3"/>
  <c r="D1017" i="3"/>
  <c r="D1025" i="3"/>
  <c r="D1034" i="3"/>
  <c r="D1042" i="3"/>
  <c r="D1050" i="3"/>
  <c r="D1058" i="3"/>
  <c r="D1066" i="3"/>
  <c r="D1074" i="3"/>
  <c r="D1082" i="3"/>
  <c r="D1090" i="3"/>
  <c r="D1098" i="3"/>
  <c r="D1106" i="3"/>
  <c r="D1114" i="3"/>
  <c r="D1119" i="3"/>
  <c r="D1127" i="3"/>
  <c r="D1142" i="3"/>
  <c r="D1150" i="3"/>
  <c r="D1158" i="3"/>
  <c r="D1299" i="3"/>
  <c r="D1307" i="3"/>
  <c r="D1315" i="3"/>
  <c r="D1323" i="3"/>
  <c r="D1331" i="3"/>
  <c r="D1339" i="3"/>
  <c r="D1347" i="3"/>
  <c r="D1355" i="3"/>
  <c r="D1363" i="3"/>
  <c r="D2308" i="3"/>
  <c r="D1370" i="3"/>
  <c r="D1378" i="3"/>
  <c r="D250" i="3"/>
  <c r="D258" i="3"/>
  <c r="D265" i="3"/>
  <c r="D273" i="3"/>
  <c r="D283" i="3"/>
  <c r="D290" i="3"/>
  <c r="D298" i="3"/>
  <c r="D306" i="3"/>
  <c r="D312" i="3"/>
  <c r="D320" i="3"/>
  <c r="D328" i="3"/>
  <c r="D336" i="3"/>
  <c r="D344" i="3"/>
  <c r="D352" i="3"/>
  <c r="D363" i="3"/>
  <c r="D371" i="3"/>
  <c r="D379" i="3"/>
  <c r="D387" i="3"/>
  <c r="D395" i="3"/>
  <c r="D399" i="3"/>
  <c r="D407" i="3"/>
  <c r="D414" i="3"/>
  <c r="D422" i="3"/>
  <c r="D430" i="3"/>
  <c r="D438" i="3"/>
  <c r="D450" i="3"/>
  <c r="D460" i="3"/>
  <c r="D469" i="3"/>
  <c r="D477" i="3"/>
  <c r="D485" i="3"/>
  <c r="D493" i="3"/>
  <c r="D501" i="3"/>
  <c r="D509" i="3"/>
  <c r="D517" i="3"/>
  <c r="D525" i="3"/>
  <c r="D534" i="3"/>
  <c r="D542" i="3"/>
  <c r="D550" i="3"/>
  <c r="D558" i="3"/>
  <c r="D2229" i="3"/>
  <c r="D2237" i="3"/>
  <c r="D2245" i="3"/>
  <c r="D2253" i="3"/>
  <c r="D2261" i="3"/>
  <c r="D2269" i="3"/>
  <c r="D2278" i="3"/>
  <c r="D2286" i="3"/>
  <c r="D2293" i="3"/>
  <c r="D2301" i="3"/>
  <c r="D988" i="3"/>
  <c r="D996" i="3"/>
  <c r="D1004" i="3"/>
  <c r="D1012" i="3"/>
  <c r="D1020" i="3"/>
  <c r="D1028" i="3"/>
  <c r="D1037" i="3"/>
  <c r="D1045" i="3"/>
  <c r="D1053" i="3"/>
  <c r="D1061" i="3"/>
  <c r="D1069" i="3"/>
  <c r="D1077" i="3"/>
  <c r="D1085" i="3"/>
  <c r="D1093" i="3"/>
  <c r="D1101" i="3"/>
  <c r="D1109" i="3"/>
  <c r="D1122" i="3"/>
  <c r="D1130" i="3"/>
  <c r="D1137" i="3"/>
  <c r="D1145" i="3"/>
  <c r="D1153" i="3"/>
  <c r="D1161" i="3"/>
  <c r="D1302" i="3"/>
  <c r="D1310" i="3"/>
  <c r="D1318" i="3"/>
  <c r="D1326" i="3"/>
  <c r="D1334" i="3"/>
  <c r="D1342" i="3"/>
  <c r="D1350" i="3"/>
  <c r="D1358" i="3"/>
  <c r="D2303" i="3"/>
  <c r="D1365" i="3"/>
  <c r="D1373" i="3"/>
  <c r="D1381" i="3"/>
  <c r="D253" i="3"/>
  <c r="D260" i="3"/>
  <c r="D268" i="3"/>
  <c r="D276" i="3"/>
  <c r="D286" i="3"/>
  <c r="D293" i="3"/>
  <c r="D301" i="3"/>
  <c r="D315" i="3"/>
  <c r="D323" i="3"/>
  <c r="D331" i="3"/>
  <c r="D339" i="3"/>
  <c r="D347" i="3"/>
  <c r="D355" i="3"/>
  <c r="D358" i="3"/>
  <c r="D366" i="3"/>
  <c r="D374" i="3"/>
  <c r="D382" i="3"/>
  <c r="D390" i="3"/>
  <c r="D398" i="3"/>
  <c r="D402" i="3"/>
  <c r="D417" i="3"/>
  <c r="D425" i="3"/>
  <c r="D433" i="3"/>
  <c r="D445" i="3"/>
  <c r="D455" i="3"/>
  <c r="D464" i="3"/>
  <c r="D472" i="3"/>
  <c r="D480" i="3"/>
  <c r="D488" i="3"/>
  <c r="D496" i="3"/>
  <c r="D504" i="3"/>
  <c r="D512" i="3"/>
  <c r="D520" i="3"/>
  <c r="D528" i="3"/>
  <c r="D537" i="3"/>
  <c r="D545" i="3"/>
  <c r="D553" i="3"/>
  <c r="D2224" i="3"/>
  <c r="D2232" i="3"/>
  <c r="D2240" i="3"/>
  <c r="D2248" i="3"/>
  <c r="D2256" i="3"/>
  <c r="D2264" i="3"/>
  <c r="D2272" i="3"/>
  <c r="D2281" i="3"/>
  <c r="D2288" i="3"/>
  <c r="D2296" i="3"/>
  <c r="D991" i="3"/>
  <c r="D999" i="3"/>
  <c r="D1007" i="3"/>
  <c r="D1015" i="3"/>
  <c r="D1023" i="3"/>
  <c r="D1032" i="3"/>
  <c r="D1040" i="3"/>
  <c r="D1048" i="3"/>
  <c r="D1056" i="3"/>
  <c r="D1064" i="3"/>
  <c r="D1072" i="3"/>
  <c r="D1080" i="3"/>
  <c r="D1088" i="3"/>
  <c r="D1096" i="3"/>
  <c r="D1104" i="3"/>
  <c r="D1112" i="3"/>
  <c r="D1117" i="3"/>
  <c r="D1125" i="3"/>
  <c r="D1133" i="3"/>
  <c r="D1140" i="3"/>
  <c r="D1148" i="3"/>
  <c r="D1156" i="3"/>
  <c r="D1297" i="3"/>
  <c r="D1305" i="3"/>
  <c r="D1313" i="3"/>
  <c r="D1321" i="3"/>
  <c r="D1329" i="3"/>
  <c r="D1337" i="3"/>
  <c r="D1345" i="3"/>
  <c r="D1353" i="3"/>
  <c r="D1361" i="3"/>
  <c r="D2306" i="3"/>
  <c r="D1368" i="3"/>
  <c r="D1376" i="3"/>
  <c r="D256" i="3"/>
  <c r="D263" i="3"/>
  <c r="D271" i="3"/>
  <c r="D281" i="3"/>
  <c r="D288" i="3"/>
  <c r="D296" i="3"/>
  <c r="D304" i="3"/>
  <c r="D307" i="3"/>
  <c r="D310" i="3"/>
  <c r="D318" i="3"/>
  <c r="D326" i="3"/>
  <c r="D334" i="3"/>
  <c r="D342" i="3"/>
  <c r="D350" i="3"/>
  <c r="D361" i="3"/>
  <c r="D369" i="3"/>
  <c r="D377" i="3"/>
  <c r="D385" i="3"/>
  <c r="D393" i="3"/>
  <c r="D405" i="3"/>
  <c r="D412" i="3"/>
  <c r="D420" i="3"/>
  <c r="D428" i="3"/>
  <c r="D436" i="3"/>
  <c r="D448" i="3"/>
  <c r="D458" i="3"/>
  <c r="D467" i="3"/>
  <c r="D475" i="3"/>
  <c r="D483" i="3"/>
  <c r="D491" i="3"/>
  <c r="D499" i="3"/>
  <c r="D507" i="3"/>
  <c r="D515" i="3"/>
  <c r="D523" i="3"/>
  <c r="D531" i="3"/>
  <c r="D540" i="3"/>
  <c r="D548" i="3"/>
  <c r="D556" i="3"/>
  <c r="D2227" i="3"/>
  <c r="D2235" i="3"/>
  <c r="D2243" i="3"/>
  <c r="D2251" i="3"/>
  <c r="D2259" i="3"/>
  <c r="D2267" i="3"/>
  <c r="D2276" i="3"/>
  <c r="D2284" i="3"/>
  <c r="D2291" i="3"/>
  <c r="D2299" i="3"/>
  <c r="D986" i="3"/>
  <c r="D994" i="3"/>
  <c r="D1002" i="3"/>
  <c r="D1010" i="3"/>
  <c r="D1018" i="3"/>
  <c r="D1026" i="3"/>
  <c r="D1035" i="3"/>
  <c r="D1043" i="3"/>
  <c r="D1051" i="3"/>
  <c r="D1059" i="3"/>
  <c r="D1067" i="3"/>
  <c r="D1075" i="3"/>
  <c r="D1083" i="3"/>
  <c r="D1091" i="3"/>
  <c r="D1099" i="3"/>
  <c r="D1107" i="3"/>
  <c r="D1115" i="3"/>
  <c r="D1120" i="3"/>
  <c r="D1128" i="3"/>
  <c r="D1135" i="3"/>
  <c r="D1143" i="3"/>
  <c r="D1151" i="3"/>
  <c r="D1159" i="3"/>
  <c r="D1300" i="3"/>
  <c r="D1308" i="3"/>
  <c r="D1316" i="3"/>
  <c r="D1324" i="3"/>
  <c r="D1332" i="3"/>
  <c r="D1340" i="3"/>
  <c r="D1348" i="3"/>
  <c r="D1356" i="3"/>
  <c r="D1364" i="3"/>
  <c r="D2309" i="3"/>
  <c r="D1371" i="3"/>
  <c r="D1379" i="3"/>
  <c r="D251" i="3"/>
  <c r="D266" i="3"/>
  <c r="D274" i="3"/>
  <c r="D284" i="3"/>
  <c r="D291" i="3"/>
  <c r="D299" i="3"/>
  <c r="D313" i="3"/>
  <c r="D321" i="3"/>
  <c r="D329" i="3"/>
  <c r="D337" i="3"/>
  <c r="D345" i="3"/>
  <c r="D353" i="3"/>
  <c r="D364" i="3"/>
  <c r="D372" i="3"/>
  <c r="D380" i="3"/>
  <c r="D388" i="3"/>
  <c r="D396" i="3"/>
  <c r="D400" i="3"/>
  <c r="D408" i="3"/>
  <c r="D415" i="3"/>
  <c r="D423" i="3"/>
  <c r="D431" i="3"/>
  <c r="D443" i="3"/>
  <c r="D453" i="3"/>
  <c r="D461" i="3"/>
  <c r="D462" i="3"/>
  <c r="D470" i="3"/>
  <c r="D478" i="3"/>
  <c r="D486" i="3"/>
  <c r="D494" i="3"/>
  <c r="D502" i="3"/>
  <c r="D510" i="3"/>
  <c r="D518" i="3"/>
  <c r="D526" i="3"/>
  <c r="D535" i="3"/>
  <c r="D543" i="3"/>
  <c r="D551" i="3"/>
  <c r="D559" i="3"/>
  <c r="D2230" i="3"/>
  <c r="D2238" i="3"/>
  <c r="D2246" i="3"/>
  <c r="D2254" i="3"/>
  <c r="D2262" i="3"/>
  <c r="D2270" i="3"/>
  <c r="D2279" i="3"/>
  <c r="D2287" i="3"/>
  <c r="D2294" i="3"/>
  <c r="D989" i="3"/>
  <c r="D997" i="3"/>
  <c r="D1005" i="3"/>
  <c r="D1013" i="3"/>
  <c r="D1021" i="3"/>
  <c r="D1029" i="3"/>
  <c r="D1038" i="3"/>
  <c r="D1046" i="3"/>
  <c r="D1054" i="3"/>
  <c r="D1062" i="3"/>
  <c r="D1070" i="3"/>
  <c r="D1078" i="3"/>
  <c r="D1086" i="3"/>
  <c r="D1094" i="3"/>
  <c r="D1102" i="3"/>
  <c r="D1110" i="3"/>
  <c r="D1123" i="3"/>
  <c r="D1131" i="3"/>
  <c r="D1138" i="3"/>
  <c r="D1146" i="3"/>
  <c r="D1154" i="3"/>
  <c r="D1162" i="3"/>
  <c r="D1303" i="3"/>
  <c r="D1311" i="3"/>
  <c r="D1319" i="3"/>
  <c r="D1327" i="3"/>
  <c r="D1335" i="3"/>
  <c r="D1343" i="3"/>
  <c r="D1351" i="3"/>
  <c r="D1359" i="3"/>
  <c r="D2304" i="3"/>
  <c r="D1366" i="3"/>
  <c r="D1374" i="3"/>
  <c r="D1382" i="3"/>
  <c r="D254" i="3"/>
  <c r="D261" i="3"/>
  <c r="D269" i="3"/>
  <c r="D279" i="3"/>
  <c r="D287" i="3"/>
  <c r="D294" i="3"/>
  <c r="D302" i="3"/>
  <c r="D308" i="3"/>
  <c r="D316" i="3"/>
  <c r="D324" i="3"/>
  <c r="D332" i="3"/>
  <c r="D340" i="3"/>
  <c r="D348" i="3"/>
  <c r="D356" i="3"/>
  <c r="D359" i="3"/>
  <c r="D367" i="3"/>
  <c r="D375" i="3"/>
  <c r="D383" i="3"/>
  <c r="D391" i="3"/>
  <c r="D403" i="3"/>
  <c r="D410" i="3"/>
  <c r="D418" i="3"/>
  <c r="D426" i="3"/>
  <c r="D434" i="3"/>
  <c r="D446" i="3"/>
  <c r="D456" i="3"/>
  <c r="D465" i="3"/>
  <c r="D473" i="3"/>
  <c r="D481" i="3"/>
  <c r="D489" i="3"/>
  <c r="D497" i="3"/>
  <c r="D505" i="3"/>
  <c r="D513" i="3"/>
  <c r="D521" i="3"/>
  <c r="D529" i="3"/>
  <c r="D538" i="3"/>
  <c r="D546" i="3"/>
  <c r="D554" i="3"/>
  <c r="D2225" i="3"/>
  <c r="D2233" i="3"/>
  <c r="D2241" i="3"/>
  <c r="D2249" i="3"/>
  <c r="D2257" i="3"/>
  <c r="D2265" i="3"/>
  <c r="D2274" i="3"/>
  <c r="D2282" i="3"/>
  <c r="D2289" i="3"/>
  <c r="D2297" i="3"/>
  <c r="D984" i="3"/>
  <c r="D992" i="3"/>
  <c r="D1000" i="3"/>
  <c r="D1008" i="3"/>
  <c r="D1016" i="3"/>
  <c r="D1024" i="3"/>
  <c r="D1033" i="3"/>
  <c r="D1041" i="3"/>
  <c r="D1049" i="3"/>
  <c r="D1057" i="3"/>
  <c r="D1065" i="3"/>
  <c r="D1073" i="3"/>
  <c r="D1081" i="3"/>
  <c r="D1089" i="3"/>
  <c r="D1097" i="3"/>
  <c r="D1105" i="3"/>
  <c r="D1113" i="3"/>
  <c r="D1118" i="3"/>
  <c r="D1126" i="3"/>
  <c r="D1134" i="3"/>
  <c r="D1141" i="3"/>
  <c r="D1149" i="3"/>
  <c r="D1157" i="3"/>
  <c r="D1298" i="3"/>
  <c r="D1306" i="3"/>
  <c r="D1314" i="3"/>
  <c r="D1322" i="3"/>
  <c r="D1330" i="3"/>
  <c r="D1338" i="3"/>
  <c r="D1346" i="3"/>
  <c r="D1354" i="3"/>
  <c r="D1362" i="3"/>
  <c r="D2307" i="3"/>
  <c r="D1369" i="3"/>
  <c r="D1377" i="3"/>
  <c r="D257" i="3"/>
  <c r="D264" i="3"/>
  <c r="D272" i="3"/>
  <c r="D282" i="3"/>
  <c r="D289" i="3"/>
  <c r="D297" i="3"/>
  <c r="D305" i="3"/>
  <c r="D311" i="3"/>
  <c r="D319" i="3"/>
  <c r="D327" i="3"/>
  <c r="D335" i="3"/>
  <c r="D343" i="3"/>
  <c r="D351" i="3"/>
  <c r="D362" i="3"/>
  <c r="D370" i="3"/>
  <c r="D378" i="3"/>
  <c r="D386" i="3"/>
  <c r="D394" i="3"/>
  <c r="D406" i="3"/>
  <c r="D413" i="3"/>
  <c r="D421" i="3"/>
  <c r="D429" i="3"/>
  <c r="D437" i="3"/>
  <c r="D449" i="3"/>
  <c r="D459" i="3"/>
  <c r="D468" i="3"/>
  <c r="D476" i="3"/>
  <c r="D484" i="3"/>
  <c r="D492" i="3"/>
  <c r="D500" i="3"/>
  <c r="D508" i="3"/>
  <c r="D516" i="3"/>
  <c r="D524" i="3"/>
  <c r="D532" i="3"/>
  <c r="D541" i="3"/>
  <c r="D549" i="3"/>
  <c r="D557" i="3"/>
  <c r="D2228" i="3"/>
  <c r="D2236" i="3"/>
  <c r="D2244" i="3"/>
  <c r="D2252" i="3"/>
  <c r="D2260" i="3"/>
  <c r="D2268" i="3"/>
  <c r="D2277" i="3"/>
  <c r="D2285" i="3"/>
  <c r="D2292" i="3"/>
  <c r="D2300" i="3"/>
  <c r="D987" i="3"/>
  <c r="D995" i="3"/>
  <c r="D1003" i="3"/>
  <c r="D1011" i="3"/>
  <c r="D1019" i="3"/>
  <c r="D1027" i="3"/>
  <c r="D1036" i="3"/>
  <c r="D1044" i="3"/>
  <c r="D1052" i="3"/>
  <c r="D1060" i="3"/>
  <c r="D1068" i="3"/>
  <c r="D1076" i="3"/>
  <c r="D1084" i="3"/>
  <c r="D1092" i="3"/>
  <c r="D1100" i="3"/>
  <c r="D1108" i="3"/>
  <c r="D1116" i="3"/>
  <c r="D1121" i="3"/>
  <c r="D1129" i="3"/>
  <c r="D1136" i="3"/>
  <c r="D1144" i="3"/>
  <c r="D1152" i="3"/>
  <c r="D1160" i="3"/>
  <c r="D1301" i="3"/>
  <c r="D1309" i="3"/>
  <c r="D1317" i="3"/>
  <c r="D1325" i="3"/>
  <c r="D1333" i="3"/>
  <c r="D1341" i="3"/>
  <c r="D1349" i="3"/>
  <c r="D1357" i="3"/>
  <c r="D2302" i="3"/>
  <c r="D2310" i="3"/>
  <c r="D1372" i="3"/>
  <c r="D1380" i="3"/>
  <c r="D252" i="3"/>
  <c r="D259" i="3"/>
  <c r="D267" i="3"/>
  <c r="D275" i="3"/>
  <c r="D285" i="3"/>
  <c r="D292" i="3"/>
  <c r="D300" i="3"/>
  <c r="D314" i="3"/>
  <c r="D322" i="3"/>
  <c r="D330" i="3"/>
  <c r="D338" i="3"/>
  <c r="D346" i="3"/>
  <c r="D354" i="3"/>
  <c r="D365" i="3"/>
  <c r="D373" i="3"/>
  <c r="D381" i="3"/>
  <c r="D389" i="3"/>
  <c r="D397" i="3"/>
  <c r="D401" i="3"/>
  <c r="D409" i="3"/>
  <c r="D416" i="3"/>
  <c r="D424" i="3"/>
  <c r="D432" i="3"/>
  <c r="D444" i="3"/>
  <c r="D454" i="3"/>
  <c r="D463" i="3"/>
  <c r="D471" i="3"/>
  <c r="D479" i="3"/>
  <c r="D487" i="3"/>
  <c r="D495" i="3"/>
  <c r="D503" i="3"/>
  <c r="D511" i="3"/>
  <c r="D519" i="3"/>
  <c r="D527" i="3"/>
  <c r="D536" i="3"/>
  <c r="D544" i="3"/>
  <c r="D552" i="3"/>
  <c r="D2223" i="3"/>
  <c r="D2231" i="3"/>
  <c r="D2239" i="3"/>
  <c r="D2247" i="3"/>
  <c r="D2255" i="3"/>
  <c r="D2263" i="3"/>
  <c r="D2271" i="3"/>
  <c r="D2280" i="3"/>
  <c r="D560" i="3"/>
  <c r="D2295" i="3"/>
  <c r="D990" i="3"/>
  <c r="D998" i="3"/>
  <c r="D1006" i="3"/>
  <c r="D1014" i="3"/>
  <c r="D1022" i="3"/>
  <c r="D1030" i="3"/>
  <c r="D1039" i="3"/>
  <c r="D1047" i="3"/>
  <c r="D1055" i="3"/>
  <c r="D1063" i="3"/>
  <c r="D1071" i="3"/>
  <c r="D1079" i="3"/>
  <c r="D1087" i="3"/>
  <c r="D1095" i="3"/>
  <c r="D1103" i="3"/>
  <c r="D1111" i="3"/>
  <c r="D1124" i="3"/>
  <c r="D1132" i="3"/>
  <c r="D1139" i="3"/>
  <c r="D1147" i="3"/>
  <c r="D1155" i="3"/>
  <c r="D1296" i="3"/>
  <c r="D1304" i="3"/>
  <c r="D1312" i="3"/>
  <c r="D1320" i="3"/>
  <c r="D1328" i="3"/>
  <c r="D1336" i="3"/>
  <c r="D1344" i="3"/>
  <c r="D1352" i="3"/>
  <c r="D1360" i="3"/>
  <c r="D2305" i="3"/>
  <c r="D1367" i="3"/>
  <c r="D1375" i="3"/>
  <c r="D1388" i="3"/>
  <c r="D1396" i="3"/>
  <c r="D1404" i="3"/>
  <c r="D1409" i="3"/>
  <c r="D1417" i="3"/>
  <c r="D1776" i="3"/>
  <c r="D1784" i="3"/>
  <c r="D1792" i="3"/>
  <c r="D1800" i="3"/>
  <c r="D1808" i="3"/>
  <c r="D1816" i="3"/>
  <c r="D1824" i="3"/>
  <c r="D1832" i="3"/>
  <c r="D1840" i="3"/>
  <c r="D1848" i="3"/>
  <c r="D1856" i="3"/>
  <c r="D1863" i="3"/>
  <c r="D1871" i="3"/>
  <c r="D1879" i="3"/>
  <c r="D1887" i="3"/>
  <c r="D1895" i="3"/>
  <c r="D1903" i="3"/>
  <c r="D1911" i="3"/>
  <c r="D1919" i="3"/>
  <c r="D1927" i="3"/>
  <c r="D1935" i="3"/>
  <c r="D1943" i="3"/>
  <c r="D1951" i="3"/>
  <c r="D1958" i="3"/>
  <c r="D1966" i="3"/>
  <c r="D1971" i="3"/>
  <c r="D1979" i="3"/>
  <c r="D1987" i="3"/>
  <c r="D1995" i="3"/>
  <c r="D2003" i="3"/>
  <c r="D2011" i="3"/>
  <c r="D2019" i="3"/>
  <c r="D2026" i="3"/>
  <c r="D2034" i="3"/>
  <c r="D2041" i="3"/>
  <c r="D2050" i="3"/>
  <c r="D2058" i="3"/>
  <c r="D2066" i="3"/>
  <c r="D2074" i="3"/>
  <c r="D2083" i="3"/>
  <c r="D2091" i="3"/>
  <c r="D2099" i="3"/>
  <c r="D2107" i="3"/>
  <c r="D1454" i="3"/>
  <c r="D1462" i="3"/>
  <c r="D1470" i="3"/>
  <c r="D1478" i="3"/>
  <c r="D1486" i="3"/>
  <c r="D1494" i="3"/>
  <c r="D1500" i="3"/>
  <c r="D1504" i="3"/>
  <c r="D567" i="3"/>
  <c r="D1517" i="3"/>
  <c r="D1521" i="3"/>
  <c r="D1527" i="3"/>
  <c r="D1535" i="3"/>
  <c r="D580" i="3"/>
  <c r="D1544" i="3"/>
  <c r="D1552" i="3"/>
  <c r="D1561" i="3"/>
  <c r="D1423" i="3"/>
  <c r="D585" i="3"/>
  <c r="D1577" i="3"/>
  <c r="D596" i="3"/>
  <c r="D1434" i="3"/>
  <c r="D1582" i="3"/>
  <c r="D1589" i="3"/>
  <c r="D1597" i="3"/>
  <c r="D2326" i="3"/>
  <c r="D2334" i="3"/>
  <c r="D2342" i="3"/>
  <c r="D607" i="3"/>
  <c r="D620" i="3"/>
  <c r="D630" i="3"/>
  <c r="D2344" i="3"/>
  <c r="D646" i="3"/>
  <c r="D654" i="3"/>
  <c r="D662" i="3"/>
  <c r="D670" i="3"/>
  <c r="D687" i="3"/>
  <c r="D691" i="3"/>
  <c r="D699" i="3"/>
  <c r="D707" i="3"/>
  <c r="D715" i="3"/>
  <c r="D723" i="3"/>
  <c r="D731" i="3"/>
  <c r="D739" i="3"/>
  <c r="D2115" i="3"/>
  <c r="D2123" i="3"/>
  <c r="D2131" i="3"/>
  <c r="D2356" i="3"/>
  <c r="D1604" i="3"/>
  <c r="D1612" i="3"/>
  <c r="D1620" i="3"/>
  <c r="D1168" i="3"/>
  <c r="D740" i="3"/>
  <c r="D1177" i="3"/>
  <c r="D1185" i="3"/>
  <c r="D2359" i="3"/>
  <c r="D2367" i="3"/>
  <c r="D2376" i="3"/>
  <c r="D1192" i="3"/>
  <c r="D1200" i="3"/>
  <c r="D751" i="3"/>
  <c r="D759" i="3"/>
  <c r="D761" i="3"/>
  <c r="D1208" i="3"/>
  <c r="D1216" i="3"/>
  <c r="D1224" i="3"/>
  <c r="D1232" i="3"/>
  <c r="D1240" i="3"/>
  <c r="D1630" i="3"/>
  <c r="D1243" i="3"/>
  <c r="D53" i="3"/>
  <c r="D55" i="3"/>
  <c r="D57" i="3"/>
  <c r="D59" i="3"/>
  <c r="D61" i="3"/>
  <c r="D63" i="3"/>
  <c r="D65" i="3"/>
  <c r="D67" i="3"/>
  <c r="D69" i="3"/>
  <c r="D71" i="3"/>
  <c r="D73" i="3"/>
  <c r="D75" i="3"/>
  <c r="D77" i="3"/>
  <c r="D79" i="3"/>
  <c r="D81" i="3"/>
  <c r="D83" i="3"/>
  <c r="D85" i="3"/>
  <c r="D87" i="3"/>
  <c r="D89" i="3"/>
  <c r="D91" i="3"/>
  <c r="D93" i="3"/>
  <c r="D1633" i="3"/>
  <c r="D770" i="3"/>
  <c r="D778" i="3"/>
  <c r="D786" i="3"/>
  <c r="D1642" i="3"/>
  <c r="D794" i="3"/>
  <c r="D802" i="3"/>
  <c r="D810" i="3"/>
  <c r="D2133" i="3"/>
  <c r="D2210" i="3"/>
  <c r="D2217" i="3"/>
  <c r="D1650" i="3"/>
  <c r="D1258" i="3"/>
  <c r="D828" i="3"/>
  <c r="D102" i="3"/>
  <c r="D107" i="3"/>
  <c r="D832" i="3"/>
  <c r="D840" i="3"/>
  <c r="D848" i="3"/>
  <c r="D856" i="3"/>
  <c r="D1661" i="3"/>
  <c r="D2388" i="3"/>
  <c r="D1667" i="3"/>
  <c r="D1260" i="3"/>
  <c r="D1672" i="3"/>
  <c r="D2448" i="3"/>
  <c r="D2456" i="3"/>
  <c r="D2464" i="3"/>
  <c r="D2472" i="3"/>
  <c r="D146" i="3"/>
  <c r="D2475" i="3"/>
  <c r="D2483" i="3"/>
  <c r="D2491" i="3"/>
  <c r="D2497" i="3"/>
  <c r="D2505" i="3"/>
  <c r="D2513" i="3"/>
  <c r="D2521" i="3"/>
  <c r="D2529" i="3"/>
  <c r="D2537" i="3"/>
  <c r="D1676" i="3"/>
  <c r="D1685" i="3"/>
  <c r="D863" i="3"/>
  <c r="D1694" i="3"/>
  <c r="D1702" i="3"/>
  <c r="D1713" i="3"/>
  <c r="D2141" i="3"/>
  <c r="D2149" i="3"/>
  <c r="D2157" i="3"/>
  <c r="D2165" i="3"/>
  <c r="D2396" i="3"/>
  <c r="D157" i="3"/>
  <c r="D159" i="3"/>
  <c r="D163" i="3"/>
  <c r="D167" i="3"/>
  <c r="D881" i="3"/>
  <c r="D889" i="3"/>
  <c r="D2221" i="3"/>
  <c r="D2549" i="3"/>
  <c r="D2557" i="3"/>
  <c r="D2572" i="3"/>
  <c r="D2579" i="3"/>
  <c r="D1718" i="3"/>
  <c r="D1726" i="3"/>
  <c r="D1734" i="3"/>
  <c r="D1742" i="3"/>
  <c r="D1750" i="3"/>
  <c r="D1758" i="3"/>
  <c r="D2400" i="3"/>
  <c r="D2408" i="3"/>
  <c r="D2416" i="3"/>
  <c r="D1440" i="3"/>
  <c r="D2587" i="3"/>
  <c r="D900" i="3"/>
  <c r="D908" i="3"/>
  <c r="D916" i="3"/>
  <c r="D2594" i="3"/>
  <c r="D2602" i="3"/>
  <c r="D2610" i="3"/>
  <c r="D2618" i="3"/>
  <c r="D2173" i="3"/>
  <c r="D922" i="3"/>
  <c r="D2633" i="3"/>
  <c r="D2644" i="3"/>
  <c r="D2647" i="3"/>
  <c r="D2655" i="3"/>
  <c r="D2663" i="3"/>
  <c r="D2671" i="3"/>
  <c r="D2679" i="3"/>
  <c r="D2687" i="3"/>
  <c r="D2695" i="3"/>
  <c r="D2703" i="3"/>
  <c r="D2711" i="3"/>
  <c r="D2719" i="3"/>
  <c r="D2727" i="3"/>
  <c r="D2735" i="3"/>
  <c r="D2184" i="3"/>
  <c r="D2192" i="3"/>
  <c r="D217" i="3"/>
  <c r="D2739" i="3"/>
  <c r="D2747" i="3"/>
  <c r="D2753" i="3"/>
  <c r="D2427" i="3"/>
  <c r="D1276" i="3"/>
  <c r="D1279" i="3"/>
  <c r="D933" i="3"/>
  <c r="D2437" i="3"/>
  <c r="D937" i="3"/>
  <c r="D946" i="3"/>
  <c r="D949" i="3"/>
  <c r="D955" i="3"/>
  <c r="D964" i="3"/>
  <c r="D972" i="3"/>
  <c r="D2767" i="3"/>
  <c r="D2773" i="3"/>
  <c r="D239" i="3"/>
  <c r="D245" i="3"/>
  <c r="D2441" i="3"/>
  <c r="D948" i="3"/>
  <c r="D679" i="3"/>
  <c r="D682" i="3"/>
  <c r="D978" i="3"/>
  <c r="D2196" i="3"/>
  <c r="D2208" i="3"/>
  <c r="D1383" i="3"/>
  <c r="D1391" i="3"/>
  <c r="D1399" i="3"/>
  <c r="D1407" i="3"/>
  <c r="D1412" i="3"/>
  <c r="D1420" i="3"/>
  <c r="D1779" i="3"/>
  <c r="D1787" i="3"/>
  <c r="D1795" i="3"/>
  <c r="D1803" i="3"/>
  <c r="D1811" i="3"/>
  <c r="D1819" i="3"/>
  <c r="D1827" i="3"/>
  <c r="D1835" i="3"/>
  <c r="D1843" i="3"/>
  <c r="D1851" i="3"/>
  <c r="D1858" i="3"/>
  <c r="D1866" i="3"/>
  <c r="D1874" i="3"/>
  <c r="D1882" i="3"/>
  <c r="D1890" i="3"/>
  <c r="D1898" i="3"/>
  <c r="D1906" i="3"/>
  <c r="D1914" i="3"/>
  <c r="D1922" i="3"/>
  <c r="D1930" i="3"/>
  <c r="D1938" i="3"/>
  <c r="D1946" i="3"/>
  <c r="D1954" i="3"/>
  <c r="D1961" i="3"/>
  <c r="D2318" i="3"/>
  <c r="D1974" i="3"/>
  <c r="D1982" i="3"/>
  <c r="D1990" i="3"/>
  <c r="D1998" i="3"/>
  <c r="D2006" i="3"/>
  <c r="D2014" i="3"/>
  <c r="D2022" i="3"/>
  <c r="D2029" i="3"/>
  <c r="D2037" i="3"/>
  <c r="D2044" i="3"/>
  <c r="D2053" i="3"/>
  <c r="D2061" i="3"/>
  <c r="D2069" i="3"/>
  <c r="D2078" i="3"/>
  <c r="D2086" i="3"/>
  <c r="D2094" i="3"/>
  <c r="D2102" i="3"/>
  <c r="D1449" i="3"/>
  <c r="D1457" i="3"/>
  <c r="D1465" i="3"/>
  <c r="D1473" i="3"/>
  <c r="D1481" i="3"/>
  <c r="D1489" i="3"/>
  <c r="D562" i="3"/>
  <c r="D563" i="3"/>
  <c r="D1507" i="3"/>
  <c r="D570" i="3"/>
  <c r="D571" i="3"/>
  <c r="D1524" i="3"/>
  <c r="D1530" i="3"/>
  <c r="D1538" i="3"/>
  <c r="D583" i="3"/>
  <c r="D1547" i="3"/>
  <c r="D1556" i="3"/>
  <c r="D1564" i="3"/>
  <c r="D1426" i="3"/>
  <c r="D588" i="3"/>
  <c r="D591" i="3"/>
  <c r="D598" i="3"/>
  <c r="D1437" i="3"/>
  <c r="D1584" i="3"/>
  <c r="D1592" i="3"/>
  <c r="D2321" i="3"/>
  <c r="D2329" i="3"/>
  <c r="D2337" i="3"/>
  <c r="D600" i="3"/>
  <c r="D610" i="3"/>
  <c r="D613" i="3"/>
  <c r="D624" i="3"/>
  <c r="D634" i="3"/>
  <c r="D2347" i="3"/>
  <c r="D649" i="3"/>
  <c r="D657" i="3"/>
  <c r="D665" i="3"/>
  <c r="D673" i="3"/>
  <c r="D694" i="3"/>
  <c r="D702" i="3"/>
  <c r="D710" i="3"/>
  <c r="D718" i="3"/>
  <c r="D726" i="3"/>
  <c r="D734" i="3"/>
  <c r="D2110" i="3"/>
  <c r="D2118" i="3"/>
  <c r="D2126" i="3"/>
  <c r="D2350" i="3"/>
  <c r="D1599" i="3"/>
  <c r="D1607" i="3"/>
  <c r="D1615" i="3"/>
  <c r="D1163" i="3"/>
  <c r="D1171" i="3"/>
  <c r="D743" i="3"/>
  <c r="D1180" i="3"/>
  <c r="D1188" i="3"/>
  <c r="D2362" i="3"/>
  <c r="D2370" i="3"/>
  <c r="D2379" i="3"/>
  <c r="D1195" i="3"/>
  <c r="D1203" i="3"/>
  <c r="D754" i="3"/>
  <c r="D764" i="3"/>
  <c r="D1211" i="3"/>
  <c r="D1219" i="3"/>
  <c r="D1227" i="3"/>
  <c r="D1235" i="3"/>
  <c r="D1625" i="3"/>
  <c r="D2381" i="3"/>
  <c r="D1246" i="3"/>
  <c r="D12" i="3"/>
  <c r="D14" i="3"/>
  <c r="D16" i="3"/>
  <c r="D18" i="3"/>
  <c r="D20" i="3"/>
  <c r="D22" i="3"/>
  <c r="D24" i="3"/>
  <c r="D26" i="3"/>
  <c r="D28" i="3"/>
  <c r="D30" i="3"/>
  <c r="D32" i="3"/>
  <c r="D34" i="3"/>
  <c r="D36" i="3"/>
  <c r="D38" i="3"/>
  <c r="D40" i="3"/>
  <c r="D42" i="3"/>
  <c r="D44" i="3"/>
  <c r="D51" i="3"/>
  <c r="D1636" i="3"/>
  <c r="D773" i="3"/>
  <c r="D781" i="3"/>
  <c r="D789" i="3"/>
  <c r="D1645" i="3"/>
  <c r="D797" i="3"/>
  <c r="D805" i="3"/>
  <c r="D813" i="3"/>
  <c r="D2135" i="3"/>
  <c r="D2213" i="3"/>
  <c r="D820" i="3"/>
  <c r="D1653" i="3"/>
  <c r="D1253" i="3"/>
  <c r="D823" i="3"/>
  <c r="D831" i="3"/>
  <c r="D99" i="3"/>
  <c r="D835" i="3"/>
  <c r="D843" i="3"/>
  <c r="D851" i="3"/>
  <c r="D1656" i="3"/>
  <c r="D2383" i="3"/>
  <c r="D1263" i="3"/>
  <c r="D2443" i="3"/>
  <c r="D2451" i="3"/>
  <c r="D2459" i="3"/>
  <c r="D2467" i="3"/>
  <c r="D2391" i="3"/>
  <c r="D2478" i="3"/>
  <c r="D2486" i="3"/>
  <c r="D2500" i="3"/>
  <c r="D2508" i="3"/>
  <c r="D2516" i="3"/>
  <c r="D2524" i="3"/>
  <c r="D2532" i="3"/>
  <c r="D2540" i="3"/>
  <c r="D1679" i="3"/>
  <c r="D1689" i="3"/>
  <c r="D866" i="3"/>
  <c r="D1697" i="3"/>
  <c r="D1705" i="3"/>
  <c r="D1716" i="3"/>
  <c r="D2144" i="3"/>
  <c r="D2152" i="3"/>
  <c r="D2160" i="3"/>
  <c r="D2168" i="3"/>
  <c r="D155" i="3"/>
  <c r="D876" i="3"/>
  <c r="D884" i="3"/>
  <c r="D892" i="3"/>
  <c r="D2544" i="3"/>
  <c r="D2552" i="3"/>
  <c r="D2560" i="3"/>
  <c r="D2567" i="3"/>
  <c r="D2398" i="3"/>
  <c r="D1721" i="3"/>
  <c r="D1729" i="3"/>
  <c r="D1737" i="3"/>
  <c r="D1745" i="3"/>
  <c r="D1753" i="3"/>
  <c r="D1761" i="3"/>
  <c r="D2403" i="3"/>
  <c r="D2411" i="3"/>
  <c r="D2419" i="3"/>
  <c r="D1443" i="3"/>
  <c r="D175" i="3"/>
  <c r="D177" i="3"/>
  <c r="D179" i="3"/>
  <c r="D181" i="3"/>
  <c r="D183" i="3"/>
  <c r="D185" i="3"/>
  <c r="D187" i="3"/>
  <c r="D189" i="3"/>
  <c r="D191" i="3"/>
  <c r="D193" i="3"/>
  <c r="D195" i="3"/>
  <c r="D197" i="3"/>
  <c r="D199" i="3"/>
  <c r="D201" i="3"/>
  <c r="D203" i="3"/>
  <c r="D205" i="3"/>
  <c r="D207" i="3"/>
  <c r="D2582" i="3"/>
  <c r="D894" i="3"/>
  <c r="D903" i="3"/>
  <c r="D911" i="3"/>
  <c r="D1762" i="3"/>
  <c r="D2597" i="3"/>
  <c r="D2605" i="3"/>
  <c r="D2613" i="3"/>
  <c r="D2621" i="3"/>
  <c r="D2175" i="3"/>
  <c r="D2626" i="3"/>
  <c r="D2222" i="3"/>
  <c r="D925" i="3"/>
  <c r="D927" i="3"/>
  <c r="D2628" i="3"/>
  <c r="D2636" i="3"/>
  <c r="D2650" i="3"/>
  <c r="D2658" i="3"/>
  <c r="D2666" i="3"/>
  <c r="D2674" i="3"/>
  <c r="D2682" i="3"/>
  <c r="D2690" i="3"/>
  <c r="D2698" i="3"/>
  <c r="D2706" i="3"/>
  <c r="D2714" i="3"/>
  <c r="D2722" i="3"/>
  <c r="D2730" i="3"/>
  <c r="D2179" i="3"/>
  <c r="D2187" i="3"/>
  <c r="D215" i="3"/>
  <c r="D224" i="3"/>
  <c r="D2742" i="3"/>
  <c r="D2750" i="3"/>
  <c r="D2756" i="3"/>
  <c r="D2430" i="3"/>
  <c r="D1282" i="3"/>
  <c r="D936" i="3"/>
  <c r="D1768" i="3"/>
  <c r="D941" i="3"/>
  <c r="D2764" i="3"/>
  <c r="D958" i="3"/>
  <c r="D967" i="3"/>
  <c r="D975" i="3"/>
  <c r="D226" i="3"/>
  <c r="D2776" i="3"/>
  <c r="D242" i="3"/>
  <c r="D248" i="3"/>
  <c r="D2781" i="3"/>
  <c r="D2440" i="3"/>
  <c r="D681" i="3"/>
  <c r="D2195" i="3"/>
  <c r="D2207" i="3"/>
  <c r="D1386" i="3"/>
  <c r="D1394" i="3"/>
  <c r="D1402" i="3"/>
  <c r="D2313" i="3"/>
  <c r="D1415" i="3"/>
  <c r="D1774" i="3"/>
  <c r="D1782" i="3"/>
  <c r="D1790" i="3"/>
  <c r="D1798" i="3"/>
  <c r="D1806" i="3"/>
  <c r="D1814" i="3"/>
  <c r="D1822" i="3"/>
  <c r="D1830" i="3"/>
  <c r="D1838" i="3"/>
  <c r="D1846" i="3"/>
  <c r="D1854" i="3"/>
  <c r="D1861" i="3"/>
  <c r="D1869" i="3"/>
  <c r="D1877" i="3"/>
  <c r="D1885" i="3"/>
  <c r="D1893" i="3"/>
  <c r="D1901" i="3"/>
  <c r="D1909" i="3"/>
  <c r="D1917" i="3"/>
  <c r="D1925" i="3"/>
  <c r="D1933" i="3"/>
  <c r="D1941" i="3"/>
  <c r="D1949" i="3"/>
  <c r="D1956" i="3"/>
  <c r="D1964" i="3"/>
  <c r="D1969" i="3"/>
  <c r="D1977" i="3"/>
  <c r="D1985" i="3"/>
  <c r="D1993" i="3"/>
  <c r="D2009" i="3"/>
  <c r="D2017" i="3"/>
  <c r="D2024" i="3"/>
  <c r="D2032" i="3"/>
  <c r="D2039" i="3"/>
  <c r="D2048" i="3"/>
  <c r="D2056" i="3"/>
  <c r="D2064" i="3"/>
  <c r="D2072" i="3"/>
  <c r="D2081" i="3"/>
  <c r="D2089" i="3"/>
  <c r="D2097" i="3"/>
  <c r="D2105" i="3"/>
  <c r="D1452" i="3"/>
  <c r="D1460" i="3"/>
  <c r="D1468" i="3"/>
  <c r="D1476" i="3"/>
  <c r="D1484" i="3"/>
  <c r="D1492" i="3"/>
  <c r="D1498" i="3"/>
  <c r="D566" i="3"/>
  <c r="D1511" i="3"/>
  <c r="D1515" i="3"/>
  <c r="D574" i="3"/>
  <c r="D575" i="3"/>
  <c r="D1533" i="3"/>
  <c r="D578" i="3"/>
  <c r="D1542" i="3"/>
  <c r="D1550" i="3"/>
  <c r="D1559" i="3"/>
  <c r="D1567" i="3"/>
  <c r="D1429" i="3"/>
  <c r="D1570" i="3"/>
  <c r="D1575" i="3"/>
  <c r="D594" i="3"/>
  <c r="D1432" i="3"/>
  <c r="D1580" i="3"/>
  <c r="D1587" i="3"/>
  <c r="D1595" i="3"/>
  <c r="D2324" i="3"/>
  <c r="D2332" i="3"/>
  <c r="D2340" i="3"/>
  <c r="D605" i="3"/>
  <c r="D617" i="3"/>
  <c r="D628" i="3"/>
  <c r="D644" i="3"/>
  <c r="D652" i="3"/>
  <c r="D660" i="3"/>
  <c r="D668" i="3"/>
  <c r="D676" i="3"/>
  <c r="D688" i="3"/>
  <c r="D697" i="3"/>
  <c r="D705" i="3"/>
  <c r="D713" i="3"/>
  <c r="D721" i="3"/>
  <c r="D729" i="3"/>
  <c r="D737" i="3"/>
  <c r="D2113" i="3"/>
  <c r="D2121" i="3"/>
  <c r="D2129" i="3"/>
  <c r="D2354" i="3"/>
  <c r="D1602" i="3"/>
  <c r="D1610" i="3"/>
  <c r="D1618" i="3"/>
  <c r="D1166" i="3"/>
  <c r="D1174" i="3"/>
  <c r="D746" i="3"/>
  <c r="D1183" i="3"/>
  <c r="D2365" i="3"/>
  <c r="D2374" i="3"/>
  <c r="D1190" i="3"/>
  <c r="D1198" i="3"/>
  <c r="D749" i="3"/>
  <c r="D757" i="3"/>
  <c r="D1206" i="3"/>
  <c r="D1214" i="3"/>
  <c r="D1222" i="3"/>
  <c r="D1230" i="3"/>
  <c r="D1238" i="3"/>
  <c r="D1628" i="3"/>
  <c r="D766" i="3"/>
  <c r="D1241" i="3"/>
  <c r="D1249" i="3"/>
  <c r="D768" i="3"/>
  <c r="D776" i="3"/>
  <c r="D784" i="3"/>
  <c r="D1640" i="3"/>
  <c r="D792" i="3"/>
  <c r="D800" i="3"/>
  <c r="D808" i="3"/>
  <c r="D816" i="3"/>
  <c r="D2138" i="3"/>
  <c r="D2215" i="3"/>
  <c r="D1648" i="3"/>
  <c r="D1256" i="3"/>
  <c r="D826" i="3"/>
  <c r="D104" i="3"/>
  <c r="D838" i="3"/>
  <c r="D846" i="3"/>
  <c r="D854" i="3"/>
  <c r="D111" i="3"/>
  <c r="D113" i="3"/>
  <c r="D1659" i="3"/>
  <c r="D125" i="3"/>
  <c r="D2386" i="3"/>
  <c r="D1665" i="3"/>
  <c r="D1669" i="3"/>
  <c r="D2446" i="3"/>
  <c r="D2454" i="3"/>
  <c r="D2462" i="3"/>
  <c r="D2470" i="3"/>
  <c r="D1438" i="3"/>
  <c r="D2481" i="3"/>
  <c r="D2489" i="3"/>
  <c r="D2495" i="3"/>
  <c r="D2503" i="3"/>
  <c r="D2511" i="3"/>
  <c r="D2519" i="3"/>
  <c r="D2527" i="3"/>
  <c r="D2535" i="3"/>
  <c r="D1683" i="3"/>
  <c r="D1692" i="3"/>
  <c r="D870" i="3"/>
  <c r="D1700" i="3"/>
  <c r="D1711" i="3"/>
  <c r="D873" i="3"/>
  <c r="D2147" i="3"/>
  <c r="D2155" i="3"/>
  <c r="D2163" i="3"/>
  <c r="D2394" i="3"/>
  <c r="D147" i="3"/>
  <c r="D149" i="3"/>
  <c r="D160" i="3"/>
  <c r="D164" i="3"/>
  <c r="D168" i="3"/>
  <c r="D879" i="3"/>
  <c r="D887" i="3"/>
  <c r="D2219" i="3"/>
  <c r="D2547" i="3"/>
  <c r="D2555" i="3"/>
  <c r="D2563" i="3"/>
  <c r="D2570" i="3"/>
  <c r="D2577" i="3"/>
  <c r="D2171" i="3"/>
  <c r="D1724" i="3"/>
  <c r="D1732" i="3"/>
  <c r="D1740" i="3"/>
  <c r="D1748" i="3"/>
  <c r="D1756" i="3"/>
  <c r="D2406" i="3"/>
  <c r="D2414" i="3"/>
  <c r="D2424" i="3"/>
  <c r="D1446" i="3"/>
  <c r="D2585" i="3"/>
  <c r="D897" i="3"/>
  <c r="D906" i="3"/>
  <c r="D914" i="3"/>
  <c r="D1765" i="3"/>
  <c r="D2592" i="3"/>
  <c r="D2600" i="3"/>
  <c r="D2608" i="3"/>
  <c r="D2616" i="3"/>
  <c r="D2425" i="3"/>
  <c r="D2624" i="3"/>
  <c r="D209" i="3"/>
  <c r="D211" i="3"/>
  <c r="D213" i="3"/>
  <c r="D928" i="3"/>
  <c r="D2631" i="3"/>
  <c r="D2639" i="3"/>
  <c r="D2642" i="3"/>
  <c r="D2653" i="3"/>
  <c r="D2661" i="3"/>
  <c r="D2669" i="3"/>
  <c r="D2677" i="3"/>
  <c r="D2685" i="3"/>
  <c r="D2693" i="3"/>
  <c r="D2701" i="3"/>
  <c r="D2709" i="3"/>
  <c r="D2717" i="3"/>
  <c r="D2725" i="3"/>
  <c r="D2733" i="3"/>
  <c r="D2182" i="3"/>
  <c r="D2190" i="3"/>
  <c r="D2745" i="3"/>
  <c r="D225" i="3"/>
  <c r="D2759" i="3"/>
  <c r="D2433" i="3"/>
  <c r="D1277" i="3"/>
  <c r="D931" i="3"/>
  <c r="D2435" i="3"/>
  <c r="D1771" i="3"/>
  <c r="D944" i="3"/>
  <c r="D2762" i="3"/>
  <c r="D953" i="3"/>
  <c r="D961" i="3"/>
  <c r="D970" i="3"/>
  <c r="D2765" i="3"/>
  <c r="D229" i="3"/>
  <c r="D232" i="3"/>
  <c r="D236" i="3"/>
  <c r="D2771" i="3"/>
  <c r="D237" i="3"/>
  <c r="D243" i="3"/>
  <c r="D639" i="3"/>
  <c r="D2206" i="3"/>
  <c r="D983" i="3"/>
  <c r="D982" i="3"/>
  <c r="D1389" i="3"/>
  <c r="D1397" i="3"/>
  <c r="D1405" i="3"/>
  <c r="D1410" i="3"/>
  <c r="D1418" i="3"/>
  <c r="D1777" i="3"/>
  <c r="D1785" i="3"/>
  <c r="D1793" i="3"/>
  <c r="D1801" i="3"/>
  <c r="D1809" i="3"/>
  <c r="D1817" i="3"/>
  <c r="D1825" i="3"/>
  <c r="D1833" i="3"/>
  <c r="D1841" i="3"/>
  <c r="D1849" i="3"/>
  <c r="D1864" i="3"/>
  <c r="D1872" i="3"/>
  <c r="D1880" i="3"/>
  <c r="D1888" i="3"/>
  <c r="D1896" i="3"/>
  <c r="D1904" i="3"/>
  <c r="D1912" i="3"/>
  <c r="D1920" i="3"/>
  <c r="D1928" i="3"/>
  <c r="D1936" i="3"/>
  <c r="D1944" i="3"/>
  <c r="D1952" i="3"/>
  <c r="D1959" i="3"/>
  <c r="D2315" i="3"/>
  <c r="D1972" i="3"/>
  <c r="D1980" i="3"/>
  <c r="D1988" i="3"/>
  <c r="D1996" i="3"/>
  <c r="D2004" i="3"/>
  <c r="D2012" i="3"/>
  <c r="D2020" i="3"/>
  <c r="D2027" i="3"/>
  <c r="D2035" i="3"/>
  <c r="D2042" i="3"/>
  <c r="D2051" i="3"/>
  <c r="D2059" i="3"/>
  <c r="D2067" i="3"/>
  <c r="D2075" i="3"/>
  <c r="D2084" i="3"/>
  <c r="D2092" i="3"/>
  <c r="D2100" i="3"/>
  <c r="D1447" i="3"/>
  <c r="D1455" i="3"/>
  <c r="D1463" i="3"/>
  <c r="D1471" i="3"/>
  <c r="D1479" i="3"/>
  <c r="D1487" i="3"/>
  <c r="D1495" i="3"/>
  <c r="D1501" i="3"/>
  <c r="D1505" i="3"/>
  <c r="D568" i="3"/>
  <c r="D1518" i="3"/>
  <c r="D1522" i="3"/>
  <c r="D1528" i="3"/>
  <c r="D1536" i="3"/>
  <c r="D581" i="3"/>
  <c r="D1545" i="3"/>
  <c r="D1553" i="3"/>
  <c r="D1562" i="3"/>
  <c r="D1424" i="3"/>
  <c r="D586" i="3"/>
  <c r="D589" i="3"/>
  <c r="D597" i="3"/>
  <c r="D1435" i="3"/>
  <c r="D1590" i="3"/>
  <c r="D1598" i="3"/>
  <c r="D2327" i="3"/>
  <c r="D2335" i="3"/>
  <c r="D2343" i="3"/>
  <c r="D608" i="3"/>
  <c r="D622" i="3"/>
  <c r="D631" i="3"/>
  <c r="D638" i="3"/>
  <c r="D2345" i="3"/>
  <c r="D647" i="3"/>
  <c r="D655" i="3"/>
  <c r="D663" i="3"/>
  <c r="D671" i="3"/>
  <c r="D692" i="3"/>
  <c r="D700" i="3"/>
  <c r="D708" i="3"/>
  <c r="D716" i="3"/>
  <c r="D724" i="3"/>
  <c r="D732" i="3"/>
  <c r="D2108" i="3"/>
  <c r="D2116" i="3"/>
  <c r="D2124" i="3"/>
  <c r="D2348" i="3"/>
  <c r="D2357" i="3"/>
  <c r="D1605" i="3"/>
  <c r="D1613" i="3"/>
  <c r="D1621" i="3"/>
  <c r="D1169" i="3"/>
  <c r="D741" i="3"/>
  <c r="D1178" i="3"/>
  <c r="D1186" i="3"/>
  <c r="D2360" i="3"/>
  <c r="D2368" i="3"/>
  <c r="D2377" i="3"/>
  <c r="D1193" i="3"/>
  <c r="D1201" i="3"/>
  <c r="D752" i="3"/>
  <c r="D760" i="3"/>
  <c r="D762" i="3"/>
  <c r="D1209" i="3"/>
  <c r="D1217" i="3"/>
  <c r="D1225" i="3"/>
  <c r="D1233" i="3"/>
  <c r="D1623" i="3"/>
  <c r="D1631" i="3"/>
  <c r="D1244" i="3"/>
  <c r="D2" i="3"/>
  <c r="D1634" i="3"/>
  <c r="D771" i="3"/>
  <c r="D779" i="3"/>
  <c r="D787" i="3"/>
  <c r="D1643" i="3"/>
  <c r="D795" i="3"/>
  <c r="D803" i="3"/>
  <c r="D811" i="3"/>
  <c r="D817" i="3"/>
  <c r="D2211" i="3"/>
  <c r="D818" i="3"/>
  <c r="D1651" i="3"/>
  <c r="D96" i="3"/>
  <c r="D1251" i="3"/>
  <c r="D1259" i="3"/>
  <c r="D829" i="3"/>
  <c r="D101" i="3"/>
  <c r="D833" i="3"/>
  <c r="D841" i="3"/>
  <c r="D849" i="3"/>
  <c r="D857" i="3"/>
  <c r="D1662" i="3"/>
  <c r="D2389" i="3"/>
  <c r="D127" i="3"/>
  <c r="D129" i="3"/>
  <c r="D131" i="3"/>
  <c r="D133" i="3"/>
  <c r="D135" i="3"/>
  <c r="D137" i="3"/>
  <c r="D139" i="3"/>
  <c r="D141" i="3"/>
  <c r="D143" i="3"/>
  <c r="D145" i="3"/>
  <c r="D1668" i="3"/>
  <c r="D1261" i="3"/>
  <c r="D1675" i="3"/>
  <c r="D2449" i="3"/>
  <c r="D2457" i="3"/>
  <c r="D2465" i="3"/>
  <c r="D2473" i="3"/>
  <c r="D2476" i="3"/>
  <c r="D2484" i="3"/>
  <c r="D2492" i="3"/>
  <c r="D2498" i="3"/>
  <c r="D2506" i="3"/>
  <c r="D2514" i="3"/>
  <c r="D2522" i="3"/>
  <c r="D2530" i="3"/>
  <c r="D2538" i="3"/>
  <c r="D1677" i="3"/>
  <c r="D1686" i="3"/>
  <c r="D864" i="3"/>
  <c r="D1695" i="3"/>
  <c r="D1703" i="3"/>
  <c r="D1714" i="3"/>
  <c r="D2142" i="3"/>
  <c r="D2150" i="3"/>
  <c r="D2158" i="3"/>
  <c r="D2166" i="3"/>
  <c r="D2397" i="3"/>
  <c r="D882" i="3"/>
  <c r="D890" i="3"/>
  <c r="D2542" i="3"/>
  <c r="D2550" i="3"/>
  <c r="D2558" i="3"/>
  <c r="D2565" i="3"/>
  <c r="D2573" i="3"/>
  <c r="D2580" i="3"/>
  <c r="D1719" i="3"/>
  <c r="D1727" i="3"/>
  <c r="D1735" i="3"/>
  <c r="D1743" i="3"/>
  <c r="D1751" i="3"/>
  <c r="D1759" i="3"/>
  <c r="D2401" i="3"/>
  <c r="D2409" i="3"/>
  <c r="D2417" i="3"/>
  <c r="D1441" i="3"/>
  <c r="D2588" i="3"/>
  <c r="D901" i="3"/>
  <c r="D909" i="3"/>
  <c r="D917" i="3"/>
  <c r="D2595" i="3"/>
  <c r="D2603" i="3"/>
  <c r="D2611" i="3"/>
  <c r="D2619" i="3"/>
  <c r="D923" i="3"/>
  <c r="D929" i="3"/>
  <c r="D2634" i="3"/>
  <c r="D2645" i="3"/>
  <c r="D2648" i="3"/>
  <c r="D2656" i="3"/>
  <c r="D2664" i="3"/>
  <c r="D2672" i="3"/>
  <c r="D2680" i="3"/>
  <c r="D2688" i="3"/>
  <c r="D2696" i="3"/>
  <c r="D2704" i="3"/>
  <c r="D2712" i="3"/>
  <c r="D2720" i="3"/>
  <c r="D2728" i="3"/>
  <c r="D2736" i="3"/>
  <c r="D2185" i="3"/>
  <c r="D2193" i="3"/>
  <c r="D218" i="3"/>
  <c r="D222" i="3"/>
  <c r="D2740" i="3"/>
  <c r="D2748" i="3"/>
  <c r="D2754" i="3"/>
  <c r="D2428" i="3"/>
  <c r="D1280" i="3"/>
  <c r="D934" i="3"/>
  <c r="D2438" i="3"/>
  <c r="D938" i="3"/>
  <c r="D947" i="3"/>
  <c r="D950" i="3"/>
  <c r="D956" i="3"/>
  <c r="D965" i="3"/>
  <c r="D973" i="3"/>
  <c r="D2768" i="3"/>
  <c r="D2774" i="3"/>
  <c r="D240" i="3"/>
  <c r="D246" i="3"/>
  <c r="D920" i="3"/>
  <c r="D640" i="3"/>
  <c r="D685" i="3"/>
  <c r="D2205" i="3"/>
  <c r="D981" i="3"/>
  <c r="D979" i="3"/>
  <c r="D1767" i="3"/>
  <c r="D1384" i="3"/>
  <c r="D1392" i="3"/>
  <c r="D1400" i="3"/>
  <c r="D1408" i="3"/>
  <c r="D1413" i="3"/>
  <c r="D1421" i="3"/>
  <c r="D1780" i="3"/>
  <c r="D1788" i="3"/>
  <c r="D1796" i="3"/>
  <c r="D1804" i="3"/>
  <c r="D1812" i="3"/>
  <c r="D1820" i="3"/>
  <c r="D1828" i="3"/>
  <c r="D1836" i="3"/>
  <c r="D1844" i="3"/>
  <c r="D1852" i="3"/>
  <c r="D1859" i="3"/>
  <c r="D1867" i="3"/>
  <c r="D1875" i="3"/>
  <c r="D1883" i="3"/>
  <c r="D1891" i="3"/>
  <c r="D1899" i="3"/>
  <c r="D1907" i="3"/>
  <c r="D1915" i="3"/>
  <c r="D1923" i="3"/>
  <c r="D1931" i="3"/>
  <c r="D1939" i="3"/>
  <c r="D1947" i="3"/>
  <c r="D1955" i="3"/>
  <c r="D1962" i="3"/>
  <c r="D1967" i="3"/>
  <c r="D1975" i="3"/>
  <c r="D1983" i="3"/>
  <c r="D1991" i="3"/>
  <c r="D2000" i="3"/>
  <c r="D2007" i="3"/>
  <c r="D2015" i="3"/>
  <c r="D2023" i="3"/>
  <c r="D2030" i="3"/>
  <c r="D2045" i="3"/>
  <c r="D2054" i="3"/>
  <c r="D2062" i="3"/>
  <c r="D2070" i="3"/>
  <c r="D2079" i="3"/>
  <c r="D2087" i="3"/>
  <c r="D2095" i="3"/>
  <c r="D2103" i="3"/>
  <c r="D1450" i="3"/>
  <c r="D1458" i="3"/>
  <c r="D1466" i="3"/>
  <c r="D1474" i="3"/>
  <c r="D1482" i="3"/>
  <c r="D1490" i="3"/>
  <c r="D1496" i="3"/>
  <c r="D564" i="3"/>
  <c r="D1508" i="3"/>
  <c r="D1513" i="3"/>
  <c r="D572" i="3"/>
  <c r="D1525" i="3"/>
  <c r="D1531" i="3"/>
  <c r="D1539" i="3"/>
  <c r="D1540" i="3"/>
  <c r="D1548" i="3"/>
  <c r="D1557" i="3"/>
  <c r="D1565" i="3"/>
  <c r="D1427" i="3"/>
  <c r="D1568" i="3"/>
  <c r="D592" i="3"/>
  <c r="D1430" i="3"/>
  <c r="D1578" i="3"/>
  <c r="D1585" i="3"/>
  <c r="D1593" i="3"/>
  <c r="D2322" i="3"/>
  <c r="D2330" i="3"/>
  <c r="D2338" i="3"/>
  <c r="D601" i="3"/>
  <c r="D603" i="3"/>
  <c r="D612" i="3"/>
  <c r="D614" i="3"/>
  <c r="D625" i="3"/>
  <c r="D635" i="3"/>
  <c r="D642" i="3"/>
  <c r="D650" i="3"/>
  <c r="D658" i="3"/>
  <c r="D666" i="3"/>
  <c r="D674" i="3"/>
  <c r="D689" i="3"/>
  <c r="D695" i="3"/>
  <c r="D703" i="3"/>
  <c r="D711" i="3"/>
  <c r="D719" i="3"/>
  <c r="D727" i="3"/>
  <c r="D735" i="3"/>
  <c r="D2111" i="3"/>
  <c r="D2119" i="3"/>
  <c r="D2127" i="3"/>
  <c r="D2351" i="3"/>
  <c r="D1600" i="3"/>
  <c r="D1608" i="3"/>
  <c r="D1616" i="3"/>
  <c r="D1164" i="3"/>
  <c r="D1172" i="3"/>
  <c r="D744" i="3"/>
  <c r="D1181" i="3"/>
  <c r="D2363" i="3"/>
  <c r="D2371" i="3"/>
  <c r="D2380" i="3"/>
  <c r="D1196" i="3"/>
  <c r="D1204" i="3"/>
  <c r="D755" i="3"/>
  <c r="D1212" i="3"/>
  <c r="D1220" i="3"/>
  <c r="D1228" i="3"/>
  <c r="D1236" i="3"/>
  <c r="D1626" i="3"/>
  <c r="D2382" i="3"/>
  <c r="D1247" i="3"/>
  <c r="D52" i="3"/>
  <c r="D54" i="3"/>
  <c r="D56" i="3"/>
  <c r="D58" i="3"/>
  <c r="D60" i="3"/>
  <c r="D62" i="3"/>
  <c r="D64" i="3"/>
  <c r="D66" i="3"/>
  <c r="D68" i="3"/>
  <c r="D70" i="3"/>
  <c r="D72" i="3"/>
  <c r="D74" i="3"/>
  <c r="D76" i="3"/>
  <c r="D78" i="3"/>
  <c r="D80" i="3"/>
  <c r="D82" i="3"/>
  <c r="D84" i="3"/>
  <c r="D86" i="3"/>
  <c r="D88" i="3"/>
  <c r="D90" i="3"/>
  <c r="D92" i="3"/>
  <c r="D94" i="3"/>
  <c r="D1637" i="3"/>
  <c r="D774" i="3"/>
  <c r="D782" i="3"/>
  <c r="D790" i="3"/>
  <c r="D1646" i="3"/>
  <c r="D798" i="3"/>
  <c r="D806" i="3"/>
  <c r="D814" i="3"/>
  <c r="D2136" i="3"/>
  <c r="D2214" i="3"/>
  <c r="D821" i="3"/>
  <c r="D1654" i="3"/>
  <c r="D1254" i="3"/>
  <c r="D824" i="3"/>
  <c r="D98" i="3"/>
  <c r="D106" i="3"/>
  <c r="D109" i="3"/>
  <c r="D836" i="3"/>
  <c r="D844" i="3"/>
  <c r="D852" i="3"/>
  <c r="D1657" i="3"/>
  <c r="D2384" i="3"/>
  <c r="D1663" i="3"/>
  <c r="D1264" i="3"/>
  <c r="D2444" i="3"/>
  <c r="D2452" i="3"/>
  <c r="D2460" i="3"/>
  <c r="D2468" i="3"/>
  <c r="D2392" i="3"/>
  <c r="D858" i="3"/>
  <c r="D2479" i="3"/>
  <c r="D2487" i="3"/>
  <c r="D2493" i="3"/>
  <c r="D2501" i="3"/>
  <c r="D2509" i="3"/>
  <c r="D2517" i="3"/>
  <c r="D2525" i="3"/>
  <c r="D2533" i="3"/>
  <c r="D2541" i="3"/>
  <c r="D1680" i="3"/>
  <c r="D1690" i="3"/>
  <c r="D868" i="3"/>
  <c r="D1698" i="3"/>
  <c r="D1708" i="3"/>
  <c r="D1717" i="3"/>
  <c r="D2145" i="3"/>
  <c r="D2153" i="3"/>
  <c r="D2161" i="3"/>
  <c r="D2169" i="3"/>
  <c r="D156" i="3"/>
  <c r="D158" i="3"/>
  <c r="D161" i="3"/>
  <c r="D165" i="3"/>
  <c r="D170" i="3"/>
  <c r="D877" i="3"/>
  <c r="D885" i="3"/>
  <c r="D893" i="3"/>
  <c r="D2545" i="3"/>
  <c r="D2553" i="3"/>
  <c r="D2561" i="3"/>
  <c r="D2568" i="3"/>
  <c r="D2575" i="3"/>
  <c r="D2399" i="3"/>
  <c r="D1722" i="3"/>
  <c r="D1730" i="3"/>
  <c r="D1738" i="3"/>
  <c r="D1746" i="3"/>
  <c r="D1754" i="3"/>
  <c r="D2404" i="3"/>
  <c r="D2412" i="3"/>
  <c r="D2420" i="3"/>
  <c r="D2422" i="3"/>
  <c r="D1444" i="3"/>
  <c r="D2583" i="3"/>
  <c r="D895" i="3"/>
  <c r="D904" i="3"/>
  <c r="D912" i="3"/>
  <c r="D1763" i="3"/>
  <c r="D2590" i="3"/>
  <c r="D2598" i="3"/>
  <c r="D2606" i="3"/>
  <c r="D2614" i="3"/>
  <c r="D2622" i="3"/>
  <c r="D2176" i="3"/>
  <c r="D2627" i="3"/>
  <c r="D926" i="3"/>
  <c r="D930" i="3"/>
  <c r="D2629" i="3"/>
  <c r="D2637" i="3"/>
  <c r="D2651" i="3"/>
  <c r="D2659" i="3"/>
  <c r="D2667" i="3"/>
  <c r="D2675" i="3"/>
  <c r="D2683" i="3"/>
  <c r="D2691" i="3"/>
  <c r="D2699" i="3"/>
  <c r="D2707" i="3"/>
  <c r="D2715" i="3"/>
  <c r="D2723" i="3"/>
  <c r="D2731" i="3"/>
  <c r="D2180" i="3"/>
  <c r="D2188" i="3"/>
  <c r="D2738" i="3"/>
  <c r="D2743" i="3"/>
  <c r="D2751" i="3"/>
  <c r="D2757" i="3"/>
  <c r="D2431" i="3"/>
  <c r="D1283" i="3"/>
  <c r="D1769" i="3"/>
  <c r="D942" i="3"/>
  <c r="D951" i="3"/>
  <c r="D959" i="3"/>
  <c r="D968" i="3"/>
  <c r="D976" i="3"/>
  <c r="D2769" i="3"/>
  <c r="D227" i="3"/>
  <c r="D2777" i="3"/>
  <c r="D2779" i="3"/>
  <c r="D249" i="3"/>
  <c r="D1285" i="3"/>
  <c r="D918" i="3"/>
  <c r="D2204" i="3"/>
  <c r="D1387" i="3"/>
  <c r="D1395" i="3"/>
  <c r="D1403" i="3"/>
  <c r="D2314" i="3"/>
  <c r="D1416" i="3"/>
  <c r="D1775" i="3"/>
  <c r="D1783" i="3"/>
  <c r="D1791" i="3"/>
  <c r="D1799" i="3"/>
  <c r="D1807" i="3"/>
  <c r="D1815" i="3"/>
  <c r="D1823" i="3"/>
  <c r="D1831" i="3"/>
  <c r="D1839" i="3"/>
  <c r="D1847" i="3"/>
  <c r="D1855" i="3"/>
  <c r="D1862" i="3"/>
  <c r="D1870" i="3"/>
  <c r="D1878" i="3"/>
  <c r="D1886" i="3"/>
  <c r="D1894" i="3"/>
  <c r="D1902" i="3"/>
  <c r="D1910" i="3"/>
  <c r="D1918" i="3"/>
  <c r="D1926" i="3"/>
  <c r="D1934" i="3"/>
  <c r="D1942" i="3"/>
  <c r="D1950" i="3"/>
  <c r="D1957" i="3"/>
  <c r="D1965" i="3"/>
  <c r="D1970" i="3"/>
  <c r="D1978" i="3"/>
  <c r="D1986" i="3"/>
  <c r="D1994" i="3"/>
  <c r="D2002" i="3"/>
  <c r="D2010" i="3"/>
  <c r="D2018" i="3"/>
  <c r="D2025" i="3"/>
  <c r="D2033" i="3"/>
  <c r="D2040" i="3"/>
  <c r="D2049" i="3"/>
  <c r="D2057" i="3"/>
  <c r="D2065" i="3"/>
  <c r="D2073" i="3"/>
  <c r="D2082" i="3"/>
  <c r="D2090" i="3"/>
  <c r="D2098" i="3"/>
  <c r="D2106" i="3"/>
  <c r="D1453" i="3"/>
  <c r="D1461" i="3"/>
  <c r="D1469" i="3"/>
  <c r="D1477" i="3"/>
  <c r="D1485" i="3"/>
  <c r="D1493" i="3"/>
  <c r="D1499" i="3"/>
  <c r="D1503" i="3"/>
  <c r="D1512" i="3"/>
  <c r="D1516" i="3"/>
  <c r="D1520" i="3"/>
  <c r="D576" i="3"/>
  <c r="D1534" i="3"/>
  <c r="D579" i="3"/>
  <c r="D1543" i="3"/>
  <c r="D1551" i="3"/>
  <c r="D1560" i="3"/>
  <c r="D1422" i="3"/>
  <c r="D584" i="3"/>
  <c r="D1573" i="3"/>
  <c r="D1576" i="3"/>
  <c r="D595" i="3"/>
  <c r="D1433" i="3"/>
  <c r="D1581" i="3"/>
  <c r="D1588" i="3"/>
  <c r="D1596" i="3"/>
  <c r="D2325" i="3"/>
  <c r="D2333" i="3"/>
  <c r="D2341" i="3"/>
  <c r="D606" i="3"/>
  <c r="D619" i="3"/>
  <c r="D629" i="3"/>
  <c r="D645" i="3"/>
  <c r="D653" i="3"/>
  <c r="D661" i="3"/>
  <c r="D669" i="3"/>
  <c r="D698" i="3"/>
  <c r="D706" i="3"/>
  <c r="D714" i="3"/>
  <c r="D722" i="3"/>
  <c r="D730" i="3"/>
  <c r="D738" i="3"/>
  <c r="D2114" i="3"/>
  <c r="D2122" i="3"/>
  <c r="D2130" i="3"/>
  <c r="D2355" i="3"/>
  <c r="D1603" i="3"/>
  <c r="D1611" i="3"/>
  <c r="D1619" i="3"/>
  <c r="D1167" i="3"/>
  <c r="D1175" i="3"/>
  <c r="D1176" i="3"/>
  <c r="D1184" i="3"/>
  <c r="D747" i="3"/>
  <c r="D2366" i="3"/>
  <c r="D2375" i="3"/>
  <c r="D1191" i="3"/>
  <c r="D1199" i="3"/>
  <c r="D750" i="3"/>
  <c r="D758" i="3"/>
  <c r="D1207" i="3"/>
  <c r="D1215" i="3"/>
  <c r="D1223" i="3"/>
  <c r="D1231" i="3"/>
  <c r="D1239" i="3"/>
  <c r="D1629" i="3"/>
  <c r="D1242" i="3"/>
  <c r="D1250" i="3"/>
  <c r="D13" i="3"/>
  <c r="D15" i="3"/>
  <c r="D17" i="3"/>
  <c r="D19" i="3"/>
  <c r="D21" i="3"/>
  <c r="D23" i="3"/>
  <c r="D25" i="3"/>
  <c r="D27" i="3"/>
  <c r="D29" i="3"/>
  <c r="D31" i="3"/>
  <c r="D33" i="3"/>
  <c r="D35" i="3"/>
  <c r="D37" i="3"/>
  <c r="D39" i="3"/>
  <c r="D41" i="3"/>
  <c r="D43" i="3"/>
  <c r="D45" i="3"/>
  <c r="D769" i="3"/>
  <c r="D777" i="3"/>
  <c r="D785" i="3"/>
  <c r="D1641" i="3"/>
  <c r="D793" i="3"/>
  <c r="D801" i="3"/>
  <c r="D809" i="3"/>
  <c r="D2132" i="3"/>
  <c r="D2209" i="3"/>
  <c r="D2216" i="3"/>
  <c r="D1649" i="3"/>
  <c r="D1257" i="3"/>
  <c r="D827" i="3"/>
  <c r="D103" i="3"/>
  <c r="D839" i="3"/>
  <c r="D847" i="3"/>
  <c r="D855" i="3"/>
  <c r="D1660" i="3"/>
  <c r="D126" i="3"/>
  <c r="D2387" i="3"/>
  <c r="D1666" i="3"/>
  <c r="D1671" i="3"/>
  <c r="D2447" i="3"/>
  <c r="D2455" i="3"/>
  <c r="D2463" i="3"/>
  <c r="D2471" i="3"/>
  <c r="D2474" i="3"/>
  <c r="D2482" i="3"/>
  <c r="D2490" i="3"/>
  <c r="D2496" i="3"/>
  <c r="D2504" i="3"/>
  <c r="D2512" i="3"/>
  <c r="D2520" i="3"/>
  <c r="D2528" i="3"/>
  <c r="D2536" i="3"/>
  <c r="D1684" i="3"/>
  <c r="D1693" i="3"/>
  <c r="D871" i="3"/>
  <c r="D1701" i="3"/>
  <c r="D1712" i="3"/>
  <c r="D2140" i="3"/>
  <c r="D2148" i="3"/>
  <c r="D2156" i="3"/>
  <c r="D2164" i="3"/>
  <c r="D2395" i="3"/>
  <c r="D880" i="3"/>
  <c r="D888" i="3"/>
  <c r="D2220" i="3"/>
  <c r="D2548" i="3"/>
  <c r="D2556" i="3"/>
  <c r="D2564" i="3"/>
  <c r="D2571" i="3"/>
  <c r="D2578" i="3"/>
  <c r="D2172" i="3"/>
  <c r="D1725" i="3"/>
  <c r="D1733" i="3"/>
  <c r="D1741" i="3"/>
  <c r="D1749" i="3"/>
  <c r="D1757" i="3"/>
  <c r="D2407" i="3"/>
  <c r="D2415" i="3"/>
  <c r="D1439" i="3"/>
  <c r="D174" i="3"/>
  <c r="D176" i="3"/>
  <c r="D178" i="3"/>
  <c r="D180" i="3"/>
  <c r="D182" i="3"/>
  <c r="D184" i="3"/>
  <c r="D186" i="3"/>
  <c r="D188" i="3"/>
  <c r="D190" i="3"/>
  <c r="D192" i="3"/>
  <c r="D194" i="3"/>
  <c r="D196" i="3"/>
  <c r="D198" i="3"/>
  <c r="D200" i="3"/>
  <c r="D202" i="3"/>
  <c r="D204" i="3"/>
  <c r="D206" i="3"/>
  <c r="D208" i="3"/>
  <c r="D2586" i="3"/>
  <c r="D898" i="3"/>
  <c r="D899" i="3"/>
  <c r="D907" i="3"/>
  <c r="D915" i="3"/>
  <c r="D1766" i="3"/>
  <c r="D2593" i="3"/>
  <c r="D2601" i="3"/>
  <c r="D2609" i="3"/>
  <c r="D2617" i="3"/>
  <c r="D2426" i="3"/>
  <c r="D921" i="3"/>
  <c r="D2632" i="3"/>
  <c r="D2643" i="3"/>
  <c r="D2654" i="3"/>
  <c r="D2662" i="3"/>
  <c r="D2670" i="3"/>
  <c r="D2678" i="3"/>
  <c r="D2686" i="3"/>
  <c r="D2694" i="3"/>
  <c r="D2702" i="3"/>
  <c r="D2710" i="3"/>
  <c r="D2718" i="3"/>
  <c r="D2726" i="3"/>
  <c r="D2734" i="3"/>
  <c r="D2183" i="3"/>
  <c r="D2191" i="3"/>
  <c r="D216" i="3"/>
  <c r="D2746" i="3"/>
  <c r="D2760" i="3"/>
  <c r="D1266" i="3"/>
  <c r="D1278" i="3"/>
  <c r="D932" i="3"/>
  <c r="D2436" i="3"/>
  <c r="D1772" i="3"/>
  <c r="D945" i="3"/>
  <c r="D954" i="3"/>
  <c r="D963" i="3"/>
  <c r="D971" i="3"/>
  <c r="D2766" i="3"/>
  <c r="D230" i="3"/>
  <c r="D2772" i="3"/>
  <c r="D238" i="3"/>
  <c r="D244" i="3"/>
  <c r="D680" i="3"/>
  <c r="D2203" i="3"/>
  <c r="D1390" i="3"/>
  <c r="D1398" i="3"/>
  <c r="D1406" i="3"/>
  <c r="D1411" i="3"/>
  <c r="D1419" i="3"/>
  <c r="D1778" i="3"/>
  <c r="D1786" i="3"/>
  <c r="D1794" i="3"/>
  <c r="D1802" i="3"/>
  <c r="D1810" i="3"/>
  <c r="D1818" i="3"/>
  <c r="D1826" i="3"/>
  <c r="D1834" i="3"/>
  <c r="D1842" i="3"/>
  <c r="D1850" i="3"/>
  <c r="D1857" i="3"/>
  <c r="D1865" i="3"/>
  <c r="D1873" i="3"/>
  <c r="D1881" i="3"/>
  <c r="D1889" i="3"/>
  <c r="D1897" i="3"/>
  <c r="D1905" i="3"/>
  <c r="D1913" i="3"/>
  <c r="D1921" i="3"/>
  <c r="D1929" i="3"/>
  <c r="D1937" i="3"/>
  <c r="D1945" i="3"/>
  <c r="D1953" i="3"/>
  <c r="D1960" i="3"/>
  <c r="D2317" i="3"/>
  <c r="D1973" i="3"/>
  <c r="D1981" i="3"/>
  <c r="D1989" i="3"/>
  <c r="D1997" i="3"/>
  <c r="D2005" i="3"/>
  <c r="D2013" i="3"/>
  <c r="D2021" i="3"/>
  <c r="D2028" i="3"/>
  <c r="D2036" i="3"/>
  <c r="D2043" i="3"/>
  <c r="D2052" i="3"/>
  <c r="D2060" i="3"/>
  <c r="D2068" i="3"/>
  <c r="D2077" i="3"/>
  <c r="D2085" i="3"/>
  <c r="D2093" i="3"/>
  <c r="D2101" i="3"/>
  <c r="D1448" i="3"/>
  <c r="D1456" i="3"/>
  <c r="D1464" i="3"/>
  <c r="D1472" i="3"/>
  <c r="D1480" i="3"/>
  <c r="D1488" i="3"/>
  <c r="D561" i="3"/>
  <c r="D1502" i="3"/>
  <c r="D1506" i="3"/>
  <c r="D569" i="3"/>
  <c r="D1519" i="3"/>
  <c r="D1523" i="3"/>
  <c r="D1529" i="3"/>
  <c r="D1537" i="3"/>
  <c r="D582" i="3"/>
  <c r="D1546" i="3"/>
  <c r="D1554" i="3"/>
  <c r="D1555" i="3"/>
  <c r="D1563" i="3"/>
  <c r="D1425" i="3"/>
  <c r="D587" i="3"/>
  <c r="D590" i="3"/>
  <c r="D2319" i="3"/>
  <c r="D1436" i="3"/>
  <c r="D1583" i="3"/>
  <c r="D1591" i="3"/>
  <c r="D2320" i="3"/>
  <c r="D2328" i="3"/>
  <c r="D2336" i="3"/>
  <c r="D599" i="3"/>
  <c r="D609" i="3"/>
  <c r="D623" i="3"/>
  <c r="D633" i="3"/>
  <c r="D641" i="3"/>
  <c r="D2346" i="3"/>
  <c r="D648" i="3"/>
  <c r="D656" i="3"/>
  <c r="D664" i="3"/>
  <c r="D672" i="3"/>
  <c r="D690" i="3"/>
  <c r="D693" i="3"/>
  <c r="D701" i="3"/>
  <c r="D709" i="3"/>
  <c r="D717" i="3"/>
  <c r="D725" i="3"/>
  <c r="D733" i="3"/>
  <c r="D2109" i="3"/>
  <c r="D2117" i="3"/>
  <c r="D2125" i="3"/>
  <c r="D2349" i="3"/>
  <c r="D2358" i="3"/>
  <c r="D1606" i="3"/>
  <c r="D1614" i="3"/>
  <c r="D1622" i="3"/>
  <c r="D1170" i="3"/>
  <c r="D742" i="3"/>
  <c r="D1179" i="3"/>
  <c r="D1187" i="3"/>
  <c r="D2361" i="3"/>
  <c r="D2369" i="3"/>
  <c r="D2378" i="3"/>
  <c r="D1194" i="3"/>
  <c r="D1202" i="3"/>
  <c r="D753" i="3"/>
  <c r="D763" i="3"/>
  <c r="D1210" i="3"/>
  <c r="D1218" i="3"/>
  <c r="D1226" i="3"/>
  <c r="D1234" i="3"/>
  <c r="D1624" i="3"/>
  <c r="D1632" i="3"/>
  <c r="D1245" i="3"/>
  <c r="D1635" i="3"/>
  <c r="D772" i="3"/>
  <c r="D780" i="3"/>
  <c r="D788" i="3"/>
  <c r="D1644" i="3"/>
  <c r="D796" i="3"/>
  <c r="D804" i="3"/>
  <c r="D812" i="3"/>
  <c r="D2134" i="3"/>
  <c r="D2212" i="3"/>
  <c r="D819" i="3"/>
  <c r="D1652" i="3"/>
  <c r="D1252" i="3"/>
  <c r="D822" i="3"/>
  <c r="D830" i="3"/>
  <c r="D100" i="3"/>
  <c r="D834" i="3"/>
  <c r="D842" i="3"/>
  <c r="D850" i="3"/>
  <c r="D110" i="3"/>
  <c r="D112" i="3"/>
  <c r="D1655" i="3"/>
  <c r="D114" i="3"/>
  <c r="D1262" i="3"/>
  <c r="D2442" i="3"/>
  <c r="D2450" i="3"/>
  <c r="D2458" i="3"/>
  <c r="D2466" i="3"/>
  <c r="D2390" i="3"/>
  <c r="D2477" i="3"/>
  <c r="D2485" i="3"/>
  <c r="D2499" i="3"/>
  <c r="D2507" i="3"/>
  <c r="D2515" i="3"/>
  <c r="D2523" i="3"/>
  <c r="D2531" i="3"/>
  <c r="D2539" i="3"/>
  <c r="D1678" i="3"/>
  <c r="D1687" i="3"/>
  <c r="D865" i="3"/>
  <c r="D1696" i="3"/>
  <c r="D1704" i="3"/>
  <c r="D1715" i="3"/>
  <c r="D2143" i="3"/>
  <c r="D2151" i="3"/>
  <c r="D2159" i="3"/>
  <c r="D2167" i="3"/>
  <c r="D148" i="3"/>
  <c r="D154" i="3"/>
  <c r="D162" i="3"/>
  <c r="D166" i="3"/>
  <c r="D874" i="3"/>
  <c r="D883" i="3"/>
  <c r="D891" i="3"/>
  <c r="D2543" i="3"/>
  <c r="D2551" i="3"/>
  <c r="D2559" i="3"/>
  <c r="D2566" i="3"/>
  <c r="D2574" i="3"/>
  <c r="D2581" i="3"/>
  <c r="D1720" i="3"/>
  <c r="D1728" i="3"/>
  <c r="D1736" i="3"/>
  <c r="D1744" i="3"/>
  <c r="D1752" i="3"/>
  <c r="D1760" i="3"/>
  <c r="D2402" i="3"/>
  <c r="D2410" i="3"/>
  <c r="D2418" i="3"/>
  <c r="D1442" i="3"/>
  <c r="D2589" i="3"/>
  <c r="D902" i="3"/>
  <c r="D910" i="3"/>
  <c r="D919" i="3"/>
  <c r="D2596" i="3"/>
  <c r="D2604" i="3"/>
  <c r="D2612" i="3"/>
  <c r="D2620" i="3"/>
  <c r="D2174" i="3"/>
  <c r="D2625" i="3"/>
  <c r="D210" i="3"/>
  <c r="D212" i="3"/>
  <c r="D214" i="3"/>
  <c r="D2178" i="3"/>
  <c r="D924" i="3"/>
  <c r="D2635" i="3"/>
  <c r="D2649" i="3"/>
  <c r="D2657" i="3"/>
  <c r="D2665" i="3"/>
  <c r="D2673" i="3"/>
  <c r="D2681" i="3"/>
  <c r="D2689" i="3"/>
  <c r="D2697" i="3"/>
  <c r="D2705" i="3"/>
  <c r="D2713" i="3"/>
  <c r="D2721" i="3"/>
  <c r="D2729" i="3"/>
  <c r="D2737" i="3"/>
  <c r="D2186" i="3"/>
  <c r="D2194" i="3"/>
  <c r="D219" i="3"/>
  <c r="D223" i="3"/>
  <c r="D2741" i="3"/>
  <c r="D2749" i="3"/>
  <c r="D2755" i="3"/>
  <c r="D2429" i="3"/>
  <c r="D1275" i="3"/>
  <c r="D1281" i="3"/>
  <c r="D935" i="3"/>
  <c r="D2439" i="3"/>
  <c r="D939" i="3"/>
  <c r="D940" i="3"/>
  <c r="D2761" i="3"/>
  <c r="D2763" i="3"/>
  <c r="D957" i="3"/>
  <c r="D966" i="3"/>
  <c r="D974" i="3"/>
  <c r="D2770" i="3"/>
  <c r="D233" i="3"/>
  <c r="D2775" i="3"/>
  <c r="D241" i="3"/>
  <c r="D247" i="3"/>
  <c r="D677" i="3"/>
  <c r="D684" i="3"/>
  <c r="D2198" i="3"/>
  <c r="D2199" i="3"/>
  <c r="D2202" i="3"/>
  <c r="D1385" i="3"/>
  <c r="D1393" i="3"/>
  <c r="D1401" i="3"/>
  <c r="D2311" i="3"/>
  <c r="D1414" i="3"/>
  <c r="D1773" i="3"/>
  <c r="D1781" i="3"/>
  <c r="D1789" i="3"/>
  <c r="D1797" i="3"/>
  <c r="D1805" i="3"/>
  <c r="D1813" i="3"/>
  <c r="D1821" i="3"/>
  <c r="D1829" i="3"/>
  <c r="D1837" i="3"/>
  <c r="D1845" i="3"/>
  <c r="D1853" i="3"/>
  <c r="D1860" i="3"/>
  <c r="D1868" i="3"/>
  <c r="D1876" i="3"/>
  <c r="D1884" i="3"/>
  <c r="D1892" i="3"/>
  <c r="D1900" i="3"/>
  <c r="D1908" i="3"/>
  <c r="D1916" i="3"/>
  <c r="D1924" i="3"/>
  <c r="D1932" i="3"/>
  <c r="D1940" i="3"/>
  <c r="D1948" i="3"/>
  <c r="D1963" i="3"/>
  <c r="D1968" i="3"/>
  <c r="D1976" i="3"/>
  <c r="D1984" i="3"/>
  <c r="D1992" i="3"/>
  <c r="D2001" i="3"/>
  <c r="D2008" i="3"/>
  <c r="D2016" i="3"/>
  <c r="D2031" i="3"/>
  <c r="D2038" i="3"/>
  <c r="D2047" i="3"/>
  <c r="D2055" i="3"/>
  <c r="D2063" i="3"/>
  <c r="D2071" i="3"/>
  <c r="D2080" i="3"/>
  <c r="D2088" i="3"/>
  <c r="D2096" i="3"/>
  <c r="D2104" i="3"/>
  <c r="D1451" i="3"/>
  <c r="D1459" i="3"/>
  <c r="D1467" i="3"/>
  <c r="D1475" i="3"/>
  <c r="D1483" i="3"/>
  <c r="D1491" i="3"/>
  <c r="D1497" i="3"/>
  <c r="D565" i="3"/>
  <c r="D1509" i="3"/>
  <c r="D1514" i="3"/>
  <c r="D573" i="3"/>
  <c r="D1526" i="3"/>
  <c r="D1532" i="3"/>
  <c r="D577" i="3"/>
  <c r="D1541" i="3"/>
  <c r="D1549" i="3"/>
  <c r="D1558" i="3"/>
  <c r="D1566" i="3"/>
  <c r="D1428" i="3"/>
  <c r="D1569" i="3"/>
  <c r="D1574" i="3"/>
  <c r="D593" i="3"/>
  <c r="D1431" i="3"/>
  <c r="D1579" i="3"/>
  <c r="D1586" i="3"/>
  <c r="D1594" i="3"/>
  <c r="D2323" i="3"/>
  <c r="D2331" i="3"/>
  <c r="D2339" i="3"/>
  <c r="D602" i="3"/>
  <c r="D604" i="3"/>
  <c r="D616" i="3"/>
  <c r="D627" i="3"/>
  <c r="D636" i="3"/>
  <c r="D643" i="3"/>
  <c r="D651" i="3"/>
  <c r="D659" i="3"/>
  <c r="D667" i="3"/>
  <c r="D675" i="3"/>
  <c r="D696" i="3"/>
  <c r="D704" i="3"/>
  <c r="D712" i="3"/>
  <c r="D720" i="3"/>
  <c r="D728" i="3"/>
  <c r="D736" i="3"/>
  <c r="D2112" i="3"/>
  <c r="D2120" i="3"/>
  <c r="D2128" i="3"/>
  <c r="D2353" i="3"/>
  <c r="D1601" i="3"/>
  <c r="D1609" i="3"/>
  <c r="D1617" i="3"/>
  <c r="D1165" i="3"/>
  <c r="D1173" i="3"/>
  <c r="D745" i="3"/>
  <c r="D1182" i="3"/>
  <c r="D2364" i="3"/>
  <c r="D2372" i="3"/>
  <c r="D1189" i="3"/>
  <c r="D1197" i="3"/>
  <c r="D748" i="3"/>
  <c r="D756" i="3"/>
  <c r="D1205" i="3"/>
  <c r="D1213" i="3"/>
  <c r="D1221" i="3"/>
  <c r="D1229" i="3"/>
  <c r="D1237" i="3"/>
  <c r="D1627" i="3"/>
  <c r="D765" i="3"/>
  <c r="D767" i="3"/>
  <c r="D1248" i="3"/>
  <c r="D3" i="3"/>
  <c r="D1638" i="3"/>
  <c r="D775" i="3"/>
  <c r="D783" i="3"/>
  <c r="D1639" i="3"/>
  <c r="D791" i="3"/>
  <c r="D799" i="3"/>
  <c r="D807" i="3"/>
  <c r="D815" i="3"/>
  <c r="D2137" i="3"/>
  <c r="D1647" i="3"/>
  <c r="D95" i="3"/>
  <c r="D97" i="3"/>
  <c r="D1255" i="3"/>
  <c r="D825" i="3"/>
  <c r="D105" i="3"/>
  <c r="D837" i="3"/>
  <c r="D845" i="3"/>
  <c r="D853" i="3"/>
  <c r="D1658" i="3"/>
  <c r="D2385" i="3"/>
  <c r="D128" i="3"/>
  <c r="D130" i="3"/>
  <c r="D132" i="3"/>
  <c r="D134" i="3"/>
  <c r="D136" i="3"/>
  <c r="D138" i="3"/>
  <c r="D140" i="3"/>
  <c r="D142" i="3"/>
  <c r="D144" i="3"/>
  <c r="D1664" i="3"/>
  <c r="D1265" i="3"/>
  <c r="D2445" i="3"/>
  <c r="D2453" i="3"/>
  <c r="D2461" i="3"/>
  <c r="D2469" i="3"/>
  <c r="D2139" i="3"/>
  <c r="D2480" i="3"/>
  <c r="D2488" i="3"/>
  <c r="D2494" i="3"/>
  <c r="D2502" i="3"/>
  <c r="D2510" i="3"/>
  <c r="D2518" i="3"/>
  <c r="D2526" i="3"/>
  <c r="D2534" i="3"/>
  <c r="D862" i="3"/>
  <c r="D1682" i="3"/>
  <c r="D1691" i="3"/>
  <c r="D869" i="3"/>
  <c r="D1699" i="3"/>
  <c r="D1710" i="3"/>
  <c r="D872" i="3"/>
  <c r="D2146" i="3"/>
  <c r="D2154" i="3"/>
  <c r="D2162" i="3"/>
  <c r="D2393" i="3"/>
  <c r="D878" i="3"/>
  <c r="D886" i="3"/>
  <c r="D2218" i="3"/>
  <c r="D2546" i="3"/>
  <c r="D2554" i="3"/>
  <c r="D2562" i="3"/>
  <c r="D2569" i="3"/>
  <c r="D2576" i="3"/>
  <c r="D2170" i="3"/>
  <c r="D1723" i="3"/>
  <c r="D1731" i="3"/>
  <c r="D1739" i="3"/>
  <c r="D1747" i="3"/>
  <c r="D1755" i="3"/>
  <c r="D2405" i="3"/>
  <c r="D2413" i="3"/>
  <c r="D2421" i="3"/>
  <c r="D2423" i="3"/>
  <c r="D1445" i="3"/>
  <c r="D2584" i="3"/>
  <c r="D896" i="3"/>
  <c r="D905" i="3"/>
  <c r="D913" i="3"/>
  <c r="D1764" i="3"/>
  <c r="D2591" i="3"/>
  <c r="D2599" i="3"/>
  <c r="D2607" i="3"/>
  <c r="D2615" i="3"/>
  <c r="D2623" i="3"/>
  <c r="D2177" i="3"/>
  <c r="D2630" i="3"/>
  <c r="D2638" i="3"/>
  <c r="D2641" i="3"/>
  <c r="D2652" i="3"/>
  <c r="D2660" i="3"/>
  <c r="D2668" i="3"/>
  <c r="D2676" i="3"/>
  <c r="D2684" i="3"/>
  <c r="D2692" i="3"/>
  <c r="D2700" i="3"/>
  <c r="D2708" i="3"/>
  <c r="D2716" i="3"/>
  <c r="D2724" i="3"/>
  <c r="D2732" i="3"/>
  <c r="D2181" i="3"/>
  <c r="D2189" i="3"/>
  <c r="D2744" i="3"/>
  <c r="D2752" i="3"/>
  <c r="D2758" i="3"/>
  <c r="D2432" i="3"/>
  <c r="D1284" i="3"/>
  <c r="D2434" i="3"/>
  <c r="D1770" i="3"/>
  <c r="D943" i="3"/>
  <c r="D952" i="3"/>
  <c r="D960" i="3"/>
  <c r="D969" i="3"/>
  <c r="D977" i="3"/>
  <c r="D228" i="3"/>
  <c r="D2778" i="3"/>
  <c r="D2780" i="3"/>
  <c r="D637" i="3"/>
  <c r="D678" i="3"/>
  <c r="D683" i="3"/>
  <c r="D686" i="3"/>
  <c r="D2197" i="3"/>
  <c r="D2200" i="3"/>
  <c r="D980" i="3"/>
  <c r="D2646" i="3"/>
  <c r="I884" i="5"/>
  <c r="Q1294" i="3"/>
  <c r="Q2782" i="3"/>
  <c r="Q1293" i="3"/>
  <c r="Q2835" i="3"/>
  <c r="I590" i="5"/>
  <c r="I868" i="5"/>
  <c r="I589" i="5"/>
  <c r="Q2834" i="3"/>
  <c r="Q2845" i="3"/>
  <c r="H884" i="5"/>
  <c r="Q1292" i="3"/>
  <c r="Q2795" i="3"/>
  <c r="I488" i="5"/>
  <c r="Q1291" i="3"/>
  <c r="Q2841" i="3"/>
  <c r="Q2839" i="3"/>
  <c r="Q2825" i="3"/>
  <c r="I581" i="5"/>
  <c r="I518" i="5"/>
  <c r="Q1290" i="3"/>
  <c r="Q2838" i="3"/>
  <c r="I580" i="5"/>
  <c r="I582" i="5"/>
  <c r="Q1288" i="3"/>
  <c r="Q1289" i="3"/>
  <c r="Q2836" i="3"/>
  <c r="Q2840" i="3"/>
  <c r="I584" i="5"/>
  <c r="Q2843" i="3"/>
  <c r="I3" i="5"/>
  <c r="Q2794" i="3"/>
  <c r="I897" i="5"/>
  <c r="Q1295" i="3"/>
  <c r="Q2793" i="3"/>
  <c r="Q1287" i="3"/>
  <c r="Q2837" i="3"/>
  <c r="Q2790" i="3"/>
  <c r="Q2842" i="3"/>
  <c r="I467" i="5"/>
  <c r="Q2844" i="3"/>
  <c r="I465" i="5"/>
  <c r="P2793" i="3"/>
  <c r="P2835" i="3"/>
  <c r="P1291" i="3"/>
  <c r="I896" i="5"/>
  <c r="I882" i="5"/>
  <c r="I851" i="5"/>
  <c r="P2794" i="3"/>
  <c r="P2840" i="3"/>
  <c r="P1287" i="3"/>
  <c r="P2825" i="3"/>
  <c r="I881" i="5"/>
  <c r="I440" i="5"/>
  <c r="P2837" i="3"/>
  <c r="P1294" i="3"/>
  <c r="Q2785" i="3"/>
  <c r="I877" i="5"/>
  <c r="I199" i="5"/>
  <c r="P2790" i="3"/>
  <c r="P2842" i="3"/>
  <c r="P2839" i="3"/>
  <c r="P1293" i="3"/>
  <c r="Q2786" i="3"/>
  <c r="I875" i="5"/>
  <c r="I879" i="5"/>
  <c r="P2841" i="3"/>
  <c r="P2782" i="3"/>
  <c r="P1290" i="3"/>
  <c r="Q2788" i="3"/>
  <c r="I876" i="5"/>
  <c r="I883" i="5"/>
  <c r="I1137" i="5"/>
  <c r="P2795" i="3"/>
  <c r="P2836" i="3"/>
  <c r="P1292" i="3"/>
  <c r="Q2787" i="3"/>
  <c r="I450" i="5"/>
  <c r="I878" i="5"/>
  <c r="I1132" i="5"/>
  <c r="I1163" i="5"/>
  <c r="Q2625" i="3"/>
  <c r="P2834" i="3"/>
  <c r="P2843" i="3"/>
  <c r="P1288" i="3"/>
  <c r="P1289" i="3"/>
  <c r="Q2789" i="3"/>
  <c r="I209" i="5"/>
  <c r="I451" i="5"/>
  <c r="I1160" i="5"/>
  <c r="P2625" i="3"/>
  <c r="P2845" i="3"/>
  <c r="P2838" i="3"/>
  <c r="P1295" i="3"/>
  <c r="P2844" i="3"/>
  <c r="Q2784" i="3"/>
  <c r="I880" i="5"/>
  <c r="I210" i="5"/>
  <c r="I4" i="5"/>
  <c r="P2785" i="3"/>
  <c r="P2788" i="3"/>
  <c r="P2784" i="3"/>
  <c r="P2786" i="3"/>
  <c r="P2789" i="3"/>
  <c r="P2787" i="3"/>
  <c r="H518" i="5"/>
  <c r="H896" i="5"/>
  <c r="H584" i="5"/>
  <c r="H582" i="5"/>
  <c r="H589" i="5"/>
  <c r="H868" i="5"/>
  <c r="D172" i="3"/>
  <c r="H580" i="5"/>
  <c r="D173" i="3"/>
  <c r="D169" i="3"/>
  <c r="D171" i="3"/>
  <c r="H590" i="5"/>
  <c r="H465" i="5"/>
  <c r="H581" i="5"/>
  <c r="D1286" i="3"/>
  <c r="D1287" i="3"/>
  <c r="D1271" i="3"/>
  <c r="D1272" i="3"/>
  <c r="D1293" i="3"/>
  <c r="D1269" i="3"/>
  <c r="D1292" i="3"/>
  <c r="D1267" i="3"/>
  <c r="D1289" i="3"/>
  <c r="D1291" i="3"/>
  <c r="D1274" i="3"/>
  <c r="D1273" i="3"/>
  <c r="D1290" i="3"/>
  <c r="D1268" i="3"/>
  <c r="D1288" i="3"/>
  <c r="D1295" i="3"/>
  <c r="D1270" i="3"/>
  <c r="Q2783" i="3"/>
  <c r="D1294" i="3"/>
  <c r="D220" i="3"/>
  <c r="O215" i="3"/>
  <c r="O211" i="3"/>
  <c r="O194" i="3"/>
  <c r="O178" i="3"/>
  <c r="O166" i="3"/>
  <c r="O158" i="3"/>
  <c r="O135" i="3"/>
  <c r="O123" i="3"/>
  <c r="O113" i="3"/>
  <c r="O96" i="3"/>
  <c r="O80" i="3"/>
  <c r="O64" i="3"/>
  <c r="O43" i="3"/>
  <c r="O27" i="3"/>
  <c r="O2" i="3"/>
  <c r="O242" i="3"/>
  <c r="O1294" i="3"/>
  <c r="O2197" i="3"/>
  <c r="D117" i="3"/>
  <c r="O222" i="3"/>
  <c r="O210" i="3"/>
  <c r="O201" i="3"/>
  <c r="O193" i="3"/>
  <c r="O185" i="3"/>
  <c r="O177" i="3"/>
  <c r="O173" i="3"/>
  <c r="O165" i="3"/>
  <c r="O157" i="3"/>
  <c r="O142" i="3"/>
  <c r="O134" i="3"/>
  <c r="O122" i="3"/>
  <c r="O114" i="3"/>
  <c r="O112" i="3"/>
  <c r="O103" i="3"/>
  <c r="O95" i="3"/>
  <c r="O87" i="3"/>
  <c r="O79" i="3"/>
  <c r="O71" i="3"/>
  <c r="O63" i="3"/>
  <c r="O55" i="3"/>
  <c r="O42" i="3"/>
  <c r="O34" i="3"/>
  <c r="O26" i="3"/>
  <c r="O18" i="3"/>
  <c r="O2441" i="3"/>
  <c r="O249" i="3"/>
  <c r="O241" i="3"/>
  <c r="O231" i="3"/>
  <c r="O1293" i="3"/>
  <c r="O2205" i="3"/>
  <c r="O2196" i="3"/>
  <c r="O2779" i="3"/>
  <c r="O2771" i="3"/>
  <c r="O2762" i="3"/>
  <c r="O2754" i="3"/>
  <c r="O2747" i="3"/>
  <c r="O2739" i="3"/>
  <c r="O2731" i="3"/>
  <c r="O2723" i="3"/>
  <c r="O2715" i="3"/>
  <c r="O2707" i="3"/>
  <c r="O2699" i="3"/>
  <c r="O2691" i="3"/>
  <c r="O2683" i="3"/>
  <c r="O2675" i="3"/>
  <c r="O2667" i="3"/>
  <c r="O2659" i="3"/>
  <c r="O2651" i="3"/>
  <c r="O2643" i="3"/>
  <c r="O2635" i="3"/>
  <c r="O2620" i="3"/>
  <c r="O2612" i="3"/>
  <c r="O2603" i="3"/>
  <c r="O2595" i="3"/>
  <c r="O2587" i="3"/>
  <c r="O2579" i="3"/>
  <c r="O2573" i="3"/>
  <c r="O2565" i="3"/>
  <c r="O2558" i="3"/>
  <c r="O2550" i="3"/>
  <c r="O2542" i="3"/>
  <c r="O2534" i="3"/>
  <c r="O2526" i="3"/>
  <c r="O2518" i="3"/>
  <c r="O2510" i="3"/>
  <c r="O2502" i="3"/>
  <c r="O2494" i="3"/>
  <c r="O2488" i="3"/>
  <c r="O2480" i="3"/>
  <c r="O2472" i="3"/>
  <c r="O2464" i="3"/>
  <c r="O2456" i="3"/>
  <c r="O2448" i="3"/>
  <c r="O2438" i="3"/>
  <c r="O2430" i="3"/>
  <c r="O2422" i="3"/>
  <c r="O2420" i="3"/>
  <c r="O2412" i="3"/>
  <c r="O2404" i="3"/>
  <c r="O2396" i="3"/>
  <c r="O2387" i="3"/>
  <c r="O2379" i="3"/>
  <c r="O2370" i="3"/>
  <c r="O2362" i="3"/>
  <c r="O2354" i="3"/>
  <c r="O2345" i="3"/>
  <c r="O2337" i="3"/>
  <c r="O2329" i="3"/>
  <c r="O2321" i="3"/>
  <c r="O2311" i="3"/>
  <c r="O2303" i="3"/>
  <c r="O2295" i="3"/>
  <c r="O2287" i="3"/>
  <c r="O2279" i="3"/>
  <c r="O2270" i="3"/>
  <c r="O2262" i="3"/>
  <c r="O2254" i="3"/>
  <c r="O2246" i="3"/>
  <c r="O2238" i="3"/>
  <c r="O2230" i="3"/>
  <c r="O2222" i="3"/>
  <c r="O2214" i="3"/>
  <c r="O2191" i="3"/>
  <c r="O2181" i="3"/>
  <c r="O2173" i="3"/>
  <c r="O2164" i="3"/>
  <c r="O2152" i="3"/>
  <c r="O2139" i="3"/>
  <c r="O2126" i="3"/>
  <c r="O2114" i="3"/>
  <c r="O2100" i="3"/>
  <c r="O2084" i="3"/>
  <c r="O2067" i="3"/>
  <c r="O2051" i="3"/>
  <c r="O2035" i="3"/>
  <c r="O2020" i="3"/>
  <c r="O2004" i="3"/>
  <c r="O1988" i="3"/>
  <c r="O1972" i="3"/>
  <c r="O1956" i="3"/>
  <c r="O1941" i="3"/>
  <c r="O1925" i="3"/>
  <c r="O1909" i="3"/>
  <c r="O1893" i="3"/>
  <c r="O1877" i="3"/>
  <c r="O1861" i="3"/>
  <c r="O1846" i="3"/>
  <c r="O1830" i="3"/>
  <c r="O1814" i="3"/>
  <c r="O1798" i="3"/>
  <c r="O1782" i="3"/>
  <c r="O1766" i="3"/>
  <c r="O1746" i="3"/>
  <c r="O1730" i="3"/>
  <c r="O1714" i="3"/>
  <c r="O1695" i="3"/>
  <c r="O1677" i="3"/>
  <c r="O1657" i="3"/>
  <c r="O1641" i="3"/>
  <c r="O1625" i="3"/>
  <c r="O1609" i="3"/>
  <c r="O1593" i="3"/>
  <c r="O1577" i="3"/>
  <c r="O1554" i="3"/>
  <c r="O1536" i="3"/>
  <c r="O1503" i="3"/>
  <c r="O1451" i="3"/>
  <c r="D122" i="3"/>
  <c r="D123" i="3"/>
  <c r="O209" i="3"/>
  <c r="O208" i="3"/>
  <c r="O192" i="3"/>
  <c r="O176" i="3"/>
  <c r="O164" i="3"/>
  <c r="O141" i="3"/>
  <c r="O102" i="3"/>
  <c r="O86" i="3"/>
  <c r="O70" i="3"/>
  <c r="O54" i="3"/>
  <c r="O33" i="3"/>
  <c r="O25" i="3"/>
  <c r="O2440" i="3"/>
  <c r="O248" i="3"/>
  <c r="O230" i="3"/>
  <c r="O2195" i="3"/>
  <c r="O2778" i="3"/>
  <c r="O2770" i="3"/>
  <c r="O2761" i="3"/>
  <c r="O2753" i="3"/>
  <c r="O2746" i="3"/>
  <c r="O2738" i="3"/>
  <c r="O2730" i="3"/>
  <c r="O2722" i="3"/>
  <c r="O2714" i="3"/>
  <c r="O2706" i="3"/>
  <c r="O2698" i="3"/>
  <c r="O2690" i="3"/>
  <c r="O2682" i="3"/>
  <c r="O2674" i="3"/>
  <c r="O2666" i="3"/>
  <c r="O2658" i="3"/>
  <c r="O2650" i="3"/>
  <c r="O2642" i="3"/>
  <c r="O2634" i="3"/>
  <c r="O2627" i="3"/>
  <c r="O2619" i="3"/>
  <c r="O2611" i="3"/>
  <c r="O2602" i="3"/>
  <c r="O2594" i="3"/>
  <c r="O2586" i="3"/>
  <c r="O2578" i="3"/>
  <c r="O2572" i="3"/>
  <c r="O2557" i="3"/>
  <c r="O2549" i="3"/>
  <c r="O2541" i="3"/>
  <c r="O2533" i="3"/>
  <c r="O2525" i="3"/>
  <c r="O2517" i="3"/>
  <c r="O2509" i="3"/>
  <c r="O2501" i="3"/>
  <c r="O2493" i="3"/>
  <c r="O2487" i="3"/>
  <c r="O2479" i="3"/>
  <c r="O2471" i="3"/>
  <c r="O2463" i="3"/>
  <c r="O2455" i="3"/>
  <c r="O2447" i="3"/>
  <c r="O2437" i="3"/>
  <c r="O2429" i="3"/>
  <c r="O2419" i="3"/>
  <c r="O2411" i="3"/>
  <c r="O2403" i="3"/>
  <c r="O2395" i="3"/>
  <c r="O2386" i="3"/>
  <c r="O2378" i="3"/>
  <c r="O2369" i="3"/>
  <c r="O2361" i="3"/>
  <c r="O2353" i="3"/>
  <c r="O2344" i="3"/>
  <c r="O2336" i="3"/>
  <c r="O2328" i="3"/>
  <c r="O2320" i="3"/>
  <c r="O2310" i="3"/>
  <c r="O2302" i="3"/>
  <c r="O2294" i="3"/>
  <c r="O2286" i="3"/>
  <c r="O2278" i="3"/>
  <c r="O2269" i="3"/>
  <c r="O2261" i="3"/>
  <c r="O2253" i="3"/>
  <c r="O2245" i="3"/>
  <c r="O2237" i="3"/>
  <c r="O2229" i="3"/>
  <c r="O2221" i="3"/>
  <c r="O2213" i="3"/>
  <c r="O2189" i="3"/>
  <c r="O2180" i="3"/>
  <c r="O2172" i="3"/>
  <c r="O2163" i="3"/>
  <c r="O2150" i="3"/>
  <c r="O2138" i="3"/>
  <c r="O2124" i="3"/>
  <c r="O2112" i="3"/>
  <c r="O2098" i="3"/>
  <c r="O2082" i="3"/>
  <c r="O2065" i="3"/>
  <c r="O2049" i="3"/>
  <c r="O2033" i="3"/>
  <c r="O2018" i="3"/>
  <c r="O2002" i="3"/>
  <c r="O1986" i="3"/>
  <c r="O1970" i="3"/>
  <c r="O1955" i="3"/>
  <c r="O1939" i="3"/>
  <c r="O1923" i="3"/>
  <c r="O1907" i="3"/>
  <c r="O1891" i="3"/>
  <c r="O1875" i="3"/>
  <c r="O1859" i="3"/>
  <c r="O1844" i="3"/>
  <c r="O1828" i="3"/>
  <c r="O1812" i="3"/>
  <c r="O1796" i="3"/>
  <c r="O1780" i="3"/>
  <c r="O1764" i="3"/>
  <c r="O1760" i="3"/>
  <c r="O1744" i="3"/>
  <c r="O1728" i="3"/>
  <c r="O1712" i="3"/>
  <c r="O1693" i="3"/>
  <c r="O1655" i="3"/>
  <c r="O1639" i="3"/>
  <c r="O1623" i="3"/>
  <c r="O1607" i="3"/>
  <c r="O1591" i="3"/>
  <c r="O1568" i="3"/>
  <c r="O1552" i="3"/>
  <c r="O1532" i="3"/>
  <c r="O1499" i="3"/>
  <c r="O1443" i="3"/>
  <c r="O223" i="3"/>
  <c r="D116" i="3"/>
  <c r="O221" i="3"/>
  <c r="O200" i="3"/>
  <c r="O184" i="3"/>
  <c r="O172" i="3"/>
  <c r="O156" i="3"/>
  <c r="O133" i="3"/>
  <c r="O121" i="3"/>
  <c r="O111" i="3"/>
  <c r="O94" i="3"/>
  <c r="O78" i="3"/>
  <c r="O62" i="3"/>
  <c r="O41" i="3"/>
  <c r="O17" i="3"/>
  <c r="O240" i="3"/>
  <c r="O1292" i="3"/>
  <c r="O2204" i="3"/>
  <c r="D115" i="3"/>
  <c r="D121" i="3"/>
  <c r="O220" i="3"/>
  <c r="O207" i="3"/>
  <c r="O199" i="3"/>
  <c r="O191" i="3"/>
  <c r="O183" i="3"/>
  <c r="O175" i="3"/>
  <c r="O171" i="3"/>
  <c r="O163" i="3"/>
  <c r="O155" i="3"/>
  <c r="O140" i="3"/>
  <c r="O132" i="3"/>
  <c r="O120" i="3"/>
  <c r="O110" i="3"/>
  <c r="O101" i="3"/>
  <c r="O93" i="3"/>
  <c r="O85" i="3"/>
  <c r="O77" i="3"/>
  <c r="O69" i="3"/>
  <c r="O61" i="3"/>
  <c r="O53" i="3"/>
  <c r="O40" i="3"/>
  <c r="O32" i="3"/>
  <c r="O24" i="3"/>
  <c r="O16" i="3"/>
  <c r="O247" i="3"/>
  <c r="O239" i="3"/>
  <c r="O229" i="3"/>
  <c r="O1291" i="3"/>
  <c r="O983" i="3"/>
  <c r="O2203" i="3"/>
  <c r="O2777" i="3"/>
  <c r="O2768" i="3"/>
  <c r="O2760" i="3"/>
  <c r="O2745" i="3"/>
  <c r="O2737" i="3"/>
  <c r="O2729" i="3"/>
  <c r="O2721" i="3"/>
  <c r="O2713" i="3"/>
  <c r="O2705" i="3"/>
  <c r="O2697" i="3"/>
  <c r="O2689" i="3"/>
  <c r="O2681" i="3"/>
  <c r="O2673" i="3"/>
  <c r="O2665" i="3"/>
  <c r="O2657" i="3"/>
  <c r="O2649" i="3"/>
  <c r="O2641" i="3"/>
  <c r="O2633" i="3"/>
  <c r="O2626" i="3"/>
  <c r="O2618" i="3"/>
  <c r="O2610" i="3"/>
  <c r="O2601" i="3"/>
  <c r="O2593" i="3"/>
  <c r="O2585" i="3"/>
  <c r="O2577" i="3"/>
  <c r="O2571" i="3"/>
  <c r="O2564" i="3"/>
  <c r="O2556" i="3"/>
  <c r="O2548" i="3"/>
  <c r="O2540" i="3"/>
  <c r="O2532" i="3"/>
  <c r="O2524" i="3"/>
  <c r="O2516" i="3"/>
  <c r="O2508" i="3"/>
  <c r="O2500" i="3"/>
  <c r="O2486" i="3"/>
  <c r="O2478" i="3"/>
  <c r="O2470" i="3"/>
  <c r="O2462" i="3"/>
  <c r="O2454" i="3"/>
  <c r="O2446" i="3"/>
  <c r="O2436" i="3"/>
  <c r="O2428" i="3"/>
  <c r="O2418" i="3"/>
  <c r="O2410" i="3"/>
  <c r="O2402" i="3"/>
  <c r="O2394" i="3"/>
  <c r="O2385" i="3"/>
  <c r="O2377" i="3"/>
  <c r="O2368" i="3"/>
  <c r="O2360" i="3"/>
  <c r="O2351" i="3"/>
  <c r="O2343" i="3"/>
  <c r="O2335" i="3"/>
  <c r="O2327" i="3"/>
  <c r="O2319" i="3"/>
  <c r="O2309" i="3"/>
  <c r="O2301" i="3"/>
  <c r="O2293" i="3"/>
  <c r="O2285" i="3"/>
  <c r="O2277" i="3"/>
  <c r="O2268" i="3"/>
  <c r="O2260" i="3"/>
  <c r="O2252" i="3"/>
  <c r="O2244" i="3"/>
  <c r="O2236" i="3"/>
  <c r="O2228" i="3"/>
  <c r="O2220" i="3"/>
  <c r="O2211" i="3"/>
  <c r="O2188" i="3"/>
  <c r="O2179" i="3"/>
  <c r="O2171" i="3"/>
  <c r="O2162" i="3"/>
  <c r="O2148" i="3"/>
  <c r="O2136" i="3"/>
  <c r="O2123" i="3"/>
  <c r="O2110" i="3"/>
  <c r="O2096" i="3"/>
  <c r="O2080" i="3"/>
  <c r="O2063" i="3"/>
  <c r="O2047" i="3"/>
  <c r="O2031" i="3"/>
  <c r="O2016" i="3"/>
  <c r="O2001" i="3"/>
  <c r="O1984" i="3"/>
  <c r="O1968" i="3"/>
  <c r="O1953" i="3"/>
  <c r="O1937" i="3"/>
  <c r="O1921" i="3"/>
  <c r="O1905" i="3"/>
  <c r="O1889" i="3"/>
  <c r="O1873" i="3"/>
  <c r="O1857" i="3"/>
  <c r="O1842" i="3"/>
  <c r="O1826" i="3"/>
  <c r="O1810" i="3"/>
  <c r="O1794" i="3"/>
  <c r="O1778" i="3"/>
  <c r="O1762" i="3"/>
  <c r="O1758" i="3"/>
  <c r="O1742" i="3"/>
  <c r="O1726" i="3"/>
  <c r="O1710" i="3"/>
  <c r="O1691" i="3"/>
  <c r="O1653" i="3"/>
  <c r="O1637" i="3"/>
  <c r="O1621" i="3"/>
  <c r="O1605" i="3"/>
  <c r="O1589" i="3"/>
  <c r="O1566" i="3"/>
  <c r="O1550" i="3"/>
  <c r="O1528" i="3"/>
  <c r="O1495" i="3"/>
  <c r="O1435" i="3"/>
  <c r="O198" i="3"/>
  <c r="O174" i="3"/>
  <c r="O162" i="3"/>
  <c r="O139" i="3"/>
  <c r="O100" i="3"/>
  <c r="O84" i="3"/>
  <c r="O68" i="3"/>
  <c r="O52" i="3"/>
  <c r="O31" i="3"/>
  <c r="O15" i="3"/>
  <c r="O238" i="3"/>
  <c r="O1290" i="3"/>
  <c r="O2776" i="3"/>
  <c r="O2767" i="3"/>
  <c r="O2759" i="3"/>
  <c r="O2752" i="3"/>
  <c r="O2744" i="3"/>
  <c r="O2736" i="3"/>
  <c r="O2728" i="3"/>
  <c r="O2720" i="3"/>
  <c r="O2712" i="3"/>
  <c r="O2704" i="3"/>
  <c r="O2696" i="3"/>
  <c r="O2688" i="3"/>
  <c r="O2680" i="3"/>
  <c r="O2672" i="3"/>
  <c r="O2664" i="3"/>
  <c r="O2656" i="3"/>
  <c r="O2648" i="3"/>
  <c r="O2640" i="3"/>
  <c r="O2632" i="3"/>
  <c r="O2625" i="3"/>
  <c r="O2617" i="3"/>
  <c r="O2608" i="3"/>
  <c r="O2600" i="3"/>
  <c r="O2592" i="3"/>
  <c r="O2584" i="3"/>
  <c r="O2576" i="3"/>
  <c r="O2570" i="3"/>
  <c r="O2563" i="3"/>
  <c r="O2555" i="3"/>
  <c r="O2547" i="3"/>
  <c r="O2539" i="3"/>
  <c r="O2531" i="3"/>
  <c r="O2523" i="3"/>
  <c r="O2515" i="3"/>
  <c r="O2507" i="3"/>
  <c r="O2499" i="3"/>
  <c r="O2485" i="3"/>
  <c r="O2477" i="3"/>
  <c r="O2469" i="3"/>
  <c r="O2461" i="3"/>
  <c r="O2453" i="3"/>
  <c r="O2445" i="3"/>
  <c r="O2435" i="3"/>
  <c r="O2427" i="3"/>
  <c r="O2417" i="3"/>
  <c r="O2409" i="3"/>
  <c r="O2401" i="3"/>
  <c r="O2393" i="3"/>
  <c r="O2384" i="3"/>
  <c r="O2376" i="3"/>
  <c r="O2367" i="3"/>
  <c r="O2359" i="3"/>
  <c r="O2350" i="3"/>
  <c r="O2342" i="3"/>
  <c r="O2334" i="3"/>
  <c r="O2326" i="3"/>
  <c r="O2318" i="3"/>
  <c r="O2308" i="3"/>
  <c r="O2300" i="3"/>
  <c r="O2292" i="3"/>
  <c r="O2284" i="3"/>
  <c r="O2276" i="3"/>
  <c r="O2267" i="3"/>
  <c r="O2259" i="3"/>
  <c r="O2251" i="3"/>
  <c r="O2243" i="3"/>
  <c r="O2235" i="3"/>
  <c r="O2227" i="3"/>
  <c r="O2218" i="3"/>
  <c r="O2210" i="3"/>
  <c r="O2187" i="3"/>
  <c r="O2178" i="3"/>
  <c r="O2170" i="3"/>
  <c r="O2160" i="3"/>
  <c r="O2147" i="3"/>
  <c r="O2134" i="3"/>
  <c r="O2122" i="3"/>
  <c r="O2108" i="3"/>
  <c r="O2094" i="3"/>
  <c r="O2078" i="3"/>
  <c r="O2061" i="3"/>
  <c r="O2044" i="3"/>
  <c r="O2029" i="3"/>
  <c r="O2014" i="3"/>
  <c r="O1998" i="3"/>
  <c r="O1982" i="3"/>
  <c r="O1966" i="3"/>
  <c r="O1951" i="3"/>
  <c r="O1935" i="3"/>
  <c r="O1919" i="3"/>
  <c r="O1903" i="3"/>
  <c r="O1887" i="3"/>
  <c r="O1871" i="3"/>
  <c r="O1856" i="3"/>
  <c r="O1840" i="3"/>
  <c r="O1824" i="3"/>
  <c r="O1808" i="3"/>
  <c r="O1792" i="3"/>
  <c r="O1776" i="3"/>
  <c r="O1756" i="3"/>
  <c r="O1740" i="3"/>
  <c r="O1724" i="3"/>
  <c r="O1705" i="3"/>
  <c r="O1689" i="3"/>
  <c r="O1667" i="3"/>
  <c r="O1651" i="3"/>
  <c r="O1635" i="3"/>
  <c r="O1619" i="3"/>
  <c r="O1603" i="3"/>
  <c r="O1587" i="3"/>
  <c r="O1564" i="3"/>
  <c r="O1548" i="3"/>
  <c r="O1524" i="3"/>
  <c r="O1491" i="3"/>
  <c r="D120" i="3"/>
  <c r="O206" i="3"/>
  <c r="O190" i="3"/>
  <c r="O182" i="3"/>
  <c r="O170" i="3"/>
  <c r="O154" i="3"/>
  <c r="O131" i="3"/>
  <c r="O119" i="3"/>
  <c r="O109" i="3"/>
  <c r="O92" i="3"/>
  <c r="O76" i="3"/>
  <c r="O60" i="3"/>
  <c r="O39" i="3"/>
  <c r="O23" i="3"/>
  <c r="O246" i="3"/>
  <c r="O228" i="3"/>
  <c r="O982" i="3"/>
  <c r="O2202" i="3"/>
  <c r="D2201" i="3"/>
  <c r="O218" i="3"/>
  <c r="O214" i="3"/>
  <c r="O205" i="3"/>
  <c r="O197" i="3"/>
  <c r="O189" i="3"/>
  <c r="O181" i="3"/>
  <c r="O169" i="3"/>
  <c r="O161" i="3"/>
  <c r="O149" i="3"/>
  <c r="O146" i="3"/>
  <c r="O138" i="3"/>
  <c r="O130" i="3"/>
  <c r="O126" i="3"/>
  <c r="O118" i="3"/>
  <c r="O107" i="3"/>
  <c r="O99" i="3"/>
  <c r="O91" i="3"/>
  <c r="O83" i="3"/>
  <c r="O75" i="3"/>
  <c r="O67" i="3"/>
  <c r="O59" i="3"/>
  <c r="O51" i="3"/>
  <c r="O38" i="3"/>
  <c r="O30" i="3"/>
  <c r="O22" i="3"/>
  <c r="O14" i="3"/>
  <c r="O245" i="3"/>
  <c r="O237" i="3"/>
  <c r="O227" i="3"/>
  <c r="O1289" i="3"/>
  <c r="O981" i="3"/>
  <c r="O2200" i="3"/>
  <c r="O2775" i="3"/>
  <c r="O2766" i="3"/>
  <c r="O2758" i="3"/>
  <c r="O2751" i="3"/>
  <c r="O2743" i="3"/>
  <c r="O2735" i="3"/>
  <c r="O2727" i="3"/>
  <c r="O2719" i="3"/>
  <c r="O2711" i="3"/>
  <c r="O2703" i="3"/>
  <c r="O2695" i="3"/>
  <c r="O2687" i="3"/>
  <c r="O2679" i="3"/>
  <c r="O2671" i="3"/>
  <c r="O2663" i="3"/>
  <c r="O2655" i="3"/>
  <c r="O2647" i="3"/>
  <c r="O2639" i="3"/>
  <c r="O2631" i="3"/>
  <c r="O2624" i="3"/>
  <c r="O2616" i="3"/>
  <c r="O2607" i="3"/>
  <c r="O2599" i="3"/>
  <c r="O2591" i="3"/>
  <c r="O2583" i="3"/>
  <c r="O2575" i="3"/>
  <c r="O2569" i="3"/>
  <c r="O2562" i="3"/>
  <c r="O2554" i="3"/>
  <c r="O2546" i="3"/>
  <c r="O2538" i="3"/>
  <c r="O2530" i="3"/>
  <c r="O2522" i="3"/>
  <c r="O2514" i="3"/>
  <c r="O2506" i="3"/>
  <c r="O2498" i="3"/>
  <c r="O2492" i="3"/>
  <c r="O2484" i="3"/>
  <c r="O2476" i="3"/>
  <c r="O2468" i="3"/>
  <c r="O2460" i="3"/>
  <c r="O2452" i="3"/>
  <c r="O2444" i="3"/>
  <c r="O2434" i="3"/>
  <c r="O2426" i="3"/>
  <c r="O2416" i="3"/>
  <c r="O2408" i="3"/>
  <c r="O2400" i="3"/>
  <c r="O2392" i="3"/>
  <c r="O2383" i="3"/>
  <c r="O2375" i="3"/>
  <c r="O2366" i="3"/>
  <c r="O2358" i="3"/>
  <c r="O2349" i="3"/>
  <c r="O2341" i="3"/>
  <c r="O2333" i="3"/>
  <c r="O2325" i="3"/>
  <c r="O2317" i="3"/>
  <c r="O2307" i="3"/>
  <c r="O2299" i="3"/>
  <c r="O2291" i="3"/>
  <c r="O2283" i="3"/>
  <c r="O2275" i="3"/>
  <c r="O2266" i="3"/>
  <c r="O2258" i="3"/>
  <c r="O2250" i="3"/>
  <c r="O2242" i="3"/>
  <c r="O2234" i="3"/>
  <c r="O2226" i="3"/>
  <c r="O2217" i="3"/>
  <c r="O2209" i="3"/>
  <c r="O2186" i="3"/>
  <c r="O2177" i="3"/>
  <c r="O2169" i="3"/>
  <c r="O2158" i="3"/>
  <c r="O2146" i="3"/>
  <c r="O2132" i="3"/>
  <c r="O2120" i="3"/>
  <c r="O2107" i="3"/>
  <c r="O2092" i="3"/>
  <c r="O2075" i="3"/>
  <c r="O2059" i="3"/>
  <c r="O2042" i="3"/>
  <c r="O2027" i="3"/>
  <c r="O2012" i="3"/>
  <c r="O1996" i="3"/>
  <c r="O1980" i="3"/>
  <c r="O1964" i="3"/>
  <c r="O1949" i="3"/>
  <c r="O1933" i="3"/>
  <c r="O1917" i="3"/>
  <c r="O1901" i="3"/>
  <c r="O1885" i="3"/>
  <c r="O1869" i="3"/>
  <c r="O1854" i="3"/>
  <c r="O1838" i="3"/>
  <c r="O1822" i="3"/>
  <c r="O1806" i="3"/>
  <c r="O1790" i="3"/>
  <c r="O1774" i="3"/>
  <c r="O1754" i="3"/>
  <c r="O1738" i="3"/>
  <c r="O1722" i="3"/>
  <c r="O1703" i="3"/>
  <c r="O1686" i="3"/>
  <c r="O1665" i="3"/>
  <c r="O1649" i="3"/>
  <c r="O1633" i="3"/>
  <c r="O1617" i="3"/>
  <c r="O1601" i="3"/>
  <c r="O1585" i="3"/>
  <c r="O1562" i="3"/>
  <c r="O1546" i="3"/>
  <c r="O1520" i="3"/>
  <c r="O1483" i="3"/>
  <c r="O219" i="3"/>
  <c r="O225" i="3"/>
  <c r="O204" i="3"/>
  <c r="O196" i="3"/>
  <c r="O180" i="3"/>
  <c r="O168" i="3"/>
  <c r="O148" i="3"/>
  <c r="O145" i="3"/>
  <c r="O129" i="3"/>
  <c r="O117" i="3"/>
  <c r="O106" i="3"/>
  <c r="O90" i="3"/>
  <c r="O74" i="3"/>
  <c r="O58" i="3"/>
  <c r="O37" i="3"/>
  <c r="O21" i="3"/>
  <c r="O226" i="3"/>
  <c r="O980" i="3"/>
  <c r="O2199" i="3"/>
  <c r="O2774" i="3"/>
  <c r="O2765" i="3"/>
  <c r="O2757" i="3"/>
  <c r="O2750" i="3"/>
  <c r="O2742" i="3"/>
  <c r="O2734" i="3"/>
  <c r="O2726" i="3"/>
  <c r="O2718" i="3"/>
  <c r="O2710" i="3"/>
  <c r="O2702" i="3"/>
  <c r="O2694" i="3"/>
  <c r="O2686" i="3"/>
  <c r="O2678" i="3"/>
  <c r="O2670" i="3"/>
  <c r="O2662" i="3"/>
  <c r="O2654" i="3"/>
  <c r="O2646" i="3"/>
  <c r="O2638" i="3"/>
  <c r="O2630" i="3"/>
  <c r="O2623" i="3"/>
  <c r="O2615" i="3"/>
  <c r="O2606" i="3"/>
  <c r="O2598" i="3"/>
  <c r="O2590" i="3"/>
  <c r="O2582" i="3"/>
  <c r="O2568" i="3"/>
  <c r="O2561" i="3"/>
  <c r="O2553" i="3"/>
  <c r="O2545" i="3"/>
  <c r="O2537" i="3"/>
  <c r="O2529" i="3"/>
  <c r="O2521" i="3"/>
  <c r="O2513" i="3"/>
  <c r="O2505" i="3"/>
  <c r="O2497" i="3"/>
  <c r="O2491" i="3"/>
  <c r="O2483" i="3"/>
  <c r="O2475" i="3"/>
  <c r="O2467" i="3"/>
  <c r="O2459" i="3"/>
  <c r="O2451" i="3"/>
  <c r="O2443" i="3"/>
  <c r="O2433" i="3"/>
  <c r="O2425" i="3"/>
  <c r="O2415" i="3"/>
  <c r="O2407" i="3"/>
  <c r="O2399" i="3"/>
  <c r="O2391" i="3"/>
  <c r="O2382" i="3"/>
  <c r="O2374" i="3"/>
  <c r="O2365" i="3"/>
  <c r="O2357" i="3"/>
  <c r="O2348" i="3"/>
  <c r="O2340" i="3"/>
  <c r="O2332" i="3"/>
  <c r="O2324" i="3"/>
  <c r="O2315" i="3"/>
  <c r="O2306" i="3"/>
  <c r="O2298" i="3"/>
  <c r="O2290" i="3"/>
  <c r="O2282" i="3"/>
  <c r="O2274" i="3"/>
  <c r="O2265" i="3"/>
  <c r="O2257" i="3"/>
  <c r="O2249" i="3"/>
  <c r="O2241" i="3"/>
  <c r="O2233" i="3"/>
  <c r="O2225" i="3"/>
  <c r="O2216" i="3"/>
  <c r="O2194" i="3"/>
  <c r="O2185" i="3"/>
  <c r="O2176" i="3"/>
  <c r="O2168" i="3"/>
  <c r="O2156" i="3"/>
  <c r="O2144" i="3"/>
  <c r="O2131" i="3"/>
  <c r="O2118" i="3"/>
  <c r="O2106" i="3"/>
  <c r="O2090" i="3"/>
  <c r="O2073" i="3"/>
  <c r="O2057" i="3"/>
  <c r="O2040" i="3"/>
  <c r="O2025" i="3"/>
  <c r="O2010" i="3"/>
  <c r="O1994" i="3"/>
  <c r="O1978" i="3"/>
  <c r="O1962" i="3"/>
  <c r="O1947" i="3"/>
  <c r="O1931" i="3"/>
  <c r="O1915" i="3"/>
  <c r="O1899" i="3"/>
  <c r="O1883" i="3"/>
  <c r="O1867" i="3"/>
  <c r="O1852" i="3"/>
  <c r="O1836" i="3"/>
  <c r="O1820" i="3"/>
  <c r="O1804" i="3"/>
  <c r="O1788" i="3"/>
  <c r="O1772" i="3"/>
  <c r="O1752" i="3"/>
  <c r="O1736" i="3"/>
  <c r="O1720" i="3"/>
  <c r="O1701" i="3"/>
  <c r="O1684" i="3"/>
  <c r="O1663" i="3"/>
  <c r="O1647" i="3"/>
  <c r="O1631" i="3"/>
  <c r="O1615" i="3"/>
  <c r="O1599" i="3"/>
  <c r="O1583" i="3"/>
  <c r="O1560" i="3"/>
  <c r="O1544" i="3"/>
  <c r="O1516" i="3"/>
  <c r="O1475" i="3"/>
  <c r="D124" i="3"/>
  <c r="O217" i="3"/>
  <c r="O213" i="3"/>
  <c r="O188" i="3"/>
  <c r="O160" i="3"/>
  <c r="O137" i="3"/>
  <c r="O125" i="3"/>
  <c r="O98" i="3"/>
  <c r="O82" i="3"/>
  <c r="O66" i="3"/>
  <c r="O45" i="3"/>
  <c r="O29" i="3"/>
  <c r="O13" i="3"/>
  <c r="O244" i="3"/>
  <c r="O236" i="3"/>
  <c r="O1288" i="3"/>
  <c r="O2208" i="3"/>
  <c r="D221" i="3"/>
  <c r="D119" i="3"/>
  <c r="O224" i="3"/>
  <c r="O216" i="3"/>
  <c r="O212" i="3"/>
  <c r="O203" i="3"/>
  <c r="O195" i="3"/>
  <c r="O187" i="3"/>
  <c r="O179" i="3"/>
  <c r="O167" i="3"/>
  <c r="O159" i="3"/>
  <c r="O147" i="3"/>
  <c r="O144" i="3"/>
  <c r="O136" i="3"/>
  <c r="O128" i="3"/>
  <c r="O124" i="3"/>
  <c r="O116" i="3"/>
  <c r="O105" i="3"/>
  <c r="O97" i="3"/>
  <c r="O89" i="3"/>
  <c r="O81" i="3"/>
  <c r="O73" i="3"/>
  <c r="O65" i="3"/>
  <c r="O57" i="3"/>
  <c r="O44" i="3"/>
  <c r="O36" i="3"/>
  <c r="O28" i="3"/>
  <c r="O20" i="3"/>
  <c r="O12" i="3"/>
  <c r="O243" i="3"/>
  <c r="O233" i="3"/>
  <c r="O1295" i="3"/>
  <c r="O1287" i="3"/>
  <c r="O979" i="3"/>
  <c r="O2207" i="3"/>
  <c r="O2198" i="3"/>
  <c r="O2781" i="3"/>
  <c r="O2773" i="3"/>
  <c r="O2764" i="3"/>
  <c r="O2756" i="3"/>
  <c r="O2749" i="3"/>
  <c r="O2741" i="3"/>
  <c r="O2733" i="3"/>
  <c r="O2725" i="3"/>
  <c r="O2717" i="3"/>
  <c r="O2709" i="3"/>
  <c r="O2701" i="3"/>
  <c r="O2693" i="3"/>
  <c r="O2685" i="3"/>
  <c r="O2677" i="3"/>
  <c r="O2669" i="3"/>
  <c r="O2661" i="3"/>
  <c r="O2653" i="3"/>
  <c r="O2645" i="3"/>
  <c r="O2637" i="3"/>
  <c r="O2629" i="3"/>
  <c r="O2622" i="3"/>
  <c r="O2614" i="3"/>
  <c r="O2605" i="3"/>
  <c r="O2597" i="3"/>
  <c r="O2589" i="3"/>
  <c r="O2581" i="3"/>
  <c r="O2567" i="3"/>
  <c r="O2560" i="3"/>
  <c r="O2552" i="3"/>
  <c r="O2544" i="3"/>
  <c r="O2536" i="3"/>
  <c r="O2528" i="3"/>
  <c r="O2520" i="3"/>
  <c r="O2512" i="3"/>
  <c r="O2504" i="3"/>
  <c r="O2496" i="3"/>
  <c r="O2490" i="3"/>
  <c r="O2482" i="3"/>
  <c r="O2474" i="3"/>
  <c r="O2466" i="3"/>
  <c r="O2458" i="3"/>
  <c r="O2450" i="3"/>
  <c r="O2442" i="3"/>
  <c r="O2432" i="3"/>
  <c r="O2424" i="3"/>
  <c r="O2414" i="3"/>
  <c r="O2406" i="3"/>
  <c r="O2398" i="3"/>
  <c r="O2390" i="3"/>
  <c r="O2389" i="3"/>
  <c r="O2381" i="3"/>
  <c r="O2372" i="3"/>
  <c r="O2364" i="3"/>
  <c r="O2356" i="3"/>
  <c r="O2347" i="3"/>
  <c r="O2339" i="3"/>
  <c r="O2331" i="3"/>
  <c r="O2323" i="3"/>
  <c r="O2314" i="3"/>
  <c r="O2305" i="3"/>
  <c r="O2297" i="3"/>
  <c r="O2289" i="3"/>
  <c r="O2281" i="3"/>
  <c r="O2272" i="3"/>
  <c r="O2264" i="3"/>
  <c r="O2256" i="3"/>
  <c r="O2248" i="3"/>
  <c r="O2240" i="3"/>
  <c r="O2232" i="3"/>
  <c r="O2224" i="3"/>
  <c r="O2215" i="3"/>
  <c r="O2193" i="3"/>
  <c r="O2184" i="3"/>
  <c r="O2175" i="3"/>
  <c r="O2166" i="3"/>
  <c r="O2155" i="3"/>
  <c r="O2142" i="3"/>
  <c r="O2130" i="3"/>
  <c r="O2116" i="3"/>
  <c r="O2104" i="3"/>
  <c r="O2088" i="3"/>
  <c r="O2071" i="3"/>
  <c r="O2055" i="3"/>
  <c r="O2038" i="3"/>
  <c r="O2008" i="3"/>
  <c r="O1992" i="3"/>
  <c r="O1976" i="3"/>
  <c r="O1960" i="3"/>
  <c r="O1945" i="3"/>
  <c r="O1929" i="3"/>
  <c r="O1913" i="3"/>
  <c r="O1897" i="3"/>
  <c r="O1881" i="3"/>
  <c r="O1865" i="3"/>
  <c r="O1850" i="3"/>
  <c r="O1834" i="3"/>
  <c r="O1818" i="3"/>
  <c r="O1802" i="3"/>
  <c r="O1786" i="3"/>
  <c r="O1770" i="3"/>
  <c r="O1750" i="3"/>
  <c r="O1734" i="3"/>
  <c r="O1718" i="3"/>
  <c r="O1699" i="3"/>
  <c r="O1682" i="3"/>
  <c r="O1672" i="3"/>
  <c r="O1661" i="3"/>
  <c r="O1645" i="3"/>
  <c r="O1629" i="3"/>
  <c r="O1613" i="3"/>
  <c r="O1597" i="3"/>
  <c r="O1581" i="3"/>
  <c r="O1558" i="3"/>
  <c r="O1542" i="3"/>
  <c r="O1512" i="3"/>
  <c r="O1467" i="3"/>
  <c r="D118" i="3"/>
  <c r="O202" i="3"/>
  <c r="O186" i="3"/>
  <c r="O143" i="3"/>
  <c r="O127" i="3"/>
  <c r="O115" i="3"/>
  <c r="O104" i="3"/>
  <c r="O88" i="3"/>
  <c r="O72" i="3"/>
  <c r="O56" i="3"/>
  <c r="O35" i="3"/>
  <c r="O19" i="3"/>
  <c r="O232" i="3"/>
  <c r="O2206" i="3"/>
  <c r="O2780" i="3"/>
  <c r="O2772" i="3"/>
  <c r="O2769" i="3"/>
  <c r="O2763" i="3"/>
  <c r="O2755" i="3"/>
  <c r="O2748" i="3"/>
  <c r="O2740" i="3"/>
  <c r="O2732" i="3"/>
  <c r="O2724" i="3"/>
  <c r="O2716" i="3"/>
  <c r="O2708" i="3"/>
  <c r="O2700" i="3"/>
  <c r="O2692" i="3"/>
  <c r="O2684" i="3"/>
  <c r="O2676" i="3"/>
  <c r="O2668" i="3"/>
  <c r="O2660" i="3"/>
  <c r="O2652" i="3"/>
  <c r="O2644" i="3"/>
  <c r="O2636" i="3"/>
  <c r="O2628" i="3"/>
  <c r="O2621" i="3"/>
  <c r="O2613" i="3"/>
  <c r="O2604" i="3"/>
  <c r="O2596" i="3"/>
  <c r="O2588" i="3"/>
  <c r="O2580" i="3"/>
  <c r="O2574" i="3"/>
  <c r="O2566" i="3"/>
  <c r="O2559" i="3"/>
  <c r="O2551" i="3"/>
  <c r="O2543" i="3"/>
  <c r="O2535" i="3"/>
  <c r="O2527" i="3"/>
  <c r="O2519" i="3"/>
  <c r="O2511" i="3"/>
  <c r="O2503" i="3"/>
  <c r="O2495" i="3"/>
  <c r="O2489" i="3"/>
  <c r="O2481" i="3"/>
  <c r="O2473" i="3"/>
  <c r="O2465" i="3"/>
  <c r="O2457" i="3"/>
  <c r="O2449" i="3"/>
  <c r="O2439" i="3"/>
  <c r="O2431" i="3"/>
  <c r="O2423" i="3"/>
  <c r="O2421" i="3"/>
  <c r="O2413" i="3"/>
  <c r="O2405" i="3"/>
  <c r="O2397" i="3"/>
  <c r="O2388" i="3"/>
  <c r="O2380" i="3"/>
  <c r="O2371" i="3"/>
  <c r="O2363" i="3"/>
  <c r="O2355" i="3"/>
  <c r="O2346" i="3"/>
  <c r="O2338" i="3"/>
  <c r="O2330" i="3"/>
  <c r="O2322" i="3"/>
  <c r="O2313" i="3"/>
  <c r="O2304" i="3"/>
  <c r="O2296" i="3"/>
  <c r="O2288" i="3"/>
  <c r="O2280" i="3"/>
  <c r="O2271" i="3"/>
  <c r="O2263" i="3"/>
  <c r="O2255" i="3"/>
  <c r="O2247" i="3"/>
  <c r="O2239" i="3"/>
  <c r="O2231" i="3"/>
  <c r="O2223" i="3"/>
  <c r="O2192" i="3"/>
  <c r="O2183" i="3"/>
  <c r="O2165" i="3"/>
  <c r="O2154" i="3"/>
  <c r="O2140" i="3"/>
  <c r="O2128" i="3"/>
  <c r="O2115" i="3"/>
  <c r="O2102" i="3"/>
  <c r="O2086" i="3"/>
  <c r="O2069" i="3"/>
  <c r="O2053" i="3"/>
  <c r="O2037" i="3"/>
  <c r="O2022" i="3"/>
  <c r="O2006" i="3"/>
  <c r="O1990" i="3"/>
  <c r="O1974" i="3"/>
  <c r="O1958" i="3"/>
  <c r="O1943" i="3"/>
  <c r="O1927" i="3"/>
  <c r="O1911" i="3"/>
  <c r="O1895" i="3"/>
  <c r="O1879" i="3"/>
  <c r="O1863" i="3"/>
  <c r="O1848" i="3"/>
  <c r="O1832" i="3"/>
  <c r="O1816" i="3"/>
  <c r="O1800" i="3"/>
  <c r="O1784" i="3"/>
  <c r="O1768" i="3"/>
  <c r="O1748" i="3"/>
  <c r="O1732" i="3"/>
  <c r="O1716" i="3"/>
  <c r="O1697" i="3"/>
  <c r="O1679" i="3"/>
  <c r="O1669" i="3"/>
  <c r="O1659" i="3"/>
  <c r="O1643" i="3"/>
  <c r="O1627" i="3"/>
  <c r="O1611" i="3"/>
  <c r="O1595" i="3"/>
  <c r="O1579" i="3"/>
  <c r="O1556" i="3"/>
  <c r="O1540" i="3"/>
  <c r="O1507" i="3"/>
  <c r="O1459" i="3"/>
  <c r="O2161" i="3"/>
  <c r="O2153" i="3"/>
  <c r="O2145" i="3"/>
  <c r="O2137" i="3"/>
  <c r="O2129" i="3"/>
  <c r="O2121" i="3"/>
  <c r="O2113" i="3"/>
  <c r="O2105" i="3"/>
  <c r="O2097" i="3"/>
  <c r="O2089" i="3"/>
  <c r="O2081" i="3"/>
  <c r="O2072" i="3"/>
  <c r="O2064" i="3"/>
  <c r="O2056" i="3"/>
  <c r="O2048" i="3"/>
  <c r="O2039" i="3"/>
  <c r="O2032" i="3"/>
  <c r="O2024" i="3"/>
  <c r="O2017" i="3"/>
  <c r="O2009" i="3"/>
  <c r="O1993" i="3"/>
  <c r="O1985" i="3"/>
  <c r="O1977" i="3"/>
  <c r="O1969" i="3"/>
  <c r="O1961" i="3"/>
  <c r="O1954" i="3"/>
  <c r="O1946" i="3"/>
  <c r="O1938" i="3"/>
  <c r="O1930" i="3"/>
  <c r="O1922" i="3"/>
  <c r="O1914" i="3"/>
  <c r="O1906" i="3"/>
  <c r="O1898" i="3"/>
  <c r="O1890" i="3"/>
  <c r="O1882" i="3"/>
  <c r="O1874" i="3"/>
  <c r="O1866" i="3"/>
  <c r="O1858" i="3"/>
  <c r="O1851" i="3"/>
  <c r="O1843" i="3"/>
  <c r="O1835" i="3"/>
  <c r="O1827" i="3"/>
  <c r="O1819" i="3"/>
  <c r="O1811" i="3"/>
  <c r="O1803" i="3"/>
  <c r="O1795" i="3"/>
  <c r="O1787" i="3"/>
  <c r="O1779" i="3"/>
  <c r="O1771" i="3"/>
  <c r="O1763" i="3"/>
  <c r="O1759" i="3"/>
  <c r="O1751" i="3"/>
  <c r="O1743" i="3"/>
  <c r="O1735" i="3"/>
  <c r="O1727" i="3"/>
  <c r="O1719" i="3"/>
  <c r="O1711" i="3"/>
  <c r="O1700" i="3"/>
  <c r="O1692" i="3"/>
  <c r="O1683" i="3"/>
  <c r="O1675" i="3"/>
  <c r="O1662" i="3"/>
  <c r="O1654" i="3"/>
  <c r="O1646" i="3"/>
  <c r="O1638" i="3"/>
  <c r="O1630" i="3"/>
  <c r="O1622" i="3"/>
  <c r="O1614" i="3"/>
  <c r="O1606" i="3"/>
  <c r="O1598" i="3"/>
  <c r="O1590" i="3"/>
  <c r="O1582" i="3"/>
  <c r="O1567" i="3"/>
  <c r="O1559" i="3"/>
  <c r="O1551" i="3"/>
  <c r="O1543" i="3"/>
  <c r="O1535" i="3"/>
  <c r="O1527" i="3"/>
  <c r="O1519" i="3"/>
  <c r="O1511" i="3"/>
  <c r="O1502" i="3"/>
  <c r="O1494" i="3"/>
  <c r="O1486" i="3"/>
  <c r="O1478" i="3"/>
  <c r="O1470" i="3"/>
  <c r="O1462" i="3"/>
  <c r="O1454" i="3"/>
  <c r="O1446" i="3"/>
  <c r="O1438" i="3"/>
  <c r="O1430" i="3"/>
  <c r="O1422" i="3"/>
  <c r="O1414" i="3"/>
  <c r="O1406" i="3"/>
  <c r="O1398" i="3"/>
  <c r="O1390" i="3"/>
  <c r="O1382" i="3"/>
  <c r="O1374" i="3"/>
  <c r="O1366" i="3"/>
  <c r="O1358" i="3"/>
  <c r="O1350" i="3"/>
  <c r="O1342" i="3"/>
  <c r="O1334" i="3"/>
  <c r="O1326" i="3"/>
  <c r="O1318" i="3"/>
  <c r="O1310" i="3"/>
  <c r="O1302" i="3"/>
  <c r="O1285" i="3"/>
  <c r="O1277" i="3"/>
  <c r="O1269" i="3"/>
  <c r="O1261" i="3"/>
  <c r="O1253" i="3"/>
  <c r="O1246" i="3"/>
  <c r="O1238" i="3"/>
  <c r="O1230" i="3"/>
  <c r="O1222" i="3"/>
  <c r="O1214" i="3"/>
  <c r="O1206" i="3"/>
  <c r="O1198" i="3"/>
  <c r="O1190" i="3"/>
  <c r="O1185" i="3"/>
  <c r="O1177" i="3"/>
  <c r="O1169" i="3"/>
  <c r="O1161" i="3"/>
  <c r="O1153" i="3"/>
  <c r="O1145" i="3"/>
  <c r="O1137" i="3"/>
  <c r="O1130" i="3"/>
  <c r="O1122" i="3"/>
  <c r="O1109" i="3"/>
  <c r="O1101" i="3"/>
  <c r="O1093" i="3"/>
  <c r="O1085" i="3"/>
  <c r="O1077" i="3"/>
  <c r="O1069" i="3"/>
  <c r="O1061" i="3"/>
  <c r="O1053" i="3"/>
  <c r="O1045" i="3"/>
  <c r="O1037" i="3"/>
  <c r="O1028" i="3"/>
  <c r="O1020" i="3"/>
  <c r="O1012" i="3"/>
  <c r="O1004" i="3"/>
  <c r="O996" i="3"/>
  <c r="O988" i="3"/>
  <c r="O978" i="3"/>
  <c r="O971" i="3"/>
  <c r="O963" i="3"/>
  <c r="O954" i="3"/>
  <c r="O946" i="3"/>
  <c r="O938" i="3"/>
  <c r="O931" i="3"/>
  <c r="O929" i="3"/>
  <c r="O914" i="3"/>
  <c r="O906" i="3"/>
  <c r="O897" i="3"/>
  <c r="O889" i="3"/>
  <c r="O881" i="3"/>
  <c r="O872" i="3"/>
  <c r="O863" i="3"/>
  <c r="O862" i="3"/>
  <c r="O853" i="3"/>
  <c r="O845" i="3"/>
  <c r="O837" i="3"/>
  <c r="O829" i="3"/>
  <c r="O821" i="3"/>
  <c r="O813" i="3"/>
  <c r="O805" i="3"/>
  <c r="O797" i="3"/>
  <c r="O789" i="3"/>
  <c r="O781" i="3"/>
  <c r="O773" i="3"/>
  <c r="O764" i="3"/>
  <c r="O754" i="3"/>
  <c r="O741" i="3"/>
  <c r="O733" i="3"/>
  <c r="O725" i="3"/>
  <c r="O717" i="3"/>
  <c r="O709" i="3"/>
  <c r="O701" i="3"/>
  <c r="O693" i="3"/>
  <c r="O685" i="3"/>
  <c r="O678" i="3"/>
  <c r="O671" i="3"/>
  <c r="O663" i="3"/>
  <c r="O655" i="3"/>
  <c r="O647" i="3"/>
  <c r="O639" i="3"/>
  <c r="O630" i="3"/>
  <c r="O620" i="3"/>
  <c r="O607" i="3"/>
  <c r="O598" i="3"/>
  <c r="O590" i="3"/>
  <c r="O581" i="3"/>
  <c r="O573" i="3"/>
  <c r="O565" i="3"/>
  <c r="O557" i="3"/>
  <c r="O549" i="3"/>
  <c r="O541" i="3"/>
  <c r="O532" i="3"/>
  <c r="O524" i="3"/>
  <c r="O516" i="3"/>
  <c r="O508" i="3"/>
  <c r="O500" i="3"/>
  <c r="O492" i="3"/>
  <c r="O484" i="3"/>
  <c r="O476" i="3"/>
  <c r="O468" i="3"/>
  <c r="O459" i="3"/>
  <c r="O449" i="3"/>
  <c r="O437" i="3"/>
  <c r="O429" i="3"/>
  <c r="O421" i="3"/>
  <c r="O413" i="3"/>
  <c r="O406" i="3"/>
  <c r="O394" i="3"/>
  <c r="O386" i="3"/>
  <c r="O378" i="3"/>
  <c r="O370" i="3"/>
  <c r="O362" i="3"/>
  <c r="O354" i="3"/>
  <c r="O346" i="3"/>
  <c r="O338" i="3"/>
  <c r="O330" i="3"/>
  <c r="O322" i="3"/>
  <c r="O314" i="3"/>
  <c r="O306" i="3"/>
  <c r="O298" i="3"/>
  <c r="O290" i="3"/>
  <c r="O283" i="3"/>
  <c r="O273" i="3"/>
  <c r="O265" i="3"/>
  <c r="O258" i="3"/>
  <c r="O250" i="3"/>
  <c r="O1534" i="3"/>
  <c r="O1526" i="3"/>
  <c r="O1518" i="3"/>
  <c r="O1509" i="3"/>
  <c r="O1501" i="3"/>
  <c r="O1493" i="3"/>
  <c r="O1485" i="3"/>
  <c r="O1477" i="3"/>
  <c r="O1469" i="3"/>
  <c r="O1461" i="3"/>
  <c r="O1453" i="3"/>
  <c r="O1445" i="3"/>
  <c r="O1437" i="3"/>
  <c r="O1429" i="3"/>
  <c r="O1421" i="3"/>
  <c r="O1413" i="3"/>
  <c r="O1405" i="3"/>
  <c r="O1397" i="3"/>
  <c r="O1389" i="3"/>
  <c r="O1381" i="3"/>
  <c r="O1373" i="3"/>
  <c r="O1365" i="3"/>
  <c r="O1357" i="3"/>
  <c r="O1349" i="3"/>
  <c r="O1341" i="3"/>
  <c r="O1333" i="3"/>
  <c r="O1325" i="3"/>
  <c r="O1317" i="3"/>
  <c r="O1309" i="3"/>
  <c r="O1301" i="3"/>
  <c r="O1284" i="3"/>
  <c r="O1276" i="3"/>
  <c r="O1268" i="3"/>
  <c r="O1260" i="3"/>
  <c r="O1252" i="3"/>
  <c r="O1245" i="3"/>
  <c r="O1237" i="3"/>
  <c r="O1229" i="3"/>
  <c r="O1221" i="3"/>
  <c r="O1213" i="3"/>
  <c r="O1205" i="3"/>
  <c r="O1197" i="3"/>
  <c r="O1189" i="3"/>
  <c r="O1184" i="3"/>
  <c r="O1176" i="3"/>
  <c r="O1168" i="3"/>
  <c r="O1160" i="3"/>
  <c r="O1152" i="3"/>
  <c r="O1144" i="3"/>
  <c r="O1136" i="3"/>
  <c r="O1129" i="3"/>
  <c r="O1121" i="3"/>
  <c r="O1116" i="3"/>
  <c r="O1108" i="3"/>
  <c r="O1100" i="3"/>
  <c r="O1092" i="3"/>
  <c r="O1084" i="3"/>
  <c r="O1076" i="3"/>
  <c r="O1068" i="3"/>
  <c r="O1060" i="3"/>
  <c r="O1052" i="3"/>
  <c r="O1044" i="3"/>
  <c r="O1036" i="3"/>
  <c r="O1027" i="3"/>
  <c r="O1019" i="3"/>
  <c r="O1011" i="3"/>
  <c r="O1003" i="3"/>
  <c r="O995" i="3"/>
  <c r="O987" i="3"/>
  <c r="O970" i="3"/>
  <c r="O961" i="3"/>
  <c r="O953" i="3"/>
  <c r="O945" i="3"/>
  <c r="O937" i="3"/>
  <c r="O928" i="3"/>
  <c r="O926" i="3"/>
  <c r="O913" i="3"/>
  <c r="O905" i="3"/>
  <c r="O896" i="3"/>
  <c r="O888" i="3"/>
  <c r="O880" i="3"/>
  <c r="O871" i="3"/>
  <c r="O852" i="3"/>
  <c r="O844" i="3"/>
  <c r="O836" i="3"/>
  <c r="O828" i="3"/>
  <c r="O820" i="3"/>
  <c r="O812" i="3"/>
  <c r="O804" i="3"/>
  <c r="O796" i="3"/>
  <c r="O788" i="3"/>
  <c r="O780" i="3"/>
  <c r="O772" i="3"/>
  <c r="O763" i="3"/>
  <c r="O753" i="3"/>
  <c r="O740" i="3"/>
  <c r="O732" i="3"/>
  <c r="O724" i="3"/>
  <c r="O716" i="3"/>
  <c r="O708" i="3"/>
  <c r="O700" i="3"/>
  <c r="O692" i="3"/>
  <c r="O677" i="3"/>
  <c r="O670" i="3"/>
  <c r="O662" i="3"/>
  <c r="O654" i="3"/>
  <c r="O646" i="3"/>
  <c r="O638" i="3"/>
  <c r="O629" i="3"/>
  <c r="O619" i="3"/>
  <c r="O606" i="3"/>
  <c r="O597" i="3"/>
  <c r="O589" i="3"/>
  <c r="O580" i="3"/>
  <c r="O572" i="3"/>
  <c r="O564" i="3"/>
  <c r="O556" i="3"/>
  <c r="O548" i="3"/>
  <c r="O540" i="3"/>
  <c r="O531" i="3"/>
  <c r="O523" i="3"/>
  <c r="O515" i="3"/>
  <c r="O507" i="3"/>
  <c r="O499" i="3"/>
  <c r="O491" i="3"/>
  <c r="O483" i="3"/>
  <c r="O475" i="3"/>
  <c r="O467" i="3"/>
  <c r="O458" i="3"/>
  <c r="O448" i="3"/>
  <c r="O436" i="3"/>
  <c r="O428" i="3"/>
  <c r="O420" i="3"/>
  <c r="O412" i="3"/>
  <c r="O405" i="3"/>
  <c r="O393" i="3"/>
  <c r="O385" i="3"/>
  <c r="O377" i="3"/>
  <c r="O369" i="3"/>
  <c r="O361" i="3"/>
  <c r="O353" i="3"/>
  <c r="O345" i="3"/>
  <c r="O337" i="3"/>
  <c r="O329" i="3"/>
  <c r="O321" i="3"/>
  <c r="O313" i="3"/>
  <c r="O305" i="3"/>
  <c r="O297" i="3"/>
  <c r="O289" i="3"/>
  <c r="O282" i="3"/>
  <c r="O272" i="3"/>
  <c r="O264" i="3"/>
  <c r="O257" i="3"/>
  <c r="O2219" i="3"/>
  <c r="O2212" i="3"/>
  <c r="O2190" i="3"/>
  <c r="O2182" i="3"/>
  <c r="O2174" i="3"/>
  <c r="O2167" i="3"/>
  <c r="O2159" i="3"/>
  <c r="O2151" i="3"/>
  <c r="O2143" i="3"/>
  <c r="O2135" i="3"/>
  <c r="O2127" i="3"/>
  <c r="O2119" i="3"/>
  <c r="O2111" i="3"/>
  <c r="O2103" i="3"/>
  <c r="O2095" i="3"/>
  <c r="O2087" i="3"/>
  <c r="O2079" i="3"/>
  <c r="O2070" i="3"/>
  <c r="O2062" i="3"/>
  <c r="O2054" i="3"/>
  <c r="O2045" i="3"/>
  <c r="O2030" i="3"/>
  <c r="O2023" i="3"/>
  <c r="O2015" i="3"/>
  <c r="O2007" i="3"/>
  <c r="O2000" i="3"/>
  <c r="O1991" i="3"/>
  <c r="O1983" i="3"/>
  <c r="O1975" i="3"/>
  <c r="O1967" i="3"/>
  <c r="O1959" i="3"/>
  <c r="O1952" i="3"/>
  <c r="O1944" i="3"/>
  <c r="O1936" i="3"/>
  <c r="O1928" i="3"/>
  <c r="O1920" i="3"/>
  <c r="O1912" i="3"/>
  <c r="O1904" i="3"/>
  <c r="O1896" i="3"/>
  <c r="O1888" i="3"/>
  <c r="O1880" i="3"/>
  <c r="O1872" i="3"/>
  <c r="O1864" i="3"/>
  <c r="O1849" i="3"/>
  <c r="O1841" i="3"/>
  <c r="O1833" i="3"/>
  <c r="O1825" i="3"/>
  <c r="O1817" i="3"/>
  <c r="O1809" i="3"/>
  <c r="O1801" i="3"/>
  <c r="O1793" i="3"/>
  <c r="O1785" i="3"/>
  <c r="O1777" i="3"/>
  <c r="O1769" i="3"/>
  <c r="O1757" i="3"/>
  <c r="O1749" i="3"/>
  <c r="O1741" i="3"/>
  <c r="O1733" i="3"/>
  <c r="O1725" i="3"/>
  <c r="O1717" i="3"/>
  <c r="O1708" i="3"/>
  <c r="O1698" i="3"/>
  <c r="O1690" i="3"/>
  <c r="O1680" i="3"/>
  <c r="O1671" i="3"/>
  <c r="O1668" i="3"/>
  <c r="O1660" i="3"/>
  <c r="O1652" i="3"/>
  <c r="O1644" i="3"/>
  <c r="O1636" i="3"/>
  <c r="O1628" i="3"/>
  <c r="O1620" i="3"/>
  <c r="O1612" i="3"/>
  <c r="O1604" i="3"/>
  <c r="O1596" i="3"/>
  <c r="O1588" i="3"/>
  <c r="O1580" i="3"/>
  <c r="O1565" i="3"/>
  <c r="O1557" i="3"/>
  <c r="O1549" i="3"/>
  <c r="O1541" i="3"/>
  <c r="O1533" i="3"/>
  <c r="O1525" i="3"/>
  <c r="O1517" i="3"/>
  <c r="O1508" i="3"/>
  <c r="O1500" i="3"/>
  <c r="O1492" i="3"/>
  <c r="O1484" i="3"/>
  <c r="O1476" i="3"/>
  <c r="O1468" i="3"/>
  <c r="O1460" i="3"/>
  <c r="O1452" i="3"/>
  <c r="O1444" i="3"/>
  <c r="O1436" i="3"/>
  <c r="O1428" i="3"/>
  <c r="O1420" i="3"/>
  <c r="O1412" i="3"/>
  <c r="O1404" i="3"/>
  <c r="O1396" i="3"/>
  <c r="O1388" i="3"/>
  <c r="O1380" i="3"/>
  <c r="O1372" i="3"/>
  <c r="O1364" i="3"/>
  <c r="O1356" i="3"/>
  <c r="O1348" i="3"/>
  <c r="O1340" i="3"/>
  <c r="O1332" i="3"/>
  <c r="O1324" i="3"/>
  <c r="O1316" i="3"/>
  <c r="O1308" i="3"/>
  <c r="O1300" i="3"/>
  <c r="O1283" i="3"/>
  <c r="O1275" i="3"/>
  <c r="O1267" i="3"/>
  <c r="O1259" i="3"/>
  <c r="O1251" i="3"/>
  <c r="O1244" i="3"/>
  <c r="O1236" i="3"/>
  <c r="O1228" i="3"/>
  <c r="O1220" i="3"/>
  <c r="O1212" i="3"/>
  <c r="O1204" i="3"/>
  <c r="O1196" i="3"/>
  <c r="O1183" i="3"/>
  <c r="O1175" i="3"/>
  <c r="O1167" i="3"/>
  <c r="O1159" i="3"/>
  <c r="O1151" i="3"/>
  <c r="O1143" i="3"/>
  <c r="O1135" i="3"/>
  <c r="O1128" i="3"/>
  <c r="O1120" i="3"/>
  <c r="O1115" i="3"/>
  <c r="O1107" i="3"/>
  <c r="O1099" i="3"/>
  <c r="O1091" i="3"/>
  <c r="O1083" i="3"/>
  <c r="O1075" i="3"/>
  <c r="O1067" i="3"/>
  <c r="O1059" i="3"/>
  <c r="O1051" i="3"/>
  <c r="O1043" i="3"/>
  <c r="O1035" i="3"/>
  <c r="O1026" i="3"/>
  <c r="O1018" i="3"/>
  <c r="O1010" i="3"/>
  <c r="O1002" i="3"/>
  <c r="O994" i="3"/>
  <c r="O986" i="3"/>
  <c r="O977" i="3"/>
  <c r="O969" i="3"/>
  <c r="O960" i="3"/>
  <c r="O952" i="3"/>
  <c r="O944" i="3"/>
  <c r="O927" i="3"/>
  <c r="O925" i="3"/>
  <c r="O920" i="3"/>
  <c r="O912" i="3"/>
  <c r="O904" i="3"/>
  <c r="O895" i="3"/>
  <c r="O887" i="3"/>
  <c r="O879" i="3"/>
  <c r="O870" i="3"/>
  <c r="O858" i="3"/>
  <c r="O851" i="3"/>
  <c r="O843" i="3"/>
  <c r="O835" i="3"/>
  <c r="O827" i="3"/>
  <c r="O819" i="3"/>
  <c r="O811" i="3"/>
  <c r="O803" i="3"/>
  <c r="O795" i="3"/>
  <c r="O787" i="3"/>
  <c r="O779" i="3"/>
  <c r="O771" i="3"/>
  <c r="O762" i="3"/>
  <c r="O760" i="3"/>
  <c r="O752" i="3"/>
  <c r="O739" i="3"/>
  <c r="O731" i="3"/>
  <c r="O723" i="3"/>
  <c r="O715" i="3"/>
  <c r="O707" i="3"/>
  <c r="O699" i="3"/>
  <c r="O691" i="3"/>
  <c r="O684" i="3"/>
  <c r="O669" i="3"/>
  <c r="O661" i="3"/>
  <c r="O653" i="3"/>
  <c r="O645" i="3"/>
  <c r="O637" i="3"/>
  <c r="O628" i="3"/>
  <c r="O617" i="3"/>
  <c r="O605" i="3"/>
  <c r="O596" i="3"/>
  <c r="O588" i="3"/>
  <c r="O579" i="3"/>
  <c r="O571" i="3"/>
  <c r="O563" i="3"/>
  <c r="O555" i="3"/>
  <c r="O547" i="3"/>
  <c r="O539" i="3"/>
  <c r="O530" i="3"/>
  <c r="O522" i="3"/>
  <c r="O514" i="3"/>
  <c r="O506" i="3"/>
  <c r="O498" i="3"/>
  <c r="O490" i="3"/>
  <c r="O482" i="3"/>
  <c r="O474" i="3"/>
  <c r="O466" i="3"/>
  <c r="O457" i="3"/>
  <c r="O447" i="3"/>
  <c r="O435" i="3"/>
  <c r="O427" i="3"/>
  <c r="O419" i="3"/>
  <c r="O411" i="3"/>
  <c r="O404" i="3"/>
  <c r="O392" i="3"/>
  <c r="O384" i="3"/>
  <c r="O376" i="3"/>
  <c r="O368" i="3"/>
  <c r="O360" i="3"/>
  <c r="O352" i="3"/>
  <c r="O344" i="3"/>
  <c r="O336" i="3"/>
  <c r="O328" i="3"/>
  <c r="O320" i="3"/>
  <c r="O312" i="3"/>
  <c r="O304" i="3"/>
  <c r="O296" i="3"/>
  <c r="O288" i="3"/>
  <c r="O281" i="3"/>
  <c r="O271" i="3"/>
  <c r="O263" i="3"/>
  <c r="O256" i="3"/>
  <c r="O1427" i="3"/>
  <c r="O1419" i="3"/>
  <c r="O1411" i="3"/>
  <c r="O1403" i="3"/>
  <c r="O1395" i="3"/>
  <c r="O1387" i="3"/>
  <c r="O1379" i="3"/>
  <c r="O1371" i="3"/>
  <c r="O1363" i="3"/>
  <c r="O1355" i="3"/>
  <c r="O1347" i="3"/>
  <c r="O1339" i="3"/>
  <c r="O1331" i="3"/>
  <c r="O1323" i="3"/>
  <c r="O1315" i="3"/>
  <c r="O1307" i="3"/>
  <c r="O1299" i="3"/>
  <c r="O1282" i="3"/>
  <c r="O1274" i="3"/>
  <c r="O1266" i="3"/>
  <c r="O1258" i="3"/>
  <c r="O1243" i="3"/>
  <c r="O1235" i="3"/>
  <c r="O1227" i="3"/>
  <c r="O1219" i="3"/>
  <c r="O1211" i="3"/>
  <c r="O1203" i="3"/>
  <c r="O1195" i="3"/>
  <c r="O1182" i="3"/>
  <c r="O1174" i="3"/>
  <c r="O1166" i="3"/>
  <c r="O1158" i="3"/>
  <c r="O1150" i="3"/>
  <c r="O1142" i="3"/>
  <c r="O1127" i="3"/>
  <c r="O1119" i="3"/>
  <c r="O1114" i="3"/>
  <c r="O1106" i="3"/>
  <c r="O1098" i="3"/>
  <c r="O1090" i="3"/>
  <c r="O1082" i="3"/>
  <c r="O1074" i="3"/>
  <c r="O1066" i="3"/>
  <c r="O1058" i="3"/>
  <c r="O1050" i="3"/>
  <c r="O1042" i="3"/>
  <c r="O1034" i="3"/>
  <c r="O1025" i="3"/>
  <c r="O1017" i="3"/>
  <c r="O1009" i="3"/>
  <c r="O1001" i="3"/>
  <c r="O993" i="3"/>
  <c r="O985" i="3"/>
  <c r="O976" i="3"/>
  <c r="O968" i="3"/>
  <c r="O959" i="3"/>
  <c r="O951" i="3"/>
  <c r="O943" i="3"/>
  <c r="O936" i="3"/>
  <c r="O924" i="3"/>
  <c r="O919" i="3"/>
  <c r="O911" i="3"/>
  <c r="O903" i="3"/>
  <c r="O894" i="3"/>
  <c r="O886" i="3"/>
  <c r="O878" i="3"/>
  <c r="O869" i="3"/>
  <c r="O850" i="3"/>
  <c r="O842" i="3"/>
  <c r="O834" i="3"/>
  <c r="O826" i="3"/>
  <c r="O818" i="3"/>
  <c r="O810" i="3"/>
  <c r="O802" i="3"/>
  <c r="O794" i="3"/>
  <c r="O786" i="3"/>
  <c r="O778" i="3"/>
  <c r="O770" i="3"/>
  <c r="O761" i="3"/>
  <c r="O759" i="3"/>
  <c r="O751" i="3"/>
  <c r="O746" i="3"/>
  <c r="O738" i="3"/>
  <c r="O730" i="3"/>
  <c r="O722" i="3"/>
  <c r="O714" i="3"/>
  <c r="O706" i="3"/>
  <c r="O698" i="3"/>
  <c r="O690" i="3"/>
  <c r="O683" i="3"/>
  <c r="O676" i="3"/>
  <c r="O668" i="3"/>
  <c r="O660" i="3"/>
  <c r="O652" i="3"/>
  <c r="O644" i="3"/>
  <c r="O636" i="3"/>
  <c r="O627" i="3"/>
  <c r="O616" i="3"/>
  <c r="O604" i="3"/>
  <c r="O602" i="3"/>
  <c r="O595" i="3"/>
  <c r="O587" i="3"/>
  <c r="O578" i="3"/>
  <c r="O570" i="3"/>
  <c r="O562" i="3"/>
  <c r="O554" i="3"/>
  <c r="O546" i="3"/>
  <c r="O538" i="3"/>
  <c r="O529" i="3"/>
  <c r="O521" i="3"/>
  <c r="O513" i="3"/>
  <c r="O505" i="3"/>
  <c r="O497" i="3"/>
  <c r="O489" i="3"/>
  <c r="O481" i="3"/>
  <c r="O473" i="3"/>
  <c r="O465" i="3"/>
  <c r="O456" i="3"/>
  <c r="O446" i="3"/>
  <c r="O434" i="3"/>
  <c r="O426" i="3"/>
  <c r="O418" i="3"/>
  <c r="O410" i="3"/>
  <c r="O403" i="3"/>
  <c r="O391" i="3"/>
  <c r="O383" i="3"/>
  <c r="O375" i="3"/>
  <c r="O367" i="3"/>
  <c r="O359" i="3"/>
  <c r="O351" i="3"/>
  <c r="O343" i="3"/>
  <c r="O335" i="3"/>
  <c r="O327" i="3"/>
  <c r="O319" i="3"/>
  <c r="O311" i="3"/>
  <c r="O303" i="3"/>
  <c r="O295" i="3"/>
  <c r="O280" i="3"/>
  <c r="O270" i="3"/>
  <c r="O262" i="3"/>
  <c r="O255" i="3"/>
  <c r="Q930" i="3"/>
  <c r="O2157" i="3"/>
  <c r="O2149" i="3"/>
  <c r="O2141" i="3"/>
  <c r="O2133" i="3"/>
  <c r="O2125" i="3"/>
  <c r="O2117" i="3"/>
  <c r="O2109" i="3"/>
  <c r="O2101" i="3"/>
  <c r="O2093" i="3"/>
  <c r="O2085" i="3"/>
  <c r="O2077" i="3"/>
  <c r="O2068" i="3"/>
  <c r="O2060" i="3"/>
  <c r="O2052" i="3"/>
  <c r="O2043" i="3"/>
  <c r="O2036" i="3"/>
  <c r="O2028" i="3"/>
  <c r="O2021" i="3"/>
  <c r="O2013" i="3"/>
  <c r="O2005" i="3"/>
  <c r="O1997" i="3"/>
  <c r="O1989" i="3"/>
  <c r="O1981" i="3"/>
  <c r="O1973" i="3"/>
  <c r="O1965" i="3"/>
  <c r="O1957" i="3"/>
  <c r="O1950" i="3"/>
  <c r="O1942" i="3"/>
  <c r="O1934" i="3"/>
  <c r="O1926" i="3"/>
  <c r="O1918" i="3"/>
  <c r="O1910" i="3"/>
  <c r="O1902" i="3"/>
  <c r="O1894" i="3"/>
  <c r="O1886" i="3"/>
  <c r="O1878" i="3"/>
  <c r="O1870" i="3"/>
  <c r="O1862" i="3"/>
  <c r="O1855" i="3"/>
  <c r="O1847" i="3"/>
  <c r="O1839" i="3"/>
  <c r="O1831" i="3"/>
  <c r="O1823" i="3"/>
  <c r="O1815" i="3"/>
  <c r="O1807" i="3"/>
  <c r="O1799" i="3"/>
  <c r="O1791" i="3"/>
  <c r="O1783" i="3"/>
  <c r="O1775" i="3"/>
  <c r="O1767" i="3"/>
  <c r="O1755" i="3"/>
  <c r="O1747" i="3"/>
  <c r="O1739" i="3"/>
  <c r="O1731" i="3"/>
  <c r="O1723" i="3"/>
  <c r="O1715" i="3"/>
  <c r="O1704" i="3"/>
  <c r="O1696" i="3"/>
  <c r="O1687" i="3"/>
  <c r="O1678" i="3"/>
  <c r="O1666" i="3"/>
  <c r="O1658" i="3"/>
  <c r="O1650" i="3"/>
  <c r="O1642" i="3"/>
  <c r="O1634" i="3"/>
  <c r="O1626" i="3"/>
  <c r="O1618" i="3"/>
  <c r="O1610" i="3"/>
  <c r="O1602" i="3"/>
  <c r="O1594" i="3"/>
  <c r="O1586" i="3"/>
  <c r="O1578" i="3"/>
  <c r="O1563" i="3"/>
  <c r="O1555" i="3"/>
  <c r="O1547" i="3"/>
  <c r="O1539" i="3"/>
  <c r="O1531" i="3"/>
  <c r="O1523" i="3"/>
  <c r="O1515" i="3"/>
  <c r="O1506" i="3"/>
  <c r="O1498" i="3"/>
  <c r="O1490" i="3"/>
  <c r="O1482" i="3"/>
  <c r="O1474" i="3"/>
  <c r="O1466" i="3"/>
  <c r="O1458" i="3"/>
  <c r="O1450" i="3"/>
  <c r="O1442" i="3"/>
  <c r="O1434" i="3"/>
  <c r="O1426" i="3"/>
  <c r="O1418" i="3"/>
  <c r="O1410" i="3"/>
  <c r="O1402" i="3"/>
  <c r="O1394" i="3"/>
  <c r="O1386" i="3"/>
  <c r="O1378" i="3"/>
  <c r="O1370" i="3"/>
  <c r="O1362" i="3"/>
  <c r="O1354" i="3"/>
  <c r="O1346" i="3"/>
  <c r="O1338" i="3"/>
  <c r="O1330" i="3"/>
  <c r="O1322" i="3"/>
  <c r="O1314" i="3"/>
  <c r="O1306" i="3"/>
  <c r="O1298" i="3"/>
  <c r="O1281" i="3"/>
  <c r="O1273" i="3"/>
  <c r="O1265" i="3"/>
  <c r="O1257" i="3"/>
  <c r="O1250" i="3"/>
  <c r="O1242" i="3"/>
  <c r="O1234" i="3"/>
  <c r="O1226" i="3"/>
  <c r="O1218" i="3"/>
  <c r="O1210" i="3"/>
  <c r="O1202" i="3"/>
  <c r="O1194" i="3"/>
  <c r="O1181" i="3"/>
  <c r="O1173" i="3"/>
  <c r="O1165" i="3"/>
  <c r="O1157" i="3"/>
  <c r="O1149" i="3"/>
  <c r="O1141" i="3"/>
  <c r="O1134" i="3"/>
  <c r="O1126" i="3"/>
  <c r="O1118" i="3"/>
  <c r="O1113" i="3"/>
  <c r="O1105" i="3"/>
  <c r="O1097" i="3"/>
  <c r="O1089" i="3"/>
  <c r="O1081" i="3"/>
  <c r="O1073" i="3"/>
  <c r="O1065" i="3"/>
  <c r="O1057" i="3"/>
  <c r="O1049" i="3"/>
  <c r="O1041" i="3"/>
  <c r="O1033" i="3"/>
  <c r="O1024" i="3"/>
  <c r="O1016" i="3"/>
  <c r="O1008" i="3"/>
  <c r="O1000" i="3"/>
  <c r="O992" i="3"/>
  <c r="O984" i="3"/>
  <c r="O975" i="3"/>
  <c r="O967" i="3"/>
  <c r="O958" i="3"/>
  <c r="O950" i="3"/>
  <c r="O942" i="3"/>
  <c r="O935" i="3"/>
  <c r="O923" i="3"/>
  <c r="O918" i="3"/>
  <c r="O910" i="3"/>
  <c r="O902" i="3"/>
  <c r="O893" i="3"/>
  <c r="O885" i="3"/>
  <c r="O877" i="3"/>
  <c r="O868" i="3"/>
  <c r="O857" i="3"/>
  <c r="O849" i="3"/>
  <c r="O841" i="3"/>
  <c r="O833" i="3"/>
  <c r="O825" i="3"/>
  <c r="O817" i="3"/>
  <c r="O809" i="3"/>
  <c r="O801" i="3"/>
  <c r="O793" i="3"/>
  <c r="O785" i="3"/>
  <c r="O777" i="3"/>
  <c r="O769" i="3"/>
  <c r="O758" i="3"/>
  <c r="O750" i="3"/>
  <c r="O745" i="3"/>
  <c r="O737" i="3"/>
  <c r="O729" i="3"/>
  <c r="O721" i="3"/>
  <c r="O713" i="3"/>
  <c r="O705" i="3"/>
  <c r="O697" i="3"/>
  <c r="O689" i="3"/>
  <c r="O682" i="3"/>
  <c r="O675" i="3"/>
  <c r="O667" i="3"/>
  <c r="O659" i="3"/>
  <c r="O651" i="3"/>
  <c r="O643" i="3"/>
  <c r="O635" i="3"/>
  <c r="O625" i="3"/>
  <c r="O614" i="3"/>
  <c r="O612" i="3"/>
  <c r="O603" i="3"/>
  <c r="O601" i="3"/>
  <c r="O594" i="3"/>
  <c r="O586" i="3"/>
  <c r="O577" i="3"/>
  <c r="O569" i="3"/>
  <c r="O561" i="3"/>
  <c r="O553" i="3"/>
  <c r="O545" i="3"/>
  <c r="O537" i="3"/>
  <c r="O528" i="3"/>
  <c r="O520" i="3"/>
  <c r="O512" i="3"/>
  <c r="O504" i="3"/>
  <c r="O496" i="3"/>
  <c r="O488" i="3"/>
  <c r="O480" i="3"/>
  <c r="O472" i="3"/>
  <c r="O464" i="3"/>
  <c r="O455" i="3"/>
  <c r="O445" i="3"/>
  <c r="O433" i="3"/>
  <c r="O425" i="3"/>
  <c r="O417" i="3"/>
  <c r="O402" i="3"/>
  <c r="O398" i="3"/>
  <c r="O390" i="3"/>
  <c r="O382" i="3"/>
  <c r="O374" i="3"/>
  <c r="O366" i="3"/>
  <c r="O358" i="3"/>
  <c r="O350" i="3"/>
  <c r="O342" i="3"/>
  <c r="O334" i="3"/>
  <c r="O326" i="3"/>
  <c r="O318" i="3"/>
  <c r="O310" i="3"/>
  <c r="O302" i="3"/>
  <c r="O294" i="3"/>
  <c r="O287" i="3"/>
  <c r="O279" i="3"/>
  <c r="O269" i="3"/>
  <c r="O261" i="3"/>
  <c r="O254" i="3"/>
  <c r="Q929" i="3"/>
  <c r="O1538" i="3"/>
  <c r="O1530" i="3"/>
  <c r="O1522" i="3"/>
  <c r="O1514" i="3"/>
  <c r="O1505" i="3"/>
  <c r="O1497" i="3"/>
  <c r="O1489" i="3"/>
  <c r="O1481" i="3"/>
  <c r="O1473" i="3"/>
  <c r="O1465" i="3"/>
  <c r="O1457" i="3"/>
  <c r="O1449" i="3"/>
  <c r="O1441" i="3"/>
  <c r="O1433" i="3"/>
  <c r="O1425" i="3"/>
  <c r="O1417" i="3"/>
  <c r="O1409" i="3"/>
  <c r="O1401" i="3"/>
  <c r="O1393" i="3"/>
  <c r="O1385" i="3"/>
  <c r="O1377" i="3"/>
  <c r="O1369" i="3"/>
  <c r="O1361" i="3"/>
  <c r="O1353" i="3"/>
  <c r="O1345" i="3"/>
  <c r="O1337" i="3"/>
  <c r="O1329" i="3"/>
  <c r="O1321" i="3"/>
  <c r="O1313" i="3"/>
  <c r="O1305" i="3"/>
  <c r="O1297" i="3"/>
  <c r="O1280" i="3"/>
  <c r="O1272" i="3"/>
  <c r="O1264" i="3"/>
  <c r="O1256" i="3"/>
  <c r="O1249" i="3"/>
  <c r="O1241" i="3"/>
  <c r="O1233" i="3"/>
  <c r="O1225" i="3"/>
  <c r="O1217" i="3"/>
  <c r="O1209" i="3"/>
  <c r="O1201" i="3"/>
  <c r="O1193" i="3"/>
  <c r="O1188" i="3"/>
  <c r="O1180" i="3"/>
  <c r="O1172" i="3"/>
  <c r="O1164" i="3"/>
  <c r="O1156" i="3"/>
  <c r="O1148" i="3"/>
  <c r="O1140" i="3"/>
  <c r="O1133" i="3"/>
  <c r="O1125" i="3"/>
  <c r="O1117" i="3"/>
  <c r="O1112" i="3"/>
  <c r="O1104" i="3"/>
  <c r="O1096" i="3"/>
  <c r="O1088" i="3"/>
  <c r="O1080" i="3"/>
  <c r="O1072" i="3"/>
  <c r="O1064" i="3"/>
  <c r="O1056" i="3"/>
  <c r="O1048" i="3"/>
  <c r="O1040" i="3"/>
  <c r="O1032" i="3"/>
  <c r="O1023" i="3"/>
  <c r="O1015" i="3"/>
  <c r="O1007" i="3"/>
  <c r="O999" i="3"/>
  <c r="O991" i="3"/>
  <c r="O974" i="3"/>
  <c r="O966" i="3"/>
  <c r="O957" i="3"/>
  <c r="O949" i="3"/>
  <c r="O941" i="3"/>
  <c r="O934" i="3"/>
  <c r="O922" i="3"/>
  <c r="O917" i="3"/>
  <c r="O909" i="3"/>
  <c r="O901" i="3"/>
  <c r="O892" i="3"/>
  <c r="O884" i="3"/>
  <c r="O876" i="3"/>
  <c r="O866" i="3"/>
  <c r="O856" i="3"/>
  <c r="O848" i="3"/>
  <c r="O840" i="3"/>
  <c r="O832" i="3"/>
  <c r="O824" i="3"/>
  <c r="O816" i="3"/>
  <c r="O808" i="3"/>
  <c r="O800" i="3"/>
  <c r="O792" i="3"/>
  <c r="O784" i="3"/>
  <c r="O776" i="3"/>
  <c r="O768" i="3"/>
  <c r="O766" i="3"/>
  <c r="O757" i="3"/>
  <c r="O749" i="3"/>
  <c r="O744" i="3"/>
  <c r="O736" i="3"/>
  <c r="O728" i="3"/>
  <c r="O720" i="3"/>
  <c r="O712" i="3"/>
  <c r="O704" i="3"/>
  <c r="O696" i="3"/>
  <c r="O688" i="3"/>
  <c r="O681" i="3"/>
  <c r="O674" i="3"/>
  <c r="O666" i="3"/>
  <c r="O658" i="3"/>
  <c r="O650" i="3"/>
  <c r="O642" i="3"/>
  <c r="O634" i="3"/>
  <c r="O624" i="3"/>
  <c r="O613" i="3"/>
  <c r="O610" i="3"/>
  <c r="O600" i="3"/>
  <c r="O593" i="3"/>
  <c r="O585" i="3"/>
  <c r="O576" i="3"/>
  <c r="O568" i="3"/>
  <c r="O560" i="3"/>
  <c r="O552" i="3"/>
  <c r="O544" i="3"/>
  <c r="O536" i="3"/>
  <c r="O527" i="3"/>
  <c r="O519" i="3"/>
  <c r="O511" i="3"/>
  <c r="O503" i="3"/>
  <c r="O495" i="3"/>
  <c r="O487" i="3"/>
  <c r="O479" i="3"/>
  <c r="O471" i="3"/>
  <c r="O463" i="3"/>
  <c r="O454" i="3"/>
  <c r="O444" i="3"/>
  <c r="O432" i="3"/>
  <c r="O424" i="3"/>
  <c r="O416" i="3"/>
  <c r="O409" i="3"/>
  <c r="O401" i="3"/>
  <c r="O397" i="3"/>
  <c r="O389" i="3"/>
  <c r="O381" i="3"/>
  <c r="O373" i="3"/>
  <c r="O365" i="3"/>
  <c r="O357" i="3"/>
  <c r="O349" i="3"/>
  <c r="O341" i="3"/>
  <c r="O333" i="3"/>
  <c r="O325" i="3"/>
  <c r="O317" i="3"/>
  <c r="O309" i="3"/>
  <c r="O301" i="3"/>
  <c r="O293" i="3"/>
  <c r="O286" i="3"/>
  <c r="O276" i="3"/>
  <c r="O268" i="3"/>
  <c r="O260" i="3"/>
  <c r="O253" i="3"/>
  <c r="Q928" i="3"/>
  <c r="O2099" i="3"/>
  <c r="O2091" i="3"/>
  <c r="O2083" i="3"/>
  <c r="O2074" i="3"/>
  <c r="O2066" i="3"/>
  <c r="O2058" i="3"/>
  <c r="O2050" i="3"/>
  <c r="O2041" i="3"/>
  <c r="O2034" i="3"/>
  <c r="O2026" i="3"/>
  <c r="O2019" i="3"/>
  <c r="O2011" i="3"/>
  <c r="O2003" i="3"/>
  <c r="O1995" i="3"/>
  <c r="O1987" i="3"/>
  <c r="O1979" i="3"/>
  <c r="O1971" i="3"/>
  <c r="O1963" i="3"/>
  <c r="O1948" i="3"/>
  <c r="O1940" i="3"/>
  <c r="O1932" i="3"/>
  <c r="O1924" i="3"/>
  <c r="O1916" i="3"/>
  <c r="O1908" i="3"/>
  <c r="O1900" i="3"/>
  <c r="O1892" i="3"/>
  <c r="O1884" i="3"/>
  <c r="O1876" i="3"/>
  <c r="O1868" i="3"/>
  <c r="O1860" i="3"/>
  <c r="O1853" i="3"/>
  <c r="O1845" i="3"/>
  <c r="O1837" i="3"/>
  <c r="O1829" i="3"/>
  <c r="O1821" i="3"/>
  <c r="O1813" i="3"/>
  <c r="O1805" i="3"/>
  <c r="O1797" i="3"/>
  <c r="O1789" i="3"/>
  <c r="O1781" i="3"/>
  <c r="O1773" i="3"/>
  <c r="O1765" i="3"/>
  <c r="O1761" i="3"/>
  <c r="O1753" i="3"/>
  <c r="O1745" i="3"/>
  <c r="O1737" i="3"/>
  <c r="O1729" i="3"/>
  <c r="O1721" i="3"/>
  <c r="O1713" i="3"/>
  <c r="O1702" i="3"/>
  <c r="O1694" i="3"/>
  <c r="O1685" i="3"/>
  <c r="O1676" i="3"/>
  <c r="O1664" i="3"/>
  <c r="O1656" i="3"/>
  <c r="O1648" i="3"/>
  <c r="O1640" i="3"/>
  <c r="O1632" i="3"/>
  <c r="O1624" i="3"/>
  <c r="O1616" i="3"/>
  <c r="O1608" i="3"/>
  <c r="O1600" i="3"/>
  <c r="O1592" i="3"/>
  <c r="O1584" i="3"/>
  <c r="O1576" i="3"/>
  <c r="O1561" i="3"/>
  <c r="O1553" i="3"/>
  <c r="O1545" i="3"/>
  <c r="O1537" i="3"/>
  <c r="O1529" i="3"/>
  <c r="O1521" i="3"/>
  <c r="O1513" i="3"/>
  <c r="O1504" i="3"/>
  <c r="O1496" i="3"/>
  <c r="O1488" i="3"/>
  <c r="O1480" i="3"/>
  <c r="O1472" i="3"/>
  <c r="O1464" i="3"/>
  <c r="O1456" i="3"/>
  <c r="O1448" i="3"/>
  <c r="O1440" i="3"/>
  <c r="O1432" i="3"/>
  <c r="O1424" i="3"/>
  <c r="O1416" i="3"/>
  <c r="O1408" i="3"/>
  <c r="O1400" i="3"/>
  <c r="O1392" i="3"/>
  <c r="O1384" i="3"/>
  <c r="O1376" i="3"/>
  <c r="O1368" i="3"/>
  <c r="O1360" i="3"/>
  <c r="O1352" i="3"/>
  <c r="O1344" i="3"/>
  <c r="O1336" i="3"/>
  <c r="O1328" i="3"/>
  <c r="O1320" i="3"/>
  <c r="O1312" i="3"/>
  <c r="O1304" i="3"/>
  <c r="O1296" i="3"/>
  <c r="O1279" i="3"/>
  <c r="O1271" i="3"/>
  <c r="O1263" i="3"/>
  <c r="O1255" i="3"/>
  <c r="O1248" i="3"/>
  <c r="O1240" i="3"/>
  <c r="O1232" i="3"/>
  <c r="O1224" i="3"/>
  <c r="O1216" i="3"/>
  <c r="O1208" i="3"/>
  <c r="O1200" i="3"/>
  <c r="O1192" i="3"/>
  <c r="O1187" i="3"/>
  <c r="O1179" i="3"/>
  <c r="O1171" i="3"/>
  <c r="O1163" i="3"/>
  <c r="O1155" i="3"/>
  <c r="O1147" i="3"/>
  <c r="O1139" i="3"/>
  <c r="O1132" i="3"/>
  <c r="O1124" i="3"/>
  <c r="O1111" i="3"/>
  <c r="O1103" i="3"/>
  <c r="O1095" i="3"/>
  <c r="O1087" i="3"/>
  <c r="O1079" i="3"/>
  <c r="O1071" i="3"/>
  <c r="O1063" i="3"/>
  <c r="O1055" i="3"/>
  <c r="O1047" i="3"/>
  <c r="O1039" i="3"/>
  <c r="O1030" i="3"/>
  <c r="O1022" i="3"/>
  <c r="O1014" i="3"/>
  <c r="O1006" i="3"/>
  <c r="O998" i="3"/>
  <c r="O990" i="3"/>
  <c r="O973" i="3"/>
  <c r="O965" i="3"/>
  <c r="O956" i="3"/>
  <c r="O948" i="3"/>
  <c r="O940" i="3"/>
  <c r="O933" i="3"/>
  <c r="O921" i="3"/>
  <c r="O916" i="3"/>
  <c r="O908" i="3"/>
  <c r="O900" i="3"/>
  <c r="O891" i="3"/>
  <c r="O883" i="3"/>
  <c r="O874" i="3"/>
  <c r="O865" i="3"/>
  <c r="O855" i="3"/>
  <c r="O847" i="3"/>
  <c r="O839" i="3"/>
  <c r="O831" i="3"/>
  <c r="O823" i="3"/>
  <c r="O815" i="3"/>
  <c r="O807" i="3"/>
  <c r="O799" i="3"/>
  <c r="O791" i="3"/>
  <c r="O783" i="3"/>
  <c r="O775" i="3"/>
  <c r="O767" i="3"/>
  <c r="O765" i="3"/>
  <c r="O756" i="3"/>
  <c r="O748" i="3"/>
  <c r="O743" i="3"/>
  <c r="O735" i="3"/>
  <c r="O727" i="3"/>
  <c r="O719" i="3"/>
  <c r="O711" i="3"/>
  <c r="O703" i="3"/>
  <c r="O695" i="3"/>
  <c r="O687" i="3"/>
  <c r="O680" i="3"/>
  <c r="O673" i="3"/>
  <c r="O665" i="3"/>
  <c r="O657" i="3"/>
  <c r="O649" i="3"/>
  <c r="O641" i="3"/>
  <c r="O633" i="3"/>
  <c r="O623" i="3"/>
  <c r="O609" i="3"/>
  <c r="O599" i="3"/>
  <c r="O592" i="3"/>
  <c r="O584" i="3"/>
  <c r="O583" i="3"/>
  <c r="O575" i="3"/>
  <c r="O567" i="3"/>
  <c r="O559" i="3"/>
  <c r="O551" i="3"/>
  <c r="O543" i="3"/>
  <c r="O535" i="3"/>
  <c r="O526" i="3"/>
  <c r="O518" i="3"/>
  <c r="O510" i="3"/>
  <c r="O502" i="3"/>
  <c r="O494" i="3"/>
  <c r="O486" i="3"/>
  <c r="O478" i="3"/>
  <c r="O470" i="3"/>
  <c r="O462" i="3"/>
  <c r="O461" i="3"/>
  <c r="O453" i="3"/>
  <c r="O443" i="3"/>
  <c r="O431" i="3"/>
  <c r="O423" i="3"/>
  <c r="O415" i="3"/>
  <c r="O408" i="3"/>
  <c r="O400" i="3"/>
  <c r="O396" i="3"/>
  <c r="O388" i="3"/>
  <c r="O380" i="3"/>
  <c r="O372" i="3"/>
  <c r="O364" i="3"/>
  <c r="O356" i="3"/>
  <c r="O348" i="3"/>
  <c r="O340" i="3"/>
  <c r="O332" i="3"/>
  <c r="O324" i="3"/>
  <c r="O316" i="3"/>
  <c r="O308" i="3"/>
  <c r="O300" i="3"/>
  <c r="O292" i="3"/>
  <c r="O285" i="3"/>
  <c r="O275" i="3"/>
  <c r="O267" i="3"/>
  <c r="O259" i="3"/>
  <c r="O252" i="3"/>
  <c r="Q927" i="3"/>
  <c r="O1487" i="3"/>
  <c r="O1479" i="3"/>
  <c r="O1471" i="3"/>
  <c r="O1463" i="3"/>
  <c r="O1455" i="3"/>
  <c r="O1447" i="3"/>
  <c r="O1439" i="3"/>
  <c r="O1431" i="3"/>
  <c r="O1423" i="3"/>
  <c r="O1415" i="3"/>
  <c r="O1407" i="3"/>
  <c r="O1399" i="3"/>
  <c r="O1391" i="3"/>
  <c r="O1383" i="3"/>
  <c r="O1375" i="3"/>
  <c r="O1367" i="3"/>
  <c r="O1359" i="3"/>
  <c r="O1351" i="3"/>
  <c r="O1343" i="3"/>
  <c r="O1335" i="3"/>
  <c r="O1327" i="3"/>
  <c r="O1319" i="3"/>
  <c r="O1311" i="3"/>
  <c r="O1303" i="3"/>
  <c r="O1286" i="3"/>
  <c r="O1278" i="3"/>
  <c r="O1270" i="3"/>
  <c r="O1262" i="3"/>
  <c r="O1254" i="3"/>
  <c r="O1247" i="3"/>
  <c r="O1239" i="3"/>
  <c r="O1231" i="3"/>
  <c r="O1223" i="3"/>
  <c r="O1215" i="3"/>
  <c r="O1207" i="3"/>
  <c r="O1199" i="3"/>
  <c r="O1191" i="3"/>
  <c r="O1186" i="3"/>
  <c r="O1178" i="3"/>
  <c r="O1170" i="3"/>
  <c r="O1162" i="3"/>
  <c r="O1154" i="3"/>
  <c r="O1146" i="3"/>
  <c r="O1138" i="3"/>
  <c r="O1131" i="3"/>
  <c r="O1123" i="3"/>
  <c r="O1110" i="3"/>
  <c r="O1102" i="3"/>
  <c r="O1094" i="3"/>
  <c r="O1086" i="3"/>
  <c r="O1078" i="3"/>
  <c r="O1070" i="3"/>
  <c r="O1062" i="3"/>
  <c r="O1054" i="3"/>
  <c r="O1046" i="3"/>
  <c r="O1038" i="3"/>
  <c r="O1029" i="3"/>
  <c r="O1021" i="3"/>
  <c r="O1013" i="3"/>
  <c r="O1005" i="3"/>
  <c r="O997" i="3"/>
  <c r="O989" i="3"/>
  <c r="O972" i="3"/>
  <c r="O964" i="3"/>
  <c r="O955" i="3"/>
  <c r="O947" i="3"/>
  <c r="O939" i="3"/>
  <c r="O932" i="3"/>
  <c r="O930" i="3"/>
  <c r="O915" i="3"/>
  <c r="O907" i="3"/>
  <c r="O899" i="3"/>
  <c r="O898" i="3"/>
  <c r="O890" i="3"/>
  <c r="O882" i="3"/>
  <c r="O873" i="3"/>
  <c r="O864" i="3"/>
  <c r="O854" i="3"/>
  <c r="O846" i="3"/>
  <c r="O838" i="3"/>
  <c r="O830" i="3"/>
  <c r="O822" i="3"/>
  <c r="O814" i="3"/>
  <c r="O806" i="3"/>
  <c r="O798" i="3"/>
  <c r="O790" i="3"/>
  <c r="O782" i="3"/>
  <c r="O774" i="3"/>
  <c r="O755" i="3"/>
  <c r="O747" i="3"/>
  <c r="O742" i="3"/>
  <c r="O734" i="3"/>
  <c r="O726" i="3"/>
  <c r="O718" i="3"/>
  <c r="O710" i="3"/>
  <c r="O702" i="3"/>
  <c r="O694" i="3"/>
  <c r="O686" i="3"/>
  <c r="O679" i="3"/>
  <c r="O672" i="3"/>
  <c r="O664" i="3"/>
  <c r="O656" i="3"/>
  <c r="O648" i="3"/>
  <c r="O640" i="3"/>
  <c r="O631" i="3"/>
  <c r="O622" i="3"/>
  <c r="O608" i="3"/>
  <c r="O591" i="3"/>
  <c r="O582" i="3"/>
  <c r="O574" i="3"/>
  <c r="O566" i="3"/>
  <c r="O558" i="3"/>
  <c r="O550" i="3"/>
  <c r="O542" i="3"/>
  <c r="O534" i="3"/>
  <c r="O525" i="3"/>
  <c r="O517" i="3"/>
  <c r="O509" i="3"/>
  <c r="O501" i="3"/>
  <c r="O493" i="3"/>
  <c r="O485" i="3"/>
  <c r="O477" i="3"/>
  <c r="O469" i="3"/>
  <c r="O460" i="3"/>
  <c r="O450" i="3"/>
  <c r="O438" i="3"/>
  <c r="O430" i="3"/>
  <c r="O422" i="3"/>
  <c r="O414" i="3"/>
  <c r="O407" i="3"/>
  <c r="O399" i="3"/>
  <c r="O395" i="3"/>
  <c r="O387" i="3"/>
  <c r="O379" i="3"/>
  <c r="O371" i="3"/>
  <c r="O363" i="3"/>
  <c r="O355" i="3"/>
  <c r="O347" i="3"/>
  <c r="O339" i="3"/>
  <c r="O331" i="3"/>
  <c r="O323" i="3"/>
  <c r="O315" i="3"/>
  <c r="O307" i="3"/>
  <c r="O299" i="3"/>
  <c r="O291" i="3"/>
  <c r="O284" i="3"/>
  <c r="O274" i="3"/>
  <c r="O266" i="3"/>
  <c r="O251" i="3"/>
  <c r="O1575" i="3"/>
  <c r="O1574" i="3"/>
  <c r="O1573" i="3"/>
  <c r="O1572" i="3"/>
  <c r="D1572" i="3"/>
  <c r="O1571" i="3"/>
  <c r="D1571" i="3"/>
  <c r="O1570" i="3"/>
  <c r="P2783" i="3"/>
  <c r="O1569" i="3"/>
  <c r="D2790" i="3"/>
  <c r="D2793" i="3"/>
  <c r="D5" i="3"/>
  <c r="D2796" i="3"/>
  <c r="O2798" i="3"/>
  <c r="O2810" i="3"/>
  <c r="O2815" i="3"/>
  <c r="O2821" i="3"/>
  <c r="O2782" i="3"/>
  <c r="D2789" i="3"/>
  <c r="O2793" i="3"/>
  <c r="D2794" i="3"/>
  <c r="O5" i="3"/>
  <c r="D10" i="3"/>
  <c r="D2805" i="3"/>
  <c r="D2797" i="3"/>
  <c r="O2797" i="3"/>
  <c r="D2806" i="3"/>
  <c r="O2809" i="3"/>
  <c r="D2816" i="3"/>
  <c r="D2822" i="3"/>
  <c r="O2820" i="3"/>
  <c r="I12" i="5"/>
  <c r="I296" i="5"/>
  <c r="O2787" i="3"/>
  <c r="O10" i="3"/>
  <c r="D2798" i="3"/>
  <c r="D2807" i="3"/>
  <c r="D2818" i="3"/>
  <c r="I11" i="5"/>
  <c r="D2784" i="3"/>
  <c r="O2785" i="3"/>
  <c r="D2786" i="3"/>
  <c r="O2790" i="3"/>
  <c r="D2792" i="3"/>
  <c r="O2795" i="3"/>
  <c r="O8" i="3"/>
  <c r="D7" i="3"/>
  <c r="D108" i="3"/>
  <c r="D2804" i="3"/>
  <c r="O2804" i="3"/>
  <c r="O2796" i="3"/>
  <c r="D2809" i="3"/>
  <c r="O2808" i="3"/>
  <c r="O2814" i="3"/>
  <c r="O2819" i="3"/>
  <c r="O2824" i="3"/>
  <c r="I298" i="5"/>
  <c r="I10" i="5"/>
  <c r="O2609" i="3"/>
  <c r="O2783" i="3"/>
  <c r="O2788" i="3"/>
  <c r="O2792" i="3"/>
  <c r="O3" i="3"/>
  <c r="O11" i="3"/>
  <c r="D4" i="3"/>
  <c r="D2803" i="3"/>
  <c r="O2803" i="3"/>
  <c r="D2813" i="3"/>
  <c r="O2807" i="3"/>
  <c r="D2815" i="3"/>
  <c r="D2821" i="3"/>
  <c r="O2818" i="3"/>
  <c r="I295" i="5"/>
  <c r="D2782" i="3"/>
  <c r="D2788" i="3"/>
  <c r="D2791" i="3"/>
  <c r="O2794" i="3"/>
  <c r="O6" i="3"/>
  <c r="D9" i="3"/>
  <c r="D2802" i="3"/>
  <c r="O2802" i="3"/>
  <c r="D2812" i="3"/>
  <c r="O2806" i="3"/>
  <c r="O2817" i="3"/>
  <c r="O2823" i="3"/>
  <c r="I8" i="5"/>
  <c r="I299" i="5"/>
  <c r="D2783" i="3"/>
  <c r="O2786" i="3"/>
  <c r="D2785" i="3"/>
  <c r="O2791" i="3"/>
  <c r="D2795" i="3"/>
  <c r="O9" i="3"/>
  <c r="D6" i="3"/>
  <c r="O108" i="3"/>
  <c r="D2801" i="3"/>
  <c r="O2801" i="3"/>
  <c r="D2811" i="3"/>
  <c r="O2813" i="3"/>
  <c r="O2805" i="3"/>
  <c r="D2819" i="3"/>
  <c r="D2824" i="3"/>
  <c r="I294" i="5"/>
  <c r="I7" i="5"/>
  <c r="O2789" i="3"/>
  <c r="O4" i="3"/>
  <c r="D11" i="3"/>
  <c r="D2800" i="3"/>
  <c r="O2800" i="3"/>
  <c r="D2810" i="3"/>
  <c r="O2812" i="3"/>
  <c r="D2814" i="3"/>
  <c r="O2816" i="3"/>
  <c r="O2822" i="3"/>
  <c r="D2820" i="3"/>
  <c r="I9" i="5"/>
  <c r="I5" i="5"/>
  <c r="O2784" i="3"/>
  <c r="D2787" i="3"/>
  <c r="O7" i="3"/>
  <c r="D8" i="3"/>
  <c r="D2799" i="3"/>
  <c r="O2799" i="3"/>
  <c r="D2808" i="3"/>
  <c r="O2811" i="3"/>
  <c r="D2817" i="3"/>
  <c r="D2823" i="3"/>
  <c r="I297" i="5"/>
  <c r="I6" i="5"/>
  <c r="H467" i="5"/>
  <c r="H9" i="5"/>
  <c r="H451" i="5"/>
  <c r="H11" i="5"/>
  <c r="H4" i="5"/>
  <c r="H879" i="5"/>
  <c r="H12" i="5"/>
  <c r="H1160" i="5"/>
  <c r="H1137" i="5"/>
  <c r="H3" i="5"/>
  <c r="H8" i="5"/>
  <c r="H880" i="5"/>
  <c r="H851" i="5"/>
  <c r="H298" i="5"/>
  <c r="H1132" i="5"/>
  <c r="H5" i="5"/>
  <c r="H875" i="5"/>
  <c r="H882" i="5"/>
  <c r="H440" i="5"/>
  <c r="H876" i="5"/>
  <c r="H877" i="5"/>
  <c r="I1063" i="5"/>
  <c r="H881" i="5"/>
  <c r="H296" i="5"/>
  <c r="H295" i="5"/>
  <c r="H450" i="5"/>
  <c r="H883" i="5"/>
  <c r="H10" i="5"/>
  <c r="H488" i="5"/>
  <c r="H299" i="5"/>
  <c r="H897" i="5"/>
  <c r="H294" i="5"/>
  <c r="H878" i="5"/>
  <c r="H297" i="5"/>
  <c r="H1163" i="5"/>
  <c r="H7" i="5"/>
  <c r="H6" i="5"/>
  <c r="H1063" i="5"/>
  <c r="D46" i="3"/>
  <c r="O49" i="3"/>
  <c r="O859" i="3"/>
  <c r="D1674" i="3"/>
  <c r="D1670" i="3"/>
  <c r="O867" i="3"/>
  <c r="D47" i="3"/>
  <c r="D50" i="3"/>
  <c r="O860" i="3"/>
  <c r="D1673" i="3"/>
  <c r="O1670" i="3"/>
  <c r="D875" i="3"/>
  <c r="D49" i="3"/>
  <c r="O1688" i="3"/>
  <c r="D48" i="3"/>
  <c r="O861" i="3"/>
  <c r="D1681" i="3"/>
  <c r="D2640" i="3"/>
  <c r="O50" i="3"/>
  <c r="O1673" i="3"/>
  <c r="O875" i="3"/>
  <c r="D1688" i="3"/>
  <c r="O46" i="3"/>
  <c r="D859" i="3"/>
  <c r="O1674" i="3"/>
  <c r="D867" i="3"/>
  <c r="O47" i="3"/>
  <c r="D860" i="3"/>
  <c r="O1681" i="3"/>
  <c r="O48" i="3"/>
  <c r="D861" i="3"/>
  <c r="O2829" i="3"/>
  <c r="O2844" i="3"/>
  <c r="D2825" i="3"/>
  <c r="D2831" i="3"/>
  <c r="O2826" i="3"/>
  <c r="O2830" i="3"/>
  <c r="D2833" i="3"/>
  <c r="D2832" i="3"/>
  <c r="O2843" i="3"/>
  <c r="D2842" i="3"/>
  <c r="O2825" i="3"/>
  <c r="O2827" i="3"/>
  <c r="O2831" i="3"/>
  <c r="O2833" i="3"/>
  <c r="O2841" i="3"/>
  <c r="D2826" i="3"/>
  <c r="D2844" i="3"/>
  <c r="D2829" i="3"/>
  <c r="D2845" i="3"/>
  <c r="D2843" i="3"/>
  <c r="D2827" i="3"/>
  <c r="O2828" i="3"/>
  <c r="O2832" i="3"/>
  <c r="D2830" i="3"/>
  <c r="O2845" i="3"/>
  <c r="O2842" i="3"/>
  <c r="D2828" i="3"/>
  <c r="D2839" i="3"/>
  <c r="O2837" i="3"/>
  <c r="D2840" i="3"/>
  <c r="O2838" i="3"/>
  <c r="O2847" i="3"/>
  <c r="D2846" i="3"/>
  <c r="O2840" i="3"/>
  <c r="D2847" i="3"/>
  <c r="O2849" i="3"/>
  <c r="D234" i="3"/>
  <c r="D2848" i="3"/>
  <c r="D235" i="3"/>
  <c r="O2839" i="3"/>
  <c r="O2848" i="3"/>
  <c r="D2835" i="3"/>
  <c r="O2850" i="3"/>
  <c r="D2836" i="3"/>
  <c r="D2849" i="3"/>
  <c r="D1055" i="5"/>
  <c r="H689" i="10" s="1"/>
  <c r="D2837" i="3"/>
  <c r="O2835" i="3"/>
  <c r="D2850" i="3"/>
  <c r="D2838" i="3"/>
  <c r="O2836" i="3"/>
  <c r="O2846" i="3"/>
  <c r="D2841" i="3"/>
  <c r="O2201" i="3"/>
  <c r="D2851" i="3"/>
  <c r="O2851" i="3"/>
  <c r="O234" i="3"/>
  <c r="D2834" i="3"/>
  <c r="O2834" i="3"/>
  <c r="D2852" i="3"/>
  <c r="O2852" i="3"/>
  <c r="D231" i="3"/>
  <c r="O235" i="3"/>
  <c r="I46" i="5"/>
  <c r="H652" i="5"/>
  <c r="H286" i="5"/>
  <c r="H46" i="5"/>
  <c r="H287" i="5"/>
  <c r="I652" i="5"/>
  <c r="I286" i="5"/>
  <c r="I288" i="5"/>
  <c r="O151" i="3"/>
  <c r="O2352" i="3"/>
  <c r="H288" i="5"/>
  <c r="I285" i="5"/>
  <c r="O150" i="3"/>
  <c r="H285" i="5"/>
  <c r="D152" i="3"/>
  <c r="D2312" i="3"/>
  <c r="I287" i="5"/>
  <c r="D153" i="3"/>
  <c r="D151" i="3"/>
  <c r="O152" i="3"/>
  <c r="O2312" i="3"/>
  <c r="D150" i="3"/>
  <c r="O153" i="3"/>
  <c r="D2352" i="3"/>
  <c r="D1709" i="3"/>
  <c r="O1707" i="3"/>
  <c r="O1709" i="3"/>
  <c r="O1706" i="3"/>
  <c r="D1510" i="3"/>
  <c r="D1707" i="3"/>
  <c r="O1510" i="3"/>
  <c r="D1706" i="3"/>
  <c r="D1031" i="3"/>
  <c r="O1031" i="3"/>
  <c r="H111" i="5" l="1"/>
  <c r="I701" i="5"/>
  <c r="Q2076" i="3"/>
  <c r="Q2049" i="3"/>
  <c r="Q2046" i="3"/>
  <c r="H688" i="10"/>
  <c r="H687" i="10"/>
  <c r="I1048" i="5"/>
  <c r="I93" i="5"/>
  <c r="Q655" i="3"/>
  <c r="I681" i="5"/>
  <c r="I731" i="5"/>
  <c r="I326" i="5"/>
  <c r="I58" i="5"/>
  <c r="H685" i="10"/>
  <c r="H686" i="10"/>
  <c r="H684" i="10"/>
  <c r="Q624" i="3"/>
  <c r="Q626" i="3"/>
  <c r="I708" i="5"/>
  <c r="I94" i="5"/>
  <c r="I1043" i="5"/>
  <c r="I1045" i="5"/>
  <c r="I716" i="5"/>
  <c r="I678" i="5"/>
  <c r="I54" i="5"/>
  <c r="I72" i="5"/>
  <c r="H682" i="10"/>
  <c r="N417" i="5" s="1"/>
  <c r="H683" i="10"/>
  <c r="I692" i="5"/>
  <c r="I314" i="5"/>
  <c r="I73" i="5"/>
  <c r="I335" i="5"/>
  <c r="I348" i="5"/>
  <c r="I85" i="5"/>
  <c r="I74" i="5"/>
  <c r="I682" i="5"/>
  <c r="I53" i="5"/>
  <c r="I1145" i="5"/>
  <c r="H674" i="10"/>
  <c r="H677" i="10"/>
  <c r="H676" i="10"/>
  <c r="H675" i="10"/>
  <c r="H680" i="10"/>
  <c r="H678" i="10"/>
  <c r="H681" i="10"/>
  <c r="H679" i="10"/>
  <c r="H671" i="10"/>
  <c r="H673" i="10"/>
  <c r="H672" i="10"/>
  <c r="I1060" i="5"/>
  <c r="I688" i="5"/>
  <c r="I70" i="5"/>
  <c r="I82" i="5"/>
  <c r="I48" i="5"/>
  <c r="H669" i="10"/>
  <c r="H670" i="10"/>
  <c r="I313" i="5"/>
  <c r="Q2199" i="3"/>
  <c r="H668" i="10"/>
  <c r="H667" i="10"/>
  <c r="I700" i="5"/>
  <c r="P2399" i="3"/>
  <c r="K382" i="10"/>
  <c r="M382" i="10" s="1"/>
  <c r="P2398" i="3"/>
  <c r="L382" i="10"/>
  <c r="H110" i="5"/>
  <c r="H365" i="5"/>
  <c r="I720" i="5"/>
  <c r="I51" i="5"/>
  <c r="I737" i="5"/>
  <c r="I733" i="5"/>
  <c r="I364" i="5"/>
  <c r="Q1860" i="3"/>
  <c r="Q656" i="3"/>
  <c r="Q1865" i="3"/>
  <c r="I88" i="5"/>
  <c r="Q1868" i="3"/>
  <c r="Q2195" i="3"/>
  <c r="Q1863" i="3"/>
  <c r="Q2197" i="3"/>
  <c r="Q650" i="3"/>
  <c r="Q1858" i="3"/>
  <c r="I768" i="5"/>
  <c r="I68" i="5"/>
  <c r="I334" i="5"/>
  <c r="I81" i="5"/>
  <c r="I40" i="5"/>
  <c r="I714" i="5"/>
  <c r="I69" i="5"/>
  <c r="I333" i="5"/>
  <c r="I702" i="5"/>
  <c r="I675" i="5"/>
  <c r="I321" i="5"/>
  <c r="I1061" i="5"/>
  <c r="I109" i="5"/>
  <c r="Q2050" i="3"/>
  <c r="I332" i="5"/>
  <c r="I89" i="5"/>
  <c r="I67" i="5"/>
  <c r="Q1879" i="3"/>
  <c r="I79" i="5"/>
  <c r="I64" i="5"/>
  <c r="Q2200" i="3"/>
  <c r="H664" i="10"/>
  <c r="H665" i="10"/>
  <c r="H666" i="10"/>
  <c r="H663" i="10"/>
  <c r="N602" i="5" s="1"/>
  <c r="Q1883" i="3"/>
  <c r="Q1881" i="3"/>
  <c r="I76" i="5"/>
  <c r="I336" i="5"/>
  <c r="Q651" i="3"/>
  <c r="Q2201" i="3"/>
  <c r="Q653" i="3"/>
  <c r="Q1862" i="3"/>
  <c r="I763" i="5"/>
  <c r="I762" i="5"/>
  <c r="Q1867" i="3"/>
  <c r="Q2198" i="3"/>
  <c r="I84" i="5"/>
  <c r="Q1864" i="3"/>
  <c r="Q654" i="3"/>
  <c r="Q1861" i="3"/>
  <c r="Q2196" i="3"/>
  <c r="Q1866" i="3"/>
  <c r="I1174" i="5"/>
  <c r="I1108" i="5"/>
  <c r="Q1857" i="3"/>
  <c r="I1173" i="5"/>
  <c r="I691" i="5"/>
  <c r="I134" i="5"/>
  <c r="I723" i="5"/>
  <c r="H661" i="10"/>
  <c r="H655" i="10"/>
  <c r="H647" i="10"/>
  <c r="H640" i="10"/>
  <c r="H632" i="10"/>
  <c r="H624" i="10"/>
  <c r="H616" i="10"/>
  <c r="H608" i="10"/>
  <c r="H600" i="10"/>
  <c r="H592" i="10"/>
  <c r="H584" i="10"/>
  <c r="H576" i="10"/>
  <c r="H654" i="10"/>
  <c r="H646" i="10"/>
  <c r="H631" i="10"/>
  <c r="H615" i="10"/>
  <c r="H599" i="10"/>
  <c r="H583" i="10"/>
  <c r="H630" i="10"/>
  <c r="H614" i="10"/>
  <c r="H598" i="10"/>
  <c r="H582" i="10"/>
  <c r="H629" i="10"/>
  <c r="H605" i="10"/>
  <c r="H581" i="10"/>
  <c r="H639" i="10"/>
  <c r="H623" i="10"/>
  <c r="H607" i="10"/>
  <c r="H591" i="10"/>
  <c r="H575" i="10"/>
  <c r="H653" i="10"/>
  <c r="H638" i="10"/>
  <c r="H622" i="10"/>
  <c r="H606" i="10"/>
  <c r="H590" i="10"/>
  <c r="H574" i="10"/>
  <c r="H652" i="10"/>
  <c r="H637" i="10"/>
  <c r="H613" i="10"/>
  <c r="H589" i="10"/>
  <c r="H573" i="10"/>
  <c r="H656" i="10"/>
  <c r="H625" i="10"/>
  <c r="H593" i="10"/>
  <c r="H645" i="10"/>
  <c r="H621" i="10"/>
  <c r="H597" i="10"/>
  <c r="H660" i="10"/>
  <c r="H659" i="10"/>
  <c r="H651" i="10"/>
  <c r="H644" i="10"/>
  <c r="H636" i="10"/>
  <c r="H628" i="10"/>
  <c r="H620" i="10"/>
  <c r="H612" i="10"/>
  <c r="H604" i="10"/>
  <c r="H596" i="10"/>
  <c r="H588" i="10"/>
  <c r="H580" i="10"/>
  <c r="H572" i="10"/>
  <c r="H650" i="10"/>
  <c r="H635" i="10"/>
  <c r="H619" i="10"/>
  <c r="H603" i="10"/>
  <c r="H587" i="10"/>
  <c r="H571" i="10"/>
  <c r="H649" i="10"/>
  <c r="H626" i="10"/>
  <c r="H602" i="10"/>
  <c r="H578" i="10"/>
  <c r="H648" i="10"/>
  <c r="H617" i="10"/>
  <c r="H585" i="10"/>
  <c r="H658" i="10"/>
  <c r="H643" i="10"/>
  <c r="H627" i="10"/>
  <c r="H611" i="10"/>
  <c r="H595" i="10"/>
  <c r="H579" i="10"/>
  <c r="H662" i="10"/>
  <c r="H657" i="10"/>
  <c r="H642" i="10"/>
  <c r="H618" i="10"/>
  <c r="H594" i="10"/>
  <c r="H570" i="10"/>
  <c r="H633" i="10"/>
  <c r="H601" i="10"/>
  <c r="H634" i="10"/>
  <c r="H610" i="10"/>
  <c r="H586" i="10"/>
  <c r="H641" i="10"/>
  <c r="H609" i="10"/>
  <c r="H577" i="10"/>
  <c r="Q2045" i="3"/>
  <c r="Q1817" i="3"/>
  <c r="Q1884" i="3"/>
  <c r="I77" i="5"/>
  <c r="Q1885" i="3"/>
  <c r="Q1878" i="3"/>
  <c r="Q1882" i="3"/>
  <c r="Q1880" i="3"/>
  <c r="I337" i="5"/>
  <c r="I684" i="5"/>
  <c r="Q1887" i="3"/>
  <c r="Q1886" i="3"/>
  <c r="I710" i="5"/>
  <c r="I339" i="5"/>
  <c r="I711" i="5"/>
  <c r="Q681" i="3"/>
  <c r="I741" i="5"/>
  <c r="I1129" i="5"/>
  <c r="Q2208" i="3"/>
  <c r="I107" i="5"/>
  <c r="Q1821" i="3"/>
  <c r="I357" i="5"/>
  <c r="Q2047" i="3"/>
  <c r="I135" i="5"/>
  <c r="Q2207" i="3"/>
  <c r="I106" i="5"/>
  <c r="I685" i="5"/>
  <c r="Q1815" i="3"/>
  <c r="Q1819" i="3"/>
  <c r="Q2048" i="3"/>
  <c r="Q2206" i="3"/>
  <c r="Q1822" i="3"/>
  <c r="Q1818" i="3"/>
  <c r="I338" i="5"/>
  <c r="Q1816" i="3"/>
  <c r="Q2205" i="3"/>
  <c r="Q2202" i="3"/>
  <c r="Q2203" i="3"/>
  <c r="I78" i="5"/>
  <c r="I358" i="5"/>
  <c r="Q1824" i="3"/>
  <c r="I687" i="5"/>
  <c r="Q2051" i="3"/>
  <c r="Q2204" i="3"/>
  <c r="I724" i="5"/>
  <c r="Q1823" i="3"/>
  <c r="I686" i="5"/>
  <c r="Q1820" i="3"/>
  <c r="Q1939" i="3"/>
  <c r="I669" i="5"/>
  <c r="I322" i="5"/>
  <c r="Q472" i="3"/>
  <c r="Q683" i="3"/>
  <c r="Q469" i="3"/>
  <c r="Q473" i="3"/>
  <c r="Q474" i="3"/>
  <c r="Q475" i="3"/>
  <c r="I740" i="5"/>
  <c r="Q476" i="3"/>
  <c r="Q684" i="3"/>
  <c r="Q470" i="3"/>
  <c r="I712" i="5"/>
  <c r="I1098" i="5"/>
  <c r="I1075" i="5"/>
  <c r="Q2391" i="3"/>
  <c r="I1115" i="5"/>
  <c r="I1116" i="5"/>
  <c r="Q625" i="3"/>
  <c r="Q2079" i="3"/>
  <c r="Q622" i="3"/>
  <c r="Q2143" i="3"/>
  <c r="Q1984" i="3"/>
  <c r="I108" i="5"/>
  <c r="Q2081" i="3"/>
  <c r="I359" i="5"/>
  <c r="Q2077" i="3"/>
  <c r="Q1932" i="3"/>
  <c r="Q1938" i="3"/>
  <c r="Q1934" i="3"/>
  <c r="I323" i="5"/>
  <c r="Q1931" i="3"/>
  <c r="I360" i="5"/>
  <c r="Q2075" i="3"/>
  <c r="Q1935" i="3"/>
  <c r="I713" i="5"/>
  <c r="Q2082" i="3"/>
  <c r="Q2078" i="3"/>
  <c r="I63" i="5"/>
  <c r="Q2080" i="3"/>
  <c r="I670" i="5"/>
  <c r="Q1937" i="3"/>
  <c r="Q1933" i="3"/>
  <c r="Q1936" i="3"/>
  <c r="H569" i="10"/>
  <c r="H566" i="10"/>
  <c r="H568" i="10"/>
  <c r="H567" i="10"/>
  <c r="H565" i="10"/>
  <c r="H564" i="10"/>
  <c r="H563" i="10"/>
  <c r="M303" i="5"/>
  <c r="I159" i="5"/>
  <c r="I403" i="5"/>
  <c r="I757" i="5"/>
  <c r="Q620" i="3"/>
  <c r="Q2392" i="3"/>
  <c r="I1077" i="5"/>
  <c r="I1099" i="5"/>
  <c r="Q623" i="3"/>
  <c r="Q627" i="3"/>
  <c r="I1119" i="5"/>
  <c r="Q729" i="3"/>
  <c r="I693" i="5"/>
  <c r="Q1793" i="3"/>
  <c r="Q724" i="3"/>
  <c r="Q2144" i="3"/>
  <c r="Q2142" i="3"/>
  <c r="Q2147" i="3"/>
  <c r="Q1991" i="3"/>
  <c r="Q2149" i="3"/>
  <c r="I125" i="5"/>
  <c r="Q2153" i="3"/>
  <c r="Q2150" i="3"/>
  <c r="Q2145" i="3"/>
  <c r="Q2151" i="3"/>
  <c r="Q1986" i="3"/>
  <c r="Q2148" i="3"/>
  <c r="I110" i="5"/>
  <c r="Q1985" i="3"/>
  <c r="Q1987" i="3"/>
  <c r="Q1983" i="3"/>
  <c r="I361" i="5"/>
  <c r="Q1990" i="3"/>
  <c r="I124" i="5"/>
  <c r="Q1988" i="3"/>
  <c r="Q2146" i="3"/>
  <c r="Q725" i="3"/>
  <c r="Q1788" i="3"/>
  <c r="Q726" i="3"/>
  <c r="Q1789" i="3"/>
  <c r="Q1792" i="3"/>
  <c r="Q1796" i="3"/>
  <c r="Q1797" i="3"/>
  <c r="Q728" i="3"/>
  <c r="Q1791" i="3"/>
  <c r="I1113" i="5"/>
  <c r="Q1790" i="3"/>
  <c r="Q731" i="3"/>
  <c r="I728" i="5"/>
  <c r="Q1794" i="3"/>
  <c r="Q730" i="3"/>
  <c r="I727" i="5"/>
  <c r="Q1787" i="3"/>
  <c r="Q1786" i="3"/>
  <c r="Q727" i="3"/>
  <c r="Q1795" i="3"/>
  <c r="J466" i="5"/>
  <c r="K466" i="5" s="1"/>
  <c r="H5" i="10"/>
  <c r="H13" i="10"/>
  <c r="H21" i="10"/>
  <c r="H29" i="10"/>
  <c r="H37" i="10"/>
  <c r="H45" i="10"/>
  <c r="H53" i="10"/>
  <c r="H61" i="10"/>
  <c r="H69" i="10"/>
  <c r="H77" i="10"/>
  <c r="H85" i="10"/>
  <c r="H93" i="10"/>
  <c r="H101" i="10"/>
  <c r="H109" i="10"/>
  <c r="H117" i="10"/>
  <c r="H125" i="10"/>
  <c r="H133" i="10"/>
  <c r="H141" i="10"/>
  <c r="H149" i="10"/>
  <c r="H157" i="10"/>
  <c r="H165" i="10"/>
  <c r="H173" i="10"/>
  <c r="H181" i="10"/>
  <c r="H189" i="10"/>
  <c r="H197" i="10"/>
  <c r="H205" i="10"/>
  <c r="H213" i="10"/>
  <c r="H220" i="10"/>
  <c r="H228" i="10"/>
  <c r="H236" i="10"/>
  <c r="H244" i="10"/>
  <c r="H252" i="10"/>
  <c r="H260" i="10"/>
  <c r="H268" i="10"/>
  <c r="H276" i="10"/>
  <c r="H284" i="10"/>
  <c r="H292" i="10"/>
  <c r="H300" i="10"/>
  <c r="H308" i="10"/>
  <c r="H316" i="10"/>
  <c r="H324" i="10"/>
  <c r="H332" i="10"/>
  <c r="H340" i="10"/>
  <c r="H348" i="10"/>
  <c r="H356" i="10"/>
  <c r="H364" i="10"/>
  <c r="H372" i="10"/>
  <c r="H380" i="10"/>
  <c r="H388" i="10"/>
  <c r="H396" i="10"/>
  <c r="H404" i="10"/>
  <c r="H410" i="10"/>
  <c r="H417" i="10"/>
  <c r="H425" i="10"/>
  <c r="H433" i="10"/>
  <c r="H441" i="10"/>
  <c r="H448" i="10"/>
  <c r="H456" i="10"/>
  <c r="H464" i="10"/>
  <c r="H471" i="10"/>
  <c r="H479" i="10"/>
  <c r="H487" i="10"/>
  <c r="H495" i="10"/>
  <c r="H503" i="10"/>
  <c r="H510" i="10"/>
  <c r="H518" i="10"/>
  <c r="H526" i="10"/>
  <c r="H534" i="10"/>
  <c r="H542" i="10"/>
  <c r="H550" i="10"/>
  <c r="H558" i="10"/>
  <c r="H480" i="10"/>
  <c r="H496" i="10"/>
  <c r="H504" i="10"/>
  <c r="H519" i="10"/>
  <c r="H527" i="10"/>
  <c r="H535" i="10"/>
  <c r="H543" i="10"/>
  <c r="H559" i="10"/>
  <c r="H560" i="10"/>
  <c r="H546" i="10"/>
  <c r="H90" i="10"/>
  <c r="H130" i="10"/>
  <c r="H162" i="10"/>
  <c r="H6" i="10"/>
  <c r="H14" i="10"/>
  <c r="H22" i="10"/>
  <c r="H30" i="10"/>
  <c r="H38" i="10"/>
  <c r="H46" i="10"/>
  <c r="H54" i="10"/>
  <c r="H62" i="10"/>
  <c r="H70" i="10"/>
  <c r="H78" i="10"/>
  <c r="H86" i="10"/>
  <c r="H94" i="10"/>
  <c r="H102" i="10"/>
  <c r="H110" i="10"/>
  <c r="H118" i="10"/>
  <c r="H126" i="10"/>
  <c r="H134" i="10"/>
  <c r="H142" i="10"/>
  <c r="H150" i="10"/>
  <c r="H158" i="10"/>
  <c r="H166" i="10"/>
  <c r="H174" i="10"/>
  <c r="H182" i="10"/>
  <c r="H190" i="10"/>
  <c r="H198" i="10"/>
  <c r="H206" i="10"/>
  <c r="H214" i="10"/>
  <c r="H221" i="10"/>
  <c r="H229" i="10"/>
  <c r="H237" i="10"/>
  <c r="H245" i="10"/>
  <c r="H253" i="10"/>
  <c r="H261" i="10"/>
  <c r="H269" i="10"/>
  <c r="H277" i="10"/>
  <c r="H285" i="10"/>
  <c r="H293" i="10"/>
  <c r="H301" i="10"/>
  <c r="H309" i="10"/>
  <c r="H317" i="10"/>
  <c r="H325" i="10"/>
  <c r="H333" i="10"/>
  <c r="H341" i="10"/>
  <c r="H349" i="10"/>
  <c r="H357" i="10"/>
  <c r="N597" i="5" s="1"/>
  <c r="H365" i="10"/>
  <c r="H373" i="10"/>
  <c r="H381" i="10"/>
  <c r="H389" i="10"/>
  <c r="H397" i="10"/>
  <c r="H405" i="10"/>
  <c r="H418" i="10"/>
  <c r="H426" i="10"/>
  <c r="H434" i="10"/>
  <c r="H442" i="10"/>
  <c r="H449" i="10"/>
  <c r="H457" i="10"/>
  <c r="H465" i="10"/>
  <c r="H472" i="10"/>
  <c r="H488" i="10"/>
  <c r="H511" i="10"/>
  <c r="H551" i="10"/>
  <c r="H10" i="10"/>
  <c r="H34" i="10"/>
  <c r="H58" i="10"/>
  <c r="H74" i="10"/>
  <c r="H106" i="10"/>
  <c r="H7" i="10"/>
  <c r="H15" i="10"/>
  <c r="H23" i="10"/>
  <c r="H31" i="10"/>
  <c r="H39" i="10"/>
  <c r="H47" i="10"/>
  <c r="H55" i="10"/>
  <c r="H63" i="10"/>
  <c r="H71" i="10"/>
  <c r="H79" i="10"/>
  <c r="H87" i="10"/>
  <c r="H95" i="10"/>
  <c r="H103" i="10"/>
  <c r="H111" i="10"/>
  <c r="H119" i="10"/>
  <c r="H127" i="10"/>
  <c r="H135" i="10"/>
  <c r="H143" i="10"/>
  <c r="H151" i="10"/>
  <c r="H159" i="10"/>
  <c r="H167" i="10"/>
  <c r="H175" i="10"/>
  <c r="N626" i="5" s="1"/>
  <c r="H183" i="10"/>
  <c r="H191" i="10"/>
  <c r="H199" i="10"/>
  <c r="H207" i="10"/>
  <c r="H215" i="10"/>
  <c r="H222" i="10"/>
  <c r="H230" i="10"/>
  <c r="H238" i="10"/>
  <c r="H246" i="10"/>
  <c r="H254" i="10"/>
  <c r="H262" i="10"/>
  <c r="H270" i="10"/>
  <c r="H278" i="10"/>
  <c r="H286" i="10"/>
  <c r="H294" i="10"/>
  <c r="H302" i="10"/>
  <c r="H310" i="10"/>
  <c r="H318" i="10"/>
  <c r="H326" i="10"/>
  <c r="H334" i="10"/>
  <c r="H342" i="10"/>
  <c r="H350" i="10"/>
  <c r="H358" i="10"/>
  <c r="N598" i="5" s="1"/>
  <c r="H366" i="10"/>
  <c r="H374" i="10"/>
  <c r="H382" i="10"/>
  <c r="H390" i="10"/>
  <c r="H398" i="10"/>
  <c r="H411" i="10"/>
  <c r="H419" i="10"/>
  <c r="H427" i="10"/>
  <c r="H435" i="10"/>
  <c r="H450" i="10"/>
  <c r="H458" i="10"/>
  <c r="H473" i="10"/>
  <c r="H481" i="10"/>
  <c r="H489" i="10"/>
  <c r="H497" i="10"/>
  <c r="H505" i="10"/>
  <c r="H512" i="10"/>
  <c r="H520" i="10"/>
  <c r="H528" i="10"/>
  <c r="H536" i="10"/>
  <c r="H544" i="10"/>
  <c r="H552" i="10"/>
  <c r="H18" i="10"/>
  <c r="H42" i="10"/>
  <c r="H66" i="10"/>
  <c r="H82" i="10"/>
  <c r="H98" i="10"/>
  <c r="H138" i="10"/>
  <c r="H178" i="10"/>
  <c r="H8" i="10"/>
  <c r="H16" i="10"/>
  <c r="H24" i="10"/>
  <c r="H32" i="10"/>
  <c r="H40" i="10"/>
  <c r="H48" i="10"/>
  <c r="H56" i="10"/>
  <c r="H64" i="10"/>
  <c r="H72" i="10"/>
  <c r="H80" i="10"/>
  <c r="H88" i="10"/>
  <c r="H96" i="10"/>
  <c r="H104" i="10"/>
  <c r="H112" i="10"/>
  <c r="H120" i="10"/>
  <c r="H128" i="10"/>
  <c r="H136" i="10"/>
  <c r="H144" i="10"/>
  <c r="H152" i="10"/>
  <c r="H160" i="10"/>
  <c r="H168" i="10"/>
  <c r="H176" i="10"/>
  <c r="H184" i="10"/>
  <c r="H192" i="10"/>
  <c r="H200" i="10"/>
  <c r="H208" i="10"/>
  <c r="H216" i="10"/>
  <c r="H223" i="10"/>
  <c r="H231" i="10"/>
  <c r="H239" i="10"/>
  <c r="H247" i="10"/>
  <c r="H255" i="10"/>
  <c r="H263" i="10"/>
  <c r="H271" i="10"/>
  <c r="H279" i="10"/>
  <c r="H287" i="10"/>
  <c r="H295" i="10"/>
  <c r="H303" i="10"/>
  <c r="H311" i="10"/>
  <c r="H319" i="10"/>
  <c r="H327" i="10"/>
  <c r="H335" i="10"/>
  <c r="H343" i="10"/>
  <c r="H351" i="10"/>
  <c r="H359" i="10"/>
  <c r="N599" i="5" s="1"/>
  <c r="H367" i="10"/>
  <c r="H375" i="10"/>
  <c r="H383" i="10"/>
  <c r="H391" i="10"/>
  <c r="H399" i="10"/>
  <c r="H406" i="10"/>
  <c r="H412" i="10"/>
  <c r="H420" i="10"/>
  <c r="H428" i="10"/>
  <c r="H436" i="10"/>
  <c r="H443" i="10"/>
  <c r="H451" i="10"/>
  <c r="H459" i="10"/>
  <c r="H466" i="10"/>
  <c r="H474" i="10"/>
  <c r="H482" i="10"/>
  <c r="H490" i="10"/>
  <c r="H498" i="10"/>
  <c r="H506" i="10"/>
  <c r="H513" i="10"/>
  <c r="H521" i="10"/>
  <c r="H529" i="10"/>
  <c r="H537" i="10"/>
  <c r="H545" i="10"/>
  <c r="H553" i="10"/>
  <c r="H561" i="10"/>
  <c r="H26" i="10"/>
  <c r="H50" i="10"/>
  <c r="H146" i="10"/>
  <c r="H186" i="10"/>
  <c r="H9" i="10"/>
  <c r="H17" i="10"/>
  <c r="H25" i="10"/>
  <c r="H33" i="10"/>
  <c r="H41" i="10"/>
  <c r="H49" i="10"/>
  <c r="H57" i="10"/>
  <c r="H65" i="10"/>
  <c r="H73" i="10"/>
  <c r="H81" i="10"/>
  <c r="H89" i="10"/>
  <c r="H97" i="10"/>
  <c r="H105" i="10"/>
  <c r="N1011" i="5" s="1"/>
  <c r="H113" i="10"/>
  <c r="H121" i="10"/>
  <c r="H129" i="10"/>
  <c r="H137" i="10"/>
  <c r="H145" i="10"/>
  <c r="H153" i="10"/>
  <c r="H161" i="10"/>
  <c r="H169" i="10"/>
  <c r="H177" i="10"/>
  <c r="H185" i="10"/>
  <c r="H193" i="10"/>
  <c r="H201" i="10"/>
  <c r="H209" i="10"/>
  <c r="H217" i="10"/>
  <c r="H224" i="10"/>
  <c r="H232" i="10"/>
  <c r="H240" i="10"/>
  <c r="H248" i="10"/>
  <c r="H256" i="10"/>
  <c r="H264" i="10"/>
  <c r="H272" i="10"/>
  <c r="H280" i="10"/>
  <c r="H288" i="10"/>
  <c r="H296" i="10"/>
  <c r="H304" i="10"/>
  <c r="H312" i="10"/>
  <c r="H320" i="10"/>
  <c r="H328" i="10"/>
  <c r="H336" i="10"/>
  <c r="H344" i="10"/>
  <c r="H352" i="10"/>
  <c r="H360" i="10"/>
  <c r="N600" i="5" s="1"/>
  <c r="H368" i="10"/>
  <c r="H376" i="10"/>
  <c r="H384" i="10"/>
  <c r="H392" i="10"/>
  <c r="H400" i="10"/>
  <c r="H407" i="10"/>
  <c r="H413" i="10"/>
  <c r="H421" i="10"/>
  <c r="H429" i="10"/>
  <c r="H437" i="10"/>
  <c r="H444" i="10"/>
  <c r="H452" i="10"/>
  <c r="H460" i="10"/>
  <c r="H467" i="10"/>
  <c r="H475" i="10"/>
  <c r="H483" i="10"/>
  <c r="H491" i="10"/>
  <c r="H499" i="10"/>
  <c r="H507" i="10"/>
  <c r="H514" i="10"/>
  <c r="H522" i="10"/>
  <c r="H530" i="10"/>
  <c r="H538" i="10"/>
  <c r="H554" i="10"/>
  <c r="H562" i="10"/>
  <c r="H2" i="10"/>
  <c r="H122" i="10"/>
  <c r="H170" i="10"/>
  <c r="H4" i="10"/>
  <c r="H12" i="10"/>
  <c r="H20" i="10"/>
  <c r="H28" i="10"/>
  <c r="N656" i="5" s="1"/>
  <c r="H36" i="10"/>
  <c r="H44" i="10"/>
  <c r="H52" i="10"/>
  <c r="H60" i="10"/>
  <c r="H68" i="10"/>
  <c r="H76" i="10"/>
  <c r="H84" i="10"/>
  <c r="H92" i="10"/>
  <c r="H100" i="10"/>
  <c r="H108" i="10"/>
  <c r="H116" i="10"/>
  <c r="H124" i="10"/>
  <c r="H132" i="10"/>
  <c r="H140" i="10"/>
  <c r="H148" i="10"/>
  <c r="N958" i="5" s="1"/>
  <c r="H156" i="10"/>
  <c r="H164" i="10"/>
  <c r="H172" i="10"/>
  <c r="H180" i="10"/>
  <c r="H188" i="10"/>
  <c r="H196" i="10"/>
  <c r="H204" i="10"/>
  <c r="H212" i="10"/>
  <c r="H219" i="10"/>
  <c r="H227" i="10"/>
  <c r="H235" i="10"/>
  <c r="H243" i="10"/>
  <c r="H251" i="10"/>
  <c r="N2" i="5" s="1"/>
  <c r="H259" i="10"/>
  <c r="H267" i="10"/>
  <c r="H275" i="10"/>
  <c r="H283" i="10"/>
  <c r="H291" i="10"/>
  <c r="H299" i="10"/>
  <c r="H307" i="10"/>
  <c r="H315" i="10"/>
  <c r="H323" i="10"/>
  <c r="H331" i="10"/>
  <c r="H339" i="10"/>
  <c r="H347" i="10"/>
  <c r="H355" i="10"/>
  <c r="H363" i="10"/>
  <c r="H371" i="10"/>
  <c r="H379" i="10"/>
  <c r="H387" i="10"/>
  <c r="H395" i="10"/>
  <c r="H403" i="10"/>
  <c r="H409" i="10"/>
  <c r="H416" i="10"/>
  <c r="H424" i="10"/>
  <c r="H432" i="10"/>
  <c r="H440" i="10"/>
  <c r="H447" i="10"/>
  <c r="H455" i="10"/>
  <c r="H463" i="10"/>
  <c r="H470" i="10"/>
  <c r="H478" i="10"/>
  <c r="H486" i="10"/>
  <c r="H494" i="10"/>
  <c r="H502" i="10"/>
  <c r="H509" i="10"/>
  <c r="H517" i="10"/>
  <c r="H525" i="10"/>
  <c r="N5" i="5" s="1"/>
  <c r="H533" i="10"/>
  <c r="H541" i="10"/>
  <c r="H549" i="10"/>
  <c r="H557" i="10"/>
  <c r="H114" i="10"/>
  <c r="H154" i="10"/>
  <c r="H194" i="10"/>
  <c r="H3" i="10"/>
  <c r="H67" i="10"/>
  <c r="H131" i="10"/>
  <c r="H195" i="10"/>
  <c r="H226" i="10"/>
  <c r="H258" i="10"/>
  <c r="H290" i="10"/>
  <c r="H322" i="10"/>
  <c r="H354" i="10"/>
  <c r="H386" i="10"/>
  <c r="N454" i="5" s="1"/>
  <c r="H415" i="10"/>
  <c r="H446" i="10"/>
  <c r="H477" i="10"/>
  <c r="H540" i="10"/>
  <c r="H99" i="10"/>
  <c r="H431" i="10"/>
  <c r="N482" i="5" s="1"/>
  <c r="H556" i="10"/>
  <c r="N277" i="5" s="1"/>
  <c r="H171" i="10"/>
  <c r="H281" i="10"/>
  <c r="H345" i="10"/>
  <c r="H438" i="10"/>
  <c r="H123" i="10"/>
  <c r="H225" i="10"/>
  <c r="H257" i="10"/>
  <c r="H289" i="10"/>
  <c r="H321" i="10"/>
  <c r="H385" i="10"/>
  <c r="H476" i="10"/>
  <c r="H11" i="10"/>
  <c r="H75" i="10"/>
  <c r="H139" i="10"/>
  <c r="H202" i="10"/>
  <c r="H233" i="10"/>
  <c r="H265" i="10"/>
  <c r="H297" i="10"/>
  <c r="H329" i="10"/>
  <c r="H361" i="10"/>
  <c r="H393" i="10"/>
  <c r="H422" i="10"/>
  <c r="H453" i="10"/>
  <c r="H484" i="10"/>
  <c r="H515" i="10"/>
  <c r="H547" i="10"/>
  <c r="H242" i="10"/>
  <c r="H338" i="10"/>
  <c r="H524" i="10"/>
  <c r="H500" i="10"/>
  <c r="H353" i="10"/>
  <c r="H445" i="10"/>
  <c r="H539" i="10"/>
  <c r="H19" i="10"/>
  <c r="H83" i="10"/>
  <c r="H147" i="10"/>
  <c r="N957" i="5" s="1"/>
  <c r="H203" i="10"/>
  <c r="H234" i="10"/>
  <c r="H266" i="10"/>
  <c r="H298" i="10"/>
  <c r="H330" i="10"/>
  <c r="H362" i="10"/>
  <c r="H394" i="10"/>
  <c r="H423" i="10"/>
  <c r="H454" i="10"/>
  <c r="H485" i="10"/>
  <c r="H516" i="10"/>
  <c r="H548" i="10"/>
  <c r="H492" i="10"/>
  <c r="H163" i="10"/>
  <c r="N612" i="5" s="1"/>
  <c r="H274" i="10"/>
  <c r="H370" i="10"/>
  <c r="H462" i="10"/>
  <c r="H43" i="10"/>
  <c r="H313" i="10"/>
  <c r="H531" i="10"/>
  <c r="H59" i="10"/>
  <c r="H187" i="10"/>
  <c r="H414" i="10"/>
  <c r="H27" i="10"/>
  <c r="N655" i="5" s="1"/>
  <c r="H91" i="10"/>
  <c r="H155" i="10"/>
  <c r="H210" i="10"/>
  <c r="H241" i="10"/>
  <c r="H273" i="10"/>
  <c r="H305" i="10"/>
  <c r="H337" i="10"/>
  <c r="H369" i="10"/>
  <c r="H401" i="10"/>
  <c r="H430" i="10"/>
  <c r="H461" i="10"/>
  <c r="H523" i="10"/>
  <c r="H555" i="10"/>
  <c r="N276" i="5" s="1"/>
  <c r="H35" i="10"/>
  <c r="H211" i="10"/>
  <c r="H306" i="10"/>
  <c r="H402" i="10"/>
  <c r="H493" i="10"/>
  <c r="H107" i="10"/>
  <c r="H249" i="10"/>
  <c r="H377" i="10"/>
  <c r="H468" i="10"/>
  <c r="H508" i="10"/>
  <c r="H51" i="10"/>
  <c r="H115" i="10"/>
  <c r="N1022" i="5" s="1"/>
  <c r="H179" i="10"/>
  <c r="N630" i="5" s="1"/>
  <c r="H218" i="10"/>
  <c r="H250" i="10"/>
  <c r="H282" i="10"/>
  <c r="H314" i="10"/>
  <c r="H346" i="10"/>
  <c r="H378" i="10"/>
  <c r="H408" i="10"/>
  <c r="H439" i="10"/>
  <c r="H469" i="10"/>
  <c r="H501" i="10"/>
  <c r="H532" i="10"/>
  <c r="J239" i="5"/>
  <c r="K239" i="5" s="1"/>
  <c r="M767" i="5"/>
  <c r="J1124" i="5"/>
  <c r="K1124" i="5" s="1"/>
  <c r="J154" i="5"/>
  <c r="K154" i="5" s="1"/>
  <c r="J1080" i="5"/>
  <c r="K1080" i="5" s="1"/>
  <c r="J939" i="5"/>
  <c r="K939" i="5" s="1"/>
  <c r="J515" i="5"/>
  <c r="K515" i="5" s="1"/>
  <c r="J869" i="5"/>
  <c r="K869" i="5" s="1"/>
  <c r="J746" i="5"/>
  <c r="K746" i="5" s="1"/>
  <c r="J49" i="5"/>
  <c r="K49" i="5" s="1"/>
  <c r="J65" i="5"/>
  <c r="K65" i="5" s="1"/>
  <c r="J261" i="5"/>
  <c r="K261" i="5" s="1"/>
  <c r="J613" i="5"/>
  <c r="K613" i="5" s="1"/>
  <c r="J202" i="5"/>
  <c r="K202" i="5" s="1"/>
  <c r="J236" i="5"/>
  <c r="K236" i="5" s="1"/>
  <c r="J888" i="5"/>
  <c r="K888" i="5" s="1"/>
  <c r="J973" i="5"/>
  <c r="K973" i="5" s="1"/>
  <c r="J819" i="5"/>
  <c r="K819" i="5" s="1"/>
  <c r="J668" i="5"/>
  <c r="K668" i="5" s="1"/>
  <c r="M778" i="5"/>
  <c r="J1168" i="5"/>
  <c r="K1168" i="5" s="1"/>
  <c r="M609" i="5"/>
  <c r="M576" i="5"/>
  <c r="M345" i="5"/>
  <c r="J911" i="5"/>
  <c r="K911" i="5" s="1"/>
  <c r="M954" i="5"/>
  <c r="J1032" i="5"/>
  <c r="K1032" i="5" s="1"/>
  <c r="J669" i="5"/>
  <c r="K669" i="5" s="1"/>
  <c r="J676" i="5"/>
  <c r="K676" i="5" s="1"/>
  <c r="J898" i="5"/>
  <c r="K898" i="5" s="1"/>
  <c r="J511" i="5"/>
  <c r="K511" i="5" s="1"/>
  <c r="J872" i="5"/>
  <c r="K872" i="5" s="1"/>
  <c r="J88" i="5"/>
  <c r="K88" i="5" s="1"/>
  <c r="M758" i="5"/>
  <c r="M1103" i="5"/>
  <c r="J98" i="5"/>
  <c r="K98" i="5" s="1"/>
  <c r="J949" i="5"/>
  <c r="K949" i="5" s="1"/>
  <c r="J310" i="5"/>
  <c r="K310" i="5" s="1"/>
  <c r="M1031" i="5"/>
  <c r="M484" i="5"/>
  <c r="J1155" i="5"/>
  <c r="K1155" i="5" s="1"/>
  <c r="J1061" i="5"/>
  <c r="K1061" i="5" s="1"/>
  <c r="M1146" i="5"/>
  <c r="J923" i="5"/>
  <c r="K923" i="5" s="1"/>
  <c r="M1094" i="5"/>
  <c r="J943" i="5"/>
  <c r="K943" i="5" s="1"/>
  <c r="M373" i="5"/>
  <c r="J1144" i="5"/>
  <c r="K1144" i="5" s="1"/>
  <c r="J853" i="5"/>
  <c r="K853" i="5" s="1"/>
  <c r="M927" i="5"/>
  <c r="M592" i="5"/>
  <c r="M330" i="5"/>
  <c r="J813" i="5"/>
  <c r="K813" i="5" s="1"/>
  <c r="J1119" i="5"/>
  <c r="K1119" i="5" s="1"/>
  <c r="M534" i="5"/>
  <c r="J675" i="5"/>
  <c r="K675" i="5" s="1"/>
  <c r="M156" i="5"/>
  <c r="M461" i="5"/>
  <c r="M1077" i="5"/>
  <c r="M397" i="5"/>
  <c r="J20" i="5"/>
  <c r="K20" i="5" s="1"/>
  <c r="J1097" i="5"/>
  <c r="K1097" i="5" s="1"/>
  <c r="J615" i="5"/>
  <c r="K615" i="5" s="1"/>
  <c r="M340" i="5"/>
  <c r="J986" i="5"/>
  <c r="K986" i="5" s="1"/>
  <c r="M745" i="5"/>
  <c r="M77" i="5"/>
  <c r="J452" i="5"/>
  <c r="K452" i="5" s="1"/>
  <c r="J559" i="5"/>
  <c r="K559" i="5" s="1"/>
  <c r="M332" i="5"/>
  <c r="J871" i="5"/>
  <c r="K871" i="5" s="1"/>
  <c r="J242" i="5"/>
  <c r="K242" i="5" s="1"/>
  <c r="J181" i="5"/>
  <c r="K181" i="5" s="1"/>
  <c r="J877" i="5"/>
  <c r="K877" i="5" s="1"/>
  <c r="M382" i="5"/>
  <c r="M1108" i="5"/>
  <c r="J905" i="5"/>
  <c r="K905" i="5" s="1"/>
  <c r="M92" i="5"/>
  <c r="J476" i="5"/>
  <c r="K476" i="5" s="1"/>
  <c r="J1104" i="5"/>
  <c r="K1104" i="5" s="1"/>
  <c r="M550" i="5"/>
  <c r="M709" i="5"/>
  <c r="M387" i="5"/>
  <c r="M278" i="5"/>
  <c r="J294" i="5"/>
  <c r="K294" i="5" s="1"/>
  <c r="J831" i="5"/>
  <c r="K831" i="5" s="1"/>
  <c r="J563" i="5"/>
  <c r="K563" i="5" s="1"/>
  <c r="J792" i="5"/>
  <c r="K792" i="5" s="1"/>
  <c r="J999" i="5"/>
  <c r="K999" i="5" s="1"/>
  <c r="J945" i="5"/>
  <c r="K945" i="5" s="1"/>
  <c r="J390" i="5"/>
  <c r="K390" i="5" s="1"/>
  <c r="M916" i="5"/>
  <c r="J969" i="5"/>
  <c r="K969" i="5" s="1"/>
  <c r="J80" i="5"/>
  <c r="K80" i="5" s="1"/>
  <c r="M1043" i="5"/>
  <c r="J596" i="5"/>
  <c r="K596" i="5" s="1"/>
  <c r="J1011" i="5"/>
  <c r="K1011" i="5" s="1"/>
  <c r="M385" i="5"/>
  <c r="J150" i="5"/>
  <c r="K150" i="5" s="1"/>
  <c r="M890" i="5"/>
  <c r="J748" i="5"/>
  <c r="K748" i="5" s="1"/>
  <c r="J306" i="5"/>
  <c r="K306" i="5" s="1"/>
  <c r="M172" i="5"/>
  <c r="M209" i="5"/>
  <c r="M205" i="5"/>
  <c r="J498" i="5"/>
  <c r="K498" i="5" s="1"/>
  <c r="M942" i="5"/>
  <c r="J166" i="5"/>
  <c r="K166" i="5" s="1"/>
  <c r="M170" i="5"/>
  <c r="J1171" i="5"/>
  <c r="K1171" i="5" s="1"/>
  <c r="J523" i="5"/>
  <c r="K523" i="5" s="1"/>
  <c r="M761" i="5"/>
  <c r="J753" i="5"/>
  <c r="K753" i="5" s="1"/>
  <c r="J723" i="5"/>
  <c r="K723" i="5" s="1"/>
  <c r="J631" i="5"/>
  <c r="K631" i="5" s="1"/>
  <c r="J713" i="5"/>
  <c r="K713" i="5" s="1"/>
  <c r="J85" i="5"/>
  <c r="K85" i="5" s="1"/>
  <c r="J307" i="5"/>
  <c r="K307" i="5" s="1"/>
  <c r="J826" i="5"/>
  <c r="K826" i="5" s="1"/>
  <c r="J886" i="5"/>
  <c r="K886" i="5" s="1"/>
  <c r="J968" i="5"/>
  <c r="K968" i="5" s="1"/>
  <c r="J1058" i="5"/>
  <c r="K1058" i="5" s="1"/>
  <c r="J23" i="5"/>
  <c r="K23" i="5" s="1"/>
  <c r="M673" i="5"/>
  <c r="J464" i="5"/>
  <c r="K464" i="5" s="1"/>
  <c r="M719" i="5"/>
  <c r="M474" i="5"/>
  <c r="J407" i="5"/>
  <c r="K407" i="5" s="1"/>
  <c r="J706" i="5"/>
  <c r="K706" i="5" s="1"/>
  <c r="M567" i="5"/>
  <c r="M1140" i="5"/>
  <c r="J1161" i="5"/>
  <c r="K1161" i="5" s="1"/>
  <c r="J274" i="5"/>
  <c r="K274" i="5" s="1"/>
  <c r="M883" i="5"/>
  <c r="J222" i="5"/>
  <c r="K222" i="5" s="1"/>
  <c r="J347" i="5"/>
  <c r="K347" i="5" s="1"/>
  <c r="M339" i="5"/>
  <c r="J712" i="5"/>
  <c r="K712" i="5" s="1"/>
  <c r="M408" i="5"/>
  <c r="M165" i="5"/>
  <c r="M868" i="5"/>
  <c r="M662" i="5"/>
  <c r="J169" i="5"/>
  <c r="K169" i="5" s="1"/>
  <c r="M635" i="5"/>
  <c r="M163" i="5"/>
  <c r="J689" i="5"/>
  <c r="K689" i="5" s="1"/>
  <c r="J391" i="5"/>
  <c r="K391" i="5" s="1"/>
  <c r="J727" i="5"/>
  <c r="K727" i="5" s="1"/>
  <c r="J775" i="5"/>
  <c r="K775" i="5" s="1"/>
  <c r="J437" i="5"/>
  <c r="K437" i="5" s="1"/>
  <c r="M786" i="5"/>
  <c r="M323" i="5"/>
  <c r="M429" i="5"/>
  <c r="J183" i="5"/>
  <c r="K183" i="5" s="1"/>
  <c r="M59" i="5"/>
  <c r="J210" i="5"/>
  <c r="K210" i="5" s="1"/>
  <c r="J266" i="5"/>
  <c r="K266" i="5" s="1"/>
  <c r="M226" i="5"/>
  <c r="J111" i="5"/>
  <c r="K111" i="5" s="1"/>
  <c r="J197" i="5"/>
  <c r="K197" i="5" s="1"/>
  <c r="M562" i="5"/>
  <c r="J137" i="5"/>
  <c r="K137" i="5" s="1"/>
  <c r="J194" i="5"/>
  <c r="K194" i="5" s="1"/>
  <c r="J539" i="5"/>
  <c r="K539" i="5" s="1"/>
  <c r="J951" i="5"/>
  <c r="K951" i="5" s="1"/>
  <c r="J899" i="5"/>
  <c r="K899" i="5" s="1"/>
  <c r="M270" i="5"/>
  <c r="M894" i="5"/>
  <c r="M928" i="5"/>
  <c r="J331" i="5"/>
  <c r="K331" i="5" s="1"/>
  <c r="J221" i="5"/>
  <c r="K221" i="5" s="1"/>
  <c r="J22" i="5"/>
  <c r="K22" i="5" s="1"/>
  <c r="M630" i="5"/>
  <c r="J1049" i="5"/>
  <c r="K1049" i="5" s="1"/>
  <c r="M1136" i="5"/>
  <c r="J1115" i="5"/>
  <c r="K1115" i="5" s="1"/>
  <c r="M486" i="5"/>
  <c r="M362" i="5"/>
  <c r="M454" i="5"/>
  <c r="J803" i="5"/>
  <c r="K803" i="5" s="1"/>
  <c r="J757" i="5"/>
  <c r="K757" i="5" s="1"/>
  <c r="J34" i="5"/>
  <c r="K34" i="5" s="1"/>
  <c r="J607" i="5"/>
  <c r="K607" i="5" s="1"/>
  <c r="J697" i="5"/>
  <c r="K697" i="5" s="1"/>
  <c r="J95" i="5"/>
  <c r="K95" i="5" s="1"/>
  <c r="J878" i="5"/>
  <c r="K878" i="5" s="1"/>
  <c r="J230" i="5"/>
  <c r="K230" i="5" s="1"/>
  <c r="J820" i="5"/>
  <c r="K820" i="5" s="1"/>
  <c r="M497" i="5"/>
  <c r="M185" i="5"/>
  <c r="J688" i="5"/>
  <c r="K688" i="5" s="1"/>
  <c r="M453" i="5"/>
  <c r="M536" i="5"/>
  <c r="J632" i="5"/>
  <c r="K632" i="5" s="1"/>
  <c r="M353" i="5"/>
  <c r="J253" i="5"/>
  <c r="K253" i="5" s="1"/>
  <c r="J691" i="5"/>
  <c r="K691" i="5" s="1"/>
  <c r="M690" i="5"/>
  <c r="J549" i="5"/>
  <c r="K549" i="5" s="1"/>
  <c r="J964" i="5"/>
  <c r="K964" i="5" s="1"/>
  <c r="M981" i="5"/>
  <c r="J366" i="5"/>
  <c r="K366" i="5" s="1"/>
  <c r="J693" i="5"/>
  <c r="K693" i="5" s="1"/>
  <c r="M171" i="5"/>
  <c r="M275" i="5"/>
  <c r="M127" i="5"/>
  <c r="M299" i="5"/>
  <c r="M24" i="5"/>
  <c r="J749" i="5"/>
  <c r="K749" i="5" s="1"/>
  <c r="J42" i="5"/>
  <c r="K42" i="5" s="1"/>
  <c r="J313" i="5"/>
  <c r="K313" i="5" s="1"/>
  <c r="M112" i="5"/>
  <c r="M543" i="5"/>
  <c r="M891" i="5"/>
  <c r="M652" i="5"/>
  <c r="M284" i="5"/>
  <c r="J485" i="5"/>
  <c r="K485" i="5" s="1"/>
  <c r="J1027" i="5"/>
  <c r="K1027" i="5" s="1"/>
  <c r="J755" i="5"/>
  <c r="K755" i="5" s="1"/>
  <c r="J909" i="5"/>
  <c r="K909" i="5" s="1"/>
  <c r="J841" i="5"/>
  <c r="K841" i="5" s="1"/>
  <c r="J791" i="5"/>
  <c r="K791" i="5" s="1"/>
  <c r="J707" i="5"/>
  <c r="K707" i="5" s="1"/>
  <c r="M716" i="5"/>
  <c r="J952" i="5"/>
  <c r="K952" i="5" s="1"/>
  <c r="M384" i="5"/>
  <c r="M201" i="5"/>
  <c r="J1172" i="5"/>
  <c r="K1172" i="5" s="1"/>
  <c r="M443" i="5"/>
  <c r="M1109" i="5"/>
  <c r="M1073" i="5"/>
  <c r="J889" i="5"/>
  <c r="K889" i="5" s="1"/>
  <c r="M96" i="5"/>
  <c r="J649" i="5"/>
  <c r="K649" i="5" s="1"/>
  <c r="J705" i="5"/>
  <c r="K705" i="5" s="1"/>
  <c r="J585" i="5"/>
  <c r="K585" i="5" s="1"/>
  <c r="J998" i="5"/>
  <c r="K998" i="5" s="1"/>
  <c r="M967" i="5"/>
  <c r="J876" i="5"/>
  <c r="K876" i="5" s="1"/>
  <c r="M27" i="5"/>
  <c r="J583" i="5"/>
  <c r="K583" i="5" s="1"/>
  <c r="J318" i="5"/>
  <c r="K318" i="5" s="1"/>
  <c r="M765" i="5"/>
  <c r="M788" i="5"/>
  <c r="J405" i="5"/>
  <c r="K405" i="5" s="1"/>
  <c r="J1001" i="5"/>
  <c r="K1001" i="5" s="1"/>
  <c r="J811" i="5"/>
  <c r="K811" i="5" s="1"/>
  <c r="J608" i="5"/>
  <c r="K608" i="5" s="1"/>
  <c r="J439" i="5"/>
  <c r="K439" i="5" s="1"/>
  <c r="M1147" i="5"/>
  <c r="M1067" i="5"/>
  <c r="J282" i="5"/>
  <c r="K282" i="5" s="1"/>
  <c r="J247" i="5"/>
  <c r="K247" i="5" s="1"/>
  <c r="M1111" i="5"/>
  <c r="M6" i="5"/>
  <c r="J520" i="5"/>
  <c r="K520" i="5" s="1"/>
  <c r="M520" i="5"/>
  <c r="M86" i="5"/>
  <c r="J86" i="5"/>
  <c r="K86" i="5" s="1"/>
  <c r="M235" i="5"/>
  <c r="J887" i="5"/>
  <c r="K887" i="5" s="1"/>
  <c r="J648" i="5"/>
  <c r="K648" i="5" s="1"/>
  <c r="M847" i="5"/>
  <c r="J654" i="5"/>
  <c r="K654" i="5" s="1"/>
  <c r="M739" i="5"/>
  <c r="J739" i="5"/>
  <c r="K739" i="5" s="1"/>
  <c r="J68" i="5"/>
  <c r="K68" i="5" s="1"/>
  <c r="M68" i="5"/>
  <c r="J893" i="5"/>
  <c r="K893" i="5" s="1"/>
  <c r="J953" i="5"/>
  <c r="K953" i="5" s="1"/>
  <c r="J120" i="5"/>
  <c r="K120" i="5" s="1"/>
  <c r="M120" i="5"/>
  <c r="J828" i="5"/>
  <c r="K828" i="5" s="1"/>
  <c r="M828" i="5"/>
  <c r="M970" i="5"/>
  <c r="J970" i="5"/>
  <c r="K970" i="5" s="1"/>
  <c r="M822" i="5"/>
  <c r="M252" i="5"/>
  <c r="J252" i="5"/>
  <c r="K252" i="5" s="1"/>
  <c r="J1064" i="5"/>
  <c r="K1064" i="5" s="1"/>
  <c r="J1055" i="5"/>
  <c r="K1055" i="5" s="1"/>
  <c r="M342" i="5"/>
  <c r="M698" i="5"/>
  <c r="J698" i="5"/>
  <c r="K698" i="5" s="1"/>
  <c r="M506" i="5"/>
  <c r="J506" i="5"/>
  <c r="K506" i="5" s="1"/>
  <c r="M70" i="5"/>
  <c r="M81" i="5"/>
  <c r="J81" i="5"/>
  <c r="K81" i="5" s="1"/>
  <c r="J561" i="5"/>
  <c r="K561" i="5" s="1"/>
  <c r="J646" i="5"/>
  <c r="K646" i="5" s="1"/>
  <c r="M213" i="5"/>
  <c r="J213" i="5"/>
  <c r="K213" i="5" s="1"/>
  <c r="J87" i="5"/>
  <c r="K87" i="5" s="1"/>
  <c r="J527" i="5"/>
  <c r="K527" i="5" s="1"/>
  <c r="M835" i="5"/>
  <c r="J346" i="5"/>
  <c r="K346" i="5" s="1"/>
  <c r="J874" i="5"/>
  <c r="K874" i="5" s="1"/>
  <c r="M874" i="5"/>
  <c r="J870" i="5"/>
  <c r="K870" i="5" s="1"/>
  <c r="M686" i="5"/>
  <c r="J1051" i="5"/>
  <c r="K1051" i="5" s="1"/>
  <c r="M1051" i="5"/>
  <c r="J660" i="5"/>
  <c r="K660" i="5" s="1"/>
  <c r="M660" i="5"/>
  <c r="J130" i="5"/>
  <c r="K130" i="5" s="1"/>
  <c r="M130" i="5"/>
  <c r="J1135" i="5"/>
  <c r="K1135" i="5" s="1"/>
  <c r="J269" i="5"/>
  <c r="K269" i="5" s="1"/>
  <c r="J1167" i="5"/>
  <c r="K1167" i="5" s="1"/>
  <c r="J1081" i="5"/>
  <c r="K1081" i="5" s="1"/>
  <c r="M582" i="5"/>
  <c r="J297" i="5"/>
  <c r="K297" i="5" s="1"/>
  <c r="J875" i="5"/>
  <c r="K875" i="5" s="1"/>
  <c r="M875" i="5"/>
  <c r="M925" i="5"/>
  <c r="J915" i="5"/>
  <c r="K915" i="5" s="1"/>
  <c r="J708" i="5"/>
  <c r="K708" i="5" s="1"/>
  <c r="M708" i="5"/>
  <c r="M289" i="5"/>
  <c r="J475" i="5"/>
  <c r="K475" i="5" s="1"/>
  <c r="M781" i="5"/>
  <c r="J179" i="5"/>
  <c r="K179" i="5" s="1"/>
  <c r="J736" i="5"/>
  <c r="K736" i="5" s="1"/>
  <c r="M736" i="5"/>
  <c r="M1116" i="5"/>
  <c r="J793" i="5"/>
  <c r="K793" i="5" s="1"/>
  <c r="M254" i="5"/>
  <c r="J254" i="5"/>
  <c r="K254" i="5" s="1"/>
  <c r="J812" i="5"/>
  <c r="K812" i="5" s="1"/>
  <c r="M135" i="5"/>
  <c r="J135" i="5"/>
  <c r="K135" i="5" s="1"/>
  <c r="M212" i="5"/>
  <c r="J73" i="5"/>
  <c r="K73" i="5" s="1"/>
  <c r="M73" i="5"/>
  <c r="M164" i="5"/>
  <c r="J164" i="5"/>
  <c r="K164" i="5" s="1"/>
  <c r="J488" i="5"/>
  <c r="K488" i="5" s="1"/>
  <c r="M488" i="5"/>
  <c r="M715" i="5"/>
  <c r="J715" i="5"/>
  <c r="K715" i="5" s="1"/>
  <c r="M532" i="5"/>
  <c r="J532" i="5"/>
  <c r="K532" i="5" s="1"/>
  <c r="J9" i="5"/>
  <c r="K9" i="5" s="1"/>
  <c r="M9" i="5"/>
  <c r="J522" i="5"/>
  <c r="K522" i="5" s="1"/>
  <c r="M522" i="5"/>
  <c r="M467" i="5"/>
  <c r="J467" i="5"/>
  <c r="K467" i="5" s="1"/>
  <c r="M404" i="5"/>
  <c r="J404" i="5"/>
  <c r="K404" i="5" s="1"/>
  <c r="M940" i="5"/>
  <c r="J940" i="5"/>
  <c r="K940" i="5" s="1"/>
  <c r="M147" i="5"/>
  <c r="J147" i="5"/>
  <c r="K147" i="5" s="1"/>
  <c r="M971" i="5"/>
  <c r="J971" i="5"/>
  <c r="K971" i="5" s="1"/>
  <c r="M546" i="5"/>
  <c r="J546" i="5"/>
  <c r="K546" i="5" s="1"/>
  <c r="M587" i="5"/>
  <c r="J587" i="5"/>
  <c r="K587" i="5" s="1"/>
  <c r="J525" i="5"/>
  <c r="K525" i="5" s="1"/>
  <c r="M525" i="5"/>
  <c r="M176" i="5"/>
  <c r="J176" i="5"/>
  <c r="K176" i="5" s="1"/>
  <c r="M37" i="5"/>
  <c r="J37" i="5"/>
  <c r="K37" i="5" s="1"/>
  <c r="J1175" i="5"/>
  <c r="K1175" i="5" s="1"/>
  <c r="J296" i="5"/>
  <c r="K296" i="5" s="1"/>
  <c r="J325" i="5"/>
  <c r="K325" i="5" s="1"/>
  <c r="J696" i="5"/>
  <c r="K696" i="5" s="1"/>
  <c r="J1121" i="5"/>
  <c r="K1121" i="5" s="1"/>
  <c r="J833" i="5"/>
  <c r="K833" i="5" s="1"/>
  <c r="J494" i="5"/>
  <c r="K494" i="5" s="1"/>
  <c r="M650" i="5"/>
  <c r="M571" i="5"/>
  <c r="J255" i="5"/>
  <c r="K255" i="5" s="1"/>
  <c r="M255" i="5"/>
  <c r="J1060" i="5"/>
  <c r="K1060" i="5" s="1"/>
  <c r="M1060" i="5"/>
  <c r="M885" i="5"/>
  <c r="J492" i="5"/>
  <c r="K492" i="5" s="1"/>
  <c r="J779" i="5"/>
  <c r="K779" i="5" s="1"/>
  <c r="M779" i="5"/>
  <c r="M634" i="5"/>
  <c r="J223" i="5"/>
  <c r="K223" i="5" s="1"/>
  <c r="J619" i="5"/>
  <c r="K619" i="5" s="1"/>
  <c r="M1098" i="5"/>
  <c r="J1098" i="5"/>
  <c r="K1098" i="5" s="1"/>
  <c r="M1018" i="5"/>
  <c r="J897" i="5"/>
  <c r="K897" i="5" s="1"/>
  <c r="M897" i="5"/>
  <c r="J694" i="5"/>
  <c r="K694" i="5" s="1"/>
  <c r="M14" i="5"/>
  <c r="M681" i="5"/>
  <c r="J681" i="5"/>
  <c r="K681" i="5" s="1"/>
  <c r="J468" i="5"/>
  <c r="K468" i="5" s="1"/>
  <c r="M108" i="5"/>
  <c r="J108" i="5"/>
  <c r="K108" i="5" s="1"/>
  <c r="J160" i="5"/>
  <c r="K160" i="5" s="1"/>
  <c r="J374" i="5"/>
  <c r="K374" i="5" s="1"/>
  <c r="M283" i="5"/>
  <c r="M435" i="5"/>
  <c r="J797" i="5"/>
  <c r="K797" i="5" s="1"/>
  <c r="M797" i="5"/>
  <c r="M955" i="5"/>
  <c r="J955" i="5"/>
  <c r="K955" i="5" s="1"/>
  <c r="J663" i="5"/>
  <c r="K663" i="5" s="1"/>
  <c r="M663" i="5"/>
  <c r="M217" i="5"/>
  <c r="J217" i="5"/>
  <c r="K217" i="5" s="1"/>
  <c r="M74" i="5"/>
  <c r="J74" i="5"/>
  <c r="K74" i="5" s="1"/>
  <c r="J1099" i="5"/>
  <c r="K1099" i="5" s="1"/>
  <c r="J658" i="5"/>
  <c r="K658" i="5" s="1"/>
  <c r="M1158" i="5"/>
  <c r="M541" i="5"/>
  <c r="J128" i="5"/>
  <c r="K128" i="5" s="1"/>
  <c r="M128" i="5"/>
  <c r="M244" i="5"/>
  <c r="J244" i="5"/>
  <c r="K244" i="5" s="1"/>
  <c r="J966" i="5"/>
  <c r="K966" i="5" s="1"/>
  <c r="M966" i="5"/>
  <c r="J814" i="5"/>
  <c r="K814" i="5" s="1"/>
  <c r="J804" i="5"/>
  <c r="K804" i="5" s="1"/>
  <c r="J862" i="5"/>
  <c r="K862" i="5" s="1"/>
  <c r="M862" i="5"/>
  <c r="J482" i="5"/>
  <c r="K482" i="5" s="1"/>
  <c r="M482" i="5"/>
  <c r="M703" i="5"/>
  <c r="J703" i="5"/>
  <c r="K703" i="5" s="1"/>
  <c r="J329" i="5"/>
  <c r="K329" i="5" s="1"/>
  <c r="M329" i="5"/>
  <c r="M848" i="5"/>
  <c r="J848" i="5"/>
  <c r="K848" i="5" s="1"/>
  <c r="M249" i="5"/>
  <c r="J249" i="5"/>
  <c r="K249" i="5" s="1"/>
  <c r="M503" i="5"/>
  <c r="J503" i="5"/>
  <c r="K503" i="5" s="1"/>
  <c r="J142" i="5"/>
  <c r="K142" i="5" s="1"/>
  <c r="M142" i="5"/>
  <c r="M258" i="5"/>
  <c r="J827" i="5"/>
  <c r="K827" i="5" s="1"/>
  <c r="J238" i="5"/>
  <c r="K238" i="5" s="1"/>
  <c r="M1148" i="5"/>
  <c r="J795" i="5"/>
  <c r="K795" i="5" s="1"/>
  <c r="M931" i="5"/>
  <c r="J518" i="5"/>
  <c r="K518" i="5" s="1"/>
  <c r="J133" i="5"/>
  <c r="K133" i="5" s="1"/>
  <c r="M783" i="5"/>
  <c r="J1034" i="5"/>
  <c r="K1034" i="5" s="1"/>
  <c r="M1034" i="5"/>
  <c r="J1118" i="5"/>
  <c r="K1118" i="5" s="1"/>
  <c r="J565" i="5"/>
  <c r="K565" i="5" s="1"/>
  <c r="J102" i="5"/>
  <c r="K102" i="5" s="1"/>
  <c r="M102" i="5"/>
  <c r="M338" i="5"/>
  <c r="J338" i="5"/>
  <c r="K338" i="5" s="1"/>
  <c r="M508" i="5"/>
  <c r="J508" i="5"/>
  <c r="K508" i="5" s="1"/>
  <c r="J309" i="5"/>
  <c r="K309" i="5" s="1"/>
  <c r="M309" i="5"/>
  <c r="J268" i="5"/>
  <c r="K268" i="5" s="1"/>
  <c r="M948" i="5"/>
  <c r="J948" i="5"/>
  <c r="K948" i="5" s="1"/>
  <c r="J852" i="5"/>
  <c r="K852" i="5" s="1"/>
  <c r="M852" i="5"/>
  <c r="J177" i="5"/>
  <c r="K177" i="5" s="1"/>
  <c r="M177" i="5"/>
  <c r="J477" i="5"/>
  <c r="K477" i="5" s="1"/>
  <c r="M477" i="5"/>
  <c r="J12" i="5"/>
  <c r="K12" i="5" s="1"/>
  <c r="M12" i="5"/>
  <c r="J204" i="5"/>
  <c r="K204" i="5" s="1"/>
  <c r="M204" i="5"/>
  <c r="J472" i="5"/>
  <c r="K472" i="5" s="1"/>
  <c r="M472" i="5"/>
  <c r="M84" i="5"/>
  <c r="J84" i="5"/>
  <c r="K84" i="5" s="1"/>
  <c r="M873" i="5"/>
  <c r="J873" i="5"/>
  <c r="K873" i="5" s="1"/>
  <c r="M538" i="5"/>
  <c r="J538" i="5"/>
  <c r="K538" i="5" s="1"/>
  <c r="J1022" i="5"/>
  <c r="K1022" i="5" s="1"/>
  <c r="M1022" i="5"/>
  <c r="M699" i="5"/>
  <c r="J699" i="5"/>
  <c r="K699" i="5" s="1"/>
  <c r="M174" i="5"/>
  <c r="J174" i="5"/>
  <c r="K174" i="5" s="1"/>
  <c r="J110" i="5"/>
  <c r="K110" i="5" s="1"/>
  <c r="M110" i="5"/>
  <c r="J134" i="5"/>
  <c r="K134" i="5" s="1"/>
  <c r="M134" i="5"/>
  <c r="M1023" i="5"/>
  <c r="M936" i="5"/>
  <c r="J808" i="5"/>
  <c r="K808" i="5" s="1"/>
  <c r="M198" i="5"/>
  <c r="M82" i="5"/>
  <c r="J93" i="5"/>
  <c r="K93" i="5" s="1"/>
  <c r="M638" i="5"/>
  <c r="J481" i="5"/>
  <c r="K481" i="5" s="1"/>
  <c r="M1028" i="5"/>
  <c r="J465" i="5"/>
  <c r="K465" i="5" s="1"/>
  <c r="M192" i="5"/>
  <c r="M416" i="5"/>
  <c r="M433" i="5"/>
  <c r="J517" i="5"/>
  <c r="K517" i="5" s="1"/>
  <c r="J1046" i="5"/>
  <c r="K1046" i="5" s="1"/>
  <c r="J629" i="5"/>
  <c r="K629" i="5" s="1"/>
  <c r="M780" i="5"/>
  <c r="M372" i="5"/>
  <c r="M1044" i="5"/>
  <c r="M314" i="5"/>
  <c r="M787" i="5"/>
  <c r="M305" i="5"/>
  <c r="M115" i="5"/>
  <c r="J1039" i="5"/>
  <c r="K1039" i="5" s="1"/>
  <c r="J884" i="5"/>
  <c r="K884" i="5" s="1"/>
  <c r="M107" i="5"/>
  <c r="M434" i="5"/>
  <c r="J880" i="5"/>
  <c r="K880" i="5" s="1"/>
  <c r="J733" i="5"/>
  <c r="K733" i="5" s="1"/>
  <c r="J493" i="5"/>
  <c r="K493" i="5" s="1"/>
  <c r="J436" i="5"/>
  <c r="K436" i="5" s="1"/>
  <c r="J233" i="5"/>
  <c r="K233" i="5" s="1"/>
  <c r="J232" i="5"/>
  <c r="K232" i="5" s="1"/>
  <c r="M140" i="5"/>
  <c r="J173" i="5"/>
  <c r="K173" i="5" s="1"/>
  <c r="J61" i="5"/>
  <c r="K61" i="5" s="1"/>
  <c r="M78" i="5"/>
  <c r="J91" i="5"/>
  <c r="K91" i="5" s="1"/>
  <c r="J327" i="5"/>
  <c r="K327" i="5" s="1"/>
  <c r="M28" i="5"/>
  <c r="J496" i="5"/>
  <c r="K496" i="5" s="1"/>
  <c r="M744" i="5"/>
  <c r="M441" i="5"/>
  <c r="M265" i="5"/>
  <c r="M220" i="5"/>
  <c r="J535" i="5"/>
  <c r="K535" i="5" s="1"/>
  <c r="J257" i="5"/>
  <c r="K257" i="5" s="1"/>
  <c r="M72" i="5"/>
  <c r="J375" i="5"/>
  <c r="K375" i="5" s="1"/>
  <c r="J188" i="5"/>
  <c r="K188" i="5" s="1"/>
  <c r="J237" i="5"/>
  <c r="K237" i="5" s="1"/>
  <c r="J189" i="5"/>
  <c r="K189" i="5" s="1"/>
  <c r="M319" i="5"/>
  <c r="J240" i="5"/>
  <c r="K240" i="5" s="1"/>
  <c r="M400" i="5"/>
  <c r="J35" i="5"/>
  <c r="K35" i="5" s="1"/>
  <c r="J216" i="5"/>
  <c r="K216" i="5" s="1"/>
  <c r="M398" i="5"/>
  <c r="M367" i="5"/>
  <c r="J618" i="5"/>
  <c r="K618" i="5" s="1"/>
  <c r="J445" i="5"/>
  <c r="K445" i="5" s="1"/>
  <c r="M131" i="5"/>
  <c r="M126" i="5"/>
  <c r="J554" i="5"/>
  <c r="K554" i="5" s="1"/>
  <c r="J622" i="5"/>
  <c r="K622" i="5" s="1"/>
  <c r="J276" i="5"/>
  <c r="K276" i="5" s="1"/>
  <c r="J117" i="5"/>
  <c r="K117" i="5" s="1"/>
  <c r="J1157" i="5"/>
  <c r="K1157" i="5" s="1"/>
  <c r="J1159" i="5"/>
  <c r="K1159" i="5" s="1"/>
  <c r="J721" i="5"/>
  <c r="K721" i="5" s="1"/>
  <c r="J415" i="5"/>
  <c r="K415" i="5" s="1"/>
  <c r="J470" i="5"/>
  <c r="K470" i="5" s="1"/>
  <c r="J664" i="5"/>
  <c r="K664" i="5" s="1"/>
  <c r="J1149" i="5"/>
  <c r="K1149" i="5" s="1"/>
  <c r="M1149" i="5"/>
  <c r="J1153" i="5"/>
  <c r="K1153" i="5" s="1"/>
  <c r="M1153" i="5"/>
  <c r="J1127" i="5"/>
  <c r="K1127" i="5" s="1"/>
  <c r="M1127" i="5"/>
  <c r="J195" i="5"/>
  <c r="K195" i="5" s="1"/>
  <c r="M195" i="5"/>
  <c r="J39" i="5"/>
  <c r="K39" i="5" s="1"/>
  <c r="M39" i="5"/>
  <c r="J657" i="5"/>
  <c r="K657" i="5" s="1"/>
  <c r="M657" i="5"/>
  <c r="J921" i="5"/>
  <c r="K921" i="5" s="1"/>
  <c r="M921" i="5"/>
  <c r="J1100" i="5"/>
  <c r="K1100" i="5" s="1"/>
  <c r="M1100" i="5"/>
  <c r="J1129" i="5"/>
  <c r="K1129" i="5" s="1"/>
  <c r="M1129" i="5"/>
  <c r="J1123" i="5"/>
  <c r="K1123" i="5" s="1"/>
  <c r="M1123" i="5"/>
  <c r="J640" i="5"/>
  <c r="K640" i="5" s="1"/>
  <c r="M640" i="5"/>
  <c r="J1017" i="5"/>
  <c r="K1017" i="5" s="1"/>
  <c r="M1017" i="5"/>
  <c r="M1070" i="5"/>
  <c r="J1070" i="5"/>
  <c r="K1070" i="5" s="1"/>
  <c r="M1110" i="5"/>
  <c r="J1110" i="5"/>
  <c r="K1110" i="5" s="1"/>
  <c r="M516" i="5"/>
  <c r="J516" i="5"/>
  <c r="K516" i="5" s="1"/>
  <c r="M124" i="5"/>
  <c r="J124" i="5"/>
  <c r="K124" i="5" s="1"/>
  <c r="M455" i="5"/>
  <c r="J455" i="5"/>
  <c r="K455" i="5" s="1"/>
  <c r="J1105" i="5"/>
  <c r="K1105" i="5" s="1"/>
  <c r="M1105" i="5"/>
  <c r="M1160" i="5"/>
  <c r="J1160" i="5"/>
  <c r="K1160" i="5" s="1"/>
  <c r="M143" i="5"/>
  <c r="J143" i="5"/>
  <c r="K143" i="5" s="1"/>
  <c r="M624" i="5"/>
  <c r="J624" i="5"/>
  <c r="K624" i="5" s="1"/>
  <c r="J1041" i="5"/>
  <c r="K1041" i="5" s="1"/>
  <c r="M1041" i="5"/>
  <c r="M1078" i="5"/>
  <c r="J1078" i="5"/>
  <c r="K1078" i="5" s="1"/>
  <c r="J1083" i="5"/>
  <c r="K1083" i="5" s="1"/>
  <c r="M1083" i="5"/>
  <c r="M10" i="5"/>
  <c r="J10" i="5"/>
  <c r="K10" i="5" s="1"/>
  <c r="M574" i="5"/>
  <c r="J574" i="5"/>
  <c r="K574" i="5" s="1"/>
  <c r="J288" i="5"/>
  <c r="K288" i="5" s="1"/>
  <c r="M288" i="5"/>
  <c r="J1107" i="5"/>
  <c r="K1107" i="5" s="1"/>
  <c r="M1107" i="5"/>
  <c r="J935" i="5"/>
  <c r="K935" i="5" s="1"/>
  <c r="M935" i="5"/>
  <c r="J1020" i="5"/>
  <c r="K1020" i="5" s="1"/>
  <c r="M1020" i="5"/>
  <c r="J1166" i="5"/>
  <c r="K1166" i="5" s="1"/>
  <c r="M1166" i="5"/>
  <c r="J1145" i="5"/>
  <c r="K1145" i="5" s="1"/>
  <c r="M1145" i="5"/>
  <c r="J1095" i="5"/>
  <c r="K1095" i="5" s="1"/>
  <c r="M1095" i="5"/>
  <c r="J431" i="5"/>
  <c r="K431" i="5" s="1"/>
  <c r="M431" i="5"/>
  <c r="J256" i="5"/>
  <c r="K256" i="5" s="1"/>
  <c r="M256" i="5"/>
  <c r="J90" i="5"/>
  <c r="K90" i="5" s="1"/>
  <c r="M90" i="5"/>
  <c r="J1013" i="5"/>
  <c r="K1013" i="5" s="1"/>
  <c r="M1013" i="5"/>
  <c r="J389" i="5"/>
  <c r="K389" i="5" s="1"/>
  <c r="M389" i="5"/>
  <c r="J1117" i="5"/>
  <c r="K1117" i="5" s="1"/>
  <c r="M1117" i="5"/>
  <c r="J1091" i="5"/>
  <c r="K1091" i="5" s="1"/>
  <c r="M1091" i="5"/>
  <c r="J94" i="5"/>
  <c r="K94" i="5" s="1"/>
  <c r="M94" i="5"/>
  <c r="J193" i="5"/>
  <c r="K193" i="5" s="1"/>
  <c r="M193" i="5"/>
  <c r="J917" i="5"/>
  <c r="K917" i="5" s="1"/>
  <c r="M917" i="5"/>
  <c r="J1092" i="5"/>
  <c r="K1092" i="5" s="1"/>
  <c r="M1092" i="5"/>
  <c r="J1163" i="5"/>
  <c r="K1163" i="5" s="1"/>
  <c r="M1163" i="5"/>
  <c r="M1074" i="5"/>
  <c r="J1074" i="5"/>
  <c r="K1074" i="5" s="1"/>
  <c r="J1176" i="5"/>
  <c r="K1176" i="5" s="1"/>
  <c r="M1176" i="5"/>
  <c r="J1133" i="5"/>
  <c r="K1133" i="5" s="1"/>
  <c r="J677" i="5"/>
  <c r="K677" i="5" s="1"/>
  <c r="J1087" i="5"/>
  <c r="K1087" i="5" s="1"/>
  <c r="M1087" i="5"/>
  <c r="J152" i="5"/>
  <c r="K152" i="5" s="1"/>
  <c r="M152" i="5"/>
  <c r="J929" i="5"/>
  <c r="K929" i="5" s="1"/>
  <c r="M929" i="5"/>
  <c r="J610" i="5"/>
  <c r="K610" i="5" s="1"/>
  <c r="M610" i="5"/>
  <c r="J1132" i="5"/>
  <c r="K1132" i="5" s="1"/>
  <c r="M1132" i="5"/>
  <c r="J414" i="5"/>
  <c r="K414" i="5" s="1"/>
  <c r="M414" i="5"/>
  <c r="J317" i="5"/>
  <c r="K317" i="5" s="1"/>
  <c r="M317" i="5"/>
  <c r="J685" i="5"/>
  <c r="K685" i="5" s="1"/>
  <c r="M685" i="5"/>
  <c r="J1079" i="5"/>
  <c r="K1079" i="5" s="1"/>
  <c r="M1079" i="5"/>
  <c r="M1076" i="5"/>
  <c r="J1076" i="5"/>
  <c r="K1076" i="5" s="1"/>
  <c r="M1090" i="5"/>
  <c r="J1090" i="5"/>
  <c r="K1090" i="5" s="1"/>
  <c r="M211" i="5"/>
  <c r="J211" i="5"/>
  <c r="K211" i="5" s="1"/>
  <c r="M79" i="5"/>
  <c r="J79" i="5"/>
  <c r="K79" i="5" s="1"/>
  <c r="M495" i="5"/>
  <c r="J495" i="5"/>
  <c r="K495" i="5" s="1"/>
  <c r="M1082" i="5"/>
  <c r="J1082" i="5"/>
  <c r="K1082" i="5" s="1"/>
  <c r="M50" i="5"/>
  <c r="J50" i="5"/>
  <c r="K50" i="5" s="1"/>
  <c r="J462" i="5"/>
  <c r="K462" i="5" s="1"/>
  <c r="M462" i="5"/>
  <c r="J857" i="5"/>
  <c r="K857" i="5" s="1"/>
  <c r="M857" i="5"/>
  <c r="M1170" i="5"/>
  <c r="J1170" i="5"/>
  <c r="K1170" i="5" s="1"/>
  <c r="M1125" i="5"/>
  <c r="J1125" i="5"/>
  <c r="K1125" i="5" s="1"/>
  <c r="J225" i="5"/>
  <c r="K225" i="5" s="1"/>
  <c r="M225" i="5"/>
  <c r="J1138" i="5"/>
  <c r="K1138" i="5" s="1"/>
  <c r="M1138" i="5"/>
  <c r="J471" i="5"/>
  <c r="K471" i="5" s="1"/>
  <c r="M471" i="5"/>
  <c r="J376" i="5"/>
  <c r="K376" i="5" s="1"/>
  <c r="M376" i="5"/>
  <c r="J714" i="5"/>
  <c r="K714" i="5" s="1"/>
  <c r="M714" i="5"/>
  <c r="J489" i="5"/>
  <c r="K489" i="5" s="1"/>
  <c r="M489" i="5"/>
  <c r="J859" i="5"/>
  <c r="K859" i="5" s="1"/>
  <c r="M859" i="5"/>
  <c r="J1062" i="5"/>
  <c r="K1062" i="5" s="1"/>
  <c r="M1062" i="5"/>
  <c r="J1151" i="5"/>
  <c r="K1151" i="5" s="1"/>
  <c r="M1151" i="5"/>
  <c r="J1162" i="5"/>
  <c r="K1162" i="5" s="1"/>
  <c r="M1162" i="5"/>
  <c r="J32" i="5"/>
  <c r="K32" i="5" s="1"/>
  <c r="M32" i="5"/>
  <c r="J633" i="5"/>
  <c r="K633" i="5" s="1"/>
  <c r="M633" i="5"/>
  <c r="J1113" i="5"/>
  <c r="K1113" i="5" s="1"/>
  <c r="M1113" i="5"/>
  <c r="J1143" i="5"/>
  <c r="K1143" i="5" s="1"/>
  <c r="M1143" i="5"/>
  <c r="J478" i="5"/>
  <c r="K478" i="5" s="1"/>
  <c r="M478" i="5"/>
  <c r="J1037" i="5"/>
  <c r="K1037" i="5" s="1"/>
  <c r="M1037" i="5"/>
  <c r="J403" i="5"/>
  <c r="K403" i="5" s="1"/>
  <c r="M403" i="5"/>
  <c r="J67" i="5"/>
  <c r="K67" i="5" s="1"/>
  <c r="M67" i="5"/>
  <c r="J591" i="5"/>
  <c r="K591" i="5" s="1"/>
  <c r="M591" i="5"/>
  <c r="J1164" i="5"/>
  <c r="K1164" i="5" s="1"/>
  <c r="M1164" i="5"/>
  <c r="M1068" i="5"/>
  <c r="J1068" i="5"/>
  <c r="K1068" i="5" s="1"/>
  <c r="M1177" i="5"/>
  <c r="J1177" i="5"/>
  <c r="K1177" i="5" s="1"/>
  <c r="M463" i="5"/>
  <c r="J463" i="5"/>
  <c r="K463" i="5" s="1"/>
  <c r="M395" i="5"/>
  <c r="J395" i="5"/>
  <c r="K395" i="5" s="1"/>
  <c r="J246" i="5"/>
  <c r="K246" i="5" s="1"/>
  <c r="M246" i="5"/>
  <c r="J1033" i="5"/>
  <c r="K1033" i="5" s="1"/>
  <c r="M1033" i="5"/>
  <c r="M805" i="5"/>
  <c r="J805" i="5"/>
  <c r="K805" i="5" s="1"/>
  <c r="M1142" i="5"/>
  <c r="J1142" i="5"/>
  <c r="K1142" i="5" s="1"/>
  <c r="M1141" i="5"/>
  <c r="J1141" i="5"/>
  <c r="K1141" i="5" s="1"/>
  <c r="M1169" i="5"/>
  <c r="J1169" i="5"/>
  <c r="K1169" i="5" s="1"/>
  <c r="M83" i="5"/>
  <c r="J83" i="5"/>
  <c r="K83" i="5" s="1"/>
  <c r="M459" i="5"/>
  <c r="J459" i="5"/>
  <c r="K459" i="5" s="1"/>
  <c r="M720" i="5"/>
  <c r="M447" i="5"/>
  <c r="M1128" i="5"/>
  <c r="J1128" i="5"/>
  <c r="K1128" i="5" s="1"/>
  <c r="M573" i="5"/>
  <c r="J573" i="5"/>
  <c r="K573" i="5" s="1"/>
  <c r="M207" i="5"/>
  <c r="J207" i="5"/>
  <c r="K207" i="5" s="1"/>
  <c r="M33" i="5"/>
  <c r="M139" i="5"/>
  <c r="J290" i="5"/>
  <c r="K290" i="5" s="1"/>
  <c r="J451" i="5"/>
  <c r="K451" i="5" s="1"/>
  <c r="J773" i="5"/>
  <c r="K773" i="5" s="1"/>
  <c r="M825" i="5"/>
  <c r="M837" i="5"/>
  <c r="J577" i="5"/>
  <c r="K577" i="5" s="1"/>
  <c r="M1152" i="5"/>
  <c r="J1152" i="5"/>
  <c r="K1152" i="5" s="1"/>
  <c r="J1085" i="5"/>
  <c r="K1085" i="5" s="1"/>
  <c r="M1085" i="5"/>
  <c r="M1101" i="5"/>
  <c r="J1101" i="5"/>
  <c r="K1101" i="5" s="1"/>
  <c r="M1174" i="5"/>
  <c r="J1174" i="5"/>
  <c r="K1174" i="5" s="1"/>
  <c r="J642" i="5"/>
  <c r="K642" i="5" s="1"/>
  <c r="M642" i="5"/>
  <c r="J1131" i="5"/>
  <c r="K1131" i="5" s="1"/>
  <c r="M1131" i="5"/>
  <c r="M1053" i="5"/>
  <c r="J1053" i="5"/>
  <c r="K1053" i="5" s="1"/>
  <c r="M2" i="5"/>
  <c r="J2" i="5"/>
  <c r="K2" i="5" s="1"/>
  <c r="M1154" i="5"/>
  <c r="J1154" i="5"/>
  <c r="K1154" i="5" s="1"/>
  <c r="J843" i="5"/>
  <c r="K843" i="5" s="1"/>
  <c r="M843" i="5"/>
  <c r="J427" i="5"/>
  <c r="K427" i="5" s="1"/>
  <c r="M427" i="5"/>
  <c r="J1088" i="5"/>
  <c r="K1088" i="5" s="1"/>
  <c r="M1088" i="5"/>
  <c r="J1139" i="5"/>
  <c r="K1139" i="5" s="1"/>
  <c r="M1139" i="5"/>
  <c r="J381" i="5"/>
  <c r="K381" i="5" s="1"/>
  <c r="M381" i="5"/>
  <c r="J941" i="5"/>
  <c r="K941" i="5" s="1"/>
  <c r="M941" i="5"/>
  <c r="M849" i="5"/>
  <c r="M1009" i="5"/>
  <c r="M913" i="5"/>
  <c r="M907" i="5"/>
  <c r="M544" i="5"/>
  <c r="J1075" i="5"/>
  <c r="K1075" i="5" s="1"/>
  <c r="M1075" i="5"/>
  <c r="J326" i="5"/>
  <c r="K326" i="5" s="1"/>
  <c r="M326" i="5"/>
  <c r="M1112" i="5"/>
  <c r="J1112" i="5"/>
  <c r="K1112" i="5" s="1"/>
  <c r="M1126" i="5"/>
  <c r="J1126" i="5"/>
  <c r="K1126" i="5" s="1"/>
  <c r="M1120" i="5"/>
  <c r="J1120" i="5"/>
  <c r="K1120" i="5" s="1"/>
  <c r="M1071" i="5"/>
  <c r="J1071" i="5"/>
  <c r="K1071" i="5" s="1"/>
  <c r="J865" i="5"/>
  <c r="K865" i="5" s="1"/>
  <c r="M865" i="5"/>
  <c r="J1165" i="5"/>
  <c r="K1165" i="5" s="1"/>
  <c r="M1165" i="5"/>
  <c r="M1056" i="5"/>
  <c r="J1056" i="5"/>
  <c r="K1056" i="5" s="1"/>
  <c r="M1066" i="5"/>
  <c r="J1066" i="5"/>
  <c r="K1066" i="5" s="1"/>
  <c r="J784" i="5"/>
  <c r="K784" i="5" s="1"/>
  <c r="M784" i="5"/>
  <c r="M552" i="5"/>
  <c r="J26" i="5"/>
  <c r="K26" i="5" s="1"/>
  <c r="J1150" i="5"/>
  <c r="K1150" i="5" s="1"/>
  <c r="J537" i="5"/>
  <c r="K537" i="5" s="1"/>
  <c r="M768" i="5"/>
  <c r="M1093" i="5"/>
  <c r="M1130" i="5"/>
  <c r="M704" i="5"/>
  <c r="M423" i="5"/>
  <c r="J47" i="5"/>
  <c r="K47" i="5" s="1"/>
  <c r="M47" i="5"/>
  <c r="J903" i="5"/>
  <c r="K903" i="5" s="1"/>
  <c r="M903" i="5"/>
  <c r="J1025" i="5"/>
  <c r="K1025" i="5" s="1"/>
  <c r="M1025" i="5"/>
  <c r="J627" i="5"/>
  <c r="K627" i="5" s="1"/>
  <c r="M627" i="5"/>
  <c r="J264" i="5"/>
  <c r="K264" i="5" s="1"/>
  <c r="M264" i="5"/>
  <c r="J145" i="5"/>
  <c r="K145" i="5" s="1"/>
  <c r="M145" i="5"/>
  <c r="M218" i="5"/>
  <c r="J218" i="5"/>
  <c r="K218" i="5" s="1"/>
  <c r="M328" i="5"/>
  <c r="J328" i="5"/>
  <c r="K328" i="5" s="1"/>
  <c r="J1089" i="5"/>
  <c r="K1089" i="5" s="1"/>
  <c r="M1089" i="5"/>
  <c r="J321" i="5"/>
  <c r="K321" i="5" s="1"/>
  <c r="M321" i="5"/>
  <c r="M661" i="5"/>
  <c r="J661" i="5"/>
  <c r="K661" i="5" s="1"/>
  <c r="J851" i="5"/>
  <c r="K851" i="5" s="1"/>
  <c r="M851" i="5"/>
  <c r="J7" i="5"/>
  <c r="K7" i="5" s="1"/>
  <c r="M1114" i="5"/>
  <c r="J901" i="5"/>
  <c r="K901" i="5" s="1"/>
  <c r="J1021" i="5"/>
  <c r="K1021" i="5" s="1"/>
  <c r="J446" i="5"/>
  <c r="K446" i="5" s="1"/>
  <c r="M380" i="5"/>
  <c r="M350" i="5"/>
  <c r="M401" i="5"/>
  <c r="M531" i="5"/>
  <c r="M379" i="5"/>
  <c r="M442" i="5"/>
  <c r="M31" i="5"/>
  <c r="M298" i="5"/>
  <c r="M680" i="5"/>
  <c r="J680" i="5"/>
  <c r="K680" i="5" s="1"/>
  <c r="J513" i="5"/>
  <c r="K513" i="5" s="1"/>
  <c r="M513" i="5"/>
  <c r="M1065" i="5"/>
  <c r="J1065" i="5"/>
  <c r="K1065" i="5" s="1"/>
  <c r="J572" i="5"/>
  <c r="K572" i="5" s="1"/>
  <c r="M572" i="5"/>
  <c r="M368" i="5"/>
  <c r="M1122" i="5"/>
  <c r="M231" i="5"/>
  <c r="M1063" i="5"/>
  <c r="J502" i="5"/>
  <c r="K502" i="5" s="1"/>
  <c r="M502" i="5"/>
  <c r="J789" i="5"/>
  <c r="K789" i="5" s="1"/>
  <c r="M789" i="5"/>
  <c r="J829" i="5"/>
  <c r="K829" i="5" s="1"/>
  <c r="M829" i="5"/>
  <c r="J863" i="5"/>
  <c r="K863" i="5" s="1"/>
  <c r="M863" i="5"/>
  <c r="J302" i="5"/>
  <c r="K302" i="5" s="1"/>
  <c r="M302" i="5"/>
  <c r="J229" i="5"/>
  <c r="K229" i="5" s="1"/>
  <c r="M229" i="5"/>
  <c r="J277" i="5"/>
  <c r="K277" i="5" s="1"/>
  <c r="M277" i="5"/>
  <c r="J365" i="5"/>
  <c r="K365" i="5" s="1"/>
  <c r="M365" i="5"/>
  <c r="J158" i="5"/>
  <c r="K158" i="5" s="1"/>
  <c r="M158" i="5"/>
  <c r="M377" i="5"/>
  <c r="J377" i="5"/>
  <c r="K377" i="5" s="1"/>
  <c r="J643" i="5"/>
  <c r="K643" i="5" s="1"/>
  <c r="M643" i="5"/>
  <c r="M304" i="5"/>
  <c r="J304" i="5"/>
  <c r="K304" i="5" s="1"/>
  <c r="J807" i="5"/>
  <c r="K807" i="5" s="1"/>
  <c r="M807" i="5"/>
  <c r="J301" i="5"/>
  <c r="K301" i="5" s="1"/>
  <c r="M122" i="5"/>
  <c r="J507" i="5"/>
  <c r="K507" i="5" s="1"/>
  <c r="M507" i="5"/>
  <c r="J737" i="5"/>
  <c r="K737" i="5" s="1"/>
  <c r="M737" i="5"/>
  <c r="M799" i="5"/>
  <c r="J799" i="5"/>
  <c r="K799" i="5" s="1"/>
  <c r="M558" i="5"/>
  <c r="J558" i="5"/>
  <c r="K558" i="5" s="1"/>
  <c r="M148" i="5"/>
  <c r="J148" i="5"/>
  <c r="K148" i="5" s="1"/>
  <c r="J286" i="5"/>
  <c r="K286" i="5" s="1"/>
  <c r="M579" i="5"/>
  <c r="M672" i="5"/>
  <c r="J411" i="5"/>
  <c r="K411" i="5" s="1"/>
  <c r="J187" i="5"/>
  <c r="K187" i="5" s="1"/>
  <c r="M187" i="5"/>
  <c r="J617" i="5"/>
  <c r="K617" i="5" s="1"/>
  <c r="M617" i="5"/>
  <c r="J564" i="5"/>
  <c r="K564" i="5" s="1"/>
  <c r="M564" i="5"/>
  <c r="J616" i="5"/>
  <c r="K616" i="5" s="1"/>
  <c r="M616" i="5"/>
  <c r="J769" i="5"/>
  <c r="K769" i="5" s="1"/>
  <c r="M769" i="5"/>
  <c r="J933" i="5"/>
  <c r="K933" i="5" s="1"/>
  <c r="M933" i="5"/>
  <c r="J670" i="5"/>
  <c r="K670" i="5" s="1"/>
  <c r="M670" i="5"/>
  <c r="J243" i="5"/>
  <c r="K243" i="5" s="1"/>
  <c r="M243" i="5"/>
  <c r="J56" i="5"/>
  <c r="K56" i="5" s="1"/>
  <c r="M56" i="5"/>
  <c r="J316" i="5"/>
  <c r="K316" i="5" s="1"/>
  <c r="M316" i="5"/>
  <c r="J430" i="5"/>
  <c r="K430" i="5" s="1"/>
  <c r="M430" i="5"/>
  <c r="J743" i="5"/>
  <c r="K743" i="5" s="1"/>
  <c r="M743" i="5"/>
  <c r="M611" i="5"/>
  <c r="J611" i="5"/>
  <c r="K611" i="5" s="1"/>
  <c r="M1106" i="5"/>
  <c r="J1106" i="5"/>
  <c r="K1106" i="5" s="1"/>
  <c r="J1052" i="5"/>
  <c r="K1052" i="5" s="1"/>
  <c r="M1052" i="5"/>
  <c r="J750" i="5"/>
  <c r="K750" i="5" s="1"/>
  <c r="M750" i="5"/>
  <c r="J881" i="5"/>
  <c r="K881" i="5" s="1"/>
  <c r="J1137" i="5"/>
  <c r="K1137" i="5" s="1"/>
  <c r="M1102" i="5"/>
  <c r="J361" i="5"/>
  <c r="K361" i="5" s="1"/>
  <c r="J100" i="5"/>
  <c r="K100" i="5" s="1"/>
  <c r="M1156" i="5"/>
  <c r="M199" i="5"/>
  <c r="J730" i="5"/>
  <c r="K730" i="5" s="1"/>
  <c r="J320" i="5"/>
  <c r="K320" i="5" s="1"/>
  <c r="M421" i="5"/>
  <c r="M114" i="5"/>
  <c r="M665" i="5"/>
  <c r="M69" i="5"/>
  <c r="M146" i="5"/>
  <c r="M764" i="5"/>
  <c r="M426" i="5"/>
  <c r="M196" i="5"/>
  <c r="M593" i="5"/>
  <c r="J593" i="5"/>
  <c r="K593" i="5" s="1"/>
  <c r="M393" i="5"/>
  <c r="J393" i="5"/>
  <c r="K393" i="5" s="1"/>
  <c r="M776" i="5"/>
  <c r="J776" i="5"/>
  <c r="K776" i="5" s="1"/>
  <c r="M54" i="5"/>
  <c r="J54" i="5"/>
  <c r="K54" i="5" s="1"/>
  <c r="J161" i="5"/>
  <c r="K161" i="5" s="1"/>
  <c r="M161" i="5"/>
  <c r="J742" i="5"/>
  <c r="K742" i="5" s="1"/>
  <c r="M742" i="5"/>
  <c r="M419" i="5"/>
  <c r="M1059" i="5"/>
  <c r="M524" i="5"/>
  <c r="J103" i="5"/>
  <c r="K103" i="5" s="1"/>
  <c r="M103" i="5"/>
  <c r="J153" i="5"/>
  <c r="K153" i="5" s="1"/>
  <c r="M153" i="5"/>
  <c r="J594" i="5"/>
  <c r="K594" i="5" s="1"/>
  <c r="M594" i="5"/>
  <c r="J641" i="5"/>
  <c r="K641" i="5" s="1"/>
  <c r="M641" i="5"/>
  <c r="J815" i="5"/>
  <c r="K815" i="5" s="1"/>
  <c r="M815" i="5"/>
  <c r="J250" i="5"/>
  <c r="K250" i="5" s="1"/>
  <c r="M250" i="5"/>
  <c r="J533" i="5"/>
  <c r="K533" i="5" s="1"/>
  <c r="M533" i="5"/>
  <c r="J637" i="5"/>
  <c r="K637" i="5" s="1"/>
  <c r="M637" i="5"/>
  <c r="M725" i="5"/>
  <c r="J725" i="5"/>
  <c r="K725" i="5" s="1"/>
  <c r="M1084" i="5"/>
  <c r="J1084" i="5"/>
  <c r="K1084" i="5" s="1"/>
  <c r="J1069" i="5"/>
  <c r="K1069" i="5" s="1"/>
  <c r="J809" i="5"/>
  <c r="K809" i="5" s="1"/>
  <c r="J1050" i="5"/>
  <c r="K1050" i="5" s="1"/>
  <c r="M1050" i="5"/>
  <c r="J438" i="5"/>
  <c r="K438" i="5" s="1"/>
  <c r="M438" i="5"/>
  <c r="M215" i="5"/>
  <c r="J215" i="5"/>
  <c r="K215" i="5" s="1"/>
  <c r="M308" i="5"/>
  <c r="J308" i="5"/>
  <c r="K308" i="5" s="1"/>
  <c r="J113" i="5"/>
  <c r="K113" i="5" s="1"/>
  <c r="M113" i="5"/>
  <c r="M1072" i="5"/>
  <c r="J364" i="5"/>
  <c r="K364" i="5" s="1"/>
  <c r="J584" i="5"/>
  <c r="K584" i="5" s="1"/>
  <c r="J300" i="5"/>
  <c r="K300" i="5" s="1"/>
  <c r="J167" i="5"/>
  <c r="K167" i="5" s="1"/>
  <c r="J175" i="5"/>
  <c r="K175" i="5" s="1"/>
  <c r="J334" i="5"/>
  <c r="K334" i="5" s="1"/>
  <c r="J344" i="5"/>
  <c r="K344" i="5" s="1"/>
  <c r="J60" i="5"/>
  <c r="K60" i="5" s="1"/>
  <c r="J545" i="5"/>
  <c r="K545" i="5" s="1"/>
  <c r="J855" i="5"/>
  <c r="K855" i="5" s="1"/>
  <c r="J479" i="5"/>
  <c r="K479" i="5" s="1"/>
  <c r="M580" i="5"/>
  <c r="J580" i="5"/>
  <c r="K580" i="5" s="1"/>
  <c r="J666" i="5"/>
  <c r="K666" i="5" s="1"/>
  <c r="J653" i="5"/>
  <c r="K653" i="5" s="1"/>
  <c r="M653" i="5"/>
  <c r="M806" i="5"/>
  <c r="J806" i="5"/>
  <c r="K806" i="5" s="1"/>
  <c r="M810" i="5"/>
  <c r="J810" i="5"/>
  <c r="K810" i="5" s="1"/>
  <c r="J934" i="5"/>
  <c r="K934" i="5" s="1"/>
  <c r="M934" i="5"/>
  <c r="J790" i="5"/>
  <c r="K790" i="5" s="1"/>
  <c r="M790" i="5"/>
  <c r="J46" i="5"/>
  <c r="K46" i="5" s="1"/>
  <c r="M46" i="5"/>
  <c r="J740" i="5"/>
  <c r="K740" i="5" s="1"/>
  <c r="M740" i="5"/>
  <c r="J526" i="5"/>
  <c r="K526" i="5" s="1"/>
  <c r="J491" i="5"/>
  <c r="K491" i="5" s="1"/>
  <c r="J262" i="5"/>
  <c r="K262" i="5" s="1"/>
  <c r="J191" i="5"/>
  <c r="K191" i="5" s="1"/>
  <c r="J639" i="5"/>
  <c r="K639" i="5" s="1"/>
  <c r="J396" i="5"/>
  <c r="K396" i="5" s="1"/>
  <c r="J312" i="5"/>
  <c r="K312" i="5" s="1"/>
  <c r="M1173" i="5"/>
  <c r="J540" i="5"/>
  <c r="K540" i="5" s="1"/>
  <c r="M595" i="5"/>
  <c r="J595" i="5"/>
  <c r="K595" i="5" s="1"/>
  <c r="J214" i="5"/>
  <c r="K214" i="5" s="1"/>
  <c r="J656" i="5"/>
  <c r="K656" i="5" s="1"/>
  <c r="M656" i="5"/>
  <c r="M1057" i="5"/>
  <c r="J1057" i="5"/>
  <c r="K1057" i="5" s="1"/>
  <c r="J988" i="5"/>
  <c r="K988" i="5" s="1"/>
  <c r="M988" i="5"/>
  <c r="M946" i="5"/>
  <c r="J946" i="5"/>
  <c r="K946" i="5" s="1"/>
  <c r="M950" i="5"/>
  <c r="J950" i="5"/>
  <c r="K950" i="5" s="1"/>
  <c r="M982" i="5"/>
  <c r="J982" i="5"/>
  <c r="K982" i="5" s="1"/>
  <c r="J817" i="5"/>
  <c r="K817" i="5" s="1"/>
  <c r="M817" i="5"/>
  <c r="M818" i="5"/>
  <c r="J818" i="5"/>
  <c r="K818" i="5" s="1"/>
  <c r="M741" i="5"/>
  <c r="J566" i="5"/>
  <c r="K566" i="5" s="1"/>
  <c r="M568" i="5"/>
  <c r="J138" i="5"/>
  <c r="K138" i="5" s="1"/>
  <c r="J487" i="5"/>
  <c r="K487" i="5" s="1"/>
  <c r="M285" i="5"/>
  <c r="J15" i="5"/>
  <c r="K15" i="5" s="1"/>
  <c r="J1134" i="5"/>
  <c r="K1134" i="5" s="1"/>
  <c r="J625" i="5"/>
  <c r="K625" i="5" s="1"/>
  <c r="M625" i="5"/>
  <c r="M556" i="5"/>
  <c r="J556" i="5"/>
  <c r="K556" i="5" s="1"/>
  <c r="J422" i="5"/>
  <c r="K422" i="5" s="1"/>
  <c r="M422" i="5"/>
  <c r="M510" i="5"/>
  <c r="J510" i="5"/>
  <c r="K510" i="5" s="1"/>
  <c r="J64" i="5"/>
  <c r="K64" i="5" s="1"/>
  <c r="M64" i="5"/>
  <c r="J519" i="5"/>
  <c r="K519" i="5" s="1"/>
  <c r="M519" i="5"/>
  <c r="M279" i="5"/>
  <c r="J279" i="5"/>
  <c r="K279" i="5" s="1"/>
  <c r="M51" i="5"/>
  <c r="J51" i="5"/>
  <c r="K51" i="5" s="1"/>
  <c r="J821" i="5"/>
  <c r="K821" i="5" s="1"/>
  <c r="M821" i="5"/>
  <c r="J861" i="5"/>
  <c r="K861" i="5" s="1"/>
  <c r="M861" i="5"/>
  <c r="M590" i="5"/>
  <c r="J590" i="5"/>
  <c r="K590" i="5" s="1"/>
  <c r="M182" i="5"/>
  <c r="J182" i="5"/>
  <c r="K182" i="5" s="1"/>
  <c r="M38" i="5"/>
  <c r="J38" i="5"/>
  <c r="K38" i="5" s="1"/>
  <c r="M348" i="5"/>
  <c r="J348" i="5"/>
  <c r="K348" i="5" s="1"/>
  <c r="J76" i="5"/>
  <c r="K76" i="5" s="1"/>
  <c r="M76" i="5"/>
  <c r="M678" i="5"/>
  <c r="J678" i="5"/>
  <c r="K678" i="5" s="1"/>
  <c r="J839" i="5"/>
  <c r="K839" i="5" s="1"/>
  <c r="M839" i="5"/>
  <c r="M879" i="5"/>
  <c r="J879" i="5"/>
  <c r="K879" i="5" s="1"/>
  <c r="M575" i="5"/>
  <c r="J575" i="5"/>
  <c r="K575" i="5" s="1"/>
  <c r="M333" i="5"/>
  <c r="J333" i="5"/>
  <c r="K333" i="5" s="1"/>
  <c r="M671" i="5"/>
  <c r="J671" i="5"/>
  <c r="K671" i="5" s="1"/>
  <c r="J363" i="5"/>
  <c r="K363" i="5" s="1"/>
  <c r="M363" i="5"/>
  <c r="J457" i="5"/>
  <c r="K457" i="5" s="1"/>
  <c r="M457" i="5"/>
  <c r="M251" i="5"/>
  <c r="J251" i="5"/>
  <c r="K251" i="5" s="1"/>
  <c r="M178" i="5"/>
  <c r="J178" i="5"/>
  <c r="K178" i="5" s="1"/>
  <c r="M355" i="5"/>
  <c r="J355" i="5"/>
  <c r="K355" i="5" s="1"/>
  <c r="J162" i="5"/>
  <c r="K162" i="5" s="1"/>
  <c r="M162" i="5"/>
  <c r="M588" i="5"/>
  <c r="J588" i="5"/>
  <c r="K588" i="5" s="1"/>
  <c r="M553" i="5"/>
  <c r="J553" i="5"/>
  <c r="K553" i="5" s="1"/>
  <c r="M919" i="5"/>
  <c r="J919" i="5"/>
  <c r="K919" i="5" s="1"/>
  <c r="J882" i="5"/>
  <c r="K882" i="5" s="1"/>
  <c r="M882" i="5"/>
  <c r="M938" i="5"/>
  <c r="J938" i="5"/>
  <c r="K938" i="5" s="1"/>
  <c r="M136" i="5"/>
  <c r="J136" i="5"/>
  <c r="K136" i="5" s="1"/>
  <c r="M772" i="5"/>
  <c r="J772" i="5"/>
  <c r="K772" i="5" s="1"/>
  <c r="J926" i="5"/>
  <c r="K926" i="5" s="1"/>
  <c r="M926" i="5"/>
  <c r="M840" i="5"/>
  <c r="J840" i="5"/>
  <c r="K840" i="5" s="1"/>
  <c r="J782" i="5"/>
  <c r="K782" i="5" s="1"/>
  <c r="M782" i="5"/>
  <c r="J937" i="5"/>
  <c r="K937" i="5" s="1"/>
  <c r="M937" i="5"/>
  <c r="M335" i="5"/>
  <c r="J335" i="5"/>
  <c r="K335" i="5" s="1"/>
  <c r="J360" i="5"/>
  <c r="K360" i="5" s="1"/>
  <c r="M360" i="5"/>
  <c r="J785" i="5"/>
  <c r="K785" i="5" s="1"/>
  <c r="J186" i="5"/>
  <c r="K186" i="5" s="1"/>
  <c r="J1096" i="5"/>
  <c r="K1096" i="5" s="1"/>
  <c r="M542" i="5"/>
  <c r="J542" i="5"/>
  <c r="K542" i="5" s="1"/>
  <c r="M11" i="5"/>
  <c r="J11" i="5"/>
  <c r="K11" i="5" s="1"/>
  <c r="J800" i="5"/>
  <c r="K800" i="5" s="1"/>
  <c r="M800" i="5"/>
  <c r="J505" i="5"/>
  <c r="K505" i="5" s="1"/>
  <c r="M505" i="5"/>
  <c r="M547" i="5"/>
  <c r="J547" i="5"/>
  <c r="K547" i="5" s="1"/>
  <c r="M206" i="5"/>
  <c r="J206" i="5"/>
  <c r="K206" i="5" s="1"/>
  <c r="M203" i="5"/>
  <c r="J203" i="5"/>
  <c r="K203" i="5" s="1"/>
  <c r="J499" i="5"/>
  <c r="K499" i="5" s="1"/>
  <c r="M499" i="5"/>
  <c r="M8" i="5"/>
  <c r="J8" i="5"/>
  <c r="K8" i="5" s="1"/>
  <c r="J71" i="5"/>
  <c r="K71" i="5" s="1"/>
  <c r="M71" i="5"/>
  <c r="M501" i="5"/>
  <c r="J501" i="5"/>
  <c r="K501" i="5" s="1"/>
  <c r="M702" i="5"/>
  <c r="J702" i="5"/>
  <c r="K702" i="5" s="1"/>
  <c r="M356" i="5"/>
  <c r="J356" i="5"/>
  <c r="K356" i="5" s="1"/>
  <c r="J357" i="5"/>
  <c r="K357" i="5" s="1"/>
  <c r="M357" i="5"/>
  <c r="J97" i="5"/>
  <c r="K97" i="5" s="1"/>
  <c r="M97" i="5"/>
  <c r="M352" i="5"/>
  <c r="J352" i="5"/>
  <c r="K352" i="5" s="1"/>
  <c r="M410" i="5"/>
  <c r="J410" i="5"/>
  <c r="K410" i="5" s="1"/>
  <c r="J918" i="5"/>
  <c r="K918" i="5" s="1"/>
  <c r="M918" i="5"/>
  <c r="J947" i="5"/>
  <c r="K947" i="5" s="1"/>
  <c r="M947" i="5"/>
  <c r="J16" i="5"/>
  <c r="K16" i="5" s="1"/>
  <c r="M16" i="5"/>
  <c r="J726" i="5"/>
  <c r="K726" i="5" s="1"/>
  <c r="M726" i="5"/>
  <c r="M659" i="5"/>
  <c r="J659" i="5"/>
  <c r="K659" i="5" s="1"/>
  <c r="J412" i="5"/>
  <c r="K412" i="5" s="1"/>
  <c r="M412" i="5"/>
  <c r="J315" i="5"/>
  <c r="K315" i="5" s="1"/>
  <c r="M315" i="5"/>
  <c r="J777" i="5"/>
  <c r="K777" i="5" s="1"/>
  <c r="M895" i="5"/>
  <c r="M623" i="5"/>
  <c r="J234" i="5"/>
  <c r="K234" i="5" s="1"/>
  <c r="M845" i="5"/>
  <c r="M771" i="5"/>
  <c r="M369" i="5"/>
  <c r="J418" i="5"/>
  <c r="K418" i="5" s="1"/>
  <c r="J796" i="5"/>
  <c r="K796" i="5" s="1"/>
  <c r="M1024" i="5"/>
  <c r="M1030" i="5"/>
  <c r="J983" i="5"/>
  <c r="K983" i="5" s="1"/>
  <c r="J908" i="5"/>
  <c r="K908" i="5" s="1"/>
  <c r="J555" i="5"/>
  <c r="K555" i="5" s="1"/>
  <c r="M424" i="5"/>
  <c r="J449" i="5"/>
  <c r="K449" i="5" s="1"/>
  <c r="J383" i="5"/>
  <c r="K383" i="5" s="1"/>
  <c r="M287" i="5"/>
  <c r="J75" i="5"/>
  <c r="K75" i="5" s="1"/>
  <c r="J823" i="5"/>
  <c r="K823" i="5" s="1"/>
  <c r="M227" i="5"/>
  <c r="J132" i="5"/>
  <c r="K132" i="5" s="1"/>
  <c r="J980" i="5"/>
  <c r="K980" i="5" s="1"/>
  <c r="J802" i="5"/>
  <c r="K802" i="5" s="1"/>
  <c r="M965" i="5"/>
  <c r="M682" i="5"/>
  <c r="M606" i="5"/>
  <c r="J586" i="5"/>
  <c r="K586" i="5" s="1"/>
  <c r="M586" i="5"/>
  <c r="M228" i="5"/>
  <c r="M922" i="5"/>
  <c r="J922" i="5"/>
  <c r="K922" i="5" s="1"/>
  <c r="J1015" i="5"/>
  <c r="K1015" i="5" s="1"/>
  <c r="M1015" i="5"/>
  <c r="M995" i="5"/>
  <c r="J995" i="5"/>
  <c r="K995" i="5" s="1"/>
  <c r="J729" i="5"/>
  <c r="K729" i="5" s="1"/>
  <c r="M729" i="5"/>
  <c r="M683" i="5"/>
  <c r="J19" i="5"/>
  <c r="K19" i="5" s="1"/>
  <c r="M19" i="5"/>
  <c r="M644" i="5"/>
  <c r="J958" i="5"/>
  <c r="K958" i="5" s="1"/>
  <c r="M958" i="5"/>
  <c r="M116" i="5"/>
  <c r="J116" i="5"/>
  <c r="K116" i="5" s="1"/>
  <c r="M994" i="5"/>
  <c r="J994" i="5"/>
  <c r="K994" i="5" s="1"/>
  <c r="J930" i="5"/>
  <c r="K930" i="5" s="1"/>
  <c r="M930" i="5"/>
  <c r="M667" i="5"/>
  <c r="J667" i="5"/>
  <c r="K667" i="5" s="1"/>
  <c r="M528" i="5"/>
  <c r="J528" i="5"/>
  <c r="K528" i="5" s="1"/>
  <c r="J469" i="5"/>
  <c r="K469" i="5" s="1"/>
  <c r="M469" i="5"/>
  <c r="M341" i="5"/>
  <c r="J341" i="5"/>
  <c r="K341" i="5" s="1"/>
  <c r="M578" i="5"/>
  <c r="J578" i="5"/>
  <c r="K578" i="5" s="1"/>
  <c r="J770" i="5"/>
  <c r="K770" i="5" s="1"/>
  <c r="M770" i="5"/>
  <c r="M349" i="5"/>
  <c r="J349" i="5"/>
  <c r="K349" i="5" s="1"/>
  <c r="J732" i="5"/>
  <c r="K732" i="5" s="1"/>
  <c r="M732" i="5"/>
  <c r="J1048" i="5"/>
  <c r="K1048" i="5" s="1"/>
  <c r="M1048" i="5"/>
  <c r="J1002" i="5"/>
  <c r="K1002" i="5" s="1"/>
  <c r="M1002" i="5"/>
  <c r="M944" i="5"/>
  <c r="M774" i="5"/>
  <c r="M997" i="5"/>
  <c r="M762" i="5"/>
  <c r="J655" i="5"/>
  <c r="K655" i="5" s="1"/>
  <c r="J483" i="5"/>
  <c r="K483" i="5" s="1"/>
  <c r="M490" i="5"/>
  <c r="J858" i="5"/>
  <c r="K858" i="5" s="1"/>
  <c r="M858" i="5"/>
  <c r="M866" i="5"/>
  <c r="J866" i="5"/>
  <c r="K866" i="5" s="1"/>
  <c r="J979" i="5"/>
  <c r="K979" i="5" s="1"/>
  <c r="M979" i="5"/>
  <c r="M687" i="5"/>
  <c r="M759" i="5"/>
  <c r="J759" i="5"/>
  <c r="K759" i="5" s="1"/>
  <c r="M612" i="5"/>
  <c r="J612" i="5"/>
  <c r="K612" i="5" s="1"/>
  <c r="J752" i="5"/>
  <c r="K752" i="5" s="1"/>
  <c r="M752" i="5"/>
  <c r="J864" i="5"/>
  <c r="K864" i="5" s="1"/>
  <c r="M864" i="5"/>
  <c r="J271" i="5"/>
  <c r="K271" i="5" s="1"/>
  <c r="M271" i="5"/>
  <c r="M924" i="5"/>
  <c r="J924" i="5"/>
  <c r="K924" i="5" s="1"/>
  <c r="J1010" i="5"/>
  <c r="K1010" i="5" s="1"/>
  <c r="M1010" i="5"/>
  <c r="M25" i="5"/>
  <c r="J25" i="5"/>
  <c r="K25" i="5" s="1"/>
  <c r="M402" i="5"/>
  <c r="J402" i="5"/>
  <c r="K402" i="5" s="1"/>
  <c r="M763" i="5"/>
  <c r="J763" i="5"/>
  <c r="K763" i="5" s="1"/>
  <c r="J978" i="5"/>
  <c r="K978" i="5" s="1"/>
  <c r="M978" i="5"/>
  <c r="M963" i="5"/>
  <c r="J963" i="5"/>
  <c r="K963" i="5" s="1"/>
  <c r="M900" i="5"/>
  <c r="J900" i="5"/>
  <c r="K900" i="5" s="1"/>
  <c r="M1086" i="5"/>
  <c r="J1086" i="5"/>
  <c r="K1086" i="5" s="1"/>
  <c r="M846" i="5"/>
  <c r="J846" i="5"/>
  <c r="K846" i="5" s="1"/>
  <c r="M832" i="5"/>
  <c r="J832" i="5"/>
  <c r="K832" i="5" s="1"/>
  <c r="J972" i="5"/>
  <c r="K972" i="5" s="1"/>
  <c r="M972" i="5"/>
  <c r="M962" i="5"/>
  <c r="J962" i="5"/>
  <c r="K962" i="5" s="1"/>
  <c r="J798" i="5"/>
  <c r="K798" i="5" s="1"/>
  <c r="M798" i="5"/>
  <c r="J717" i="5"/>
  <c r="K717" i="5" s="1"/>
  <c r="M717" i="5"/>
  <c r="M651" i="5"/>
  <c r="M118" i="5"/>
  <c r="M41" i="5"/>
  <c r="J41" i="5"/>
  <c r="K41" i="5" s="1"/>
  <c r="J394" i="5"/>
  <c r="K394" i="5" s="1"/>
  <c r="M394" i="5"/>
  <c r="M756" i="5"/>
  <c r="J760" i="5"/>
  <c r="K760" i="5" s="1"/>
  <c r="M760" i="5"/>
  <c r="M718" i="5"/>
  <c r="J718" i="5"/>
  <c r="K718" i="5" s="1"/>
  <c r="M975" i="5"/>
  <c r="J975" i="5"/>
  <c r="K975" i="5" s="1"/>
  <c r="J4" i="5"/>
  <c r="K4" i="5" s="1"/>
  <c r="M4" i="5"/>
  <c r="M1036" i="5"/>
  <c r="J1036" i="5"/>
  <c r="K1036" i="5" s="1"/>
  <c r="M993" i="5"/>
  <c r="J993" i="5"/>
  <c r="K993" i="5" s="1"/>
  <c r="J409" i="5"/>
  <c r="K409" i="5" s="1"/>
  <c r="M409" i="5"/>
  <c r="J844" i="5"/>
  <c r="K844" i="5" s="1"/>
  <c r="J628" i="5"/>
  <c r="K628" i="5" s="1"/>
  <c r="J3" i="5"/>
  <c r="K3" i="5" s="1"/>
  <c r="J324" i="5"/>
  <c r="K324" i="5" s="1"/>
  <c r="J996" i="5"/>
  <c r="K996" i="5" s="1"/>
  <c r="J904" i="5"/>
  <c r="K904" i="5" s="1"/>
  <c r="J620" i="5"/>
  <c r="K620" i="5" s="1"/>
  <c r="J551" i="5"/>
  <c r="K551" i="5" s="1"/>
  <c r="M854" i="5"/>
  <c r="J854" i="5"/>
  <c r="K854" i="5" s="1"/>
  <c r="M836" i="5"/>
  <c r="J836" i="5"/>
  <c r="K836" i="5" s="1"/>
  <c r="J734" i="5"/>
  <c r="K734" i="5" s="1"/>
  <c r="M734" i="5"/>
  <c r="M322" i="5"/>
  <c r="M992" i="5"/>
  <c r="J992" i="5"/>
  <c r="K992" i="5" s="1"/>
  <c r="J977" i="5"/>
  <c r="K977" i="5" s="1"/>
  <c r="M977" i="5"/>
  <c r="M504" i="5"/>
  <c r="J504" i="5"/>
  <c r="K504" i="5" s="1"/>
  <c r="J645" i="5"/>
  <c r="K645" i="5" s="1"/>
  <c r="M645" i="5"/>
  <c r="J1042" i="5"/>
  <c r="K1042" i="5" s="1"/>
  <c r="M1042" i="5"/>
  <c r="J1016" i="5"/>
  <c r="K1016" i="5" s="1"/>
  <c r="M1016" i="5"/>
  <c r="M867" i="5"/>
  <c r="J867" i="5"/>
  <c r="K867" i="5" s="1"/>
  <c r="M336" i="5"/>
  <c r="J336" i="5"/>
  <c r="K336" i="5" s="1"/>
  <c r="J976" i="5"/>
  <c r="K976" i="5" s="1"/>
  <c r="M976" i="5"/>
  <c r="M674" i="5"/>
  <c r="J674" i="5"/>
  <c r="K674" i="5" s="1"/>
  <c r="J636" i="5"/>
  <c r="K636" i="5" s="1"/>
  <c r="M636" i="5"/>
  <c r="J906" i="5"/>
  <c r="K906" i="5" s="1"/>
  <c r="M906" i="5"/>
  <c r="J961" i="5"/>
  <c r="K961" i="5" s="1"/>
  <c r="J801" i="5"/>
  <c r="K801" i="5" s="1"/>
  <c r="J570" i="5"/>
  <c r="K570" i="5" s="1"/>
  <c r="M386" i="5"/>
  <c r="M956" i="5"/>
  <c r="M1012" i="5"/>
  <c r="J842" i="5"/>
  <c r="K842" i="5" s="1"/>
  <c r="M1047" i="5"/>
  <c r="M914" i="5"/>
  <c r="J1007" i="5"/>
  <c r="K1007" i="5" s="1"/>
  <c r="M959" i="5"/>
  <c r="J679" i="5"/>
  <c r="K679" i="5" s="1"/>
  <c r="M548" i="5"/>
  <c r="J123" i="5"/>
  <c r="K123" i="5" s="1"/>
  <c r="J370" i="5"/>
  <c r="K370" i="5" s="1"/>
  <c r="M987" i="5"/>
  <c r="J371" i="5"/>
  <c r="K371" i="5" s="1"/>
  <c r="J184" i="5"/>
  <c r="K184" i="5" s="1"/>
  <c r="M932" i="5"/>
  <c r="J932" i="5"/>
  <c r="K932" i="5" s="1"/>
  <c r="M18" i="5"/>
  <c r="M180" i="5"/>
  <c r="M892" i="5"/>
  <c r="J358" i="5"/>
  <c r="K358" i="5" s="1"/>
  <c r="J1000" i="5"/>
  <c r="K1000" i="5" s="1"/>
  <c r="M1000" i="5"/>
  <c r="M614" i="5"/>
  <c r="J614" i="5"/>
  <c r="K614" i="5" s="1"/>
  <c r="M473" i="5"/>
  <c r="J245" i="5"/>
  <c r="K245" i="5" s="1"/>
  <c r="M45" i="5"/>
  <c r="J52" i="5"/>
  <c r="K52" i="5" s="1"/>
  <c r="M1008" i="5"/>
  <c r="J896" i="5"/>
  <c r="K896" i="5" s="1"/>
  <c r="J281" i="5"/>
  <c r="K281" i="5" s="1"/>
  <c r="J724" i="5"/>
  <c r="K724" i="5" s="1"/>
  <c r="J44" i="5"/>
  <c r="K44" i="5" s="1"/>
  <c r="J1026" i="5"/>
  <c r="K1026" i="5" s="1"/>
  <c r="M722" i="5"/>
  <c r="J974" i="5"/>
  <c r="K974" i="5" s="1"/>
  <c r="J794" i="5"/>
  <c r="K794" i="5" s="1"/>
  <c r="M991" i="5"/>
  <c r="J766" i="5"/>
  <c r="K766" i="5" s="1"/>
  <c r="J860" i="5"/>
  <c r="K860" i="5" s="1"/>
  <c r="M521" i="5"/>
  <c r="M219" i="5"/>
  <c r="M728" i="5"/>
  <c r="J728" i="5"/>
  <c r="K728" i="5" s="1"/>
  <c r="M984" i="5"/>
  <c r="J1038" i="5"/>
  <c r="K1038" i="5" s="1"/>
  <c r="M1038" i="5"/>
  <c r="J960" i="5"/>
  <c r="K960" i="5" s="1"/>
  <c r="J754" i="5"/>
  <c r="K754" i="5" s="1"/>
  <c r="J1006" i="5"/>
  <c r="K1006" i="5" s="1"/>
  <c r="J850" i="5"/>
  <c r="K850" i="5" s="1"/>
  <c r="J902" i="5"/>
  <c r="K902" i="5" s="1"/>
  <c r="M260" i="5"/>
  <c r="J260" i="5"/>
  <c r="K260" i="5" s="1"/>
  <c r="M155" i="5"/>
  <c r="J711" i="5"/>
  <c r="K711" i="5" s="1"/>
  <c r="M58" i="5"/>
  <c r="J58" i="5"/>
  <c r="K58" i="5" s="1"/>
  <c r="M66" i="5"/>
  <c r="J66" i="5"/>
  <c r="K66" i="5" s="1"/>
  <c r="M121" i="5"/>
  <c r="M1035" i="5"/>
  <c r="M910" i="5"/>
  <c r="M1014" i="5"/>
  <c r="M710" i="5"/>
  <c r="M337" i="5"/>
  <c r="M990" i="5"/>
  <c r="M738" i="5"/>
  <c r="M838" i="5"/>
  <c r="M751" i="5"/>
  <c r="J190" i="5"/>
  <c r="K190" i="5" s="1"/>
  <c r="J99" i="5"/>
  <c r="K99" i="5" s="1"/>
  <c r="M99" i="5"/>
  <c r="M985" i="5"/>
  <c r="J21" i="5"/>
  <c r="K21" i="5" s="1"/>
  <c r="M989" i="5"/>
  <c r="M458" i="5"/>
  <c r="J458" i="5"/>
  <c r="K458" i="5" s="1"/>
  <c r="J1003" i="5"/>
  <c r="K1003" i="5" s="1"/>
  <c r="M1003" i="5"/>
  <c r="M208" i="5"/>
  <c r="J208" i="5"/>
  <c r="K208" i="5" s="1"/>
  <c r="M343" i="5"/>
  <c r="J343" i="5"/>
  <c r="K343" i="5" s="1"/>
  <c r="J17" i="5"/>
  <c r="K17" i="5" s="1"/>
  <c r="J1004" i="5"/>
  <c r="K1004" i="5" s="1"/>
  <c r="J834" i="5"/>
  <c r="K834" i="5" s="1"/>
  <c r="J731" i="5"/>
  <c r="K731" i="5" s="1"/>
  <c r="J735" i="5"/>
  <c r="K735" i="5" s="1"/>
  <c r="J1045" i="5"/>
  <c r="K1045" i="5" s="1"/>
  <c r="J684" i="5"/>
  <c r="K684" i="5" s="1"/>
  <c r="J428" i="5"/>
  <c r="K428" i="5" s="1"/>
  <c r="J480" i="5"/>
  <c r="K480" i="5" s="1"/>
  <c r="J351" i="5"/>
  <c r="K351" i="5" s="1"/>
  <c r="J149" i="5"/>
  <c r="K149" i="5" s="1"/>
  <c r="J144" i="5"/>
  <c r="K144" i="5" s="1"/>
  <c r="J5" i="5"/>
  <c r="K5" i="5" s="1"/>
  <c r="J647" i="5"/>
  <c r="K647" i="5" s="1"/>
  <c r="J856" i="5"/>
  <c r="K856" i="5" s="1"/>
  <c r="J529" i="5"/>
  <c r="K529" i="5" s="1"/>
  <c r="J413" i="5"/>
  <c r="K413" i="5" s="1"/>
  <c r="J53" i="5"/>
  <c r="K53" i="5" s="1"/>
  <c r="J514" i="5"/>
  <c r="K514" i="5" s="1"/>
  <c r="M514" i="5"/>
  <c r="J62" i="5"/>
  <c r="K62" i="5" s="1"/>
  <c r="M62" i="5"/>
  <c r="J557" i="5"/>
  <c r="K557" i="5" s="1"/>
  <c r="M557" i="5"/>
  <c r="M692" i="5"/>
  <c r="M695" i="5"/>
  <c r="M388" i="5"/>
  <c r="M912" i="5"/>
  <c r="J816" i="5"/>
  <c r="K816" i="5" s="1"/>
  <c r="M621" i="5"/>
  <c r="M378" i="5"/>
  <c r="M1005" i="5"/>
  <c r="J106" i="5"/>
  <c r="K106" i="5" s="1"/>
  <c r="M40" i="5"/>
  <c r="M109" i="5"/>
  <c r="M151" i="5"/>
  <c r="M1019" i="5"/>
  <c r="M420" i="5"/>
  <c r="M30" i="5"/>
  <c r="M259" i="5"/>
  <c r="J824" i="5"/>
  <c r="K824" i="5" s="1"/>
  <c r="M500" i="5"/>
  <c r="M267" i="5"/>
  <c r="J267" i="5"/>
  <c r="K267" i="5" s="1"/>
  <c r="M105" i="5"/>
  <c r="J105" i="5"/>
  <c r="K105" i="5" s="1"/>
  <c r="J273" i="5"/>
  <c r="K273" i="5" s="1"/>
  <c r="M273" i="5"/>
  <c r="M1040" i="5"/>
  <c r="J1040" i="5"/>
  <c r="K1040" i="5" s="1"/>
  <c r="M48" i="5"/>
  <c r="J48" i="5"/>
  <c r="K48" i="5" s="1"/>
  <c r="J530" i="5"/>
  <c r="K530" i="5" s="1"/>
  <c r="M530" i="5"/>
  <c r="J280" i="5"/>
  <c r="K280" i="5" s="1"/>
  <c r="M280" i="5"/>
  <c r="J512" i="5"/>
  <c r="K512" i="5" s="1"/>
  <c r="M512" i="5"/>
  <c r="J157" i="5"/>
  <c r="K157" i="5" s="1"/>
  <c r="M157" i="5"/>
  <c r="J830" i="5"/>
  <c r="K830" i="5" s="1"/>
  <c r="J354" i="5"/>
  <c r="K354" i="5" s="1"/>
  <c r="J569" i="5"/>
  <c r="K569" i="5" s="1"/>
  <c r="J141" i="5"/>
  <c r="K141" i="5" s="1"/>
  <c r="M448" i="5"/>
  <c r="J295" i="5"/>
  <c r="K295" i="5" s="1"/>
  <c r="M295" i="5"/>
  <c r="J747" i="5"/>
  <c r="K747" i="5" s="1"/>
  <c r="M747" i="5"/>
  <c r="J129" i="5"/>
  <c r="K129" i="5" s="1"/>
  <c r="J125" i="5"/>
  <c r="K125" i="5" s="1"/>
  <c r="J200" i="5"/>
  <c r="K200" i="5" s="1"/>
  <c r="J263" i="5"/>
  <c r="K263" i="5" s="1"/>
  <c r="M560" i="5"/>
  <c r="J248" i="5"/>
  <c r="K248" i="5" s="1"/>
  <c r="J399" i="5"/>
  <c r="K399" i="5" s="1"/>
  <c r="M36" i="5"/>
  <c r="M589" i="5"/>
  <c r="J425" i="5"/>
  <c r="K425" i="5" s="1"/>
  <c r="M440" i="5"/>
  <c r="J159" i="5"/>
  <c r="K159" i="5" s="1"/>
  <c r="J701" i="5"/>
  <c r="K701" i="5" s="1"/>
  <c r="M168" i="5"/>
  <c r="J13" i="5"/>
  <c r="K13" i="5" s="1"/>
  <c r="M1029" i="5"/>
  <c r="M456" i="5"/>
  <c r="M272" i="5"/>
  <c r="M581" i="5"/>
  <c r="M392" i="5"/>
  <c r="J406" i="5"/>
  <c r="K406" i="5" s="1"/>
  <c r="M57" i="5"/>
  <c r="J43" i="5"/>
  <c r="K43" i="5" s="1"/>
  <c r="M920" i="5"/>
  <c r="M359" i="5"/>
  <c r="M63" i="5"/>
  <c r="J450" i="5"/>
  <c r="K450" i="5" s="1"/>
  <c r="M29" i="5"/>
  <c r="J700" i="5"/>
  <c r="K700" i="5" s="1"/>
  <c r="M432" i="5"/>
  <c r="J311" i="5"/>
  <c r="K311" i="5" s="1"/>
  <c r="J444" i="5"/>
  <c r="K444" i="5" s="1"/>
  <c r="J55" i="5"/>
  <c r="K55" i="5" s="1"/>
  <c r="J626" i="5"/>
  <c r="K626" i="5" s="1"/>
  <c r="J119" i="5"/>
  <c r="K119" i="5" s="1"/>
  <c r="J89" i="5"/>
  <c r="K89" i="5" s="1"/>
  <c r="M460" i="5"/>
  <c r="M224" i="5"/>
  <c r="M104" i="5"/>
  <c r="M241" i="5"/>
  <c r="J957" i="5"/>
  <c r="K957" i="5" s="1"/>
  <c r="J101" i="5"/>
  <c r="K101" i="5" s="1"/>
  <c r="J509" i="5"/>
  <c r="K509" i="5" s="1"/>
  <c r="N480" i="5" l="1"/>
  <c r="N629" i="5"/>
  <c r="N949" i="5"/>
  <c r="N636" i="5"/>
  <c r="N631" i="5"/>
  <c r="N964" i="5"/>
  <c r="N635" i="5"/>
  <c r="N634" i="5"/>
  <c r="N633" i="5"/>
  <c r="N742" i="5"/>
  <c r="I111" i="5"/>
  <c r="I371" i="5"/>
  <c r="N1030" i="5"/>
  <c r="N628" i="5"/>
  <c r="N747" i="5"/>
  <c r="N652" i="5"/>
  <c r="N625" i="5"/>
  <c r="N627" i="5"/>
  <c r="N632" i="5"/>
  <c r="N488" i="5"/>
  <c r="N601" i="5"/>
  <c r="N293" i="5"/>
  <c r="N605" i="5"/>
  <c r="N292" i="5"/>
  <c r="N604" i="5"/>
  <c r="N291" i="5"/>
  <c r="N603" i="5"/>
  <c r="N232" i="5"/>
  <c r="N481" i="5"/>
  <c r="N586" i="5"/>
  <c r="N472" i="5"/>
  <c r="N6" i="5"/>
  <c r="N4" i="5"/>
  <c r="N7" i="5"/>
  <c r="N1060" i="5"/>
  <c r="N3" i="5"/>
  <c r="N619" i="5"/>
  <c r="N49" i="5"/>
  <c r="N46" i="5"/>
  <c r="N288" i="5"/>
  <c r="N275" i="5"/>
  <c r="N89" i="5"/>
  <c r="N28" i="5"/>
  <c r="N286" i="5"/>
  <c r="N223" i="5"/>
  <c r="N285" i="5"/>
  <c r="N246" i="5"/>
  <c r="N250" i="5"/>
  <c r="N204" i="5"/>
  <c r="N287" i="5"/>
  <c r="N758" i="5"/>
  <c r="I365" i="5"/>
  <c r="Q2398" i="3"/>
  <c r="Q2399" i="3"/>
  <c r="N961" i="5"/>
  <c r="N751" i="5"/>
  <c r="N950" i="5"/>
  <c r="N884" i="5"/>
  <c r="N1021" i="5"/>
  <c r="N615" i="5"/>
  <c r="N856" i="5"/>
  <c r="N618" i="5"/>
  <c r="N607" i="5"/>
  <c r="N948" i="5"/>
  <c r="N1020" i="5"/>
  <c r="N123" i="5"/>
  <c r="N295" i="5"/>
  <c r="N1031" i="5"/>
  <c r="N614" i="5"/>
  <c r="N610" i="5"/>
  <c r="N465" i="5"/>
  <c r="N1018" i="5"/>
  <c r="N874" i="5"/>
  <c r="N1063" i="5"/>
  <c r="N464" i="5"/>
  <c r="N217" i="5"/>
  <c r="N1010" i="5"/>
  <c r="N966" i="5"/>
  <c r="N954" i="5"/>
  <c r="N50" i="5"/>
  <c r="N609" i="5"/>
  <c r="N863" i="5"/>
  <c r="N944" i="5"/>
  <c r="N757" i="5"/>
  <c r="N868" i="5"/>
  <c r="N52" i="5"/>
  <c r="N1019" i="5"/>
  <c r="N608" i="5"/>
  <c r="N866" i="5"/>
  <c r="N617" i="5"/>
  <c r="N1068" i="5"/>
  <c r="N1073" i="5"/>
  <c r="N935" i="5"/>
  <c r="N1015" i="5"/>
  <c r="N448" i="5"/>
  <c r="N864" i="5"/>
  <c r="N1012" i="5"/>
  <c r="N616" i="5"/>
  <c r="N940" i="5"/>
  <c r="N955" i="5"/>
  <c r="N867" i="5"/>
  <c r="N942" i="5"/>
  <c r="N745" i="5"/>
  <c r="N1016" i="5"/>
  <c r="N932" i="5"/>
  <c r="N945" i="5"/>
  <c r="N641" i="5"/>
  <c r="N1029" i="5"/>
  <c r="N859" i="5"/>
  <c r="N934" i="5"/>
  <c r="N1032" i="5"/>
  <c r="N1023" i="5"/>
  <c r="N937" i="5"/>
  <c r="N953" i="5"/>
  <c r="N1025" i="5"/>
  <c r="N611" i="5"/>
  <c r="N606" i="5"/>
  <c r="N865" i="5"/>
  <c r="N622" i="5"/>
  <c r="N871" i="5"/>
  <c r="N962" i="5"/>
  <c r="N860" i="5"/>
  <c r="N943" i="5"/>
  <c r="N746" i="5"/>
  <c r="N1017" i="5"/>
  <c r="N938" i="5"/>
  <c r="N946" i="5"/>
  <c r="N959" i="5"/>
  <c r="N939" i="5"/>
  <c r="N613" i="5"/>
  <c r="N956" i="5"/>
  <c r="N1033" i="5"/>
  <c r="N862" i="5"/>
  <c r="N951" i="5"/>
  <c r="N57" i="5"/>
  <c r="N918" i="5"/>
  <c r="N869" i="5"/>
  <c r="N941" i="5"/>
  <c r="N1028" i="5"/>
  <c r="N936" i="5"/>
  <c r="N750" i="5"/>
  <c r="N947" i="5"/>
  <c r="N960" i="5"/>
  <c r="N933" i="5"/>
  <c r="N752" i="5"/>
  <c r="N131" i="5"/>
  <c r="N963" i="5"/>
  <c r="N861" i="5"/>
  <c r="N870" i="5"/>
  <c r="N952" i="5"/>
  <c r="N1024" i="5"/>
  <c r="N483" i="5"/>
  <c r="N362" i="5"/>
  <c r="N449" i="5"/>
  <c r="N311" i="5"/>
  <c r="N466" i="5"/>
  <c r="N376" i="5"/>
  <c r="N485" i="5"/>
  <c r="N505" i="5"/>
  <c r="N477" i="5"/>
  <c r="N299" i="5"/>
  <c r="N508" i="5"/>
  <c r="N589" i="5"/>
  <c r="N504" i="5"/>
  <c r="N518" i="5"/>
  <c r="N583" i="5"/>
  <c r="N484" i="5"/>
  <c r="N133" i="5"/>
  <c r="N278" i="5"/>
  <c r="N128" i="5"/>
  <c r="N274" i="5"/>
  <c r="N51" i="5"/>
  <c r="N234" i="5"/>
  <c r="N21" i="5"/>
  <c r="N203" i="5"/>
  <c r="N130" i="5"/>
  <c r="N247" i="5"/>
  <c r="N34" i="5"/>
  <c r="N53" i="5"/>
  <c r="N26" i="5"/>
  <c r="N161" i="5"/>
  <c r="N273" i="5"/>
  <c r="N283" i="5"/>
  <c r="N238" i="5"/>
  <c r="N284" i="5"/>
  <c r="N245" i="5"/>
  <c r="N515" i="5"/>
  <c r="N122" i="5"/>
  <c r="N379" i="5"/>
  <c r="N1167" i="5"/>
  <c r="N1139" i="5"/>
  <c r="N1146" i="5"/>
  <c r="N1165" i="5"/>
  <c r="N1102" i="5"/>
  <c r="N1142" i="5"/>
  <c r="N388" i="5"/>
  <c r="N144" i="5"/>
  <c r="N791" i="5"/>
  <c r="N903" i="5"/>
  <c r="N474" i="5"/>
  <c r="N11" i="5"/>
  <c r="N297" i="5"/>
  <c r="N106" i="5"/>
  <c r="N107" i="5"/>
  <c r="N357" i="5"/>
  <c r="N358" i="5"/>
  <c r="N710" i="5"/>
  <c r="N711" i="5"/>
  <c r="N558" i="5"/>
  <c r="N1047" i="5"/>
  <c r="N219" i="5"/>
  <c r="N921" i="5"/>
  <c r="N116" i="5"/>
  <c r="N117" i="5"/>
  <c r="N370" i="5"/>
  <c r="N371" i="5"/>
  <c r="N1089" i="5"/>
  <c r="N1086" i="5"/>
  <c r="N188" i="5"/>
  <c r="N838" i="5"/>
  <c r="N839" i="5"/>
  <c r="N1143" i="5"/>
  <c r="N429" i="5"/>
  <c r="N1147" i="5"/>
  <c r="N1144" i="5"/>
  <c r="N25" i="5"/>
  <c r="N24" i="5"/>
  <c r="N643" i="5"/>
  <c r="N453" i="5"/>
  <c r="N886" i="5"/>
  <c r="N202" i="5"/>
  <c r="N443" i="5"/>
  <c r="N855" i="5"/>
  <c r="N37" i="5"/>
  <c r="N38" i="5"/>
  <c r="N654" i="5"/>
  <c r="N487" i="5"/>
  <c r="N909" i="5"/>
  <c r="N396" i="5"/>
  <c r="N152" i="5"/>
  <c r="N395" i="5"/>
  <c r="N799" i="5"/>
  <c r="N801" i="5"/>
  <c r="N800" i="5"/>
  <c r="N151" i="5"/>
  <c r="N84" i="5"/>
  <c r="N85" i="5"/>
  <c r="N692" i="5"/>
  <c r="N343" i="5"/>
  <c r="N691" i="5"/>
  <c r="N1108" i="5"/>
  <c r="N1117" i="5"/>
  <c r="N164" i="5"/>
  <c r="N812" i="5"/>
  <c r="N407" i="5"/>
  <c r="N258" i="5"/>
  <c r="N257" i="5"/>
  <c r="N469" i="5"/>
  <c r="N470" i="5"/>
  <c r="N899" i="5"/>
  <c r="N900" i="5"/>
  <c r="N1121" i="5"/>
  <c r="N1084" i="5"/>
  <c r="N1112" i="5"/>
  <c r="N1125" i="5"/>
  <c r="N1176" i="5"/>
  <c r="N1157" i="5"/>
  <c r="N1093" i="5"/>
  <c r="N313" i="5"/>
  <c r="N95" i="5"/>
  <c r="N531" i="5"/>
  <c r="N990" i="5"/>
  <c r="N1008" i="5"/>
  <c r="N1009" i="5"/>
  <c r="N56" i="5"/>
  <c r="N663" i="5"/>
  <c r="N310" i="5"/>
  <c r="N560" i="5"/>
  <c r="N1049" i="5"/>
  <c r="N221" i="5"/>
  <c r="N924" i="5"/>
  <c r="N925" i="5"/>
  <c r="N923" i="5"/>
  <c r="N375" i="5"/>
  <c r="N719" i="5"/>
  <c r="N720" i="5"/>
  <c r="N374" i="5"/>
  <c r="N190" i="5"/>
  <c r="N431" i="5"/>
  <c r="N841" i="5"/>
  <c r="N240" i="5"/>
  <c r="N974" i="5"/>
  <c r="N510" i="5"/>
  <c r="N756" i="5"/>
  <c r="N755" i="5"/>
  <c r="N27" i="5"/>
  <c r="N302" i="5"/>
  <c r="N644" i="5"/>
  <c r="N282" i="5"/>
  <c r="N281" i="5"/>
  <c r="N280" i="5"/>
  <c r="N279" i="5"/>
  <c r="N581" i="5"/>
  <c r="N582" i="5"/>
  <c r="N146" i="5"/>
  <c r="N390" i="5"/>
  <c r="N793" i="5"/>
  <c r="N1148" i="5"/>
  <c r="N1136" i="5"/>
  <c r="N1162" i="5"/>
  <c r="N1154" i="5"/>
  <c r="N78" i="5"/>
  <c r="N338" i="5"/>
  <c r="N339" i="5"/>
  <c r="N685" i="5"/>
  <c r="N686" i="5"/>
  <c r="N79" i="5"/>
  <c r="N687" i="5"/>
  <c r="N1005" i="5"/>
  <c r="N1145" i="5"/>
  <c r="N546" i="5"/>
  <c r="N1140" i="5"/>
  <c r="N1141" i="5"/>
  <c r="N1166" i="5"/>
  <c r="N88" i="5"/>
  <c r="N695" i="5"/>
  <c r="N345" i="5"/>
  <c r="N573" i="5"/>
  <c r="N73" i="5"/>
  <c r="N332" i="5"/>
  <c r="N680" i="5"/>
  <c r="N548" i="5"/>
  <c r="N1026" i="5"/>
  <c r="N1058" i="5"/>
  <c r="N196" i="5"/>
  <c r="N848" i="5"/>
  <c r="N437" i="5"/>
  <c r="N218" i="5"/>
  <c r="N494" i="5"/>
  <c r="N920" i="5"/>
  <c r="N764" i="5"/>
  <c r="N765" i="5"/>
  <c r="N22" i="5"/>
  <c r="N23" i="5"/>
  <c r="N642" i="5"/>
  <c r="N208" i="5"/>
  <c r="N447" i="5"/>
  <c r="N858" i="5"/>
  <c r="N550" i="5"/>
  <c r="N1034" i="5"/>
  <c r="N1035" i="5"/>
  <c r="N212" i="5"/>
  <c r="N490" i="5"/>
  <c r="N913" i="5"/>
  <c r="N911" i="5"/>
  <c r="N912" i="5"/>
  <c r="N108" i="5"/>
  <c r="N109" i="5"/>
  <c r="N359" i="5"/>
  <c r="N360" i="5"/>
  <c r="N712" i="5"/>
  <c r="N713" i="5"/>
  <c r="N179" i="5"/>
  <c r="N422" i="5"/>
  <c r="N829" i="5"/>
  <c r="N503" i="5"/>
  <c r="N971" i="5"/>
  <c r="N210" i="5"/>
  <c r="N451" i="5"/>
  <c r="N881" i="5"/>
  <c r="N878" i="5"/>
  <c r="N879" i="5"/>
  <c r="N880" i="5"/>
  <c r="N882" i="5"/>
  <c r="N883" i="5"/>
  <c r="N877" i="5"/>
  <c r="N564" i="5"/>
  <c r="N1053" i="5"/>
  <c r="N565" i="5"/>
  <c r="N1052" i="5"/>
  <c r="N224" i="5"/>
  <c r="N497" i="5"/>
  <c r="N927" i="5"/>
  <c r="N121" i="5"/>
  <c r="N378" i="5"/>
  <c r="N194" i="5"/>
  <c r="N435" i="5"/>
  <c r="N845" i="5"/>
  <c r="N243" i="5"/>
  <c r="N513" i="5"/>
  <c r="N759" i="5"/>
  <c r="N760" i="5"/>
  <c r="N30" i="5"/>
  <c r="N304" i="5"/>
  <c r="N646" i="5"/>
  <c r="N479" i="5"/>
  <c r="N907" i="5"/>
  <c r="N141" i="5"/>
  <c r="N385" i="5"/>
  <c r="N783" i="5"/>
  <c r="N785" i="5"/>
  <c r="N787" i="5"/>
  <c r="N786" i="5"/>
  <c r="N784" i="5"/>
  <c r="N69" i="5"/>
  <c r="N70" i="5"/>
  <c r="N329" i="5"/>
  <c r="N676" i="5"/>
  <c r="N675" i="5"/>
  <c r="N328" i="5"/>
  <c r="N542" i="5"/>
  <c r="N1000" i="5"/>
  <c r="N461" i="5"/>
  <c r="N893" i="5"/>
  <c r="N523" i="5"/>
  <c r="N983" i="5"/>
  <c r="N48" i="5"/>
  <c r="N660" i="5"/>
  <c r="N552" i="5"/>
  <c r="N553" i="5"/>
  <c r="N1039" i="5"/>
  <c r="N1040" i="5"/>
  <c r="N214" i="5"/>
  <c r="N915" i="5"/>
  <c r="N916" i="5"/>
  <c r="N181" i="5"/>
  <c r="N831" i="5"/>
  <c r="N16" i="5"/>
  <c r="N15" i="5"/>
  <c r="N639" i="5"/>
  <c r="N256" i="5"/>
  <c r="N255" i="5"/>
  <c r="N269" i="5"/>
  <c r="N270" i="5"/>
  <c r="N476" i="5"/>
  <c r="N905" i="5"/>
  <c r="N138" i="5"/>
  <c r="N775" i="5"/>
  <c r="N382" i="5"/>
  <c r="N64" i="5"/>
  <c r="N63" i="5"/>
  <c r="N669" i="5"/>
  <c r="N322" i="5"/>
  <c r="N670" i="5"/>
  <c r="N323" i="5"/>
  <c r="N539" i="5"/>
  <c r="N997" i="5"/>
  <c r="N538" i="5"/>
  <c r="N623" i="5"/>
  <c r="N624" i="5"/>
  <c r="N154" i="5"/>
  <c r="N804" i="5"/>
  <c r="N398" i="5"/>
  <c r="N803" i="5"/>
  <c r="N195" i="5"/>
  <c r="N436" i="5"/>
  <c r="N846" i="5"/>
  <c r="N847" i="5"/>
  <c r="N380" i="5"/>
  <c r="N136" i="5"/>
  <c r="N772" i="5"/>
  <c r="N32" i="5"/>
  <c r="N305" i="5"/>
  <c r="N648" i="5"/>
  <c r="N545" i="5"/>
  <c r="N1003" i="5"/>
  <c r="N93" i="5"/>
  <c r="N367" i="5"/>
  <c r="N699" i="5"/>
  <c r="N178" i="5"/>
  <c r="N421" i="5"/>
  <c r="N828" i="5"/>
  <c r="N827" i="5"/>
  <c r="N177" i="5"/>
  <c r="N157" i="5"/>
  <c r="N807" i="5"/>
  <c r="N1087" i="5"/>
  <c r="N1123" i="5"/>
  <c r="N1122" i="5"/>
  <c r="N1110" i="5"/>
  <c r="N401" i="5"/>
  <c r="N1092" i="5"/>
  <c r="N412" i="5"/>
  <c r="N168" i="5"/>
  <c r="N411" i="5"/>
  <c r="N169" i="5"/>
  <c r="N817" i="5"/>
  <c r="N816" i="5"/>
  <c r="N549" i="5"/>
  <c r="N1027" i="5"/>
  <c r="N725" i="5"/>
  <c r="N726" i="5"/>
  <c r="N591" i="5"/>
  <c r="N216" i="5"/>
  <c r="N493" i="5"/>
  <c r="N919" i="5"/>
  <c r="N92" i="5"/>
  <c r="N366" i="5"/>
  <c r="N698" i="5"/>
  <c r="N185" i="5"/>
  <c r="N426" i="5"/>
  <c r="N835" i="5"/>
  <c r="N1069" i="5"/>
  <c r="N236" i="5"/>
  <c r="N507" i="5"/>
  <c r="N748" i="5"/>
  <c r="N749" i="5"/>
  <c r="N259" i="5"/>
  <c r="N260" i="5"/>
  <c r="N471" i="5"/>
  <c r="N901" i="5"/>
  <c r="N1111" i="5"/>
  <c r="N1175" i="5"/>
  <c r="N1124" i="5"/>
  <c r="N1156" i="5"/>
  <c r="N96" i="5"/>
  <c r="N701" i="5"/>
  <c r="N314" i="5"/>
  <c r="N315" i="5"/>
  <c r="N532" i="5"/>
  <c r="N991" i="5"/>
  <c r="N44" i="5"/>
  <c r="N45" i="5"/>
  <c r="N129" i="5"/>
  <c r="N721" i="5"/>
  <c r="N200" i="5"/>
  <c r="N441" i="5"/>
  <c r="N853" i="5"/>
  <c r="N516" i="5"/>
  <c r="N248" i="5"/>
  <c r="N978" i="5"/>
  <c r="N36" i="5"/>
  <c r="N651" i="5"/>
  <c r="N159" i="5"/>
  <c r="N403" i="5"/>
  <c r="N1119" i="5"/>
  <c r="N1129" i="5"/>
  <c r="N1075" i="5"/>
  <c r="N1099" i="5"/>
  <c r="N1115" i="5"/>
  <c r="N1098" i="5"/>
  <c r="N1077" i="5"/>
  <c r="N1116" i="5"/>
  <c r="N91" i="5"/>
  <c r="N348" i="5"/>
  <c r="N347" i="5"/>
  <c r="N696" i="5"/>
  <c r="N697" i="5"/>
  <c r="N172" i="5"/>
  <c r="N820" i="5"/>
  <c r="N415" i="5"/>
  <c r="N228" i="5"/>
  <c r="N499" i="5"/>
  <c r="N967" i="5"/>
  <c r="N729" i="5"/>
  <c r="N730" i="5"/>
  <c r="N253" i="5"/>
  <c r="N254" i="5"/>
  <c r="N529" i="5"/>
  <c r="N988" i="5"/>
  <c r="N167" i="5"/>
  <c r="N410" i="5"/>
  <c r="N166" i="5"/>
  <c r="N814" i="5"/>
  <c r="N815" i="5"/>
  <c r="N409" i="5"/>
  <c r="N10" i="5"/>
  <c r="N296" i="5"/>
  <c r="N544" i="5"/>
  <c r="N1002" i="5"/>
  <c r="N1062" i="5"/>
  <c r="N114" i="5"/>
  <c r="N115" i="5"/>
  <c r="N716" i="5"/>
  <c r="N368" i="5"/>
  <c r="N369" i="5"/>
  <c r="N1085" i="5"/>
  <c r="N1090" i="5"/>
  <c r="N264" i="5"/>
  <c r="N263" i="5"/>
  <c r="N58" i="5"/>
  <c r="N59" i="5"/>
  <c r="N316" i="5"/>
  <c r="N664" i="5"/>
  <c r="N317" i="5"/>
  <c r="N665" i="5"/>
  <c r="N318" i="5"/>
  <c r="N1083" i="5"/>
  <c r="N1101" i="5"/>
  <c r="N163" i="5"/>
  <c r="N406" i="5"/>
  <c r="N132" i="5"/>
  <c r="N722" i="5"/>
  <c r="N527" i="5"/>
  <c r="N987" i="5"/>
  <c r="N580" i="5"/>
  <c r="N389" i="5"/>
  <c r="N792" i="5"/>
  <c r="N145" i="5"/>
  <c r="N1138" i="5"/>
  <c r="N1164" i="5"/>
  <c r="N1133" i="5"/>
  <c r="N76" i="5"/>
  <c r="N77" i="5"/>
  <c r="N684" i="5"/>
  <c r="N337" i="5"/>
  <c r="N336" i="5"/>
  <c r="N1004" i="5"/>
  <c r="N1072" i="5"/>
  <c r="N873" i="5"/>
  <c r="N872" i="5"/>
  <c r="N162" i="5"/>
  <c r="N405" i="5"/>
  <c r="N810" i="5"/>
  <c r="N811" i="5"/>
  <c r="N102" i="5"/>
  <c r="N708" i="5"/>
  <c r="N353" i="5"/>
  <c r="N103" i="5"/>
  <c r="N354" i="5"/>
  <c r="N707" i="5"/>
  <c r="N175" i="5"/>
  <c r="N825" i="5"/>
  <c r="N419" i="5"/>
  <c r="N231" i="5"/>
  <c r="N970" i="5"/>
  <c r="N736" i="5"/>
  <c r="N737" i="5"/>
  <c r="N462" i="5"/>
  <c r="N894" i="5"/>
  <c r="N1095" i="5"/>
  <c r="N1103" i="5"/>
  <c r="N1151" i="5"/>
  <c r="N1177" i="5"/>
  <c r="N1155" i="5"/>
  <c r="N1170" i="5"/>
  <c r="N1126" i="5"/>
  <c r="N1080" i="5"/>
  <c r="N205" i="5"/>
  <c r="N444" i="5"/>
  <c r="N857" i="5"/>
  <c r="N524" i="5"/>
  <c r="N984" i="5"/>
  <c r="N761" i="5"/>
  <c r="N762" i="5"/>
  <c r="N763" i="5"/>
  <c r="N8" i="5"/>
  <c r="N561" i="5"/>
  <c r="N562" i="5"/>
  <c r="N1050" i="5"/>
  <c r="N222" i="5"/>
  <c r="N496" i="5"/>
  <c r="N926" i="5"/>
  <c r="N192" i="5"/>
  <c r="N191" i="5"/>
  <c r="N432" i="5"/>
  <c r="N433" i="5"/>
  <c r="N842" i="5"/>
  <c r="N843" i="5"/>
  <c r="N975" i="5"/>
  <c r="N241" i="5"/>
  <c r="N511" i="5"/>
  <c r="N272" i="5"/>
  <c r="N271" i="5"/>
  <c r="N147" i="5"/>
  <c r="N148" i="5"/>
  <c r="N794" i="5"/>
  <c r="N391" i="5"/>
  <c r="N795" i="5"/>
  <c r="N392" i="5"/>
  <c r="N81" i="5"/>
  <c r="N340" i="5"/>
  <c r="N80" i="5"/>
  <c r="N688" i="5"/>
  <c r="N689" i="5"/>
  <c r="N1006" i="5"/>
  <c r="N458" i="5"/>
  <c r="N459" i="5"/>
  <c r="N890" i="5"/>
  <c r="N891" i="5"/>
  <c r="N724" i="5"/>
  <c r="N135" i="5"/>
  <c r="N1169" i="5"/>
  <c r="N1168" i="5"/>
  <c r="N521" i="5"/>
  <c r="N981" i="5"/>
  <c r="N41" i="5"/>
  <c r="N42" i="5"/>
  <c r="N308" i="5"/>
  <c r="N657" i="5"/>
  <c r="N309" i="5"/>
  <c r="N658" i="5"/>
  <c r="N574" i="5"/>
  <c r="N289" i="5"/>
  <c r="N519" i="5"/>
  <c r="N979" i="5"/>
  <c r="N1013" i="5"/>
  <c r="N1014" i="5"/>
  <c r="N567" i="5"/>
  <c r="N568" i="5"/>
  <c r="N566" i="5"/>
  <c r="N244" i="5"/>
  <c r="N514" i="5"/>
  <c r="N977" i="5"/>
  <c r="N694" i="5"/>
  <c r="N87" i="5"/>
  <c r="N344" i="5"/>
  <c r="N266" i="5"/>
  <c r="N265" i="5"/>
  <c r="N60" i="5"/>
  <c r="N666" i="5"/>
  <c r="N319" i="5"/>
  <c r="N896" i="5"/>
  <c r="N590" i="5"/>
  <c r="N186" i="5"/>
  <c r="N427" i="5"/>
  <c r="N836" i="5"/>
  <c r="N105" i="5"/>
  <c r="N356" i="5"/>
  <c r="N104" i="5"/>
  <c r="N709" i="5"/>
  <c r="N355" i="5"/>
  <c r="N233" i="5"/>
  <c r="N502" i="5"/>
  <c r="N267" i="5"/>
  <c r="N268" i="5"/>
  <c r="N475" i="5"/>
  <c r="N904" i="5"/>
  <c r="N773" i="5"/>
  <c r="N774" i="5"/>
  <c r="N137" i="5"/>
  <c r="N381" i="5"/>
  <c r="N61" i="5"/>
  <c r="N62" i="5"/>
  <c r="N320" i="5"/>
  <c r="N668" i="5"/>
  <c r="N321" i="5"/>
  <c r="N667" i="5"/>
  <c r="N537" i="5"/>
  <c r="N996" i="5"/>
  <c r="N584" i="5"/>
  <c r="N153" i="5"/>
  <c r="N397" i="5"/>
  <c r="N802" i="5"/>
  <c r="N1109" i="5"/>
  <c r="N1074" i="5"/>
  <c r="N1088" i="5"/>
  <c r="N1118" i="5"/>
  <c r="N86" i="5"/>
  <c r="N693" i="5"/>
  <c r="N1113" i="5"/>
  <c r="N165" i="5"/>
  <c r="N813" i="5"/>
  <c r="N408" i="5"/>
  <c r="N1066" i="5"/>
  <c r="N452" i="5"/>
  <c r="N885" i="5"/>
  <c r="N854" i="5"/>
  <c r="N442" i="5"/>
  <c r="N201" i="5"/>
  <c r="N249" i="5"/>
  <c r="N517" i="5"/>
  <c r="N653" i="5"/>
  <c r="N47" i="5"/>
  <c r="N738" i="5"/>
  <c r="N739" i="5"/>
  <c r="N588" i="5"/>
  <c r="N554" i="5"/>
  <c r="N1041" i="5"/>
  <c r="N1042" i="5"/>
  <c r="N555" i="5"/>
  <c r="N1044" i="5"/>
  <c r="N1043" i="5"/>
  <c r="N492" i="5"/>
  <c r="N215" i="5"/>
  <c r="N917" i="5"/>
  <c r="N364" i="5"/>
  <c r="N112" i="5"/>
  <c r="N111" i="5"/>
  <c r="N714" i="5"/>
  <c r="N363" i="5"/>
  <c r="N715" i="5"/>
  <c r="N182" i="5"/>
  <c r="N424" i="5"/>
  <c r="N832" i="5"/>
  <c r="N17" i="5"/>
  <c r="N18" i="5"/>
  <c r="N587" i="5"/>
  <c r="N139" i="5"/>
  <c r="N780" i="5"/>
  <c r="N776" i="5"/>
  <c r="N777" i="5"/>
  <c r="N383" i="5"/>
  <c r="N778" i="5"/>
  <c r="N779" i="5"/>
  <c r="N65" i="5"/>
  <c r="N66" i="5"/>
  <c r="N324" i="5"/>
  <c r="N671" i="5"/>
  <c r="N325" i="5"/>
  <c r="N672" i="5"/>
  <c r="N1100" i="5"/>
  <c r="N1076" i="5"/>
  <c r="N540" i="5"/>
  <c r="N998" i="5"/>
  <c r="N467" i="5"/>
  <c r="N897" i="5"/>
  <c r="N596" i="5"/>
  <c r="N595" i="5"/>
  <c r="N126" i="5"/>
  <c r="N127" i="5"/>
  <c r="N198" i="5"/>
  <c r="N439" i="5"/>
  <c r="N850" i="5"/>
  <c r="N768" i="5"/>
  <c r="N769" i="5"/>
  <c r="N965" i="5"/>
  <c r="N1057" i="5"/>
  <c r="N187" i="5"/>
  <c r="N428" i="5"/>
  <c r="N837" i="5"/>
  <c r="N1135" i="5"/>
  <c r="N1161" i="5"/>
  <c r="N1131" i="5"/>
  <c r="N1134" i="5"/>
  <c r="N1130" i="5"/>
  <c r="N578" i="5"/>
  <c r="N535" i="5"/>
  <c r="N994" i="5"/>
  <c r="N207" i="5"/>
  <c r="N1065" i="5"/>
  <c r="N446" i="5"/>
  <c r="N620" i="5"/>
  <c r="N621" i="5"/>
  <c r="N251" i="5"/>
  <c r="N252" i="5"/>
  <c r="N528" i="5"/>
  <c r="N142" i="5"/>
  <c r="N788" i="5"/>
  <c r="N789" i="5"/>
  <c r="N386" i="5"/>
  <c r="N1153" i="5"/>
  <c r="N1152" i="5"/>
  <c r="N72" i="5"/>
  <c r="N330" i="5"/>
  <c r="N677" i="5"/>
  <c r="N71" i="5"/>
  <c r="N331" i="5"/>
  <c r="N678" i="5"/>
  <c r="N679" i="5"/>
  <c r="N543" i="5"/>
  <c r="N1001" i="5"/>
  <c r="N9" i="5"/>
  <c r="N294" i="5"/>
  <c r="N563" i="5"/>
  <c r="N1051" i="5"/>
  <c r="N120" i="5"/>
  <c r="N377" i="5"/>
  <c r="N193" i="5"/>
  <c r="N434" i="5"/>
  <c r="N844" i="5"/>
  <c r="N242" i="5"/>
  <c r="N512" i="5"/>
  <c r="N976" i="5"/>
  <c r="N29" i="5"/>
  <c r="N303" i="5"/>
  <c r="N645" i="5"/>
  <c r="N404" i="5"/>
  <c r="N160" i="5"/>
  <c r="N809" i="5"/>
  <c r="N98" i="5"/>
  <c r="N99" i="5"/>
  <c r="N349" i="5"/>
  <c r="N350" i="5"/>
  <c r="N703" i="5"/>
  <c r="N704" i="5"/>
  <c r="N173" i="5"/>
  <c r="N821" i="5"/>
  <c r="N416" i="5"/>
  <c r="N229" i="5"/>
  <c r="N500" i="5"/>
  <c r="N968" i="5"/>
  <c r="N732" i="5"/>
  <c r="N731" i="5"/>
  <c r="N468" i="5"/>
  <c r="N898" i="5"/>
  <c r="N94" i="5"/>
  <c r="N700" i="5"/>
  <c r="N312" i="5"/>
  <c r="N530" i="5"/>
  <c r="N989" i="5"/>
  <c r="N54" i="5"/>
  <c r="N55" i="5"/>
  <c r="N661" i="5"/>
  <c r="N662" i="5"/>
  <c r="N559" i="5"/>
  <c r="N1048" i="5"/>
  <c r="N220" i="5"/>
  <c r="N495" i="5"/>
  <c r="N922" i="5"/>
  <c r="N118" i="5"/>
  <c r="N372" i="5"/>
  <c r="N119" i="5"/>
  <c r="N717" i="5"/>
  <c r="N718" i="5"/>
  <c r="N1091" i="5"/>
  <c r="N373" i="5"/>
  <c r="N1078" i="5"/>
  <c r="N189" i="5"/>
  <c r="N430" i="5"/>
  <c r="N840" i="5"/>
  <c r="N239" i="5"/>
  <c r="N509" i="5"/>
  <c r="N753" i="5"/>
  <c r="N754" i="5"/>
  <c r="N887" i="5"/>
  <c r="N455" i="5"/>
  <c r="N226" i="5"/>
  <c r="N929" i="5"/>
  <c r="N930" i="5"/>
  <c r="N225" i="5"/>
  <c r="N928" i="5"/>
  <c r="N579" i="5"/>
  <c r="N536" i="5"/>
  <c r="N995" i="5"/>
  <c r="N585" i="5"/>
  <c r="N593" i="5"/>
  <c r="N592" i="5"/>
  <c r="N420" i="5"/>
  <c r="N176" i="5"/>
  <c r="N826" i="5"/>
  <c r="N211" i="5"/>
  <c r="N489" i="5"/>
  <c r="N1105" i="5"/>
  <c r="N910" i="5"/>
  <c r="N1064" i="5"/>
  <c r="N1106" i="5"/>
  <c r="N740" i="5"/>
  <c r="N741" i="5"/>
  <c r="N576" i="5"/>
  <c r="N575" i="5"/>
  <c r="N457" i="5"/>
  <c r="N889" i="5"/>
  <c r="N888" i="5"/>
  <c r="N456" i="5"/>
  <c r="N134" i="5"/>
  <c r="N723" i="5"/>
  <c r="N1173" i="5"/>
  <c r="N1174" i="5"/>
  <c r="N1071" i="5"/>
  <c r="N1067" i="5"/>
  <c r="N1070" i="5"/>
  <c r="N290" i="5"/>
  <c r="N520" i="5"/>
  <c r="N980" i="5"/>
  <c r="N577" i="5"/>
  <c r="N97" i="5"/>
  <c r="N702" i="5"/>
  <c r="N533" i="5"/>
  <c r="N534" i="5"/>
  <c r="N992" i="5"/>
  <c r="N993" i="5"/>
  <c r="N556" i="5"/>
  <c r="N557" i="5"/>
  <c r="N1045" i="5"/>
  <c r="N1046" i="5"/>
  <c r="N113" i="5"/>
  <c r="N365" i="5"/>
  <c r="N184" i="5"/>
  <c r="N425" i="5"/>
  <c r="N833" i="5"/>
  <c r="N183" i="5"/>
  <c r="N834" i="5"/>
  <c r="N235" i="5"/>
  <c r="N506" i="5"/>
  <c r="N972" i="5"/>
  <c r="N19" i="5"/>
  <c r="N20" i="5"/>
  <c r="N640" i="5"/>
  <c r="N647" i="5"/>
  <c r="N31" i="5"/>
  <c r="N486" i="5"/>
  <c r="N908" i="5"/>
  <c r="N149" i="5"/>
  <c r="N150" i="5"/>
  <c r="N393" i="5"/>
  <c r="N796" i="5"/>
  <c r="N394" i="5"/>
  <c r="N797" i="5"/>
  <c r="N798" i="5"/>
  <c r="N82" i="5"/>
  <c r="N83" i="5"/>
  <c r="N341" i="5"/>
  <c r="N342" i="5"/>
  <c r="N690" i="5"/>
  <c r="N1007" i="5"/>
  <c r="N547" i="5"/>
  <c r="N460" i="5"/>
  <c r="N892" i="5"/>
  <c r="N1127" i="5"/>
  <c r="N1159" i="5"/>
  <c r="N1081" i="5"/>
  <c r="N1097" i="5"/>
  <c r="N1171" i="5"/>
  <c r="N1096" i="5"/>
  <c r="N1158" i="5"/>
  <c r="N1149" i="5"/>
  <c r="N1150" i="5"/>
  <c r="N1120" i="5"/>
  <c r="N1114" i="5"/>
  <c r="N1128" i="5"/>
  <c r="N1082" i="5"/>
  <c r="N1172" i="5"/>
  <c r="N522" i="5"/>
  <c r="N982" i="5"/>
  <c r="N43" i="5"/>
  <c r="N659" i="5"/>
  <c r="N261" i="5"/>
  <c r="N262" i="5"/>
  <c r="N551" i="5"/>
  <c r="N1037" i="5"/>
  <c r="N1038" i="5"/>
  <c r="N1036" i="5"/>
  <c r="N213" i="5"/>
  <c r="N491" i="5"/>
  <c r="N914" i="5"/>
  <c r="N110" i="5"/>
  <c r="N361" i="5"/>
  <c r="N180" i="5"/>
  <c r="N423" i="5"/>
  <c r="N830" i="5"/>
  <c r="N743" i="5"/>
  <c r="N744" i="5"/>
  <c r="N13" i="5"/>
  <c r="N14" i="5"/>
  <c r="N300" i="5"/>
  <c r="N637" i="5"/>
  <c r="N638" i="5"/>
  <c r="N301" i="5"/>
  <c r="N1061" i="5"/>
  <c r="N155" i="5"/>
  <c r="N156" i="5"/>
  <c r="N805" i="5"/>
  <c r="N806" i="5"/>
  <c r="N399" i="5"/>
  <c r="N400" i="5"/>
  <c r="N74" i="5"/>
  <c r="N75" i="5"/>
  <c r="N333" i="5"/>
  <c r="N334" i="5"/>
  <c r="N335" i="5"/>
  <c r="N681" i="5"/>
  <c r="N682" i="5"/>
  <c r="N683" i="5"/>
  <c r="N790" i="5"/>
  <c r="N387" i="5"/>
  <c r="N143" i="5"/>
  <c r="N569" i="5"/>
  <c r="N570" i="5"/>
  <c r="N571" i="5"/>
  <c r="N594" i="5"/>
  <c r="N237" i="5"/>
  <c r="N973" i="5"/>
  <c r="N473" i="5"/>
  <c r="N902" i="5"/>
  <c r="N526" i="5"/>
  <c r="N986" i="5"/>
  <c r="N450" i="5"/>
  <c r="N209" i="5"/>
  <c r="N875" i="5"/>
  <c r="N876" i="5"/>
  <c r="N12" i="5"/>
  <c r="N298" i="5"/>
  <c r="N572" i="5"/>
  <c r="N227" i="5"/>
  <c r="N498" i="5"/>
  <c r="N931" i="5"/>
  <c r="N124" i="5"/>
  <c r="N125" i="5"/>
  <c r="N197" i="5"/>
  <c r="N849" i="5"/>
  <c r="N438" i="5"/>
  <c r="N766" i="5"/>
  <c r="N767" i="5"/>
  <c r="N33" i="5"/>
  <c r="N306" i="5"/>
  <c r="N649" i="5"/>
  <c r="N463" i="5"/>
  <c r="N895" i="5"/>
  <c r="N206" i="5"/>
  <c r="N445" i="5"/>
  <c r="N852" i="5"/>
  <c r="N525" i="5"/>
  <c r="N985" i="5"/>
  <c r="N40" i="5"/>
  <c r="N39" i="5"/>
  <c r="N100" i="5"/>
  <c r="N101" i="5"/>
  <c r="N351" i="5"/>
  <c r="N352" i="5"/>
  <c r="N705" i="5"/>
  <c r="N706" i="5"/>
  <c r="N174" i="5"/>
  <c r="N822" i="5"/>
  <c r="N418" i="5"/>
  <c r="N824" i="5"/>
  <c r="N823" i="5"/>
  <c r="N230" i="5"/>
  <c r="N501" i="5"/>
  <c r="N969" i="5"/>
  <c r="N733" i="5"/>
  <c r="N734" i="5"/>
  <c r="N735" i="5"/>
  <c r="N478" i="5"/>
  <c r="N906" i="5"/>
  <c r="N140" i="5"/>
  <c r="N384" i="5"/>
  <c r="N781" i="5"/>
  <c r="N782" i="5"/>
  <c r="N1055" i="5"/>
  <c r="N67" i="5"/>
  <c r="N68" i="5"/>
  <c r="N326" i="5"/>
  <c r="N673" i="5"/>
  <c r="N1079" i="5"/>
  <c r="N674" i="5"/>
  <c r="N327" i="5"/>
  <c r="N1094" i="5"/>
  <c r="N541" i="5"/>
  <c r="N999" i="5"/>
  <c r="N1056" i="5"/>
  <c r="N440" i="5"/>
  <c r="N199" i="5"/>
  <c r="N851" i="5"/>
  <c r="N1137" i="5"/>
  <c r="N1163" i="5"/>
  <c r="N1160" i="5"/>
  <c r="N1132" i="5"/>
  <c r="N770" i="5"/>
  <c r="N771" i="5"/>
  <c r="N35" i="5"/>
  <c r="N307" i="5"/>
  <c r="N650" i="5"/>
  <c r="N158" i="5"/>
  <c r="N402" i="5"/>
  <c r="N1107" i="5"/>
  <c r="N808" i="5"/>
  <c r="N1104" i="5"/>
  <c r="N90" i="5"/>
  <c r="N346" i="5"/>
  <c r="N170" i="5"/>
  <c r="N171" i="5"/>
  <c r="N413" i="5"/>
  <c r="N414" i="5"/>
  <c r="N818" i="5"/>
  <c r="N819" i="5"/>
  <c r="N1059" i="5"/>
  <c r="N727" i="5"/>
  <c r="N728" i="5"/>
  <c r="C2" i="11" l="1"/>
</calcChain>
</file>

<file path=xl/sharedStrings.xml><?xml version="1.0" encoding="utf-8"?>
<sst xmlns="http://schemas.openxmlformats.org/spreadsheetml/2006/main" count="31985" uniqueCount="3218">
  <si>
    <t>RM Item
New Code</t>
  </si>
  <si>
    <t>Complete Item Description</t>
  </si>
  <si>
    <t>Cost /
 Storage
 Unit (JOD)</t>
  </si>
  <si>
    <t>Recipe 
 Unit</t>
  </si>
  <si>
    <t>تصنيف</t>
  </si>
  <si>
    <t>Item Quantity</t>
  </si>
  <si>
    <t>Price Per Unit</t>
  </si>
  <si>
    <t>ثوم طازج كامل*****</t>
  </si>
  <si>
    <t>غم</t>
  </si>
  <si>
    <t>خضار</t>
  </si>
  <si>
    <t>كزبرة*****</t>
  </si>
  <si>
    <t>قطعة</t>
  </si>
  <si>
    <t>زبدة مبسترة غير مملحة 1 كغ*****</t>
  </si>
  <si>
    <t>اجبان والبان</t>
  </si>
  <si>
    <t>عصير ليمون طازج 2.5 لتر*****</t>
  </si>
  <si>
    <t>مل</t>
  </si>
  <si>
    <t>ملح طعام 750غم*****</t>
  </si>
  <si>
    <t>بهارات</t>
  </si>
  <si>
    <t>فلفل اسود ناعم*****</t>
  </si>
  <si>
    <t>مرق الدجاج بودرة 1 كغ*****</t>
  </si>
  <si>
    <t>نقانق عربي*****</t>
  </si>
  <si>
    <t>لحوم</t>
  </si>
  <si>
    <t>دبس رمان 5 كغ (مادة أولية)*****</t>
  </si>
  <si>
    <t>مواد تموينية</t>
  </si>
  <si>
    <t>خبز عربي (خبز لبناني) صغير*****</t>
  </si>
  <si>
    <t>خبز</t>
  </si>
  <si>
    <t>طحينية 18 كغ*****</t>
  </si>
  <si>
    <t>لبن رايب 5 كغ*****</t>
  </si>
  <si>
    <t>فلفل حار اخضر*****</t>
  </si>
  <si>
    <t>لوز انصاف 11.340 كغ*****</t>
  </si>
  <si>
    <t>لوز ارباع 11.340 كغ*****</t>
  </si>
  <si>
    <t>بقدونس*****</t>
  </si>
  <si>
    <t>سمنة بلدية 5 كغ*****</t>
  </si>
  <si>
    <t>نعنع*****</t>
  </si>
  <si>
    <t>بصل ناشف دفش*****</t>
  </si>
  <si>
    <t>زيت صويا 18 لتر*****</t>
  </si>
  <si>
    <t>زيوت</t>
  </si>
  <si>
    <t>زيت زيتون 16 كغ*****</t>
  </si>
  <si>
    <t>صويا صوص 3.79 لتر*****</t>
  </si>
  <si>
    <t>بندورة جامدة*****</t>
  </si>
  <si>
    <t>معجون الطماطم 1375 غم*****</t>
  </si>
  <si>
    <t>بندورة كرزية (بندورة شري)*****</t>
  </si>
  <si>
    <t>بندورة مقشورة 2.5 كغ*****</t>
  </si>
  <si>
    <t>بندورة مجففة بالأعشاب 700 غم*****</t>
  </si>
  <si>
    <t>بندوره مشاوي</t>
  </si>
  <si>
    <t>بطاطا*****</t>
  </si>
  <si>
    <t>طحين ابيض زهرة متعدد الاستخدامات*****</t>
  </si>
  <si>
    <t>بيض طازج 1*30 حبة*****</t>
  </si>
  <si>
    <t>قرشلة (فتات الخبز) خشنة 1 كغ*****</t>
  </si>
  <si>
    <t>خس احمر*****</t>
  </si>
  <si>
    <t>ليمون اصفر*****</t>
  </si>
  <si>
    <t>بهارات مشكلة*****</t>
  </si>
  <si>
    <t>قرفة ناعمة*****</t>
  </si>
  <si>
    <t>هال ناعم*****</t>
  </si>
  <si>
    <t>روزميري ناشف*****</t>
  </si>
  <si>
    <t>فطر طازج (فطر فرش)*****</t>
  </si>
  <si>
    <t>كريما طبخ 1 لتر*****</t>
  </si>
  <si>
    <t>جبنة موزريلا قالب 2.380 كغ*****</t>
  </si>
  <si>
    <t>فلفل حلو احمر*****</t>
  </si>
  <si>
    <t>بهارات كيجن عادي*****</t>
  </si>
  <si>
    <t>باذنجان (اسود) كلاسك*****</t>
  </si>
  <si>
    <t>لبنة طرية 1 كغ*****</t>
  </si>
  <si>
    <t>بابريكا حارة*****</t>
  </si>
  <si>
    <t>زيتون اخضر مشرح سادة 10 كغ*****</t>
  </si>
  <si>
    <t>سكر ابيض ناعم*****</t>
  </si>
  <si>
    <t>خميرة فورية 500 غم*****</t>
  </si>
  <si>
    <t>كزبرة ناعمة*****</t>
  </si>
  <si>
    <t>عصفر ريش*****</t>
  </si>
  <si>
    <t>فلفل حلو اخضر*****</t>
  </si>
  <si>
    <t>جبنة عكاوي 5 كغ*****</t>
  </si>
  <si>
    <t>سمسم ابيض*****</t>
  </si>
  <si>
    <t>بيتزا صوص 4.100 كغ*****</t>
  </si>
  <si>
    <t>تيركي 500 غم*****</t>
  </si>
  <si>
    <t>سلامي بقري 1 كغ*****</t>
  </si>
  <si>
    <t>باربكيو صوص 3.79 لتر*****</t>
  </si>
  <si>
    <t>*****فطر مقطع 400غم</t>
  </si>
  <si>
    <t>حليب بودرة 1.800 كغ*****</t>
  </si>
  <si>
    <t>فانيلا سائلة 1 لتر*****</t>
  </si>
  <si>
    <t>حليب طويل الأجل كامل الدسم 1 لتر*****</t>
  </si>
  <si>
    <t>كريم كراميل بودرة 71 غم*****</t>
  </si>
  <si>
    <t>قشطة قيمر 125 مل*****</t>
  </si>
  <si>
    <t>سكر بني غامق 453 غم*****</t>
  </si>
  <si>
    <t>شوكولاته شيبس 5 كغ*****</t>
  </si>
  <si>
    <t>نسكافيه جولد 190 غم*****</t>
  </si>
  <si>
    <t>حمص حب نمرة 12*****</t>
  </si>
  <si>
    <t>ملح ليمون*****</t>
  </si>
  <si>
    <t>رمان*****</t>
  </si>
  <si>
    <t>جوز عين الجمل*****</t>
  </si>
  <si>
    <t>عدس حب*****</t>
  </si>
  <si>
    <t>تمر هندي 150 غم*****</t>
  </si>
  <si>
    <t>كمون ناعم*****</t>
  </si>
  <si>
    <t>ثوم ناعم*****</t>
  </si>
  <si>
    <t>شطة جامدة 10 كغ*****</t>
  </si>
  <si>
    <t>دبس فليفلة حلوة 650 غم*****</t>
  </si>
  <si>
    <t>سماق*****</t>
  </si>
  <si>
    <t>خس بلدي*****</t>
  </si>
  <si>
    <t>فجل احمر*****</t>
  </si>
  <si>
    <t>جرجير*****</t>
  </si>
  <si>
    <t>خيار*****</t>
  </si>
  <si>
    <t>نشا طعام*****</t>
  </si>
  <si>
    <t>خل ابيض 3.7 لتر*****</t>
  </si>
  <si>
    <t>خل تفاح 4 لتر*****</t>
  </si>
  <si>
    <t>ملفوف ابيض*****</t>
  </si>
  <si>
    <t>اناناس شرائح 565 غم*****</t>
  </si>
  <si>
    <t>جزر*****</t>
  </si>
  <si>
    <t>مايونيز جالون 3.78 لتر*****</t>
  </si>
  <si>
    <t>عصير برتقال طازج 2.5 لتر*****</t>
  </si>
  <si>
    <t>خس ايسبرغ*****</t>
  </si>
  <si>
    <t>خبز التوست بالحليب مشرح 600 غم*****</t>
  </si>
  <si>
    <t>جبنة بارميزان قالب*****</t>
  </si>
  <si>
    <t>جبنة فيتا 16 كغ*****</t>
  </si>
  <si>
    <t>زعتر اوريجانو*****</t>
  </si>
  <si>
    <t>زيتون اسود شرائح 4.200 كغ*****</t>
  </si>
  <si>
    <t>معكرونة فوسيلي الألوان الثلاثة 500 غم*****</t>
  </si>
  <si>
    <t>ذرة حب 340 غم*****</t>
  </si>
  <si>
    <t>كاتشب طماطم 5 كغ*****</t>
  </si>
  <si>
    <t>تشيلي صوص سيراتشا 740 مل*****</t>
  </si>
  <si>
    <t>عسل 2 كغ*****</t>
  </si>
  <si>
    <t>خردل ديجون الاضافي القوي 200 غم*****</t>
  </si>
  <si>
    <t>مانجا طازجة*****</t>
  </si>
  <si>
    <t>فراولة*****</t>
  </si>
  <si>
    <t>شمندر شرائح 425 غم*****</t>
  </si>
  <si>
    <t>خردل جالون 2.98 كغ*****</t>
  </si>
  <si>
    <t>خل بلسمك 500 مل*****</t>
  </si>
  <si>
    <t>مربى التين 2 كغ*****</t>
  </si>
  <si>
    <t>بقلة*****</t>
  </si>
  <si>
    <t>ارز حبة متوسطة*****</t>
  </si>
  <si>
    <t>بصل ناعم*****</t>
  </si>
  <si>
    <t>قهوة مطحونة*****</t>
  </si>
  <si>
    <t>نعنع ناشف*****</t>
  </si>
  <si>
    <t>ورق عنب 908 غم*****</t>
  </si>
  <si>
    <t>بازيلاء و جزر مجمدة 350 غم*****</t>
  </si>
  <si>
    <t>شبت*****</t>
  </si>
  <si>
    <t>برغل ناعم*****</t>
  </si>
  <si>
    <t>انشوفة فيليه 43 غم*****</t>
  </si>
  <si>
    <t>بصل مشاوي (بصل بيبي)***</t>
  </si>
  <si>
    <t>كركم ناعم*****</t>
  </si>
  <si>
    <t>ملح صيني*****</t>
  </si>
  <si>
    <t>بهارات كاري*****</t>
  </si>
  <si>
    <t>بابريكا حلوة*****</t>
  </si>
  <si>
    <t>بطاطا كرنكل مجمدة 2.500 كغ*****</t>
  </si>
  <si>
    <t>مطري لحوم 907.2 غم*****</t>
  </si>
  <si>
    <t>فلفل ابيض ناعم*****</t>
  </si>
  <si>
    <t>ريحان طازج*****</t>
  </si>
  <si>
    <t>قزحة (حبة البركة)*****</t>
  </si>
  <si>
    <t>ارز بسمتي ذهبي*****</t>
  </si>
  <si>
    <t>سمنة بنكهة السمن البلدي 15 كغ*****</t>
  </si>
  <si>
    <t>مكعبات مرق الدجاج 24 عبوة*2 مكعب*****</t>
  </si>
  <si>
    <t>كبش قرنفل مطحون*****</t>
  </si>
  <si>
    <t>معكرونة شعيرية 500 غم*****</t>
  </si>
  <si>
    <t>فلفل اسود حب*****</t>
  </si>
  <si>
    <t>بهار سادة حب*****</t>
  </si>
  <si>
    <t>قرفة اعواد*****</t>
  </si>
  <si>
    <t>لومي اصفر*****</t>
  </si>
  <si>
    <t>ورق غار*****</t>
  </si>
  <si>
    <t>جوزة الطيب مطحونة*****</t>
  </si>
  <si>
    <t>بهار سادة ناعم*****</t>
  </si>
  <si>
    <t>زبيب ذهبي*****</t>
  </si>
  <si>
    <t>زنجبيل ناعم*****</t>
  </si>
  <si>
    <t>كزبرة حب*****</t>
  </si>
  <si>
    <t>هال حب اخضر*****</t>
  </si>
  <si>
    <t>فاصوليا خضراء مقطعة مجمدة 400 غم*****</t>
  </si>
  <si>
    <t>كمون حب*****</t>
  </si>
  <si>
    <t>صبغة صفراء بودرة*****</t>
  </si>
  <si>
    <t>ملوخية مجمدة 400 غم*****</t>
  </si>
  <si>
    <t>باميا زيرو مجمدة 400 غم*****</t>
  </si>
  <si>
    <t>ارز اصفر حبة طويلة نمرة واحد*****</t>
  </si>
  <si>
    <t>علب سلطة بلاستيك شفاف (كرستال) دائرية متصل 500 مل*****</t>
  </si>
  <si>
    <t>باكيج</t>
  </si>
  <si>
    <t>علب بلاستيك مربع متصل 150 مل*****</t>
  </si>
  <si>
    <t>ليبل المركزية دائري 5*5 سم*****</t>
  </si>
  <si>
    <t>علب ميكرويف مدورة اسود 500 مل RC2*****</t>
  </si>
  <si>
    <t>علب بطاطا كرتون مطبوع 1*25 حبة*****</t>
  </si>
  <si>
    <t>*****سويت شيلي صوص 5 لتر</t>
  </si>
  <si>
    <t>علب قصدير مدور اوقية 250 غم RZ 18*****</t>
  </si>
  <si>
    <t>علب قصدير مدور 1/2 كغ RZ 25*****</t>
  </si>
  <si>
    <t>بكجات مشاوي مطبوع رقم 1 1*50 حبة*****</t>
  </si>
  <si>
    <t>بكجات مشاوي مطبوع رقم 2 1*50 حبة*****</t>
  </si>
  <si>
    <t>بكجات مشاوي مطبوع رقم 3 1*50 حبة*****</t>
  </si>
  <si>
    <t>صحن كرتون مستطيل مسلفر 1/2 كغ (رقم 1)*****</t>
  </si>
  <si>
    <t>اكياس ساندويش ورقية مطبوع 22 سم*42 سم 1*100 حبة*****</t>
  </si>
  <si>
    <t>ورق بلاستيك (شرحات نايلون)*****</t>
  </si>
  <si>
    <t>زعتر بلدي*****</t>
  </si>
  <si>
    <t>جبنة صفراء 950 غم*****</t>
  </si>
  <si>
    <t>علب بيتزا كرتون الطبعة العامة رقم 4 1*50 حبة*****</t>
  </si>
  <si>
    <t>مخلل مشكل 10 كغ*****</t>
  </si>
  <si>
    <t>صحن كرتون مستطيل مسلفر 1 كغ (رقم 2)*****</t>
  </si>
  <si>
    <t>خبز شراك*****</t>
  </si>
  <si>
    <t>قصدير رول 45 سم*2كغ*****</t>
  </si>
  <si>
    <t>صحن كرتون بيضوي مذهب 25 سم (رقم 1)*****</t>
  </si>
  <si>
    <t>صحن كرتون بيضوي مذهب 35 سم (رقم 2)*****</t>
  </si>
  <si>
    <t>صحن كرتون بيضوي مذهب 42 سم (رقم 3)*****</t>
  </si>
  <si>
    <t>اكياس بلاستيك مطبوع 55 سم*****</t>
  </si>
  <si>
    <t>علب ساندوش (علب سناك) كرتون مطبوع 1*50 حبة*****</t>
  </si>
  <si>
    <t>*****مخلل خيار شرائح 10 كغ</t>
  </si>
  <si>
    <t>علب ميكرويف مستطيل اسود مفرغة (احادي)*****</t>
  </si>
  <si>
    <t>اساور علب وجبات مطبوع 1*50 حبة*****</t>
  </si>
  <si>
    <t>ملاعق بلاستيك مع معقم مطبوع 1*500 حبة*****</t>
  </si>
  <si>
    <t>جميد بلدي*****</t>
  </si>
  <si>
    <t>لبن مخيض 18 كغ*****</t>
  </si>
  <si>
    <t>سدر بلاستيك دائري 35 سم*****</t>
  </si>
  <si>
    <t>زنجبيل طازج*****</t>
  </si>
  <si>
    <t>صوص ديمي جلاس 1 كغ*****</t>
  </si>
  <si>
    <t>كوسا*****</t>
  </si>
  <si>
    <t>زيت السمسم 500 مل*****</t>
  </si>
  <si>
    <t>صوص المحار 600 مل*****</t>
  </si>
  <si>
    <t>*****لبن زبادي 150 غم</t>
  </si>
  <si>
    <t>علب سوشي اسود رقم 3*****</t>
  </si>
  <si>
    <t>علب المركزية مطبوع + قاطع رقم 1 1*100 حبة*****</t>
  </si>
  <si>
    <t>علب المركزية مطبوع + قاطع رقم 2 1*100 حبة*****</t>
  </si>
  <si>
    <t>زبدة صفائح 5*2 كغ*****</t>
  </si>
  <si>
    <t>جبنة حلوم 250 غم*****</t>
  </si>
  <si>
    <t>شومر ناعم*****</t>
  </si>
  <si>
    <t>خولنجان (عرق الهيل) ناعم*****</t>
  </si>
  <si>
    <t>دبس رمان ساشيه 1*1000 حبة*****</t>
  </si>
  <si>
    <t>ارز مبهر*****</t>
  </si>
  <si>
    <t>فريكة خشنة*****</t>
  </si>
  <si>
    <t>صحن شوربة بورسلين ابيض 20 سم (8 انش)*****</t>
  </si>
  <si>
    <t>زهرة*****</t>
  </si>
  <si>
    <t>علب صوص دائري منفصل أسود 30 مل 1*100 حبة*****</t>
  </si>
  <si>
    <t>افوكادو*****</t>
  </si>
  <si>
    <t>فستق حلبي*****</t>
  </si>
  <si>
    <t>رقائق بف بيستري 400 غم 10 حبة*****</t>
  </si>
  <si>
    <t>بيوريه باشن فروت 1 لتر*****</t>
  </si>
  <si>
    <t>بيوريه الخوخ 1 لتر*****</t>
  </si>
  <si>
    <t>تفاح احمر*****</t>
  </si>
  <si>
    <t>شراب مركز بنكهة جراندين 1 لتر*****</t>
  </si>
  <si>
    <t>جوز الهند مبشور*****</t>
  </si>
  <si>
    <t>حليب مكثف محلى 370 غم*****</t>
  </si>
  <si>
    <t>عصير جوافة طازج عابدين 2.5 لتر</t>
  </si>
  <si>
    <t>شاي احمر 1*100 كيس*****</t>
  </si>
  <si>
    <t>اسبريسو حب كامل*****</t>
  </si>
  <si>
    <t>موز*****</t>
  </si>
  <si>
    <t>شراب مركز بنكهة موهيتو نعنع 1 لتر*****</t>
  </si>
  <si>
    <t>مياه غازية 200 مل*****</t>
  </si>
  <si>
    <t>شاي اخضر 1*100 كيس*****</t>
  </si>
  <si>
    <t>ماء الزهر (زهر البرتقال) 600 مل*****</t>
  </si>
  <si>
    <t>بسكويت لوتس مطحون خشن*****</t>
  </si>
  <si>
    <t>زبدة لوتس ناعمة 400 غم*****</t>
  </si>
  <si>
    <t>عصير تفاح 1 لتر*****</t>
  </si>
  <si>
    <t>بروكلي طازج*****</t>
  </si>
  <si>
    <t>باذنجان (اسود) بيبي*****</t>
  </si>
  <si>
    <t>*****معكرونة بنا 500 غم</t>
  </si>
  <si>
    <t>سبانخ مقطعة مجمدة 400 غم*****</t>
  </si>
  <si>
    <t>بهارات بطاطا*****</t>
  </si>
  <si>
    <t>بهارات مدخنة*****</t>
  </si>
  <si>
    <t>مشروب غازي ماتركس 250 مل*****</t>
  </si>
  <si>
    <t>مياه معدنية مطبوع 500 مل*****</t>
  </si>
  <si>
    <t>مشروب طاقة 355 مل*****</t>
  </si>
  <si>
    <t>تشيلي فليكس*****</t>
  </si>
  <si>
    <t>صوص ترفل أسود 500 غم*****</t>
  </si>
  <si>
    <t>بيبي ليفز*****</t>
  </si>
  <si>
    <t>كربونة*****</t>
  </si>
  <si>
    <t>*****خميرة فورية 450 غم</t>
  </si>
  <si>
    <t>*****كيوي</t>
  </si>
  <si>
    <t>*****جبنة شدر احمر شرائح 2.270 كغ</t>
  </si>
  <si>
    <t>إنجاص*****</t>
  </si>
  <si>
    <t>معجون تكا 300 غم*****</t>
  </si>
  <si>
    <t>تورتيلا تشيبس حار حلو 38 غم*****</t>
  </si>
  <si>
    <t>كينوا ابيض*****</t>
  </si>
  <si>
    <t>هلابينيو ناشف*****</t>
  </si>
  <si>
    <t>مخلل الهمبرجر شرائح (تشيبس) بنكهة الشبت 1100 غم = الوزن المصفى*****</t>
  </si>
  <si>
    <t>فاصوليا حمراء 400 غم*****</t>
  </si>
  <si>
    <t>بوكس مشاوي كرتون (بوكس الرحلة) 38*26*5 سم 1*25 حبة*****</t>
  </si>
  <si>
    <t>اسياخ شوي رفيع سفري 1*100 حبة*****</t>
  </si>
  <si>
    <t>حلبة*****</t>
  </si>
  <si>
    <t>*****صوص جبنة شدر كريمي 3.78 لتر</t>
  </si>
  <si>
    <t>*****صوص جبنة تشدر سيرنج 60 مل</t>
  </si>
  <si>
    <t>*****عصير التوت المشكل مع سكر 300مل</t>
  </si>
  <si>
    <t>*****عصير الليمون مع اللب 300مل مع سكر</t>
  </si>
  <si>
    <t>*****عصير برتقال بدون اضافة سكر 300مل</t>
  </si>
  <si>
    <t>*****عصير التفاح بدون اضافة سكر 300مل</t>
  </si>
  <si>
    <t>*****خبز بيرجر بطاطا 5 لنش مغلف بشكل منفصل</t>
  </si>
  <si>
    <t>*****فحم مشاوي 10 كغ</t>
  </si>
  <si>
    <t>اخرى</t>
  </si>
  <si>
    <t>لبن عيران</t>
  </si>
  <si>
    <t>*****علب مقسم ثلاثي اسزد</t>
  </si>
  <si>
    <t>طنجرة المنيوم مع غطاء 25 سم*10 سم (رقم 2)*****</t>
  </si>
  <si>
    <t>مياه حنفية</t>
  </si>
  <si>
    <t>نايلون للتغليف رول (رول جيلاتين) 45 سم*4 كغ*****</t>
  </si>
  <si>
    <t>ملصق - طلبات مارت</t>
  </si>
  <si>
    <t>لحم عجل بريسكت - طلبات مارت</t>
  </si>
  <si>
    <t>بهارات شاورما - طلبات مارت</t>
  </si>
  <si>
    <t>صدر بعضمه - طلبات مارت</t>
  </si>
  <si>
    <t>دواجن</t>
  </si>
  <si>
    <t>زوايد دجاج - طلبات مارت</t>
  </si>
  <si>
    <t>ريش - طلبات مارت</t>
  </si>
  <si>
    <t>كتف خروف - طلبات مارت</t>
  </si>
  <si>
    <t>فخد خروف - طلبات مارت</t>
  </si>
  <si>
    <t>TMP-019</t>
  </si>
  <si>
    <t>علبة (صحن اسود) - طلبات مارت</t>
  </si>
  <si>
    <t>مسحب الطاحونة - طلبات مارت</t>
  </si>
  <si>
    <t>TMP-022</t>
  </si>
  <si>
    <t>صحن جديد - طلبات مارت</t>
  </si>
  <si>
    <t>رب اي عجل مستورد</t>
  </si>
  <si>
    <t>روز بيف افريقي</t>
  </si>
  <si>
    <t>فخد عجل بلدي</t>
  </si>
  <si>
    <t>رب اي بلدي</t>
  </si>
  <si>
    <t>رب اي بلدي منظف *</t>
  </si>
  <si>
    <t>فيليه بلدي 14</t>
  </si>
  <si>
    <t>روزبيف بلدي 12 *</t>
  </si>
  <si>
    <t>لحم عجل مفروم بلدي</t>
  </si>
  <si>
    <t>صدر دجاج بالعظم تمام</t>
  </si>
  <si>
    <t>صدر دجاج مسحب تمام</t>
  </si>
  <si>
    <t>فروج ملوكي طازج</t>
  </si>
  <si>
    <t>راس خروف</t>
  </si>
  <si>
    <t>مصران</t>
  </si>
  <si>
    <t>كرشات -الحبة</t>
  </si>
  <si>
    <t>جميد كركي</t>
  </si>
  <si>
    <t>مقادم خاروف -حبة</t>
  </si>
  <si>
    <t>مقادم عجل -حبة</t>
  </si>
  <si>
    <t>TMP-044</t>
  </si>
  <si>
    <t>عظم عجل-حبة</t>
  </si>
  <si>
    <t>TMP-045</t>
  </si>
  <si>
    <t>عظم خاروف-حبة</t>
  </si>
  <si>
    <t>سكر عادي</t>
  </si>
  <si>
    <t>مفتول</t>
  </si>
  <si>
    <t>قرسيني (موالح)</t>
  </si>
  <si>
    <t>فحم صغير 2 كيلو</t>
  </si>
  <si>
    <t>فحم وسط 3 كيلو</t>
  </si>
  <si>
    <t>فحم كبير 10 كيلو</t>
  </si>
  <si>
    <t>مشعل فحم</t>
  </si>
  <si>
    <t>شبك شوي سفري</t>
  </si>
  <si>
    <t>صحن جامو</t>
  </si>
  <si>
    <t>معلاق</t>
  </si>
  <si>
    <t>TMP-058</t>
  </si>
  <si>
    <t>لحم  بالعظم</t>
  </si>
  <si>
    <t>رول مركزية تواصي</t>
  </si>
  <si>
    <t>دجاج المركزية الكامل</t>
  </si>
  <si>
    <t>لحمة عجل برازيلي</t>
  </si>
  <si>
    <t>باذنجان مشوي فروزن</t>
  </si>
  <si>
    <t>خاروف بلدي صغير</t>
  </si>
  <si>
    <t>لبن نعاج</t>
  </si>
  <si>
    <t>طاجن (من تفصيلة الخروف)</t>
  </si>
  <si>
    <t>زغلول</t>
  </si>
  <si>
    <t>بوكس برجر</t>
  </si>
  <si>
    <t>بهارات المركزية</t>
  </si>
  <si>
    <t>ورق زبدة</t>
  </si>
  <si>
    <t>دهن انجوس</t>
  </si>
  <si>
    <t>ورق برغر</t>
  </si>
  <si>
    <t>معكرونة اسباغتي</t>
  </si>
  <si>
    <t>لسانات غنم استرالي</t>
  </si>
  <si>
    <t>صحن خماسي بلاستيك عليه ذهبي</t>
  </si>
  <si>
    <t>علب قصدير مدور 1 كغ RZ</t>
  </si>
  <si>
    <t>فخارات صغيره</t>
  </si>
  <si>
    <t>بصل اخضر</t>
  </si>
  <si>
    <t>مخلل لفت</t>
  </si>
  <si>
    <t>TMP-083</t>
  </si>
  <si>
    <t>كرافس</t>
  </si>
  <si>
    <t>فاصوليا بيضا</t>
  </si>
  <si>
    <t>خروف روماني كامل للمشغل</t>
  </si>
  <si>
    <t>أضلاع خروف (قص خروف) مع عظم بلدي*****</t>
  </si>
  <si>
    <t>رقاب خروف نية*****</t>
  </si>
  <si>
    <t>سقط خروف ني (خصاوي)*****</t>
  </si>
  <si>
    <t>سقط خروف ني (كلاوي)*****</t>
  </si>
  <si>
    <t>لحمة راس خروف نية*****</t>
  </si>
  <si>
    <t>لحم بقري ستربلوين مبرد (لحم بقري روزبيف) افريقي*****</t>
  </si>
  <si>
    <t>دهن قميص الخروف (شحم خروف)*****</t>
  </si>
  <si>
    <t>لحم بقري تندرلوين بدون عظم مبرد (لحم بقري فيليه) افريقي*****</t>
  </si>
  <si>
    <t>لحم بقري تندرلوين بدون عظم مبرد (لحم بقري فيليه) برازيلي*****</t>
  </si>
  <si>
    <t>فخذ عجل بلدي طازج*****</t>
  </si>
  <si>
    <t>كبدة غنم</t>
  </si>
  <si>
    <t>لسانات مجمدة استرالي*****</t>
  </si>
  <si>
    <t>طحل مجمدة استرالي*****</t>
  </si>
  <si>
    <t>مرقة لحم</t>
  </si>
  <si>
    <t>نخاعات نية*****</t>
  </si>
  <si>
    <t>كبدة دجاج طازجة*****</t>
  </si>
  <si>
    <t>صدر دجاج مسحب بدون جلد طازج للمشاغل*****</t>
  </si>
  <si>
    <t>دجاج حب مع رقبة طازج للمشاغل 1100-1400غم*****</t>
  </si>
  <si>
    <t>اجنحة دجاج طازجة دلمونتي*****</t>
  </si>
  <si>
    <t>زوايد الدجاج*****</t>
  </si>
  <si>
    <t>نتر بلدي</t>
  </si>
  <si>
    <t>زوايد بلدي</t>
  </si>
  <si>
    <t>لية خروف نية*****</t>
  </si>
  <si>
    <t>سقط بلدي</t>
  </si>
  <si>
    <t>لحمة قطع نية بالكيلو*****</t>
  </si>
  <si>
    <t>فخد خروف روماني</t>
  </si>
  <si>
    <t>كتف خروف روماني</t>
  </si>
  <si>
    <t>ريش ضأن متبلة*****</t>
  </si>
  <si>
    <t>قص مجروم روماني</t>
  </si>
  <si>
    <t>فتايل روماني</t>
  </si>
  <si>
    <t>شقف روماني</t>
  </si>
  <si>
    <t>شحمة روماني</t>
  </si>
  <si>
    <t>نتر خروف*****</t>
  </si>
  <si>
    <t>سقط روماني</t>
  </si>
  <si>
    <t>وزة الفخد روماني</t>
  </si>
  <si>
    <t>أضلاع خروف (قص خروف) مع عظم*****</t>
  </si>
  <si>
    <t>بدنيات روماني</t>
  </si>
  <si>
    <t>فيليه روماني</t>
  </si>
  <si>
    <t>زوايد شقف روماني</t>
  </si>
  <si>
    <t>عرقوب روماني</t>
  </si>
  <si>
    <t>فول اخضر</t>
  </si>
  <si>
    <t>ملح هملايا*****</t>
  </si>
  <si>
    <t>قناني 1 لتر*****</t>
  </si>
  <si>
    <t>رول تغليف ورقي مطبوع 13 كغ 60*120 سم*****</t>
  </si>
  <si>
    <t>صحن فلين اسود مخرم T3*****</t>
  </si>
  <si>
    <t>صحن فلين اسود مخرم T2*****</t>
  </si>
  <si>
    <t>سمك فيتنامي</t>
  </si>
  <si>
    <t>عجين كلاج عمر</t>
  </si>
  <si>
    <t>TMP-208</t>
  </si>
  <si>
    <t>جدي بلدي 9</t>
  </si>
  <si>
    <t>TMP-209</t>
  </si>
  <si>
    <t>درم ستيك</t>
  </si>
  <si>
    <t>TMP-210</t>
  </si>
  <si>
    <t>قوانص دجاج</t>
  </si>
  <si>
    <t>TMP-211</t>
  </si>
  <si>
    <t>قلوب دجاج</t>
  </si>
  <si>
    <t>TMP-212</t>
  </si>
  <si>
    <t>درم فخد سفلي</t>
  </si>
  <si>
    <t>TMP-213</t>
  </si>
  <si>
    <t>عصاعيص  خروف منظف</t>
  </si>
  <si>
    <t>نجمة اليانسون*****</t>
  </si>
  <si>
    <t>زيت دوار الشمس 20لتر (شورتنج)*****</t>
  </si>
  <si>
    <t>بهار شيتوس*****</t>
  </si>
  <si>
    <t>فيليه فيل هندي 18ك*****</t>
  </si>
  <si>
    <t>سدر المنيوم*****</t>
  </si>
  <si>
    <t>سدر بلاستيك 40سم*****</t>
  </si>
  <si>
    <t>سدر بلاستيك 45سم*****</t>
  </si>
  <si>
    <t>رول ورقي*****</t>
  </si>
  <si>
    <t>اكياس مطبوع وسط 45سم*****</t>
  </si>
  <si>
    <t>ملاعق vip(1000 حبة)*****</t>
  </si>
  <si>
    <t>اكياس مطبوع عريض 55سم*****</t>
  </si>
  <si>
    <t>ورق مع قصدير مطبوع*****</t>
  </si>
  <si>
    <t>قسم المشاوي</t>
  </si>
  <si>
    <t>فلفل حلو اصفر*****</t>
  </si>
  <si>
    <t>برتقال عصير*****</t>
  </si>
  <si>
    <t>صدر فيليه مغلف*****</t>
  </si>
  <si>
    <t>كتف نيوزلندي*****</t>
  </si>
  <si>
    <t>دجاج كيس طازج تمام*****</t>
  </si>
  <si>
    <t>فخذ كبير طازج تمام*****</t>
  </si>
  <si>
    <t>تين مجفف (قطين)*****</t>
  </si>
  <si>
    <t>ثوم مقشر*****</t>
  </si>
  <si>
    <t>ملفوف احمر*****</t>
  </si>
  <si>
    <t>شبك شواه 40*30*****</t>
  </si>
  <si>
    <t>شبك شواه 30*30*****</t>
  </si>
  <si>
    <t>قصدير 30سم*****</t>
  </si>
  <si>
    <t>علب سوشي رقم 1*****</t>
  </si>
  <si>
    <t>صحن كرتون مسلفر كيلو ونص*****</t>
  </si>
  <si>
    <t>طحين زيرو 50ك*****</t>
  </si>
  <si>
    <t>طرد فحم شواء 750غ*****</t>
  </si>
  <si>
    <t>مشروب غازي ماتركس اب 250مل*****</t>
  </si>
  <si>
    <t>مشروب غازي ماتركس كولا زيرو 250مل*****</t>
  </si>
  <si>
    <t>مشروب غازي ماتركس اب زيرو 250مل*****</t>
  </si>
  <si>
    <t>مشروب غازي ماتركس فواكه 250مل*****</t>
  </si>
  <si>
    <t>خروف روماني وزن صغير*****</t>
  </si>
  <si>
    <t>خروف روماني وزن كبير*****</t>
  </si>
  <si>
    <t>خروف بلدي وزن كبير*****</t>
  </si>
  <si>
    <t>سلفر سايد برازيلي*****</t>
  </si>
  <si>
    <t>توب سايد برازيلي*****</t>
  </si>
  <si>
    <t>دجاج تندر*****</t>
  </si>
  <si>
    <t>اكياس مطبوع سوبر 60سم*****</t>
  </si>
  <si>
    <t>صحون قصدير مدور rc 18*****</t>
  </si>
  <si>
    <t>فخذ عجل افريقي*****</t>
  </si>
  <si>
    <t>فخذ خروف روماني*****</t>
  </si>
  <si>
    <t>فخذ خروف بلدي*****</t>
  </si>
  <si>
    <t>خروف روماني مفصل*****</t>
  </si>
  <si>
    <t>خروف بلدي مفصل*****</t>
  </si>
  <si>
    <t>نكل عجل برازيلي*****</t>
  </si>
  <si>
    <t>فخارات كبيرة*****</t>
  </si>
  <si>
    <t>كرشات عجل*****</t>
  </si>
  <si>
    <t>فوارغ*****</t>
  </si>
  <si>
    <t>فيليه برازيلي*****</t>
  </si>
  <si>
    <t>فيليه افريقي*****</t>
  </si>
  <si>
    <t>راس خروف منظف*****</t>
  </si>
  <si>
    <t>شولدر*****</t>
  </si>
  <si>
    <t>مشروب غازي ماتركس اورانج 250مل*****</t>
  </si>
  <si>
    <t>بهارات مندي*****</t>
  </si>
  <si>
    <t>خروف روماني حي*****</t>
  </si>
  <si>
    <t>خروف بلدي حي*****</t>
  </si>
  <si>
    <t>بريسكت عجل برازيلي*****</t>
  </si>
  <si>
    <t>كتف خروف استرالي*****</t>
  </si>
  <si>
    <t>فخذ هندي*****</t>
  </si>
  <si>
    <t>عبر رمسي*****</t>
  </si>
  <si>
    <t>علب مايكرويف 1500مل+غطاء*****</t>
  </si>
  <si>
    <t>علب مايكرويف 4101+غطاء عميق*****</t>
  </si>
  <si>
    <t>فحم شواء 3ك*****</t>
  </si>
  <si>
    <t>فحم شواء 5ك*****</t>
  </si>
  <si>
    <t>دجاج مقسوم تمام*****</t>
  </si>
  <si>
    <t>كاسات كرتون 7 اونص</t>
  </si>
  <si>
    <t>لسانات مع لغلوغ طازج</t>
  </si>
  <si>
    <t>SM Item
New Code</t>
  </si>
  <si>
    <t>SM Item
New Name</t>
  </si>
  <si>
    <t>التكلفة</t>
  </si>
  <si>
    <t>الوحدة</t>
  </si>
  <si>
    <t xml:space="preserve">الكمية </t>
  </si>
  <si>
    <t>SF2121</t>
  </si>
  <si>
    <t>كفتة للصواني</t>
  </si>
  <si>
    <t>SF</t>
  </si>
  <si>
    <t>SF2086</t>
  </si>
  <si>
    <t>حمص</t>
  </si>
  <si>
    <t>SF20075</t>
  </si>
  <si>
    <t>خبز مقلي</t>
  </si>
  <si>
    <t>SF2033</t>
  </si>
  <si>
    <t>يلنجي بالحبة</t>
  </si>
  <si>
    <t>SF2089</t>
  </si>
  <si>
    <t>لحمة مفرومة</t>
  </si>
  <si>
    <t>SF2014</t>
  </si>
  <si>
    <t>لحمة عرايس</t>
  </si>
  <si>
    <t>SF2011</t>
  </si>
  <si>
    <t>عجين الصفيحة والمناقيش</t>
  </si>
  <si>
    <t>SF2013</t>
  </si>
  <si>
    <t>لحمة مجرمشة</t>
  </si>
  <si>
    <t>SF2012</t>
  </si>
  <si>
    <t>عجين برك وعش البلبل</t>
  </si>
  <si>
    <t>SF962</t>
  </si>
  <si>
    <t>لحمة الصفيحة بلبن المشغل</t>
  </si>
  <si>
    <t>SF975</t>
  </si>
  <si>
    <t>شيش</t>
  </si>
  <si>
    <t>SF2042</t>
  </si>
  <si>
    <t>محمرة</t>
  </si>
  <si>
    <t>SF2043</t>
  </si>
  <si>
    <t xml:space="preserve">بقدونسية </t>
  </si>
  <si>
    <t>SF20035</t>
  </si>
  <si>
    <t>خلطة دقوس</t>
  </si>
  <si>
    <t>SF5031</t>
  </si>
  <si>
    <t>متبل</t>
  </si>
  <si>
    <t>SF2122</t>
  </si>
  <si>
    <t>بابا غنوج</t>
  </si>
  <si>
    <t>SF2090</t>
  </si>
  <si>
    <t>صوص سيزار</t>
  </si>
  <si>
    <t>SF4049</t>
  </si>
  <si>
    <t>فينجريت صوص</t>
  </si>
  <si>
    <t>SF2036</t>
  </si>
  <si>
    <t xml:space="preserve">صوص الباستا </t>
  </si>
  <si>
    <t>SF2098</t>
  </si>
  <si>
    <t>صوص الكينوا</t>
  </si>
  <si>
    <t>SF2037</t>
  </si>
  <si>
    <t>فنغريت صوص</t>
  </si>
  <si>
    <t>SF959</t>
  </si>
  <si>
    <t>شقف متبلة</t>
  </si>
  <si>
    <t>SF20077</t>
  </si>
  <si>
    <t>خبز صاج</t>
  </si>
  <si>
    <t>SF2020</t>
  </si>
  <si>
    <t>كباب دجاج</t>
  </si>
  <si>
    <t>SF1010</t>
  </si>
  <si>
    <t>مثومه</t>
  </si>
  <si>
    <t>SF961</t>
  </si>
  <si>
    <t>كباب</t>
  </si>
  <si>
    <t>SF2048</t>
  </si>
  <si>
    <t>دجاج تركي</t>
  </si>
  <si>
    <t>SF2049</t>
  </si>
  <si>
    <t xml:space="preserve">بطاطا مقلية </t>
  </si>
  <si>
    <t>SF20600</t>
  </si>
  <si>
    <t>رز زربيان</t>
  </si>
  <si>
    <t>SF2134</t>
  </si>
  <si>
    <t>دجاجة متبلة</t>
  </si>
  <si>
    <t>SF2067</t>
  </si>
  <si>
    <t>كباب هندي</t>
  </si>
  <si>
    <t>SF2057</t>
  </si>
  <si>
    <t>رز ابيض</t>
  </si>
  <si>
    <t>SF2056</t>
  </si>
  <si>
    <t>ارز منسف</t>
  </si>
  <si>
    <t>SF30218</t>
  </si>
  <si>
    <t xml:space="preserve">لبن </t>
  </si>
  <si>
    <t>SF2054</t>
  </si>
  <si>
    <t>مندي</t>
  </si>
  <si>
    <t>SF2091</t>
  </si>
  <si>
    <t xml:space="preserve"> كفتة كباب هندي</t>
  </si>
  <si>
    <t>SF2055</t>
  </si>
  <si>
    <t xml:space="preserve">كبسة </t>
  </si>
  <si>
    <t>SF2062</t>
  </si>
  <si>
    <t>كولسلو</t>
  </si>
  <si>
    <t>SF30217</t>
  </si>
  <si>
    <t>سلطة باستا</t>
  </si>
  <si>
    <t>SF5030</t>
  </si>
  <si>
    <t>روسية</t>
  </si>
  <si>
    <t>SF4046</t>
  </si>
  <si>
    <t>خيار بلبن</t>
  </si>
  <si>
    <t>SF2126</t>
  </si>
  <si>
    <t>كبة مقلية</t>
  </si>
  <si>
    <t>SF5032</t>
  </si>
  <si>
    <t>سلطة تركية</t>
  </si>
  <si>
    <t>SF2093</t>
  </si>
  <si>
    <t>كبة مشوية</t>
  </si>
  <si>
    <t>SF4047</t>
  </si>
  <si>
    <t>صوص بندورة</t>
  </si>
  <si>
    <t>SF1041</t>
  </si>
  <si>
    <t>حشوة مسخن</t>
  </si>
  <si>
    <t>SF2097</t>
  </si>
  <si>
    <t>علبة مخلل</t>
  </si>
  <si>
    <t>SF2065</t>
  </si>
  <si>
    <t>طحينة مشاوي</t>
  </si>
  <si>
    <t>SF2064</t>
  </si>
  <si>
    <t>بيواز</t>
  </si>
  <si>
    <t>SF2053</t>
  </si>
  <si>
    <t>رز قدرة</t>
  </si>
  <si>
    <t>SF2092</t>
  </si>
  <si>
    <t xml:space="preserve">كبة لبنية   </t>
  </si>
  <si>
    <t>SF2061</t>
  </si>
  <si>
    <t xml:space="preserve">لبن الكبة </t>
  </si>
  <si>
    <t>SF2059</t>
  </si>
  <si>
    <t>ارز زرب</t>
  </si>
  <si>
    <t>SF2066</t>
  </si>
  <si>
    <t>فاصوليا خضراء</t>
  </si>
  <si>
    <t>SF2058</t>
  </si>
  <si>
    <t xml:space="preserve">رز مضغوط </t>
  </si>
  <si>
    <t>SF2069</t>
  </si>
  <si>
    <t xml:space="preserve">ملوخية </t>
  </si>
  <si>
    <t>SF21112</t>
  </si>
  <si>
    <t>رز اوزي</t>
  </si>
  <si>
    <t>SF2070</t>
  </si>
  <si>
    <t xml:space="preserve">بامية </t>
  </si>
  <si>
    <t>SF2068</t>
  </si>
  <si>
    <t>رز بخاري</t>
  </si>
  <si>
    <t>SF963</t>
  </si>
  <si>
    <t xml:space="preserve">لحمة صفيحة ببندورة </t>
  </si>
  <si>
    <t>SF2111</t>
  </si>
  <si>
    <t>كوسا</t>
  </si>
  <si>
    <t>SF2085</t>
  </si>
  <si>
    <t>ماسالا</t>
  </si>
  <si>
    <t>SF30133</t>
  </si>
  <si>
    <t>كباب الساندويش</t>
  </si>
  <si>
    <t>SF2144</t>
  </si>
  <si>
    <t>محمرة مناقيش</t>
  </si>
  <si>
    <t>SF2153</t>
  </si>
  <si>
    <t>طبخة فتة يالنجي</t>
  </si>
  <si>
    <t>SF2152</t>
  </si>
  <si>
    <t>كسرة الخلطة للتركي</t>
  </si>
  <si>
    <t>SF2150</t>
  </si>
  <si>
    <t>صوص الفريدو</t>
  </si>
  <si>
    <t>SF2162</t>
  </si>
  <si>
    <t>دجاج للفريكة الملوكي</t>
  </si>
  <si>
    <t>SF2161</t>
  </si>
  <si>
    <t>فريكة مطبوخة</t>
  </si>
  <si>
    <t>SF2171</t>
  </si>
  <si>
    <t>طبخة مقلوبة</t>
  </si>
  <si>
    <t>SF2170</t>
  </si>
  <si>
    <t>تجهيز شيشبرك</t>
  </si>
  <si>
    <t>SF4111</t>
  </si>
  <si>
    <t>سويت اند سور طبخة</t>
  </si>
  <si>
    <t>SF30049</t>
  </si>
  <si>
    <t>شوربة عدس</t>
  </si>
  <si>
    <t>SF30051</t>
  </si>
  <si>
    <t>شوربة خضار</t>
  </si>
  <si>
    <t>SF30050</t>
  </si>
  <si>
    <t xml:space="preserve">شوربة ذرة </t>
  </si>
  <si>
    <t>SF30211</t>
  </si>
  <si>
    <t>صوص طحينية للصواني</t>
  </si>
  <si>
    <t>SF405021</t>
  </si>
  <si>
    <t>حشوة المحاشي</t>
  </si>
  <si>
    <t>SF50408</t>
  </si>
  <si>
    <t xml:space="preserve">دجاج محشي </t>
  </si>
  <si>
    <t>SF30221</t>
  </si>
  <si>
    <t>اوزي صرر</t>
  </si>
  <si>
    <t>SF20100</t>
  </si>
  <si>
    <t xml:space="preserve">حشوة ورق العنب </t>
  </si>
  <si>
    <t>SF30222</t>
  </si>
  <si>
    <t xml:space="preserve">سبانخ </t>
  </si>
  <si>
    <t>SF2275</t>
  </si>
  <si>
    <t xml:space="preserve">خبز تنور </t>
  </si>
  <si>
    <t>SF30220</t>
  </si>
  <si>
    <t>بازيلا وجزر</t>
  </si>
  <si>
    <t>SF405280</t>
  </si>
  <si>
    <t>تتبيلة دجاج اللاين</t>
  </si>
  <si>
    <t>SF405282</t>
  </si>
  <si>
    <t xml:space="preserve">صوص فتوش </t>
  </si>
  <si>
    <t>SF405283</t>
  </si>
  <si>
    <t>صوص فنجريت انترناشونال</t>
  </si>
  <si>
    <t>SF405284</t>
  </si>
  <si>
    <t>ضربة فتوش</t>
  </si>
  <si>
    <t>SF405285</t>
  </si>
  <si>
    <t xml:space="preserve">ضربة عربية </t>
  </si>
  <si>
    <t>SF405287</t>
  </si>
  <si>
    <t xml:space="preserve">صوص شمندر </t>
  </si>
  <si>
    <t>SF405289</t>
  </si>
  <si>
    <t xml:space="preserve">ضربة تبولة </t>
  </si>
  <si>
    <t>SF405290</t>
  </si>
  <si>
    <t>صوص التين</t>
  </si>
  <si>
    <t>SF405291</t>
  </si>
  <si>
    <t>دجاج مسحب بالفرن انترناشونال</t>
  </si>
  <si>
    <t>SF405292</t>
  </si>
  <si>
    <t xml:space="preserve">صوص مطفى </t>
  </si>
  <si>
    <t>SF405298</t>
  </si>
  <si>
    <t>خلطة متبل شمندر</t>
  </si>
  <si>
    <t>SF203053</t>
  </si>
  <si>
    <t>وجبة كوسا ودوالي</t>
  </si>
  <si>
    <t>وجبة</t>
  </si>
  <si>
    <t>فاهيتا الدجاج</t>
  </si>
  <si>
    <t>SF303028</t>
  </si>
  <si>
    <t>عجين كبة ملحمة</t>
  </si>
  <si>
    <t>SF303033</t>
  </si>
  <si>
    <t xml:space="preserve">يخنة بطاطا </t>
  </si>
  <si>
    <t>SF109090</t>
  </si>
  <si>
    <t>سمبوسك خضار</t>
  </si>
  <si>
    <t>SF109091</t>
  </si>
  <si>
    <t>سمبوسك جبنة</t>
  </si>
  <si>
    <t>SF109092</t>
  </si>
  <si>
    <t>سمبوسك لحمة</t>
  </si>
  <si>
    <t>SF405024</t>
  </si>
  <si>
    <t>دوالي محشي</t>
  </si>
  <si>
    <t>SF405022</t>
  </si>
  <si>
    <t>كوسا محشي بالحبة</t>
  </si>
  <si>
    <t>SF405023</t>
  </si>
  <si>
    <t xml:space="preserve">باذنجان محشي </t>
  </si>
  <si>
    <t>SF2018</t>
  </si>
  <si>
    <t>شرحات خاروف بلدي</t>
  </si>
  <si>
    <t>SF2114</t>
  </si>
  <si>
    <t>رز برياني</t>
  </si>
  <si>
    <t>SF2025001</t>
  </si>
  <si>
    <t>لحم قص مجروم</t>
  </si>
  <si>
    <t>SF2025002</t>
  </si>
  <si>
    <t>حبة ملفوف</t>
  </si>
  <si>
    <t>SF2025003</t>
  </si>
  <si>
    <t>ضلعة محشية رز</t>
  </si>
  <si>
    <t>SF2025004</t>
  </si>
  <si>
    <t>عجين كبة سفري</t>
  </si>
  <si>
    <t>SF2025005</t>
  </si>
  <si>
    <t>لوز مقلي</t>
  </si>
  <si>
    <t>SF2025006</t>
  </si>
  <si>
    <t>ارز بشعيرية</t>
  </si>
  <si>
    <t>SF2025007</t>
  </si>
  <si>
    <t>سمنة مكسورة</t>
  </si>
  <si>
    <t>SF2025008</t>
  </si>
  <si>
    <t>دقة</t>
  </si>
  <si>
    <t>SF2025009</t>
  </si>
  <si>
    <t>ثوم وزيت</t>
  </si>
  <si>
    <t>SF2025010</t>
  </si>
  <si>
    <t>برغر دجاج</t>
  </si>
  <si>
    <t>SF2025011</t>
  </si>
  <si>
    <t>سكالوب دجاج</t>
  </si>
  <si>
    <t>SF2026001</t>
  </si>
  <si>
    <t>ضربة مفتول</t>
  </si>
  <si>
    <t>SF2026002</t>
  </si>
  <si>
    <t>يخنة  مفتول</t>
  </si>
  <si>
    <t>SF2026003</t>
  </si>
  <si>
    <t>دجاج  مفتول</t>
  </si>
  <si>
    <t>SF2026004</t>
  </si>
  <si>
    <t>حشوة الكبة المشوية</t>
  </si>
  <si>
    <t>SF2026005</t>
  </si>
  <si>
    <t>مثومة حارة</t>
  </si>
  <si>
    <t>SF2026006</t>
  </si>
  <si>
    <t>علبة حمص سفري 250غم</t>
  </si>
  <si>
    <t>SF2026007</t>
  </si>
  <si>
    <t>صوص خبز تركي</t>
  </si>
  <si>
    <t>SF2026008</t>
  </si>
  <si>
    <t>دجاج اللاين متبل</t>
  </si>
  <si>
    <t>SF2026009</t>
  </si>
  <si>
    <t>دجاج مقلي</t>
  </si>
  <si>
    <t>SF2026011</t>
  </si>
  <si>
    <t>صوص بلسمك</t>
  </si>
  <si>
    <t>SF2026012</t>
  </si>
  <si>
    <t>عصير بندورة</t>
  </si>
  <si>
    <t>SF2026013</t>
  </si>
  <si>
    <t>حشوة الكبة المقلية واللبنية</t>
  </si>
  <si>
    <t>SF2026014</t>
  </si>
  <si>
    <t>زيت زيتون مكسور</t>
  </si>
  <si>
    <t>SF2026015</t>
  </si>
  <si>
    <t>خاروف بلدي صغير مشوي</t>
  </si>
  <si>
    <t>SF2026016</t>
  </si>
  <si>
    <t>حمص مسلوق</t>
  </si>
  <si>
    <t>SF2026017</t>
  </si>
  <si>
    <t>زغلول محشي</t>
  </si>
  <si>
    <t>SF2026018</t>
  </si>
  <si>
    <t>يخنة فاصوليا بيضا</t>
  </si>
  <si>
    <t>SF2026019</t>
  </si>
  <si>
    <t>رقبة محشية ارز</t>
  </si>
  <si>
    <t>SF2026020</t>
  </si>
  <si>
    <t>دجاج مسخن</t>
  </si>
  <si>
    <t>SF2026021</t>
  </si>
  <si>
    <t>ضربه بصل مسخن</t>
  </si>
  <si>
    <t>SF2026022</t>
  </si>
  <si>
    <t>ضربة شوربة فطر بالكريمة</t>
  </si>
  <si>
    <t>SF2026023</t>
  </si>
  <si>
    <t>برجر لحم</t>
  </si>
  <si>
    <t>SF2026024</t>
  </si>
  <si>
    <t>صوص برجر</t>
  </si>
  <si>
    <t>SF2026025</t>
  </si>
  <si>
    <t>تتبيلة المركزية</t>
  </si>
  <si>
    <t>SF2026027</t>
  </si>
  <si>
    <t>بصل مقلي</t>
  </si>
  <si>
    <t>SF2026028</t>
  </si>
  <si>
    <t>ضربة دولمة</t>
  </si>
  <si>
    <t>SF2026029</t>
  </si>
  <si>
    <t>حشوة طحالات</t>
  </si>
  <si>
    <t>SF2026030</t>
  </si>
  <si>
    <t>بدوه</t>
  </si>
  <si>
    <t>SF2026031</t>
  </si>
  <si>
    <t>ضربة مهلبية</t>
  </si>
  <si>
    <t>SF2026032</t>
  </si>
  <si>
    <t>ارز صيادية</t>
  </si>
  <si>
    <t>SF2026033</t>
  </si>
  <si>
    <t>سمك صيادية مقلي</t>
  </si>
  <si>
    <t>SF2026034</t>
  </si>
  <si>
    <t>صوص صيادية</t>
  </si>
  <si>
    <t>SF2026035</t>
  </si>
  <si>
    <t>بصل محشي</t>
  </si>
  <si>
    <t>SF2026036</t>
  </si>
  <si>
    <t>بطاطا محشية</t>
  </si>
  <si>
    <t>SF2026037</t>
  </si>
  <si>
    <t>فليفلة محشية</t>
  </si>
  <si>
    <t>SF2026038</t>
  </si>
  <si>
    <t>بطاطا مهروسة</t>
  </si>
  <si>
    <t>SF2026040</t>
  </si>
  <si>
    <t>شوربة فريكة</t>
  </si>
  <si>
    <t>SF2026041</t>
  </si>
  <si>
    <t>صرر اوزي</t>
  </si>
  <si>
    <t>SF2026043</t>
  </si>
  <si>
    <t>رز مبهر</t>
  </si>
  <si>
    <t>SF2026048</t>
  </si>
  <si>
    <t>نقانق</t>
  </si>
  <si>
    <t>SF2026049</t>
  </si>
  <si>
    <t>سجق</t>
  </si>
  <si>
    <t>SF Item
Code</t>
  </si>
  <si>
    <t>SF Item
Name</t>
  </si>
  <si>
    <t>الكمية
بالضربة</t>
  </si>
  <si>
    <t>Unit</t>
  </si>
  <si>
    <t>الكمية المعادلة</t>
  </si>
  <si>
    <t>Cost Per Unit</t>
  </si>
  <si>
    <t>Total Cost</t>
  </si>
  <si>
    <t>Menu / SF</t>
  </si>
  <si>
    <t xml:space="preserve">Semi Finished Item </t>
  </si>
  <si>
    <t>تحديث</t>
  </si>
  <si>
    <t>بدنا ضربة علبة حمص، مضاف حمص حب الخ</t>
  </si>
  <si>
    <t>Semi Finished Item</t>
  </si>
  <si>
    <t>Menu Item
New Code</t>
  </si>
  <si>
    <t>Menu Item
Name</t>
  </si>
  <si>
    <t>Section</t>
  </si>
  <si>
    <t>Group
Name</t>
  </si>
  <si>
    <t>Quantity</t>
  </si>
  <si>
    <t>Cost per Unit</t>
  </si>
  <si>
    <t>Menu / SF
Item</t>
  </si>
  <si>
    <t>Markaziya
Price</t>
  </si>
  <si>
    <t>تكلفة الصنف</t>
  </si>
  <si>
    <t>نسبة
هامش الربح</t>
  </si>
  <si>
    <t>DI-SWN-015</t>
  </si>
  <si>
    <t>Menu Item</t>
  </si>
  <si>
    <t>DI-SWN-018</t>
  </si>
  <si>
    <t>DI-SWN-020</t>
  </si>
  <si>
    <t>DI-CRM-004</t>
  </si>
  <si>
    <t>DI-SWN-005</t>
  </si>
  <si>
    <t>DI-SWN-001</t>
  </si>
  <si>
    <t>DI-SWN-017</t>
  </si>
  <si>
    <t>DI-SWN-019</t>
  </si>
  <si>
    <t>DI-CRM-001</t>
  </si>
  <si>
    <t>DI-SWN-012</t>
  </si>
  <si>
    <t>DI-CRM-002</t>
  </si>
  <si>
    <t>DI-SWN-002</t>
  </si>
  <si>
    <t>DI-SWN-011</t>
  </si>
  <si>
    <t>DI-SWN-007</t>
  </si>
  <si>
    <t>DI-SWN-013</t>
  </si>
  <si>
    <t>DI-SWN-004</t>
  </si>
  <si>
    <t>DI-SWN-009</t>
  </si>
  <si>
    <t>40</t>
  </si>
  <si>
    <t>DI-CRM-003</t>
  </si>
  <si>
    <t>DI-DGH-004</t>
  </si>
  <si>
    <t>DI-APH-004</t>
  </si>
  <si>
    <t>DI-APH-005</t>
  </si>
  <si>
    <t>DI-DGH-003</t>
  </si>
  <si>
    <t>DI-DGH-005</t>
  </si>
  <si>
    <t>DI-DGH-014</t>
  </si>
  <si>
    <t>DI-DGH-010</t>
  </si>
  <si>
    <t>DI-DGH-012</t>
  </si>
  <si>
    <t>DI-DGH-011</t>
  </si>
  <si>
    <t>DI-DGH-009</t>
  </si>
  <si>
    <t>DI-APC-003</t>
  </si>
  <si>
    <t>DI-APC-007</t>
  </si>
  <si>
    <t>DI-APC-004</t>
  </si>
  <si>
    <t>DI-APC-006</t>
  </si>
  <si>
    <t>DI-SLD-008</t>
  </si>
  <si>
    <t>DI-SLD-004</t>
  </si>
  <si>
    <t>DI-SLD-006</t>
  </si>
  <si>
    <t>DI-SLD-002</t>
  </si>
  <si>
    <t>DI-BBQ-004</t>
  </si>
  <si>
    <t>DI-BBQ-012</t>
  </si>
  <si>
    <t>DI-BBQ-006</t>
  </si>
  <si>
    <t>DI-BBQ-008</t>
  </si>
  <si>
    <t>DI-BBQ-019</t>
  </si>
  <si>
    <t>DI-BBQ-014</t>
  </si>
  <si>
    <t>DI-BBQ-003</t>
  </si>
  <si>
    <t>DI-BBQ-011</t>
  </si>
  <si>
    <t>DI-BBQ-005</t>
  </si>
  <si>
    <t>DI-BBQ-007</t>
  </si>
  <si>
    <t>DI-BBQ-018</t>
  </si>
  <si>
    <t>DI-BBQ-013</t>
  </si>
  <si>
    <t>DI-BBQ-015</t>
  </si>
  <si>
    <t>DI-APH-009</t>
  </si>
  <si>
    <t>DI-TDY-007</t>
  </si>
  <si>
    <t>DI-TDY-024</t>
  </si>
  <si>
    <t>DI-TDY-021</t>
  </si>
  <si>
    <t>DI-TDY-017</t>
  </si>
  <si>
    <t>DI-TDY-026</t>
  </si>
  <si>
    <t>DI-TDY-025</t>
  </si>
  <si>
    <t>TA-SLD-018</t>
  </si>
  <si>
    <t>TA-SLD-001</t>
  </si>
  <si>
    <t>TA-SLD-020</t>
  </si>
  <si>
    <t>TA-SLD-016</t>
  </si>
  <si>
    <t>TA-SLD-003</t>
  </si>
  <si>
    <t>TA-APT-008</t>
  </si>
  <si>
    <t>TA-SLD-005</t>
  </si>
  <si>
    <t>TA-SLD-007</t>
  </si>
  <si>
    <t>TA-SLD-013</t>
  </si>
  <si>
    <t>TA-APT-004</t>
  </si>
  <si>
    <t>TA-APT-002</t>
  </si>
  <si>
    <t>TA-APT-015</t>
  </si>
  <si>
    <t>DI-SLD-009</t>
  </si>
  <si>
    <t>TA-APT-007</t>
  </si>
  <si>
    <t>TA-APT-006</t>
  </si>
  <si>
    <t>TA-APT-014</t>
  </si>
  <si>
    <t>TA-APT-003</t>
  </si>
  <si>
    <t>TA-CRM-003</t>
  </si>
  <si>
    <t>TA-CRM-002</t>
  </si>
  <si>
    <t>TA-SWN-005</t>
  </si>
  <si>
    <t>TA-SWN-032</t>
  </si>
  <si>
    <t>TA-SWN-002</t>
  </si>
  <si>
    <t>TA-CRM-001</t>
  </si>
  <si>
    <t>TA-SWN-020</t>
  </si>
  <si>
    <t>TA-SWN-021</t>
  </si>
  <si>
    <t>TA-SWN-003</t>
  </si>
  <si>
    <t>TA-SWN-006</t>
  </si>
  <si>
    <t>TA-SWN-011</t>
  </si>
  <si>
    <t>TA-SWN-012</t>
  </si>
  <si>
    <t>TA-SWN-022</t>
  </si>
  <si>
    <t>TA-SWN-004</t>
  </si>
  <si>
    <t>TA-SWN-007</t>
  </si>
  <si>
    <t>TA-SWN-013</t>
  </si>
  <si>
    <t>TA-SWN-030</t>
  </si>
  <si>
    <t>TA-SWN-035</t>
  </si>
  <si>
    <t>TA-SWN-026</t>
  </si>
  <si>
    <t>TA-SWN-029</t>
  </si>
  <si>
    <t>TA-SWN-027</t>
  </si>
  <si>
    <t>TA-SWN-028</t>
  </si>
  <si>
    <t>TA-SWN-038</t>
  </si>
  <si>
    <t>TA-SWN-031</t>
  </si>
  <si>
    <t>TA-SWN-037</t>
  </si>
  <si>
    <t>TA-SWN-001</t>
  </si>
  <si>
    <t>TA-DGH-008</t>
  </si>
  <si>
    <t>TA-DGH-001</t>
  </si>
  <si>
    <t>TA-DGH-012</t>
  </si>
  <si>
    <t>TA-DGH-009</t>
  </si>
  <si>
    <t>TA-DGH-003</t>
  </si>
  <si>
    <t>TA-DGH-004</t>
  </si>
  <si>
    <t>TA-DGH-005</t>
  </si>
  <si>
    <t>TA-DGH-010</t>
  </si>
  <si>
    <t>TA-DGH-002</t>
  </si>
  <si>
    <t>TA-DGH-007</t>
  </si>
  <si>
    <t>TA-DGH-006</t>
  </si>
  <si>
    <t>TA-DGH-011</t>
  </si>
  <si>
    <t>TA-APT-018</t>
  </si>
  <si>
    <t>TA-APT-019</t>
  </si>
  <si>
    <t>TA-DGH-020</t>
  </si>
  <si>
    <t>TA-DGH-023</t>
  </si>
  <si>
    <t>TA-DGH-022</t>
  </si>
  <si>
    <t>TA-DGH-017</t>
  </si>
  <si>
    <t>TA-DGH-024</t>
  </si>
  <si>
    <t>TA-DGH-025</t>
  </si>
  <si>
    <t>TA-DGH-013</t>
  </si>
  <si>
    <t>TA-DGH-014</t>
  </si>
  <si>
    <t>TA-APT-016</t>
  </si>
  <si>
    <t>TA-DGH-021</t>
  </si>
  <si>
    <t>TA-DGH-026</t>
  </si>
  <si>
    <t>TA-BBQ-013</t>
  </si>
  <si>
    <t>TA-BBQ-021</t>
  </si>
  <si>
    <t>TA-BBQ-015</t>
  </si>
  <si>
    <t>TA-BBQ-019</t>
  </si>
  <si>
    <t>TA-BBQ-017</t>
  </si>
  <si>
    <t>TA-BBQ-026</t>
  </si>
  <si>
    <t>TA-BBQ-023</t>
  </si>
  <si>
    <t>TA-BBQ-012</t>
  </si>
  <si>
    <t>TA-BBQ-020</t>
  </si>
  <si>
    <t>TA-BBQ-014</t>
  </si>
  <si>
    <t>TA-BBQ-016</t>
  </si>
  <si>
    <t>TA-BBQ-018</t>
  </si>
  <si>
    <t>TA-BBQ-025</t>
  </si>
  <si>
    <t>TA-BBQ-022</t>
  </si>
  <si>
    <t>TA-BBQ-007</t>
  </si>
  <si>
    <t>TA-BBQ-009</t>
  </si>
  <si>
    <t>TA-BBQ-006</t>
  </si>
  <si>
    <t>TA-BBQ-008</t>
  </si>
  <si>
    <t>TA-BBQ-038</t>
  </si>
  <si>
    <t>TA-APT-017</t>
  </si>
  <si>
    <t>TA-BBQ-039</t>
  </si>
  <si>
    <t>TA-BBQ-027</t>
  </si>
  <si>
    <t>TA-BBQ-033</t>
  </si>
  <si>
    <t>TA-BBQ-034</t>
  </si>
  <si>
    <t>TA-BBQ-003</t>
  </si>
  <si>
    <t>TA-BBQ-028</t>
  </si>
  <si>
    <t>TA-BBQ-029</t>
  </si>
  <si>
    <t>TA-BBQ-035</t>
  </si>
  <si>
    <t>TA-BBQ-002</t>
  </si>
  <si>
    <t>TA-BBQ-031</t>
  </si>
  <si>
    <t>TA-BBQ-004</t>
  </si>
  <si>
    <t>TA-BBQ-005</t>
  </si>
  <si>
    <t>TA-BBQ-030</t>
  </si>
  <si>
    <t>TA-BBQ-032</t>
  </si>
  <si>
    <t>TA-BBQ-001</t>
  </si>
  <si>
    <t>TA-BBQ-036</t>
  </si>
  <si>
    <t>TA-BBQ-024</t>
  </si>
  <si>
    <t>TA-DLY-005</t>
  </si>
  <si>
    <t>TA-DLY-006</t>
  </si>
  <si>
    <t>TA-DLY-013</t>
  </si>
  <si>
    <t>TA-DLY-004</t>
  </si>
  <si>
    <t>TA-DLY-001</t>
  </si>
  <si>
    <t>TA-DLY-026</t>
  </si>
  <si>
    <t>DI-APH-003</t>
  </si>
  <si>
    <t>TA-DLY-007</t>
  </si>
  <si>
    <t>DI-TDY-001</t>
  </si>
  <si>
    <t>TA-DLY-003</t>
  </si>
  <si>
    <t>DI-TDY-023</t>
  </si>
  <si>
    <t>TA-DLY-019</t>
  </si>
  <si>
    <t>DI-TDY-012</t>
  </si>
  <si>
    <t>TA-DLY-020</t>
  </si>
  <si>
    <t>DI-TDY-013</t>
  </si>
  <si>
    <t>TA-DLY-008</t>
  </si>
  <si>
    <t>DI-TDY-005</t>
  </si>
  <si>
    <t>TA-DLY-014</t>
  </si>
  <si>
    <t>TA-DLY-018</t>
  </si>
  <si>
    <t>DI-TDY-011</t>
  </si>
  <si>
    <t>DI-TDY-003</t>
  </si>
  <si>
    <t>TA-DLY-009</t>
  </si>
  <si>
    <t>TA-DLY-016</t>
  </si>
  <si>
    <t>TA-DGH-015</t>
  </si>
  <si>
    <t>TA-DGH-016</t>
  </si>
  <si>
    <t>DI-TDY-009</t>
  </si>
  <si>
    <t>DI-TDY-022</t>
  </si>
  <si>
    <t>TA-DLY-002</t>
  </si>
  <si>
    <t>DI-TDY-004</t>
  </si>
  <si>
    <t>DI-DGH-001</t>
  </si>
  <si>
    <t>DI-DGH-002</t>
  </si>
  <si>
    <t>TA-APT-012</t>
  </si>
  <si>
    <t>DI-SLD-016</t>
  </si>
  <si>
    <t>TA-DGH-019</t>
  </si>
  <si>
    <t>TA-DGH-018</t>
  </si>
  <si>
    <t>TA-DLY-023</t>
  </si>
  <si>
    <t>TA-DLY-022</t>
  </si>
  <si>
    <t>DI-PST-001</t>
  </si>
  <si>
    <t>TA-DLY-027</t>
  </si>
  <si>
    <t>TA-DLY-024</t>
  </si>
  <si>
    <t>TA-DLY-011</t>
  </si>
  <si>
    <t>TA-DLY-029</t>
  </si>
  <si>
    <t>TA-SLD-004</t>
  </si>
  <si>
    <t>TA-SLD-002</t>
  </si>
  <si>
    <t>TA-SLD-021</t>
  </si>
  <si>
    <t>TA-SLD-017</t>
  </si>
  <si>
    <t>DI-DGH-020</t>
  </si>
  <si>
    <t>DI-DGH-021</t>
  </si>
  <si>
    <t>DI-DGH-022</t>
  </si>
  <si>
    <t>DI-DGH-024</t>
  </si>
  <si>
    <t>DI-DGH-025</t>
  </si>
  <si>
    <t>DI-DGH-018</t>
  </si>
  <si>
    <t>DI-TDY-002</t>
  </si>
  <si>
    <t>DI-BBQ-022</t>
  </si>
  <si>
    <t>DI-BBQ-023</t>
  </si>
  <si>
    <t>DI-BBQ-024</t>
  </si>
  <si>
    <t>DI-BBQ-025</t>
  </si>
  <si>
    <t>DI-BBQ-026</t>
  </si>
  <si>
    <t>DI-BBQ-028</t>
  </si>
  <si>
    <t>DI-SLD-001</t>
  </si>
  <si>
    <t>TA-APT-021</t>
  </si>
  <si>
    <t>TA-APT-022</t>
  </si>
  <si>
    <t>DI-TDY-014</t>
  </si>
  <si>
    <t>DI-TDY-010</t>
  </si>
  <si>
    <t>DI-BBQ-030</t>
  </si>
  <si>
    <t>DI-BBQ-029</t>
  </si>
  <si>
    <t>DI-BBQ-031</t>
  </si>
  <si>
    <t>DI-APC-002</t>
  </si>
  <si>
    <t>DI-APC-010</t>
  </si>
  <si>
    <t>DI-APC-008</t>
  </si>
  <si>
    <t>DI-APC-011</t>
  </si>
  <si>
    <t>DI-DGH-007</t>
  </si>
  <si>
    <t>DI-DGH-006</t>
  </si>
  <si>
    <t>DI-SLD-010</t>
  </si>
  <si>
    <t>DI-TDY-016</t>
  </si>
  <si>
    <t>DI-SWN-008</t>
  </si>
  <si>
    <t>DI-DGH-013</t>
  </si>
  <si>
    <t>DI-DGH-015</t>
  </si>
  <si>
    <t>DI-BBQ-002</t>
  </si>
  <si>
    <t>DI-BBQ-001</t>
  </si>
  <si>
    <t>TA-BBQ-011</t>
  </si>
  <si>
    <t>TA-BBQ-010</t>
  </si>
  <si>
    <t>TA-APT-001</t>
  </si>
  <si>
    <t>TA-DLY-025</t>
  </si>
  <si>
    <t>TA-DLY-017</t>
  </si>
  <si>
    <t>TA-DLY-021</t>
  </si>
  <si>
    <t>TA-SWN-017</t>
  </si>
  <si>
    <t>DI-TDY-006</t>
  </si>
  <si>
    <t>DI-SWN-010</t>
  </si>
  <si>
    <t>TA-SWN-008</t>
  </si>
  <si>
    <t>TA-SWN-009</t>
  </si>
  <si>
    <t>TA-SWN-010</t>
  </si>
  <si>
    <t>DI-TDY-029</t>
  </si>
  <si>
    <t>TA-SLD-008</t>
  </si>
  <si>
    <t>TA-SLD-014</t>
  </si>
  <si>
    <t>TA-SLD-019</t>
  </si>
  <si>
    <t>TA-APT-013</t>
  </si>
  <si>
    <t>TA-SWN-023</t>
  </si>
  <si>
    <t>TA-SWN-024</t>
  </si>
  <si>
    <t>TA-SWN-025</t>
  </si>
  <si>
    <t>DI-SLD-017</t>
  </si>
  <si>
    <t>DI-BRS-010</t>
  </si>
  <si>
    <t>DI-BRS-006</t>
  </si>
  <si>
    <t>DI-BRS-027</t>
  </si>
  <si>
    <t>DI-BRS-025</t>
  </si>
  <si>
    <t>DI-SWT-001</t>
  </si>
  <si>
    <t>DI-BRS-007</t>
  </si>
  <si>
    <t>DI-SPS-003</t>
  </si>
  <si>
    <t>DI-SPS-002</t>
  </si>
  <si>
    <t>TA-SWN-014</t>
  </si>
  <si>
    <t>TA-SWN-015</t>
  </si>
  <si>
    <t>TA-SWN-016</t>
  </si>
  <si>
    <t>TA-DLY-012</t>
  </si>
  <si>
    <t>TA-APT-011</t>
  </si>
  <si>
    <t>DI-APH-001</t>
  </si>
  <si>
    <t>DI-APH-002</t>
  </si>
  <si>
    <t>DI-BBQ-027</t>
  </si>
  <si>
    <t>DI-BRS-026</t>
  </si>
  <si>
    <t>TA-SWN-018</t>
  </si>
  <si>
    <t>TA-SWN-019</t>
  </si>
  <si>
    <t>TA-ORD-001</t>
  </si>
  <si>
    <t>TA-ORD-002</t>
  </si>
  <si>
    <t>TA-ORD-010</t>
  </si>
  <si>
    <t>TA-ORD-011</t>
  </si>
  <si>
    <t>TA-ORD-019</t>
  </si>
  <si>
    <t>TA-ORD-026</t>
  </si>
  <si>
    <t>TA-ORD-016</t>
  </si>
  <si>
    <t>TA-ORD-017</t>
  </si>
  <si>
    <t>TA-ORD-014</t>
  </si>
  <si>
    <t>TA-ORD-024</t>
  </si>
  <si>
    <t>TA-ORD-048</t>
  </si>
  <si>
    <t>TA-ORD-049</t>
  </si>
  <si>
    <t>TA-ORD-051</t>
  </si>
  <si>
    <t>TA-ORD-003</t>
  </si>
  <si>
    <t>TA-ORD-004</t>
  </si>
  <si>
    <t>TA-ORD-006</t>
  </si>
  <si>
    <t>TA-ORD-015</t>
  </si>
  <si>
    <t>TA-ORD-021</t>
  </si>
  <si>
    <t>TA-DLY-047</t>
  </si>
  <si>
    <t>DI-TDY-030</t>
  </si>
  <si>
    <t>DI-TDY-032</t>
  </si>
  <si>
    <t>DI-TDY-031</t>
  </si>
  <si>
    <t>DI-BBQ-032</t>
  </si>
  <si>
    <t>DI-BBQ-033</t>
  </si>
  <si>
    <t>TA-DLY-031</t>
  </si>
  <si>
    <t>DI-TDY-020</t>
  </si>
  <si>
    <t>DI-BBQ-010</t>
  </si>
  <si>
    <t>DI-BBQ-020</t>
  </si>
  <si>
    <t>DI-BBQ-021</t>
  </si>
  <si>
    <t>TA-BBQ-042</t>
  </si>
  <si>
    <t>TA-BBQ-043</t>
  </si>
  <si>
    <t>DI-BBQ-034</t>
  </si>
  <si>
    <t>TA-BBQ-044</t>
  </si>
  <si>
    <t>TA-BBQ-046</t>
  </si>
  <si>
    <t>TA-BBQ-045</t>
  </si>
  <si>
    <t>TA-DRN-008</t>
  </si>
  <si>
    <t>TA-DRN-001</t>
  </si>
  <si>
    <t>TA-DRN-002</t>
  </si>
  <si>
    <t>TA-DRN-003</t>
  </si>
  <si>
    <t>TA-DRN-004</t>
  </si>
  <si>
    <t>TA-DRN-005</t>
  </si>
  <si>
    <t>TA-DRN-015</t>
  </si>
  <si>
    <t>TA-DRN-006</t>
  </si>
  <si>
    <t>TA-DRN-007</t>
  </si>
  <si>
    <t>DI-SPS-001</t>
  </si>
  <si>
    <t>DI-BRS-001</t>
  </si>
  <si>
    <t>DI-BRS-002</t>
  </si>
  <si>
    <t>DI-BRS-004</t>
  </si>
  <si>
    <t>TA-DLY-030</t>
  </si>
  <si>
    <t>TA-ORD-050</t>
  </si>
  <si>
    <t>TA-CRM-004</t>
  </si>
  <si>
    <t>DI-TDY-019</t>
  </si>
  <si>
    <t>TA-ORD-038</t>
  </si>
  <si>
    <t>TA-ORD-042</t>
  </si>
  <si>
    <t>TA-ORD-039</t>
  </si>
  <si>
    <t>DI-PST-002</t>
  </si>
  <si>
    <t>DI-PST-003</t>
  </si>
  <si>
    <t>TA-ORD-007</t>
  </si>
  <si>
    <t>TA-ORD-027</t>
  </si>
  <si>
    <t>TA-ORD-028</t>
  </si>
  <si>
    <t>TA-DLY-028</t>
  </si>
  <si>
    <t>TA-ORD-045</t>
  </si>
  <si>
    <t>DI-TDY-027</t>
  </si>
  <si>
    <t>DI-DGH-019</t>
  </si>
  <si>
    <t>DI-DGH-023</t>
  </si>
  <si>
    <t>TA-ORD-054</t>
  </si>
  <si>
    <t>TA-ORD-055</t>
  </si>
  <si>
    <t>TA-APT-025</t>
  </si>
  <si>
    <t>TA-DLY-033</t>
  </si>
  <si>
    <t>TA-DLY-032</t>
  </si>
  <si>
    <t>TA-CRM-005</t>
  </si>
  <si>
    <t>TA-DLY-048</t>
  </si>
  <si>
    <t>TA-APT-010</t>
  </si>
  <si>
    <t>TA-APT-023</t>
  </si>
  <si>
    <t>TA-BBQ-047</t>
  </si>
  <si>
    <t>DI-DGH-008</t>
  </si>
  <si>
    <t>DI-TDY-028</t>
  </si>
  <si>
    <t>TA-ORD-056</t>
  </si>
  <si>
    <t>DI-APC-012</t>
  </si>
  <si>
    <t>DI-BBQ-009</t>
  </si>
  <si>
    <t>DI-APH-012</t>
  </si>
  <si>
    <t>DI-APH-013</t>
  </si>
  <si>
    <t>BU-PRP-005</t>
  </si>
  <si>
    <t>BU-PRP-006</t>
  </si>
  <si>
    <t>TA-DGH-027</t>
  </si>
  <si>
    <t>DI-TDY-037</t>
  </si>
  <si>
    <t>DI-TDY-038</t>
  </si>
  <si>
    <t>DI-TDY-039</t>
  </si>
  <si>
    <t>TA-DLY-035</t>
  </si>
  <si>
    <t>TA-DLY-036</t>
  </si>
  <si>
    <t>TA-DLY-037</t>
  </si>
  <si>
    <t>TA-DLY-038</t>
  </si>
  <si>
    <t>TA-DLY-039</t>
  </si>
  <si>
    <t>DI-TDY-040</t>
  </si>
  <si>
    <t>DI-TDY-041</t>
  </si>
  <si>
    <t>TA-DLY-043</t>
  </si>
  <si>
    <t>TA-DLY-044</t>
  </si>
  <si>
    <t>TA-DLY-045</t>
  </si>
  <si>
    <t>TA-BBQ-040</t>
  </si>
  <si>
    <t>TA-BBQ-041</t>
  </si>
  <si>
    <t>TA-BBQ-049</t>
  </si>
  <si>
    <t>TA-BBQ-050</t>
  </si>
  <si>
    <t>TA-SLD-006</t>
  </si>
  <si>
    <t>TA-ORD-009</t>
  </si>
  <si>
    <t>TA-ORD-023</t>
  </si>
  <si>
    <t>TA-ORD-046</t>
  </si>
  <si>
    <t>TA-ORD-012</t>
  </si>
  <si>
    <t>DI-TDY-018</t>
  </si>
  <si>
    <t>DI-APH-010</t>
  </si>
  <si>
    <t>DI-SPS-005</t>
  </si>
  <si>
    <t>TA-DRN-010</t>
  </si>
  <si>
    <t>TA-DRN-011</t>
  </si>
  <si>
    <t>TA-DRN-012</t>
  </si>
  <si>
    <t>TA-DRN-013</t>
  </si>
  <si>
    <t>TA-APT-024</t>
  </si>
  <si>
    <t>TA-BBQ-048</t>
  </si>
  <si>
    <t>TA-DLY-040</t>
  </si>
  <si>
    <t>TA-DLY-041</t>
  </si>
  <si>
    <t>TA-DLY-046</t>
  </si>
  <si>
    <t>TA-DLY-052</t>
  </si>
  <si>
    <t>TA-DLY-053</t>
  </si>
  <si>
    <t>TA-DLY-054</t>
  </si>
  <si>
    <t>TA-ORD-067</t>
  </si>
  <si>
    <t>TA-SLD-022</t>
  </si>
  <si>
    <t>TA-SLD-023</t>
  </si>
  <si>
    <t>TA-SPS-001</t>
  </si>
  <si>
    <t>TA-SPS-002</t>
  </si>
  <si>
    <t>TA-SPS-003</t>
  </si>
  <si>
    <t>TA-SPS-004</t>
  </si>
  <si>
    <t>TA-DGH-028</t>
  </si>
  <si>
    <t>TA-DGH-029</t>
  </si>
  <si>
    <t>TA-ORD-025</t>
  </si>
  <si>
    <t>TA-ORD-037</t>
  </si>
  <si>
    <t>TA-ORD-040</t>
  </si>
  <si>
    <t>DI-TDY-015</t>
  </si>
  <si>
    <t>DI-TDY-035</t>
  </si>
  <si>
    <t>DI-TDY-042</t>
  </si>
  <si>
    <t>DI-TDY-043</t>
  </si>
  <si>
    <t>DI-TDY-044</t>
  </si>
  <si>
    <t>DI-SWN-021</t>
  </si>
  <si>
    <t>DI-APH-014</t>
  </si>
  <si>
    <t>DI-SLD-018</t>
  </si>
  <si>
    <t>TM-MS-003</t>
  </si>
  <si>
    <t>TM-MS-002</t>
  </si>
  <si>
    <t>TM-MS-004</t>
  </si>
  <si>
    <t>TM-MS-021</t>
  </si>
  <si>
    <t>TM-MS-019</t>
  </si>
  <si>
    <t>TM-MS-018</t>
  </si>
  <si>
    <t>TM-MS-016</t>
  </si>
  <si>
    <t>TM-MS-013</t>
  </si>
  <si>
    <t>TM-MS-011</t>
  </si>
  <si>
    <t>TM-MS-010</t>
  </si>
  <si>
    <t>TM-MS-009</t>
  </si>
  <si>
    <t>TM-MS-008</t>
  </si>
  <si>
    <t>TM-MS-007</t>
  </si>
  <si>
    <t>TM-MS-006</t>
  </si>
  <si>
    <t>TM-MS-005</t>
  </si>
  <si>
    <t>TM-MS-001</t>
  </si>
  <si>
    <t>TM-MS-026</t>
  </si>
  <si>
    <t>TM-MS-028</t>
  </si>
  <si>
    <t>TM-MS-027</t>
  </si>
  <si>
    <t>TM-MS-025</t>
  </si>
  <si>
    <t>TM-MS-023</t>
  </si>
  <si>
    <t>TA-DLY-051</t>
  </si>
  <si>
    <t>TA-ORD-064</t>
  </si>
  <si>
    <t>TA-ORD-065</t>
  </si>
  <si>
    <t>TA-ORD-066</t>
  </si>
  <si>
    <t>TA-APT-027</t>
  </si>
  <si>
    <t>TA-BBQ-051</t>
  </si>
  <si>
    <t>TA-BBQ-052</t>
  </si>
  <si>
    <t>TA-BBQ-054</t>
  </si>
  <si>
    <t>TA-BBQ-055</t>
  </si>
  <si>
    <t>BU-MRN-001</t>
  </si>
  <si>
    <t>DI-TDY-045</t>
  </si>
  <si>
    <t>TA-ORD-069</t>
  </si>
  <si>
    <t>BU-SKW-039</t>
  </si>
  <si>
    <t>BU-SKW-040</t>
  </si>
  <si>
    <t>BU-SKW-041</t>
  </si>
  <si>
    <t>BU-SKW-042</t>
  </si>
  <si>
    <t>TA-ORD-061</t>
  </si>
  <si>
    <t>TM-MS-029</t>
  </si>
  <si>
    <t>TM-MS-022</t>
  </si>
  <si>
    <t>TA-BBQ-053</t>
  </si>
  <si>
    <t>TA-DRN-014</t>
  </si>
  <si>
    <t>TA-ORD-008</t>
  </si>
  <si>
    <t>TA-ORD-022</t>
  </si>
  <si>
    <t>DI-BBQ-016</t>
  </si>
  <si>
    <t>DI-BBQ-017</t>
  </si>
  <si>
    <t>DI-APC-014</t>
  </si>
  <si>
    <t>TA-ORD-052</t>
  </si>
  <si>
    <t>TA-BBQ-056</t>
  </si>
  <si>
    <t>TA-BBQ-057</t>
  </si>
  <si>
    <t>TA-ORD-059</t>
  </si>
  <si>
    <t>TA-APT-026</t>
  </si>
  <si>
    <t>TA-SWN-039</t>
  </si>
  <si>
    <t>TA-SWN-040</t>
  </si>
  <si>
    <t>DI-DGH-016</t>
  </si>
  <si>
    <t>DI-DGH-017</t>
  </si>
  <si>
    <t>DI-DGH-026</t>
  </si>
  <si>
    <t>DI-DGH-027</t>
  </si>
  <si>
    <t>DI-SWT-002</t>
  </si>
  <si>
    <t>TA-APT-028</t>
  </si>
  <si>
    <t>TA-DLY-055</t>
  </si>
  <si>
    <t>DI-CRM-005</t>
  </si>
  <si>
    <t>DI-APC-009</t>
  </si>
  <si>
    <t>DI-TDY-046</t>
  </si>
  <si>
    <t>DI-SWN-003</t>
  </si>
  <si>
    <t>DI-SLD-019</t>
  </si>
  <si>
    <t>DI-PST-006</t>
  </si>
  <si>
    <t>DI-PST-005</t>
  </si>
  <si>
    <t>DI-PST-004</t>
  </si>
  <si>
    <t>TA-ORD-053</t>
  </si>
  <si>
    <t>TA-ORD-043</t>
  </si>
  <si>
    <t>DI-SPS-006</t>
  </si>
  <si>
    <t>DI-SPS-004</t>
  </si>
  <si>
    <t>TA-ORD-070</t>
  </si>
  <si>
    <t>TA-ORD-068</t>
  </si>
  <si>
    <t>TA-ORD-060</t>
  </si>
  <si>
    <t>TA-ORD-041</t>
  </si>
  <si>
    <t>Branch</t>
  </si>
  <si>
    <t>الكود</t>
  </si>
  <si>
    <t>مجموعة الصنف
POS</t>
  </si>
  <si>
    <t>تكلفة الصنف
Menu</t>
  </si>
  <si>
    <t>نسبة هامش الربح
Menu</t>
  </si>
  <si>
    <t>السعر الفردي
Menu</t>
  </si>
  <si>
    <t>فرق سعر البيع</t>
  </si>
  <si>
    <t>قدرة</t>
  </si>
  <si>
    <t>اطباق اليوم صالة</t>
  </si>
  <si>
    <t>فريكة دجاج</t>
  </si>
  <si>
    <t>اوزي دجاج</t>
  </si>
  <si>
    <t>تشكن مسالا</t>
  </si>
  <si>
    <t>سويت اند سور</t>
  </si>
  <si>
    <t>زربيان</t>
  </si>
  <si>
    <t>بامية</t>
  </si>
  <si>
    <t>الباشا وعساكره</t>
  </si>
  <si>
    <t>ملوخية</t>
  </si>
  <si>
    <t>زرب دجاج</t>
  </si>
  <si>
    <t>ششبرك</t>
  </si>
  <si>
    <t>وجبة ارز ولحم</t>
  </si>
  <si>
    <t>منسف دجاج</t>
  </si>
  <si>
    <t>وجبة ضلعة فردية</t>
  </si>
  <si>
    <t>رقبة محشية</t>
  </si>
  <si>
    <t>دجاجة محشية</t>
  </si>
  <si>
    <t>منسف لحمة</t>
  </si>
  <si>
    <t>كوسا بلبن</t>
  </si>
  <si>
    <t>كبة لبنية</t>
  </si>
  <si>
    <t>كبسة</t>
  </si>
  <si>
    <t>قطعة لحمة</t>
  </si>
  <si>
    <t>قطعة دجاج</t>
  </si>
  <si>
    <t>سدر ارز 1 دجاجة</t>
  </si>
  <si>
    <t>سدر ارز لحم 1 كيلو</t>
  </si>
  <si>
    <t>وجبة دوالي</t>
  </si>
  <si>
    <t>وجبة دولمة</t>
  </si>
  <si>
    <t>وجبة ملفوف صغير</t>
  </si>
  <si>
    <t>وجبة محاشي</t>
  </si>
  <si>
    <t>وجبة ضلعة محشية</t>
  </si>
  <si>
    <t>وجبة مفتول</t>
  </si>
  <si>
    <t>وجبة صيادية</t>
  </si>
  <si>
    <t>منسف لحمة / كيلو</t>
  </si>
  <si>
    <t>التواصي سفري</t>
  </si>
  <si>
    <t>قدرة لحم 1 كيلو</t>
  </si>
  <si>
    <t>كبسة لحم 1 كيلو</t>
  </si>
  <si>
    <t>زرب لحم 1 كيلو</t>
  </si>
  <si>
    <t>كبسة دجاج 1 دجاجة</t>
  </si>
  <si>
    <t>قدرة دجاج 1 دجاجة</t>
  </si>
  <si>
    <t>أوزي دجاج 1 دجاجة</t>
  </si>
  <si>
    <t>مندي دجاج 1 دجاجة</t>
  </si>
  <si>
    <t>فريكة دجاج 1 دجاجة</t>
  </si>
  <si>
    <t>زرب دجاج 1 دجاجة</t>
  </si>
  <si>
    <t>مسخن فلسطيني دجاج 1 دجاجة</t>
  </si>
  <si>
    <t>منسف دجاج 1 دجاجة</t>
  </si>
  <si>
    <t>مقلوبة زهرة دجاج 1 دجاجة</t>
  </si>
  <si>
    <t>فريكة /دجاجة</t>
  </si>
  <si>
    <t>ضلعة بلدية مشوية /كيلو</t>
  </si>
  <si>
    <t>رغيف مسخن</t>
  </si>
  <si>
    <t>شوربة الذرة</t>
  </si>
  <si>
    <t>رقاب مخشية / كيلو</t>
  </si>
  <si>
    <t>التواصي سفري2</t>
  </si>
  <si>
    <t>دجاجة على الفحم+سدر رز</t>
  </si>
  <si>
    <t>ورق عنب / كيلو</t>
  </si>
  <si>
    <t>كوسا 1ك +دوالي 1 ك+ ريش 1 ك</t>
  </si>
  <si>
    <t>منسف روماني كيلو</t>
  </si>
  <si>
    <t>ساندويش كبدة خاروف عادي</t>
  </si>
  <si>
    <t>المشاوي سفري</t>
  </si>
  <si>
    <t>ساندويش لية عادي</t>
  </si>
  <si>
    <t>وجبة مشكل</t>
  </si>
  <si>
    <t>وجبة كباب</t>
  </si>
  <si>
    <t>وجبة شقف فردية</t>
  </si>
  <si>
    <t>وجبة شيش</t>
  </si>
  <si>
    <t>مشاوي مشكلة / 0.5 ك</t>
  </si>
  <si>
    <t>مشاوي مشكلة / 1 كيلو</t>
  </si>
  <si>
    <t>شقف خاروف / 0.5 ك</t>
  </si>
  <si>
    <t>شقف خاروف / 1 كيلو</t>
  </si>
  <si>
    <t>كباب مشوي / 0.5 ك</t>
  </si>
  <si>
    <t>كباب مشوي / 1 كيلو</t>
  </si>
  <si>
    <t>شيش طاووق / 1 كيلو</t>
  </si>
  <si>
    <t>ريش خاروف / 0.5 ك</t>
  </si>
  <si>
    <t>دجاج تركي / نصف دجاجة</t>
  </si>
  <si>
    <t>دجاج تركي / دجاجة</t>
  </si>
  <si>
    <t>كبدة خروف مشوية /0.5 ك</t>
  </si>
  <si>
    <t>ساندويش كباب عادي</t>
  </si>
  <si>
    <t>ساندويش كباب سوبر</t>
  </si>
  <si>
    <t>ساندويش شقف عادي</t>
  </si>
  <si>
    <t>ساندويش شقف سوبر</t>
  </si>
  <si>
    <t>ساندويش شيش عادي</t>
  </si>
  <si>
    <t>ساندويش شيش سوبر</t>
  </si>
  <si>
    <t>ساندويش كباب دجاج عادي</t>
  </si>
  <si>
    <t>ساندويش حمادة سوبر</t>
  </si>
  <si>
    <t>ساندويش نخاعات سوبر</t>
  </si>
  <si>
    <t>كومبو شيش</t>
  </si>
  <si>
    <t>وجبة ريش فردية</t>
  </si>
  <si>
    <t>المشاوي سفري2</t>
  </si>
  <si>
    <t>وجبة كبدة خروف فردية</t>
  </si>
  <si>
    <t>سيخ لية</t>
  </si>
  <si>
    <t>مشاوي مشكلة نص كيلو</t>
  </si>
  <si>
    <t>المشاوي صالة</t>
  </si>
  <si>
    <t>مشاوي مشكلة كيلو</t>
  </si>
  <si>
    <t>شقف خاروف نص كيلو</t>
  </si>
  <si>
    <t>شقف خاروف كيلو</t>
  </si>
  <si>
    <t>كباب مشوي نص كيلو</t>
  </si>
  <si>
    <t>كباب مشوي كيلو</t>
  </si>
  <si>
    <t>شيش طاووق نص كيلو</t>
  </si>
  <si>
    <t>شيش طاووق كيلو</t>
  </si>
  <si>
    <t>جناح مشوي 12 قطعة</t>
  </si>
  <si>
    <t>كلاوي مشوي فردي</t>
  </si>
  <si>
    <t>كباب دجاج نص كيلو</t>
  </si>
  <si>
    <t>كباب دجاج كيلو</t>
  </si>
  <si>
    <t>كبدة خاروف مشوية نص كيلو</t>
  </si>
  <si>
    <t>نصف دجاجة تركي</t>
  </si>
  <si>
    <t>فتايل مشوية نصف كيلو</t>
  </si>
  <si>
    <t>ريش خاروف مشوية نص كيلو</t>
  </si>
  <si>
    <t>ريش خاروف مشوية كيلو</t>
  </si>
  <si>
    <t>بيض غنم مشوي</t>
  </si>
  <si>
    <t>عرايس ارميني</t>
  </si>
  <si>
    <t>ساندويش كباب</t>
  </si>
  <si>
    <t>ساندويش شيش</t>
  </si>
  <si>
    <t>ساندويش حمادة</t>
  </si>
  <si>
    <t>وجبة كباب فردية</t>
  </si>
  <si>
    <t>وجبة شيش فردية</t>
  </si>
  <si>
    <t>وجبة مشاوي فردي</t>
  </si>
  <si>
    <t>صحن مقبلات مشكل</t>
  </si>
  <si>
    <t>المقبلات سفري</t>
  </si>
  <si>
    <t>يلنجي 10 قطع</t>
  </si>
  <si>
    <t>مثومة</t>
  </si>
  <si>
    <t>لبن رايب</t>
  </si>
  <si>
    <t>دقوس صغير</t>
  </si>
  <si>
    <t>مسخن رول</t>
  </si>
  <si>
    <t>بطاطا مقلية</t>
  </si>
  <si>
    <t>برك جبنة</t>
  </si>
  <si>
    <t>عش البلبل</t>
  </si>
  <si>
    <t>علبة طحينية صغيرة</t>
  </si>
  <si>
    <t>علبة دبس رمان</t>
  </si>
  <si>
    <t>الوجبات اليومية سفري</t>
  </si>
  <si>
    <t>بيف استرغنوف</t>
  </si>
  <si>
    <t>أوزي دجاج</t>
  </si>
  <si>
    <t>فريكة دجاج ملوكي</t>
  </si>
  <si>
    <t>فاصولياء خضرا</t>
  </si>
  <si>
    <t>شيشبرك</t>
  </si>
  <si>
    <t>صحن رز ابيض</t>
  </si>
  <si>
    <t>لبن منسف</t>
  </si>
  <si>
    <t>قطعه لحم</t>
  </si>
  <si>
    <t>دجاج محشي</t>
  </si>
  <si>
    <t>الوجبات اليومية سفري2</t>
  </si>
  <si>
    <t>TA-DLY-034</t>
  </si>
  <si>
    <t>استبدال قطعة فخذة بصدر دجاج</t>
  </si>
  <si>
    <t>وجبة ملفوف وسط</t>
  </si>
  <si>
    <t>وجبة ملفوف كبير</t>
  </si>
  <si>
    <t>وجبة منسف روماني</t>
  </si>
  <si>
    <t>مندي مع كباب</t>
  </si>
  <si>
    <t>وجبة مفتول فردية</t>
  </si>
  <si>
    <t>مشروبات غازية</t>
  </si>
  <si>
    <t>باريستا صالة</t>
  </si>
  <si>
    <t>مياه معدنية</t>
  </si>
  <si>
    <t>عصير ليمون</t>
  </si>
  <si>
    <t>عصير ليمون ونعناع</t>
  </si>
  <si>
    <t>عصير برتقال</t>
  </si>
  <si>
    <t>قهوة تركي</t>
  </si>
  <si>
    <t>قهوة تركية دبل</t>
  </si>
  <si>
    <t>شاي</t>
  </si>
  <si>
    <t>فيتوتشيني الفريدو</t>
  </si>
  <si>
    <t>باستا صالة</t>
  </si>
  <si>
    <t>بينا اربياتا</t>
  </si>
  <si>
    <t>سباغيتي بولونيز</t>
  </si>
  <si>
    <t>تندرليون ستيك</t>
  </si>
  <si>
    <t>برغر المركزية</t>
  </si>
  <si>
    <t>ام علي</t>
  </si>
  <si>
    <t>حلويات صالة</t>
  </si>
  <si>
    <t>SRV-002</t>
  </si>
  <si>
    <t>أجور</t>
  </si>
  <si>
    <t>خدمات</t>
  </si>
  <si>
    <t>دجاج طازج</t>
  </si>
  <si>
    <t>صدر دجاج بالعظم</t>
  </si>
  <si>
    <t>صدر دجاج مسحب مركزية</t>
  </si>
  <si>
    <t>فخد دجاج طازج</t>
  </si>
  <si>
    <t>جناح دجاج طازج</t>
  </si>
  <si>
    <t>كبدة دجاج طازج</t>
  </si>
  <si>
    <t>زيت مستعمل</t>
  </si>
  <si>
    <t>سقط</t>
  </si>
  <si>
    <t>معلاق طازج</t>
  </si>
  <si>
    <t>كبدة خروف</t>
  </si>
  <si>
    <t>طحل خاروف طازج</t>
  </si>
  <si>
    <t>كلاوي خاروف طازج</t>
  </si>
  <si>
    <t>خصاوي خاروف طازج</t>
  </si>
  <si>
    <t>نخاعات -حبة</t>
  </si>
  <si>
    <t>راس خروف منظف</t>
  </si>
  <si>
    <t>لسانات مع لغلوغ</t>
  </si>
  <si>
    <t>فوارغ خاروف منظف</t>
  </si>
  <si>
    <t>تبولة فردي</t>
  </si>
  <si>
    <t>سلطات سفري</t>
  </si>
  <si>
    <t>تبولة عائلي</t>
  </si>
  <si>
    <t>فتوش فردي</t>
  </si>
  <si>
    <t>فتوش عائلي</t>
  </si>
  <si>
    <t>سيزر سالاد فردي</t>
  </si>
  <si>
    <t>سيزر دجاج فردي</t>
  </si>
  <si>
    <t>سلطة كينوا فردي</t>
  </si>
  <si>
    <t>سلطة عربية فردي</t>
  </si>
  <si>
    <t>سلطة كولسو فردي</t>
  </si>
  <si>
    <t>سلطة جرجير فردي</t>
  </si>
  <si>
    <t>سلطة جرجير عائلي</t>
  </si>
  <si>
    <t>سلطة فروتي فردي</t>
  </si>
  <si>
    <t>تبولة</t>
  </si>
  <si>
    <t>سلطات صالة</t>
  </si>
  <si>
    <t>فتوش</t>
  </si>
  <si>
    <t>سلطة سيزر</t>
  </si>
  <si>
    <t>سلطة المركزية</t>
  </si>
  <si>
    <t>سلطة عربية</t>
  </si>
  <si>
    <t>سلطة جرجير</t>
  </si>
  <si>
    <t>سيزر دجاج</t>
  </si>
  <si>
    <t>شوربات سفري</t>
  </si>
  <si>
    <t>شوربة فطر بالكريمة</t>
  </si>
  <si>
    <t>شوربات صالة</t>
  </si>
  <si>
    <t>شوربة كريمي</t>
  </si>
  <si>
    <t>شوربة الفطر</t>
  </si>
  <si>
    <t>كفتة بندورة</t>
  </si>
  <si>
    <t>صواني وصاجيات صالة</t>
  </si>
  <si>
    <t>كفتة طحينية</t>
  </si>
  <si>
    <t>صاجية لحمة خروف راس عصفور</t>
  </si>
  <si>
    <t>صاجية دجاج</t>
  </si>
  <si>
    <t>صاجية كبدة غنم</t>
  </si>
  <si>
    <t>طحالات</t>
  </si>
  <si>
    <t>فخارة فريكة بالكريمة</t>
  </si>
  <si>
    <t>لسانات مطفى</t>
  </si>
  <si>
    <t>صاجية بندورة بلحمة</t>
  </si>
  <si>
    <t>فخارة كبدة دجاج</t>
  </si>
  <si>
    <t>فخارة دجاج بالكريمة</t>
  </si>
  <si>
    <t>نخاعات مطفية</t>
  </si>
  <si>
    <t>حمص بلحمة</t>
  </si>
  <si>
    <t>بيض غنم</t>
  </si>
  <si>
    <t>صاجية المركزية</t>
  </si>
  <si>
    <t>كفتة طحينية وقية</t>
  </si>
  <si>
    <t>صواني وصجيات سفري</t>
  </si>
  <si>
    <t>صاجية دجاج وقية</t>
  </si>
  <si>
    <t>فريكة بالدجاج والكريمة وقية</t>
  </si>
  <si>
    <t>بندورة بلحمة وقية</t>
  </si>
  <si>
    <t>حمص بلحمة وقية</t>
  </si>
  <si>
    <t>كبدة دجاج نصف كيلو</t>
  </si>
  <si>
    <t>دجاج بالكريمة وقية</t>
  </si>
  <si>
    <t>قشقوان</t>
  </si>
  <si>
    <t>عجين سفري</t>
  </si>
  <si>
    <t>مكس اجبان</t>
  </si>
  <si>
    <t>منقوشة محمرة</t>
  </si>
  <si>
    <t>محمرة بقشقوان</t>
  </si>
  <si>
    <t>سلامي قشقوان</t>
  </si>
  <si>
    <t>بيض وجبنة</t>
  </si>
  <si>
    <t>بيض</t>
  </si>
  <si>
    <t>منقوشة جبنة بيضاء</t>
  </si>
  <si>
    <t>زعتر وجبنة</t>
  </si>
  <si>
    <t>تيركي وقشقوان</t>
  </si>
  <si>
    <t>زعتر بلدي</t>
  </si>
  <si>
    <t>شرحات على العجين / الحبة</t>
  </si>
  <si>
    <t>صفيحة بلبن/ الحبة</t>
  </si>
  <si>
    <t>صفيحة ببندورة/حبة</t>
  </si>
  <si>
    <t>عرايس</t>
  </si>
  <si>
    <t>صفيحة ببندورة/ الكيلو</t>
  </si>
  <si>
    <t>صفيحة بلبن \ كيلو</t>
  </si>
  <si>
    <t>بيتزا الفريدو</t>
  </si>
  <si>
    <t>بيتزا بابروني</t>
  </si>
  <si>
    <t>بيتزا الفصول الاربعه</t>
  </si>
  <si>
    <t>خبز تنور عدد 5</t>
  </si>
  <si>
    <t>صفيحة شامية بلبن</t>
  </si>
  <si>
    <t>عجين صالة</t>
  </si>
  <si>
    <t>صفيحة شامية ببندورة</t>
  </si>
  <si>
    <t>شرحات على العجين</t>
  </si>
  <si>
    <t>منقوشة مجرمشة</t>
  </si>
  <si>
    <t>بيدا لحمة</t>
  </si>
  <si>
    <t>بيتزا خضار</t>
  </si>
  <si>
    <t>بيتزا باربيكو</t>
  </si>
  <si>
    <t>بيتزا مارغريتا</t>
  </si>
  <si>
    <t>بيتزا الفصول الاربعة</t>
  </si>
  <si>
    <t>صفيحة نص كيلو بلبن</t>
  </si>
  <si>
    <t>صفيحة نص كيلو ببندورة</t>
  </si>
  <si>
    <t>فتة الباذنجان</t>
  </si>
  <si>
    <t>فتات سفري</t>
  </si>
  <si>
    <t>فتة راس</t>
  </si>
  <si>
    <t>فتة يالنجي سفري</t>
  </si>
  <si>
    <t>فتة لسانات</t>
  </si>
  <si>
    <t>فتات صالة</t>
  </si>
  <si>
    <t>فتة يالانجي</t>
  </si>
  <si>
    <t>فتة باذنجان</t>
  </si>
  <si>
    <t>فتة روس</t>
  </si>
  <si>
    <t>فتة كباب</t>
  </si>
  <si>
    <t>DI-CRM-006</t>
  </si>
  <si>
    <t>فتة دجاج</t>
  </si>
  <si>
    <t>لحوم بلدية</t>
  </si>
  <si>
    <t>خاروف بلدي مجروم 20</t>
  </si>
  <si>
    <t>فيليه بلدي منظف</t>
  </si>
  <si>
    <t>روزبيف بلدي</t>
  </si>
  <si>
    <t>روز بيف بلدي منظف</t>
  </si>
  <si>
    <t>مفروم مكس بلدي</t>
  </si>
  <si>
    <t>ليه بلدي</t>
  </si>
  <si>
    <t>كفتة عجل</t>
  </si>
  <si>
    <t>خاروف روماني</t>
  </si>
  <si>
    <t>لحوم مستوردة</t>
  </si>
  <si>
    <t>خاروف روماني 11</t>
  </si>
  <si>
    <t>فخد عجل مستورد</t>
  </si>
  <si>
    <t>فيليه عجل مستورد</t>
  </si>
  <si>
    <t>كباب مشكوك كيلو</t>
  </si>
  <si>
    <t>لحوم مشكوكة</t>
  </si>
  <si>
    <t>ريش مشكوك</t>
  </si>
  <si>
    <t>شيش مشكوك كيلو</t>
  </si>
  <si>
    <t>بوكس برغر لحمة</t>
  </si>
  <si>
    <t>بوكس برغر دجاج</t>
  </si>
  <si>
    <t>دجاج متبل -حبة</t>
  </si>
  <si>
    <t>مارنيتد</t>
  </si>
  <si>
    <t>برغر عجل بلدي</t>
  </si>
  <si>
    <t>شيش طاووق</t>
  </si>
  <si>
    <t>ماتركس كولا</t>
  </si>
  <si>
    <t>مشروبات سفري</t>
  </si>
  <si>
    <t>ماتركس برتقال</t>
  </si>
  <si>
    <t>ماتركس اب</t>
  </si>
  <si>
    <t>كولا دايت</t>
  </si>
  <si>
    <t>ماتركس اب دايت</t>
  </si>
  <si>
    <t>لبن عيران صغير</t>
  </si>
  <si>
    <t>لبن عيران كبير</t>
  </si>
  <si>
    <t>عصير تفاح</t>
  </si>
  <si>
    <t>يلنجي</t>
  </si>
  <si>
    <t>مقبلات باردة صالة</t>
  </si>
  <si>
    <t>مخللات مشكلة</t>
  </si>
  <si>
    <t>سيرفس منسف</t>
  </si>
  <si>
    <t>مقبلات ساخنة صالة</t>
  </si>
  <si>
    <t>حلوم مشوي</t>
  </si>
  <si>
    <t>DI-APH-015</t>
  </si>
  <si>
    <t>بطاطا ودجز</t>
  </si>
  <si>
    <t>أوزي لحم 1 كيلو</t>
  </si>
  <si>
    <t>زربيان لحم 1 كيلو</t>
  </si>
  <si>
    <t>مندي لحم 1 كيلو</t>
  </si>
  <si>
    <t>زربيان دجاج 1 دجاجة</t>
  </si>
  <si>
    <t>مضغوط دجاج 1 دجاجة</t>
  </si>
  <si>
    <t>TA-ORD-036</t>
  </si>
  <si>
    <t>دجاج محشي خضار</t>
  </si>
  <si>
    <t>خاروف بلدي مشوي /كيلو</t>
  </si>
  <si>
    <t>روستو كتف او فخد مشوي /كيلو</t>
  </si>
  <si>
    <t>سدر رز + نص دجاجة عالفحم</t>
  </si>
  <si>
    <t>لحم روماني على رز</t>
  </si>
  <si>
    <t>كوسا / كيلو</t>
  </si>
  <si>
    <t>1ك كوسا +1ك دوالي</t>
  </si>
  <si>
    <t>دولمة عراقية / كيلو</t>
  </si>
  <si>
    <t>راس مطبوخ</t>
  </si>
  <si>
    <t>مقلوبة دجاجة</t>
  </si>
  <si>
    <t>مقلوبة دجاجتين</t>
  </si>
  <si>
    <t>خروف روماني مشوي كيلو</t>
  </si>
  <si>
    <t>سدر VIP</t>
  </si>
  <si>
    <t>مفتول دجاجتين</t>
  </si>
  <si>
    <t>ساندويش خصاوي سوبر</t>
  </si>
  <si>
    <t>ساندويش كبدة خاروف سوبر</t>
  </si>
  <si>
    <t>شيش طاووق / 0.5 ك</t>
  </si>
  <si>
    <t>ريش خاروف / 1 كيلو</t>
  </si>
  <si>
    <t>كباب دجاج /1 كيلو</t>
  </si>
  <si>
    <t>سيخ شقف</t>
  </si>
  <si>
    <t>سيخ كبدة خروف</t>
  </si>
  <si>
    <t>سيخ بندورة مشوي</t>
  </si>
  <si>
    <t>سيخ بصل مشوي</t>
  </si>
  <si>
    <t>جناح مشوي سيخ 6 قطع</t>
  </si>
  <si>
    <t>سيخ كباب</t>
  </si>
  <si>
    <t>وجبة أرز مبهر+ كباب دجاج</t>
  </si>
  <si>
    <t>دجاج ملوكي+ أرز مبهر</t>
  </si>
  <si>
    <t>رقبة مع كوسا ودوالي</t>
  </si>
  <si>
    <t>سيزر سالاد عائلي</t>
  </si>
  <si>
    <t>سلطة عربية عائلي</t>
  </si>
  <si>
    <t>سلطة المركزية عائلي</t>
  </si>
  <si>
    <t>صواني وصجيات  سفري</t>
  </si>
  <si>
    <t>كفتة طحينية نصف كيلو</t>
  </si>
  <si>
    <t>كفتة طحينية كيلو</t>
  </si>
  <si>
    <t>راس عصفور وقية</t>
  </si>
  <si>
    <t>نقانق أرميني وقية</t>
  </si>
  <si>
    <t>نقانق أرميني نصف كيلو</t>
  </si>
  <si>
    <t>صاجية دجاج نصف كيلو</t>
  </si>
  <si>
    <t>فريكة بالدجاج والكريمة نص كيلو</t>
  </si>
  <si>
    <t>فريكة بالدجاج والكريمةكيلو</t>
  </si>
  <si>
    <t>كفتة بندورة وقية</t>
  </si>
  <si>
    <t>كفتة بندورة نصف كيلو</t>
  </si>
  <si>
    <t>كفتة بندورة كيلو</t>
  </si>
  <si>
    <t>بندورة بلحمة نصف كيلو</t>
  </si>
  <si>
    <t>كبدة دجاج وقية</t>
  </si>
  <si>
    <t>TA-SWN-034</t>
  </si>
  <si>
    <t>صينية معلاق كيلو</t>
  </si>
  <si>
    <t>بندورة بلحمة كيلو</t>
  </si>
  <si>
    <t>كتف خروف</t>
  </si>
  <si>
    <t>طلبات مارت</t>
  </si>
  <si>
    <t>مفرومة خشنة</t>
  </si>
  <si>
    <t>مفرومة ناعمة</t>
  </si>
  <si>
    <t>مفرومة مكس</t>
  </si>
  <si>
    <t>راس عصفور روز بيف</t>
  </si>
  <si>
    <t>ريش</t>
  </si>
  <si>
    <t>برغر لحم</t>
  </si>
  <si>
    <t>تشاينيز</t>
  </si>
  <si>
    <t>رب اي ستيك</t>
  </si>
  <si>
    <t>كفتة</t>
  </si>
  <si>
    <t>ستيك فيليه</t>
  </si>
  <si>
    <t>دجاج مسحب 500 غم</t>
  </si>
  <si>
    <t>دجاج مقطع 4 قطع</t>
  </si>
  <si>
    <t>شاورما دجاج</t>
  </si>
  <si>
    <t>تندر الدجاج</t>
  </si>
  <si>
    <t>فخد خروف</t>
  </si>
  <si>
    <t>دجاج مسحب 700 غم</t>
  </si>
  <si>
    <t>مكعبات دجاج مسحب</t>
  </si>
  <si>
    <t>مجرمشة / الحبة</t>
  </si>
  <si>
    <t>بيتزا باربكيو</t>
  </si>
  <si>
    <t>صفيحة بلبن / نص كيلو</t>
  </si>
  <si>
    <t>سيخ بصل</t>
  </si>
  <si>
    <t>سيخ بندورة</t>
  </si>
  <si>
    <t>سيخ فلفل</t>
  </si>
  <si>
    <t>مفتول دجاجة</t>
  </si>
  <si>
    <t>كبدة خروف مشوية /1 كيلو</t>
  </si>
  <si>
    <t>سيخ شيش</t>
  </si>
  <si>
    <t>وجبة فاصوليا بيضا</t>
  </si>
  <si>
    <t>احشاء خروف</t>
  </si>
  <si>
    <t>لسانات منظفة</t>
  </si>
  <si>
    <t>نتر</t>
  </si>
  <si>
    <t>راس عصفور كيلو</t>
  </si>
  <si>
    <t>نقانق أرميني كيلو</t>
  </si>
  <si>
    <t>صاجية كبدة غنم كيلو</t>
  </si>
  <si>
    <t>شيش وقشقوان</t>
  </si>
  <si>
    <t>خاروف قص بلدي 11</t>
  </si>
  <si>
    <t>ريش خروف بلدي منضف</t>
  </si>
  <si>
    <t>رب اي بلدي منظف</t>
  </si>
  <si>
    <t>كفتة عجل+خروف</t>
  </si>
  <si>
    <t>خروف بلدي - كامل</t>
  </si>
  <si>
    <t>خروف روماني - كامل</t>
  </si>
  <si>
    <t>عجينة كبة</t>
  </si>
  <si>
    <t>فيليه عجل 18</t>
  </si>
  <si>
    <t>روز بيف 14</t>
  </si>
  <si>
    <t>فيليه بلدي 24</t>
  </si>
  <si>
    <t>لحم عجل مفروم مستورد</t>
  </si>
  <si>
    <t>شقف مشكوك كيلو</t>
  </si>
  <si>
    <t>مشكل مشكوك كيلو</t>
  </si>
  <si>
    <t>ليه مشكوك</t>
  </si>
  <si>
    <t>بقلاوة تركية</t>
  </si>
  <si>
    <t>فحم صغير</t>
  </si>
  <si>
    <t>فحم وسط</t>
  </si>
  <si>
    <t>فحم كبير</t>
  </si>
  <si>
    <t>بقلاوة مشكوك</t>
  </si>
  <si>
    <t>معلاق و سقط مشكوك</t>
  </si>
  <si>
    <t>جناح مشكوك</t>
  </si>
  <si>
    <t>حبة برغر لحم/بوكس</t>
  </si>
  <si>
    <t>صاجية لحم كيلو</t>
  </si>
  <si>
    <t>جناح دجاج متبل</t>
  </si>
  <si>
    <t>فخد دجاج متبل</t>
  </si>
  <si>
    <t>دجاج متبل-كيلو</t>
  </si>
  <si>
    <t>برغر عجل انجوس</t>
  </si>
  <si>
    <t>نصف دجاجة متبل</t>
  </si>
  <si>
    <t>عصير توت</t>
  </si>
  <si>
    <t>كباب دجاج /0.5 ك</t>
  </si>
  <si>
    <t>خبز تركي</t>
  </si>
  <si>
    <t>ساندويش لية سوبر</t>
  </si>
  <si>
    <t>كومبو كباب</t>
  </si>
  <si>
    <t>اضافة حمص</t>
  </si>
  <si>
    <t>اضافة بطاطا</t>
  </si>
  <si>
    <t>ساندويش كلاوي</t>
  </si>
  <si>
    <t>راس عصفورة نصف كيلو</t>
  </si>
  <si>
    <t>صاجية كبدة غنم نصف كيلو</t>
  </si>
  <si>
    <t>صاجية دجاج كيلو</t>
  </si>
  <si>
    <t>كبدة دجاج كيلو</t>
  </si>
  <si>
    <t>عصاعيص خروف منظف</t>
  </si>
  <si>
    <t>علبة مثومة</t>
  </si>
  <si>
    <t>علبة لبن</t>
  </si>
  <si>
    <t>سيخ فلفل مشوي</t>
  </si>
  <si>
    <t>صينية طحالات كيلو</t>
  </si>
  <si>
    <t>علبة مثومة حارة</t>
  </si>
  <si>
    <t>علبة دقوس كبير</t>
  </si>
  <si>
    <t>علبة مثومة صغيرة</t>
  </si>
  <si>
    <t>اضافة نصف دجاجة</t>
  </si>
  <si>
    <t>بيدا جبنة</t>
  </si>
  <si>
    <t>بيف استراغنوف</t>
  </si>
  <si>
    <t>ساندويش خصاوي</t>
  </si>
  <si>
    <t>كفتة بطحينية ني نص كيلو</t>
  </si>
  <si>
    <t>سلطة كولسو عائلي</t>
  </si>
  <si>
    <t>صحن خضار سيرفس</t>
  </si>
  <si>
    <t>مجروم عكاوي</t>
  </si>
  <si>
    <t>منقوشة قشقوان</t>
  </si>
  <si>
    <t>يالنجي كيلو</t>
  </si>
  <si>
    <t>كفتة ببندورة ني كيلو</t>
  </si>
  <si>
    <t>Main Group</t>
  </si>
  <si>
    <t>Sub Group</t>
  </si>
  <si>
    <t>Tax %</t>
  </si>
  <si>
    <t>Markaziya Price</t>
  </si>
  <si>
    <t>هامش الربح</t>
  </si>
  <si>
    <t>نسبة التكلفة</t>
  </si>
  <si>
    <t>ملاحظات</t>
  </si>
  <si>
    <t>قسم المقبلات</t>
  </si>
  <si>
    <t>تبولة توتي فروتي</t>
  </si>
  <si>
    <t>اضافة سلطة تركية</t>
  </si>
  <si>
    <t>قسم اللاين</t>
  </si>
  <si>
    <t>مسخن نصف دجاجة</t>
  </si>
  <si>
    <t>سيزر دجاج عائلي</t>
  </si>
  <si>
    <t>سلطة كينوا عائلي</t>
  </si>
  <si>
    <t>قسم المشروبات</t>
  </si>
  <si>
    <t>مشروب غازي - موظفين</t>
  </si>
  <si>
    <t>قسم الفرن</t>
  </si>
  <si>
    <t>بيتزا تيركي</t>
  </si>
  <si>
    <t>صفيحة ببندورة / نص كيلو</t>
  </si>
  <si>
    <t>قسم الصواني</t>
  </si>
  <si>
    <t>نقانق دبس رمان</t>
  </si>
  <si>
    <t>صاجية كبدة غنم وقية</t>
  </si>
  <si>
    <t>حمص باللحمة نصف كيلو</t>
  </si>
  <si>
    <t>حمص باللحمة كيلو</t>
  </si>
  <si>
    <t>لسانات مطفية</t>
  </si>
  <si>
    <t>صينية احشاء خروف</t>
  </si>
  <si>
    <t>قسم التواصي</t>
  </si>
  <si>
    <t>فريكة لحم 1 كيلو</t>
  </si>
  <si>
    <t>مضغوط لحم 1 كيلو</t>
  </si>
  <si>
    <t>بخاري لحم 1 كيلو</t>
  </si>
  <si>
    <t>مقلوبة فول لحم 1 كيلو</t>
  </si>
  <si>
    <t>بخاري دجاج 1 دجاجة</t>
  </si>
  <si>
    <t>مقلوبة فول دجاج 1 دجاجة</t>
  </si>
  <si>
    <t>مفتول نص دجاجة</t>
  </si>
  <si>
    <t>برياني دجاجة</t>
  </si>
  <si>
    <t>صرر اوزي راس عصفور</t>
  </si>
  <si>
    <t>قسم الملحمة</t>
  </si>
  <si>
    <t>روماني بدون قص</t>
  </si>
  <si>
    <t>دجاج تركي على شبك</t>
  </si>
  <si>
    <t>كبدة خروف مشكوك</t>
  </si>
  <si>
    <t>حبة برغر دجاج/بوكس</t>
  </si>
  <si>
    <t>ابرة الجبنة</t>
  </si>
  <si>
    <t>دوالي ني</t>
  </si>
  <si>
    <t>كفتة ببندورة ني نص كيلو</t>
  </si>
  <si>
    <t>كفتة بطحينية ني كيلو</t>
  </si>
  <si>
    <t>صاجية لحم نص كيلو</t>
  </si>
  <si>
    <t>صاجية راس عصفور نص كيلو</t>
  </si>
  <si>
    <t>سويس رول</t>
  </si>
  <si>
    <t>SRV-001</t>
  </si>
  <si>
    <t>خدمة توصيل</t>
  </si>
  <si>
    <t>فتايل بلدي مجروم</t>
  </si>
  <si>
    <t>بلدي مجروم فيليه</t>
  </si>
  <si>
    <t>تجهيزات</t>
  </si>
  <si>
    <t>كبة مقلية ني</t>
  </si>
  <si>
    <t>طحل خاروف محشي</t>
  </si>
  <si>
    <t>قسم الصالة</t>
  </si>
  <si>
    <t>منقوشة زعتر بلدي</t>
  </si>
  <si>
    <t>منقوشة مكس اجبان</t>
  </si>
  <si>
    <t>منقوشة بيض وجبنة</t>
  </si>
  <si>
    <t>منقوشة بيض</t>
  </si>
  <si>
    <t>منقوشة زعتر وجبنة</t>
  </si>
  <si>
    <t>صفيحة كيلو بلبن</t>
  </si>
  <si>
    <t>صفيحة كيلو ببندورة</t>
  </si>
  <si>
    <t>دقوس</t>
  </si>
  <si>
    <t>مسخن دجاجة</t>
  </si>
  <si>
    <t>فخارة نقانق ارميني</t>
  </si>
  <si>
    <t>نقانق مطفية</t>
  </si>
  <si>
    <t>نقانق بدبس الرمان</t>
  </si>
  <si>
    <t>كبدة دجاج</t>
  </si>
  <si>
    <t>مهلبية</t>
  </si>
  <si>
    <t>كبدة خاروف كيلو</t>
  </si>
  <si>
    <t>فتايل مشوية كيلو</t>
  </si>
  <si>
    <t>قسم طلبات مارت</t>
  </si>
  <si>
    <t>لية</t>
  </si>
  <si>
    <t>موزات</t>
  </si>
  <si>
    <t>TA-ORD-071</t>
  </si>
  <si>
    <t>اكسترا لوز</t>
  </si>
  <si>
    <t>حبة</t>
  </si>
  <si>
    <t>DI-APH-016</t>
  </si>
  <si>
    <t>موزاريلا ستيكس</t>
  </si>
  <si>
    <t>DI-APC-015</t>
  </si>
  <si>
    <t>حمص بيروتي</t>
  </si>
  <si>
    <t>DI-APC-016</t>
  </si>
  <si>
    <t>اكسترا مكسرات</t>
  </si>
  <si>
    <t>DI-SLD-020</t>
  </si>
  <si>
    <t>تبولة رمان</t>
  </si>
  <si>
    <t>DI-SLD-021</t>
  </si>
  <si>
    <t>سلطة بطحينية</t>
  </si>
  <si>
    <t>بقدونسية</t>
  </si>
  <si>
    <t>DI-SLD-022</t>
  </si>
  <si>
    <t>حمص المركزية</t>
  </si>
  <si>
    <t>DI-APC-017</t>
  </si>
  <si>
    <t>DI-BRS-028</t>
  </si>
  <si>
    <t>مياه غازية</t>
  </si>
  <si>
    <t>BU-PRP-007</t>
  </si>
  <si>
    <t>شيشبرك ني</t>
  </si>
  <si>
    <t>كبة صغيرة ني</t>
  </si>
  <si>
    <t>صحن تجهيزات</t>
  </si>
  <si>
    <t>TA-APT-030</t>
  </si>
  <si>
    <t>TA-APT-031</t>
  </si>
  <si>
    <t>TA-BBQ-059</t>
  </si>
  <si>
    <t>TA-BBQ-060</t>
  </si>
  <si>
    <t>دجاجة شواية</t>
  </si>
  <si>
    <t>سلطة شمندر</t>
  </si>
  <si>
    <t>SF2026065</t>
  </si>
  <si>
    <t>صوص الكزبرة</t>
  </si>
  <si>
    <t>SF2026070</t>
  </si>
  <si>
    <t xml:space="preserve">دجاج طازج الوطنية </t>
  </si>
  <si>
    <t xml:space="preserve">بهارات دجاج شواية </t>
  </si>
  <si>
    <t>SF2026071</t>
  </si>
  <si>
    <t xml:space="preserve">بطاطا شرحات جاهزة </t>
  </si>
  <si>
    <t>صوص دجاج الشواية</t>
  </si>
  <si>
    <t>موزاريلا ستيك</t>
  </si>
  <si>
    <t>TA-ORD-013</t>
  </si>
  <si>
    <t>مقلوبة زهرة لحم 1 كيلو</t>
  </si>
  <si>
    <t>مفروم مكس مستورد</t>
  </si>
  <si>
    <t>خروف روماني 9.5</t>
  </si>
  <si>
    <t>BU-LCL-001</t>
  </si>
  <si>
    <t>رب اي 14</t>
  </si>
  <si>
    <t>Sold Qty</t>
  </si>
  <si>
    <t>AVG Price</t>
  </si>
  <si>
    <t>BU-LCL-003</t>
  </si>
  <si>
    <t>SUB-SLD-023</t>
  </si>
  <si>
    <t>وجبة رز نصف دجاجة</t>
  </si>
  <si>
    <t>ساندويش كباب دجاج سوبر</t>
  </si>
  <si>
    <t>نص دجاجة شواية</t>
  </si>
  <si>
    <t>سمبوسك جبنة/حبة</t>
  </si>
  <si>
    <t>سمبوسك لحمة/حبة</t>
  </si>
  <si>
    <t>روكا سلط</t>
  </si>
  <si>
    <t>صاجية دجاج 500 غم</t>
  </si>
  <si>
    <t>كباب بوكس 500 غم</t>
  </si>
  <si>
    <t>شيش بوكس 500 غم</t>
  </si>
  <si>
    <t>برغر بوكس</t>
  </si>
  <si>
    <t>خاروف بلدي 13.5</t>
  </si>
  <si>
    <t>خاروف بلدي مفصل 16</t>
  </si>
  <si>
    <t>خاروف بلدي منظف 16</t>
  </si>
  <si>
    <t>فيليه بلدي 18</t>
  </si>
  <si>
    <t>خاروف روماني 11.5</t>
  </si>
  <si>
    <t>سويس رول مشكوك</t>
  </si>
  <si>
    <t xml:space="preserve">موزات خروف - طلبات مارت </t>
  </si>
  <si>
    <t>تم الحذف</t>
  </si>
  <si>
    <t xml:space="preserve">ضيافة </t>
  </si>
  <si>
    <t>موقوف</t>
  </si>
  <si>
    <t xml:space="preserve">خروف بلدي مفصل </t>
  </si>
  <si>
    <t xml:space="preserve">روز بيف  </t>
  </si>
  <si>
    <t xml:space="preserve">طبخة فول بلبن </t>
  </si>
  <si>
    <t>SF2026072</t>
  </si>
  <si>
    <t xml:space="preserve">وجبة فول بلبن </t>
  </si>
  <si>
    <t>كسرة جميد</t>
  </si>
  <si>
    <t>SF2026073</t>
  </si>
  <si>
    <t>SF2026074</t>
  </si>
  <si>
    <t>حشوة كوسا بلبن + كبة مقلية</t>
  </si>
  <si>
    <t>المواد الخام</t>
  </si>
  <si>
    <t>BU-SKW-043</t>
  </si>
  <si>
    <t>خبز برغر</t>
  </si>
  <si>
    <t>SF2026075</t>
  </si>
  <si>
    <t>لحم روماني مسلوق</t>
  </si>
  <si>
    <t xml:space="preserve">حشوة كوسا بلبن </t>
  </si>
  <si>
    <t>الكمية</t>
  </si>
  <si>
    <t>اجمالي المبيعات</t>
  </si>
  <si>
    <t>اسم الصنف</t>
  </si>
  <si>
    <t>السعر</t>
  </si>
  <si>
    <t>BU-SKW-044</t>
  </si>
  <si>
    <t>BU-SKW-045</t>
  </si>
  <si>
    <t>BU-SKW-046</t>
  </si>
  <si>
    <t>بوكس صدر مسحب</t>
  </si>
  <si>
    <t>1</t>
  </si>
  <si>
    <t>بوكس صاجية اللحمة روز بيف</t>
  </si>
  <si>
    <t>بوكس صاجية اللحمة خروف</t>
  </si>
  <si>
    <t>وجبة فول بلبن</t>
  </si>
  <si>
    <t>خاروف بلدي</t>
  </si>
  <si>
    <t>مقلوبة فول لحم</t>
  </si>
  <si>
    <t>فيليه بلدي</t>
  </si>
  <si>
    <t>فخذ عجل مستورد*****</t>
  </si>
  <si>
    <t>توب  برازيلي*****</t>
  </si>
  <si>
    <t>قطعيات عجل مشكلة</t>
  </si>
  <si>
    <t>SUB-SLD-029</t>
  </si>
  <si>
    <t>SUB-SLD-030</t>
  </si>
  <si>
    <t>SUB-SLD-031</t>
  </si>
  <si>
    <t>BU-LCL-004</t>
  </si>
  <si>
    <t>BU-LCL-005</t>
  </si>
  <si>
    <t>BU-LCL-006</t>
  </si>
  <si>
    <t>BU-LCL-007</t>
  </si>
  <si>
    <t>BU-LCL-008</t>
  </si>
  <si>
    <t>BU-LCL-009</t>
  </si>
  <si>
    <t>SRV-004</t>
  </si>
  <si>
    <t>BU-LCL-010</t>
  </si>
  <si>
    <t>DI-BBQ-035</t>
  </si>
  <si>
    <t>DI-BBQ-036</t>
  </si>
  <si>
    <t>DI-TDY-048</t>
  </si>
  <si>
    <t>وجبة دجاج 4</t>
  </si>
  <si>
    <t>عشاء شيش 3.25</t>
  </si>
  <si>
    <t>لحم روماني 38-36</t>
  </si>
  <si>
    <t>لحم روماني 42-44</t>
  </si>
  <si>
    <t>لحم روماني كبير</t>
  </si>
  <si>
    <t>لحم بلدي 36-38</t>
  </si>
  <si>
    <t>لحم بلدي 42-44</t>
  </si>
  <si>
    <t>لحم بلدي كبير</t>
  </si>
  <si>
    <t>خدمة اضاحي</t>
  </si>
  <si>
    <t>العجل البلدي</t>
  </si>
  <si>
    <t>رقبة مشوية</t>
  </si>
  <si>
    <t>اضاحي</t>
  </si>
  <si>
    <t>أطباق اليوم صالة</t>
  </si>
  <si>
    <t>شقف مشاوي</t>
  </si>
  <si>
    <t xml:space="preserve"> خروف روماني*****</t>
  </si>
  <si>
    <t>خروف مستورد</t>
  </si>
  <si>
    <t>كوسا مخشي</t>
  </si>
  <si>
    <t>SUB-SLD-027</t>
  </si>
  <si>
    <t>وجبة 3.6</t>
  </si>
  <si>
    <t>SUB-SLD-028</t>
  </si>
  <si>
    <t>وجبة 3.44</t>
  </si>
  <si>
    <t>غداء لحم 6.75</t>
  </si>
  <si>
    <t>صفيحة بلبن  كيلو</t>
  </si>
  <si>
    <t>بوكس صاجية عجل</t>
  </si>
  <si>
    <t>بوكس صاجية دجاج</t>
  </si>
  <si>
    <t>بوكس صاجية لحم خروف</t>
  </si>
  <si>
    <t>call centre</t>
  </si>
  <si>
    <t>خاروف بلدي مفصل</t>
  </si>
  <si>
    <t>خاروف بلدي منظف</t>
  </si>
  <si>
    <t>خاروف بلدي مجروم</t>
  </si>
  <si>
    <t>فيليه منظف</t>
  </si>
  <si>
    <t>روزبيف منظف</t>
  </si>
  <si>
    <t>khalda</t>
  </si>
  <si>
    <t>gardens</t>
  </si>
  <si>
    <t>فرق المبيعات</t>
  </si>
  <si>
    <t>نتر ملحمة</t>
  </si>
  <si>
    <t>SF2026083</t>
  </si>
  <si>
    <t xml:space="preserve">كباب اضنة </t>
  </si>
  <si>
    <t>SF2026084</t>
  </si>
  <si>
    <t xml:space="preserve">خروف روماني محشي </t>
  </si>
  <si>
    <t>خروف بلدي محشي</t>
  </si>
  <si>
    <t>app</t>
  </si>
  <si>
    <t>اجمالي السعر</t>
  </si>
  <si>
    <t>كتف</t>
  </si>
  <si>
    <t>شقف</t>
  </si>
  <si>
    <t>بدنيات</t>
  </si>
  <si>
    <t>كلاوي</t>
  </si>
  <si>
    <t>خصاوي</t>
  </si>
  <si>
    <t>فتايل</t>
  </si>
  <si>
    <t>انواع العجل</t>
  </si>
  <si>
    <t>قطعيات العجل مشكل ( برازيلي - افريقي - بلدي )</t>
  </si>
  <si>
    <t>#</t>
  </si>
  <si>
    <t>الاسم عربي</t>
  </si>
  <si>
    <t>الاسم انجليزي</t>
  </si>
  <si>
    <t>النوع</t>
  </si>
  <si>
    <t xml:space="preserve">توحيد الاسماء </t>
  </si>
  <si>
    <t>الكود سسم</t>
  </si>
  <si>
    <t>الاسم سستم</t>
  </si>
  <si>
    <t>توب سايد</t>
  </si>
  <si>
    <t>Topside</t>
  </si>
  <si>
    <t>( برازيلي - افريقي - بلدي )</t>
  </si>
  <si>
    <t>نعل سايد</t>
  </si>
  <si>
    <t>Silverside</t>
  </si>
  <si>
    <t>سليف سايد</t>
  </si>
  <si>
    <t>Thick Flank</t>
  </si>
  <si>
    <t>برسكة</t>
  </si>
  <si>
    <t>Brisket</t>
  </si>
  <si>
    <t>شولدر</t>
  </si>
  <si>
    <t>Shoulder</t>
  </si>
  <si>
    <t>فخذ عجل</t>
  </si>
  <si>
    <t>Beef Leg</t>
  </si>
  <si>
    <t>روز بيف ( برازيلي - افريقي - بلدي )</t>
  </si>
  <si>
    <t>ريب آي</t>
  </si>
  <si>
    <t>Ribeye</t>
  </si>
  <si>
    <t>كيوب رول</t>
  </si>
  <si>
    <t>Cube Roll</t>
  </si>
  <si>
    <t>ستريب لوين</t>
  </si>
  <si>
    <t>Striploin</t>
  </si>
  <si>
    <t>فيليه ( برازيلي - افريقي - بلدي )</t>
  </si>
  <si>
    <t>تندرلوين</t>
  </si>
  <si>
    <t>Tenderloin</t>
  </si>
  <si>
    <t>Cleaned Tenderloin</t>
  </si>
  <si>
    <t xml:space="preserve">فيليه </t>
  </si>
  <si>
    <t>الرقم المرجعي</t>
  </si>
  <si>
    <t>الاصنف</t>
  </si>
  <si>
    <t>سعر كيلو</t>
  </si>
  <si>
    <t>سعر غرام</t>
  </si>
  <si>
    <t>راس عصفور</t>
  </si>
  <si>
    <t>فيليه ستيك روز بيف</t>
  </si>
  <si>
    <t>صدر مسحب</t>
  </si>
  <si>
    <t>دجاج مقطع</t>
  </si>
  <si>
    <t>صدر بعضمه</t>
  </si>
  <si>
    <t>شاورما</t>
  </si>
  <si>
    <t>تندر</t>
  </si>
  <si>
    <t>موزات  خروف</t>
  </si>
  <si>
    <t xml:space="preserve">نقانق لحم </t>
  </si>
  <si>
    <t>مسحب 700 غم</t>
  </si>
  <si>
    <t>مكعبات مسحب</t>
  </si>
  <si>
    <t xml:space="preserve">بوكس برغر </t>
  </si>
  <si>
    <t>كباب بوكس</t>
  </si>
  <si>
    <t>بوكس شيش</t>
  </si>
  <si>
    <t>صاجية 500 غرام</t>
  </si>
  <si>
    <t>لية خاروف</t>
  </si>
  <si>
    <t xml:space="preserve">قص خروف </t>
  </si>
  <si>
    <t xml:space="preserve"> خروف روماني</t>
  </si>
  <si>
    <t>الاجمالي</t>
  </si>
  <si>
    <t>الخروف</t>
  </si>
  <si>
    <t>عدد الخرفان</t>
  </si>
  <si>
    <t>السعر كيلو ( الفاتورة )</t>
  </si>
  <si>
    <t>رفالات</t>
  </si>
  <si>
    <t>عروق + عرقيب + عظم</t>
  </si>
  <si>
    <t>زوايد ( احمر )</t>
  </si>
  <si>
    <t>اضلاع خروف 500غرام</t>
  </si>
  <si>
    <t>الوزن عند استلام ( الفاتورة )</t>
  </si>
  <si>
    <t>الوزن قبل التقطيع</t>
  </si>
  <si>
    <t>الفاقد</t>
  </si>
  <si>
    <t>صافي الوزن بعد التقطيع</t>
  </si>
  <si>
    <t>دجاج طازج المركزية حب</t>
  </si>
  <si>
    <t>اضلاع خروف</t>
  </si>
  <si>
    <t>SRV-003</t>
  </si>
  <si>
    <t>خدمة كيترنغ</t>
  </si>
  <si>
    <t>نصف دجاجة شواية</t>
  </si>
  <si>
    <t>TA-DRN-016</t>
  </si>
  <si>
    <t xml:space="preserve">ماتركس كولا 330 مل </t>
  </si>
  <si>
    <t>TA-DRN-017</t>
  </si>
  <si>
    <t>ماتركس كولا دايت 330 مل</t>
  </si>
  <si>
    <t>TA-DRN-018</t>
  </si>
  <si>
    <t>ماتركس اب 330 مل</t>
  </si>
  <si>
    <t>TA-DRN-019</t>
  </si>
  <si>
    <t>ماتركس اب دايت 330 مل</t>
  </si>
  <si>
    <t>قسم مشروبات</t>
  </si>
  <si>
    <t>رفالات + قص مجروم + زوايد</t>
  </si>
  <si>
    <t>علبة</t>
  </si>
  <si>
    <t xml:space="preserve">كيلو </t>
  </si>
  <si>
    <t>لتر</t>
  </si>
  <si>
    <t>كغ</t>
  </si>
  <si>
    <t>باكيت - 10حبة</t>
  </si>
  <si>
    <t>رول</t>
  </si>
  <si>
    <t>ربطة - 100</t>
  </si>
  <si>
    <t>باكيت - 2</t>
  </si>
  <si>
    <t>باكيت - 750 غم</t>
  </si>
  <si>
    <t xml:space="preserve">باكيت - 450 غم </t>
  </si>
  <si>
    <t>علبة - 595 غم</t>
  </si>
  <si>
    <t>علبة - 425 غم</t>
  </si>
  <si>
    <t>باكيت - 300 غم</t>
  </si>
  <si>
    <t xml:space="preserve">لتر </t>
  </si>
  <si>
    <t>باكيت - 400 غم</t>
  </si>
  <si>
    <t xml:space="preserve">كيس - 400 غم </t>
  </si>
  <si>
    <t>علبة - 250 مل</t>
  </si>
  <si>
    <t>اضلاع خروف 500 غرام</t>
  </si>
  <si>
    <t>قسم اشتراكات</t>
  </si>
  <si>
    <t>اشتراكات</t>
  </si>
  <si>
    <t>يوم 13-07-2026</t>
  </si>
  <si>
    <t>زوايد حمراء</t>
  </si>
  <si>
    <t>لحم صافي</t>
  </si>
  <si>
    <t>هدر</t>
  </si>
  <si>
    <t>لا يوجد</t>
  </si>
  <si>
    <t>5434-M</t>
  </si>
  <si>
    <t>4608-M</t>
  </si>
  <si>
    <t>4943-M</t>
  </si>
  <si>
    <t>4598-M</t>
  </si>
  <si>
    <t>لية ملحمه</t>
  </si>
  <si>
    <t>قلوب خروف بلدي</t>
  </si>
  <si>
    <t>كولاجين خروف</t>
  </si>
  <si>
    <t>كولاجين عجل</t>
  </si>
  <si>
    <t>خدمات تقطيع</t>
  </si>
  <si>
    <t>يوجد رسبي</t>
  </si>
  <si>
    <t>لا يوجد رسبي</t>
  </si>
  <si>
    <t>حبتين</t>
  </si>
  <si>
    <t>M-4614</t>
  </si>
  <si>
    <t>ريش ضأن متبلة***** ملحمه</t>
  </si>
  <si>
    <t>نتر ملحمه</t>
  </si>
  <si>
    <t>العقائق</t>
  </si>
  <si>
    <t>BU-AQ-001</t>
  </si>
  <si>
    <t>BU-AQ-002</t>
  </si>
  <si>
    <t>BU-AQ-003</t>
  </si>
  <si>
    <t>BU-AQ-004</t>
  </si>
  <si>
    <t>BU-AQ-005</t>
  </si>
  <si>
    <t>BU-AQ-006</t>
  </si>
  <si>
    <t>BU-AQ-007</t>
  </si>
  <si>
    <t>كود odoo</t>
  </si>
  <si>
    <t>WH11130010</t>
  </si>
  <si>
    <t>WH11130012</t>
  </si>
  <si>
    <t>WH11130008</t>
  </si>
  <si>
    <t>WH11130007</t>
  </si>
  <si>
    <t>WH11130015</t>
  </si>
  <si>
    <t>WH11130017</t>
  </si>
  <si>
    <t>WH11130006</t>
  </si>
  <si>
    <t>WH11130004</t>
  </si>
  <si>
    <t>WH11130003</t>
  </si>
  <si>
    <t>WH11130016</t>
  </si>
  <si>
    <t>WH11080006</t>
  </si>
  <si>
    <t>WH11130014</t>
  </si>
  <si>
    <t>WH12050011</t>
  </si>
  <si>
    <t>FP40800032</t>
  </si>
  <si>
    <t>WH12020055</t>
  </si>
  <si>
    <t>WH11130009</t>
  </si>
  <si>
    <t>FPW3000027</t>
  </si>
  <si>
    <t>FPW3000040</t>
  </si>
  <si>
    <t>FPW3000041</t>
  </si>
  <si>
    <t>WH12020010</t>
  </si>
  <si>
    <t>WH12020015</t>
  </si>
  <si>
    <t>WH12020019</t>
  </si>
  <si>
    <t>WH12020042</t>
  </si>
  <si>
    <t>WH12020008</t>
  </si>
  <si>
    <t>WH12020022</t>
  </si>
  <si>
    <t>WH12020053</t>
  </si>
  <si>
    <t>WH12020035</t>
  </si>
  <si>
    <t>WH12020036</t>
  </si>
  <si>
    <t>WH12020037</t>
  </si>
  <si>
    <t>WH12020039</t>
  </si>
  <si>
    <t>WH12020040</t>
  </si>
  <si>
    <t>WH12020012</t>
  </si>
  <si>
    <t>WH12020001</t>
  </si>
  <si>
    <t>WH11060003</t>
  </si>
  <si>
    <t>WH11060017</t>
  </si>
  <si>
    <t>WH11060015</t>
  </si>
  <si>
    <t>WH11060020</t>
  </si>
  <si>
    <t>WH11060021</t>
  </si>
  <si>
    <t>WH11060019</t>
  </si>
  <si>
    <t>WH11060009</t>
  </si>
  <si>
    <t>WH11060013</t>
  </si>
  <si>
    <t>WH11060025</t>
  </si>
  <si>
    <t>WH11060010</t>
  </si>
  <si>
    <t>WH11060030</t>
  </si>
  <si>
    <t>WH11060027</t>
  </si>
  <si>
    <t>WH11060018</t>
  </si>
  <si>
    <t>WH11060014</t>
  </si>
  <si>
    <t>WH11060029</t>
  </si>
  <si>
    <t>WH11060001</t>
  </si>
  <si>
    <t>WH11060026</t>
  </si>
  <si>
    <t>WH11060023</t>
  </si>
  <si>
    <t>WH11060024</t>
  </si>
  <si>
    <t>WH11060028</t>
  </si>
  <si>
    <t>WH11060033</t>
  </si>
  <si>
    <t>WH11070003</t>
  </si>
  <si>
    <t>WH11070001</t>
  </si>
  <si>
    <t>WH11070004</t>
  </si>
  <si>
    <t>WH11060004</t>
  </si>
  <si>
    <t>SF20200001</t>
  </si>
  <si>
    <t>WH11140005</t>
  </si>
  <si>
    <t>FP40200016</t>
  </si>
  <si>
    <t>WH11140009</t>
  </si>
  <si>
    <t>WH11140010</t>
  </si>
  <si>
    <t>WH11140011</t>
  </si>
  <si>
    <t>WH11140013</t>
  </si>
  <si>
    <t>WH11140014</t>
  </si>
  <si>
    <t>WH11140016</t>
  </si>
  <si>
    <t>WH11140018</t>
  </si>
  <si>
    <t>WH11140020</t>
  </si>
  <si>
    <t>WH11140032</t>
  </si>
  <si>
    <t>WH11140021</t>
  </si>
  <si>
    <t>WH11140022</t>
  </si>
  <si>
    <t>WH11140023</t>
  </si>
  <si>
    <t>WH11140030</t>
  </si>
  <si>
    <t>WH11140040</t>
  </si>
  <si>
    <t>WH11140041</t>
  </si>
  <si>
    <t>FP40100028</t>
  </si>
  <si>
    <t>WH11140037</t>
  </si>
  <si>
    <t>FP40900021</t>
  </si>
  <si>
    <t>WH11140035</t>
  </si>
  <si>
    <t>WH11140034</t>
  </si>
  <si>
    <t>SF20200022</t>
  </si>
  <si>
    <t>WH11140026</t>
  </si>
  <si>
    <t>WH11060007</t>
  </si>
  <si>
    <t>WH11140028</t>
  </si>
  <si>
    <t>DRK5100023</t>
  </si>
  <si>
    <t>DRK5100029</t>
  </si>
  <si>
    <t>WH11140002</t>
  </si>
  <si>
    <t>WH11140015</t>
  </si>
  <si>
    <t>WH11080001</t>
  </si>
  <si>
    <t>WH11080002</t>
  </si>
  <si>
    <t>WH11080004</t>
  </si>
  <si>
    <t>WH11120003</t>
  </si>
  <si>
    <t>WH11250001</t>
  </si>
  <si>
    <t>WH11150005</t>
  </si>
  <si>
    <t>WH11250008</t>
  </si>
  <si>
    <t>WH11250010</t>
  </si>
  <si>
    <t>WH11250007</t>
  </si>
  <si>
    <t>WH11250006</t>
  </si>
  <si>
    <t>WH11250005</t>
  </si>
  <si>
    <t>WH11230001</t>
  </si>
  <si>
    <t>WH11230003</t>
  </si>
  <si>
    <t>WH11250003</t>
  </si>
  <si>
    <t>WH11150002</t>
  </si>
  <si>
    <t>WH11250009</t>
  </si>
  <si>
    <t>WH11230004</t>
  </si>
  <si>
    <t>WH11230002</t>
  </si>
  <si>
    <t>WH11060032</t>
  </si>
  <si>
    <t>WH11130019</t>
  </si>
  <si>
    <t>WH11170002</t>
  </si>
  <si>
    <t>WH11030003</t>
  </si>
  <si>
    <t>WH11030002</t>
  </si>
  <si>
    <t>WH11050004</t>
  </si>
  <si>
    <t>WH11050005</t>
  </si>
  <si>
    <t>WH11090001</t>
  </si>
  <si>
    <t>DRK5100018</t>
  </si>
  <si>
    <t>WH11060011</t>
  </si>
  <si>
    <t>WH11060005</t>
  </si>
  <si>
    <t>WH11060022</t>
  </si>
  <si>
    <t>WH11060006</t>
  </si>
  <si>
    <t>WH11130002</t>
  </si>
  <si>
    <t>WH11130018</t>
  </si>
  <si>
    <t>WH11120004</t>
  </si>
  <si>
    <t>WH11120005</t>
  </si>
  <si>
    <t>WH11120006</t>
  </si>
  <si>
    <t>WH11150004</t>
  </si>
  <si>
    <t>WH11160003</t>
  </si>
  <si>
    <t>WH11160009</t>
  </si>
  <si>
    <t>DRK5100003</t>
  </si>
  <si>
    <t>DRK5100020</t>
  </si>
  <si>
    <t>DRK5100022</t>
  </si>
  <si>
    <t>DRK5100027</t>
  </si>
  <si>
    <t>DRK5100019</t>
  </si>
  <si>
    <t>WH11120011</t>
  </si>
  <si>
    <t>WH11160004</t>
  </si>
  <si>
    <t>WH11130005</t>
  </si>
  <si>
    <t>FP40800034</t>
  </si>
  <si>
    <t>WH12020030</t>
  </si>
  <si>
    <t>WH11070006</t>
  </si>
  <si>
    <t>WH11140001</t>
  </si>
  <si>
    <t>WH11020008</t>
  </si>
  <si>
    <t>WH11020006</t>
  </si>
  <si>
    <t>WH11020001</t>
  </si>
  <si>
    <t>WH11020003</t>
  </si>
  <si>
    <t>FP40800039</t>
  </si>
  <si>
    <t>WH11020004</t>
  </si>
  <si>
    <t>WH11020007</t>
  </si>
  <si>
    <t>FPW3000042</t>
  </si>
  <si>
    <t>WH11060036</t>
  </si>
  <si>
    <t>WH11140031</t>
  </si>
  <si>
    <t>WH11200001</t>
  </si>
  <si>
    <t>WH11140017</t>
  </si>
  <si>
    <t>WH11140019</t>
  </si>
  <si>
    <t>FPW3000030</t>
  </si>
  <si>
    <t>FP40800035</t>
  </si>
  <si>
    <t>SF20200012</t>
  </si>
  <si>
    <t>SF20100028</t>
  </si>
  <si>
    <t>SF20200032</t>
  </si>
  <si>
    <t>SF20200033</t>
  </si>
  <si>
    <t>SF20200020</t>
  </si>
  <si>
    <t>SF20500003</t>
  </si>
  <si>
    <t>FP40600046</t>
  </si>
  <si>
    <t>SF20100013</t>
  </si>
  <si>
    <t>SF20200007</t>
  </si>
  <si>
    <t>SF20200006</t>
  </si>
  <si>
    <t>SF20600004</t>
  </si>
  <si>
    <t>SF20400004</t>
  </si>
  <si>
    <t>SF20600003</t>
  </si>
  <si>
    <t>SF20400007</t>
  </si>
  <si>
    <t>SF20100056</t>
  </si>
  <si>
    <t>SF20100036</t>
  </si>
  <si>
    <t>SF20100005</t>
  </si>
  <si>
    <t>SF20100027</t>
  </si>
  <si>
    <t>SF20100018</t>
  </si>
  <si>
    <t>SF20100023</t>
  </si>
  <si>
    <t>SF20100025</t>
  </si>
  <si>
    <t>SF20600006</t>
  </si>
  <si>
    <t>SF20600007</t>
  </si>
  <si>
    <t>SF20100043</t>
  </si>
  <si>
    <t>SF20100044</t>
  </si>
  <si>
    <t>SF20100045</t>
  </si>
  <si>
    <t>SF20200031</t>
  </si>
  <si>
    <t>SF20200023</t>
  </si>
  <si>
    <t>SF20500020</t>
  </si>
  <si>
    <t>SF20100002</t>
  </si>
  <si>
    <t>SF20100011</t>
  </si>
  <si>
    <t>SF20500011</t>
  </si>
  <si>
    <t>SF20100024</t>
  </si>
  <si>
    <t>SF20100016</t>
  </si>
  <si>
    <t>SF20100057</t>
  </si>
  <si>
    <t>SF20100042</t>
  </si>
  <si>
    <t>SF20100046</t>
  </si>
  <si>
    <t>SF20100020</t>
  </si>
  <si>
    <t>SF20100019</t>
  </si>
  <si>
    <t>SF20500021</t>
  </si>
  <si>
    <t>FPW3000012</t>
  </si>
  <si>
    <t>SF20500022</t>
  </si>
  <si>
    <t>SF20400011</t>
  </si>
  <si>
    <t>SF20500019</t>
  </si>
  <si>
    <t>SF20100054</t>
  </si>
  <si>
    <t>SF20500007</t>
  </si>
  <si>
    <t>SF20100047</t>
  </si>
  <si>
    <t>SF20100048</t>
  </si>
  <si>
    <t>SF20100049</t>
  </si>
  <si>
    <t>SF20500017</t>
  </si>
  <si>
    <t>SF20500018</t>
  </si>
  <si>
    <t>SF20100022</t>
  </si>
  <si>
    <t>SF20100021</t>
  </si>
  <si>
    <t>FPW3000036</t>
  </si>
  <si>
    <t>SF20500010</t>
  </si>
  <si>
    <t>FP40600055</t>
  </si>
  <si>
    <t>SF20200017</t>
  </si>
  <si>
    <t>SF20200025</t>
  </si>
  <si>
    <t>SF20200029</t>
  </si>
  <si>
    <t>SF20400001</t>
  </si>
  <si>
    <t>SF20700001</t>
  </si>
  <si>
    <t>SF20100006</t>
  </si>
  <si>
    <t>SF20100008</t>
  </si>
  <si>
    <t>SF20100001</t>
  </si>
  <si>
    <t>SF20100003</t>
  </si>
  <si>
    <t>SF20100031</t>
  </si>
  <si>
    <t>SF20100053</t>
  </si>
  <si>
    <t>SF20100007</t>
  </si>
  <si>
    <t>SF20100015</t>
  </si>
  <si>
    <t>SF20100029</t>
  </si>
  <si>
    <t>SF20200015</t>
  </si>
  <si>
    <t>SF20200005</t>
  </si>
  <si>
    <t>SF20200011</t>
  </si>
  <si>
    <t>SF20100030</t>
  </si>
  <si>
    <t>SF20100026</t>
  </si>
  <si>
    <t>SF20100051</t>
  </si>
  <si>
    <t>SF20100038</t>
  </si>
  <si>
    <t>SF20100032</t>
  </si>
  <si>
    <t>SF20500009</t>
  </si>
  <si>
    <t>SF20200004</t>
  </si>
  <si>
    <t>SF20600002</t>
  </si>
  <si>
    <t>SF20200010</t>
  </si>
  <si>
    <t>SF20200014</t>
  </si>
  <si>
    <t>FP40200011</t>
  </si>
  <si>
    <t>FP40700008</t>
  </si>
  <si>
    <t>SF20200027</t>
  </si>
  <si>
    <t>SF20100033</t>
  </si>
  <si>
    <t>SF20100012</t>
  </si>
  <si>
    <t>SF20100052</t>
  </si>
  <si>
    <t>SF20600001</t>
  </si>
  <si>
    <t>FP40200003</t>
  </si>
  <si>
    <t>FP40200012</t>
  </si>
  <si>
    <t>SF20100010</t>
  </si>
  <si>
    <t>SF20800001</t>
  </si>
  <si>
    <t>SF20500012</t>
  </si>
  <si>
    <t>SF20500004</t>
  </si>
  <si>
    <t>SF20100009</t>
  </si>
  <si>
    <t>SF20100039</t>
  </si>
  <si>
    <t>SF20200016</t>
  </si>
  <si>
    <t>SF20100050</t>
  </si>
  <si>
    <t>SF20300002</t>
  </si>
  <si>
    <t>SF20500014</t>
  </si>
  <si>
    <t>SF20500015</t>
  </si>
  <si>
    <t>SF20100055</t>
  </si>
  <si>
    <t>SF20400009</t>
  </si>
  <si>
    <t>SF20500002</t>
  </si>
  <si>
    <t>SF20100004</t>
  </si>
  <si>
    <t>SF20100037</t>
  </si>
  <si>
    <t>SF20100040</t>
  </si>
  <si>
    <t>SF20500006</t>
  </si>
  <si>
    <t>SF20100014</t>
  </si>
  <si>
    <t>SF20100035</t>
  </si>
  <si>
    <t>SF20200002</t>
  </si>
  <si>
    <t>SF20100017</t>
  </si>
  <si>
    <t>SF20200026</t>
  </si>
  <si>
    <t>SF20500016</t>
  </si>
  <si>
    <t>SF20200028</t>
  </si>
  <si>
    <t>SF20200003</t>
  </si>
  <si>
    <t>SF20200021</t>
  </si>
  <si>
    <t>SF20500008</t>
  </si>
  <si>
    <t>SF20500005</t>
  </si>
  <si>
    <t>SF20500001</t>
  </si>
  <si>
    <t>SF20200030</t>
  </si>
  <si>
    <t>SF20500013</t>
  </si>
  <si>
    <t>SF20200008</t>
  </si>
  <si>
    <t>SF20200013</t>
  </si>
  <si>
    <t>SF20100034</t>
  </si>
  <si>
    <t>SF20400006</t>
  </si>
  <si>
    <t>SF20400002</t>
  </si>
  <si>
    <t>SF20400005</t>
  </si>
  <si>
    <t>SF20400008</t>
  </si>
  <si>
    <t>SF20400003</t>
  </si>
  <si>
    <t>SF20600009</t>
  </si>
  <si>
    <t>FPW3000052</t>
  </si>
  <si>
    <t>FPW3000053</t>
  </si>
  <si>
    <t>SF20100041</t>
  </si>
  <si>
    <t>SF20400010</t>
  </si>
  <si>
    <t>SR60000002</t>
  </si>
  <si>
    <t>SR60000003</t>
  </si>
  <si>
    <t>FP40100001</t>
  </si>
  <si>
    <t>FP40100002</t>
  </si>
  <si>
    <t>FP40100003</t>
  </si>
  <si>
    <t>FP40100004</t>
  </si>
  <si>
    <t>FP40100005</t>
  </si>
  <si>
    <t>FP40100006</t>
  </si>
  <si>
    <t>FP40100007</t>
  </si>
  <si>
    <t>FP40100008</t>
  </si>
  <si>
    <t>FP40100009</t>
  </si>
  <si>
    <t>FP40100010</t>
  </si>
  <si>
    <t>FP40100011</t>
  </si>
  <si>
    <t>FP40100012</t>
  </si>
  <si>
    <t>FP40100013</t>
  </si>
  <si>
    <t>FP40100014</t>
  </si>
  <si>
    <t>FP40100015</t>
  </si>
  <si>
    <t>FP40100016</t>
  </si>
  <si>
    <t>FP40100017</t>
  </si>
  <si>
    <t>FP40100018</t>
  </si>
  <si>
    <t>FP40100019</t>
  </si>
  <si>
    <t>FP40100020</t>
  </si>
  <si>
    <t>FP40100021</t>
  </si>
  <si>
    <t>FP40100022</t>
  </si>
  <si>
    <t>FP40100023</t>
  </si>
  <si>
    <t>FP40100024</t>
  </si>
  <si>
    <t>FP40100025</t>
  </si>
  <si>
    <t>FP40100026</t>
  </si>
  <si>
    <t>FP40100027</t>
  </si>
  <si>
    <t>FP40100029</t>
  </si>
  <si>
    <t>FP40100030</t>
  </si>
  <si>
    <t>FP40100031</t>
  </si>
  <si>
    <t>FP40100032</t>
  </si>
  <si>
    <t>FP40100033</t>
  </si>
  <si>
    <t>FP40100034</t>
  </si>
  <si>
    <t>FP40100036</t>
  </si>
  <si>
    <t>FP40100037</t>
  </si>
  <si>
    <t>FP40200001</t>
  </si>
  <si>
    <t>FP40200002</t>
  </si>
  <si>
    <t>FP40200004</t>
  </si>
  <si>
    <t>FP40200005</t>
  </si>
  <si>
    <t>FP40200006</t>
  </si>
  <si>
    <t>FP40200007</t>
  </si>
  <si>
    <t>FP40200008</t>
  </si>
  <si>
    <t>FP40200009</t>
  </si>
  <si>
    <t>FP40200010</t>
  </si>
  <si>
    <t>FP40200013</t>
  </si>
  <si>
    <t>FP40200014</t>
  </si>
  <si>
    <t>FP40200015</t>
  </si>
  <si>
    <t>FPW3000051</t>
  </si>
  <si>
    <t>FP40200018</t>
  </si>
  <si>
    <t>FP40200019</t>
  </si>
  <si>
    <t>FP40200020</t>
  </si>
  <si>
    <t>FP40200021</t>
  </si>
  <si>
    <t>FP40200023</t>
  </si>
  <si>
    <t>FP40200024</t>
  </si>
  <si>
    <t>FP40200025</t>
  </si>
  <si>
    <t>FP40200026</t>
  </si>
  <si>
    <t>FP40200027</t>
  </si>
  <si>
    <t>FP40200028</t>
  </si>
  <si>
    <t>FP40200029</t>
  </si>
  <si>
    <t>FP40200030</t>
  </si>
  <si>
    <t>FP40200031</t>
  </si>
  <si>
    <t>FP40200032</t>
  </si>
  <si>
    <t>FP40200033</t>
  </si>
  <si>
    <t>FP40200034</t>
  </si>
  <si>
    <t>FP40200035</t>
  </si>
  <si>
    <t>FP40200036</t>
  </si>
  <si>
    <t>FP40200037</t>
  </si>
  <si>
    <t>FP40200038</t>
  </si>
  <si>
    <t>FP40200039</t>
  </si>
  <si>
    <t>FP40200040</t>
  </si>
  <si>
    <t>FP40200041</t>
  </si>
  <si>
    <t>FP40200042</t>
  </si>
  <si>
    <t>FP40200043</t>
  </si>
  <si>
    <t>FP40200044</t>
  </si>
  <si>
    <t>FP40200045</t>
  </si>
  <si>
    <t>DRK5100001</t>
  </si>
  <si>
    <t>DRK5100002</t>
  </si>
  <si>
    <t>DRK5100004</t>
  </si>
  <si>
    <t>DRK5100005</t>
  </si>
  <si>
    <t>DRK5100006</t>
  </si>
  <si>
    <t>DRK5100007</t>
  </si>
  <si>
    <t>DRK5100008</t>
  </si>
  <si>
    <t>DRK5100009</t>
  </si>
  <si>
    <t>DRK5100010</t>
  </si>
  <si>
    <t>FP40200046</t>
  </si>
  <si>
    <t>FP40200047</t>
  </si>
  <si>
    <t>FP40200048</t>
  </si>
  <si>
    <t>FP40200049</t>
  </si>
  <si>
    <t>FP40200050</t>
  </si>
  <si>
    <t>FP40200051</t>
  </si>
  <si>
    <t>FP40200052</t>
  </si>
  <si>
    <t>FP40200053</t>
  </si>
  <si>
    <t>FP40200054</t>
  </si>
  <si>
    <t>FP40200055</t>
  </si>
  <si>
    <t>FP40200056</t>
  </si>
  <si>
    <t>FP40200057</t>
  </si>
  <si>
    <t>FP40200058</t>
  </si>
  <si>
    <t>FP40200059</t>
  </si>
  <si>
    <t>FP40200060</t>
  </si>
  <si>
    <t>FP40200061</t>
  </si>
  <si>
    <t>FP40200062</t>
  </si>
  <si>
    <t>FP40200063</t>
  </si>
  <si>
    <t>FP40200064</t>
  </si>
  <si>
    <t>FP40200065</t>
  </si>
  <si>
    <t>FP40200066</t>
  </si>
  <si>
    <t>FP40200067</t>
  </si>
  <si>
    <t>FP40200068</t>
  </si>
  <si>
    <t>FP40200069</t>
  </si>
  <si>
    <t>FP40200070</t>
  </si>
  <si>
    <t>FP40200071</t>
  </si>
  <si>
    <t>FP40200072</t>
  </si>
  <si>
    <t>FP40200073</t>
  </si>
  <si>
    <t>FP40200074</t>
  </si>
  <si>
    <t>FP40200075</t>
  </si>
  <si>
    <t>FP40200076</t>
  </si>
  <si>
    <t>FP40200077</t>
  </si>
  <si>
    <t>FP40200078</t>
  </si>
  <si>
    <t>FP40200079</t>
  </si>
  <si>
    <t>FP40200080</t>
  </si>
  <si>
    <t>FP40200081</t>
  </si>
  <si>
    <t>FP40200082</t>
  </si>
  <si>
    <t>FP40200083</t>
  </si>
  <si>
    <t>FP40200084</t>
  </si>
  <si>
    <t>FP40200085</t>
  </si>
  <si>
    <t>FP40200086</t>
  </si>
  <si>
    <t>FP40200087</t>
  </si>
  <si>
    <t>FP40200088</t>
  </si>
  <si>
    <t>FP40200089</t>
  </si>
  <si>
    <t>FP40200090</t>
  </si>
  <si>
    <t>FP40200091</t>
  </si>
  <si>
    <t>FP40200092</t>
  </si>
  <si>
    <t>FP40200093</t>
  </si>
  <si>
    <t>FP40200094</t>
  </si>
  <si>
    <t>FP40200095</t>
  </si>
  <si>
    <t>FP40200096</t>
  </si>
  <si>
    <t>FP40200097</t>
  </si>
  <si>
    <t>FP40200098</t>
  </si>
  <si>
    <t>FP40200099</t>
  </si>
  <si>
    <t>FP40200100</t>
  </si>
  <si>
    <t>FP40200101</t>
  </si>
  <si>
    <t>FP40200102</t>
  </si>
  <si>
    <t>FP40200103</t>
  </si>
  <si>
    <t>FP40200104</t>
  </si>
  <si>
    <t>FP40200105</t>
  </si>
  <si>
    <t>FP40200106</t>
  </si>
  <si>
    <t>FP40200107</t>
  </si>
  <si>
    <t>FP40200108</t>
  </si>
  <si>
    <t>FP40200109</t>
  </si>
  <si>
    <t>FP40200110</t>
  </si>
  <si>
    <t>FP40200111</t>
  </si>
  <si>
    <t>FP40200112</t>
  </si>
  <si>
    <t>FP40200113</t>
  </si>
  <si>
    <t>FP40200114</t>
  </si>
  <si>
    <t>FP40200115</t>
  </si>
  <si>
    <t>FP40200116</t>
  </si>
  <si>
    <t>FP40200117</t>
  </si>
  <si>
    <t>FP40200118</t>
  </si>
  <si>
    <t>FP40200119</t>
  </si>
  <si>
    <t>FP40200120</t>
  </si>
  <si>
    <t>FP40200121</t>
  </si>
  <si>
    <t>FP40200122</t>
  </si>
  <si>
    <t>FP40200123</t>
  </si>
  <si>
    <t>FP40200124</t>
  </si>
  <si>
    <t>FP40200125</t>
  </si>
  <si>
    <t>FP40200126</t>
  </si>
  <si>
    <t>FP40200127</t>
  </si>
  <si>
    <t>FP40200128</t>
  </si>
  <si>
    <t>FP40200129</t>
  </si>
  <si>
    <t>FP40200130</t>
  </si>
  <si>
    <t>FP40200131</t>
  </si>
  <si>
    <t>FP40200132</t>
  </si>
  <si>
    <t>FP40200133</t>
  </si>
  <si>
    <t>FP40200134</t>
  </si>
  <si>
    <t>FP40300001</t>
  </si>
  <si>
    <t>FP40300002</t>
  </si>
  <si>
    <t>FP40300003</t>
  </si>
  <si>
    <t>FP40300004</t>
  </si>
  <si>
    <t>FP40300005</t>
  </si>
  <si>
    <t>FP40300006</t>
  </si>
  <si>
    <t>FP40300007</t>
  </si>
  <si>
    <t>FP40300008</t>
  </si>
  <si>
    <t>FP40300009</t>
  </si>
  <si>
    <t>FP40300010</t>
  </si>
  <si>
    <t>FP40300011</t>
  </si>
  <si>
    <t>FP40300012</t>
  </si>
  <si>
    <t>FP40300013</t>
  </si>
  <si>
    <t>FP40300014</t>
  </si>
  <si>
    <t>FP40300015</t>
  </si>
  <si>
    <t>FP40300016</t>
  </si>
  <si>
    <t>FP40300017</t>
  </si>
  <si>
    <t>FP40300018</t>
  </si>
  <si>
    <t>FP40300019</t>
  </si>
  <si>
    <t>FP40300020</t>
  </si>
  <si>
    <t>FP40300021</t>
  </si>
  <si>
    <t>FP40300022</t>
  </si>
  <si>
    <t>FP40300023</t>
  </si>
  <si>
    <t>FP40300024</t>
  </si>
  <si>
    <t>FP40300025</t>
  </si>
  <si>
    <t>FP40300026</t>
  </si>
  <si>
    <t>FP40300027</t>
  </si>
  <si>
    <t>FP40300028</t>
  </si>
  <si>
    <t>FP40300029</t>
  </si>
  <si>
    <t>FP40300030</t>
  </si>
  <si>
    <t>FP40300031</t>
  </si>
  <si>
    <t>FP40300032</t>
  </si>
  <si>
    <t>FP40400001</t>
  </si>
  <si>
    <t>FP40400002</t>
  </si>
  <si>
    <t>FP40400003</t>
  </si>
  <si>
    <t>FP40400004</t>
  </si>
  <si>
    <t>FP40400005</t>
  </si>
  <si>
    <t>FP40400006</t>
  </si>
  <si>
    <t>FP40400007</t>
  </si>
  <si>
    <t>FP40400008</t>
  </si>
  <si>
    <t>FP40400009</t>
  </si>
  <si>
    <t>FP40400010</t>
  </si>
  <si>
    <t>FP40400011</t>
  </si>
  <si>
    <t>FP40400012</t>
  </si>
  <si>
    <t>FP40400013</t>
  </si>
  <si>
    <t>FP40400014</t>
  </si>
  <si>
    <t>FP40400015</t>
  </si>
  <si>
    <t>FP40400016</t>
  </si>
  <si>
    <t>FP40400017</t>
  </si>
  <si>
    <t>FP40400018</t>
  </si>
  <si>
    <t>FP40400019</t>
  </si>
  <si>
    <t>FP40400020</t>
  </si>
  <si>
    <t>FP40400021</t>
  </si>
  <si>
    <t>FP40400022</t>
  </si>
  <si>
    <t>FP40400023</t>
  </si>
  <si>
    <t>FP40400024</t>
  </si>
  <si>
    <t>FP40400025</t>
  </si>
  <si>
    <t>FP40400026</t>
  </si>
  <si>
    <t>FP40400027</t>
  </si>
  <si>
    <t>FP40400028</t>
  </si>
  <si>
    <t>FP40400029</t>
  </si>
  <si>
    <t>FP40500001</t>
  </si>
  <si>
    <t>FP40500002</t>
  </si>
  <si>
    <t>FP40500003</t>
  </si>
  <si>
    <t>FP40500004</t>
  </si>
  <si>
    <t>FP40500005</t>
  </si>
  <si>
    <t>FP40500006</t>
  </si>
  <si>
    <t>FP40500007</t>
  </si>
  <si>
    <t>FP40500008</t>
  </si>
  <si>
    <t>FP40500009</t>
  </si>
  <si>
    <t>FP40500010</t>
  </si>
  <si>
    <t>FP40500011</t>
  </si>
  <si>
    <t>FP40500012</t>
  </si>
  <si>
    <t>FP40500013</t>
  </si>
  <si>
    <t>FP40500014</t>
  </si>
  <si>
    <t>FP40500015</t>
  </si>
  <si>
    <t>FP40500016</t>
  </si>
  <si>
    <t>FP40500017</t>
  </si>
  <si>
    <t>FP40500018</t>
  </si>
  <si>
    <t>FP40500019</t>
  </si>
  <si>
    <t>FP40500020</t>
  </si>
  <si>
    <t>FP40500021</t>
  </si>
  <si>
    <t>FP40500022</t>
  </si>
  <si>
    <t>FP40500023</t>
  </si>
  <si>
    <t>FP40500024</t>
  </si>
  <si>
    <t>FP40500025</t>
  </si>
  <si>
    <t>FP40500026</t>
  </si>
  <si>
    <t>FP40500027</t>
  </si>
  <si>
    <t>FP40500028</t>
  </si>
  <si>
    <t>FP40500029</t>
  </si>
  <si>
    <t>FP40500030</t>
  </si>
  <si>
    <t>FP40500031</t>
  </si>
  <si>
    <t>FP40500032</t>
  </si>
  <si>
    <t>FP40500033</t>
  </si>
  <si>
    <t>FP40500034</t>
  </si>
  <si>
    <t>FP40500035</t>
  </si>
  <si>
    <t>FP40500037</t>
  </si>
  <si>
    <t>FP40500038</t>
  </si>
  <si>
    <t>FP40500039</t>
  </si>
  <si>
    <t>FP40500040</t>
  </si>
  <si>
    <t>FP40500041</t>
  </si>
  <si>
    <t>FP40500042</t>
  </si>
  <si>
    <t>FP40500043</t>
  </si>
  <si>
    <t>FP40500044</t>
  </si>
  <si>
    <t>FP40500045</t>
  </si>
  <si>
    <t>FP40600001</t>
  </si>
  <si>
    <t>FP40600002</t>
  </si>
  <si>
    <t>FP40600003</t>
  </si>
  <si>
    <t>FP40600004</t>
  </si>
  <si>
    <t>FP40600005</t>
  </si>
  <si>
    <t>FP40600010</t>
  </si>
  <si>
    <t>FP40600011</t>
  </si>
  <si>
    <t>FP40600012</t>
  </si>
  <si>
    <t>FP40200022</t>
  </si>
  <si>
    <t>FP40600014</t>
  </si>
  <si>
    <t>FP40600015</t>
  </si>
  <si>
    <t>FP40600016</t>
  </si>
  <si>
    <t>FP40600017</t>
  </si>
  <si>
    <t>FP40600018</t>
  </si>
  <si>
    <t>FP40600019</t>
  </si>
  <si>
    <t>FP40600020</t>
  </si>
  <si>
    <t>FP40600021</t>
  </si>
  <si>
    <t>FP40600022</t>
  </si>
  <si>
    <t>FP40600023</t>
  </si>
  <si>
    <t>FP40600024</t>
  </si>
  <si>
    <t>FP40600025</t>
  </si>
  <si>
    <t>FP40600026</t>
  </si>
  <si>
    <t>FP40600027</t>
  </si>
  <si>
    <t>FP40600028</t>
  </si>
  <si>
    <t>FP40600029</t>
  </si>
  <si>
    <t>FP40600030</t>
  </si>
  <si>
    <t>FP40600031</t>
  </si>
  <si>
    <t>FP40600032</t>
  </si>
  <si>
    <t>FP40600033</t>
  </si>
  <si>
    <t>FP40600034</t>
  </si>
  <si>
    <t>FP40600035</t>
  </si>
  <si>
    <t>FP40600036</t>
  </si>
  <si>
    <t>FP40600037</t>
  </si>
  <si>
    <t>FP40600038</t>
  </si>
  <si>
    <t>FP40600039</t>
  </si>
  <si>
    <t>FP40600040</t>
  </si>
  <si>
    <t>FP40600041</t>
  </si>
  <si>
    <t>FP40600042</t>
  </si>
  <si>
    <t>FP40600043</t>
  </si>
  <si>
    <t>FP40600044</t>
  </si>
  <si>
    <t>FP40600045</t>
  </si>
  <si>
    <t>FP40600047</t>
  </si>
  <si>
    <t>FP40600048</t>
  </si>
  <si>
    <t>FP40600049</t>
  </si>
  <si>
    <t>FP40600050</t>
  </si>
  <si>
    <t>FP40600051</t>
  </si>
  <si>
    <t>FP40600052</t>
  </si>
  <si>
    <t>FP40600053</t>
  </si>
  <si>
    <t>FP40600054</t>
  </si>
  <si>
    <t>FP40600056</t>
  </si>
  <si>
    <t>DRK5100011</t>
  </si>
  <si>
    <t>DRK5100012</t>
  </si>
  <si>
    <t>DRK5100013</t>
  </si>
  <si>
    <t>DRK5100014</t>
  </si>
  <si>
    <t>DRK5100015</t>
  </si>
  <si>
    <t>DRK5100016</t>
  </si>
  <si>
    <t>DRK5100017</t>
  </si>
  <si>
    <t>DRK5100021</t>
  </si>
  <si>
    <t>FP40700001</t>
  </si>
  <si>
    <t>FP40700002</t>
  </si>
  <si>
    <t>FP40700005</t>
  </si>
  <si>
    <t>FP40700007</t>
  </si>
  <si>
    <t>FP40700009</t>
  </si>
  <si>
    <t>FP40700010</t>
  </si>
  <si>
    <t>FP40700011</t>
  </si>
  <si>
    <t>FP40700012</t>
  </si>
  <si>
    <t>FP40700013</t>
  </si>
  <si>
    <t>FP40700014</t>
  </si>
  <si>
    <t>FP40700015</t>
  </si>
  <si>
    <t>FP40700016</t>
  </si>
  <si>
    <t>FP40700017</t>
  </si>
  <si>
    <t>FP40700018</t>
  </si>
  <si>
    <t>FP40700019</t>
  </si>
  <si>
    <t>FP40700020</t>
  </si>
  <si>
    <t>FP40700021</t>
  </si>
  <si>
    <t>FP40700022</t>
  </si>
  <si>
    <t>FP40700023</t>
  </si>
  <si>
    <t>FP40700024</t>
  </si>
  <si>
    <t>FP40700025</t>
  </si>
  <si>
    <t>FP40700026</t>
  </si>
  <si>
    <t>FP40700027</t>
  </si>
  <si>
    <t>FP40700028</t>
  </si>
  <si>
    <t>FP40700029</t>
  </si>
  <si>
    <t>FP40700030</t>
  </si>
  <si>
    <t>FP40700031</t>
  </si>
  <si>
    <t>FP40700032</t>
  </si>
  <si>
    <t>FP40700033</t>
  </si>
  <si>
    <t>FP40700034</t>
  </si>
  <si>
    <t>FP40700035</t>
  </si>
  <si>
    <t>FP40700036</t>
  </si>
  <si>
    <t>FP40700037</t>
  </si>
  <si>
    <t>FP40700038</t>
  </si>
  <si>
    <t>FP40700039</t>
  </si>
  <si>
    <t>FP40700040</t>
  </si>
  <si>
    <t>FP40700041</t>
  </si>
  <si>
    <t>FP40700042</t>
  </si>
  <si>
    <t>FP40700043</t>
  </si>
  <si>
    <t>FP40700044</t>
  </si>
  <si>
    <t>FPW3000044</t>
  </si>
  <si>
    <t>FPW3000043</t>
  </si>
  <si>
    <t>FPW3000046</t>
  </si>
  <si>
    <t>FPW3000048</t>
  </si>
  <si>
    <t>FPW3000047</t>
  </si>
  <si>
    <t>FPW3000045</t>
  </si>
  <si>
    <t>FPW3000049</t>
  </si>
  <si>
    <t>FPW3000017</t>
  </si>
  <si>
    <t>FPW3000020</t>
  </si>
  <si>
    <t>FPW3000028</t>
  </si>
  <si>
    <t>FPW3000026</t>
  </si>
  <si>
    <t>FPW3000037</t>
  </si>
  <si>
    <t>FPW3000022</t>
  </si>
  <si>
    <t>FPW3000021</t>
  </si>
  <si>
    <t>FPW3000033</t>
  </si>
  <si>
    <t>FPW3000032</t>
  </si>
  <si>
    <t>FPW3000023</t>
  </si>
  <si>
    <t>FPW3000024</t>
  </si>
  <si>
    <t>FPW3000029</t>
  </si>
  <si>
    <t>FPW3000031</t>
  </si>
  <si>
    <t>FPW3000034</t>
  </si>
  <si>
    <t>FPW3000025</t>
  </si>
  <si>
    <t>FPW3000013</t>
  </si>
  <si>
    <t>FPW3000014</t>
  </si>
  <si>
    <t>FPW3000015</t>
  </si>
  <si>
    <t>FPW3000035</t>
  </si>
  <si>
    <t>FPW3000050</t>
  </si>
  <si>
    <t>FPW3000016</t>
  </si>
  <si>
    <t>FPW3000003</t>
  </si>
  <si>
    <t>FPW3000004</t>
  </si>
  <si>
    <t>FPW3000018</t>
  </si>
  <si>
    <t>FPW3000008</t>
  </si>
  <si>
    <t>FPW3000009</t>
  </si>
  <si>
    <t>FPW3000011</t>
  </si>
  <si>
    <t>FPW3000019</t>
  </si>
  <si>
    <t>FP40800001</t>
  </si>
  <si>
    <t>FP40800002</t>
  </si>
  <si>
    <t>FP40800003</t>
  </si>
  <si>
    <t>FP40800004</t>
  </si>
  <si>
    <t>FPW3000038</t>
  </si>
  <si>
    <t>FP40800006</t>
  </si>
  <si>
    <t>FP40800007</t>
  </si>
  <si>
    <t>FP40800008</t>
  </si>
  <si>
    <t>FP40800009</t>
  </si>
  <si>
    <t>FP40800010</t>
  </si>
  <si>
    <t>FP40800011</t>
  </si>
  <si>
    <t>FP40800012</t>
  </si>
  <si>
    <t>FP40800013</t>
  </si>
  <si>
    <t>FP40800014</t>
  </si>
  <si>
    <t>FP40800015</t>
  </si>
  <si>
    <t>FP40800016</t>
  </si>
  <si>
    <t>FP40800017</t>
  </si>
  <si>
    <t>FP40800018</t>
  </si>
  <si>
    <t>FP40800019</t>
  </si>
  <si>
    <t>FP40800020</t>
  </si>
  <si>
    <t>FPW3000001</t>
  </si>
  <si>
    <t>FPW3000005</t>
  </si>
  <si>
    <t>FP40800021</t>
  </si>
  <si>
    <t>FP40800022</t>
  </si>
  <si>
    <t>FP40800023</t>
  </si>
  <si>
    <t>FP40800024</t>
  </si>
  <si>
    <t>FP40800025</t>
  </si>
  <si>
    <t>FP40800026</t>
  </si>
  <si>
    <t>FP40800028</t>
  </si>
  <si>
    <t>FP40800029</t>
  </si>
  <si>
    <t>FPW3000010</t>
  </si>
  <si>
    <t>FPW3000007</t>
  </si>
  <si>
    <t>FPW3000002</t>
  </si>
  <si>
    <t>FPW3000039</t>
  </si>
  <si>
    <t>FP40800030</t>
  </si>
  <si>
    <t>FP40800031</t>
  </si>
  <si>
    <t>FP40800033</t>
  </si>
  <si>
    <t>FP40800036</t>
  </si>
  <si>
    <t>FP40800037</t>
  </si>
  <si>
    <t>FP40800038</t>
  </si>
  <si>
    <t>FP40900001</t>
  </si>
  <si>
    <t>FP40900002</t>
  </si>
  <si>
    <t>FP40900003</t>
  </si>
  <si>
    <t>FP40900004</t>
  </si>
  <si>
    <t>FP40900005</t>
  </si>
  <si>
    <t>FP40900006</t>
  </si>
  <si>
    <t>FP40900007</t>
  </si>
  <si>
    <t>FP40900008</t>
  </si>
  <si>
    <t>FP40900009</t>
  </si>
  <si>
    <t>FP40900010</t>
  </si>
  <si>
    <t>FP40900011</t>
  </si>
  <si>
    <t>FP40900012</t>
  </si>
  <si>
    <t>FP40900013</t>
  </si>
  <si>
    <t>FP40900014</t>
  </si>
  <si>
    <t>FP40900015</t>
  </si>
  <si>
    <t>FP40900016</t>
  </si>
  <si>
    <t>FP40900017</t>
  </si>
  <si>
    <t>FP40900018</t>
  </si>
  <si>
    <t>FP40900019</t>
  </si>
  <si>
    <t>FP40900020</t>
  </si>
  <si>
    <t>FP40900022</t>
  </si>
  <si>
    <t>FP40900023</t>
  </si>
  <si>
    <t>FP40900024</t>
  </si>
  <si>
    <t>FP40900025</t>
  </si>
  <si>
    <t>FP40700045</t>
  </si>
  <si>
    <t>FP40300033</t>
  </si>
  <si>
    <t>FP40300034</t>
  </si>
  <si>
    <t>FP40300035</t>
  </si>
  <si>
    <t>FP40300036</t>
  </si>
  <si>
    <t>FP40300037</t>
  </si>
  <si>
    <t>FP40300038</t>
  </si>
  <si>
    <t>FP40300039</t>
  </si>
  <si>
    <t>SR60000004</t>
  </si>
  <si>
    <t>FP40100038</t>
  </si>
  <si>
    <t>FP40100039</t>
  </si>
  <si>
    <t>FP40100040</t>
  </si>
  <si>
    <t>FP40100041</t>
  </si>
  <si>
    <t>FP40100042</t>
  </si>
  <si>
    <t>FP40100043</t>
  </si>
  <si>
    <t>FP40100044</t>
  </si>
  <si>
    <t>FP40100045</t>
  </si>
  <si>
    <t>FP40100046</t>
  </si>
  <si>
    <t>FP40200135</t>
  </si>
  <si>
    <t>FP40200136</t>
  </si>
  <si>
    <t>FP40200137</t>
  </si>
  <si>
    <t>FP40200138</t>
  </si>
  <si>
    <t>FP40200139</t>
  </si>
  <si>
    <t>FP40200164</t>
  </si>
  <si>
    <t>FP40200141</t>
  </si>
  <si>
    <t>FP40200142</t>
  </si>
  <si>
    <t>FP40200143</t>
  </si>
  <si>
    <t>FP40200144</t>
  </si>
  <si>
    <t>FP40200145</t>
  </si>
  <si>
    <t>FP40200146</t>
  </si>
  <si>
    <t>FP40200147</t>
  </si>
  <si>
    <t>FP40200148</t>
  </si>
  <si>
    <t>FP40200149</t>
  </si>
  <si>
    <t>FP40200150</t>
  </si>
  <si>
    <t>FP40200151</t>
  </si>
  <si>
    <t>FP40200152</t>
  </si>
  <si>
    <t>FP40200153</t>
  </si>
  <si>
    <t>FP40200154</t>
  </si>
  <si>
    <t>FP40200155</t>
  </si>
  <si>
    <t>FP40200156</t>
  </si>
  <si>
    <t>FP40200157</t>
  </si>
  <si>
    <t>FP40200158</t>
  </si>
  <si>
    <t>FP40200159</t>
  </si>
  <si>
    <t>FP40200160</t>
  </si>
  <si>
    <t>FP40200161</t>
  </si>
  <si>
    <t>FP40200162</t>
  </si>
  <si>
    <t>FP40200163</t>
  </si>
  <si>
    <t>FP40300040</t>
  </si>
  <si>
    <t>FP40300041</t>
  </si>
  <si>
    <t>FP40300042</t>
  </si>
  <si>
    <t>FP40500046</t>
  </si>
  <si>
    <t>FP40500047</t>
  </si>
  <si>
    <t>FP40500048</t>
  </si>
  <si>
    <t>FP40500049</t>
  </si>
  <si>
    <t>FP40500050</t>
  </si>
  <si>
    <t>FP40600057</t>
  </si>
  <si>
    <t>DRK5100030</t>
  </si>
  <si>
    <t>FPW3000054</t>
  </si>
  <si>
    <t>FP40900026</t>
  </si>
  <si>
    <t>FP40900027</t>
  </si>
  <si>
    <t>FPW3000006</t>
  </si>
  <si>
    <t>SR60000001</t>
  </si>
  <si>
    <t>odoo</t>
  </si>
  <si>
    <t>كود الصنف</t>
  </si>
  <si>
    <t>السعر الصافي</t>
  </si>
  <si>
    <t>الوزن صافي</t>
  </si>
  <si>
    <t>خروف بلدي كبير</t>
  </si>
  <si>
    <t>ماتركس كولا 330 مل</t>
  </si>
  <si>
    <t>ماتركس اب دايت 330 كل</t>
  </si>
  <si>
    <t>دجاج المركزية حب</t>
  </si>
  <si>
    <t>قلوب خروف</t>
  </si>
  <si>
    <t>بكج 50</t>
  </si>
  <si>
    <t>روزبيف عجل مستورد</t>
  </si>
  <si>
    <t>صاجية راس عصفور كيلو</t>
  </si>
  <si>
    <t>دمج روز بيف</t>
  </si>
  <si>
    <t>دمج فيليه</t>
  </si>
  <si>
    <t>دمج قطعيات عجل</t>
  </si>
  <si>
    <t>عجل</t>
  </si>
  <si>
    <t>دمج مع تفصيل الخروف</t>
  </si>
  <si>
    <t>خروف</t>
  </si>
  <si>
    <t>ساندويش</t>
  </si>
  <si>
    <t>كينوا</t>
  </si>
  <si>
    <t>تبولة فروتي</t>
  </si>
  <si>
    <t>75 غرام</t>
  </si>
  <si>
    <t>حسب الطلب</t>
  </si>
  <si>
    <t>تم</t>
  </si>
  <si>
    <t>انتر</t>
  </si>
  <si>
    <t>ستيك</t>
  </si>
  <si>
    <t xml:space="preserve">تحويل الى فروع </t>
  </si>
  <si>
    <t>يتم بيع ني</t>
  </si>
  <si>
    <t>مطلوب رسبي</t>
  </si>
  <si>
    <t>مش موجد على سستم</t>
  </si>
  <si>
    <t>لوجبات الموظفين</t>
  </si>
  <si>
    <t>عشان رائحة</t>
  </si>
  <si>
    <t>TA-BBQ-061</t>
  </si>
  <si>
    <t>TA-BBQ-062</t>
  </si>
  <si>
    <t>بوكس كباب عادي</t>
  </si>
  <si>
    <t>بوكس كباب سوبر</t>
  </si>
  <si>
    <t>علبة لوز مقلي 60 غرام</t>
  </si>
  <si>
    <t>علبة لوز مقلي 25 غرام</t>
  </si>
  <si>
    <t>بوكس كباب عربي</t>
  </si>
  <si>
    <t>تعبئة</t>
  </si>
  <si>
    <t>FP</t>
  </si>
  <si>
    <t>SF2026060</t>
  </si>
  <si>
    <t>SF2026061</t>
  </si>
  <si>
    <t>الكلفة</t>
  </si>
  <si>
    <t>سعر بيع شامل شريبة و عمولة</t>
  </si>
  <si>
    <t>نسبة هامش الربح</t>
  </si>
  <si>
    <t>سعر غير شامل عموله</t>
  </si>
  <si>
    <t>سعر غير شامل الضريبة</t>
  </si>
  <si>
    <t>صوص ساندويش</t>
  </si>
  <si>
    <t>TA-BBQ-063</t>
  </si>
  <si>
    <t xml:space="preserve">عربي شيش </t>
  </si>
  <si>
    <t>عربي كباب سوبر</t>
  </si>
  <si>
    <t xml:space="preserve">عربي كباب </t>
  </si>
  <si>
    <t>TA-BBQ-064</t>
  </si>
  <si>
    <t>عربي شيش</t>
  </si>
  <si>
    <t>عربي شيش سوبر</t>
  </si>
  <si>
    <t>SF2026062</t>
  </si>
  <si>
    <t>اضافة اودو</t>
  </si>
  <si>
    <t>FP40800005</t>
  </si>
  <si>
    <t>FP40100035</t>
  </si>
  <si>
    <t>FP40600013</t>
  </si>
  <si>
    <t>FP40800027</t>
  </si>
  <si>
    <t>FP40700006</t>
  </si>
  <si>
    <t>FP40700003</t>
  </si>
  <si>
    <t>FP40700004</t>
  </si>
  <si>
    <t>FP40200017</t>
  </si>
  <si>
    <t>FP40600008</t>
  </si>
  <si>
    <t>FP40600009</t>
  </si>
  <si>
    <t>FP40600007</t>
  </si>
  <si>
    <t>FP40600006</t>
  </si>
  <si>
    <t>FP40500036</t>
  </si>
  <si>
    <t>FP40100047</t>
  </si>
  <si>
    <t>FP40100048</t>
  </si>
  <si>
    <t>FP40100049</t>
  </si>
  <si>
    <t>FP40100050</t>
  </si>
  <si>
    <t>FP40100051</t>
  </si>
  <si>
    <t>FP40100052</t>
  </si>
  <si>
    <t>FP40100053</t>
  </si>
  <si>
    <t>FP40100054</t>
  </si>
  <si>
    <t>FP40100055</t>
  </si>
  <si>
    <t>FP40100056</t>
  </si>
  <si>
    <t>FP40100057</t>
  </si>
  <si>
    <t>FP40100058</t>
  </si>
  <si>
    <t>FP40100059</t>
  </si>
  <si>
    <t>FP40200165</t>
  </si>
  <si>
    <t>FP40200166</t>
  </si>
  <si>
    <t>FP40200167</t>
  </si>
  <si>
    <t>FP40200168</t>
  </si>
  <si>
    <t>FP40200169</t>
  </si>
  <si>
    <t>FP40200170</t>
  </si>
  <si>
    <t>FP40200171</t>
  </si>
  <si>
    <t>FP40200172</t>
  </si>
  <si>
    <t>FP40200173</t>
  </si>
  <si>
    <t>FP40200174</t>
  </si>
  <si>
    <t>FP40200175</t>
  </si>
  <si>
    <t>FP40200176</t>
  </si>
  <si>
    <t>FP40200177</t>
  </si>
  <si>
    <t>FP40200178</t>
  </si>
  <si>
    <t>FP40200179</t>
  </si>
  <si>
    <t>FP40200180</t>
  </si>
  <si>
    <t>FP40200181</t>
  </si>
  <si>
    <t>FP40200182</t>
  </si>
  <si>
    <t>FP40200183</t>
  </si>
  <si>
    <t>FP40200184</t>
  </si>
  <si>
    <t>FP40200185</t>
  </si>
  <si>
    <t>FP40300043</t>
  </si>
  <si>
    <t>FP40600058</t>
  </si>
  <si>
    <t>FP40600059</t>
  </si>
  <si>
    <t>FP40600060</t>
  </si>
  <si>
    <t>FP40600061</t>
  </si>
  <si>
    <t>FP40600062</t>
  </si>
  <si>
    <t>FP40700046</t>
  </si>
  <si>
    <t>FP40700047</t>
  </si>
  <si>
    <t>FP40700048</t>
  </si>
  <si>
    <t>FP40700049</t>
  </si>
  <si>
    <t>FP40800044</t>
  </si>
  <si>
    <t>FP40800045</t>
  </si>
  <si>
    <t>FP40800046</t>
  </si>
  <si>
    <t>FP40800047</t>
  </si>
  <si>
    <t>FP40800048</t>
  </si>
  <si>
    <t>FP40800049</t>
  </si>
  <si>
    <t>FP40800050</t>
  </si>
  <si>
    <t>FP40800051</t>
  </si>
  <si>
    <t>FP40800052</t>
  </si>
  <si>
    <t>FP40800053</t>
  </si>
  <si>
    <t>FP40800054</t>
  </si>
  <si>
    <t>FP40800055</t>
  </si>
  <si>
    <t>FP40800056</t>
  </si>
  <si>
    <t>FP40800057</t>
  </si>
  <si>
    <t>FP40800058</t>
  </si>
  <si>
    <t>FP40800059</t>
  </si>
  <si>
    <t>FP40800060</t>
  </si>
  <si>
    <t>FP40800061</t>
  </si>
  <si>
    <t>FP40800062</t>
  </si>
  <si>
    <t>FP40800063</t>
  </si>
  <si>
    <t>FP40800064</t>
  </si>
  <si>
    <t>FP40800065</t>
  </si>
  <si>
    <t>FP40800066</t>
  </si>
  <si>
    <t>FP40800067</t>
  </si>
  <si>
    <t>FP40800068</t>
  </si>
  <si>
    <t>FP40800069</t>
  </si>
  <si>
    <t>FP40800070</t>
  </si>
  <si>
    <t>FP40800071</t>
  </si>
  <si>
    <t>FP40800072</t>
  </si>
  <si>
    <t>FP40800073</t>
  </si>
  <si>
    <t>FP40800074</t>
  </si>
  <si>
    <t>FP40800075</t>
  </si>
  <si>
    <t>FP40800076</t>
  </si>
  <si>
    <t>FP40800077</t>
  </si>
  <si>
    <t>FP40800078</t>
  </si>
  <si>
    <t>FP40800079</t>
  </si>
  <si>
    <t>FP40800080</t>
  </si>
  <si>
    <t>FP40800081</t>
  </si>
  <si>
    <t>FP40800082</t>
  </si>
  <si>
    <t>FP40800083</t>
  </si>
  <si>
    <t>FP40800084</t>
  </si>
  <si>
    <t>FP40800085</t>
  </si>
  <si>
    <t>FP40800086</t>
  </si>
  <si>
    <t>FP40800087</t>
  </si>
  <si>
    <t>FP40800088</t>
  </si>
  <si>
    <t>FP40800089</t>
  </si>
  <si>
    <t>FP40800090</t>
  </si>
  <si>
    <t>FP40800091</t>
  </si>
  <si>
    <t>FP40800092</t>
  </si>
  <si>
    <t>FP40800093</t>
  </si>
  <si>
    <t>FP40800094</t>
  </si>
  <si>
    <t>FP40800095</t>
  </si>
  <si>
    <t>FP40800096</t>
  </si>
  <si>
    <t>FP40800097</t>
  </si>
  <si>
    <t>FP40800098</t>
  </si>
  <si>
    <t>FP40900028</t>
  </si>
  <si>
    <t>DRK5100031</t>
  </si>
  <si>
    <t>DRK5100032</t>
  </si>
  <si>
    <t>DRK5100033</t>
  </si>
  <si>
    <t>DRK5100034</t>
  </si>
  <si>
    <t>SR60000005</t>
  </si>
  <si>
    <t>DRK5100035</t>
  </si>
  <si>
    <t>FP40800099</t>
  </si>
  <si>
    <t>FP40800100</t>
  </si>
  <si>
    <t>جديد</t>
  </si>
  <si>
    <t>صوص نقانق طلبات مارت</t>
  </si>
  <si>
    <t>SF21000001</t>
  </si>
  <si>
    <t>SF21000002</t>
  </si>
  <si>
    <t>SF21000003</t>
  </si>
  <si>
    <t>SF21000004</t>
  </si>
  <si>
    <t>SF21000005</t>
  </si>
  <si>
    <t>SF21000006</t>
  </si>
  <si>
    <t>SF21000007</t>
  </si>
  <si>
    <t>SF21000008</t>
  </si>
  <si>
    <t>SF21000009</t>
  </si>
  <si>
    <t>SF21000010</t>
  </si>
  <si>
    <t>SF21000011</t>
  </si>
  <si>
    <t>SF21000012</t>
  </si>
  <si>
    <t>SF21000013</t>
  </si>
  <si>
    <t>SF21000014</t>
  </si>
  <si>
    <t>SF21000015</t>
  </si>
  <si>
    <t>SF21000016</t>
  </si>
  <si>
    <t>SF21000017</t>
  </si>
  <si>
    <t>SF21000018</t>
  </si>
  <si>
    <t>SF21000019</t>
  </si>
  <si>
    <t>SF21000020</t>
  </si>
  <si>
    <t>SF21000021</t>
  </si>
  <si>
    <t>SF21000022</t>
  </si>
  <si>
    <t>جديد اطفال</t>
  </si>
  <si>
    <t>وجبة اطفال تندر</t>
  </si>
  <si>
    <t>اجمالي الكلفة</t>
  </si>
  <si>
    <t>كود</t>
  </si>
  <si>
    <t>الصنف</t>
  </si>
  <si>
    <t>الوحده</t>
  </si>
  <si>
    <t>رسبي</t>
  </si>
  <si>
    <t>SF20200018</t>
  </si>
  <si>
    <t>SF20200019</t>
  </si>
  <si>
    <t>SF20200009</t>
  </si>
  <si>
    <t>SF20300001</t>
  </si>
  <si>
    <t>SF20600005</t>
  </si>
  <si>
    <t>SF20200024</t>
  </si>
  <si>
    <t>SF20400012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</si>
</sst>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000"/>
    <numFmt numFmtId="165" formatCode="0.000"/>
    <numFmt numFmtId="166" formatCode="_-* #,##0.000\ _د_._ا_._‏_-;\-* #,##0.000\ _د_._ا_._‏_-;_-* &quot;-&quot;??.0\ _د_._ا_._‏_-;_-@"/>
    <numFmt numFmtId="167" formatCode="_-* #,##0.00000_-;\-* #,##0.00000_-;_-* &quot;-&quot;??.00_-;_-@"/>
    <numFmt numFmtId="168" formatCode="0.0"/>
    <numFmt numFmtId="169" formatCode="_-* #,##0.00_-;\-* #,##0.00_-;_-* &quot;-&quot;??_-;_-@"/>
    <numFmt numFmtId="170" formatCode="_-* #,##0.000_-;\-* #,##0.000_-;_-* &quot;-&quot;??_-;_-@"/>
    <numFmt numFmtId="171" formatCode="_-* #,##0.0_-;\-* #,##0.0_-;_-* &quot;-&quot;??_-;_-@"/>
    <numFmt numFmtId="172" formatCode="_-* #,##0.000000000_-;\-* #,##0.000000000_-;_-* &quot;-&quot;??.000000_-;_-@"/>
    <numFmt numFmtId="173" formatCode="0.000000000"/>
    <numFmt numFmtId="174" formatCode="0.0000"/>
    <numFmt numFmtId="175" formatCode="_(* #,##0.0_);_(* \(#,##0.0\);_(* &quot;-&quot;?_);_(@_)"/>
    <numFmt numFmtId="176" formatCode="0.0000000000"/>
  </numFmts>
  <fonts count="38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&quot;Aptos Narrow&quot;"/>
    </font>
    <font>
      <b/>
      <sz val="11"/>
      <color rgb="FF222222"/>
      <name val="&quot;Google Sans&quot;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8"/>
      <name val="Arial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  <scheme val="minor"/>
    </font>
    <font>
      <b/>
      <sz val="11"/>
      <color rgb="FFFF0000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</font>
    <font>
      <sz val="11"/>
      <name val="Calibri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</font>
    <font>
      <b/>
      <u/>
      <sz val="10"/>
      <color theme="1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CCCCCC"/>
      </patternFill>
    </fill>
    <fill>
      <patternFill patternType="solid">
        <fgColor rgb="FFFF0000"/>
        <bgColor rgb="FFD9E2F3"/>
      </patternFill>
    </fill>
    <fill>
      <patternFill patternType="solid">
        <fgColor rgb="FFFFC000"/>
        <bgColor rgb="FFD9E2F3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rgb="FFCCCCCC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D9E2F3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29" fillId="0" borderId="0" applyFont="0" applyFill="0" applyBorder="0" applyAlignment="0" applyProtection="0"/>
    <xf numFmtId="0" fontId="30" fillId="0" borderId="0"/>
    <xf numFmtId="0" fontId="31" fillId="0" borderId="0" applyNumberForma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36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70" fontId="8" fillId="0" borderId="1" xfId="0" applyNumberFormat="1" applyFont="1" applyBorder="1" applyAlignment="1">
      <alignment horizontal="center"/>
    </xf>
    <xf numFmtId="171" fontId="4" fillId="4" borderId="1" xfId="0" applyNumberFormat="1" applyFont="1" applyFill="1" applyBorder="1" applyAlignment="1">
      <alignment horizontal="center" vertical="center"/>
    </xf>
    <xf numFmtId="172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71" fontId="8" fillId="5" borderId="1" xfId="0" applyNumberFormat="1" applyFont="1" applyFill="1" applyBorder="1" applyAlignment="1">
      <alignment horizontal="center"/>
    </xf>
    <xf numFmtId="172" fontId="8" fillId="0" borderId="1" xfId="0" applyNumberFormat="1" applyFont="1" applyBorder="1" applyAlignment="1">
      <alignment horizontal="center"/>
    </xf>
    <xf numFmtId="10" fontId="8" fillId="0" borderId="1" xfId="0" applyNumberFormat="1" applyFont="1" applyBorder="1" applyAlignment="1">
      <alignment horizontal="center"/>
    </xf>
    <xf numFmtId="170" fontId="8" fillId="6" borderId="1" xfId="0" applyNumberFormat="1" applyFont="1" applyFill="1" applyBorder="1" applyAlignment="1">
      <alignment horizontal="center"/>
    </xf>
    <xf numFmtId="171" fontId="8" fillId="5" borderId="5" xfId="0" applyNumberFormat="1" applyFont="1" applyFill="1" applyBorder="1" applyAlignment="1">
      <alignment horizontal="center"/>
    </xf>
    <xf numFmtId="171" fontId="10" fillId="5" borderId="1" xfId="0" applyNumberFormat="1" applyFont="1" applyFill="1" applyBorder="1" applyAlignment="1">
      <alignment horizontal="center"/>
    </xf>
    <xf numFmtId="170" fontId="8" fillId="7" borderId="1" xfId="0" applyNumberFormat="1" applyFont="1" applyFill="1" applyBorder="1" applyAlignment="1">
      <alignment horizontal="center"/>
    </xf>
    <xf numFmtId="171" fontId="8" fillId="7" borderId="1" xfId="0" applyNumberFormat="1" applyFont="1" applyFill="1" applyBorder="1" applyAlignment="1">
      <alignment horizontal="center"/>
    </xf>
    <xf numFmtId="171" fontId="8" fillId="0" borderId="1" xfId="0" applyNumberFormat="1" applyFont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171" fontId="8" fillId="6" borderId="1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8" fillId="7" borderId="1" xfId="0" applyFont="1" applyFill="1" applyBorder="1" applyAlignment="1">
      <alignment horizontal="center"/>
    </xf>
    <xf numFmtId="171" fontId="8" fillId="6" borderId="5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171" fontId="8" fillId="5" borderId="7" xfId="0" applyNumberFormat="1" applyFont="1" applyFill="1" applyBorder="1" applyAlignment="1">
      <alignment horizontal="center"/>
    </xf>
    <xf numFmtId="170" fontId="8" fillId="0" borderId="7" xfId="0" applyNumberFormat="1" applyFont="1" applyBorder="1" applyAlignment="1">
      <alignment horizontal="center"/>
    </xf>
    <xf numFmtId="169" fontId="8" fillId="5" borderId="1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3" fontId="19" fillId="3" borderId="1" xfId="0" applyNumberFormat="1" applyFont="1" applyFill="1" applyBorder="1" applyAlignment="1">
      <alignment horizontal="center"/>
    </xf>
    <xf numFmtId="164" fontId="19" fillId="3" borderId="2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3" fontId="19" fillId="0" borderId="1" xfId="0" applyNumberFormat="1" applyFont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165" fontId="19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49" fontId="19" fillId="0" borderId="0" xfId="0" applyNumberFormat="1" applyFont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3" fontId="19" fillId="0" borderId="3" xfId="0" applyNumberFormat="1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3" fontId="19" fillId="0" borderId="4" xfId="0" applyNumberFormat="1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165" fontId="19" fillId="0" borderId="7" xfId="0" applyNumberFormat="1" applyFont="1" applyBorder="1" applyAlignment="1">
      <alignment horizontal="center"/>
    </xf>
    <xf numFmtId="3" fontId="19" fillId="0" borderId="7" xfId="0" applyNumberFormat="1" applyFont="1" applyBorder="1" applyAlignment="1">
      <alignment horizontal="center"/>
    </xf>
    <xf numFmtId="164" fontId="19" fillId="0" borderId="7" xfId="0" applyNumberFormat="1" applyFont="1" applyBorder="1" applyAlignment="1">
      <alignment horizontal="center"/>
    </xf>
    <xf numFmtId="49" fontId="19" fillId="0" borderId="7" xfId="0" applyNumberFormat="1" applyFont="1" applyBorder="1" applyAlignment="1">
      <alignment horizontal="center"/>
    </xf>
    <xf numFmtId="165" fontId="19" fillId="0" borderId="0" xfId="0" applyNumberFormat="1" applyFont="1" applyAlignment="1">
      <alignment horizontal="center"/>
    </xf>
    <xf numFmtId="3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49" fontId="19" fillId="0" borderId="4" xfId="0" applyNumberFormat="1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170" fontId="8" fillId="0" borderId="6" xfId="0" applyNumberFormat="1" applyFont="1" applyBorder="1" applyAlignment="1">
      <alignment horizontal="center"/>
    </xf>
    <xf numFmtId="3" fontId="19" fillId="0" borderId="6" xfId="0" applyNumberFormat="1" applyFont="1" applyBorder="1" applyAlignment="1">
      <alignment horizontal="center"/>
    </xf>
    <xf numFmtId="2" fontId="19" fillId="0" borderId="3" xfId="0" applyNumberFormat="1" applyFont="1" applyBorder="1" applyAlignment="1">
      <alignment horizontal="center"/>
    </xf>
    <xf numFmtId="2" fontId="19" fillId="0" borderId="4" xfId="0" applyNumberFormat="1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2" fontId="22" fillId="0" borderId="7" xfId="0" applyNumberFormat="1" applyFont="1" applyBorder="1" applyAlignment="1">
      <alignment horizontal="center"/>
    </xf>
    <xf numFmtId="2" fontId="22" fillId="0" borderId="7" xfId="0" applyNumberFormat="1" applyFont="1" applyBorder="1" applyAlignment="1">
      <alignment horizontal="center" readingOrder="1"/>
    </xf>
    <xf numFmtId="49" fontId="4" fillId="0" borderId="7" xfId="0" applyNumberFormat="1" applyFont="1" applyBorder="1" applyAlignment="1">
      <alignment horizontal="center"/>
    </xf>
    <xf numFmtId="0" fontId="19" fillId="9" borderId="1" xfId="0" applyFont="1" applyFill="1" applyBorder="1" applyAlignment="1">
      <alignment horizontal="center"/>
    </xf>
    <xf numFmtId="2" fontId="19" fillId="9" borderId="1" xfId="0" applyNumberFormat="1" applyFont="1" applyFill="1" applyBorder="1" applyAlignment="1">
      <alignment horizontal="center"/>
    </xf>
    <xf numFmtId="3" fontId="19" fillId="9" borderId="1" xfId="0" applyNumberFormat="1" applyFont="1" applyFill="1" applyBorder="1" applyAlignment="1">
      <alignment horizontal="center"/>
    </xf>
    <xf numFmtId="164" fontId="19" fillId="9" borderId="1" xfId="0" applyNumberFormat="1" applyFont="1" applyFill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4" fillId="0" borderId="0" xfId="0" applyFont="1" applyAlignment="1">
      <alignment horizontal="center"/>
    </xf>
    <xf numFmtId="2" fontId="19" fillId="3" borderId="1" xfId="0" applyNumberFormat="1" applyFont="1" applyFill="1" applyBorder="1" applyAlignment="1">
      <alignment horizontal="center"/>
    </xf>
    <xf numFmtId="2" fontId="19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73" fontId="19" fillId="0" borderId="0" xfId="0" applyNumberFormat="1" applyFont="1" applyAlignment="1">
      <alignment horizontal="center"/>
    </xf>
    <xf numFmtId="174" fontId="19" fillId="0" borderId="1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26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167" fontId="8" fillId="0" borderId="7" xfId="0" applyNumberFormat="1" applyFont="1" applyBorder="1" applyAlignment="1">
      <alignment horizontal="center" vertical="center"/>
    </xf>
    <xf numFmtId="166" fontId="8" fillId="0" borderId="7" xfId="0" applyNumberFormat="1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 wrapText="1" readingOrder="2"/>
    </xf>
    <xf numFmtId="168" fontId="8" fillId="0" borderId="7" xfId="0" applyNumberFormat="1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1" fontId="8" fillId="4" borderId="7" xfId="0" applyNumberFormat="1" applyFont="1" applyFill="1" applyBorder="1" applyAlignment="1">
      <alignment horizontal="center" vertical="center"/>
    </xf>
    <xf numFmtId="2" fontId="8" fillId="4" borderId="7" xfId="0" applyNumberFormat="1" applyFont="1" applyFill="1" applyBorder="1" applyAlignment="1">
      <alignment horizontal="center" vertical="center"/>
    </xf>
    <xf numFmtId="166" fontId="8" fillId="4" borderId="7" xfId="0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169" fontId="8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1" fontId="8" fillId="5" borderId="7" xfId="0" applyNumberFormat="1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0" fillId="12" borderId="0" xfId="0" applyFill="1"/>
    <xf numFmtId="0" fontId="10" fillId="12" borderId="0" xfId="0" applyFont="1" applyFill="1" applyAlignment="1">
      <alignment horizontal="center"/>
    </xf>
    <xf numFmtId="165" fontId="13" fillId="12" borderId="0" xfId="0" applyNumberFormat="1" applyFont="1" applyFill="1" applyAlignment="1">
      <alignment horizontal="center"/>
    </xf>
    <xf numFmtId="2" fontId="10" fillId="12" borderId="0" xfId="0" applyNumberFormat="1" applyFont="1" applyFill="1" applyAlignment="1">
      <alignment horizontal="center"/>
    </xf>
    <xf numFmtId="1" fontId="10" fillId="12" borderId="0" xfId="0" applyNumberFormat="1" applyFont="1" applyFill="1" applyAlignment="1">
      <alignment horizontal="center"/>
    </xf>
    <xf numFmtId="4" fontId="10" fillId="12" borderId="0" xfId="0" applyNumberFormat="1" applyFont="1" applyFill="1" applyAlignment="1">
      <alignment horizontal="center"/>
    </xf>
    <xf numFmtId="2" fontId="0" fillId="12" borderId="0" xfId="0" applyNumberFormat="1" applyFill="1"/>
    <xf numFmtId="9" fontId="13" fillId="12" borderId="0" xfId="1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171" fontId="8" fillId="6" borderId="7" xfId="0" applyNumberFormat="1" applyFont="1" applyFill="1" applyBorder="1" applyAlignment="1">
      <alignment horizontal="center"/>
    </xf>
    <xf numFmtId="171" fontId="8" fillId="5" borderId="1" xfId="0" applyNumberFormat="1" applyFont="1" applyFill="1" applyBorder="1" applyAlignment="1">
      <alignment horizontal="center" vertical="center"/>
    </xf>
    <xf numFmtId="171" fontId="8" fillId="6" borderId="3" xfId="0" applyNumberFormat="1" applyFont="1" applyFill="1" applyBorder="1" applyAlignment="1">
      <alignment horizontal="center"/>
    </xf>
    <xf numFmtId="171" fontId="11" fillId="6" borderId="5" xfId="0" applyNumberFormat="1" applyFont="1" applyFill="1" applyBorder="1" applyAlignment="1">
      <alignment horizontal="center"/>
    </xf>
    <xf numFmtId="170" fontId="8" fillId="6" borderId="6" xfId="0" applyNumberFormat="1" applyFont="1" applyFill="1" applyBorder="1" applyAlignment="1">
      <alignment horizontal="center"/>
    </xf>
    <xf numFmtId="170" fontId="8" fillId="0" borderId="6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6" borderId="0" xfId="0" applyFont="1" applyFill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/>
    </xf>
    <xf numFmtId="10" fontId="8" fillId="0" borderId="1" xfId="0" applyNumberFormat="1" applyFont="1" applyBorder="1" applyAlignment="1">
      <alignment horizontal="center" vertical="center"/>
    </xf>
    <xf numFmtId="10" fontId="8" fillId="0" borderId="7" xfId="0" applyNumberFormat="1" applyFont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171" fontId="8" fillId="13" borderId="7" xfId="0" applyNumberFormat="1" applyFont="1" applyFill="1" applyBorder="1" applyAlignment="1">
      <alignment horizontal="center"/>
    </xf>
    <xf numFmtId="165" fontId="8" fillId="8" borderId="1" xfId="0" applyNumberFormat="1" applyFont="1" applyFill="1" applyBorder="1" applyAlignment="1">
      <alignment horizontal="center"/>
    </xf>
    <xf numFmtId="10" fontId="8" fillId="8" borderId="1" xfId="0" applyNumberFormat="1" applyFont="1" applyFill="1" applyBorder="1" applyAlignment="1">
      <alignment horizontal="center"/>
    </xf>
    <xf numFmtId="171" fontId="8" fillId="14" borderId="1" xfId="0" applyNumberFormat="1" applyFont="1" applyFill="1" applyBorder="1" applyAlignment="1">
      <alignment horizontal="center"/>
    </xf>
    <xf numFmtId="170" fontId="8" fillId="8" borderId="1" xfId="0" applyNumberFormat="1" applyFont="1" applyFill="1" applyBorder="1" applyAlignment="1">
      <alignment horizontal="center"/>
    </xf>
    <xf numFmtId="170" fontId="8" fillId="13" borderId="6" xfId="0" applyNumberFormat="1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171" fontId="8" fillId="15" borderId="1" xfId="0" applyNumberFormat="1" applyFont="1" applyFill="1" applyBorder="1" applyAlignment="1">
      <alignment horizontal="center"/>
    </xf>
    <xf numFmtId="170" fontId="8" fillId="11" borderId="1" xfId="0" applyNumberFormat="1" applyFont="1" applyFill="1" applyBorder="1" applyAlignment="1">
      <alignment horizontal="center"/>
    </xf>
    <xf numFmtId="165" fontId="8" fillId="11" borderId="1" xfId="0" applyNumberFormat="1" applyFont="1" applyFill="1" applyBorder="1" applyAlignment="1">
      <alignment horizontal="center"/>
    </xf>
    <xf numFmtId="10" fontId="8" fillId="11" borderId="1" xfId="0" applyNumberFormat="1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 vertical="center"/>
    </xf>
    <xf numFmtId="1" fontId="8" fillId="9" borderId="7" xfId="0" applyNumberFormat="1" applyFont="1" applyFill="1" applyBorder="1" applyAlignment="1">
      <alignment horizontal="center" vertical="center"/>
    </xf>
    <xf numFmtId="2" fontId="8" fillId="9" borderId="7" xfId="0" applyNumberFormat="1" applyFont="1" applyFill="1" applyBorder="1" applyAlignment="1">
      <alignment horizontal="center" vertical="center"/>
    </xf>
    <xf numFmtId="0" fontId="0" fillId="16" borderId="0" xfId="0" applyFill="1"/>
    <xf numFmtId="2" fontId="10" fillId="16" borderId="0" xfId="0" applyNumberFormat="1" applyFont="1" applyFill="1" applyAlignment="1">
      <alignment horizontal="center"/>
    </xf>
    <xf numFmtId="0" fontId="13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2" fontId="0" fillId="16" borderId="0" xfId="0" applyNumberFormat="1" applyFill="1"/>
    <xf numFmtId="0" fontId="26" fillId="12" borderId="0" xfId="0" applyFont="1" applyFill="1"/>
    <xf numFmtId="0" fontId="26" fillId="17" borderId="0" xfId="0" applyFont="1" applyFill="1"/>
    <xf numFmtId="0" fontId="0" fillId="17" borderId="0" xfId="0" applyFill="1"/>
    <xf numFmtId="0" fontId="10" fillId="17" borderId="0" xfId="0" applyFont="1" applyFill="1" applyAlignment="1">
      <alignment horizontal="center"/>
    </xf>
    <xf numFmtId="2" fontId="0" fillId="17" borderId="0" xfId="0" applyNumberFormat="1" applyFill="1"/>
    <xf numFmtId="2" fontId="10" fillId="17" borderId="0" xfId="0" applyNumberFormat="1" applyFont="1" applyFill="1" applyAlignment="1">
      <alignment horizontal="center"/>
    </xf>
    <xf numFmtId="0" fontId="13" fillId="18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1" fontId="10" fillId="17" borderId="0" xfId="0" applyNumberFormat="1" applyFont="1" applyFill="1" applyAlignment="1">
      <alignment horizontal="center" vertical="center"/>
    </xf>
    <xf numFmtId="1" fontId="13" fillId="18" borderId="0" xfId="0" applyNumberFormat="1" applyFont="1" applyFill="1" applyAlignment="1">
      <alignment horizontal="left" vertical="center"/>
    </xf>
    <xf numFmtId="1" fontId="10" fillId="12" borderId="0" xfId="0" applyNumberFormat="1" applyFont="1" applyFill="1" applyAlignment="1">
      <alignment horizontal="left"/>
    </xf>
    <xf numFmtId="1" fontId="13" fillId="16" borderId="0" xfId="0" applyNumberFormat="1" applyFont="1" applyFill="1" applyAlignment="1">
      <alignment horizontal="left"/>
    </xf>
    <xf numFmtId="1" fontId="10" fillId="16" borderId="0" xfId="0" applyNumberFormat="1" applyFont="1" applyFill="1" applyAlignment="1">
      <alignment horizontal="left"/>
    </xf>
    <xf numFmtId="1" fontId="10" fillId="17" borderId="0" xfId="0" applyNumberFormat="1" applyFont="1" applyFill="1" applyAlignment="1">
      <alignment horizontal="left"/>
    </xf>
    <xf numFmtId="1" fontId="0" fillId="12" borderId="0" xfId="0" applyNumberFormat="1" applyFill="1" applyAlignment="1">
      <alignment horizontal="left"/>
    </xf>
    <xf numFmtId="1" fontId="0" fillId="0" borderId="0" xfId="0" applyNumberFormat="1" applyAlignment="1">
      <alignment horizontal="left"/>
    </xf>
    <xf numFmtId="0" fontId="10" fillId="0" borderId="0" xfId="0" applyFont="1" applyAlignment="1">
      <alignment horizontal="center" vertical="center"/>
    </xf>
    <xf numFmtId="175" fontId="0" fillId="0" borderId="0" xfId="0" applyNumberFormat="1" applyAlignment="1">
      <alignment horizontal="center"/>
    </xf>
    <xf numFmtId="175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175" fontId="0" fillId="8" borderId="0" xfId="0" applyNumberFormat="1" applyFill="1" applyAlignment="1">
      <alignment horizontal="center"/>
    </xf>
    <xf numFmtId="0" fontId="0" fillId="0" borderId="7" xfId="0" applyBorder="1" applyAlignment="1">
      <alignment horizontal="center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32" fillId="0" borderId="0" xfId="4"/>
    <xf numFmtId="0" fontId="33" fillId="0" borderId="0" xfId="4" applyFont="1" applyAlignment="1">
      <alignment horizontal="center" vertical="center"/>
    </xf>
    <xf numFmtId="0" fontId="33" fillId="20" borderId="0" xfId="4" applyFont="1" applyFill="1" applyAlignment="1">
      <alignment horizontal="center" vertical="center"/>
    </xf>
    <xf numFmtId="0" fontId="33" fillId="20" borderId="0" xfId="4" applyFont="1" applyFill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49" fontId="8" fillId="11" borderId="7" xfId="0" applyNumberFormat="1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0" fontId="8" fillId="21" borderId="7" xfId="0" applyFont="1" applyFill="1" applyBorder="1" applyAlignment="1">
      <alignment horizontal="center" vertical="center"/>
    </xf>
    <xf numFmtId="0" fontId="0" fillId="21" borderId="7" xfId="0" applyFill="1" applyBorder="1" applyAlignment="1">
      <alignment horizontal="center" vertical="center"/>
    </xf>
    <xf numFmtId="1" fontId="8" fillId="21" borderId="7" xfId="0" applyNumberFormat="1" applyFont="1" applyFill="1" applyBorder="1" applyAlignment="1">
      <alignment horizontal="center" vertical="center"/>
    </xf>
    <xf numFmtId="2" fontId="8" fillId="21" borderId="7" xfId="0" applyNumberFormat="1" applyFont="1" applyFill="1" applyBorder="1" applyAlignment="1">
      <alignment horizontal="center" vertical="center"/>
    </xf>
    <xf numFmtId="49" fontId="8" fillId="19" borderId="7" xfId="0" applyNumberFormat="1" applyFont="1" applyFill="1" applyBorder="1" applyAlignment="1">
      <alignment horizontal="center" vertical="center"/>
    </xf>
    <xf numFmtId="0" fontId="22" fillId="19" borderId="7" xfId="0" applyFont="1" applyFill="1" applyBorder="1" applyAlignment="1">
      <alignment horizontal="center"/>
    </xf>
    <xf numFmtId="0" fontId="19" fillId="19" borderId="7" xfId="0" applyFont="1" applyFill="1" applyBorder="1" applyAlignment="1">
      <alignment horizontal="center"/>
    </xf>
    <xf numFmtId="0" fontId="25" fillId="19" borderId="7" xfId="0" applyFont="1" applyFill="1" applyBorder="1" applyAlignment="1">
      <alignment horizontal="center"/>
    </xf>
    <xf numFmtId="0" fontId="22" fillId="19" borderId="1" xfId="0" applyFont="1" applyFill="1" applyBorder="1" applyAlignment="1">
      <alignment horizontal="center"/>
    </xf>
    <xf numFmtId="0" fontId="3" fillId="23" borderId="7" xfId="6" applyFill="1" applyBorder="1" applyAlignment="1">
      <alignment horizontal="center" vertical="center"/>
    </xf>
    <xf numFmtId="0" fontId="3" fillId="0" borderId="0" xfId="6"/>
    <xf numFmtId="2" fontId="33" fillId="23" borderId="7" xfId="6" applyNumberFormat="1" applyFont="1" applyFill="1" applyBorder="1" applyAlignment="1">
      <alignment horizontal="center" vertical="center"/>
    </xf>
    <xf numFmtId="168" fontId="33" fillId="0" borderId="0" xfId="6" applyNumberFormat="1" applyFont="1" applyAlignment="1">
      <alignment horizontal="center" vertical="center"/>
    </xf>
    <xf numFmtId="0" fontId="33" fillId="0" borderId="0" xfId="6" applyFont="1" applyAlignment="1">
      <alignment horizontal="center" vertical="center"/>
    </xf>
    <xf numFmtId="2" fontId="33" fillId="0" borderId="7" xfId="7" applyNumberFormat="1" applyFont="1" applyBorder="1" applyAlignment="1">
      <alignment horizontal="center" vertical="center"/>
    </xf>
    <xf numFmtId="2" fontId="33" fillId="0" borderId="10" xfId="7" applyNumberFormat="1" applyFont="1" applyBorder="1" applyAlignment="1">
      <alignment horizontal="center" vertical="center"/>
    </xf>
    <xf numFmtId="0" fontId="33" fillId="0" borderId="17" xfId="6" applyFont="1" applyBorder="1" applyAlignment="1">
      <alignment horizontal="center" vertical="center"/>
    </xf>
    <xf numFmtId="171" fontId="34" fillId="24" borderId="1" xfId="0" applyNumberFormat="1" applyFont="1" applyFill="1" applyBorder="1" applyAlignment="1">
      <alignment horizontal="center"/>
    </xf>
    <xf numFmtId="0" fontId="3" fillId="9" borderId="0" xfId="6" applyFill="1"/>
    <xf numFmtId="0" fontId="8" fillId="9" borderId="7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171" fontId="8" fillId="26" borderId="1" xfId="0" applyNumberFormat="1" applyFont="1" applyFill="1" applyBorder="1" applyAlignment="1">
      <alignment horizontal="center"/>
    </xf>
    <xf numFmtId="170" fontId="8" fillId="25" borderId="1" xfId="0" applyNumberFormat="1" applyFont="1" applyFill="1" applyBorder="1" applyAlignment="1">
      <alignment horizontal="center"/>
    </xf>
    <xf numFmtId="0" fontId="4" fillId="21" borderId="7" xfId="0" applyFont="1" applyFill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1" fontId="21" fillId="0" borderId="7" xfId="0" applyNumberFormat="1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35" fillId="0" borderId="7" xfId="3" applyFont="1" applyBorder="1" applyAlignment="1">
      <alignment horizontal="center" vertical="center"/>
    </xf>
    <xf numFmtId="0" fontId="4" fillId="25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49" fontId="4" fillId="6" borderId="7" xfId="0" applyNumberFormat="1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24" borderId="7" xfId="0" applyFont="1" applyFill="1" applyBorder="1" applyAlignment="1">
      <alignment horizontal="center" vertical="center"/>
    </xf>
    <xf numFmtId="0" fontId="25" fillId="24" borderId="7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1" fontId="14" fillId="0" borderId="7" xfId="0" applyNumberFormat="1" applyFont="1" applyBorder="1" applyAlignment="1">
      <alignment horizontal="center" vertical="center"/>
    </xf>
    <xf numFmtId="1" fontId="36" fillId="0" borderId="7" xfId="0" applyNumberFormat="1" applyFont="1" applyBorder="1" applyAlignment="1">
      <alignment horizontal="center" vertical="center"/>
    </xf>
    <xf numFmtId="1" fontId="14" fillId="2" borderId="7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/>
    </xf>
    <xf numFmtId="49" fontId="14" fillId="2" borderId="7" xfId="0" applyNumberFormat="1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165" fontId="14" fillId="2" borderId="7" xfId="0" applyNumberFormat="1" applyFont="1" applyFill="1" applyBorder="1" applyAlignment="1">
      <alignment horizontal="center"/>
    </xf>
    <xf numFmtId="10" fontId="14" fillId="2" borderId="7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4" fontId="11" fillId="0" borderId="7" xfId="0" applyNumberFormat="1" applyFont="1" applyBorder="1" applyAlignment="1">
      <alignment horizontal="center"/>
    </xf>
    <xf numFmtId="174" fontId="11" fillId="0" borderId="7" xfId="0" applyNumberFormat="1" applyFont="1" applyBorder="1" applyAlignment="1">
      <alignment horizontal="center"/>
    </xf>
    <xf numFmtId="165" fontId="11" fillId="0" borderId="7" xfId="0" applyNumberFormat="1" applyFont="1" applyBorder="1" applyAlignment="1">
      <alignment horizontal="center"/>
    </xf>
    <xf numFmtId="10" fontId="11" fillId="0" borderId="7" xfId="0" applyNumberFormat="1" applyFont="1" applyBorder="1" applyAlignment="1">
      <alignment horizontal="center"/>
    </xf>
    <xf numFmtId="10" fontId="11" fillId="8" borderId="7" xfId="0" applyNumberFormat="1" applyFont="1" applyFill="1" applyBorder="1" applyAlignment="1">
      <alignment horizontal="center"/>
    </xf>
    <xf numFmtId="49" fontId="11" fillId="22" borderId="7" xfId="0" applyNumberFormat="1" applyFont="1" applyFill="1" applyBorder="1" applyAlignment="1">
      <alignment horizontal="center"/>
    </xf>
    <xf numFmtId="0" fontId="11" fillId="22" borderId="7" xfId="0" applyFont="1" applyFill="1" applyBorder="1" applyAlignment="1">
      <alignment horizontal="center"/>
    </xf>
    <xf numFmtId="174" fontId="11" fillId="22" borderId="7" xfId="0" applyNumberFormat="1" applyFont="1" applyFill="1" applyBorder="1" applyAlignment="1">
      <alignment horizontal="center"/>
    </xf>
    <xf numFmtId="10" fontId="11" fillId="10" borderId="7" xfId="0" applyNumberFormat="1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9" fillId="21" borderId="7" xfId="0" applyFont="1" applyFill="1" applyBorder="1" applyAlignment="1">
      <alignment horizontal="center"/>
    </xf>
    <xf numFmtId="0" fontId="33" fillId="27" borderId="0" xfId="6" applyFont="1" applyFill="1" applyAlignment="1">
      <alignment horizontal="center" vertical="center"/>
    </xf>
    <xf numFmtId="0" fontId="2" fillId="0" borderId="0" xfId="6" applyFont="1"/>
    <xf numFmtId="0" fontId="19" fillId="21" borderId="1" xfId="0" applyFont="1" applyFill="1" applyBorder="1" applyAlignment="1">
      <alignment horizontal="center"/>
    </xf>
    <xf numFmtId="1" fontId="36" fillId="25" borderId="7" xfId="0" applyNumberFormat="1" applyFont="1" applyFill="1" applyBorder="1" applyAlignment="1">
      <alignment horizontal="center" vertical="center"/>
    </xf>
    <xf numFmtId="0" fontId="0" fillId="25" borderId="7" xfId="0" applyFill="1" applyBorder="1" applyAlignment="1">
      <alignment horizontal="center"/>
    </xf>
    <xf numFmtId="174" fontId="11" fillId="25" borderId="7" xfId="0" applyNumberFormat="1" applyFont="1" applyFill="1" applyBorder="1" applyAlignment="1">
      <alignment horizontal="center"/>
    </xf>
    <xf numFmtId="165" fontId="11" fillId="25" borderId="7" xfId="0" applyNumberFormat="1" applyFont="1" applyFill="1" applyBorder="1" applyAlignment="1">
      <alignment horizontal="center"/>
    </xf>
    <xf numFmtId="10" fontId="11" fillId="25" borderId="7" xfId="0" applyNumberFormat="1" applyFont="1" applyFill="1" applyBorder="1" applyAlignment="1">
      <alignment horizontal="center"/>
    </xf>
    <xf numFmtId="0" fontId="0" fillId="25" borderId="0" xfId="0" applyFill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76" fontId="19" fillId="0" borderId="1" xfId="0" applyNumberFormat="1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13" fillId="9" borderId="0" xfId="0" applyFont="1" applyFill="1" applyAlignment="1">
      <alignment horizontal="left"/>
    </xf>
    <xf numFmtId="1" fontId="13" fillId="9" borderId="0" xfId="0" applyNumberFormat="1" applyFont="1" applyFill="1" applyAlignment="1">
      <alignment horizontal="left"/>
    </xf>
    <xf numFmtId="0" fontId="0" fillId="9" borderId="0" xfId="0" applyFill="1"/>
    <xf numFmtId="165" fontId="13" fillId="9" borderId="0" xfId="0" applyNumberFormat="1" applyFont="1" applyFill="1" applyAlignment="1">
      <alignment horizontal="center"/>
    </xf>
    <xf numFmtId="2" fontId="10" fillId="9" borderId="0" xfId="0" applyNumberFormat="1" applyFont="1" applyFill="1" applyAlignment="1">
      <alignment horizontal="center"/>
    </xf>
    <xf numFmtId="0" fontId="1" fillId="0" borderId="0" xfId="8"/>
    <xf numFmtId="0" fontId="1" fillId="23" borderId="7" xfId="8" applyFill="1" applyBorder="1" applyAlignment="1">
      <alignment horizontal="center" vertical="center"/>
    </xf>
    <xf numFmtId="2" fontId="33" fillId="23" borderId="7" xfId="9" applyNumberFormat="1" applyFont="1" applyFill="1" applyBorder="1" applyAlignment="1">
      <alignment horizontal="center" vertical="center"/>
    </xf>
    <xf numFmtId="168" fontId="33" fillId="0" borderId="0" xfId="8" applyNumberFormat="1" applyFont="1" applyAlignment="1">
      <alignment horizontal="center" vertical="center"/>
    </xf>
    <xf numFmtId="0" fontId="33" fillId="0" borderId="0" xfId="8" applyFont="1" applyAlignment="1">
      <alignment horizontal="center" vertical="center"/>
    </xf>
    <xf numFmtId="2" fontId="33" fillId="0" borderId="7" xfId="10" applyNumberFormat="1" applyFont="1" applyBorder="1" applyAlignment="1">
      <alignment horizontal="center" vertical="center"/>
    </xf>
    <xf numFmtId="2" fontId="33" fillId="0" borderId="17" xfId="8" applyNumberFormat="1" applyFont="1" applyBorder="1" applyAlignment="1">
      <alignment horizontal="center" vertical="center"/>
    </xf>
    <xf numFmtId="0" fontId="22" fillId="9" borderId="7" xfId="0" applyFont="1" applyFill="1" applyBorder="1" applyAlignment="1">
      <alignment horizontal="center"/>
    </xf>
    <xf numFmtId="3" fontId="19" fillId="19" borderId="6" xfId="0" applyNumberFormat="1" applyFont="1" applyFill="1" applyBorder="1" applyAlignment="1">
      <alignment horizontal="center"/>
    </xf>
    <xf numFmtId="2" fontId="19" fillId="19" borderId="1" xfId="0" applyNumberFormat="1" applyFont="1" applyFill="1" applyBorder="1" applyAlignment="1">
      <alignment horizontal="center"/>
    </xf>
    <xf numFmtId="165" fontId="19" fillId="19" borderId="1" xfId="0" applyNumberFormat="1" applyFont="1" applyFill="1" applyBorder="1" applyAlignment="1">
      <alignment horizontal="center"/>
    </xf>
    <xf numFmtId="49" fontId="11" fillId="19" borderId="7" xfId="0" applyNumberFormat="1" applyFont="1" applyFill="1" applyBorder="1" applyAlignment="1">
      <alignment horizontal="center"/>
    </xf>
    <xf numFmtId="1" fontId="36" fillId="19" borderId="7" xfId="0" applyNumberFormat="1" applyFont="1" applyFill="1" applyBorder="1" applyAlignment="1">
      <alignment horizontal="center" vertical="center"/>
    </xf>
    <xf numFmtId="9" fontId="11" fillId="0" borderId="7" xfId="0" applyNumberFormat="1" applyFont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26" fillId="9" borderId="0" xfId="0" applyFont="1" applyFill="1"/>
    <xf numFmtId="1" fontId="10" fillId="9" borderId="0" xfId="0" applyNumberFormat="1" applyFont="1" applyFill="1" applyAlignment="1">
      <alignment horizontal="left"/>
    </xf>
    <xf numFmtId="2" fontId="0" fillId="9" borderId="0" xfId="0" applyNumberFormat="1" applyFill="1"/>
    <xf numFmtId="0" fontId="4" fillId="9" borderId="7" xfId="0" applyFont="1" applyFill="1" applyBorder="1" applyAlignment="1">
      <alignment horizontal="center"/>
    </xf>
    <xf numFmtId="2" fontId="22" fillId="19" borderId="7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5" fontId="14" fillId="0" borderId="7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21" fillId="0" borderId="0" xfId="0" applyNumberFormat="1" applyFont="1" applyAlignment="1">
      <alignment horizontal="center" vertical="center"/>
    </xf>
    <xf numFmtId="9" fontId="21" fillId="0" borderId="0" xfId="1" applyFont="1" applyAlignment="1">
      <alignment horizontal="center" vertical="center"/>
    </xf>
    <xf numFmtId="0" fontId="22" fillId="21" borderId="1" xfId="0" applyFont="1" applyFill="1" applyBorder="1" applyAlignment="1">
      <alignment horizontal="center"/>
    </xf>
    <xf numFmtId="0" fontId="22" fillId="21" borderId="7" xfId="0" applyFont="1" applyFill="1" applyBorder="1" applyAlignment="1">
      <alignment horizontal="center"/>
    </xf>
    <xf numFmtId="2" fontId="4" fillId="2" borderId="3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9" fillId="21" borderId="0" xfId="0" applyFont="1" applyFill="1" applyAlignment="1">
      <alignment horizontal="center"/>
    </xf>
    <xf numFmtId="0" fontId="21" fillId="21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21" fillId="22" borderId="0" xfId="0" applyFont="1" applyFill="1" applyAlignment="1">
      <alignment horizontal="center"/>
    </xf>
    <xf numFmtId="170" fontId="4" fillId="6" borderId="7" xfId="0" applyNumberFormat="1" applyFont="1" applyFill="1" applyBorder="1" applyAlignment="1">
      <alignment horizontal="center" vertical="center"/>
    </xf>
    <xf numFmtId="170" fontId="4" fillId="0" borderId="7" xfId="0" applyNumberFormat="1" applyFont="1" applyBorder="1" applyAlignment="1">
      <alignment horizontal="center" vertical="center"/>
    </xf>
    <xf numFmtId="0" fontId="33" fillId="23" borderId="0" xfId="8" applyFont="1" applyFill="1" applyAlignment="1">
      <alignment horizontal="center" vertical="center"/>
    </xf>
    <xf numFmtId="0" fontId="33" fillId="23" borderId="13" xfId="9" applyFont="1" applyFill="1" applyBorder="1" applyAlignment="1">
      <alignment horizontal="center" vertical="center"/>
    </xf>
    <xf numFmtId="0" fontId="33" fillId="23" borderId="14" xfId="9" applyFont="1" applyFill="1" applyBorder="1" applyAlignment="1">
      <alignment horizontal="center" vertical="center"/>
    </xf>
    <xf numFmtId="0" fontId="33" fillId="23" borderId="16" xfId="9" applyFont="1" applyFill="1" applyBorder="1" applyAlignment="1">
      <alignment horizontal="center" vertical="center"/>
    </xf>
    <xf numFmtId="0" fontId="33" fillId="23" borderId="0" xfId="9" applyFont="1" applyFill="1" applyAlignment="1">
      <alignment horizontal="center" vertical="center"/>
    </xf>
    <xf numFmtId="0" fontId="33" fillId="23" borderId="18" xfId="9" applyFont="1" applyFill="1" applyBorder="1" applyAlignment="1">
      <alignment horizontal="center" vertical="center"/>
    </xf>
    <xf numFmtId="0" fontId="33" fillId="23" borderId="19" xfId="9" applyFont="1" applyFill="1" applyBorder="1" applyAlignment="1">
      <alignment horizontal="center" vertical="center"/>
    </xf>
    <xf numFmtId="2" fontId="33" fillId="0" borderId="15" xfId="8" applyNumberFormat="1" applyFont="1" applyBorder="1" applyAlignment="1">
      <alignment horizontal="center" vertical="center"/>
    </xf>
    <xf numFmtId="0" fontId="33" fillId="0" borderId="17" xfId="8" applyFont="1" applyBorder="1" applyAlignment="1">
      <alignment horizontal="center" vertical="center"/>
    </xf>
    <xf numFmtId="0" fontId="33" fillId="0" borderId="20" xfId="8" applyFont="1" applyBorder="1" applyAlignment="1">
      <alignment horizontal="center" vertical="center"/>
    </xf>
    <xf numFmtId="0" fontId="33" fillId="0" borderId="21" xfId="8" applyFont="1" applyBorder="1" applyAlignment="1">
      <alignment horizontal="center" vertical="center"/>
    </xf>
    <xf numFmtId="1" fontId="33" fillId="0" borderId="0" xfId="8" applyNumberFormat="1" applyFont="1" applyAlignment="1">
      <alignment horizontal="center" vertical="center"/>
    </xf>
    <xf numFmtId="1" fontId="33" fillId="0" borderId="17" xfId="8" applyNumberFormat="1" applyFont="1" applyBorder="1" applyAlignment="1">
      <alignment horizontal="center" vertical="center"/>
    </xf>
    <xf numFmtId="165" fontId="33" fillId="0" borderId="15" xfId="8" applyNumberFormat="1" applyFont="1" applyBorder="1" applyAlignment="1">
      <alignment horizontal="center" vertical="center"/>
    </xf>
    <xf numFmtId="165" fontId="33" fillId="0" borderId="17" xfId="8" applyNumberFormat="1" applyFont="1" applyBorder="1" applyAlignment="1">
      <alignment horizontal="center" vertical="center"/>
    </xf>
    <xf numFmtId="165" fontId="33" fillId="0" borderId="20" xfId="8" applyNumberFormat="1" applyFont="1" applyBorder="1" applyAlignment="1">
      <alignment horizontal="center" vertical="center"/>
    </xf>
    <xf numFmtId="0" fontId="33" fillId="0" borderId="7" xfId="9" applyFont="1" applyBorder="1" applyAlignment="1">
      <alignment horizontal="center" vertical="center"/>
    </xf>
    <xf numFmtId="0" fontId="37" fillId="0" borderId="0" xfId="8" applyFont="1" applyAlignment="1">
      <alignment horizontal="center" vertical="center"/>
    </xf>
    <xf numFmtId="0" fontId="37" fillId="0" borderId="22" xfId="8" applyFont="1" applyBorder="1" applyAlignment="1">
      <alignment horizontal="center" vertical="center"/>
    </xf>
    <xf numFmtId="0" fontId="33" fillId="23" borderId="11" xfId="9" applyFont="1" applyFill="1" applyBorder="1" applyAlignment="1">
      <alignment horizontal="center" vertical="center"/>
    </xf>
    <xf numFmtId="0" fontId="33" fillId="23" borderId="12" xfId="9" applyFont="1" applyFill="1" applyBorder="1" applyAlignment="1">
      <alignment horizontal="center" vertical="center"/>
    </xf>
    <xf numFmtId="0" fontId="33" fillId="23" borderId="7" xfId="9" applyFont="1" applyFill="1" applyBorder="1" applyAlignment="1">
      <alignment horizontal="center" vertical="center"/>
    </xf>
    <xf numFmtId="0" fontId="33" fillId="23" borderId="8" xfId="8" applyFont="1" applyFill="1" applyBorder="1" applyAlignment="1">
      <alignment horizontal="center" vertical="center"/>
    </xf>
    <xf numFmtId="0" fontId="33" fillId="23" borderId="9" xfId="8" applyFont="1" applyFill="1" applyBorder="1" applyAlignment="1">
      <alignment horizontal="center" vertical="center"/>
    </xf>
    <xf numFmtId="168" fontId="33" fillId="23" borderId="8" xfId="8" applyNumberFormat="1" applyFont="1" applyFill="1" applyBorder="1" applyAlignment="1">
      <alignment horizontal="center" vertical="center"/>
    </xf>
    <xf numFmtId="168" fontId="33" fillId="23" borderId="9" xfId="8" applyNumberFormat="1" applyFont="1" applyFill="1" applyBorder="1" applyAlignment="1">
      <alignment horizontal="center" vertical="center"/>
    </xf>
    <xf numFmtId="0" fontId="33" fillId="0" borderId="8" xfId="9" applyFont="1" applyBorder="1" applyAlignment="1">
      <alignment horizontal="center" vertical="center"/>
    </xf>
    <xf numFmtId="0" fontId="33" fillId="0" borderId="23" xfId="9" applyFont="1" applyBorder="1" applyAlignment="1">
      <alignment horizontal="center" vertical="center"/>
    </xf>
    <xf numFmtId="0" fontId="33" fillId="0" borderId="9" xfId="9" applyFont="1" applyBorder="1" applyAlignment="1">
      <alignment horizontal="center" vertical="center"/>
    </xf>
    <xf numFmtId="0" fontId="33" fillId="23" borderId="11" xfId="6" applyFont="1" applyFill="1" applyBorder="1" applyAlignment="1">
      <alignment horizontal="center" vertical="center"/>
    </xf>
    <xf numFmtId="0" fontId="33" fillId="23" borderId="12" xfId="6" applyFont="1" applyFill="1" applyBorder="1" applyAlignment="1">
      <alignment horizontal="center" vertical="center"/>
    </xf>
    <xf numFmtId="0" fontId="33" fillId="23" borderId="7" xfId="6" applyFont="1" applyFill="1" applyBorder="1" applyAlignment="1">
      <alignment horizontal="center" vertical="center"/>
    </xf>
    <xf numFmtId="0" fontId="33" fillId="23" borderId="8" xfId="6" applyFont="1" applyFill="1" applyBorder="1" applyAlignment="1">
      <alignment horizontal="center" vertical="center"/>
    </xf>
    <xf numFmtId="0" fontId="33" fillId="23" borderId="9" xfId="6" applyFont="1" applyFill="1" applyBorder="1" applyAlignment="1">
      <alignment horizontal="center" vertical="center"/>
    </xf>
    <xf numFmtId="168" fontId="33" fillId="23" borderId="8" xfId="6" applyNumberFormat="1" applyFont="1" applyFill="1" applyBorder="1" applyAlignment="1">
      <alignment horizontal="center" vertical="center"/>
    </xf>
    <xf numFmtId="168" fontId="33" fillId="23" borderId="9" xfId="6" applyNumberFormat="1" applyFont="1" applyFill="1" applyBorder="1" applyAlignment="1">
      <alignment horizontal="center" vertical="center"/>
    </xf>
    <xf numFmtId="0" fontId="33" fillId="0" borderId="10" xfId="6" applyFont="1" applyBorder="1" applyAlignment="1">
      <alignment horizontal="center" vertical="center"/>
    </xf>
    <xf numFmtId="0" fontId="33" fillId="0" borderId="7" xfId="6" applyFont="1" applyBorder="1" applyAlignment="1">
      <alignment horizontal="center" vertical="center"/>
    </xf>
    <xf numFmtId="1" fontId="33" fillId="0" borderId="0" xfId="6" applyNumberFormat="1" applyFont="1" applyAlignment="1">
      <alignment horizontal="center" vertical="center"/>
    </xf>
    <xf numFmtId="1" fontId="33" fillId="0" borderId="17" xfId="6" applyNumberFormat="1" applyFont="1" applyBorder="1" applyAlignment="1">
      <alignment horizontal="center" vertical="center"/>
    </xf>
    <xf numFmtId="0" fontId="33" fillId="23" borderId="13" xfId="6" applyFont="1" applyFill="1" applyBorder="1" applyAlignment="1">
      <alignment horizontal="center" vertical="center"/>
    </xf>
    <xf numFmtId="0" fontId="33" fillId="23" borderId="14" xfId="6" applyFont="1" applyFill="1" applyBorder="1" applyAlignment="1">
      <alignment horizontal="center" vertical="center"/>
    </xf>
    <xf numFmtId="0" fontId="33" fillId="23" borderId="16" xfId="6" applyFont="1" applyFill="1" applyBorder="1" applyAlignment="1">
      <alignment horizontal="center" vertical="center"/>
    </xf>
    <xf numFmtId="0" fontId="33" fillId="23" borderId="0" xfId="6" applyFont="1" applyFill="1" applyAlignment="1">
      <alignment horizontal="center" vertical="center"/>
    </xf>
    <xf numFmtId="0" fontId="33" fillId="23" borderId="18" xfId="6" applyFont="1" applyFill="1" applyBorder="1" applyAlignment="1">
      <alignment horizontal="center" vertical="center"/>
    </xf>
    <xf numFmtId="0" fontId="33" fillId="23" borderId="19" xfId="6" applyFont="1" applyFill="1" applyBorder="1" applyAlignment="1">
      <alignment horizontal="center" vertical="center"/>
    </xf>
    <xf numFmtId="2" fontId="33" fillId="0" borderId="15" xfId="6" applyNumberFormat="1" applyFont="1" applyBorder="1" applyAlignment="1">
      <alignment horizontal="center" vertical="center"/>
    </xf>
    <xf numFmtId="0" fontId="33" fillId="0" borderId="17" xfId="6" applyFont="1" applyBorder="1" applyAlignment="1">
      <alignment horizontal="center" vertical="center"/>
    </xf>
    <xf numFmtId="0" fontId="33" fillId="0" borderId="20" xfId="6" applyFont="1" applyBorder="1" applyAlignment="1">
      <alignment horizontal="center" vertical="center"/>
    </xf>
    <xf numFmtId="0" fontId="33" fillId="0" borderId="15" xfId="6" applyFont="1" applyBorder="1" applyAlignment="1">
      <alignment horizontal="center" vertical="center"/>
    </xf>
    <xf numFmtId="0" fontId="33" fillId="0" borderId="21" xfId="6" applyFont="1" applyBorder="1" applyAlignment="1">
      <alignment horizontal="center" vertical="center"/>
    </xf>
    <xf numFmtId="0" fontId="33" fillId="0" borderId="0" xfId="4" applyFont="1" applyAlignment="1">
      <alignment horizontal="center" vertical="center"/>
    </xf>
    <xf numFmtId="0" fontId="33" fillId="20" borderId="0" xfId="4" applyFont="1" applyFill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170" fontId="21" fillId="0" borderId="7" xfId="0" applyNumberFormat="1" applyFont="1" applyBorder="1" applyAlignment="1">
      <alignment horizontal="center" vertical="center"/>
    </xf>
  </cellXfs>
  <cellStyles count="11">
    <cellStyle name="Hyperlink" xfId="3" builtinId="8"/>
    <cellStyle name="Normal" xfId="0" builtinId="0"/>
    <cellStyle name="Normal 2" xfId="2" xr:uid="{00000000-0005-0000-0000-000002000000}"/>
    <cellStyle name="Normal 2 2" xfId="6" xr:uid="{F039FE88-6CC9-430C-8294-24E3C17E5EBA}"/>
    <cellStyle name="Normal 2 3" xfId="9" xr:uid="{C7ECD549-D94C-4B6B-8C1E-45F542099617}"/>
    <cellStyle name="Normal 3" xfId="4" xr:uid="{00000000-0005-0000-0000-000003000000}"/>
    <cellStyle name="Normal 4" xfId="8" xr:uid="{B74AD437-0EE9-4F92-867D-6F527BE4412C}"/>
    <cellStyle name="Percent" xfId="1" builtinId="5"/>
    <cellStyle name="Percent 2" xfId="5" xr:uid="{00000000-0005-0000-0000-000005000000}"/>
    <cellStyle name="Percent 3" xfId="7" xr:uid="{8D2B5B7F-4E46-41E5-AA6C-BCBE6D86F710}"/>
    <cellStyle name="Percent 4" xfId="10" xr:uid="{C5AD6648-ED69-43CF-A9F5-36C8AF7505EC}"/>
  </cellStyles>
  <dxfs count="3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351C75"/>
          <bgColor rgb="FF351C75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351C75"/>
          <bgColor rgb="FF351C75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30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7581-1DE0-45BE-A91F-42487C02B2AC}">
  <sheetPr codeName="Sheet7"/>
  <dimension ref="A1:N28"/>
  <sheetViews>
    <sheetView workbookViewId="0">
      <selection activeCell="G27" sqref="G27"/>
    </sheetView>
  </sheetViews>
  <sheetFormatPr defaultColWidth="9.1796875" defaultRowHeight="14"/>
  <cols>
    <col min="1" max="1" width="13.7265625" style="271" bestFit="1" customWidth="1"/>
    <col min="2" max="3" width="6.54296875" style="271" bestFit="1" customWidth="1"/>
    <col min="4" max="5" width="9.1796875" style="271"/>
    <col min="6" max="6" width="15.54296875" style="271" bestFit="1" customWidth="1"/>
    <col min="7" max="7" width="9.81640625" style="271" bestFit="1" customWidth="1"/>
    <col min="8" max="16384" width="9.1796875" style="271"/>
  </cols>
  <sheetData>
    <row r="1" spans="1:12">
      <c r="A1" s="326" t="s">
        <v>2141</v>
      </c>
      <c r="B1" s="326"/>
      <c r="C1" s="326"/>
      <c r="D1" s="326"/>
      <c r="E1" s="326"/>
      <c r="F1" s="326"/>
      <c r="G1" s="326"/>
    </row>
    <row r="2" spans="1:12">
      <c r="A2" s="327"/>
      <c r="B2" s="327"/>
      <c r="C2" s="327"/>
      <c r="D2" s="327"/>
      <c r="E2" s="327"/>
      <c r="F2" s="327"/>
      <c r="G2" s="327"/>
    </row>
    <row r="3" spans="1:12">
      <c r="A3" s="328" t="s">
        <v>1960</v>
      </c>
      <c r="B3" s="328" t="s">
        <v>2094</v>
      </c>
      <c r="C3" s="330" t="s">
        <v>2095</v>
      </c>
      <c r="D3" s="331" t="s">
        <v>2096</v>
      </c>
      <c r="E3" s="332"/>
      <c r="F3" s="272" t="s">
        <v>2097</v>
      </c>
      <c r="G3" s="272" t="s">
        <v>2031</v>
      </c>
    </row>
    <row r="4" spans="1:12">
      <c r="A4" s="329"/>
      <c r="B4" s="329"/>
      <c r="C4" s="330"/>
      <c r="D4" s="333">
        <v>3</v>
      </c>
      <c r="E4" s="334"/>
      <c r="F4" s="272">
        <v>10.011166666666664</v>
      </c>
      <c r="G4" s="272">
        <f>F4*G12</f>
        <v>547.10024716666658</v>
      </c>
      <c r="K4" s="271">
        <v>10</v>
      </c>
      <c r="L4" s="271">
        <v>10.227</v>
      </c>
    </row>
    <row r="5" spans="1:12">
      <c r="A5" s="329"/>
      <c r="B5" s="329"/>
      <c r="C5" s="330" t="s">
        <v>1959</v>
      </c>
      <c r="D5" s="330"/>
      <c r="E5" s="330"/>
      <c r="F5" s="330"/>
      <c r="G5" s="273" t="s">
        <v>1957</v>
      </c>
      <c r="K5" s="271">
        <v>10</v>
      </c>
      <c r="L5" s="271">
        <v>10.25</v>
      </c>
    </row>
    <row r="6" spans="1:12">
      <c r="A6" s="274">
        <f>B6*G6</f>
        <v>4.5999999999999996</v>
      </c>
      <c r="B6" s="275">
        <v>1</v>
      </c>
      <c r="C6" s="335" t="s">
        <v>1735</v>
      </c>
      <c r="D6" s="336"/>
      <c r="E6" s="336"/>
      <c r="F6" s="337"/>
      <c r="G6" s="276">
        <v>4.5999999999999996</v>
      </c>
      <c r="H6" s="271">
        <v>5430</v>
      </c>
      <c r="K6" s="271">
        <v>11</v>
      </c>
      <c r="L6" s="271">
        <v>10.295</v>
      </c>
    </row>
    <row r="7" spans="1:12">
      <c r="A7" s="274">
        <f>B7*G7</f>
        <v>7</v>
      </c>
      <c r="B7" s="275">
        <v>10</v>
      </c>
      <c r="C7" s="325" t="s">
        <v>2142</v>
      </c>
      <c r="D7" s="325"/>
      <c r="E7" s="325"/>
      <c r="F7" s="325"/>
      <c r="G7" s="276">
        <v>0.7</v>
      </c>
      <c r="H7" s="271" t="s">
        <v>2145</v>
      </c>
      <c r="K7" s="271">
        <v>11</v>
      </c>
      <c r="L7" s="271">
        <v>10.25</v>
      </c>
    </row>
    <row r="8" spans="1:12">
      <c r="A8" s="274">
        <f>B8*G8</f>
        <v>0</v>
      </c>
      <c r="B8" s="275">
        <v>5</v>
      </c>
      <c r="C8" s="325" t="s">
        <v>1872</v>
      </c>
      <c r="D8" s="325"/>
      <c r="E8" s="325"/>
      <c r="F8" s="325"/>
      <c r="G8" s="276">
        <v>0</v>
      </c>
      <c r="H8" s="271">
        <v>4598</v>
      </c>
      <c r="K8" s="271">
        <v>12</v>
      </c>
      <c r="L8" s="271">
        <v>10.095000000000001</v>
      </c>
    </row>
    <row r="9" spans="1:12">
      <c r="A9" s="274">
        <f>B9*G9</f>
        <v>4</v>
      </c>
      <c r="B9" s="275">
        <v>5</v>
      </c>
      <c r="C9" s="325" t="s">
        <v>1504</v>
      </c>
      <c r="D9" s="325"/>
      <c r="E9" s="325"/>
      <c r="F9" s="325"/>
      <c r="G9" s="276">
        <v>0.8</v>
      </c>
      <c r="H9" s="271" t="s">
        <v>2145</v>
      </c>
      <c r="K9" s="271">
        <v>12</v>
      </c>
      <c r="L9" s="271">
        <v>10.417</v>
      </c>
    </row>
    <row r="10" spans="1:12">
      <c r="A10" s="274">
        <f>G4-A9-A8-A7-A6</f>
        <v>531.50024716666655</v>
      </c>
      <c r="B10" s="275">
        <f>A10/G10</f>
        <v>11.096270217889028</v>
      </c>
      <c r="C10" s="325" t="s">
        <v>2143</v>
      </c>
      <c r="D10" s="325"/>
      <c r="E10" s="325"/>
      <c r="F10" s="325"/>
      <c r="G10" s="276">
        <v>47.899000000000001</v>
      </c>
      <c r="H10" s="271" t="s">
        <v>2146</v>
      </c>
      <c r="I10" s="271" t="s">
        <v>2147</v>
      </c>
      <c r="J10" s="271" t="s">
        <v>2148</v>
      </c>
      <c r="K10" s="271">
        <v>13</v>
      </c>
      <c r="L10" s="271">
        <v>10.212999999999999</v>
      </c>
    </row>
    <row r="11" spans="1:12" ht="14.5" thickBot="1">
      <c r="A11" s="274">
        <f>B11*G11</f>
        <v>0</v>
      </c>
      <c r="B11" s="275">
        <v>0</v>
      </c>
      <c r="C11" s="325" t="s">
        <v>2144</v>
      </c>
      <c r="D11" s="325"/>
      <c r="E11" s="325"/>
      <c r="F11" s="325"/>
      <c r="G11" s="276">
        <v>0.65</v>
      </c>
      <c r="K11" s="271">
        <v>13</v>
      </c>
      <c r="L11" s="271">
        <v>10.162000000000001</v>
      </c>
    </row>
    <row r="12" spans="1:12">
      <c r="A12" s="309" t="s">
        <v>2094</v>
      </c>
      <c r="B12" s="309"/>
      <c r="C12" s="310" t="s">
        <v>2102</v>
      </c>
      <c r="D12" s="311"/>
      <c r="E12" s="311"/>
      <c r="F12" s="311"/>
      <c r="G12" s="316">
        <f>SUM(G6:G11)</f>
        <v>54.649000000000001</v>
      </c>
      <c r="K12" s="271">
        <v>13</v>
      </c>
      <c r="L12" s="271">
        <v>9.3360000000000003</v>
      </c>
    </row>
    <row r="13" spans="1:12">
      <c r="A13" s="309"/>
      <c r="B13" s="309"/>
      <c r="C13" s="312"/>
      <c r="D13" s="313"/>
      <c r="E13" s="313"/>
      <c r="F13" s="313"/>
      <c r="G13" s="317"/>
      <c r="K13" s="271">
        <v>14</v>
      </c>
      <c r="L13" s="271">
        <v>10.25</v>
      </c>
    </row>
    <row r="14" spans="1:12" ht="14.5" thickBot="1">
      <c r="A14" s="309"/>
      <c r="B14" s="309"/>
      <c r="C14" s="314"/>
      <c r="D14" s="315"/>
      <c r="E14" s="315"/>
      <c r="F14" s="315"/>
      <c r="G14" s="318"/>
      <c r="K14" s="271">
        <v>14</v>
      </c>
      <c r="L14" s="271">
        <v>9.7739999999999991</v>
      </c>
    </row>
    <row r="15" spans="1:12" ht="14.5" thickBot="1">
      <c r="A15" s="309"/>
      <c r="B15" s="309"/>
      <c r="C15" s="319" t="s">
        <v>2104</v>
      </c>
      <c r="D15" s="319"/>
      <c r="E15" s="319"/>
      <c r="F15" s="319"/>
      <c r="G15" s="277">
        <f>G12-G16</f>
        <v>0.64999999999999858</v>
      </c>
      <c r="K15" s="271">
        <v>15</v>
      </c>
      <c r="L15" s="271">
        <v>10.208</v>
      </c>
    </row>
    <row r="16" spans="1:12">
      <c r="A16" s="320">
        <f>SUM(A6:A11)</f>
        <v>547.10024716666658</v>
      </c>
      <c r="B16" s="321"/>
      <c r="C16" s="310" t="s">
        <v>2105</v>
      </c>
      <c r="D16" s="311"/>
      <c r="E16" s="311"/>
      <c r="F16" s="311"/>
      <c r="G16" s="322">
        <f>SUM(G6:G10)</f>
        <v>53.999000000000002</v>
      </c>
      <c r="K16" s="271">
        <v>15</v>
      </c>
      <c r="L16" s="271">
        <v>9.9870000000000001</v>
      </c>
    </row>
    <row r="17" spans="1:14">
      <c r="A17" s="320"/>
      <c r="B17" s="321"/>
      <c r="C17" s="312"/>
      <c r="D17" s="313"/>
      <c r="E17" s="313"/>
      <c r="F17" s="313"/>
      <c r="G17" s="323"/>
      <c r="K17" s="271">
        <v>16</v>
      </c>
      <c r="L17" s="271">
        <v>9.85</v>
      </c>
    </row>
    <row r="18" spans="1:14" ht="14.5" thickBot="1">
      <c r="A18" s="320"/>
      <c r="B18" s="321"/>
      <c r="C18" s="314"/>
      <c r="D18" s="315"/>
      <c r="E18" s="315"/>
      <c r="F18" s="315"/>
      <c r="G18" s="324"/>
      <c r="K18" s="271">
        <v>16</v>
      </c>
      <c r="L18" s="271">
        <v>10.11</v>
      </c>
    </row>
    <row r="19" spans="1:14">
      <c r="K19" s="271">
        <v>16</v>
      </c>
      <c r="L19" s="271">
        <v>10.343</v>
      </c>
    </row>
    <row r="20" spans="1:14">
      <c r="A20" s="271">
        <v>11.65399068874089</v>
      </c>
      <c r="B20" s="271">
        <v>12.044481981981981</v>
      </c>
      <c r="C20" s="271">
        <v>12.15685019206146</v>
      </c>
      <c r="K20" s="271">
        <v>17</v>
      </c>
      <c r="L20" s="271">
        <v>9.8030000000000008</v>
      </c>
    </row>
    <row r="21" spans="1:14">
      <c r="A21" s="271">
        <f>A20+B20+C20</f>
        <v>35.855322862784334</v>
      </c>
      <c r="F21" s="271">
        <v>14</v>
      </c>
      <c r="G21" s="271">
        <v>11.347359735973598</v>
      </c>
      <c r="K21" s="271">
        <v>17</v>
      </c>
      <c r="L21" s="271">
        <v>9.85</v>
      </c>
      <c r="M21" s="271">
        <f>L21+L20</f>
        <v>19.652999999999999</v>
      </c>
      <c r="N21" s="271">
        <f>M21/2</f>
        <v>9.8264999999999993</v>
      </c>
    </row>
    <row r="22" spans="1:14">
      <c r="A22" s="271">
        <f>A21/3</f>
        <v>11.951774287594779</v>
      </c>
      <c r="F22" s="271">
        <v>15</v>
      </c>
      <c r="G22" s="271">
        <v>11.096657004830917</v>
      </c>
      <c r="K22" s="271">
        <v>18</v>
      </c>
      <c r="L22" s="271">
        <v>9.8230000000000004</v>
      </c>
      <c r="M22" s="271">
        <f>L22+L23</f>
        <v>19.673000000000002</v>
      </c>
      <c r="N22" s="271">
        <f>M22/2</f>
        <v>9.8365000000000009</v>
      </c>
    </row>
    <row r="23" spans="1:14">
      <c r="F23" s="271">
        <v>17</v>
      </c>
      <c r="G23" s="271">
        <v>10.595349573078854</v>
      </c>
      <c r="K23" s="271">
        <v>18</v>
      </c>
      <c r="L23" s="271">
        <v>9.85</v>
      </c>
    </row>
    <row r="24" spans="1:14">
      <c r="F24" s="271">
        <v>18</v>
      </c>
      <c r="G24" s="271">
        <v>10.871600637069482</v>
      </c>
      <c r="K24" s="271">
        <v>19</v>
      </c>
      <c r="L24" s="271">
        <v>9.7780000000000005</v>
      </c>
      <c r="M24" s="271">
        <f>L24+L25</f>
        <v>19.508000000000003</v>
      </c>
      <c r="N24" s="271">
        <f>M24/2</f>
        <v>9.7540000000000013</v>
      </c>
    </row>
    <row r="25" spans="1:14">
      <c r="F25" s="271">
        <v>19</v>
      </c>
      <c r="G25" s="271">
        <v>10.674131736526945</v>
      </c>
      <c r="K25" s="271">
        <v>19</v>
      </c>
      <c r="L25" s="271">
        <v>9.73</v>
      </c>
    </row>
    <row r="26" spans="1:14">
      <c r="G26" s="271">
        <f>SUM(G21:G25)</f>
        <v>54.5850986874798</v>
      </c>
      <c r="K26" s="271">
        <v>20</v>
      </c>
      <c r="L26" s="271">
        <v>9.8170000000000002</v>
      </c>
    </row>
    <row r="27" spans="1:14">
      <c r="G27" s="271">
        <f>G26/5</f>
        <v>10.917019737495959</v>
      </c>
      <c r="K27" s="271">
        <v>20</v>
      </c>
      <c r="L27" s="271">
        <v>9.85</v>
      </c>
    </row>
    <row r="28" spans="1:14">
      <c r="L28" s="271">
        <f>AVERAGE(L4:L27)</f>
        <v>10.011166666666664</v>
      </c>
    </row>
  </sheetData>
  <mergeCells count="20">
    <mergeCell ref="C11:F11"/>
    <mergeCell ref="A1:G2"/>
    <mergeCell ref="A3:A5"/>
    <mergeCell ref="B3:B5"/>
    <mergeCell ref="C3:C4"/>
    <mergeCell ref="D3:E3"/>
    <mergeCell ref="D4:E4"/>
    <mergeCell ref="C5:F5"/>
    <mergeCell ref="C6:F6"/>
    <mergeCell ref="C7:F7"/>
    <mergeCell ref="C8:F8"/>
    <mergeCell ref="C9:F9"/>
    <mergeCell ref="C10:F10"/>
    <mergeCell ref="A12:B15"/>
    <mergeCell ref="C12:F14"/>
    <mergeCell ref="G12:G14"/>
    <mergeCell ref="C15:F15"/>
    <mergeCell ref="A16:B18"/>
    <mergeCell ref="C16:F18"/>
    <mergeCell ref="G16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 filterMode="1">
    <tabColor rgb="FF00B050"/>
    <outlinePr summaryBelow="0" summaryRight="0"/>
  </sheetPr>
  <dimension ref="A1:O691"/>
  <sheetViews>
    <sheetView topLeftCell="B1" zoomScaleNormal="100" zoomScaleSheetLayoutView="100" workbookViewId="0">
      <pane ySplit="1" topLeftCell="A52" activePane="bottomLeft" state="frozen"/>
      <selection pane="bottomLeft" activeCell="B249" sqref="B249"/>
    </sheetView>
  </sheetViews>
  <sheetFormatPr defaultColWidth="12.54296875" defaultRowHeight="12.5"/>
  <cols>
    <col min="1" max="1" width="12.54296875" style="78"/>
    <col min="2" max="2" width="18.81640625" style="189" customWidth="1"/>
    <col min="3" max="4" width="18.81640625" style="78" customWidth="1"/>
    <col min="5" max="5" width="32.453125" style="78" bestFit="1" customWidth="1"/>
    <col min="6" max="6" width="10.81640625" style="78" customWidth="1"/>
    <col min="7" max="7" width="20.453125" style="78" customWidth="1"/>
    <col min="8" max="8" width="13.453125" style="78" customWidth="1"/>
    <col min="9" max="9" width="14.81640625" style="78" customWidth="1"/>
    <col min="10" max="10" width="13.453125" style="78" customWidth="1"/>
    <col min="11" max="11" width="13.1796875" style="78" customWidth="1"/>
    <col min="12" max="12" width="13" style="78" customWidth="1"/>
    <col min="13" max="13" width="15.453125" style="78" customWidth="1"/>
    <col min="14" max="14" width="10.81640625" style="78" customWidth="1"/>
    <col min="15" max="16384" width="12.54296875" style="78"/>
  </cols>
  <sheetData>
    <row r="1" spans="1:14" ht="13">
      <c r="A1" s="78" t="s">
        <v>3001</v>
      </c>
      <c r="B1" s="233" t="s">
        <v>1327</v>
      </c>
      <c r="C1" s="234" t="s">
        <v>1799</v>
      </c>
      <c r="D1" s="234" t="s">
        <v>1800</v>
      </c>
      <c r="E1" s="235" t="s">
        <v>815</v>
      </c>
      <c r="F1" s="236" t="s">
        <v>1801</v>
      </c>
      <c r="G1" s="235" t="s">
        <v>1802</v>
      </c>
      <c r="H1" s="235" t="s">
        <v>1918</v>
      </c>
      <c r="I1" s="235" t="s">
        <v>1919</v>
      </c>
      <c r="J1" s="237" t="s">
        <v>822</v>
      </c>
      <c r="K1" s="235" t="s">
        <v>1803</v>
      </c>
      <c r="L1" s="238" t="s">
        <v>1804</v>
      </c>
      <c r="M1" s="239" t="s">
        <v>823</v>
      </c>
      <c r="N1" s="178" t="s">
        <v>1805</v>
      </c>
    </row>
    <row r="2" spans="1:14" ht="13" hidden="1">
      <c r="A2" s="78" t="s">
        <v>3072</v>
      </c>
      <c r="B2" s="219">
        <v>60069</v>
      </c>
      <c r="C2" s="240" t="s">
        <v>1825</v>
      </c>
      <c r="D2" s="240" t="s">
        <v>1851</v>
      </c>
      <c r="E2" s="240" t="s">
        <v>1841</v>
      </c>
      <c r="F2" s="284">
        <v>0</v>
      </c>
      <c r="G2" s="242">
        <v>11.99</v>
      </c>
      <c r="H2" s="243">
        <f ca="1">SUMIF('Sales 6.2026'!B:F,'All Menu'!B2,'Sales 6.2026'!F:F)</f>
        <v>0</v>
      </c>
      <c r="I2" s="241"/>
      <c r="J2" s="244">
        <f>SUMIF('Finished Recipe'!B:B, B2, 'Finished Recipe'!M:M)</f>
        <v>6.7135997560149097</v>
      </c>
      <c r="K2" s="244">
        <f t="shared" ref="K2:K28" si="0">G2-J2</f>
        <v>5.2764002439850906</v>
      </c>
      <c r="L2" s="245">
        <f t="shared" ref="L2:L19" si="1">J2/G2</f>
        <v>0.55993325738239441</v>
      </c>
      <c r="M2" s="245">
        <f t="shared" ref="M2:M19" si="2">K2/G2</f>
        <v>0.44006674261760553</v>
      </c>
      <c r="N2" s="23"/>
    </row>
    <row r="3" spans="1:14" ht="13" hidden="1">
      <c r="A3" s="78" t="s">
        <v>2462</v>
      </c>
      <c r="B3" s="231" t="s">
        <v>1847</v>
      </c>
      <c r="C3" s="240" t="s">
        <v>1825</v>
      </c>
      <c r="D3" s="240" t="s">
        <v>1496</v>
      </c>
      <c r="E3" s="240" t="s">
        <v>1848</v>
      </c>
      <c r="F3" s="284">
        <v>0.16</v>
      </c>
      <c r="G3" s="242">
        <v>0.86206896551724144</v>
      </c>
      <c r="H3" s="243">
        <f ca="1">SUMIF('Sales 6.2026'!B:F,'All Menu'!B3,'Sales 6.2026'!F:F)</f>
        <v>11</v>
      </c>
      <c r="I3" s="241"/>
      <c r="J3" s="244">
        <v>0.5</v>
      </c>
      <c r="K3" s="244">
        <f t="shared" si="0"/>
        <v>0.36206896551724144</v>
      </c>
      <c r="L3" s="245">
        <f t="shared" si="1"/>
        <v>0.57999999999999996</v>
      </c>
      <c r="M3" s="245">
        <f t="shared" si="2"/>
        <v>0.42000000000000004</v>
      </c>
      <c r="N3" s="23"/>
    </row>
    <row r="4" spans="1:14" ht="13" hidden="1">
      <c r="A4" s="78" t="s">
        <v>2463</v>
      </c>
      <c r="B4" s="231" t="s">
        <v>1494</v>
      </c>
      <c r="C4" s="240" t="s">
        <v>1825</v>
      </c>
      <c r="D4" s="240" t="s">
        <v>1496</v>
      </c>
      <c r="E4" s="240" t="s">
        <v>1495</v>
      </c>
      <c r="F4" s="284">
        <v>0.16</v>
      </c>
      <c r="G4" s="242">
        <v>0.86206896551724144</v>
      </c>
      <c r="H4" s="243">
        <f ca="1">SUMIF('Sales 6.2026'!B:F,'All Menu'!B4,'Sales 6.2026'!F:F)</f>
        <v>2491.5450000000001</v>
      </c>
      <c r="I4" s="241"/>
      <c r="J4" s="244">
        <v>0.5</v>
      </c>
      <c r="K4" s="244">
        <f t="shared" si="0"/>
        <v>0.36206896551724144</v>
      </c>
      <c r="L4" s="245">
        <f t="shared" si="1"/>
        <v>0.57999999999999996</v>
      </c>
      <c r="M4" s="245">
        <f t="shared" si="2"/>
        <v>0.42000000000000004</v>
      </c>
      <c r="N4" s="23"/>
    </row>
    <row r="5" spans="1:14" ht="13" hidden="1">
      <c r="A5" s="78" t="s">
        <v>2464</v>
      </c>
      <c r="B5" s="219" t="s">
        <v>1107</v>
      </c>
      <c r="C5" s="240" t="s">
        <v>1825</v>
      </c>
      <c r="D5" s="240" t="s">
        <v>1366</v>
      </c>
      <c r="E5" s="240" t="s">
        <v>1365</v>
      </c>
      <c r="F5" s="284">
        <v>0.16</v>
      </c>
      <c r="G5" s="242">
        <v>19.827586206896552</v>
      </c>
      <c r="H5" s="243">
        <f ca="1">SUMIF('Sales 6.2026'!B:F,'All Menu'!B5,'Sales 6.2026'!F:F)</f>
        <v>224.5</v>
      </c>
      <c r="I5" s="241"/>
      <c r="J5" s="244">
        <f>SUMIF('Finished Recipe'!B:B, B5, 'Finished Recipe'!M:M)</f>
        <v>13.950857516551945</v>
      </c>
      <c r="K5" s="244">
        <f t="shared" si="0"/>
        <v>5.8767286903446063</v>
      </c>
      <c r="L5" s="245">
        <f t="shared" si="1"/>
        <v>0.70360846605218508</v>
      </c>
      <c r="M5" s="245">
        <f t="shared" si="2"/>
        <v>0.29639153394781492</v>
      </c>
      <c r="N5" s="23"/>
    </row>
    <row r="6" spans="1:14" ht="13" hidden="1">
      <c r="A6" s="78" t="s">
        <v>2465</v>
      </c>
      <c r="B6" s="219" t="s">
        <v>1108</v>
      </c>
      <c r="C6" s="240" t="s">
        <v>1825</v>
      </c>
      <c r="D6" s="240" t="s">
        <v>1366</v>
      </c>
      <c r="E6" s="240" t="s">
        <v>1367</v>
      </c>
      <c r="F6" s="284">
        <v>0.16</v>
      </c>
      <c r="G6" s="242">
        <v>19.827586206896552</v>
      </c>
      <c r="H6" s="243">
        <f ca="1">SUMIF('Sales 6.2026'!B:F,'All Menu'!B6,'Sales 6.2026'!F:F)</f>
        <v>12.0001</v>
      </c>
      <c r="I6" s="241"/>
      <c r="J6" s="244">
        <f>SUMIF('Finished Recipe'!B:B, B6, 'Finished Recipe'!M:M)</f>
        <v>13.757561773390021</v>
      </c>
      <c r="K6" s="244">
        <f t="shared" si="0"/>
        <v>6.0700244335065303</v>
      </c>
      <c r="L6" s="245">
        <f t="shared" si="1"/>
        <v>0.69385963726662714</v>
      </c>
      <c r="M6" s="245">
        <f t="shared" si="2"/>
        <v>0.30614036273337286</v>
      </c>
      <c r="N6" s="23"/>
    </row>
    <row r="7" spans="1:14" ht="13" hidden="1">
      <c r="A7" s="78" t="s">
        <v>2466</v>
      </c>
      <c r="B7" s="219" t="s">
        <v>1120</v>
      </c>
      <c r="C7" s="240" t="s">
        <v>1825</v>
      </c>
      <c r="D7" s="240" t="s">
        <v>1366</v>
      </c>
      <c r="E7" s="240" t="s">
        <v>1368</v>
      </c>
      <c r="F7" s="284">
        <v>0.16</v>
      </c>
      <c r="G7" s="242">
        <v>19.827586206896552</v>
      </c>
      <c r="H7" s="243">
        <f ca="1">SUMIF('Sales 6.2026'!B:F,'All Menu'!B7,'Sales 6.2026'!F:F)</f>
        <v>9.0009999999999994</v>
      </c>
      <c r="I7" s="241"/>
      <c r="J7" s="244">
        <f>SUMIF('Finished Recipe'!B:B, B7, 'Finished Recipe'!M:M)</f>
        <v>14.043502748753404</v>
      </c>
      <c r="K7" s="244">
        <f t="shared" si="0"/>
        <v>5.7840834581431473</v>
      </c>
      <c r="L7" s="245">
        <f t="shared" si="1"/>
        <v>0.70828100819799777</v>
      </c>
      <c r="M7" s="245">
        <f t="shared" si="2"/>
        <v>0.29171899180200223</v>
      </c>
      <c r="N7" s="23"/>
    </row>
    <row r="8" spans="1:14" ht="13" hidden="1">
      <c r="A8" s="78" t="s">
        <v>2467</v>
      </c>
      <c r="B8" s="219" t="s">
        <v>1121</v>
      </c>
      <c r="C8" s="240" t="s">
        <v>1825</v>
      </c>
      <c r="D8" s="240" t="s">
        <v>1366</v>
      </c>
      <c r="E8" s="240" t="s">
        <v>1650</v>
      </c>
      <c r="F8" s="284">
        <v>0.16</v>
      </c>
      <c r="G8" s="242">
        <v>19.827586206896552</v>
      </c>
      <c r="H8" s="243">
        <f ca="1">SUMIF('Sales 6.2026'!B:F,'All Menu'!B8,'Sales 6.2026'!F:F)</f>
        <v>24.5</v>
      </c>
      <c r="I8" s="241"/>
      <c r="J8" s="244">
        <f>SUMIF('Finished Recipe'!B:B, B8, 'Finished Recipe'!M:M)</f>
        <v>14.851071923993471</v>
      </c>
      <c r="K8" s="244">
        <f t="shared" si="0"/>
        <v>4.9765142829030804</v>
      </c>
      <c r="L8" s="245">
        <f t="shared" si="1"/>
        <v>0.74901058399271425</v>
      </c>
      <c r="M8" s="245">
        <f t="shared" si="2"/>
        <v>0.2509894160072858</v>
      </c>
      <c r="N8" s="23"/>
    </row>
    <row r="9" spans="1:14" ht="13" hidden="1">
      <c r="A9" s="78" t="s">
        <v>2468</v>
      </c>
      <c r="B9" s="219" t="s">
        <v>1122</v>
      </c>
      <c r="C9" s="240" t="s">
        <v>1825</v>
      </c>
      <c r="D9" s="240" t="s">
        <v>1366</v>
      </c>
      <c r="E9" s="240" t="s">
        <v>1826</v>
      </c>
      <c r="F9" s="284">
        <v>0.16</v>
      </c>
      <c r="G9" s="242">
        <v>19.827586206896552</v>
      </c>
      <c r="H9" s="243">
        <f ca="1">SUMIF('Sales 6.2026'!B:F,'All Menu'!B9,'Sales 6.2026'!F:F)</f>
        <v>2</v>
      </c>
      <c r="I9" s="241"/>
      <c r="J9" s="244">
        <f>SUMIF('Finished Recipe'!B:B, B9, 'Finished Recipe'!M:M)</f>
        <v>15.034865405975454</v>
      </c>
      <c r="K9" s="244">
        <f t="shared" si="0"/>
        <v>4.7927208009210975</v>
      </c>
      <c r="L9" s="245">
        <f t="shared" si="1"/>
        <v>0.75828016830137068</v>
      </c>
      <c r="M9" s="245">
        <f t="shared" si="2"/>
        <v>0.24171983169862926</v>
      </c>
      <c r="N9" s="23"/>
    </row>
    <row r="10" spans="1:14" ht="13" hidden="1">
      <c r="A10" s="78" t="s">
        <v>2469</v>
      </c>
      <c r="B10" s="219" t="s">
        <v>1164</v>
      </c>
      <c r="C10" s="240" t="s">
        <v>1825</v>
      </c>
      <c r="D10" s="240" t="s">
        <v>1366</v>
      </c>
      <c r="E10" s="240" t="s">
        <v>1651</v>
      </c>
      <c r="F10" s="284">
        <v>0.16</v>
      </c>
      <c r="G10" s="242">
        <v>19.827586206896552</v>
      </c>
      <c r="H10" s="243">
        <f ca="1">SUMIF('Sales 6.2026'!B:F,'All Menu'!B10,'Sales 6.2026'!F:F)</f>
        <v>4</v>
      </c>
      <c r="I10" s="241"/>
      <c r="J10" s="244">
        <f>SUMIF('Finished Recipe'!B:B, B10, 'Finished Recipe'!M:M)</f>
        <v>13.566721674174687</v>
      </c>
      <c r="K10" s="244">
        <f t="shared" si="0"/>
        <v>6.2608645327218646</v>
      </c>
      <c r="L10" s="245">
        <f t="shared" si="1"/>
        <v>0.68423465834967989</v>
      </c>
      <c r="M10" s="245">
        <f t="shared" si="2"/>
        <v>0.31576534165032011</v>
      </c>
      <c r="N10" s="23"/>
    </row>
    <row r="11" spans="1:14" ht="13" hidden="1">
      <c r="A11" s="78" t="s">
        <v>2470</v>
      </c>
      <c r="B11" s="219" t="s">
        <v>1109</v>
      </c>
      <c r="C11" s="240" t="s">
        <v>1825</v>
      </c>
      <c r="D11" s="240" t="s">
        <v>1366</v>
      </c>
      <c r="E11" s="240" t="s">
        <v>1369</v>
      </c>
      <c r="F11" s="284">
        <v>0.16</v>
      </c>
      <c r="G11" s="242">
        <v>19.827586206896552</v>
      </c>
      <c r="H11" s="243">
        <f ca="1">SUMIF('Sales 6.2026'!B:F,'All Menu'!B11,'Sales 6.2026'!F:F)</f>
        <v>58</v>
      </c>
      <c r="I11" s="241"/>
      <c r="J11" s="244">
        <f>SUMIF('Finished Recipe'!B:B, B11, 'Finished Recipe'!M:M)</f>
        <v>13.546738353772389</v>
      </c>
      <c r="K11" s="244">
        <f t="shared" si="0"/>
        <v>6.2808478531241629</v>
      </c>
      <c r="L11" s="245">
        <f t="shared" si="1"/>
        <v>0.68322680392939006</v>
      </c>
      <c r="M11" s="245">
        <f t="shared" si="2"/>
        <v>0.31677319607060994</v>
      </c>
      <c r="N11" s="23"/>
    </row>
    <row r="12" spans="1:14" ht="13" hidden="1">
      <c r="A12" s="78" t="s">
        <v>2471</v>
      </c>
      <c r="B12" s="219" t="s">
        <v>1110</v>
      </c>
      <c r="C12" s="240" t="s">
        <v>1825</v>
      </c>
      <c r="D12" s="240" t="s">
        <v>1366</v>
      </c>
      <c r="E12" s="240" t="s">
        <v>1652</v>
      </c>
      <c r="F12" s="284">
        <v>0.16</v>
      </c>
      <c r="G12" s="242">
        <v>19.827586206896552</v>
      </c>
      <c r="H12" s="243">
        <f ca="1">SUMIF('Sales 6.2026'!B:F,'All Menu'!B12,'Sales 6.2026'!F:F)</f>
        <v>19.501000000000001</v>
      </c>
      <c r="I12" s="241"/>
      <c r="J12" s="244">
        <f>SUMIF('Finished Recipe'!B:B, B12, 'Finished Recipe'!M:M)</f>
        <v>13.501379535676035</v>
      </c>
      <c r="K12" s="244">
        <f t="shared" si="0"/>
        <v>6.3262066712205165</v>
      </c>
      <c r="L12" s="245">
        <f t="shared" si="1"/>
        <v>0.68093914179931303</v>
      </c>
      <c r="M12" s="245">
        <f t="shared" si="2"/>
        <v>0.31906085820068691</v>
      </c>
      <c r="N12" s="23"/>
    </row>
    <row r="13" spans="1:14" ht="13" hidden="1">
      <c r="A13" s="78" t="s">
        <v>2472</v>
      </c>
      <c r="B13" s="219" t="s">
        <v>1213</v>
      </c>
      <c r="C13" s="240" t="s">
        <v>1825</v>
      </c>
      <c r="D13" s="240" t="s">
        <v>1366</v>
      </c>
      <c r="E13" s="240" t="s">
        <v>1829</v>
      </c>
      <c r="F13" s="284">
        <v>0.16</v>
      </c>
      <c r="G13" s="242">
        <v>12.068965517241381</v>
      </c>
      <c r="H13" s="243">
        <f ca="1">SUMIF('Sales 6.2026'!B:F,'All Menu'!B13,'Sales 6.2026'!F:F)</f>
        <v>1</v>
      </c>
      <c r="I13" s="241"/>
      <c r="J13" s="244">
        <f>SUMIF('Finished Recipe'!B:B, B13, 'Finished Recipe'!M:M)</f>
        <v>6.620000651693096</v>
      </c>
      <c r="K13" s="244">
        <f t="shared" si="0"/>
        <v>5.4489648655482847</v>
      </c>
      <c r="L13" s="245">
        <f t="shared" si="1"/>
        <v>0.54851433971171359</v>
      </c>
      <c r="M13" s="245">
        <f t="shared" si="2"/>
        <v>0.45148566028828641</v>
      </c>
      <c r="N13" s="23"/>
    </row>
    <row r="14" spans="1:14" ht="13" hidden="1">
      <c r="A14" s="78" t="s">
        <v>2473</v>
      </c>
      <c r="B14" s="219" t="s">
        <v>1115</v>
      </c>
      <c r="C14" s="240" t="s">
        <v>1825</v>
      </c>
      <c r="D14" s="240" t="s">
        <v>1366</v>
      </c>
      <c r="E14" s="240" t="s">
        <v>1370</v>
      </c>
      <c r="F14" s="284">
        <v>0.16</v>
      </c>
      <c r="G14" s="242">
        <v>8.6206896551724146</v>
      </c>
      <c r="H14" s="243">
        <f ca="1">SUMIF('Sales 6.2026'!B:F,'All Menu'!B14,'Sales 6.2026'!F:F)</f>
        <v>196</v>
      </c>
      <c r="I14" s="241"/>
      <c r="J14" s="244">
        <f>SUMIF('Finished Recipe'!B:B, B14, 'Finished Recipe'!M:M)</f>
        <v>5.0302467650168321</v>
      </c>
      <c r="K14" s="244">
        <f t="shared" si="0"/>
        <v>3.5904428901555825</v>
      </c>
      <c r="L14" s="245">
        <f t="shared" si="1"/>
        <v>0.58350862474195242</v>
      </c>
      <c r="M14" s="245">
        <f t="shared" si="2"/>
        <v>0.41649137525804752</v>
      </c>
      <c r="N14" s="23"/>
    </row>
    <row r="15" spans="1:14" ht="13" hidden="1">
      <c r="A15" s="78" t="s">
        <v>2474</v>
      </c>
      <c r="B15" s="219" t="s">
        <v>1123</v>
      </c>
      <c r="C15" s="240" t="s">
        <v>1825</v>
      </c>
      <c r="D15" s="240" t="s">
        <v>1366</v>
      </c>
      <c r="E15" s="240" t="s">
        <v>1371</v>
      </c>
      <c r="F15" s="284">
        <v>0.16</v>
      </c>
      <c r="G15" s="242">
        <v>8.6206896551724146</v>
      </c>
      <c r="H15" s="243">
        <f ca="1">SUMIF('Sales 6.2026'!B:F,'All Menu'!B15,'Sales 6.2026'!F:F)</f>
        <v>4</v>
      </c>
      <c r="I15" s="241"/>
      <c r="J15" s="244">
        <f>SUMIF('Finished Recipe'!B:B, B15, 'Finished Recipe'!M:M)</f>
        <v>4.7769910334942951</v>
      </c>
      <c r="K15" s="244">
        <f t="shared" si="0"/>
        <v>3.8436986216781195</v>
      </c>
      <c r="L15" s="245">
        <f t="shared" si="1"/>
        <v>0.55413095988533823</v>
      </c>
      <c r="M15" s="245">
        <f t="shared" si="2"/>
        <v>0.44586904011466183</v>
      </c>
      <c r="N15" s="23"/>
    </row>
    <row r="16" spans="1:14" ht="13" hidden="1">
      <c r="A16" s="78" t="s">
        <v>2475</v>
      </c>
      <c r="B16" s="219" t="s">
        <v>1113</v>
      </c>
      <c r="C16" s="240" t="s">
        <v>1825</v>
      </c>
      <c r="D16" s="240" t="s">
        <v>1366</v>
      </c>
      <c r="E16" s="240" t="s">
        <v>1372</v>
      </c>
      <c r="F16" s="284">
        <v>0.16</v>
      </c>
      <c r="G16" s="242">
        <v>8.6206896551724146</v>
      </c>
      <c r="H16" s="243">
        <f ca="1">SUMIF('Sales 6.2026'!B:F,'All Menu'!B16,'Sales 6.2026'!F:F)</f>
        <v>49</v>
      </c>
      <c r="I16" s="241"/>
      <c r="J16" s="244">
        <f>SUMIF('Finished Recipe'!B:B, B16, 'Finished Recipe'!M:M)</f>
        <v>5.2035958953401833</v>
      </c>
      <c r="K16" s="244">
        <f t="shared" si="0"/>
        <v>3.4170937598322313</v>
      </c>
      <c r="L16" s="245">
        <f t="shared" si="1"/>
        <v>0.6036171238594612</v>
      </c>
      <c r="M16" s="245">
        <f t="shared" si="2"/>
        <v>0.3963828761405388</v>
      </c>
      <c r="N16" s="23"/>
    </row>
    <row r="17" spans="1:14" ht="13" hidden="1">
      <c r="A17" s="78" t="s">
        <v>2476</v>
      </c>
      <c r="B17" s="219" t="s">
        <v>1114</v>
      </c>
      <c r="C17" s="240" t="s">
        <v>1825</v>
      </c>
      <c r="D17" s="240" t="s">
        <v>1366</v>
      </c>
      <c r="E17" s="240" t="s">
        <v>1373</v>
      </c>
      <c r="F17" s="284">
        <v>0.16</v>
      </c>
      <c r="G17" s="242">
        <v>8.6206896551724146</v>
      </c>
      <c r="H17" s="243">
        <f ca="1">SUMIF('Sales 6.2026'!B:F,'All Menu'!B17,'Sales 6.2026'!F:F)</f>
        <v>139.5</v>
      </c>
      <c r="I17" s="241"/>
      <c r="J17" s="244">
        <f>SUMIF('Finished Recipe'!B:B, B17, 'Finished Recipe'!M:M)</f>
        <v>5.5432276917402739</v>
      </c>
      <c r="K17" s="244">
        <f t="shared" si="0"/>
        <v>3.0774619634321407</v>
      </c>
      <c r="L17" s="245">
        <f t="shared" si="1"/>
        <v>0.64301441224187172</v>
      </c>
      <c r="M17" s="245">
        <f t="shared" si="2"/>
        <v>0.35698558775812828</v>
      </c>
      <c r="N17" s="23"/>
    </row>
    <row r="18" spans="1:14" ht="13" hidden="1">
      <c r="A18" s="78" t="s">
        <v>2477</v>
      </c>
      <c r="B18" s="219" t="s">
        <v>1111</v>
      </c>
      <c r="C18" s="240" t="s">
        <v>1825</v>
      </c>
      <c r="D18" s="240" t="s">
        <v>1366</v>
      </c>
      <c r="E18" s="240" t="s">
        <v>1374</v>
      </c>
      <c r="F18" s="284">
        <v>0.16</v>
      </c>
      <c r="G18" s="242">
        <v>10.344827586206897</v>
      </c>
      <c r="H18" s="243">
        <f ca="1">SUMIF('Sales 6.2026'!B:F,'All Menu'!B18,'Sales 6.2026'!F:F)</f>
        <v>54.5</v>
      </c>
      <c r="I18" s="241"/>
      <c r="J18" s="244">
        <f>SUMIF('Finished Recipe'!B:B, B18, 'Finished Recipe'!M:M)</f>
        <v>5.9247479696645087</v>
      </c>
      <c r="K18" s="244">
        <f t="shared" si="0"/>
        <v>4.4200796165423881</v>
      </c>
      <c r="L18" s="245">
        <f t="shared" si="1"/>
        <v>0.57272563706756918</v>
      </c>
      <c r="M18" s="245">
        <f t="shared" si="2"/>
        <v>0.42727436293243082</v>
      </c>
      <c r="N18" s="23"/>
    </row>
    <row r="19" spans="1:14" ht="13" hidden="1">
      <c r="A19" s="78" t="s">
        <v>2478</v>
      </c>
      <c r="B19" s="219" t="s">
        <v>1124</v>
      </c>
      <c r="C19" s="240" t="s">
        <v>1825</v>
      </c>
      <c r="D19" s="240" t="s">
        <v>1366</v>
      </c>
      <c r="E19" s="240" t="s">
        <v>1653</v>
      </c>
      <c r="F19" s="284">
        <v>0.16</v>
      </c>
      <c r="G19" s="242">
        <v>8.6206896551724146</v>
      </c>
      <c r="H19" s="243">
        <f ca="1">SUMIF('Sales 6.2026'!B:F,'All Menu'!B19,'Sales 6.2026'!F:F)</f>
        <v>10</v>
      </c>
      <c r="I19" s="241"/>
      <c r="J19" s="244">
        <f>SUMIF('Finished Recipe'!B:B, B19, 'Finished Recipe'!M:M)</f>
        <v>4.8236401708139338</v>
      </c>
      <c r="K19" s="244">
        <f t="shared" si="0"/>
        <v>3.7970494843584808</v>
      </c>
      <c r="L19" s="245">
        <f t="shared" si="1"/>
        <v>0.5595422598144163</v>
      </c>
      <c r="M19" s="245">
        <f t="shared" si="2"/>
        <v>0.4404577401855837</v>
      </c>
      <c r="N19" s="23"/>
    </row>
    <row r="20" spans="1:14" ht="13" hidden="1">
      <c r="A20" s="78" t="s">
        <v>2479</v>
      </c>
      <c r="B20" s="219" t="s">
        <v>1116</v>
      </c>
      <c r="C20" s="240" t="s">
        <v>1825</v>
      </c>
      <c r="D20" s="240" t="s">
        <v>1366</v>
      </c>
      <c r="E20" s="240" t="s">
        <v>1375</v>
      </c>
      <c r="F20" s="284">
        <v>0.16</v>
      </c>
      <c r="G20" s="242">
        <v>8.6206896551724146</v>
      </c>
      <c r="H20" s="243">
        <f ca="1">SUMIF('Sales 6.2026'!B:F,'All Menu'!B20,'Sales 6.2026'!F:F)</f>
        <v>65</v>
      </c>
      <c r="I20" s="241"/>
      <c r="J20" s="244">
        <f>SUMIF('Finished Recipe'!B:B, B20, 'Finished Recipe'!M:M)</f>
        <v>4.8086526805122087</v>
      </c>
      <c r="K20" s="244">
        <f t="shared" si="0"/>
        <v>3.8120369746602059</v>
      </c>
      <c r="L20" s="245">
        <f t="shared" ref="L20:L40" si="3">J20/G20</f>
        <v>0.55780371093941616</v>
      </c>
      <c r="M20" s="245">
        <f t="shared" ref="M20:M40" si="4">K20/G20</f>
        <v>0.44219628906058384</v>
      </c>
      <c r="N20" s="23"/>
    </row>
    <row r="21" spans="1:14" ht="13" hidden="1">
      <c r="A21" s="78" t="s">
        <v>2480</v>
      </c>
      <c r="B21" s="219" t="s">
        <v>1238</v>
      </c>
      <c r="C21" s="240" t="s">
        <v>1825</v>
      </c>
      <c r="D21" s="240" t="s">
        <v>1366</v>
      </c>
      <c r="E21" s="240" t="s">
        <v>1376</v>
      </c>
      <c r="F21" s="284">
        <v>0.16</v>
      </c>
      <c r="G21" s="242">
        <v>10.344827586206897</v>
      </c>
      <c r="H21" s="243">
        <f ca="1">SUMIF('Sales 6.2026'!B:F,'All Menu'!B21,'Sales 6.2026'!F:F)</f>
        <v>2</v>
      </c>
      <c r="I21" s="241"/>
      <c r="J21" s="244">
        <f>SUMIF('Finished Recipe'!B:B, B21, 'Finished Recipe'!M:M)</f>
        <v>3.13305976304324</v>
      </c>
      <c r="K21" s="244">
        <f t="shared" si="0"/>
        <v>7.2117678231636564</v>
      </c>
      <c r="L21" s="245">
        <f t="shared" si="3"/>
        <v>0.30286244376084653</v>
      </c>
      <c r="M21" s="245">
        <f t="shared" si="4"/>
        <v>0.69713755623915341</v>
      </c>
      <c r="N21" s="23"/>
    </row>
    <row r="22" spans="1:14" ht="13" hidden="1">
      <c r="A22" s="78" t="s">
        <v>2481</v>
      </c>
      <c r="B22" s="219" t="s">
        <v>1112</v>
      </c>
      <c r="C22" s="240" t="s">
        <v>1825</v>
      </c>
      <c r="D22" s="240" t="s">
        <v>1366</v>
      </c>
      <c r="E22" s="240" t="s">
        <v>1377</v>
      </c>
      <c r="F22" s="284">
        <v>0.16</v>
      </c>
      <c r="G22" s="242">
        <v>10.344827586206897</v>
      </c>
      <c r="H22" s="243">
        <f ca="1">SUMIF('Sales 6.2026'!B:F,'All Menu'!B22,'Sales 6.2026'!F:F)</f>
        <v>9.5</v>
      </c>
      <c r="I22" s="241"/>
      <c r="J22" s="244">
        <f>SUMIF('Finished Recipe'!B:B, B22, 'Finished Recipe'!M:M)</f>
        <v>1.7921716750954024</v>
      </c>
      <c r="K22" s="244">
        <f t="shared" si="0"/>
        <v>8.5526559111114935</v>
      </c>
      <c r="L22" s="245">
        <f t="shared" si="3"/>
        <v>0.1732432619258889</v>
      </c>
      <c r="M22" s="245">
        <f t="shared" si="4"/>
        <v>0.82675673807411099</v>
      </c>
      <c r="N22" s="23"/>
    </row>
    <row r="23" spans="1:14" ht="13" hidden="1">
      <c r="A23" s="78" t="s">
        <v>2482</v>
      </c>
      <c r="B23" s="219" t="s">
        <v>1239</v>
      </c>
      <c r="C23" s="240" t="s">
        <v>1825</v>
      </c>
      <c r="D23" s="240" t="s">
        <v>1366</v>
      </c>
      <c r="E23" s="240" t="s">
        <v>1379</v>
      </c>
      <c r="F23" s="284">
        <v>0.16</v>
      </c>
      <c r="G23" s="242">
        <v>10.344827586206897</v>
      </c>
      <c r="H23" s="243">
        <f ca="1">SUMIF('Sales 6.2026'!B:F,'All Menu'!B23,'Sales 6.2026'!F:F)</f>
        <v>4</v>
      </c>
      <c r="I23" s="241"/>
      <c r="J23" s="244">
        <f>SUMIF('Finished Recipe'!B:B, B23, 'Finished Recipe'!M:M)</f>
        <v>5.3451273273786093</v>
      </c>
      <c r="K23" s="244">
        <f t="shared" si="0"/>
        <v>4.9997002588282875</v>
      </c>
      <c r="L23" s="245">
        <f t="shared" si="3"/>
        <v>0.51669564164659887</v>
      </c>
      <c r="M23" s="245">
        <f t="shared" si="4"/>
        <v>0.48330435835340113</v>
      </c>
      <c r="N23" s="23"/>
    </row>
    <row r="24" spans="1:14" ht="13" hidden="1">
      <c r="A24" s="78" t="s">
        <v>2483</v>
      </c>
      <c r="B24" s="219" t="s">
        <v>1159</v>
      </c>
      <c r="C24" s="240" t="s">
        <v>1825</v>
      </c>
      <c r="D24" s="240" t="s">
        <v>1384</v>
      </c>
      <c r="E24" s="240" t="s">
        <v>1657</v>
      </c>
      <c r="F24" s="284">
        <v>0.16</v>
      </c>
      <c r="G24" s="242">
        <v>17.241379310344829</v>
      </c>
      <c r="H24" s="243">
        <f ca="1">SUMIF('Sales 6.2026'!B:F,'All Menu'!B24,'Sales 6.2026'!F:F)</f>
        <v>299.80099999999999</v>
      </c>
      <c r="I24" s="241"/>
      <c r="J24" s="244">
        <f>SUMIF('Finished Recipe'!B:B, B24, 'Finished Recipe'!M:M)</f>
        <v>12.916885874910252</v>
      </c>
      <c r="K24" s="244">
        <f t="shared" si="0"/>
        <v>4.3244934354345776</v>
      </c>
      <c r="L24" s="245">
        <f t="shared" si="3"/>
        <v>0.74917938074479451</v>
      </c>
      <c r="M24" s="245">
        <f t="shared" si="4"/>
        <v>0.25082061925520549</v>
      </c>
      <c r="N24" s="23"/>
    </row>
    <row r="25" spans="1:14" ht="13" hidden="1">
      <c r="A25" s="78" t="s">
        <v>2484</v>
      </c>
      <c r="B25" s="219" t="s">
        <v>1161</v>
      </c>
      <c r="C25" s="240" t="s">
        <v>1825</v>
      </c>
      <c r="D25" s="240" t="s">
        <v>1384</v>
      </c>
      <c r="E25" s="240" t="s">
        <v>1380</v>
      </c>
      <c r="F25" s="284">
        <v>0.16</v>
      </c>
      <c r="G25" s="242">
        <v>17.241379310344829</v>
      </c>
      <c r="H25" s="243">
        <f ca="1">SUMIF('Sales 6.2026'!B:F,'All Menu'!B25,'Sales 6.2026'!F:F)</f>
        <v>55.002000000000002</v>
      </c>
      <c r="I25" s="241"/>
      <c r="J25" s="244">
        <f>SUMIF('Finished Recipe'!B:B, B25, 'Finished Recipe'!M:M)</f>
        <v>11.692330356220895</v>
      </c>
      <c r="K25" s="244">
        <f t="shared" si="0"/>
        <v>5.5490489541239345</v>
      </c>
      <c r="L25" s="245">
        <f t="shared" si="3"/>
        <v>0.67815516066081183</v>
      </c>
      <c r="M25" s="245">
        <f t="shared" si="4"/>
        <v>0.32184483933918817</v>
      </c>
      <c r="N25" s="23"/>
    </row>
    <row r="26" spans="1:14" ht="13" hidden="1">
      <c r="A26" s="78" t="s">
        <v>2485</v>
      </c>
      <c r="B26" s="219" t="s">
        <v>1240</v>
      </c>
      <c r="C26" s="240" t="s">
        <v>1825</v>
      </c>
      <c r="D26" s="240" t="s">
        <v>1384</v>
      </c>
      <c r="E26" s="240" t="s">
        <v>1658</v>
      </c>
      <c r="F26" s="284">
        <v>0.16</v>
      </c>
      <c r="G26" s="242">
        <v>18.965517241379313</v>
      </c>
      <c r="H26" s="243">
        <f ca="1">SUMIF('Sales 6.2026'!B:F,'All Menu'!B26,'Sales 6.2026'!F:F)</f>
        <v>39.5</v>
      </c>
      <c r="I26" s="241"/>
      <c r="J26" s="244">
        <f>SUMIF('Finished Recipe'!B:B, B26, 'Finished Recipe'!M:M)</f>
        <v>14.227830759766878</v>
      </c>
      <c r="K26" s="244">
        <f t="shared" si="0"/>
        <v>4.7376864816124353</v>
      </c>
      <c r="L26" s="245">
        <f t="shared" si="3"/>
        <v>0.750194712787708</v>
      </c>
      <c r="M26" s="245">
        <f t="shared" si="4"/>
        <v>0.249805287212292</v>
      </c>
      <c r="N26" s="23"/>
    </row>
    <row r="27" spans="1:14" ht="13" hidden="1">
      <c r="A27" s="78" t="s">
        <v>2486</v>
      </c>
      <c r="B27" s="219" t="s">
        <v>1160</v>
      </c>
      <c r="C27" s="240" t="s">
        <v>1825</v>
      </c>
      <c r="D27" s="240" t="s">
        <v>1384</v>
      </c>
      <c r="E27" s="240" t="s">
        <v>2029</v>
      </c>
      <c r="F27" s="284">
        <v>0.16</v>
      </c>
      <c r="G27" s="242">
        <v>15.517241379310345</v>
      </c>
      <c r="H27" s="243">
        <f ca="1">SUMIF('Sales 6.2026'!B:F,'All Menu'!B27,'Sales 6.2026'!F:F)</f>
        <v>0</v>
      </c>
      <c r="I27" s="241"/>
      <c r="J27" s="244">
        <f>SUMIF('Finished Recipe'!B:B, B27, 'Finished Recipe'!M:M)</f>
        <v>13.911673868434617</v>
      </c>
      <c r="K27" s="244">
        <f t="shared" si="0"/>
        <v>1.6055675108757281</v>
      </c>
      <c r="L27" s="245">
        <f t="shared" si="3"/>
        <v>0.89653009374356418</v>
      </c>
      <c r="M27" s="246">
        <f t="shared" si="4"/>
        <v>0.10346990625643582</v>
      </c>
      <c r="N27" s="23" t="s">
        <v>1939</v>
      </c>
    </row>
    <row r="28" spans="1:14" ht="13" hidden="1">
      <c r="A28" s="78" t="s">
        <v>2487</v>
      </c>
      <c r="B28" s="219" t="s">
        <v>1319</v>
      </c>
      <c r="C28" s="240" t="s">
        <v>1825</v>
      </c>
      <c r="D28" s="240" t="s">
        <v>1384</v>
      </c>
      <c r="E28" s="240" t="s">
        <v>2028</v>
      </c>
      <c r="F28" s="284">
        <v>0.16</v>
      </c>
      <c r="G28" s="242">
        <v>13.793103448275863</v>
      </c>
      <c r="H28" s="243">
        <f ca="1">SUMIF('Sales 6.2026'!B:F,'All Menu'!B28,'Sales 6.2026'!F:F)</f>
        <v>0</v>
      </c>
      <c r="I28" s="241"/>
      <c r="J28" s="244">
        <f>SUMIF('Finished Recipe'!B:B, B28, 'Finished Recipe'!M:M)</f>
        <v>21.081552222710176</v>
      </c>
      <c r="K28" s="244">
        <f t="shared" si="0"/>
        <v>-7.2884487744343129</v>
      </c>
      <c r="L28" s="245">
        <f t="shared" si="3"/>
        <v>1.5284125361464878</v>
      </c>
      <c r="M28" s="245">
        <f t="shared" si="4"/>
        <v>-0.52841253614648764</v>
      </c>
      <c r="N28" s="23"/>
    </row>
    <row r="29" spans="1:14" ht="13" hidden="1">
      <c r="A29" s="78" t="s">
        <v>2488</v>
      </c>
      <c r="B29" s="219" t="s">
        <v>1168</v>
      </c>
      <c r="C29" s="240" t="s">
        <v>1825</v>
      </c>
      <c r="D29" s="240" t="s">
        <v>1366</v>
      </c>
      <c r="E29" s="240" t="s">
        <v>1385</v>
      </c>
      <c r="F29" s="284">
        <v>0.16</v>
      </c>
      <c r="G29" s="242">
        <v>10.344827586206897</v>
      </c>
      <c r="H29" s="243">
        <f ca="1">SUMIF('Sales 6.2026'!B:F,'All Menu'!B29,'Sales 6.2026'!F:F)</f>
        <v>172.5</v>
      </c>
      <c r="I29" s="241"/>
      <c r="J29" s="244">
        <f>SUMIF('Finished Recipe'!B:B, B29, 'Finished Recipe'!M:M)</f>
        <v>5.4543656023286697</v>
      </c>
      <c r="K29" s="244">
        <f t="shared" ref="K29:K72" si="5">G29-J29</f>
        <v>4.8904619838782271</v>
      </c>
      <c r="L29" s="245">
        <f t="shared" si="3"/>
        <v>0.52725534155843812</v>
      </c>
      <c r="M29" s="245">
        <f t="shared" si="4"/>
        <v>0.47274465844156194</v>
      </c>
      <c r="N29" s="23"/>
    </row>
    <row r="30" spans="1:14" ht="13" hidden="1">
      <c r="A30" s="78" t="s">
        <v>2489</v>
      </c>
      <c r="B30" s="219" t="s">
        <v>1212</v>
      </c>
      <c r="C30" s="240" t="s">
        <v>1825</v>
      </c>
      <c r="D30" s="240" t="s">
        <v>1366</v>
      </c>
      <c r="E30" s="240" t="s">
        <v>1659</v>
      </c>
      <c r="F30" s="284">
        <v>0.16</v>
      </c>
      <c r="G30" s="242">
        <v>5.1724137931034484</v>
      </c>
      <c r="H30" s="243">
        <f ca="1">SUMIF('Sales 6.2026'!B:F,'All Menu'!B30,'Sales 6.2026'!F:F)</f>
        <v>26</v>
      </c>
      <c r="I30" s="241"/>
      <c r="J30" s="244">
        <f>SUMIF('Finished Recipe'!B:B, B30, 'Finished Recipe'!M:M)</f>
        <v>3.1807436133539184</v>
      </c>
      <c r="K30" s="244">
        <f t="shared" si="5"/>
        <v>1.99167017974953</v>
      </c>
      <c r="L30" s="245">
        <f t="shared" si="3"/>
        <v>0.6149437652484242</v>
      </c>
      <c r="M30" s="245">
        <f t="shared" si="4"/>
        <v>0.3850562347515758</v>
      </c>
      <c r="N30" s="77"/>
    </row>
    <row r="31" spans="1:14" ht="13" hidden="1">
      <c r="A31" s="78" t="s">
        <v>2490</v>
      </c>
      <c r="B31" s="219" t="s">
        <v>1117</v>
      </c>
      <c r="C31" s="240" t="s">
        <v>1825</v>
      </c>
      <c r="D31" s="240" t="s">
        <v>1384</v>
      </c>
      <c r="E31" s="240" t="s">
        <v>1386</v>
      </c>
      <c r="F31" s="284">
        <v>0.16</v>
      </c>
      <c r="G31" s="242">
        <v>15.517241379310345</v>
      </c>
      <c r="H31" s="243">
        <f ca="1">SUMIF('Sales 6.2026'!B:F,'All Menu'!B31,'Sales 6.2026'!F:F)</f>
        <v>19.5</v>
      </c>
      <c r="I31" s="241"/>
      <c r="J31" s="244">
        <f>SUMIF('Finished Recipe'!B:B, B31, 'Finished Recipe'!M:M)</f>
        <v>3.7891944031919045</v>
      </c>
      <c r="K31" s="244">
        <f t="shared" si="5"/>
        <v>11.72804697611844</v>
      </c>
      <c r="L31" s="245">
        <f t="shared" si="3"/>
        <v>0.2441925282057005</v>
      </c>
      <c r="M31" s="245">
        <f t="shared" si="4"/>
        <v>0.75580747179429941</v>
      </c>
      <c r="N31" s="23"/>
    </row>
    <row r="32" spans="1:14" ht="13" hidden="1">
      <c r="A32" s="78" t="s">
        <v>2246</v>
      </c>
      <c r="B32" s="219" t="s">
        <v>1118</v>
      </c>
      <c r="C32" s="240" t="s">
        <v>1825</v>
      </c>
      <c r="D32" s="240" t="s">
        <v>1384</v>
      </c>
      <c r="E32" s="240" t="s">
        <v>1661</v>
      </c>
      <c r="F32" s="284">
        <v>0.16</v>
      </c>
      <c r="G32" s="242">
        <v>12.068965517241381</v>
      </c>
      <c r="H32" s="243">
        <f ca="1">SUMIF('Sales 6.2026'!B:F,'All Menu'!B32,'Sales 6.2026'!F:F)</f>
        <v>9</v>
      </c>
      <c r="I32" s="241"/>
      <c r="J32" s="244">
        <f>SUMIF('Finished Recipe'!B:B, B32, 'Finished Recipe'!M:M)</f>
        <v>3.0870830769230766</v>
      </c>
      <c r="K32" s="244">
        <f t="shared" si="5"/>
        <v>8.9818824403183051</v>
      </c>
      <c r="L32" s="245">
        <f t="shared" si="3"/>
        <v>0.25578688351648343</v>
      </c>
      <c r="M32" s="245">
        <f t="shared" si="4"/>
        <v>0.74421311648351662</v>
      </c>
      <c r="N32" s="23"/>
    </row>
    <row r="33" spans="1:14" ht="13" hidden="1">
      <c r="A33" s="78" t="s">
        <v>2491</v>
      </c>
      <c r="B33" s="219" t="s">
        <v>1156</v>
      </c>
      <c r="C33" s="240" t="s">
        <v>1825</v>
      </c>
      <c r="D33" s="240" t="s">
        <v>1384</v>
      </c>
      <c r="E33" s="240" t="s">
        <v>1387</v>
      </c>
      <c r="F33" s="284">
        <v>0.16</v>
      </c>
      <c r="G33" s="242">
        <v>38.793103448275865</v>
      </c>
      <c r="H33" s="243">
        <f ca="1">SUMIF('Sales 6.2026'!B:F,'All Menu'!B33,'Sales 6.2026'!F:F)</f>
        <v>10</v>
      </c>
      <c r="I33" s="241"/>
      <c r="J33" s="244">
        <f>SUMIF('Finished Recipe'!B:B, B33, 'Finished Recipe'!M:M)</f>
        <v>23.594877294476447</v>
      </c>
      <c r="K33" s="244">
        <f t="shared" si="5"/>
        <v>15.198226153799418</v>
      </c>
      <c r="L33" s="245">
        <f t="shared" si="3"/>
        <v>0.60822350359094834</v>
      </c>
      <c r="M33" s="245">
        <f t="shared" si="4"/>
        <v>0.39177649640905166</v>
      </c>
      <c r="N33" s="23"/>
    </row>
    <row r="34" spans="1:14" ht="13" hidden="1">
      <c r="A34" s="78" t="s">
        <v>2492</v>
      </c>
      <c r="B34" s="219" t="s">
        <v>1119</v>
      </c>
      <c r="C34" s="240" t="s">
        <v>1825</v>
      </c>
      <c r="D34" s="240" t="s">
        <v>1384</v>
      </c>
      <c r="E34" s="240" t="s">
        <v>1662</v>
      </c>
      <c r="F34" s="284">
        <v>0.16</v>
      </c>
      <c r="G34" s="242">
        <v>21.551724137931036</v>
      </c>
      <c r="H34" s="243">
        <f ca="1">SUMIF('Sales 6.2026'!B:F,'All Menu'!B34,'Sales 6.2026'!F:F)</f>
        <v>29</v>
      </c>
      <c r="I34" s="241"/>
      <c r="J34" s="244">
        <f>SUMIF('Finished Recipe'!B:B, B34, 'Finished Recipe'!M:M)</f>
        <v>9.8006828329379871</v>
      </c>
      <c r="K34" s="244">
        <f t="shared" si="5"/>
        <v>11.751041304993048</v>
      </c>
      <c r="L34" s="245">
        <f t="shared" si="3"/>
        <v>0.45475168344832256</v>
      </c>
      <c r="M34" s="245">
        <f t="shared" si="4"/>
        <v>0.54524831655167738</v>
      </c>
      <c r="N34" s="23"/>
    </row>
    <row r="35" spans="1:14" ht="13" hidden="1">
      <c r="A35" s="78" t="s">
        <v>2493</v>
      </c>
      <c r="B35" s="219" t="s">
        <v>1318</v>
      </c>
      <c r="C35" s="240" t="s">
        <v>1825</v>
      </c>
      <c r="D35" s="240" t="s">
        <v>1384</v>
      </c>
      <c r="E35" s="240" t="s">
        <v>1664</v>
      </c>
      <c r="F35" s="284">
        <v>0.16</v>
      </c>
      <c r="G35" s="242">
        <v>8.6206896551724146</v>
      </c>
      <c r="H35" s="243">
        <f ca="1">SUMIF('Sales 6.2026'!B:F,'All Menu'!B35,'Sales 6.2026'!F:F)</f>
        <v>1</v>
      </c>
      <c r="I35" s="241"/>
      <c r="J35" s="244">
        <f>SUMIF('Finished Recipe'!B:B, B35, 'Finished Recipe'!M:M)</f>
        <v>4.2948408620689653</v>
      </c>
      <c r="K35" s="244">
        <f t="shared" si="5"/>
        <v>4.3258487931034493</v>
      </c>
      <c r="L35" s="245">
        <f t="shared" si="3"/>
        <v>0.49820153999999994</v>
      </c>
      <c r="M35" s="245">
        <f t="shared" si="4"/>
        <v>0.50179846000000006</v>
      </c>
      <c r="N35" s="23"/>
    </row>
    <row r="36" spans="1:14" ht="13" hidden="1">
      <c r="A36" s="78" t="s">
        <v>2494</v>
      </c>
      <c r="B36" s="219" t="s">
        <v>1173</v>
      </c>
      <c r="C36" s="240" t="s">
        <v>1825</v>
      </c>
      <c r="D36" s="240" t="s">
        <v>1384</v>
      </c>
      <c r="E36" s="240" t="s">
        <v>1666</v>
      </c>
      <c r="F36" s="284">
        <v>0.16</v>
      </c>
      <c r="G36" s="242">
        <v>21.551724137931036</v>
      </c>
      <c r="H36" s="243">
        <f ca="1">SUMIF('Sales 6.2026'!B:F,'All Menu'!B36,'Sales 6.2026'!F:F)</f>
        <v>0</v>
      </c>
      <c r="I36" s="241"/>
      <c r="J36" s="244">
        <f>SUMIF('Finished Recipe'!B:B, B36, 'Finished Recipe'!M:M)</f>
        <v>10.726016466666668</v>
      </c>
      <c r="K36" s="244">
        <f t="shared" si="5"/>
        <v>10.825707671264368</v>
      </c>
      <c r="L36" s="245">
        <f t="shared" si="3"/>
        <v>0.49768716405333335</v>
      </c>
      <c r="M36" s="245">
        <f t="shared" si="4"/>
        <v>0.50231283594666665</v>
      </c>
      <c r="N36" s="23"/>
    </row>
    <row r="37" spans="1:14" ht="13" hidden="1">
      <c r="A37" s="78" t="s">
        <v>2495</v>
      </c>
      <c r="B37" s="219" t="s">
        <v>1184</v>
      </c>
      <c r="C37" s="240" t="s">
        <v>1825</v>
      </c>
      <c r="D37" s="240" t="s">
        <v>1384</v>
      </c>
      <c r="E37" s="241" t="s">
        <v>1788</v>
      </c>
      <c r="F37" s="284">
        <v>0.16</v>
      </c>
      <c r="G37" s="242">
        <v>6.0344827586206904</v>
      </c>
      <c r="H37" s="243">
        <f ca="1">SUMIF('Sales 6.2026'!B:F,'All Menu'!B37,'Sales 6.2026'!F:F)</f>
        <v>0</v>
      </c>
      <c r="I37" s="241"/>
      <c r="J37" s="244">
        <f>SUMIF('Finished Recipe'!B:B, B37, 'Finished Recipe'!M:M)</f>
        <v>1.7699991477657253</v>
      </c>
      <c r="K37" s="244">
        <f t="shared" si="5"/>
        <v>4.2644836108549651</v>
      </c>
      <c r="L37" s="245">
        <f t="shared" si="3"/>
        <v>0.29331414448689158</v>
      </c>
      <c r="M37" s="245">
        <f t="shared" si="4"/>
        <v>0.70668585551310836</v>
      </c>
      <c r="N37" s="23"/>
    </row>
    <row r="38" spans="1:14" ht="13" hidden="1">
      <c r="A38" s="78" t="s">
        <v>2496</v>
      </c>
      <c r="B38" s="219" t="s">
        <v>1299</v>
      </c>
      <c r="C38" s="240" t="s">
        <v>1825</v>
      </c>
      <c r="D38" s="240" t="s">
        <v>1384</v>
      </c>
      <c r="E38" s="240" t="s">
        <v>1388</v>
      </c>
      <c r="F38" s="284">
        <v>0.16</v>
      </c>
      <c r="G38" s="242">
        <v>17.241379310344829</v>
      </c>
      <c r="H38" s="243">
        <f ca="1">SUMIF('Sales 6.2026'!B:F,'All Menu'!B38,'Sales 6.2026'!F:F)</f>
        <v>13</v>
      </c>
      <c r="I38" s="241"/>
      <c r="J38" s="244">
        <f>SUMIF('Finished Recipe'!B:B, B38, 'Finished Recipe'!M:M)</f>
        <v>9.9595579060900263</v>
      </c>
      <c r="K38" s="244">
        <f t="shared" si="5"/>
        <v>7.2818214042548028</v>
      </c>
      <c r="L38" s="245">
        <f t="shared" si="3"/>
        <v>0.57765435855322145</v>
      </c>
      <c r="M38" s="245">
        <f t="shared" si="4"/>
        <v>0.42234564144677855</v>
      </c>
      <c r="N38" s="23"/>
    </row>
    <row r="39" spans="1:14" ht="13" hidden="1">
      <c r="A39" s="78" t="s">
        <v>3060</v>
      </c>
      <c r="B39" s="219" t="s">
        <v>1286</v>
      </c>
      <c r="C39" s="240" t="s">
        <v>1825</v>
      </c>
      <c r="D39" s="240" t="s">
        <v>1384</v>
      </c>
      <c r="E39" s="240" t="s">
        <v>1668</v>
      </c>
      <c r="F39" s="284">
        <v>0.16</v>
      </c>
      <c r="G39" s="242">
        <v>15.517241379310345</v>
      </c>
      <c r="H39" s="243">
        <f ca="1">SUMIF('Sales 6.2026'!B:F,'All Menu'!B39,'Sales 6.2026'!F:F)</f>
        <v>4</v>
      </c>
      <c r="I39" s="241"/>
      <c r="J39" s="244">
        <f>SUMIF('Finished Recipe'!B:B, B39, 'Finished Recipe'!M:M)</f>
        <v>9.7854384137673822</v>
      </c>
      <c r="K39" s="244">
        <f t="shared" si="5"/>
        <v>5.731802965542963</v>
      </c>
      <c r="L39" s="245">
        <f t="shared" si="3"/>
        <v>0.63061714222056464</v>
      </c>
      <c r="M39" s="245">
        <f t="shared" si="4"/>
        <v>0.36938285777943536</v>
      </c>
      <c r="N39" s="23"/>
    </row>
    <row r="40" spans="1:14" ht="13" hidden="1">
      <c r="A40" s="78" t="s">
        <v>2497</v>
      </c>
      <c r="B40" s="219" t="s">
        <v>1323</v>
      </c>
      <c r="C40" s="240" t="s">
        <v>1825</v>
      </c>
      <c r="D40" s="240" t="s">
        <v>1366</v>
      </c>
      <c r="E40" s="240" t="s">
        <v>1660</v>
      </c>
      <c r="F40" s="284">
        <v>0.16</v>
      </c>
      <c r="G40" s="242">
        <v>17.241379310344829</v>
      </c>
      <c r="H40" s="243">
        <f ca="1">SUMIF('Sales 6.2026'!B:F,'All Menu'!B40,'Sales 6.2026'!F:F)</f>
        <v>44</v>
      </c>
      <c r="I40" s="241"/>
      <c r="J40" s="244">
        <f>SUMIF('Finished Recipe'!B:B, B40, 'Finished Recipe'!M:M)</f>
        <v>10.837016193463239</v>
      </c>
      <c r="K40" s="244">
        <f t="shared" si="5"/>
        <v>6.4043631168815907</v>
      </c>
      <c r="L40" s="245">
        <f t="shared" si="3"/>
        <v>0.6285469392208678</v>
      </c>
      <c r="M40" s="245">
        <f t="shared" si="4"/>
        <v>0.3714530607791322</v>
      </c>
      <c r="N40" s="23"/>
    </row>
    <row r="41" spans="1:14" ht="13" hidden="1">
      <c r="A41" s="78" t="s">
        <v>2498</v>
      </c>
      <c r="B41" s="219" t="s">
        <v>1322</v>
      </c>
      <c r="C41" s="240" t="s">
        <v>1825</v>
      </c>
      <c r="D41" s="240" t="s">
        <v>1384</v>
      </c>
      <c r="E41" s="240" t="s">
        <v>1834</v>
      </c>
      <c r="F41" s="284">
        <v>0.16</v>
      </c>
      <c r="G41" s="242">
        <v>4.3103448275862073</v>
      </c>
      <c r="H41" s="243">
        <f ca="1">SUMIF('Sales 6.2026'!B:F,'All Menu'!B41,'Sales 6.2026'!F:F)</f>
        <v>24</v>
      </c>
      <c r="I41" s="241"/>
      <c r="J41" s="244">
        <f>SUMIF('Finished Recipe'!B:B, B41, 'Finished Recipe'!M:M)</f>
        <v>2.3343672426090403</v>
      </c>
      <c r="K41" s="244">
        <f t="shared" si="5"/>
        <v>1.975977584977167</v>
      </c>
      <c r="L41" s="245">
        <f t="shared" ref="L41:L48" si="6">J41/G41</f>
        <v>0.54157320028529732</v>
      </c>
      <c r="M41" s="245">
        <f t="shared" ref="M41:M48" si="7">K41/G41</f>
        <v>0.45842679971470268</v>
      </c>
      <c r="N41" s="23"/>
    </row>
    <row r="42" spans="1:14" ht="13" hidden="1">
      <c r="A42" s="78" t="s">
        <v>2499</v>
      </c>
      <c r="B42" s="219" t="s">
        <v>1054</v>
      </c>
      <c r="C42" s="240" t="s">
        <v>1854</v>
      </c>
      <c r="D42" s="240" t="s">
        <v>1643</v>
      </c>
      <c r="E42" s="240" t="s">
        <v>1642</v>
      </c>
      <c r="F42" s="284">
        <v>0.16</v>
      </c>
      <c r="G42" s="242">
        <v>2.8017241379310347</v>
      </c>
      <c r="H42" s="243">
        <f ca="1">SUMIF('Sales 6.2026'!B:F,'All Menu'!B42,'Sales 6.2026'!F:F)</f>
        <v>50</v>
      </c>
      <c r="I42" s="241"/>
      <c r="J42" s="244">
        <f>SUMIF('Finished Recipe'!B:B, B42, 'Finished Recipe'!M:M)</f>
        <v>0.24244864657233997</v>
      </c>
      <c r="K42" s="244">
        <f t="shared" si="5"/>
        <v>2.5592754913586946</v>
      </c>
      <c r="L42" s="245">
        <f t="shared" si="6"/>
        <v>8.653551693043518E-2</v>
      </c>
      <c r="M42" s="245">
        <f t="shared" si="7"/>
        <v>0.91346448306956474</v>
      </c>
      <c r="N42" s="23"/>
    </row>
    <row r="43" spans="1:14" ht="13" hidden="1">
      <c r="A43" s="78" t="s">
        <v>2500</v>
      </c>
      <c r="B43" s="219" t="s">
        <v>856</v>
      </c>
      <c r="C43" s="240" t="s">
        <v>1854</v>
      </c>
      <c r="D43" s="240" t="s">
        <v>1643</v>
      </c>
      <c r="E43" s="240" t="s">
        <v>515</v>
      </c>
      <c r="F43" s="284">
        <v>0.16</v>
      </c>
      <c r="G43" s="242">
        <v>2.3706896551724141</v>
      </c>
      <c r="H43" s="243">
        <f ca="1">SUMIF('Sales 6.2026'!B:F,'All Menu'!B43,'Sales 6.2026'!F:F)</f>
        <v>61</v>
      </c>
      <c r="I43" s="241"/>
      <c r="J43" s="244">
        <f>SUMIF('Finished Recipe'!B:B, B43, 'Finished Recipe'!M:M)</f>
        <v>0.30320666723763845</v>
      </c>
      <c r="K43" s="244">
        <f t="shared" si="5"/>
        <v>2.0674829879347758</v>
      </c>
      <c r="L43" s="245">
        <f t="shared" si="6"/>
        <v>0.12789808508933112</v>
      </c>
      <c r="M43" s="245">
        <f t="shared" si="7"/>
        <v>0.87210191491066891</v>
      </c>
      <c r="N43" s="23"/>
    </row>
    <row r="44" spans="1:14" ht="13" hidden="1">
      <c r="A44" s="78" t="s">
        <v>2415</v>
      </c>
      <c r="B44" s="219" t="s">
        <v>857</v>
      </c>
      <c r="C44" s="240" t="s">
        <v>1854</v>
      </c>
      <c r="D44" s="240" t="s">
        <v>1643</v>
      </c>
      <c r="E44" s="247" t="s">
        <v>517</v>
      </c>
      <c r="F44" s="284">
        <v>0.16</v>
      </c>
      <c r="G44" s="242">
        <v>2.3706896551724141</v>
      </c>
      <c r="H44" s="249">
        <f ca="1">SUMIF('Sales 6.2026'!B:F,'All Menu'!B44,'Sales 6.2026'!F:F)</f>
        <v>0</v>
      </c>
      <c r="I44" s="241"/>
      <c r="J44" s="244">
        <f>SUMIF('Finished Recipe'!B:B, B44, 'Finished Recipe'!M:M)</f>
        <v>0.19785542461005198</v>
      </c>
      <c r="K44" s="244">
        <f t="shared" si="5"/>
        <v>2.172834230562362</v>
      </c>
      <c r="L44" s="245">
        <f t="shared" si="6"/>
        <v>8.3459015471876466E-2</v>
      </c>
      <c r="M44" s="245">
        <f t="shared" si="7"/>
        <v>0.91654098452812349</v>
      </c>
      <c r="N44" s="23"/>
    </row>
    <row r="45" spans="1:14" ht="13" hidden="1">
      <c r="A45" s="78" t="s">
        <v>2501</v>
      </c>
      <c r="B45" s="219" t="s">
        <v>855</v>
      </c>
      <c r="C45" s="240" t="s">
        <v>1854</v>
      </c>
      <c r="D45" s="240" t="s">
        <v>1643</v>
      </c>
      <c r="E45" s="240" t="s">
        <v>489</v>
      </c>
      <c r="F45" s="284">
        <v>0.16</v>
      </c>
      <c r="G45" s="242">
        <v>2.3706896551724141</v>
      </c>
      <c r="H45" s="243">
        <f ca="1">SUMIF('Sales 6.2026'!B:F,'All Menu'!B45,'Sales 6.2026'!F:F)</f>
        <v>158</v>
      </c>
      <c r="I45" s="241"/>
      <c r="J45" s="244">
        <f>SUMIF('Finished Recipe'!B:B, B45, 'Finished Recipe'!M:M)</f>
        <v>0.39080895698924728</v>
      </c>
      <c r="K45" s="244">
        <f t="shared" si="5"/>
        <v>1.9798806981831669</v>
      </c>
      <c r="L45" s="245">
        <f t="shared" si="6"/>
        <v>0.16485032367546429</v>
      </c>
      <c r="M45" s="245">
        <f t="shared" si="7"/>
        <v>0.83514967632453574</v>
      </c>
      <c r="N45" s="23"/>
    </row>
    <row r="46" spans="1:14" ht="13" hidden="1">
      <c r="A46" s="78" t="s">
        <v>2502</v>
      </c>
      <c r="B46" s="219" t="s">
        <v>1055</v>
      </c>
      <c r="C46" s="240" t="s">
        <v>1854</v>
      </c>
      <c r="D46" s="240" t="s">
        <v>1643</v>
      </c>
      <c r="E46" s="240" t="s">
        <v>1451</v>
      </c>
      <c r="F46" s="284">
        <v>0.16</v>
      </c>
      <c r="G46" s="242">
        <v>0.60344827586206895</v>
      </c>
      <c r="H46" s="243">
        <f ca="1">SUMIF('Sales 6.2026'!B:F,'All Menu'!B46,'Sales 6.2026'!F:F)</f>
        <v>5</v>
      </c>
      <c r="I46" s="241"/>
      <c r="J46" s="244">
        <f>SUMIF('Finished Recipe'!B:B, B46, 'Finished Recipe'!M:M)</f>
        <v>0.12000000000000001</v>
      </c>
      <c r="K46" s="244">
        <f t="shared" si="5"/>
        <v>0.48344827586206895</v>
      </c>
      <c r="L46" s="245">
        <f t="shared" si="6"/>
        <v>0.19885714285714287</v>
      </c>
      <c r="M46" s="245">
        <f t="shared" si="7"/>
        <v>0.80114285714285716</v>
      </c>
      <c r="N46" s="23"/>
    </row>
    <row r="47" spans="1:14" ht="13" hidden="1">
      <c r="A47" s="78" t="s">
        <v>2503</v>
      </c>
      <c r="B47" s="219" t="s">
        <v>1057</v>
      </c>
      <c r="C47" s="240" t="s">
        <v>1854</v>
      </c>
      <c r="D47" s="240" t="s">
        <v>1643</v>
      </c>
      <c r="E47" s="240" t="s">
        <v>567</v>
      </c>
      <c r="F47" s="284">
        <v>0.16</v>
      </c>
      <c r="G47" s="242">
        <v>1.9396551724137931</v>
      </c>
      <c r="H47" s="243">
        <f ca="1">SUMIF('Sales 6.2026'!B:F,'All Menu'!B47,'Sales 6.2026'!F:F)</f>
        <v>20</v>
      </c>
      <c r="I47" s="241"/>
      <c r="J47" s="244">
        <f>SUMIF('Finished Recipe'!B:B, B47, 'Finished Recipe'!M:M)</f>
        <v>0.25285333333333337</v>
      </c>
      <c r="K47" s="244">
        <f t="shared" si="5"/>
        <v>1.6868018390804598</v>
      </c>
      <c r="L47" s="245">
        <f t="shared" si="6"/>
        <v>0.13035994074074075</v>
      </c>
      <c r="M47" s="245">
        <f t="shared" si="7"/>
        <v>0.86964005925925925</v>
      </c>
      <c r="N47" s="23"/>
    </row>
    <row r="48" spans="1:14" ht="13" hidden="1">
      <c r="A48" s="78" t="s">
        <v>2504</v>
      </c>
      <c r="B48" s="219" t="s">
        <v>1185</v>
      </c>
      <c r="C48" s="240" t="s">
        <v>1854</v>
      </c>
      <c r="D48" s="240" t="s">
        <v>1643</v>
      </c>
      <c r="E48" s="240" t="s">
        <v>1450</v>
      </c>
      <c r="F48" s="284">
        <v>0.16</v>
      </c>
      <c r="G48" s="242">
        <v>0.64655172413793105</v>
      </c>
      <c r="H48" s="243">
        <f ca="1">SUMIF('Sales 6.2026'!B:F,'All Menu'!B48,'Sales 6.2026'!F:F)</f>
        <v>1</v>
      </c>
      <c r="I48" s="241"/>
      <c r="J48" s="244">
        <f>SUMIF('Finished Recipe'!B:B, B48, 'Finished Recipe'!M:M)</f>
        <v>9.9846138341731575E-2</v>
      </c>
      <c r="K48" s="244">
        <f t="shared" si="5"/>
        <v>0.54670558579619943</v>
      </c>
      <c r="L48" s="245">
        <f t="shared" si="6"/>
        <v>0.15442869396854483</v>
      </c>
      <c r="M48" s="245">
        <f t="shared" si="7"/>
        <v>0.84557130603145514</v>
      </c>
      <c r="N48" s="23"/>
    </row>
    <row r="49" spans="1:14" ht="13" hidden="1">
      <c r="A49" s="78" t="s">
        <v>2505</v>
      </c>
      <c r="B49" s="219" t="s">
        <v>1295</v>
      </c>
      <c r="C49" s="240" t="s">
        <v>1854</v>
      </c>
      <c r="D49" s="240" t="s">
        <v>1643</v>
      </c>
      <c r="E49" s="240" t="s">
        <v>1645</v>
      </c>
      <c r="F49" s="284">
        <v>0.16</v>
      </c>
      <c r="G49" s="242">
        <v>0</v>
      </c>
      <c r="H49" s="243">
        <f ca="1">SUMIF('Sales 6.2026'!B:F,'All Menu'!B49,'Sales 6.2026'!F:F)</f>
        <v>105</v>
      </c>
      <c r="I49" s="241"/>
      <c r="J49" s="244">
        <f>SUMIF('Finished Recipe'!B:B, B49, 'Finished Recipe'!M:M)</f>
        <v>0.21199999999999999</v>
      </c>
      <c r="K49" s="244">
        <f t="shared" si="5"/>
        <v>-0.21199999999999999</v>
      </c>
      <c r="L49" s="245">
        <v>0</v>
      </c>
      <c r="M49" s="250">
        <v>0</v>
      </c>
      <c r="N49" s="23" t="s">
        <v>1940</v>
      </c>
    </row>
    <row r="50" spans="1:14" ht="13" hidden="1">
      <c r="A50" s="78" t="s">
        <v>2506</v>
      </c>
      <c r="B50" s="219" t="s">
        <v>1879</v>
      </c>
      <c r="C50" s="240" t="s">
        <v>1854</v>
      </c>
      <c r="D50" s="240" t="s">
        <v>1643</v>
      </c>
      <c r="E50" s="240" t="s">
        <v>1880</v>
      </c>
      <c r="F50" s="284">
        <v>0.16</v>
      </c>
      <c r="G50" s="242">
        <v>2.5431034482758625</v>
      </c>
      <c r="H50" s="243">
        <f ca="1">SUMIF('Sales 6.2026'!B:F,'All Menu'!B50,'Sales 6.2026'!F:F)</f>
        <v>3</v>
      </c>
      <c r="I50" s="241"/>
      <c r="J50" s="244">
        <f>SUMIF('Finished Recipe'!B:B, B50, 'Finished Recipe'!M:M)</f>
        <v>0.30320240676192861</v>
      </c>
      <c r="K50" s="244">
        <f t="shared" si="5"/>
        <v>2.2399010415139338</v>
      </c>
      <c r="L50" s="245">
        <f t="shared" ref="L50:L72" si="8">J50/G50</f>
        <v>0.11922535316740242</v>
      </c>
      <c r="M50" s="245">
        <f t="shared" ref="M50:M72" si="9">K50/G50</f>
        <v>0.88077464683259754</v>
      </c>
      <c r="N50" s="23"/>
    </row>
    <row r="51" spans="1:14" ht="13" hidden="1">
      <c r="A51" s="78" t="s">
        <v>2507</v>
      </c>
      <c r="B51" s="219" t="s">
        <v>1890</v>
      </c>
      <c r="C51" s="240" t="s">
        <v>1854</v>
      </c>
      <c r="D51" s="240" t="s">
        <v>1643</v>
      </c>
      <c r="E51" s="240" t="s">
        <v>1889</v>
      </c>
      <c r="F51" s="284">
        <v>0.16</v>
      </c>
      <c r="G51" s="242">
        <v>2.8017241379310347</v>
      </c>
      <c r="H51" s="243">
        <f ca="1">SUMIF('Sales 6.2026'!B:F,'All Menu'!B51,'Sales 6.2026'!F:F)</f>
        <v>6</v>
      </c>
      <c r="I51" s="241"/>
      <c r="J51" s="244">
        <f>SUMIF('Finished Recipe'!B:B, B51, 'Finished Recipe'!M:M)</f>
        <v>0.31238329305962848</v>
      </c>
      <c r="K51" s="244">
        <f t="shared" si="5"/>
        <v>2.4893408448714061</v>
      </c>
      <c r="L51" s="245">
        <f t="shared" si="8"/>
        <v>0.11149680613820585</v>
      </c>
      <c r="M51" s="245">
        <f t="shared" si="9"/>
        <v>0.8885031938617941</v>
      </c>
      <c r="N51" s="23"/>
    </row>
    <row r="52" spans="1:14" ht="13">
      <c r="A52" s="78" t="s">
        <v>2408</v>
      </c>
      <c r="B52" s="219" t="s">
        <v>1101</v>
      </c>
      <c r="C52" s="240" t="s">
        <v>1854</v>
      </c>
      <c r="D52" s="240" t="s">
        <v>1646</v>
      </c>
      <c r="E52" s="240" t="s">
        <v>573</v>
      </c>
      <c r="F52" s="284">
        <v>0.16</v>
      </c>
      <c r="G52" s="242">
        <v>1.2931034482758621</v>
      </c>
      <c r="H52" s="243">
        <f ca="1">SUMIF('Sales 6.2026'!B:F,'All Menu'!B52,'Sales 6.2026'!F:F)</f>
        <v>108</v>
      </c>
      <c r="I52" s="241"/>
      <c r="J52" s="244">
        <f>SUMIF('Finished Recipe'!B:B, B52, 'Finished Recipe'!M:M)</f>
        <v>0.50639403004883443</v>
      </c>
      <c r="K52" s="244">
        <f t="shared" si="5"/>
        <v>0.78670941822702767</v>
      </c>
      <c r="L52" s="245">
        <f t="shared" si="8"/>
        <v>0.39161138323776529</v>
      </c>
      <c r="M52" s="245">
        <f t="shared" si="9"/>
        <v>0.60838861676223477</v>
      </c>
      <c r="N52" s="23"/>
    </row>
    <row r="53" spans="1:14" ht="13">
      <c r="A53" s="78" t="s">
        <v>2416</v>
      </c>
      <c r="B53" s="219" t="s">
        <v>1102</v>
      </c>
      <c r="C53" s="240" t="s">
        <v>1854</v>
      </c>
      <c r="D53" s="240" t="s">
        <v>1646</v>
      </c>
      <c r="E53" s="240" t="s">
        <v>569</v>
      </c>
      <c r="F53" s="284">
        <v>0.16</v>
      </c>
      <c r="G53" s="242">
        <v>1.5517241379310347</v>
      </c>
      <c r="H53" s="243">
        <f ca="1">SUMIF('Sales 6.2026'!B:F,'All Menu'!B53,'Sales 6.2026'!F:F)</f>
        <v>145</v>
      </c>
      <c r="I53" s="241"/>
      <c r="J53" s="244">
        <f>SUMIF('Finished Recipe'!B:B, B53, 'Finished Recipe'!M:M)</f>
        <v>1.2857409482105262</v>
      </c>
      <c r="K53" s="244">
        <f t="shared" si="5"/>
        <v>0.26598318972050849</v>
      </c>
      <c r="L53" s="245">
        <f t="shared" si="8"/>
        <v>0.82858861106900561</v>
      </c>
      <c r="M53" s="245">
        <f t="shared" si="9"/>
        <v>0.17141138893099434</v>
      </c>
      <c r="N53" s="23" t="s">
        <v>2157</v>
      </c>
    </row>
    <row r="54" spans="1:14" ht="13" hidden="1">
      <c r="A54" s="78" t="s">
        <v>2508</v>
      </c>
      <c r="B54" s="219" t="s">
        <v>993</v>
      </c>
      <c r="C54" s="240" t="s">
        <v>1854</v>
      </c>
      <c r="D54" s="240" t="s">
        <v>1646</v>
      </c>
      <c r="E54" s="240" t="s">
        <v>1453</v>
      </c>
      <c r="F54" s="284">
        <v>0.16</v>
      </c>
      <c r="G54" s="242">
        <v>1.5517241379310347</v>
      </c>
      <c r="H54" s="243">
        <f ca="1">SUMIF('Sales 6.2026'!B:F,'All Menu'!B54,'Sales 6.2026'!F:F)</f>
        <v>20</v>
      </c>
      <c r="I54" s="241"/>
      <c r="J54" s="244">
        <f>SUMIF('Finished Recipe'!B:B, B54, 'Finished Recipe'!M:M)</f>
        <v>0.23830171428571428</v>
      </c>
      <c r="K54" s="244">
        <f t="shared" si="5"/>
        <v>1.3134224236453205</v>
      </c>
      <c r="L54" s="245">
        <f t="shared" si="8"/>
        <v>0.15357221587301584</v>
      </c>
      <c r="M54" s="245">
        <f t="shared" si="9"/>
        <v>0.84642778412698416</v>
      </c>
      <c r="N54" s="23"/>
    </row>
    <row r="55" spans="1:14" ht="13" hidden="1">
      <c r="A55" s="78" t="s">
        <v>2509</v>
      </c>
      <c r="B55" s="219" t="s">
        <v>845</v>
      </c>
      <c r="C55" s="240" t="s">
        <v>1854</v>
      </c>
      <c r="D55" s="240" t="s">
        <v>1646</v>
      </c>
      <c r="E55" s="240" t="s">
        <v>1455</v>
      </c>
      <c r="F55" s="284">
        <v>0.16</v>
      </c>
      <c r="G55" s="242">
        <v>1.6379310344827587</v>
      </c>
      <c r="H55" s="243">
        <f ca="1">SUMIF('Sales 6.2026'!B:F,'All Menu'!B55,'Sales 6.2026'!F:F)</f>
        <v>116</v>
      </c>
      <c r="I55" s="241"/>
      <c r="J55" s="244">
        <f>SUMIF('Finished Recipe'!B:B, B55, 'Finished Recipe'!M:M)</f>
        <v>0.17243674579124577</v>
      </c>
      <c r="K55" s="244">
        <f t="shared" si="5"/>
        <v>1.465494288691513</v>
      </c>
      <c r="L55" s="245">
        <f t="shared" si="8"/>
        <v>0.1052771711146553</v>
      </c>
      <c r="M55" s="245">
        <f t="shared" si="9"/>
        <v>0.89472282888534471</v>
      </c>
      <c r="N55" s="23"/>
    </row>
    <row r="56" spans="1:14" ht="13" hidden="1">
      <c r="A56" s="78" t="s">
        <v>2510</v>
      </c>
      <c r="B56" s="219" t="s">
        <v>846</v>
      </c>
      <c r="C56" s="240" t="s">
        <v>1854</v>
      </c>
      <c r="D56" s="240" t="s">
        <v>1646</v>
      </c>
      <c r="E56" s="240" t="s">
        <v>1456</v>
      </c>
      <c r="F56" s="284">
        <v>0.16</v>
      </c>
      <c r="G56" s="242">
        <v>1.6379310344827587</v>
      </c>
      <c r="H56" s="243">
        <f ca="1">SUMIF('Sales 6.2026'!B:F,'All Menu'!B56,'Sales 6.2026'!F:F)</f>
        <v>27</v>
      </c>
      <c r="I56" s="241"/>
      <c r="J56" s="244">
        <f>SUMIF('Finished Recipe'!B:B, B56, 'Finished Recipe'!M:M)</f>
        <v>0.3505106263400245</v>
      </c>
      <c r="K56" s="244">
        <f t="shared" si="5"/>
        <v>1.2874204081427343</v>
      </c>
      <c r="L56" s="245">
        <f t="shared" si="8"/>
        <v>0.21399596134443599</v>
      </c>
      <c r="M56" s="245">
        <f t="shared" si="9"/>
        <v>0.78600403865556412</v>
      </c>
      <c r="N56" s="23"/>
    </row>
    <row r="57" spans="1:14" ht="13" hidden="1">
      <c r="A57" s="78" t="s">
        <v>2230</v>
      </c>
      <c r="B57" s="219" t="s">
        <v>875</v>
      </c>
      <c r="C57" s="240" t="s">
        <v>1854</v>
      </c>
      <c r="D57" s="240" t="s">
        <v>1646</v>
      </c>
      <c r="E57" s="240" t="s">
        <v>1454</v>
      </c>
      <c r="F57" s="284">
        <v>0.16</v>
      </c>
      <c r="G57" s="242">
        <v>1.6810344827586208</v>
      </c>
      <c r="H57" s="243">
        <f ca="1">SUMIF('Sales 6.2026'!B:F,'All Menu'!B57,'Sales 6.2026'!F:F)</f>
        <v>99</v>
      </c>
      <c r="I57" s="241"/>
      <c r="J57" s="244">
        <f>SUMIF('Finished Recipe'!B:B, B57, 'Finished Recipe'!M:M)</f>
        <v>0.13689300000000001</v>
      </c>
      <c r="K57" s="244">
        <f t="shared" si="5"/>
        <v>1.5441414827586208</v>
      </c>
      <c r="L57" s="245">
        <f t="shared" si="8"/>
        <v>8.1433784615384613E-2</v>
      </c>
      <c r="M57" s="245">
        <f t="shared" si="9"/>
        <v>0.91856621538461547</v>
      </c>
      <c r="N57" s="23"/>
    </row>
    <row r="58" spans="1:14" ht="13" hidden="1">
      <c r="A58" s="78" t="s">
        <v>3066</v>
      </c>
      <c r="B58" s="219" t="s">
        <v>1215</v>
      </c>
      <c r="C58" s="240" t="s">
        <v>1854</v>
      </c>
      <c r="D58" s="240" t="s">
        <v>1646</v>
      </c>
      <c r="E58" s="240" t="s">
        <v>1867</v>
      </c>
      <c r="F58" s="284">
        <v>0.16</v>
      </c>
      <c r="G58" s="242">
        <v>2.3706896551724141</v>
      </c>
      <c r="H58" s="243">
        <f ca="1">SUMIF('Sales 6.2026'!B:F,'All Menu'!B58,'Sales 6.2026'!F:F)</f>
        <v>0</v>
      </c>
      <c r="I58" s="241"/>
      <c r="J58" s="244">
        <f>SUMIF('Finished Recipe'!B:B, B58, 'Finished Recipe'!M:M)</f>
        <v>0.49042810714285717</v>
      </c>
      <c r="K58" s="244">
        <f t="shared" si="5"/>
        <v>1.880261548029557</v>
      </c>
      <c r="L58" s="245">
        <f t="shared" si="8"/>
        <v>0.20687149246753245</v>
      </c>
      <c r="M58" s="245">
        <f t="shared" si="9"/>
        <v>0.79312850753246755</v>
      </c>
      <c r="N58" s="23"/>
    </row>
    <row r="59" spans="1:14" ht="13" hidden="1">
      <c r="A59" s="78" t="s">
        <v>2512</v>
      </c>
      <c r="B59" s="219" t="s">
        <v>1247</v>
      </c>
      <c r="C59" s="240" t="s">
        <v>1854</v>
      </c>
      <c r="D59" s="240" t="s">
        <v>1646</v>
      </c>
      <c r="E59" s="240" t="s">
        <v>1647</v>
      </c>
      <c r="F59" s="284">
        <v>0.16</v>
      </c>
      <c r="G59" s="242">
        <v>3.2327586206896552</v>
      </c>
      <c r="H59" s="243">
        <f ca="1">SUMIF('Sales 6.2026'!B:F,'All Menu'!B59,'Sales 6.2026'!F:F)</f>
        <v>6</v>
      </c>
      <c r="I59" s="241"/>
      <c r="J59" s="244">
        <f>SUMIF('Finished Recipe'!B:B, B59, 'Finished Recipe'!M:M)</f>
        <v>1.1429299999999998</v>
      </c>
      <c r="K59" s="244">
        <f t="shared" si="5"/>
        <v>2.0898286206896555</v>
      </c>
      <c r="L59" s="245">
        <f t="shared" si="8"/>
        <v>0.35354634666666657</v>
      </c>
      <c r="M59" s="245">
        <f t="shared" si="9"/>
        <v>0.64645365333333338</v>
      </c>
      <c r="N59" s="23"/>
    </row>
    <row r="60" spans="1:14" ht="13" hidden="1">
      <c r="A60" s="78" t="s">
        <v>2513</v>
      </c>
      <c r="B60" s="219" t="s">
        <v>1066</v>
      </c>
      <c r="C60" s="240" t="s">
        <v>1854</v>
      </c>
      <c r="D60" s="240" t="s">
        <v>1422</v>
      </c>
      <c r="E60" s="240" t="s">
        <v>1421</v>
      </c>
      <c r="F60" s="284">
        <v>0.16</v>
      </c>
      <c r="G60" s="242">
        <v>11.120689655172415</v>
      </c>
      <c r="H60" s="243">
        <f ca="1">SUMIF('Sales 6.2026'!B:F,'All Menu'!B60,'Sales 6.2026'!F:F)</f>
        <v>45</v>
      </c>
      <c r="I60" s="241"/>
      <c r="J60" s="244">
        <f>SUMIF('Finished Recipe'!B:B, B60, 'Finished Recipe'!M:M)</f>
        <v>7.4588675786491541</v>
      </c>
      <c r="K60" s="244">
        <f t="shared" si="5"/>
        <v>3.6618220765232605</v>
      </c>
      <c r="L60" s="245">
        <f t="shared" si="8"/>
        <v>0.67071987528938126</v>
      </c>
      <c r="M60" s="245">
        <f t="shared" si="9"/>
        <v>0.32928012471061874</v>
      </c>
      <c r="N60" s="23"/>
    </row>
    <row r="61" spans="1:14" ht="13" hidden="1">
      <c r="A61" s="78" t="s">
        <v>2514</v>
      </c>
      <c r="B61" s="219" t="s">
        <v>1065</v>
      </c>
      <c r="C61" s="240" t="s">
        <v>1854</v>
      </c>
      <c r="D61" s="240" t="s">
        <v>1422</v>
      </c>
      <c r="E61" s="240" t="s">
        <v>1423</v>
      </c>
      <c r="F61" s="284">
        <v>0.16</v>
      </c>
      <c r="G61" s="242">
        <v>20.387931034482758</v>
      </c>
      <c r="H61" s="243">
        <f ca="1">SUMIF('Sales 6.2026'!B:F,'All Menu'!B61,'Sales 6.2026'!F:F)</f>
        <v>54.5</v>
      </c>
      <c r="I61" s="241"/>
      <c r="J61" s="244">
        <f>SUMIF('Finished Recipe'!B:B, B61, 'Finished Recipe'!M:M)</f>
        <v>13.161944941010617</v>
      </c>
      <c r="K61" s="244">
        <f t="shared" si="5"/>
        <v>7.2259860934721409</v>
      </c>
      <c r="L61" s="245">
        <f t="shared" si="8"/>
        <v>0.64557531211722263</v>
      </c>
      <c r="M61" s="245">
        <f t="shared" si="9"/>
        <v>0.35442468788277731</v>
      </c>
      <c r="N61" s="23"/>
    </row>
    <row r="62" spans="1:14" ht="13" hidden="1">
      <c r="A62" s="78" t="s">
        <v>2515</v>
      </c>
      <c r="B62" s="219" t="s">
        <v>868</v>
      </c>
      <c r="C62" s="240" t="s">
        <v>1854</v>
      </c>
      <c r="D62" s="240" t="s">
        <v>1422</v>
      </c>
      <c r="E62" s="240" t="s">
        <v>1424</v>
      </c>
      <c r="F62" s="284">
        <v>0.16</v>
      </c>
      <c r="G62" s="242">
        <v>13.75</v>
      </c>
      <c r="H62" s="243">
        <f ca="1">SUMIF('Sales 6.2026'!B:F,'All Menu'!B62,'Sales 6.2026'!F:F)</f>
        <v>45</v>
      </c>
      <c r="I62" s="241"/>
      <c r="J62" s="244">
        <f>SUMIF('Finished Recipe'!B:B, B62, 'Finished Recipe'!M:M)</f>
        <v>10.388044298797791</v>
      </c>
      <c r="K62" s="244">
        <f t="shared" si="5"/>
        <v>3.3619557012022092</v>
      </c>
      <c r="L62" s="245">
        <f t="shared" si="8"/>
        <v>0.75549413082165751</v>
      </c>
      <c r="M62" s="245">
        <f t="shared" si="9"/>
        <v>0.24450586917834249</v>
      </c>
      <c r="N62" s="23"/>
    </row>
    <row r="63" spans="1:14" ht="13" hidden="1">
      <c r="A63" s="78" t="s">
        <v>2750</v>
      </c>
      <c r="B63" s="219" t="s">
        <v>862</v>
      </c>
      <c r="C63" s="240" t="s">
        <v>1854</v>
      </c>
      <c r="D63" s="240" t="s">
        <v>1422</v>
      </c>
      <c r="E63" s="240" t="s">
        <v>1425</v>
      </c>
      <c r="F63" s="284">
        <v>0.16</v>
      </c>
      <c r="G63" s="242">
        <v>26.077586206896555</v>
      </c>
      <c r="H63" s="243">
        <f ca="1">SUMIF('Sales 6.2026'!B:F,'All Menu'!B63,'Sales 6.2026'!F:F)</f>
        <v>10.25</v>
      </c>
      <c r="I63" s="241"/>
      <c r="J63" s="244">
        <f>SUMIF('Finished Recipe'!B:B, B63, 'Finished Recipe'!M:M)</f>
        <v>20.819963946834338</v>
      </c>
      <c r="K63" s="244">
        <f t="shared" si="5"/>
        <v>5.2576222600622167</v>
      </c>
      <c r="L63" s="245">
        <f t="shared" si="8"/>
        <v>0.79838539432488698</v>
      </c>
      <c r="M63" s="245">
        <f t="shared" si="9"/>
        <v>0.20161460567511308</v>
      </c>
      <c r="N63" s="23"/>
    </row>
    <row r="64" spans="1:14" ht="13" hidden="1">
      <c r="A64" s="78" t="s">
        <v>2516</v>
      </c>
      <c r="B64" s="219" t="s">
        <v>870</v>
      </c>
      <c r="C64" s="240" t="s">
        <v>1854</v>
      </c>
      <c r="D64" s="240" t="s">
        <v>1422</v>
      </c>
      <c r="E64" s="240" t="s">
        <v>1426</v>
      </c>
      <c r="F64" s="284">
        <v>0.16</v>
      </c>
      <c r="G64" s="242">
        <v>10.431034482758621</v>
      </c>
      <c r="H64" s="243">
        <f ca="1">SUMIF('Sales 6.2026'!B:F,'All Menu'!B64,'Sales 6.2026'!F:F)</f>
        <v>45</v>
      </c>
      <c r="I64" s="241"/>
      <c r="J64" s="244">
        <f>SUMIF('Finished Recipe'!B:B, B64, 'Finished Recipe'!M:M)</f>
        <v>5.699519252649293</v>
      </c>
      <c r="K64" s="244">
        <f t="shared" si="5"/>
        <v>4.731515230109328</v>
      </c>
      <c r="L64" s="245">
        <f t="shared" si="8"/>
        <v>0.5464001928159653</v>
      </c>
      <c r="M64" s="245">
        <f t="shared" si="9"/>
        <v>0.45359980718403475</v>
      </c>
      <c r="N64" s="23"/>
    </row>
    <row r="65" spans="1:14" ht="13" hidden="1">
      <c r="A65" s="78" t="s">
        <v>2517</v>
      </c>
      <c r="B65" s="219" t="s">
        <v>864</v>
      </c>
      <c r="C65" s="240" t="s">
        <v>1854</v>
      </c>
      <c r="D65" s="240" t="s">
        <v>1422</v>
      </c>
      <c r="E65" s="240" t="s">
        <v>1427</v>
      </c>
      <c r="F65" s="284">
        <v>0.16</v>
      </c>
      <c r="G65" s="242">
        <v>20.387931034482758</v>
      </c>
      <c r="H65" s="243">
        <f ca="1">SUMIF('Sales 6.2026'!B:F,'All Menu'!B65,'Sales 6.2026'!F:F)</f>
        <v>16.75</v>
      </c>
      <c r="I65" s="241"/>
      <c r="J65" s="244">
        <f>SUMIF('Finished Recipe'!B:B, B65, 'Finished Recipe'!M:M)</f>
        <v>11.863700692697115</v>
      </c>
      <c r="K65" s="244">
        <f t="shared" si="5"/>
        <v>8.5242303417856427</v>
      </c>
      <c r="L65" s="245">
        <f t="shared" si="8"/>
        <v>0.58189821579402345</v>
      </c>
      <c r="M65" s="245">
        <f t="shared" si="9"/>
        <v>0.41810178420597655</v>
      </c>
      <c r="N65" s="23"/>
    </row>
    <row r="66" spans="1:14" ht="13" hidden="1">
      <c r="A66" s="78" t="s">
        <v>2518</v>
      </c>
      <c r="B66" s="219" t="s">
        <v>871</v>
      </c>
      <c r="C66" s="240" t="s">
        <v>1854</v>
      </c>
      <c r="D66" s="240" t="s">
        <v>1422</v>
      </c>
      <c r="E66" s="240" t="s">
        <v>1428</v>
      </c>
      <c r="F66" s="284">
        <v>0.16</v>
      </c>
      <c r="G66" s="242">
        <v>8.5344827586206904</v>
      </c>
      <c r="H66" s="243">
        <f ca="1">SUMIF('Sales 6.2026'!B:F,'All Menu'!B66,'Sales 6.2026'!F:F)</f>
        <v>8</v>
      </c>
      <c r="I66" s="241"/>
      <c r="J66" s="244">
        <f>SUMIF('Finished Recipe'!B:B, B66, 'Finished Recipe'!M:M)</f>
        <v>2.5677258153746889</v>
      </c>
      <c r="K66" s="244">
        <f t="shared" si="5"/>
        <v>5.9667569432460015</v>
      </c>
      <c r="L66" s="245">
        <f t="shared" si="8"/>
        <v>0.30086484301359989</v>
      </c>
      <c r="M66" s="245">
        <f t="shared" si="9"/>
        <v>0.69913515698640016</v>
      </c>
      <c r="N66" s="23"/>
    </row>
    <row r="67" spans="1:14" ht="13" hidden="1">
      <c r="A67" s="78" t="s">
        <v>2519</v>
      </c>
      <c r="B67" s="219" t="s">
        <v>865</v>
      </c>
      <c r="C67" s="240" t="s">
        <v>1854</v>
      </c>
      <c r="D67" s="240" t="s">
        <v>1422</v>
      </c>
      <c r="E67" s="240" t="s">
        <v>1429</v>
      </c>
      <c r="F67" s="284">
        <v>0.16</v>
      </c>
      <c r="G67" s="242">
        <v>16.120689655172413</v>
      </c>
      <c r="H67" s="243">
        <f ca="1">SUMIF('Sales 6.2026'!B:F,'All Menu'!B67,'Sales 6.2026'!F:F)</f>
        <v>1</v>
      </c>
      <c r="I67" s="241"/>
      <c r="J67" s="244">
        <f>SUMIF('Finished Recipe'!B:B, B67, 'Finished Recipe'!M:M)</f>
        <v>5.0645528621415128</v>
      </c>
      <c r="K67" s="244">
        <f t="shared" si="5"/>
        <v>11.0561367930309</v>
      </c>
      <c r="L67" s="245">
        <f t="shared" si="8"/>
        <v>0.3141647764750885</v>
      </c>
      <c r="M67" s="245">
        <f t="shared" si="9"/>
        <v>0.68583522352491144</v>
      </c>
      <c r="N67" s="23"/>
    </row>
    <row r="68" spans="1:14" ht="13" hidden="1">
      <c r="A68" s="78" t="s">
        <v>2520</v>
      </c>
      <c r="B68" s="219" t="s">
        <v>1133</v>
      </c>
      <c r="C68" s="240" t="s">
        <v>1854</v>
      </c>
      <c r="D68" s="240" t="s">
        <v>1422</v>
      </c>
      <c r="E68" s="241" t="s">
        <v>1431</v>
      </c>
      <c r="F68" s="284">
        <v>0.16</v>
      </c>
      <c r="G68" s="242">
        <v>3.4482758620689657</v>
      </c>
      <c r="H68" s="243">
        <f ca="1">SUMIF('Sales 6.2026'!B:F,'All Menu'!B68,'Sales 6.2026'!F:F)</f>
        <v>0</v>
      </c>
      <c r="I68" s="241"/>
      <c r="J68" s="244">
        <f>SUMIF('Finished Recipe'!B:B, B68, 'Finished Recipe'!M:M)</f>
        <v>1.6469512694937622</v>
      </c>
      <c r="K68" s="244">
        <f t="shared" si="5"/>
        <v>1.8013245925752035</v>
      </c>
      <c r="L68" s="245">
        <f t="shared" si="8"/>
        <v>0.47761586815319101</v>
      </c>
      <c r="M68" s="245">
        <f t="shared" si="9"/>
        <v>0.52238413184680899</v>
      </c>
      <c r="N68" s="23"/>
    </row>
    <row r="69" spans="1:14" ht="13" hidden="1">
      <c r="A69" s="78" t="s">
        <v>2521</v>
      </c>
      <c r="B69" s="219" t="s">
        <v>869</v>
      </c>
      <c r="C69" s="240" t="s">
        <v>1854</v>
      </c>
      <c r="D69" s="240" t="s">
        <v>1422</v>
      </c>
      <c r="E69" s="240" t="s">
        <v>1432</v>
      </c>
      <c r="F69" s="284">
        <v>0.16</v>
      </c>
      <c r="G69" s="242">
        <v>7.7586206896551726</v>
      </c>
      <c r="H69" s="243">
        <f ca="1">SUMIF('Sales 6.2026'!B:F,'All Menu'!B69,'Sales 6.2026'!F:F)</f>
        <v>0</v>
      </c>
      <c r="I69" s="241"/>
      <c r="J69" s="244">
        <f>SUMIF('Finished Recipe'!B:B, B69, 'Finished Recipe'!M:M)</f>
        <v>2.0727553218700727</v>
      </c>
      <c r="K69" s="244">
        <f t="shared" si="5"/>
        <v>5.6858653677850999</v>
      </c>
      <c r="L69" s="245">
        <f t="shared" si="8"/>
        <v>0.26715513037436495</v>
      </c>
      <c r="M69" s="245">
        <f t="shared" si="9"/>
        <v>0.73284486962563511</v>
      </c>
      <c r="N69" s="23"/>
    </row>
    <row r="70" spans="1:14" ht="13" hidden="1">
      <c r="A70" s="78" t="s">
        <v>2522</v>
      </c>
      <c r="B70" s="219" t="s">
        <v>873</v>
      </c>
      <c r="C70" s="240" t="s">
        <v>1854</v>
      </c>
      <c r="D70" s="240" t="s">
        <v>1422</v>
      </c>
      <c r="E70" s="240" t="s">
        <v>1434</v>
      </c>
      <c r="F70" s="284">
        <v>0.16</v>
      </c>
      <c r="G70" s="242">
        <v>6.8965517241379315</v>
      </c>
      <c r="H70" s="243">
        <f ca="1">SUMIF('Sales 6.2026'!B:F,'All Menu'!B70,'Sales 6.2026'!F:F)</f>
        <v>4.1499999761581403</v>
      </c>
      <c r="I70" s="241"/>
      <c r="J70" s="244">
        <f>SUMIF('Finished Recipe'!B:B, B70, 'Finished Recipe'!M:M)</f>
        <v>3.6495342694937616</v>
      </c>
      <c r="K70" s="244">
        <f t="shared" si="5"/>
        <v>3.2470174546441699</v>
      </c>
      <c r="L70" s="245">
        <f t="shared" si="8"/>
        <v>0.52918246907659539</v>
      </c>
      <c r="M70" s="245">
        <f t="shared" si="9"/>
        <v>0.47081753092340461</v>
      </c>
      <c r="N70" s="23"/>
    </row>
    <row r="71" spans="1:14" ht="13" hidden="1">
      <c r="A71" s="78" t="s">
        <v>2523</v>
      </c>
      <c r="B71" s="219" t="s">
        <v>874</v>
      </c>
      <c r="C71" s="240" t="s">
        <v>1854</v>
      </c>
      <c r="D71" s="240" t="s">
        <v>1422</v>
      </c>
      <c r="E71" s="240" t="s">
        <v>1435</v>
      </c>
      <c r="F71" s="284">
        <v>0.16</v>
      </c>
      <c r="G71" s="242">
        <v>3.75</v>
      </c>
      <c r="H71" s="243">
        <f ca="1">SUMIF('Sales 6.2026'!B:F,'All Menu'!B71,'Sales 6.2026'!F:F)</f>
        <v>80</v>
      </c>
      <c r="I71" s="241"/>
      <c r="J71" s="244">
        <f>SUMIF('Finished Recipe'!B:B, B71, 'Finished Recipe'!M:M)</f>
        <v>2.021245083926154</v>
      </c>
      <c r="K71" s="244">
        <f t="shared" si="5"/>
        <v>1.728754916073846</v>
      </c>
      <c r="L71" s="245">
        <f t="shared" si="8"/>
        <v>0.53899868904697434</v>
      </c>
      <c r="M71" s="245">
        <f t="shared" si="9"/>
        <v>0.4610013109530256</v>
      </c>
      <c r="N71" s="23"/>
    </row>
    <row r="72" spans="1:14" ht="13" hidden="1">
      <c r="A72" s="78" t="s">
        <v>2524</v>
      </c>
      <c r="B72" s="219" t="s">
        <v>1293</v>
      </c>
      <c r="C72" s="240" t="s">
        <v>1854</v>
      </c>
      <c r="D72" s="240" t="s">
        <v>1422</v>
      </c>
      <c r="E72" s="240" t="s">
        <v>1870</v>
      </c>
      <c r="F72" s="284">
        <v>0.16</v>
      </c>
      <c r="G72" s="242">
        <v>25.862068965517242</v>
      </c>
      <c r="H72" s="243">
        <f ca="1">SUMIF('Sales 6.2026'!B:F,'All Menu'!B72,'Sales 6.2026'!F:F)</f>
        <v>0</v>
      </c>
      <c r="I72" s="241"/>
      <c r="J72" s="244">
        <f>SUMIF('Finished Recipe'!B:B, B72, 'Finished Recipe'!M:M)</f>
        <v>9.6872644529660175</v>
      </c>
      <c r="K72" s="244">
        <f t="shared" si="5"/>
        <v>16.174804512551226</v>
      </c>
      <c r="L72" s="245">
        <f t="shared" si="8"/>
        <v>0.374574225514686</v>
      </c>
      <c r="M72" s="245">
        <f t="shared" si="9"/>
        <v>0.62542577448531411</v>
      </c>
      <c r="N72" s="23"/>
    </row>
    <row r="73" spans="1:14" ht="13" hidden="1">
      <c r="A73" s="78" t="s">
        <v>2525</v>
      </c>
      <c r="B73" s="219" t="s">
        <v>872</v>
      </c>
      <c r="C73" s="240" t="s">
        <v>1854</v>
      </c>
      <c r="D73" s="240" t="s">
        <v>1422</v>
      </c>
      <c r="E73" s="240" t="s">
        <v>1437</v>
      </c>
      <c r="F73" s="284">
        <v>0.16</v>
      </c>
      <c r="G73" s="242">
        <v>11.63793103448276</v>
      </c>
      <c r="H73" s="243">
        <f ca="1">SUMIF('Sales 6.2026'!B:F,'All Menu'!B73,'Sales 6.2026'!F:F)</f>
        <v>17</v>
      </c>
      <c r="I73" s="241"/>
      <c r="J73" s="244">
        <f>SUMIF('Finished Recipe'!B:B, B73, 'Finished Recipe'!M:M)</f>
        <v>7.1069459361604279</v>
      </c>
      <c r="K73" s="244">
        <f t="shared" ref="K73:K118" si="10">G73-J73</f>
        <v>4.5309850983223319</v>
      </c>
      <c r="L73" s="245">
        <f t="shared" ref="L73:L99" si="11">J73/G73</f>
        <v>0.61067091007008112</v>
      </c>
      <c r="M73" s="245">
        <f t="shared" ref="M73:M99" si="12">K73/G73</f>
        <v>0.38932908992991883</v>
      </c>
      <c r="N73" s="23"/>
    </row>
    <row r="74" spans="1:14" ht="13" hidden="1">
      <c r="A74" s="78" t="s">
        <v>2526</v>
      </c>
      <c r="B74" s="219" t="s">
        <v>866</v>
      </c>
      <c r="C74" s="240" t="s">
        <v>1854</v>
      </c>
      <c r="D74" s="240" t="s">
        <v>1422</v>
      </c>
      <c r="E74" s="240" t="s">
        <v>1438</v>
      </c>
      <c r="F74" s="284">
        <v>0.16</v>
      </c>
      <c r="G74" s="242">
        <v>21.551724137931036</v>
      </c>
      <c r="H74" s="243">
        <f ca="1">SUMIF('Sales 6.2026'!B:F,'All Menu'!B74,'Sales 6.2026'!F:F)</f>
        <v>6.75</v>
      </c>
      <c r="I74" s="241"/>
      <c r="J74" s="244">
        <f>SUMIF('Finished Recipe'!B:B, B74, 'Finished Recipe'!M:M)</f>
        <v>14.195085420707953</v>
      </c>
      <c r="K74" s="244">
        <f t="shared" si="10"/>
        <v>7.3566387172230829</v>
      </c>
      <c r="L74" s="245">
        <f t="shared" si="11"/>
        <v>0.65865196352084898</v>
      </c>
      <c r="M74" s="245">
        <f t="shared" si="12"/>
        <v>0.34134803647915102</v>
      </c>
      <c r="N74" s="23"/>
    </row>
    <row r="75" spans="1:14" ht="13" hidden="1">
      <c r="A75" s="78" t="s">
        <v>2527</v>
      </c>
      <c r="B75" s="219" t="s">
        <v>1134</v>
      </c>
      <c r="C75" s="240" t="s">
        <v>1854</v>
      </c>
      <c r="D75" s="240" t="s">
        <v>1422</v>
      </c>
      <c r="E75" s="240" t="s">
        <v>1439</v>
      </c>
      <c r="F75" s="284">
        <v>0.16</v>
      </c>
      <c r="G75" s="242">
        <v>3.4482758620689657</v>
      </c>
      <c r="H75" s="243">
        <f ca="1">SUMIF('Sales 6.2026'!B:F,'All Menu'!B75,'Sales 6.2026'!F:F)</f>
        <v>4.5</v>
      </c>
      <c r="I75" s="241"/>
      <c r="J75" s="244">
        <f>SUMIF('Finished Recipe'!B:B, B75, 'Finished Recipe'!M:M)</f>
        <v>1.6512612694937623</v>
      </c>
      <c r="K75" s="244">
        <f t="shared" si="10"/>
        <v>1.7970145925752035</v>
      </c>
      <c r="L75" s="245">
        <f t="shared" si="11"/>
        <v>0.47886576815319104</v>
      </c>
      <c r="M75" s="245">
        <f t="shared" si="12"/>
        <v>0.52113423184680896</v>
      </c>
      <c r="N75" s="23"/>
    </row>
    <row r="76" spans="1:14" ht="13" hidden="1">
      <c r="A76" s="78" t="s">
        <v>2528</v>
      </c>
      <c r="B76" s="219" t="s">
        <v>1135</v>
      </c>
      <c r="C76" s="240" t="s">
        <v>1854</v>
      </c>
      <c r="D76" s="240" t="s">
        <v>1422</v>
      </c>
      <c r="E76" s="240" t="s">
        <v>1440</v>
      </c>
      <c r="F76" s="284">
        <v>0.16</v>
      </c>
      <c r="G76" s="242">
        <v>3.2327586206896552</v>
      </c>
      <c r="H76" s="243">
        <f ca="1">SUMIF('Sales 6.2026'!B:F,'All Menu'!B76,'Sales 6.2026'!F:F)</f>
        <v>47</v>
      </c>
      <c r="I76" s="241"/>
      <c r="J76" s="244">
        <f>SUMIF('Finished Recipe'!B:B, B76, 'Finished Recipe'!M:M)</f>
        <v>0.76029620253164554</v>
      </c>
      <c r="K76" s="244">
        <f t="shared" si="10"/>
        <v>2.4724624181580097</v>
      </c>
      <c r="L76" s="245">
        <f t="shared" si="11"/>
        <v>0.23518495864978903</v>
      </c>
      <c r="M76" s="245">
        <f t="shared" si="12"/>
        <v>0.76481504135021094</v>
      </c>
      <c r="N76" s="23"/>
    </row>
    <row r="77" spans="1:14" ht="13" hidden="1">
      <c r="A77" s="78" t="s">
        <v>2529</v>
      </c>
      <c r="B77" s="219" t="s">
        <v>1040</v>
      </c>
      <c r="C77" s="240" t="s">
        <v>1854</v>
      </c>
      <c r="D77" s="240" t="s">
        <v>1422</v>
      </c>
      <c r="E77" s="240" t="s">
        <v>1441</v>
      </c>
      <c r="F77" s="284">
        <v>0.16</v>
      </c>
      <c r="G77" s="242">
        <v>2.1120689655172415</v>
      </c>
      <c r="H77" s="243">
        <f ca="1">SUMIF('Sales 6.2026'!B:F,'All Menu'!B77,'Sales 6.2026'!F:F)</f>
        <v>4</v>
      </c>
      <c r="I77" s="241"/>
      <c r="J77" s="244">
        <f>SUMIF('Finished Recipe'!B:B, B77, 'Finished Recipe'!M:M)</f>
        <v>0.86512044713232117</v>
      </c>
      <c r="K77" s="244">
        <f t="shared" si="10"/>
        <v>1.2469485183849205</v>
      </c>
      <c r="L77" s="245">
        <f t="shared" si="11"/>
        <v>0.40960804843816018</v>
      </c>
      <c r="M77" s="245">
        <f t="shared" si="12"/>
        <v>0.59039195156183988</v>
      </c>
      <c r="N77" s="23"/>
    </row>
    <row r="78" spans="1:14" ht="13" hidden="1">
      <c r="A78" s="78" t="s">
        <v>2530</v>
      </c>
      <c r="B78" s="219" t="s">
        <v>1042</v>
      </c>
      <c r="C78" s="240" t="s">
        <v>1854</v>
      </c>
      <c r="D78" s="240" t="s">
        <v>1422</v>
      </c>
      <c r="E78" s="240" t="s">
        <v>1442</v>
      </c>
      <c r="F78" s="284">
        <v>0.16</v>
      </c>
      <c r="G78" s="242">
        <v>2.1120689655172415</v>
      </c>
      <c r="H78" s="243">
        <f ca="1">SUMIF('Sales 6.2026'!B:F,'All Menu'!B78,'Sales 6.2026'!F:F)</f>
        <v>1</v>
      </c>
      <c r="I78" s="241"/>
      <c r="J78" s="244">
        <f>SUMIF('Finished Recipe'!B:B, B78, 'Finished Recipe'!M:M)</f>
        <v>0.65352174672911134</v>
      </c>
      <c r="K78" s="244">
        <f t="shared" si="10"/>
        <v>1.4585472187881301</v>
      </c>
      <c r="L78" s="245">
        <f t="shared" si="11"/>
        <v>0.30942254130847718</v>
      </c>
      <c r="M78" s="245">
        <f t="shared" si="12"/>
        <v>0.69057745869152276</v>
      </c>
      <c r="N78" s="23"/>
    </row>
    <row r="79" spans="1:14" ht="13" hidden="1">
      <c r="A79" s="78" t="s">
        <v>2531</v>
      </c>
      <c r="B79" s="219" t="s">
        <v>1043</v>
      </c>
      <c r="C79" s="240" t="s">
        <v>1854</v>
      </c>
      <c r="D79" s="240" t="s">
        <v>1422</v>
      </c>
      <c r="E79" s="240" t="s">
        <v>1412</v>
      </c>
      <c r="F79" s="284">
        <v>0.16</v>
      </c>
      <c r="G79" s="242">
        <v>3.4482758620689657</v>
      </c>
      <c r="H79" s="243">
        <f ca="1">SUMIF('Sales 6.2026'!B:F,'All Menu'!B79,'Sales 6.2026'!F:F)</f>
        <v>4</v>
      </c>
      <c r="I79" s="241"/>
      <c r="J79" s="244">
        <f>SUMIF('Finished Recipe'!B:B, B79, 'Finished Recipe'!M:M)</f>
        <v>1.1629861640531975</v>
      </c>
      <c r="K79" s="244">
        <f t="shared" si="10"/>
        <v>2.2852896980157684</v>
      </c>
      <c r="L79" s="245">
        <f t="shared" si="11"/>
        <v>0.33726598757542725</v>
      </c>
      <c r="M79" s="245">
        <f t="shared" si="12"/>
        <v>0.66273401242457275</v>
      </c>
      <c r="N79" s="23"/>
    </row>
    <row r="80" spans="1:14" ht="13" hidden="1">
      <c r="A80" s="78" t="s">
        <v>2532</v>
      </c>
      <c r="B80" s="219" t="s">
        <v>1044</v>
      </c>
      <c r="C80" s="240" t="s">
        <v>1854</v>
      </c>
      <c r="D80" s="240" t="s">
        <v>1422</v>
      </c>
      <c r="E80" s="240" t="s">
        <v>1409</v>
      </c>
      <c r="F80" s="284">
        <v>0.16</v>
      </c>
      <c r="G80" s="242">
        <v>3.146551724137931</v>
      </c>
      <c r="H80" s="243">
        <f ca="1">SUMIF('Sales 6.2026'!B:F,'All Menu'!B80,'Sales 6.2026'!F:F)</f>
        <v>0</v>
      </c>
      <c r="I80" s="241"/>
      <c r="J80" s="244">
        <f>SUMIF('Finished Recipe'!B:B, B80, 'Finished Recipe'!M:M)</f>
        <v>2.1913177136268009</v>
      </c>
      <c r="K80" s="244">
        <f t="shared" si="10"/>
        <v>0.9552340105111301</v>
      </c>
      <c r="L80" s="245">
        <f t="shared" si="11"/>
        <v>0.69641878022112025</v>
      </c>
      <c r="M80" s="245">
        <f t="shared" si="12"/>
        <v>0.3035812197788797</v>
      </c>
      <c r="N80" s="23"/>
    </row>
    <row r="81" spans="1:14" ht="13" hidden="1">
      <c r="A81" s="78" t="s">
        <v>2533</v>
      </c>
      <c r="B81" s="219" t="s">
        <v>1052</v>
      </c>
      <c r="C81" s="240" t="s">
        <v>1854</v>
      </c>
      <c r="D81" s="240" t="s">
        <v>1422</v>
      </c>
      <c r="E81" s="240" t="s">
        <v>1444</v>
      </c>
      <c r="F81" s="284">
        <v>0.16</v>
      </c>
      <c r="G81" s="242">
        <v>6.2931034482758621</v>
      </c>
      <c r="H81" s="243">
        <f ca="1">SUMIF('Sales 6.2026'!B:F,'All Menu'!B81,'Sales 6.2026'!F:F)</f>
        <v>16</v>
      </c>
      <c r="I81" s="241"/>
      <c r="J81" s="244">
        <f>SUMIF('Finished Recipe'!B:B, B81, 'Finished Recipe'!M:M)</f>
        <v>3.6395480382699978</v>
      </c>
      <c r="K81" s="244">
        <f t="shared" si="10"/>
        <v>2.6535554100058643</v>
      </c>
      <c r="L81" s="245">
        <f t="shared" si="11"/>
        <v>0.57833914032783529</v>
      </c>
      <c r="M81" s="245">
        <f t="shared" si="12"/>
        <v>0.42166085967216471</v>
      </c>
      <c r="N81" s="23"/>
    </row>
    <row r="82" spans="1:14" ht="13" hidden="1">
      <c r="A82" s="78" t="s">
        <v>2534</v>
      </c>
      <c r="B82" s="219" t="s">
        <v>1051</v>
      </c>
      <c r="C82" s="240" t="s">
        <v>1854</v>
      </c>
      <c r="D82" s="240" t="s">
        <v>1422</v>
      </c>
      <c r="E82" s="241" t="s">
        <v>1445</v>
      </c>
      <c r="F82" s="284">
        <v>0.16</v>
      </c>
      <c r="G82" s="242">
        <v>5.1724137931034484</v>
      </c>
      <c r="H82" s="243">
        <f ca="1">SUMIF('Sales 6.2026'!B:F,'All Menu'!B82,'Sales 6.2026'!F:F)</f>
        <v>17</v>
      </c>
      <c r="I82" s="241"/>
      <c r="J82" s="244">
        <f>SUMIF('Finished Recipe'!B:B, B82, 'Finished Recipe'!M:M)</f>
        <v>1.5378015547563235</v>
      </c>
      <c r="K82" s="244">
        <f t="shared" si="10"/>
        <v>3.6346122383471249</v>
      </c>
      <c r="L82" s="245">
        <f t="shared" si="11"/>
        <v>0.29730830058622254</v>
      </c>
      <c r="M82" s="245">
        <f t="shared" si="12"/>
        <v>0.70269169941377752</v>
      </c>
      <c r="N82" s="23"/>
    </row>
    <row r="83" spans="1:14" ht="13" hidden="1">
      <c r="A83" s="78" t="s">
        <v>2535</v>
      </c>
      <c r="B83" s="219" t="s">
        <v>1053</v>
      </c>
      <c r="C83" s="240" t="s">
        <v>1854</v>
      </c>
      <c r="D83" s="240" t="s">
        <v>1422</v>
      </c>
      <c r="E83" s="240" t="s">
        <v>1446</v>
      </c>
      <c r="F83" s="284">
        <v>0.16</v>
      </c>
      <c r="G83" s="242">
        <v>6.6379310344827589</v>
      </c>
      <c r="H83" s="243">
        <f ca="1">SUMIF('Sales 6.2026'!B:F,'All Menu'!B83,'Sales 6.2026'!F:F)</f>
        <v>25</v>
      </c>
      <c r="I83" s="241"/>
      <c r="J83" s="244">
        <f>SUMIF('Finished Recipe'!B:B, B83, 'Finished Recipe'!M:M)</f>
        <v>3.8082288492555931</v>
      </c>
      <c r="K83" s="244">
        <f t="shared" si="10"/>
        <v>2.8297021852271658</v>
      </c>
      <c r="L83" s="245">
        <f t="shared" si="11"/>
        <v>0.57370720326447899</v>
      </c>
      <c r="M83" s="245">
        <f t="shared" si="12"/>
        <v>0.42629279673552106</v>
      </c>
      <c r="N83" s="23"/>
    </row>
    <row r="84" spans="1:14" ht="13" hidden="1">
      <c r="A84" s="78" t="s">
        <v>2536</v>
      </c>
      <c r="B84" s="219" t="s">
        <v>1129</v>
      </c>
      <c r="C84" s="240" t="s">
        <v>1854</v>
      </c>
      <c r="D84" s="240" t="s">
        <v>1422</v>
      </c>
      <c r="E84" s="241" t="s">
        <v>1394</v>
      </c>
      <c r="F84" s="284">
        <v>0.16</v>
      </c>
      <c r="G84" s="242">
        <v>7.7586206896551726</v>
      </c>
      <c r="H84" s="243">
        <f ca="1">SUMIF('Sales 6.2026'!B:F,'All Menu'!B84,'Sales 6.2026'!F:F)</f>
        <v>22.950000047683801</v>
      </c>
      <c r="I84" s="241"/>
      <c r="J84" s="244">
        <f>SUMIF('Finished Recipe'!B:B, B84, 'Finished Recipe'!M:M)</f>
        <v>6.2355327073999414</v>
      </c>
      <c r="K84" s="244">
        <f t="shared" si="10"/>
        <v>1.5230879822552312</v>
      </c>
      <c r="L84" s="245">
        <f t="shared" si="11"/>
        <v>0.8036908822871035</v>
      </c>
      <c r="M84" s="245">
        <f t="shared" si="12"/>
        <v>0.19630911771289647</v>
      </c>
      <c r="N84" s="23"/>
    </row>
    <row r="85" spans="1:14" ht="13" hidden="1">
      <c r="A85" s="78" t="s">
        <v>2537</v>
      </c>
      <c r="B85" s="219" t="s">
        <v>1130</v>
      </c>
      <c r="C85" s="240" t="s">
        <v>1854</v>
      </c>
      <c r="D85" s="240" t="s">
        <v>1422</v>
      </c>
      <c r="E85" s="240" t="s">
        <v>1417</v>
      </c>
      <c r="F85" s="284">
        <v>0.16</v>
      </c>
      <c r="G85" s="242">
        <v>7.7586206896551726</v>
      </c>
      <c r="H85" s="243">
        <f ca="1">SUMIF('Sales 6.2026'!B:F,'All Menu'!B85,'Sales 6.2026'!F:F)</f>
        <v>12.600000023841901</v>
      </c>
      <c r="I85" s="241"/>
      <c r="J85" s="244">
        <f>SUMIF('Finished Recipe'!B:B, B85, 'Finished Recipe'!M:M)</f>
        <v>4.2666394845475253</v>
      </c>
      <c r="K85" s="244">
        <f t="shared" si="10"/>
        <v>3.4919812051076473</v>
      </c>
      <c r="L85" s="245">
        <f t="shared" si="11"/>
        <v>0.5499224224527921</v>
      </c>
      <c r="M85" s="245">
        <f t="shared" si="12"/>
        <v>0.45007757754720784</v>
      </c>
      <c r="N85" s="23"/>
    </row>
    <row r="86" spans="1:14" ht="13" hidden="1">
      <c r="A86" s="78" t="s">
        <v>2538</v>
      </c>
      <c r="B86" s="219" t="s">
        <v>1138</v>
      </c>
      <c r="C86" s="240" t="s">
        <v>1854</v>
      </c>
      <c r="D86" s="240" t="s">
        <v>1422</v>
      </c>
      <c r="E86" s="240" t="s">
        <v>1420</v>
      </c>
      <c r="F86" s="284">
        <v>0.16</v>
      </c>
      <c r="G86" s="242">
        <v>1.8965517241379313</v>
      </c>
      <c r="H86" s="243">
        <f ca="1">SUMIF('Sales 6.2026'!B:F,'All Menu'!B86,'Sales 6.2026'!F:F)</f>
        <v>15</v>
      </c>
      <c r="I86" s="241"/>
      <c r="J86" s="244">
        <f>SUMIF('Finished Recipe'!B:B, B86, 'Finished Recipe'!M:M)</f>
        <v>0.5</v>
      </c>
      <c r="K86" s="244">
        <f t="shared" si="10"/>
        <v>1.3965517241379313</v>
      </c>
      <c r="L86" s="245">
        <f t="shared" si="11"/>
        <v>0.26363636363636361</v>
      </c>
      <c r="M86" s="245">
        <f t="shared" si="12"/>
        <v>0.73636363636363644</v>
      </c>
      <c r="N86" s="23"/>
    </row>
    <row r="87" spans="1:14" ht="13" hidden="1">
      <c r="A87" s="78" t="s">
        <v>2539</v>
      </c>
      <c r="B87" s="219" t="s">
        <v>1152</v>
      </c>
      <c r="C87" s="240" t="s">
        <v>1854</v>
      </c>
      <c r="D87" s="240" t="s">
        <v>1478</v>
      </c>
      <c r="E87" s="240" t="s">
        <v>1477</v>
      </c>
      <c r="F87" s="284">
        <v>0.16</v>
      </c>
      <c r="G87" s="242">
        <v>0.73275862068965525</v>
      </c>
      <c r="H87" s="243">
        <f ca="1">SUMIF('Sales 6.2026'!B:F,'All Menu'!B87,'Sales 6.2026'!F:F)</f>
        <v>743</v>
      </c>
      <c r="I87" s="241"/>
      <c r="J87" s="244">
        <f>SUMIF('Finished Recipe'!B:B, B87, 'Finished Recipe'!M:M)</f>
        <v>0.13741666666666666</v>
      </c>
      <c r="K87" s="244">
        <f t="shared" si="10"/>
        <v>0.59534195402298862</v>
      </c>
      <c r="L87" s="245">
        <f t="shared" si="11"/>
        <v>0.1875333333333333</v>
      </c>
      <c r="M87" s="245">
        <f t="shared" si="12"/>
        <v>0.81246666666666678</v>
      </c>
      <c r="N87" s="23"/>
    </row>
    <row r="88" spans="1:14" ht="13" hidden="1">
      <c r="A88" s="78" t="s">
        <v>2540</v>
      </c>
      <c r="B88" s="219" t="s">
        <v>1153</v>
      </c>
      <c r="C88" s="240" t="s">
        <v>1854</v>
      </c>
      <c r="D88" s="240" t="s">
        <v>1478</v>
      </c>
      <c r="E88" s="240" t="s">
        <v>1479</v>
      </c>
      <c r="F88" s="284">
        <v>0.16</v>
      </c>
      <c r="G88" s="242">
        <v>0.73275862068965525</v>
      </c>
      <c r="H88" s="243">
        <f ca="1">SUMIF('Sales 6.2026'!B:F,'All Menu'!B88,'Sales 6.2026'!F:F)</f>
        <v>1498</v>
      </c>
      <c r="I88" s="241"/>
      <c r="J88" s="244">
        <f>SUMIF('Finished Recipe'!B:B, B88, 'Finished Recipe'!M:M)</f>
        <v>8.9833333333333334E-2</v>
      </c>
      <c r="K88" s="244">
        <f t="shared" si="10"/>
        <v>0.64292528735632193</v>
      </c>
      <c r="L88" s="245">
        <f t="shared" si="11"/>
        <v>0.12259607843137253</v>
      </c>
      <c r="M88" s="245">
        <f t="shared" si="12"/>
        <v>0.87740392156862745</v>
      </c>
      <c r="N88" s="23"/>
    </row>
    <row r="89" spans="1:14" ht="13" hidden="1">
      <c r="A89" s="78" t="s">
        <v>2298</v>
      </c>
      <c r="B89" s="219" t="s">
        <v>1154</v>
      </c>
      <c r="C89" s="240" t="s">
        <v>1854</v>
      </c>
      <c r="D89" s="240" t="s">
        <v>1478</v>
      </c>
      <c r="E89" s="240" t="s">
        <v>275</v>
      </c>
      <c r="F89" s="284">
        <v>0.16</v>
      </c>
      <c r="G89" s="242">
        <v>1.163793103448276</v>
      </c>
      <c r="H89" s="243">
        <f ca="1">SUMIF('Sales 6.2026'!B:F,'All Menu'!B89,'Sales 6.2026'!F:F)</f>
        <v>155</v>
      </c>
      <c r="I89" s="241"/>
      <c r="J89" s="244">
        <f>SUMIF('Finished Recipe'!B:B, B89, 'Finished Recipe'!M:M)</f>
        <v>0.126</v>
      </c>
      <c r="K89" s="244">
        <f t="shared" si="10"/>
        <v>1.0377931034482759</v>
      </c>
      <c r="L89" s="245">
        <f t="shared" si="11"/>
        <v>0.10826666666666665</v>
      </c>
      <c r="M89" s="245">
        <f t="shared" si="12"/>
        <v>0.89173333333333327</v>
      </c>
      <c r="N89" s="23"/>
    </row>
    <row r="90" spans="1:14" ht="13" hidden="1">
      <c r="A90" s="78" t="s">
        <v>2541</v>
      </c>
      <c r="B90" s="219" t="s">
        <v>1089</v>
      </c>
      <c r="C90" s="240" t="s">
        <v>1854</v>
      </c>
      <c r="D90" s="240" t="s">
        <v>1478</v>
      </c>
      <c r="E90" s="240" t="s">
        <v>1480</v>
      </c>
      <c r="F90" s="284">
        <v>0.16</v>
      </c>
      <c r="G90" s="242">
        <v>2.4568965517241383</v>
      </c>
      <c r="H90" s="243">
        <f ca="1">SUMIF('Sales 6.2026'!B:F,'All Menu'!B90,'Sales 6.2026'!F:F)</f>
        <v>6</v>
      </c>
      <c r="I90" s="241"/>
      <c r="J90" s="244">
        <f>SUMIF('Finished Recipe'!B:B, B90, 'Finished Recipe'!M:M)</f>
        <v>1.8515524999999997</v>
      </c>
      <c r="K90" s="244">
        <f t="shared" si="10"/>
        <v>0.60534405172413863</v>
      </c>
      <c r="L90" s="245">
        <f t="shared" si="11"/>
        <v>0.75361435087719275</v>
      </c>
      <c r="M90" s="245">
        <f t="shared" si="12"/>
        <v>0.24638564912280725</v>
      </c>
      <c r="N90" s="23"/>
    </row>
    <row r="91" spans="1:14" ht="13" hidden="1">
      <c r="A91" s="78" t="s">
        <v>2542</v>
      </c>
      <c r="B91" s="219" t="s">
        <v>1093</v>
      </c>
      <c r="C91" s="240" t="s">
        <v>1854</v>
      </c>
      <c r="D91" s="240" t="s">
        <v>1478</v>
      </c>
      <c r="E91" s="240" t="s">
        <v>1481</v>
      </c>
      <c r="F91" s="284">
        <v>0.16</v>
      </c>
      <c r="G91" s="242">
        <v>2.4568965517241383</v>
      </c>
      <c r="H91" s="243">
        <f ca="1">SUMIF('Sales 6.2026'!B:F,'All Menu'!B91,'Sales 6.2026'!F:F)</f>
        <v>68</v>
      </c>
      <c r="I91" s="241"/>
      <c r="J91" s="244">
        <f>SUMIF('Finished Recipe'!B:B, B91, 'Finished Recipe'!M:M)</f>
        <v>0.92580249999999997</v>
      </c>
      <c r="K91" s="244">
        <f t="shared" si="10"/>
        <v>1.5310940517241383</v>
      </c>
      <c r="L91" s="245">
        <f t="shared" si="11"/>
        <v>0.37681785964912273</v>
      </c>
      <c r="M91" s="245">
        <f t="shared" si="12"/>
        <v>0.62318214035087727</v>
      </c>
      <c r="N91" s="23"/>
    </row>
    <row r="92" spans="1:14" ht="13" hidden="1">
      <c r="A92" s="78" t="s">
        <v>2543</v>
      </c>
      <c r="B92" s="219" t="s">
        <v>1088</v>
      </c>
      <c r="C92" s="240" t="s">
        <v>1854</v>
      </c>
      <c r="D92" s="240" t="s">
        <v>1478</v>
      </c>
      <c r="E92" s="240" t="s">
        <v>1482</v>
      </c>
      <c r="F92" s="284">
        <v>0.16</v>
      </c>
      <c r="G92" s="242">
        <v>2.4568965517241383</v>
      </c>
      <c r="H92" s="243">
        <f ca="1">SUMIF('Sales 6.2026'!B:F,'All Menu'!B92,'Sales 6.2026'!F:F)</f>
        <v>58</v>
      </c>
      <c r="I92" s="241"/>
      <c r="J92" s="244">
        <f>SUMIF('Finished Recipe'!B:B, B92, 'Finished Recipe'!M:M)</f>
        <v>0.6</v>
      </c>
      <c r="K92" s="244">
        <f t="shared" si="10"/>
        <v>1.8568965517241383</v>
      </c>
      <c r="L92" s="245">
        <f t="shared" si="11"/>
        <v>0.24421052631578943</v>
      </c>
      <c r="M92" s="245">
        <f t="shared" si="12"/>
        <v>0.75578947368421057</v>
      </c>
      <c r="N92" s="23"/>
    </row>
    <row r="93" spans="1:14" ht="13" hidden="1">
      <c r="A93" s="78" t="s">
        <v>2544</v>
      </c>
      <c r="B93" s="219" t="s">
        <v>1091</v>
      </c>
      <c r="C93" s="240" t="s">
        <v>1854</v>
      </c>
      <c r="D93" s="240" t="s">
        <v>1478</v>
      </c>
      <c r="E93" s="240" t="s">
        <v>1483</v>
      </c>
      <c r="F93" s="284">
        <v>0.16</v>
      </c>
      <c r="G93" s="242">
        <v>1.2931034482758621</v>
      </c>
      <c r="H93" s="243">
        <f ca="1">SUMIF('Sales 6.2026'!B:F,'All Menu'!B93,'Sales 6.2026'!F:F)</f>
        <v>85</v>
      </c>
      <c r="I93" s="241"/>
      <c r="J93" s="244">
        <f>SUMIF('Finished Recipe'!B:B, B93, 'Finished Recipe'!M:M)</f>
        <v>9.0524000000000007E-2</v>
      </c>
      <c r="K93" s="244">
        <f t="shared" si="10"/>
        <v>1.2025794482758621</v>
      </c>
      <c r="L93" s="245">
        <f t="shared" si="11"/>
        <v>7.000522666666667E-2</v>
      </c>
      <c r="M93" s="245">
        <f t="shared" si="12"/>
        <v>0.92999477333333325</v>
      </c>
      <c r="N93" s="23"/>
    </row>
    <row r="94" spans="1:14" ht="13" hidden="1">
      <c r="A94" s="78" t="s">
        <v>2545</v>
      </c>
      <c r="B94" s="219" t="s">
        <v>1104</v>
      </c>
      <c r="C94" s="240" t="s">
        <v>1854</v>
      </c>
      <c r="D94" s="240" t="s">
        <v>1478</v>
      </c>
      <c r="E94" s="240" t="s">
        <v>1484</v>
      </c>
      <c r="F94" s="284">
        <v>0.16</v>
      </c>
      <c r="G94" s="242">
        <v>2.1551724137931036</v>
      </c>
      <c r="H94" s="243">
        <f ca="1">SUMIF('Sales 6.2026'!B:F,'All Menu'!B94,'Sales 6.2026'!F:F)</f>
        <v>29</v>
      </c>
      <c r="I94" s="241"/>
      <c r="J94" s="244">
        <f>SUMIF('Finished Recipe'!B:B, B94, 'Finished Recipe'!M:M)</f>
        <v>0.19398000000000001</v>
      </c>
      <c r="K94" s="244">
        <f t="shared" si="10"/>
        <v>1.9611924137931036</v>
      </c>
      <c r="L94" s="245">
        <f t="shared" si="11"/>
        <v>9.0006719999999998E-2</v>
      </c>
      <c r="M94" s="245">
        <f t="shared" si="12"/>
        <v>0.90999328000000002</v>
      </c>
      <c r="N94" s="23"/>
    </row>
    <row r="95" spans="1:14" ht="13" hidden="1">
      <c r="A95" s="78" t="s">
        <v>2546</v>
      </c>
      <c r="B95" s="219" t="s">
        <v>1090</v>
      </c>
      <c r="C95" s="240" t="s">
        <v>1854</v>
      </c>
      <c r="D95" s="240" t="s">
        <v>1478</v>
      </c>
      <c r="E95" s="240" t="s">
        <v>1485</v>
      </c>
      <c r="F95" s="284">
        <v>0.16</v>
      </c>
      <c r="G95" s="242">
        <v>0.73275862068965525</v>
      </c>
      <c r="H95" s="243">
        <f ca="1">SUMIF('Sales 6.2026'!B:F,'All Menu'!B95,'Sales 6.2026'!F:F)</f>
        <v>78</v>
      </c>
      <c r="I95" s="241"/>
      <c r="J95" s="244">
        <f>SUMIF('Finished Recipe'!B:B, B95, 'Finished Recipe'!M:M)</f>
        <v>3.80075E-2</v>
      </c>
      <c r="K95" s="244">
        <f t="shared" si="10"/>
        <v>0.69475112068965528</v>
      </c>
      <c r="L95" s="245">
        <f t="shared" si="11"/>
        <v>5.1869058823529407E-2</v>
      </c>
      <c r="M95" s="245">
        <f t="shared" si="12"/>
        <v>0.94813094117647068</v>
      </c>
      <c r="N95" s="23"/>
    </row>
    <row r="96" spans="1:14" ht="13" hidden="1">
      <c r="A96" s="78" t="s">
        <v>2547</v>
      </c>
      <c r="B96" s="219" t="s">
        <v>1891</v>
      </c>
      <c r="C96" s="240" t="s">
        <v>1854</v>
      </c>
      <c r="D96" s="240" t="s">
        <v>1478</v>
      </c>
      <c r="E96" s="240" t="s">
        <v>1892</v>
      </c>
      <c r="F96" s="284">
        <v>0.16</v>
      </c>
      <c r="G96" s="242">
        <v>2.1551724137931036</v>
      </c>
      <c r="H96" s="243">
        <f ca="1">SUMIF('Sales 6.2026'!B:F,'All Menu'!B96,'Sales 6.2026'!F:F)</f>
        <v>0</v>
      </c>
      <c r="I96" s="241"/>
      <c r="J96" s="244">
        <f>SUMIF('Finished Recipe'!B:B, B96, 'Finished Recipe'!M:M)</f>
        <v>2.8735500000000003E-3</v>
      </c>
      <c r="K96" s="244">
        <f t="shared" si="10"/>
        <v>2.1522988637931038</v>
      </c>
      <c r="L96" s="245">
        <f t="shared" si="11"/>
        <v>1.3333272000000001E-3</v>
      </c>
      <c r="M96" s="245">
        <f t="shared" si="12"/>
        <v>0.9986666728000001</v>
      </c>
      <c r="N96" s="23" t="s">
        <v>1941</v>
      </c>
    </row>
    <row r="97" spans="1:14" ht="13" hidden="1">
      <c r="A97" s="78" t="s">
        <v>2548</v>
      </c>
      <c r="B97" s="219" t="s">
        <v>833</v>
      </c>
      <c r="C97" s="240" t="s">
        <v>1854</v>
      </c>
      <c r="D97" s="240" t="s">
        <v>1603</v>
      </c>
      <c r="E97" s="240" t="s">
        <v>1602</v>
      </c>
      <c r="F97" s="284">
        <v>0.16</v>
      </c>
      <c r="G97" s="242">
        <v>5.8189655172413799</v>
      </c>
      <c r="H97" s="243">
        <f ca="1">SUMIF('Sales 6.2026'!B:F,'All Menu'!B97,'Sales 6.2026'!F:F)</f>
        <v>3</v>
      </c>
      <c r="I97" s="241"/>
      <c r="J97" s="244">
        <f>SUMIF('Finished Recipe'!B:B, B97, 'Finished Recipe'!M:M)</f>
        <v>0.77015439439883226</v>
      </c>
      <c r="K97" s="244">
        <f t="shared" si="10"/>
        <v>5.0488111228425474</v>
      </c>
      <c r="L97" s="245">
        <f t="shared" si="11"/>
        <v>0.13235245888928079</v>
      </c>
      <c r="M97" s="245">
        <f t="shared" si="12"/>
        <v>0.86764754111071918</v>
      </c>
      <c r="N97" s="23"/>
    </row>
    <row r="98" spans="1:14" ht="13" hidden="1">
      <c r="A98" s="78" t="s">
        <v>2549</v>
      </c>
      <c r="B98" s="219" t="s">
        <v>835</v>
      </c>
      <c r="C98" s="240" t="s">
        <v>1854</v>
      </c>
      <c r="D98" s="240" t="s">
        <v>1603</v>
      </c>
      <c r="E98" s="240" t="s">
        <v>1604</v>
      </c>
      <c r="F98" s="284">
        <v>0.16</v>
      </c>
      <c r="G98" s="242">
        <v>4.0948275862068968</v>
      </c>
      <c r="H98" s="243">
        <f ca="1">SUMIF('Sales 6.2026'!B:F,'All Menu'!B98,'Sales 6.2026'!F:F)</f>
        <v>19</v>
      </c>
      <c r="I98" s="241"/>
      <c r="J98" s="244">
        <f>SUMIF('Finished Recipe'!B:B, B98, 'Finished Recipe'!M:M)</f>
        <v>0.77612959771027179</v>
      </c>
      <c r="K98" s="244">
        <f t="shared" si="10"/>
        <v>3.3186979884966252</v>
      </c>
      <c r="L98" s="245">
        <f t="shared" si="11"/>
        <v>0.1895390175460874</v>
      </c>
      <c r="M98" s="245">
        <f t="shared" si="12"/>
        <v>0.81046098245391263</v>
      </c>
      <c r="N98" s="23"/>
    </row>
    <row r="99" spans="1:14" ht="13" hidden="1">
      <c r="A99" s="78" t="s">
        <v>2550</v>
      </c>
      <c r="B99" s="219" t="s">
        <v>843</v>
      </c>
      <c r="C99" s="240" t="s">
        <v>1854</v>
      </c>
      <c r="D99" s="240" t="s">
        <v>1603</v>
      </c>
      <c r="E99" s="240" t="s">
        <v>1605</v>
      </c>
      <c r="F99" s="284">
        <v>0.16</v>
      </c>
      <c r="G99" s="242">
        <v>4.9568965517241379</v>
      </c>
      <c r="H99" s="243">
        <f ca="1">SUMIF('Sales 6.2026'!B:F,'All Menu'!B99,'Sales 6.2026'!F:F)</f>
        <v>12</v>
      </c>
      <c r="I99" s="241"/>
      <c r="J99" s="244">
        <f>SUMIF('Finished Recipe'!B:B, B99, 'Finished Recipe'!M:M)</f>
        <v>1.1318647891508262</v>
      </c>
      <c r="K99" s="244">
        <f t="shared" si="10"/>
        <v>3.8250317625733117</v>
      </c>
      <c r="L99" s="245">
        <f t="shared" si="11"/>
        <v>0.22834141833303626</v>
      </c>
      <c r="M99" s="245">
        <f t="shared" si="12"/>
        <v>0.77165858166696377</v>
      </c>
      <c r="N99" s="23"/>
    </row>
    <row r="100" spans="1:14" ht="13" hidden="1">
      <c r="A100" s="78" t="s">
        <v>2551</v>
      </c>
      <c r="B100" s="219" t="s">
        <v>828</v>
      </c>
      <c r="C100" s="240" t="s">
        <v>1854</v>
      </c>
      <c r="D100" s="240" t="s">
        <v>1603</v>
      </c>
      <c r="E100" s="240" t="s">
        <v>1606</v>
      </c>
      <c r="F100" s="284">
        <v>0.16</v>
      </c>
      <c r="G100" s="242">
        <v>4.0948275862068968</v>
      </c>
      <c r="H100" s="243">
        <f ca="1">SUMIF('Sales 6.2026'!B:F,'All Menu'!B100,'Sales 6.2026'!F:F)</f>
        <v>3</v>
      </c>
      <c r="I100" s="241"/>
      <c r="J100" s="244">
        <f>SUMIF('Finished Recipe'!B:B, B100, 'Finished Recipe'!M:M)</f>
        <v>1.8333707245575628</v>
      </c>
      <c r="K100" s="244">
        <f t="shared" si="10"/>
        <v>2.261456861649334</v>
      </c>
      <c r="L100" s="245">
        <f t="shared" ref="L100:L119" si="13">J100/G100</f>
        <v>0.44772842957616266</v>
      </c>
      <c r="M100" s="245">
        <f t="shared" ref="M100:M119" si="14">K100/G100</f>
        <v>0.55227157042383734</v>
      </c>
      <c r="N100" s="23"/>
    </row>
    <row r="101" spans="1:14" ht="13" hidden="1">
      <c r="A101" s="78" t="s">
        <v>2552</v>
      </c>
      <c r="B101" s="219" t="s">
        <v>1310</v>
      </c>
      <c r="C101" s="240" t="s">
        <v>1854</v>
      </c>
      <c r="D101" s="240" t="s">
        <v>1603</v>
      </c>
      <c r="E101" s="240" t="s">
        <v>1607</v>
      </c>
      <c r="F101" s="284">
        <v>0.16</v>
      </c>
      <c r="G101" s="242">
        <v>4.0948275862068968</v>
      </c>
      <c r="H101" s="243">
        <f ca="1">SUMIF('Sales 6.2026'!B:F,'All Menu'!B101,'Sales 6.2026'!F:F)</f>
        <v>0</v>
      </c>
      <c r="I101" s="241"/>
      <c r="J101" s="244">
        <f>SUMIF('Finished Recipe'!B:B, B101, 'Finished Recipe'!M:M)</f>
        <v>2.5550065183782964</v>
      </c>
      <c r="K101" s="244">
        <f t="shared" si="10"/>
        <v>1.5398210678286004</v>
      </c>
      <c r="L101" s="245">
        <f t="shared" si="13"/>
        <v>0.62395948659343659</v>
      </c>
      <c r="M101" s="245">
        <f t="shared" si="14"/>
        <v>0.37604051340656347</v>
      </c>
      <c r="N101" s="23"/>
    </row>
    <row r="102" spans="1:14" ht="13" hidden="1">
      <c r="A102" s="78" t="s">
        <v>2553</v>
      </c>
      <c r="B102" s="219" t="s">
        <v>1608</v>
      </c>
      <c r="C102" s="240" t="s">
        <v>1854</v>
      </c>
      <c r="D102" s="240" t="s">
        <v>1603</v>
      </c>
      <c r="E102" s="240" t="s">
        <v>1609</v>
      </c>
      <c r="F102" s="284">
        <v>0.16</v>
      </c>
      <c r="G102" s="242">
        <v>3.8793103448275863</v>
      </c>
      <c r="H102" s="243">
        <f ca="1">SUMIF('Sales 6.2026'!B:F,'All Menu'!B102,'Sales 6.2026'!F:F)</f>
        <v>2</v>
      </c>
      <c r="I102" s="241"/>
      <c r="J102" s="244">
        <f>SUMIF('Finished Recipe'!B:B, B102, 'Finished Recipe'!M:M)</f>
        <v>1.4293392954936059</v>
      </c>
      <c r="K102" s="244">
        <f t="shared" si="10"/>
        <v>2.4499710493339801</v>
      </c>
      <c r="L102" s="245">
        <f t="shared" si="13"/>
        <v>0.3684519072827962</v>
      </c>
      <c r="M102" s="245">
        <f t="shared" si="14"/>
        <v>0.6315480927172038</v>
      </c>
      <c r="N102" s="23" t="s">
        <v>1941</v>
      </c>
    </row>
    <row r="103" spans="1:14" ht="13" hidden="1">
      <c r="A103" s="78" t="s">
        <v>2554</v>
      </c>
      <c r="B103" s="219" t="s">
        <v>1016</v>
      </c>
      <c r="C103" s="240" t="s">
        <v>1854</v>
      </c>
      <c r="D103" s="240" t="s">
        <v>1587</v>
      </c>
      <c r="E103" s="240" t="s">
        <v>1586</v>
      </c>
      <c r="F103" s="284">
        <v>0.16</v>
      </c>
      <c r="G103" s="242">
        <v>2.8017241379310347</v>
      </c>
      <c r="H103" s="243">
        <f ca="1">SUMIF('Sales 6.2026'!B:F,'All Menu'!B103,'Sales 6.2026'!F:F)</f>
        <v>18.050000011921</v>
      </c>
      <c r="I103" s="241"/>
      <c r="J103" s="244">
        <f>SUMIF('Finished Recipe'!B:B, B103, 'Finished Recipe'!M:M)</f>
        <v>1.0294577133917389</v>
      </c>
      <c r="K103" s="244">
        <f t="shared" si="10"/>
        <v>1.7722664245392958</v>
      </c>
      <c r="L103" s="245">
        <f t="shared" si="13"/>
        <v>0.36743721462597445</v>
      </c>
      <c r="M103" s="245">
        <f t="shared" si="14"/>
        <v>0.63256278537402555</v>
      </c>
      <c r="N103" s="23"/>
    </row>
    <row r="104" spans="1:14" ht="13" hidden="1">
      <c r="A104" s="78" t="s">
        <v>2555</v>
      </c>
      <c r="B104" s="219" t="s">
        <v>1017</v>
      </c>
      <c r="C104" s="240" t="s">
        <v>1854</v>
      </c>
      <c r="D104" s="240" t="s">
        <v>1587</v>
      </c>
      <c r="E104" s="240" t="s">
        <v>1588</v>
      </c>
      <c r="F104" s="284">
        <v>0.16</v>
      </c>
      <c r="G104" s="242">
        <v>1.9396551724137931</v>
      </c>
      <c r="H104" s="243">
        <f ca="1">SUMIF('Sales 6.2026'!B:F,'All Menu'!B104,'Sales 6.2026'!F:F)</f>
        <v>41.050000011921</v>
      </c>
      <c r="I104" s="241"/>
      <c r="J104" s="244">
        <f>SUMIF('Finished Recipe'!B:B, B104, 'Finished Recipe'!M:M)</f>
        <v>0.55335749614371599</v>
      </c>
      <c r="K104" s="244">
        <f t="shared" si="10"/>
        <v>1.3862976762700772</v>
      </c>
      <c r="L104" s="245">
        <f t="shared" si="13"/>
        <v>0.28528653134520471</v>
      </c>
      <c r="M104" s="245">
        <f t="shared" si="14"/>
        <v>0.71471346865479535</v>
      </c>
      <c r="N104" s="23"/>
    </row>
    <row r="105" spans="1:14" ht="13" hidden="1">
      <c r="A105" s="78" t="s">
        <v>2556</v>
      </c>
      <c r="B105" s="219" t="s">
        <v>847</v>
      </c>
      <c r="C105" s="240" t="s">
        <v>1854</v>
      </c>
      <c r="D105" s="240" t="s">
        <v>1587</v>
      </c>
      <c r="E105" s="240" t="s">
        <v>1589</v>
      </c>
      <c r="F105" s="284">
        <v>0.16</v>
      </c>
      <c r="G105" s="242">
        <v>3.6637931034482762</v>
      </c>
      <c r="H105" s="243">
        <f ca="1">SUMIF('Sales 6.2026'!B:F,'All Menu'!B105,'Sales 6.2026'!F:F)</f>
        <v>12</v>
      </c>
      <c r="I105" s="241"/>
      <c r="J105" s="244">
        <f>SUMIF('Finished Recipe'!B:B, B105, 'Finished Recipe'!M:M)</f>
        <v>1.4422489353279047</v>
      </c>
      <c r="K105" s="244">
        <f t="shared" si="10"/>
        <v>2.2215441681203716</v>
      </c>
      <c r="L105" s="245">
        <f t="shared" si="13"/>
        <v>0.39364912117185158</v>
      </c>
      <c r="M105" s="245">
        <f t="shared" si="14"/>
        <v>0.60635087882814842</v>
      </c>
      <c r="N105" s="23"/>
    </row>
    <row r="106" spans="1:14" ht="13" hidden="1">
      <c r="A106" s="78" t="s">
        <v>2557</v>
      </c>
      <c r="B106" s="219" t="s">
        <v>844</v>
      </c>
      <c r="C106" s="240" t="s">
        <v>1854</v>
      </c>
      <c r="D106" s="240" t="s">
        <v>1587</v>
      </c>
      <c r="E106" s="240" t="s">
        <v>1579</v>
      </c>
      <c r="F106" s="284">
        <v>0.16</v>
      </c>
      <c r="G106" s="242">
        <v>1.7241379310344829</v>
      </c>
      <c r="H106" s="243">
        <f ca="1">SUMIF('Sales 6.2026'!B:F,'All Menu'!B106,'Sales 6.2026'!F:F)</f>
        <v>25</v>
      </c>
      <c r="I106" s="241"/>
      <c r="J106" s="244">
        <f>SUMIF('Finished Recipe'!B:B, B106, 'Finished Recipe'!M:M)</f>
        <v>0.76856262887934346</v>
      </c>
      <c r="K106" s="244">
        <f t="shared" si="10"/>
        <v>0.95557530215513942</v>
      </c>
      <c r="L106" s="245">
        <f t="shared" si="13"/>
        <v>0.44576632475001915</v>
      </c>
      <c r="M106" s="245">
        <f t="shared" si="14"/>
        <v>0.5542336752499808</v>
      </c>
      <c r="N106" s="23"/>
    </row>
    <row r="107" spans="1:14" ht="13" hidden="1">
      <c r="A107" s="78" t="s">
        <v>2558</v>
      </c>
      <c r="B107" s="219" t="s">
        <v>848</v>
      </c>
      <c r="C107" s="240" t="s">
        <v>1854</v>
      </c>
      <c r="D107" s="240" t="s">
        <v>1587</v>
      </c>
      <c r="E107" s="240" t="s">
        <v>1590</v>
      </c>
      <c r="F107" s="284">
        <v>0.16</v>
      </c>
      <c r="G107" s="242">
        <v>2.3706896551724141</v>
      </c>
      <c r="H107" s="243">
        <f ca="1">SUMIF('Sales 6.2026'!B:F,'All Menu'!B107,'Sales 6.2026'!F:F)</f>
        <v>7</v>
      </c>
      <c r="I107" s="241"/>
      <c r="J107" s="244">
        <f>SUMIF('Finished Recipe'!B:B, B107, 'Finished Recipe'!M:M)</f>
        <v>1.1827914581719958</v>
      </c>
      <c r="K107" s="244">
        <f t="shared" si="10"/>
        <v>1.1878981970004183</v>
      </c>
      <c r="L107" s="245">
        <f t="shared" si="13"/>
        <v>0.49892294235618728</v>
      </c>
      <c r="M107" s="245">
        <f t="shared" si="14"/>
        <v>0.50107705764381272</v>
      </c>
      <c r="N107" s="23"/>
    </row>
    <row r="108" spans="1:14" ht="13" hidden="1">
      <c r="A108" s="78" t="s">
        <v>2559</v>
      </c>
      <c r="B108" s="219" t="s">
        <v>1059</v>
      </c>
      <c r="C108" s="240" t="s">
        <v>1854</v>
      </c>
      <c r="D108" s="240" t="s">
        <v>1587</v>
      </c>
      <c r="E108" s="240" t="s">
        <v>1591</v>
      </c>
      <c r="F108" s="284">
        <v>0.16</v>
      </c>
      <c r="G108" s="242">
        <v>5.0431034482758621</v>
      </c>
      <c r="H108" s="243">
        <f ca="1">SUMIF('Sales 6.2026'!B:F,'All Menu'!B108,'Sales 6.2026'!F:F)</f>
        <v>7</v>
      </c>
      <c r="I108" s="241"/>
      <c r="J108" s="244">
        <f>SUMIF('Finished Recipe'!B:B, B108, 'Finished Recipe'!M:M)</f>
        <v>1.4278214859239893</v>
      </c>
      <c r="K108" s="244">
        <f t="shared" si="10"/>
        <v>3.6152819623518728</v>
      </c>
      <c r="L108" s="245">
        <f t="shared" si="13"/>
        <v>0.28312357669603888</v>
      </c>
      <c r="M108" s="245">
        <f t="shared" si="14"/>
        <v>0.71687642330396106</v>
      </c>
      <c r="N108" s="23"/>
    </row>
    <row r="109" spans="1:14" ht="13" hidden="1">
      <c r="A109" s="78" t="s">
        <v>2560</v>
      </c>
      <c r="B109" s="219" t="s">
        <v>1058</v>
      </c>
      <c r="C109" s="240" t="s">
        <v>1854</v>
      </c>
      <c r="D109" s="240" t="s">
        <v>1587</v>
      </c>
      <c r="E109" s="240" t="s">
        <v>1789</v>
      </c>
      <c r="F109" s="284">
        <v>0.16</v>
      </c>
      <c r="G109" s="242">
        <v>4.6120689655172411</v>
      </c>
      <c r="H109" s="243">
        <f ca="1">SUMIF('Sales 6.2026'!B:F,'All Menu'!B109,'Sales 6.2026'!F:F)</f>
        <v>2</v>
      </c>
      <c r="I109" s="241"/>
      <c r="J109" s="244">
        <f>SUMIF('Finished Recipe'!B:B, B109, 'Finished Recipe'!M:M)</f>
        <v>1.920005154131075</v>
      </c>
      <c r="K109" s="244">
        <f t="shared" si="10"/>
        <v>2.6920638113861663</v>
      </c>
      <c r="L109" s="245">
        <f t="shared" si="13"/>
        <v>0.4163001829517845</v>
      </c>
      <c r="M109" s="245">
        <f t="shared" si="14"/>
        <v>0.5836998170482155</v>
      </c>
      <c r="N109" s="23"/>
    </row>
    <row r="110" spans="1:14" ht="13" hidden="1">
      <c r="A110" s="78" t="s">
        <v>2561</v>
      </c>
      <c r="B110" s="219" t="s">
        <v>853</v>
      </c>
      <c r="C110" s="240" t="s">
        <v>1854</v>
      </c>
      <c r="D110" s="240" t="s">
        <v>1587</v>
      </c>
      <c r="E110" s="247" t="s">
        <v>1592</v>
      </c>
      <c r="F110" s="284">
        <v>0.16</v>
      </c>
      <c r="G110" s="242">
        <v>4.3103448275862073</v>
      </c>
      <c r="H110" s="249">
        <f ca="1">SUMIF('Sales 6.2026'!B:F,'All Menu'!B110,'Sales 6.2026'!F:F)</f>
        <v>1</v>
      </c>
      <c r="I110" s="241"/>
      <c r="J110" s="244">
        <f>SUMIF('Finished Recipe'!B:B, B110, 'Finished Recipe'!M:M)</f>
        <v>1.513113826415488</v>
      </c>
      <c r="K110" s="244">
        <f t="shared" si="10"/>
        <v>2.7972310011707195</v>
      </c>
      <c r="L110" s="245">
        <f t="shared" si="13"/>
        <v>0.35104240772839318</v>
      </c>
      <c r="M110" s="245">
        <f t="shared" si="14"/>
        <v>0.64895759227160688</v>
      </c>
      <c r="N110" s="23"/>
    </row>
    <row r="111" spans="1:14" ht="13" hidden="1">
      <c r="A111" s="78" t="s">
        <v>2562</v>
      </c>
      <c r="B111" s="219" t="s">
        <v>850</v>
      </c>
      <c r="C111" s="240" t="s">
        <v>1854</v>
      </c>
      <c r="D111" s="240" t="s">
        <v>1587</v>
      </c>
      <c r="E111" s="248" t="s">
        <v>1816</v>
      </c>
      <c r="F111" s="284">
        <v>0.16</v>
      </c>
      <c r="G111" s="242">
        <v>4.3103448275862073</v>
      </c>
      <c r="H111" s="249">
        <f ca="1">SUMIF('Sales 6.2026'!B:F,'All Menu'!B111,'Sales 6.2026'!F:F)</f>
        <v>0</v>
      </c>
      <c r="I111" s="241"/>
      <c r="J111" s="244">
        <f>SUMIF('Finished Recipe'!B:B, B111, 'Finished Recipe'!M:M)</f>
        <v>1.3838976277992894</v>
      </c>
      <c r="K111" s="244">
        <f t="shared" si="10"/>
        <v>2.9264471997869181</v>
      </c>
      <c r="L111" s="245">
        <f t="shared" si="13"/>
        <v>0.32106424964943509</v>
      </c>
      <c r="M111" s="245">
        <f t="shared" si="14"/>
        <v>0.67893575035056497</v>
      </c>
      <c r="N111" s="23"/>
    </row>
    <row r="112" spans="1:14" ht="13" hidden="1">
      <c r="A112" s="78" t="s">
        <v>2563</v>
      </c>
      <c r="B112" s="219" t="s">
        <v>852</v>
      </c>
      <c r="C112" s="240" t="s">
        <v>1854</v>
      </c>
      <c r="D112" s="240" t="s">
        <v>1587</v>
      </c>
      <c r="E112" s="248" t="s">
        <v>1593</v>
      </c>
      <c r="F112" s="284">
        <v>0.16</v>
      </c>
      <c r="G112" s="242">
        <v>4.7413793103448283</v>
      </c>
      <c r="H112" s="249">
        <f ca="1">SUMIF('Sales 6.2026'!B:F,'All Menu'!B112,'Sales 6.2026'!F:F)</f>
        <v>3</v>
      </c>
      <c r="I112" s="241"/>
      <c r="J112" s="244">
        <f>SUMIF('Finished Recipe'!B:B, B112, 'Finished Recipe'!M:M)</f>
        <v>1.6883278350315489</v>
      </c>
      <c r="K112" s="244">
        <f t="shared" si="10"/>
        <v>3.0530514753132794</v>
      </c>
      <c r="L112" s="245">
        <f t="shared" si="13"/>
        <v>0.35608368884301755</v>
      </c>
      <c r="M112" s="245">
        <f t="shared" si="14"/>
        <v>0.64391631115698245</v>
      </c>
      <c r="N112" s="23"/>
    </row>
    <row r="113" spans="1:14" ht="13" hidden="1">
      <c r="A113" s="78" t="s">
        <v>2564</v>
      </c>
      <c r="B113" s="219" t="s">
        <v>1063</v>
      </c>
      <c r="C113" s="240" t="s">
        <v>1854</v>
      </c>
      <c r="D113" s="240" t="s">
        <v>1587</v>
      </c>
      <c r="E113" s="247" t="s">
        <v>1582</v>
      </c>
      <c r="F113" s="284">
        <v>0.16</v>
      </c>
      <c r="G113" s="242">
        <v>4.7413793103448283</v>
      </c>
      <c r="H113" s="249">
        <f ca="1">SUMIF('Sales 6.2026'!B:F,'All Menu'!B113,'Sales 6.2026'!F:F)</f>
        <v>0</v>
      </c>
      <c r="I113" s="241"/>
      <c r="J113" s="244">
        <f>SUMIF('Finished Recipe'!B:B, B113, 'Finished Recipe'!M:M)</f>
        <v>1.8061274591589429</v>
      </c>
      <c r="K113" s="244">
        <f t="shared" si="10"/>
        <v>2.9352518511858854</v>
      </c>
      <c r="L113" s="245">
        <f t="shared" si="13"/>
        <v>0.38092870047715882</v>
      </c>
      <c r="M113" s="245">
        <f t="shared" si="14"/>
        <v>0.61907129952284123</v>
      </c>
      <c r="N113" s="23"/>
    </row>
    <row r="114" spans="1:14" ht="13" hidden="1">
      <c r="A114" s="78" t="s">
        <v>2565</v>
      </c>
      <c r="B114" s="219" t="s">
        <v>849</v>
      </c>
      <c r="C114" s="240" t="s">
        <v>1854</v>
      </c>
      <c r="D114" s="240" t="s">
        <v>1587</v>
      </c>
      <c r="E114" s="247" t="s">
        <v>1594</v>
      </c>
      <c r="F114" s="284">
        <v>0.16</v>
      </c>
      <c r="G114" s="242">
        <v>3.8793103448275863</v>
      </c>
      <c r="H114" s="249">
        <f ca="1">SUMIF('Sales 6.2026'!B:F,'All Menu'!B114,'Sales 6.2026'!F:F)</f>
        <v>10</v>
      </c>
      <c r="I114" s="241"/>
      <c r="J114" s="244">
        <f>SUMIF('Finished Recipe'!B:B, B114, 'Finished Recipe'!M:M)</f>
        <v>1.6015707047223664</v>
      </c>
      <c r="K114" s="244">
        <f t="shared" si="10"/>
        <v>2.2777396401052199</v>
      </c>
      <c r="L114" s="245">
        <f t="shared" si="13"/>
        <v>0.41284933721732109</v>
      </c>
      <c r="M114" s="245">
        <f t="shared" si="14"/>
        <v>0.58715066278267891</v>
      </c>
      <c r="N114" s="23"/>
    </row>
    <row r="115" spans="1:14" ht="13" hidden="1">
      <c r="A115" s="78" t="s">
        <v>2566</v>
      </c>
      <c r="B115" s="219" t="s">
        <v>1064</v>
      </c>
      <c r="C115" s="240" t="s">
        <v>1854</v>
      </c>
      <c r="D115" s="240" t="s">
        <v>1587</v>
      </c>
      <c r="E115" s="247" t="s">
        <v>1595</v>
      </c>
      <c r="F115" s="284">
        <v>0.16</v>
      </c>
      <c r="G115" s="242">
        <v>5.1724137931034484</v>
      </c>
      <c r="H115" s="249">
        <f ca="1">SUMIF('Sales 6.2026'!B:F,'All Menu'!B115,'Sales 6.2026'!F:F)</f>
        <v>2</v>
      </c>
      <c r="I115" s="241"/>
      <c r="J115" s="244">
        <f>SUMIF('Finished Recipe'!B:B, B115, 'Finished Recipe'!M:M)</f>
        <v>1.3692997767614381</v>
      </c>
      <c r="K115" s="244">
        <f t="shared" si="10"/>
        <v>3.8031140163420103</v>
      </c>
      <c r="L115" s="245">
        <f t="shared" si="13"/>
        <v>0.26473129017387803</v>
      </c>
      <c r="M115" s="245">
        <f t="shared" si="14"/>
        <v>0.73526870982612202</v>
      </c>
      <c r="N115" s="23"/>
    </row>
    <row r="116" spans="1:14" ht="13" hidden="1">
      <c r="A116" s="78" t="s">
        <v>2567</v>
      </c>
      <c r="B116" s="219" t="s">
        <v>1033</v>
      </c>
      <c r="C116" s="240" t="s">
        <v>1854</v>
      </c>
      <c r="D116" s="240" t="s">
        <v>1587</v>
      </c>
      <c r="E116" s="240" t="s">
        <v>1856</v>
      </c>
      <c r="F116" s="284">
        <v>0.16</v>
      </c>
      <c r="G116" s="242">
        <v>1.9396551724137931</v>
      </c>
      <c r="H116" s="243">
        <f ca="1">SUMIF('Sales 6.2026'!B:F,'All Menu'!B116,'Sales 6.2026'!F:F)</f>
        <v>3</v>
      </c>
      <c r="I116" s="241"/>
      <c r="J116" s="244">
        <f>SUMIF('Finished Recipe'!B:B, B116, 'Finished Recipe'!M:M)</f>
        <v>0.48604806694343539</v>
      </c>
      <c r="K116" s="244">
        <f t="shared" si="10"/>
        <v>1.4536071054703577</v>
      </c>
      <c r="L116" s="245">
        <f t="shared" si="13"/>
        <v>0.25058478117972666</v>
      </c>
      <c r="M116" s="245">
        <f t="shared" si="14"/>
        <v>0.74941521882027329</v>
      </c>
      <c r="N116" s="23"/>
    </row>
    <row r="117" spans="1:14" ht="13" hidden="1">
      <c r="A117" s="78" t="s">
        <v>2568</v>
      </c>
      <c r="B117" s="219" t="s">
        <v>1305</v>
      </c>
      <c r="C117" s="240" t="s">
        <v>1854</v>
      </c>
      <c r="D117" s="240" t="s">
        <v>1587</v>
      </c>
      <c r="E117" s="240" t="s">
        <v>1861</v>
      </c>
      <c r="F117" s="284">
        <v>0.16</v>
      </c>
      <c r="G117" s="242">
        <v>17.241379310344829</v>
      </c>
      <c r="H117" s="243">
        <f ca="1">SUMIF('Sales 6.2026'!B:F,'All Menu'!B117,'Sales 6.2026'!F:F)</f>
        <v>0</v>
      </c>
      <c r="I117" s="241"/>
      <c r="J117" s="244">
        <f>SUMIF('Finished Recipe'!B:B, B117, 'Finished Recipe'!M:M)</f>
        <v>7.842982622318396</v>
      </c>
      <c r="K117" s="244">
        <f t="shared" si="10"/>
        <v>9.398396688026434</v>
      </c>
      <c r="L117" s="245">
        <f t="shared" si="13"/>
        <v>0.45489299209446693</v>
      </c>
      <c r="M117" s="245">
        <f t="shared" si="14"/>
        <v>0.54510700790553313</v>
      </c>
      <c r="N117" s="23"/>
    </row>
    <row r="118" spans="1:14" ht="13" hidden="1">
      <c r="A118" s="78" t="s">
        <v>2569</v>
      </c>
      <c r="B118" s="219" t="s">
        <v>1306</v>
      </c>
      <c r="C118" s="240" t="s">
        <v>1854</v>
      </c>
      <c r="D118" s="240" t="s">
        <v>1587</v>
      </c>
      <c r="E118" s="240" t="s">
        <v>1597</v>
      </c>
      <c r="F118" s="284">
        <v>0.16</v>
      </c>
      <c r="G118" s="242">
        <v>9.4827586206896566</v>
      </c>
      <c r="H118" s="243">
        <f ca="1">SUMIF('Sales 6.2026'!B:F,'All Menu'!B118,'Sales 6.2026'!F:F)</f>
        <v>5.5</v>
      </c>
      <c r="I118" s="241"/>
      <c r="J118" s="244">
        <f>SUMIF('Finished Recipe'!B:B, B118, 'Finished Recipe'!M:M)</f>
        <v>4.0027413111591983</v>
      </c>
      <c r="K118" s="244">
        <f t="shared" si="10"/>
        <v>5.4800173095304583</v>
      </c>
      <c r="L118" s="245">
        <f t="shared" si="13"/>
        <v>0.42210726554042449</v>
      </c>
      <c r="M118" s="245">
        <f t="shared" si="14"/>
        <v>0.57789273445957556</v>
      </c>
      <c r="N118" s="23"/>
    </row>
    <row r="119" spans="1:14" ht="13" hidden="1">
      <c r="A119" s="78" t="s">
        <v>2570</v>
      </c>
      <c r="B119" s="219" t="s">
        <v>1162</v>
      </c>
      <c r="C119" s="240" t="s">
        <v>1854</v>
      </c>
      <c r="D119" s="240" t="s">
        <v>1487</v>
      </c>
      <c r="E119" s="240" t="s">
        <v>1486</v>
      </c>
      <c r="F119" s="284">
        <v>0.16</v>
      </c>
      <c r="G119" s="242">
        <v>4.8706896551724146</v>
      </c>
      <c r="H119" s="243">
        <f ca="1">SUMIF('Sales 6.2026'!B:F,'All Menu'!B119,'Sales 6.2026'!F:F)</f>
        <v>19</v>
      </c>
      <c r="I119" s="241"/>
      <c r="J119" s="244">
        <f>SUMIF('Finished Recipe'!B:B, B119, 'Finished Recipe'!M:M)</f>
        <v>1.6385478850574715</v>
      </c>
      <c r="K119" s="244">
        <f t="shared" ref="K119:K172" si="15">G119-J119</f>
        <v>3.2321417701149429</v>
      </c>
      <c r="L119" s="245">
        <f t="shared" si="13"/>
        <v>0.3364098312684366</v>
      </c>
      <c r="M119" s="245">
        <f t="shared" si="14"/>
        <v>0.6635901687315634</v>
      </c>
      <c r="N119" s="23"/>
    </row>
    <row r="120" spans="1:14" ht="13" hidden="1">
      <c r="A120" s="78" t="s">
        <v>2571</v>
      </c>
      <c r="B120" s="219" t="s">
        <v>1163</v>
      </c>
      <c r="C120" s="240" t="s">
        <v>1854</v>
      </c>
      <c r="D120" s="240" t="s">
        <v>1487</v>
      </c>
      <c r="E120" s="240" t="s">
        <v>1488</v>
      </c>
      <c r="F120" s="284">
        <v>0.16</v>
      </c>
      <c r="G120" s="242">
        <v>5.9051724137931032</v>
      </c>
      <c r="H120" s="243">
        <f ca="1">SUMIF('Sales 6.2026'!B:F,'All Menu'!B120,'Sales 6.2026'!F:F)</f>
        <v>0</v>
      </c>
      <c r="I120" s="241"/>
      <c r="J120" s="244">
        <f>SUMIF('Finished Recipe'!B:B, B120, 'Finished Recipe'!M:M)</f>
        <v>1.2726827206349205</v>
      </c>
      <c r="K120" s="244">
        <f t="shared" si="15"/>
        <v>4.6324896931581829</v>
      </c>
      <c r="L120" s="245">
        <f t="shared" ref="L120:L149" si="16">J120/G120</f>
        <v>0.21551999356737342</v>
      </c>
      <c r="M120" s="245">
        <f t="shared" ref="M120:M149" si="17">K120/G120</f>
        <v>0.78448000643262661</v>
      </c>
      <c r="N120" s="23"/>
    </row>
    <row r="121" spans="1:14" ht="13" hidden="1">
      <c r="A121" s="78" t="s">
        <v>2572</v>
      </c>
      <c r="B121" s="219" t="s">
        <v>1317</v>
      </c>
      <c r="C121" s="240" t="s">
        <v>1854</v>
      </c>
      <c r="D121" s="240" t="s">
        <v>1487</v>
      </c>
      <c r="E121" s="240" t="s">
        <v>1489</v>
      </c>
      <c r="F121" s="284">
        <v>0.16</v>
      </c>
      <c r="G121" s="242">
        <v>6.7672413793103452</v>
      </c>
      <c r="H121" s="243">
        <f ca="1">SUMIF('Sales 6.2026'!B:F,'All Menu'!B121,'Sales 6.2026'!F:F)</f>
        <v>3</v>
      </c>
      <c r="I121" s="241"/>
      <c r="J121" s="244">
        <f>SUMIF('Finished Recipe'!B:B, B121, 'Finished Recipe'!M:M)</f>
        <v>3.3204440952380945</v>
      </c>
      <c r="K121" s="244">
        <f t="shared" si="15"/>
        <v>3.4467972840722507</v>
      </c>
      <c r="L121" s="245">
        <f t="shared" si="16"/>
        <v>0.49066435037913242</v>
      </c>
      <c r="M121" s="245">
        <f t="shared" si="17"/>
        <v>0.50933564962086764</v>
      </c>
      <c r="N121" s="23"/>
    </row>
    <row r="122" spans="1:14" ht="13" hidden="1">
      <c r="A122" s="78" t="s">
        <v>2573</v>
      </c>
      <c r="B122" s="219" t="s">
        <v>1316</v>
      </c>
      <c r="C122" s="240" t="s">
        <v>1854</v>
      </c>
      <c r="D122" s="240" t="s">
        <v>1487</v>
      </c>
      <c r="E122" s="240" t="s">
        <v>1490</v>
      </c>
      <c r="F122" s="284">
        <v>0.16</v>
      </c>
      <c r="G122" s="242">
        <v>10.646551724137931</v>
      </c>
      <c r="H122" s="243">
        <f ca="1">SUMIF('Sales 6.2026'!B:F,'All Menu'!B122,'Sales 6.2026'!F:F)</f>
        <v>10</v>
      </c>
      <c r="I122" s="241"/>
      <c r="J122" s="244">
        <f>SUMIF('Finished Recipe'!B:B, B122, 'Finished Recipe'!M:M)</f>
        <v>7.8683973684210518</v>
      </c>
      <c r="K122" s="244">
        <f t="shared" si="15"/>
        <v>2.7781543557168789</v>
      </c>
      <c r="L122" s="245">
        <f t="shared" si="16"/>
        <v>0.73905594715533773</v>
      </c>
      <c r="M122" s="245">
        <f t="shared" si="17"/>
        <v>0.26094405284466232</v>
      </c>
      <c r="N122" s="23"/>
    </row>
    <row r="123" spans="1:14" ht="13" hidden="1">
      <c r="A123" s="78" t="s">
        <v>2574</v>
      </c>
      <c r="B123" s="219" t="s">
        <v>1315</v>
      </c>
      <c r="C123" s="240" t="s">
        <v>1854</v>
      </c>
      <c r="D123" s="240" t="s">
        <v>1487</v>
      </c>
      <c r="E123" s="240" t="s">
        <v>1491</v>
      </c>
      <c r="F123" s="284">
        <v>0.16</v>
      </c>
      <c r="G123" s="242">
        <v>6.5948275862068977</v>
      </c>
      <c r="H123" s="243">
        <f ca="1">SUMIF('Sales 6.2026'!B:F,'All Menu'!B123,'Sales 6.2026'!F:F)</f>
        <v>4.0010000000000003</v>
      </c>
      <c r="I123" s="241"/>
      <c r="J123" s="244">
        <f>SUMIF('Finished Recipe'!B:B, B123, 'Finished Recipe'!M:M)</f>
        <v>1.5996492499999999</v>
      </c>
      <c r="K123" s="244">
        <f t="shared" si="15"/>
        <v>4.995178336206898</v>
      </c>
      <c r="L123" s="245">
        <f t="shared" si="16"/>
        <v>0.24256119346405222</v>
      </c>
      <c r="M123" s="245">
        <f t="shared" si="17"/>
        <v>0.75743880653594775</v>
      </c>
      <c r="N123" s="23"/>
    </row>
    <row r="124" spans="1:14" ht="13" hidden="1">
      <c r="A124" s="78" t="s">
        <v>2575</v>
      </c>
      <c r="B124" s="219" t="s">
        <v>1046</v>
      </c>
      <c r="C124" s="240" t="s">
        <v>1854</v>
      </c>
      <c r="D124" s="240" t="s">
        <v>1528</v>
      </c>
      <c r="E124" s="240" t="s">
        <v>1527</v>
      </c>
      <c r="F124" s="284">
        <v>0.16</v>
      </c>
      <c r="G124" s="242">
        <v>2.8017241379310347</v>
      </c>
      <c r="H124" s="243">
        <f ca="1">SUMIF('Sales 6.2026'!B:F,'All Menu'!B124,'Sales 6.2026'!F:F)</f>
        <v>84</v>
      </c>
      <c r="I124" s="241"/>
      <c r="J124" s="244">
        <f>SUMIF('Finished Recipe'!B:B, B124, 'Finished Recipe'!M:M)</f>
        <v>0.27696159999999997</v>
      </c>
      <c r="K124" s="244">
        <f t="shared" si="15"/>
        <v>2.5247625379310348</v>
      </c>
      <c r="L124" s="245">
        <f t="shared" si="16"/>
        <v>9.8853986461538451E-2</v>
      </c>
      <c r="M124" s="245">
        <f t="shared" si="17"/>
        <v>0.90114601353846158</v>
      </c>
      <c r="N124" s="23"/>
    </row>
    <row r="125" spans="1:14" ht="13" hidden="1">
      <c r="A125" s="78" t="s">
        <v>2576</v>
      </c>
      <c r="B125" s="219" t="s">
        <v>861</v>
      </c>
      <c r="C125" s="240" t="s">
        <v>1854</v>
      </c>
      <c r="D125" s="240" t="s">
        <v>1528</v>
      </c>
      <c r="E125" s="240" t="s">
        <v>1529</v>
      </c>
      <c r="F125" s="284">
        <v>0.16</v>
      </c>
      <c r="G125" s="242">
        <v>2.8017241379310347</v>
      </c>
      <c r="H125" s="243">
        <f ca="1">SUMIF('Sales 6.2026'!B:F,'All Menu'!B125,'Sales 6.2026'!F:F)</f>
        <v>104</v>
      </c>
      <c r="I125" s="241"/>
      <c r="J125" s="244">
        <f>SUMIF('Finished Recipe'!B:B, B125, 'Finished Recipe'!M:M)</f>
        <v>0.42878500000000003</v>
      </c>
      <c r="K125" s="244">
        <f t="shared" si="15"/>
        <v>2.3729391379310347</v>
      </c>
      <c r="L125" s="245">
        <f t="shared" si="16"/>
        <v>0.15304326153846154</v>
      </c>
      <c r="M125" s="245">
        <f t="shared" si="17"/>
        <v>0.84695673846153852</v>
      </c>
      <c r="N125" s="23"/>
    </row>
    <row r="126" spans="1:14" ht="13" hidden="1">
      <c r="A126" s="78" t="s">
        <v>2577</v>
      </c>
      <c r="B126" s="219" t="s">
        <v>859</v>
      </c>
      <c r="C126" s="240" t="s">
        <v>1854</v>
      </c>
      <c r="D126" s="240" t="s">
        <v>1528</v>
      </c>
      <c r="E126" s="240" t="s">
        <v>1530</v>
      </c>
      <c r="F126" s="284">
        <v>0.16</v>
      </c>
      <c r="G126" s="242">
        <v>2.8017241379310347</v>
      </c>
      <c r="H126" s="243">
        <f ca="1">SUMIF('Sales 6.2026'!B:F,'All Menu'!B126,'Sales 6.2026'!F:F)</f>
        <v>2</v>
      </c>
      <c r="I126" s="241"/>
      <c r="J126" s="244">
        <f>SUMIF('Finished Recipe'!B:B, B126, 'Finished Recipe'!M:M)</f>
        <v>0.51544915944170766</v>
      </c>
      <c r="K126" s="244">
        <f t="shared" si="15"/>
        <v>2.286274978489327</v>
      </c>
      <c r="L126" s="245">
        <f t="shared" si="16"/>
        <v>0.18397569998534796</v>
      </c>
      <c r="M126" s="245">
        <f t="shared" si="17"/>
        <v>0.81602430001465209</v>
      </c>
      <c r="N126" s="23"/>
    </row>
    <row r="127" spans="1:14" ht="13" hidden="1">
      <c r="A127" s="78" t="s">
        <v>2578</v>
      </c>
      <c r="B127" s="219" t="s">
        <v>860</v>
      </c>
      <c r="C127" s="240" t="s">
        <v>1854</v>
      </c>
      <c r="D127" s="240" t="s">
        <v>1528</v>
      </c>
      <c r="E127" s="240" t="s">
        <v>1531</v>
      </c>
      <c r="F127" s="284">
        <v>0.16</v>
      </c>
      <c r="G127" s="242">
        <v>4.0948275862068968</v>
      </c>
      <c r="H127" s="243">
        <f ca="1">SUMIF('Sales 6.2026'!B:F,'All Menu'!B127,'Sales 6.2026'!F:F)</f>
        <v>47</v>
      </c>
      <c r="I127" s="241"/>
      <c r="J127" s="244">
        <f>SUMIF('Finished Recipe'!B:B, B127, 'Finished Recipe'!M:M)</f>
        <v>2.108837571428571</v>
      </c>
      <c r="K127" s="244">
        <f t="shared" si="15"/>
        <v>1.9859900147783258</v>
      </c>
      <c r="L127" s="245">
        <f t="shared" si="16"/>
        <v>0.51500033323308259</v>
      </c>
      <c r="M127" s="245">
        <f t="shared" si="17"/>
        <v>0.48499966676691741</v>
      </c>
      <c r="N127" s="23"/>
    </row>
    <row r="128" spans="1:14" ht="13" hidden="1">
      <c r="A128" s="78" t="s">
        <v>2579</v>
      </c>
      <c r="B128" s="219" t="s">
        <v>858</v>
      </c>
      <c r="C128" s="240" t="s">
        <v>1854</v>
      </c>
      <c r="D128" s="240" t="s">
        <v>1528</v>
      </c>
      <c r="E128" s="240" t="s">
        <v>1532</v>
      </c>
      <c r="F128" s="284">
        <v>0.16</v>
      </c>
      <c r="G128" s="242">
        <v>1.9396551724137931</v>
      </c>
      <c r="H128" s="243">
        <f ca="1">SUMIF('Sales 6.2026'!B:F,'All Menu'!B128,'Sales 6.2026'!F:F)</f>
        <v>38</v>
      </c>
      <c r="I128" s="241"/>
      <c r="J128" s="244">
        <f>SUMIF('Finished Recipe'!B:B, B128, 'Finished Recipe'!M:M)</f>
        <v>0.26944133333333331</v>
      </c>
      <c r="K128" s="244">
        <f t="shared" si="15"/>
        <v>1.6702138390804597</v>
      </c>
      <c r="L128" s="245">
        <f t="shared" si="16"/>
        <v>0.13891197629629629</v>
      </c>
      <c r="M128" s="245">
        <f t="shared" si="17"/>
        <v>0.86108802370370363</v>
      </c>
      <c r="N128" s="23"/>
    </row>
    <row r="129" spans="1:14" ht="13" hidden="1">
      <c r="A129" s="78" t="s">
        <v>2580</v>
      </c>
      <c r="B129" s="219" t="s">
        <v>894</v>
      </c>
      <c r="C129" s="240" t="s">
        <v>1854</v>
      </c>
      <c r="D129" s="240" t="s">
        <v>1528</v>
      </c>
      <c r="E129" s="240" t="s">
        <v>571</v>
      </c>
      <c r="F129" s="284">
        <v>0.16</v>
      </c>
      <c r="G129" s="242">
        <v>1.9396551724137931</v>
      </c>
      <c r="H129" s="243">
        <f ca="1">SUMIF('Sales 6.2026'!B:F,'All Menu'!B129,'Sales 6.2026'!F:F)</f>
        <v>8</v>
      </c>
      <c r="I129" s="241"/>
      <c r="J129" s="244">
        <f>SUMIF('Finished Recipe'!B:B, B129, 'Finished Recipe'!M:M)</f>
        <v>0.2346927531194988</v>
      </c>
      <c r="K129" s="244">
        <f t="shared" si="15"/>
        <v>1.7049624192942943</v>
      </c>
      <c r="L129" s="245">
        <f t="shared" si="16"/>
        <v>0.12099715271938605</v>
      </c>
      <c r="M129" s="245">
        <f t="shared" si="17"/>
        <v>0.87900284728061395</v>
      </c>
      <c r="N129" s="23"/>
    </row>
    <row r="130" spans="1:14" ht="13" hidden="1">
      <c r="A130" s="78" t="s">
        <v>2581</v>
      </c>
      <c r="B130" s="219" t="s">
        <v>1060</v>
      </c>
      <c r="C130" s="240" t="s">
        <v>1854</v>
      </c>
      <c r="D130" s="240" t="s">
        <v>1528</v>
      </c>
      <c r="E130" s="240" t="s">
        <v>1533</v>
      </c>
      <c r="F130" s="284">
        <v>0.16</v>
      </c>
      <c r="G130" s="242">
        <v>2.8017241379310347</v>
      </c>
      <c r="H130" s="243">
        <f ca="1">SUMIF('Sales 6.2026'!B:F,'All Menu'!B130,'Sales 6.2026'!F:F)</f>
        <v>21</v>
      </c>
      <c r="I130" s="241"/>
      <c r="J130" s="244">
        <f>SUMIF('Finished Recipe'!B:B, B130, 'Finished Recipe'!M:M)</f>
        <v>0.81227168801313632</v>
      </c>
      <c r="K130" s="244">
        <f t="shared" si="15"/>
        <v>1.9894524499178985</v>
      </c>
      <c r="L130" s="245">
        <f t="shared" si="16"/>
        <v>0.28991851018315018</v>
      </c>
      <c r="M130" s="245">
        <f t="shared" si="17"/>
        <v>0.71008148981684982</v>
      </c>
      <c r="N130" s="23"/>
    </row>
    <row r="131" spans="1:14" ht="13" hidden="1">
      <c r="A131" s="78" t="s">
        <v>2582</v>
      </c>
      <c r="B131" s="219" t="s">
        <v>1019</v>
      </c>
      <c r="C131" s="240" t="s">
        <v>1854</v>
      </c>
      <c r="D131" s="240" t="s">
        <v>1528</v>
      </c>
      <c r="E131" s="240" t="s">
        <v>561</v>
      </c>
      <c r="F131" s="284">
        <v>0.16</v>
      </c>
      <c r="G131" s="242">
        <v>2.8017241379310347</v>
      </c>
      <c r="H131" s="243">
        <f ca="1">SUMIF('Sales 6.2026'!B:F,'All Menu'!B131,'Sales 6.2026'!F:F)</f>
        <v>10</v>
      </c>
      <c r="I131" s="241"/>
      <c r="J131" s="244">
        <f>SUMIF('Finished Recipe'!B:B, B131, 'Finished Recipe'!M:M)</f>
        <v>0.37036449579831926</v>
      </c>
      <c r="K131" s="244">
        <f t="shared" si="15"/>
        <v>2.4313596421327155</v>
      </c>
      <c r="L131" s="245">
        <f t="shared" si="16"/>
        <v>0.13219163542340009</v>
      </c>
      <c r="M131" s="245">
        <f t="shared" si="17"/>
        <v>0.86780836457659993</v>
      </c>
      <c r="N131" s="23"/>
    </row>
    <row r="132" spans="1:14" ht="13" hidden="1">
      <c r="A132" s="78" t="s">
        <v>2583</v>
      </c>
      <c r="B132" s="219" t="s">
        <v>1087</v>
      </c>
      <c r="C132" s="240" t="s">
        <v>1854</v>
      </c>
      <c r="D132" s="240" t="s">
        <v>1528</v>
      </c>
      <c r="E132" s="241" t="s">
        <v>1534</v>
      </c>
      <c r="F132" s="284">
        <v>0.16</v>
      </c>
      <c r="G132" s="242">
        <v>4.0948275862068968</v>
      </c>
      <c r="H132" s="243">
        <f ca="1">SUMIF('Sales 6.2026'!B:F,'All Menu'!B132,'Sales 6.2026'!F:F)</f>
        <v>15</v>
      </c>
      <c r="I132" s="241"/>
      <c r="J132" s="244">
        <f>SUMIF('Finished Recipe'!B:B, B132, 'Finished Recipe'!M:M)</f>
        <v>0.9354491594417077</v>
      </c>
      <c r="K132" s="244">
        <f t="shared" si="15"/>
        <v>3.1593784267651892</v>
      </c>
      <c r="L132" s="245">
        <f t="shared" si="16"/>
        <v>0.22844653156892228</v>
      </c>
      <c r="M132" s="245">
        <f t="shared" si="17"/>
        <v>0.77155346843107775</v>
      </c>
      <c r="N132" s="179"/>
    </row>
    <row r="133" spans="1:14" ht="13" hidden="1">
      <c r="A133" s="78" t="s">
        <v>2584</v>
      </c>
      <c r="B133" s="219" t="s">
        <v>1248</v>
      </c>
      <c r="C133" s="240" t="s">
        <v>1854</v>
      </c>
      <c r="D133" s="240" t="s">
        <v>1528</v>
      </c>
      <c r="E133" s="240" t="s">
        <v>1927</v>
      </c>
      <c r="F133" s="284">
        <v>0.16</v>
      </c>
      <c r="G133" s="242">
        <v>3.6637931034482762</v>
      </c>
      <c r="H133" s="243">
        <f ca="1">SUMIF('Sales 6.2026'!B:F,'All Menu'!B133,'Sales 6.2026'!F:F)</f>
        <v>17</v>
      </c>
      <c r="I133" s="241"/>
      <c r="J133" s="244">
        <f>SUMIF('Finished Recipe'!B:B, B133, 'Finished Recipe'!M:M)</f>
        <v>0.72674533333333335</v>
      </c>
      <c r="K133" s="244">
        <f t="shared" si="15"/>
        <v>2.9370477701149431</v>
      </c>
      <c r="L133" s="245">
        <f t="shared" si="16"/>
        <v>0.19835872627450979</v>
      </c>
      <c r="M133" s="245">
        <f t="shared" si="17"/>
        <v>0.80164127372549032</v>
      </c>
      <c r="N133" s="23"/>
    </row>
    <row r="134" spans="1:14" ht="13" hidden="1">
      <c r="A134" s="78" t="s">
        <v>2585</v>
      </c>
      <c r="B134" s="219" t="s">
        <v>1314</v>
      </c>
      <c r="C134" s="240" t="s">
        <v>1854</v>
      </c>
      <c r="D134" s="240" t="s">
        <v>1528</v>
      </c>
      <c r="E134" s="240" t="s">
        <v>1902</v>
      </c>
      <c r="F134" s="284">
        <v>0.16</v>
      </c>
      <c r="G134" s="242">
        <v>3.2327586206896552</v>
      </c>
      <c r="H134" s="243">
        <f ca="1">SUMIF('Sales 6.2026'!B:F,'All Menu'!B134,'Sales 6.2026'!F:F)</f>
        <v>20</v>
      </c>
      <c r="I134" s="241"/>
      <c r="J134" s="244">
        <f>SUMIF('Finished Recipe'!B:B, B134, 'Finished Recipe'!M:M)</f>
        <v>0.33024154103855807</v>
      </c>
      <c r="K134" s="244">
        <f t="shared" si="15"/>
        <v>2.9025170796510973</v>
      </c>
      <c r="L134" s="245">
        <f t="shared" si="16"/>
        <v>0.10215471669459396</v>
      </c>
      <c r="M134" s="245">
        <f t="shared" si="17"/>
        <v>0.89784528330540603</v>
      </c>
      <c r="N134" s="23"/>
    </row>
    <row r="135" spans="1:14" ht="13" hidden="1">
      <c r="A135" s="78" t="s">
        <v>2586</v>
      </c>
      <c r="B135" s="219" t="s">
        <v>1883</v>
      </c>
      <c r="C135" s="240" t="s">
        <v>1854</v>
      </c>
      <c r="D135" s="240" t="s">
        <v>1528</v>
      </c>
      <c r="E135" s="241" t="s">
        <v>1884</v>
      </c>
      <c r="F135" s="284">
        <v>0.16</v>
      </c>
      <c r="G135" s="242">
        <v>3.4051724137931036</v>
      </c>
      <c r="H135" s="243">
        <f ca="1">SUMIF('Sales 6.2026'!B:F,'All Menu'!B135,'Sales 6.2026'!F:F)</f>
        <v>18</v>
      </c>
      <c r="I135" s="241"/>
      <c r="J135" s="244">
        <f>SUMIF('Finished Recipe'!B:B, B135, 'Finished Recipe'!M:M)</f>
        <v>8.847975000000001E-2</v>
      </c>
      <c r="K135" s="244">
        <f t="shared" si="15"/>
        <v>3.3166926637931038</v>
      </c>
      <c r="L135" s="245">
        <f t="shared" si="16"/>
        <v>2.5983926582278483E-2</v>
      </c>
      <c r="M135" s="245">
        <f t="shared" si="17"/>
        <v>0.97401607341772156</v>
      </c>
      <c r="N135" s="23"/>
    </row>
    <row r="136" spans="1:14" ht="13" hidden="1">
      <c r="A136" s="78" t="s">
        <v>2587</v>
      </c>
      <c r="B136" s="219" t="s">
        <v>1885</v>
      </c>
      <c r="C136" s="240" t="s">
        <v>1854</v>
      </c>
      <c r="D136" s="240" t="s">
        <v>1528</v>
      </c>
      <c r="E136" s="240" t="s">
        <v>1886</v>
      </c>
      <c r="F136" s="284">
        <v>0.16</v>
      </c>
      <c r="G136" s="242">
        <v>1.9396551724137931</v>
      </c>
      <c r="H136" s="243">
        <f ca="1">SUMIF('Sales 6.2026'!B:F,'All Menu'!B136,'Sales 6.2026'!F:F)</f>
        <v>4</v>
      </c>
      <c r="I136" s="241"/>
      <c r="J136" s="244">
        <f>SUMIF('Finished Recipe'!B:B, B136, 'Finished Recipe'!M:M)</f>
        <v>0.18631746031746033</v>
      </c>
      <c r="K136" s="244">
        <f t="shared" si="15"/>
        <v>1.7533377120963327</v>
      </c>
      <c r="L136" s="245">
        <f t="shared" si="16"/>
        <v>9.6057001763668437E-2</v>
      </c>
      <c r="M136" s="245">
        <f t="shared" si="17"/>
        <v>0.90394299823633151</v>
      </c>
      <c r="N136" s="23"/>
    </row>
    <row r="137" spans="1:14" ht="13" hidden="1">
      <c r="A137" s="78" t="s">
        <v>2588</v>
      </c>
      <c r="B137" s="219" t="s">
        <v>1888</v>
      </c>
      <c r="C137" s="240" t="s">
        <v>1854</v>
      </c>
      <c r="D137" s="240" t="s">
        <v>1528</v>
      </c>
      <c r="E137" s="240" t="s">
        <v>1887</v>
      </c>
      <c r="F137" s="284">
        <v>0.16</v>
      </c>
      <c r="G137" s="242">
        <v>1.9396551724137931</v>
      </c>
      <c r="H137" s="243">
        <f ca="1">SUMIF('Sales 6.2026'!B:F,'All Menu'!B137,'Sales 6.2026'!F:F)</f>
        <v>4</v>
      </c>
      <c r="I137" s="241"/>
      <c r="J137" s="244">
        <f>SUMIF('Finished Recipe'!B:B, B137, 'Finished Recipe'!M:M)</f>
        <v>0.18411110052910051</v>
      </c>
      <c r="K137" s="244">
        <f t="shared" si="15"/>
        <v>1.7555440718846926</v>
      </c>
      <c r="L137" s="245">
        <f t="shared" si="16"/>
        <v>9.4919500717225158E-2</v>
      </c>
      <c r="M137" s="245">
        <f t="shared" si="17"/>
        <v>0.9050804992827749</v>
      </c>
      <c r="N137" s="23"/>
    </row>
    <row r="138" spans="1:14" ht="13" hidden="1">
      <c r="A138" s="78" t="s">
        <v>2589</v>
      </c>
      <c r="B138" s="219" t="s">
        <v>1151</v>
      </c>
      <c r="C138" s="240" t="s">
        <v>1854</v>
      </c>
      <c r="D138" s="240" t="s">
        <v>1537</v>
      </c>
      <c r="E138" s="240" t="s">
        <v>1382</v>
      </c>
      <c r="F138" s="284">
        <v>0.16</v>
      </c>
      <c r="G138" s="242">
        <v>2.3706896551724141</v>
      </c>
      <c r="H138" s="243">
        <f ca="1">SUMIF('Sales 6.2026'!B:F,'All Menu'!B138,'Sales 6.2026'!F:F)</f>
        <v>15</v>
      </c>
      <c r="I138" s="241"/>
      <c r="J138" s="244">
        <f>SUMIF('Finished Recipe'!B:B, B138, 'Finished Recipe'!M:M)</f>
        <v>0.53183653448275869</v>
      </c>
      <c r="K138" s="244">
        <f t="shared" si="15"/>
        <v>1.8388531206896555</v>
      </c>
      <c r="L138" s="245">
        <f t="shared" si="16"/>
        <v>0.22433832000000001</v>
      </c>
      <c r="M138" s="245">
        <f t="shared" si="17"/>
        <v>0.77566168000000002</v>
      </c>
      <c r="N138" s="23"/>
    </row>
    <row r="139" spans="1:14" ht="13" hidden="1">
      <c r="A139" s="78" t="s">
        <v>2590</v>
      </c>
      <c r="B139" s="219" t="s">
        <v>1094</v>
      </c>
      <c r="C139" s="240" t="s">
        <v>1854</v>
      </c>
      <c r="D139" s="240" t="s">
        <v>1537</v>
      </c>
      <c r="E139" s="240" t="s">
        <v>631</v>
      </c>
      <c r="F139" s="284">
        <v>0.16</v>
      </c>
      <c r="G139" s="242">
        <v>1.5086206896551726</v>
      </c>
      <c r="H139" s="243">
        <f ca="1">SUMIF('Sales 6.2026'!B:F,'All Menu'!B139,'Sales 6.2026'!F:F)</f>
        <v>34</v>
      </c>
      <c r="I139" s="241"/>
      <c r="J139" s="244">
        <f>SUMIF('Finished Recipe'!B:B, B139, 'Finished Recipe'!M:M)</f>
        <v>0.12943499999999999</v>
      </c>
      <c r="K139" s="244">
        <f t="shared" si="15"/>
        <v>1.3791856896551726</v>
      </c>
      <c r="L139" s="245">
        <f t="shared" si="16"/>
        <v>8.5796914285714274E-2</v>
      </c>
      <c r="M139" s="245">
        <f t="shared" si="17"/>
        <v>0.91420308571428577</v>
      </c>
      <c r="N139" s="23"/>
    </row>
    <row r="140" spans="1:14" ht="13" hidden="1">
      <c r="A140" s="78" t="s">
        <v>2591</v>
      </c>
      <c r="B140" s="219" t="s">
        <v>1321</v>
      </c>
      <c r="C140" s="240" t="s">
        <v>1854</v>
      </c>
      <c r="D140" s="240" t="s">
        <v>1537</v>
      </c>
      <c r="E140" s="240" t="s">
        <v>1538</v>
      </c>
      <c r="F140" s="284">
        <v>0.16</v>
      </c>
      <c r="G140" s="242">
        <v>2.3706896551724141</v>
      </c>
      <c r="H140" s="243">
        <f ca="1">SUMIF('Sales 6.2026'!B:F,'All Menu'!B140,'Sales 6.2026'!F:F)</f>
        <v>15</v>
      </c>
      <c r="I140" s="241"/>
      <c r="J140" s="244">
        <f>SUMIF('Finished Recipe'!B:B, B140, 'Finished Recipe'!M:M)</f>
        <v>0.23196670804597699</v>
      </c>
      <c r="K140" s="244">
        <f t="shared" si="15"/>
        <v>2.1387229471264373</v>
      </c>
      <c r="L140" s="245">
        <f t="shared" si="16"/>
        <v>9.7847775030303008E-2</v>
      </c>
      <c r="M140" s="245">
        <f t="shared" si="17"/>
        <v>0.90215222496969705</v>
      </c>
      <c r="N140" s="23"/>
    </row>
    <row r="141" spans="1:14" ht="13" hidden="1">
      <c r="A141" s="78" t="s">
        <v>2592</v>
      </c>
      <c r="B141" s="219" t="s">
        <v>1216</v>
      </c>
      <c r="C141" s="240" t="s">
        <v>1854</v>
      </c>
      <c r="D141" s="240" t="s">
        <v>1537</v>
      </c>
      <c r="E141" s="240" t="s">
        <v>1539</v>
      </c>
      <c r="F141" s="284">
        <v>0.16</v>
      </c>
      <c r="G141" s="242">
        <v>2.3706896551724141</v>
      </c>
      <c r="H141" s="243">
        <f ca="1">SUMIF('Sales 6.2026'!B:F,'All Menu'!B141,'Sales 6.2026'!F:F)</f>
        <v>20</v>
      </c>
      <c r="I141" s="241"/>
      <c r="J141" s="244">
        <f>SUMIF('Finished Recipe'!B:B, B141, 'Finished Recipe'!M:M)</f>
        <v>1.3250853793103448</v>
      </c>
      <c r="K141" s="244">
        <f t="shared" si="15"/>
        <v>1.0456042758620694</v>
      </c>
      <c r="L141" s="245">
        <f t="shared" si="16"/>
        <v>0.55894510545454534</v>
      </c>
      <c r="M141" s="245">
        <f t="shared" si="17"/>
        <v>0.44105489454545466</v>
      </c>
      <c r="N141" s="23"/>
    </row>
    <row r="142" spans="1:14" ht="13" hidden="1">
      <c r="A142" s="78" t="s">
        <v>2593</v>
      </c>
      <c r="B142" s="219" t="s">
        <v>830</v>
      </c>
      <c r="C142" s="240" t="s">
        <v>1854</v>
      </c>
      <c r="D142" s="240" t="s">
        <v>1541</v>
      </c>
      <c r="E142" s="240" t="s">
        <v>1540</v>
      </c>
      <c r="F142" s="284">
        <v>0.16</v>
      </c>
      <c r="G142" s="242">
        <v>4.0948275862068968</v>
      </c>
      <c r="H142" s="243">
        <f ca="1">SUMIF('Sales 6.2026'!B:F,'All Menu'!B142,'Sales 6.2026'!F:F)</f>
        <v>14</v>
      </c>
      <c r="I142" s="241"/>
      <c r="J142" s="244">
        <f>SUMIF('Finished Recipe'!B:B, B142, 'Finished Recipe'!M:M)</f>
        <v>1.54124592776907</v>
      </c>
      <c r="K142" s="244">
        <f t="shared" si="15"/>
        <v>2.5535816584378268</v>
      </c>
      <c r="L142" s="245">
        <f t="shared" si="16"/>
        <v>0.37638847920255181</v>
      </c>
      <c r="M142" s="245">
        <f t="shared" si="17"/>
        <v>0.62361152079744819</v>
      </c>
      <c r="N142" s="23"/>
    </row>
    <row r="143" spans="1:14" ht="13" hidden="1">
      <c r="A143" s="78" t="s">
        <v>2594</v>
      </c>
      <c r="B143" s="219" t="s">
        <v>836</v>
      </c>
      <c r="C143" s="240" t="s">
        <v>1854</v>
      </c>
      <c r="D143" s="240" t="s">
        <v>1541</v>
      </c>
      <c r="E143" s="240" t="s">
        <v>1542</v>
      </c>
      <c r="F143" s="284">
        <v>0.16</v>
      </c>
      <c r="G143" s="242">
        <v>4.0948275862068968</v>
      </c>
      <c r="H143" s="243">
        <f ca="1">SUMIF('Sales 6.2026'!B:F,'All Menu'!B143,'Sales 6.2026'!F:F)</f>
        <v>28</v>
      </c>
      <c r="I143" s="241"/>
      <c r="J143" s="244">
        <f>SUMIF('Finished Recipe'!B:B, B143, 'Finished Recipe'!M:M)</f>
        <v>2.0160055530904279</v>
      </c>
      <c r="K143" s="244">
        <f t="shared" si="15"/>
        <v>2.0788220331164688</v>
      </c>
      <c r="L143" s="245">
        <f t="shared" si="16"/>
        <v>0.49232977717576765</v>
      </c>
      <c r="M143" s="245">
        <f t="shared" si="17"/>
        <v>0.50767022282423235</v>
      </c>
      <c r="N143" s="23"/>
    </row>
    <row r="144" spans="1:14" ht="13" hidden="1">
      <c r="A144" s="78" t="s">
        <v>2595</v>
      </c>
      <c r="B144" s="219" t="s">
        <v>1313</v>
      </c>
      <c r="C144" s="240" t="s">
        <v>1854</v>
      </c>
      <c r="D144" s="240" t="s">
        <v>1541</v>
      </c>
      <c r="E144" s="240" t="s">
        <v>1543</v>
      </c>
      <c r="F144" s="284">
        <v>0.16</v>
      </c>
      <c r="G144" s="242">
        <v>7.4568965517241388</v>
      </c>
      <c r="H144" s="243">
        <f ca="1">SUMIF('Sales 6.2026'!B:F,'All Menu'!B144,'Sales 6.2026'!F:F)</f>
        <v>16</v>
      </c>
      <c r="I144" s="241"/>
      <c r="J144" s="244">
        <f>SUMIF('Finished Recipe'!B:B, B144, 'Finished Recipe'!M:M)</f>
        <v>2.6919823333333328</v>
      </c>
      <c r="K144" s="244">
        <f t="shared" si="15"/>
        <v>4.764914218390806</v>
      </c>
      <c r="L144" s="245">
        <f t="shared" si="16"/>
        <v>0.36100572331406539</v>
      </c>
      <c r="M144" s="245">
        <f t="shared" si="17"/>
        <v>0.63899427668593456</v>
      </c>
      <c r="N144" s="23"/>
    </row>
    <row r="145" spans="1:14" ht="13" hidden="1">
      <c r="A145" s="78" t="s">
        <v>2596</v>
      </c>
      <c r="B145" s="219" t="s">
        <v>840</v>
      </c>
      <c r="C145" s="240" t="s">
        <v>1854</v>
      </c>
      <c r="D145" s="240" t="s">
        <v>1541</v>
      </c>
      <c r="E145" s="240" t="s">
        <v>1544</v>
      </c>
      <c r="F145" s="284">
        <v>0.16</v>
      </c>
      <c r="G145" s="242">
        <v>4.0948275862068968</v>
      </c>
      <c r="H145" s="243">
        <f ca="1">SUMIF('Sales 6.2026'!B:F,'All Menu'!B145,'Sales 6.2026'!F:F)</f>
        <v>8</v>
      </c>
      <c r="I145" s="241"/>
      <c r="J145" s="244">
        <f>SUMIF('Finished Recipe'!B:B, B145, 'Finished Recipe'!M:M)</f>
        <v>1.0846270777777778</v>
      </c>
      <c r="K145" s="244">
        <f t="shared" si="15"/>
        <v>3.010200508429119</v>
      </c>
      <c r="L145" s="245">
        <f t="shared" si="16"/>
        <v>0.26487734952046782</v>
      </c>
      <c r="M145" s="245">
        <f t="shared" si="17"/>
        <v>0.73512265047953218</v>
      </c>
      <c r="N145" s="23"/>
    </row>
    <row r="146" spans="1:14" ht="13" hidden="1">
      <c r="A146" s="78" t="s">
        <v>2597</v>
      </c>
      <c r="B146" s="219" t="s">
        <v>829</v>
      </c>
      <c r="C146" s="240" t="s">
        <v>1854</v>
      </c>
      <c r="D146" s="240" t="s">
        <v>1541</v>
      </c>
      <c r="E146" s="240" t="s">
        <v>1545</v>
      </c>
      <c r="F146" s="284">
        <v>0.16</v>
      </c>
      <c r="G146" s="242">
        <v>4.0948275862068968</v>
      </c>
      <c r="H146" s="243">
        <f ca="1">SUMIF('Sales 6.2026'!B:F,'All Menu'!B146,'Sales 6.2026'!F:F)</f>
        <v>5</v>
      </c>
      <c r="I146" s="241"/>
      <c r="J146" s="244">
        <f>SUMIF('Finished Recipe'!B:B, B146, 'Finished Recipe'!M:M)</f>
        <v>1.9949415476190473</v>
      </c>
      <c r="K146" s="244">
        <f t="shared" si="15"/>
        <v>2.0998860385878495</v>
      </c>
      <c r="L146" s="245">
        <f t="shared" si="16"/>
        <v>0.48718572531328308</v>
      </c>
      <c r="M146" s="245">
        <f t="shared" si="17"/>
        <v>0.51281427468671692</v>
      </c>
      <c r="N146" s="23"/>
    </row>
    <row r="147" spans="1:14" ht="13" hidden="1">
      <c r="A147" s="78" t="s">
        <v>2598</v>
      </c>
      <c r="B147" s="219" t="s">
        <v>838</v>
      </c>
      <c r="C147" s="240" t="s">
        <v>1854</v>
      </c>
      <c r="D147" s="240" t="s">
        <v>1541</v>
      </c>
      <c r="E147" s="241" t="s">
        <v>1546</v>
      </c>
      <c r="F147" s="284">
        <v>0.16</v>
      </c>
      <c r="G147" s="242">
        <v>2.8017241379310347</v>
      </c>
      <c r="H147" s="243">
        <f ca="1">SUMIF('Sales 6.2026'!B:F,'All Menu'!B147,'Sales 6.2026'!F:F)</f>
        <v>3</v>
      </c>
      <c r="I147" s="241"/>
      <c r="J147" s="244">
        <f>SUMIF('Finished Recipe'!B:B, B147, 'Finished Recipe'!M:M)</f>
        <v>0.93807133333333326</v>
      </c>
      <c r="K147" s="244">
        <f t="shared" si="15"/>
        <v>1.8636528045977014</v>
      </c>
      <c r="L147" s="245">
        <f t="shared" si="16"/>
        <v>0.33481930666666659</v>
      </c>
      <c r="M147" s="245">
        <f t="shared" si="17"/>
        <v>0.66518069333333341</v>
      </c>
      <c r="N147" s="23"/>
    </row>
    <row r="148" spans="1:14" ht="13" hidden="1">
      <c r="A148" s="78" t="s">
        <v>2599</v>
      </c>
      <c r="B148" s="219" t="s">
        <v>1062</v>
      </c>
      <c r="C148" s="240" t="s">
        <v>1854</v>
      </c>
      <c r="D148" s="240" t="s">
        <v>1541</v>
      </c>
      <c r="E148" s="240" t="s">
        <v>1547</v>
      </c>
      <c r="F148" s="284">
        <v>0.16</v>
      </c>
      <c r="G148" s="242">
        <v>4.9568965517241379</v>
      </c>
      <c r="H148" s="243">
        <f ca="1">SUMIF('Sales 6.2026'!B:F,'All Menu'!B148,'Sales 6.2026'!F:F)</f>
        <v>15</v>
      </c>
      <c r="I148" s="241"/>
      <c r="J148" s="244">
        <f>SUMIF('Finished Recipe'!B:B, B148, 'Finished Recipe'!M:M)</f>
        <v>1.9318031998084291</v>
      </c>
      <c r="K148" s="244">
        <f t="shared" si="15"/>
        <v>3.0250933519157091</v>
      </c>
      <c r="L148" s="245">
        <f t="shared" si="16"/>
        <v>0.38972029770048311</v>
      </c>
      <c r="M148" s="245">
        <f t="shared" si="17"/>
        <v>0.610279702299517</v>
      </c>
      <c r="N148" s="23"/>
    </row>
    <row r="149" spans="1:14" ht="13" hidden="1">
      <c r="A149" s="78" t="s">
        <v>2600</v>
      </c>
      <c r="B149" s="219" t="s">
        <v>841</v>
      </c>
      <c r="C149" s="240" t="s">
        <v>1854</v>
      </c>
      <c r="D149" s="240" t="s">
        <v>1541</v>
      </c>
      <c r="E149" s="240" t="s">
        <v>1548</v>
      </c>
      <c r="F149" s="284">
        <v>0.16</v>
      </c>
      <c r="G149" s="242">
        <v>4.0948275862068968</v>
      </c>
      <c r="H149" s="243">
        <f ca="1">SUMIF('Sales 6.2026'!B:F,'All Menu'!B149,'Sales 6.2026'!F:F)</f>
        <v>3</v>
      </c>
      <c r="I149" s="241"/>
      <c r="J149" s="244">
        <f>SUMIF('Finished Recipe'!B:B, B149, 'Finished Recipe'!M:M)</f>
        <v>1.1253883528735633</v>
      </c>
      <c r="K149" s="244">
        <f t="shared" si="15"/>
        <v>2.9694392333333335</v>
      </c>
      <c r="L149" s="245">
        <f t="shared" si="16"/>
        <v>0.27483168196491231</v>
      </c>
      <c r="M149" s="245">
        <f t="shared" si="17"/>
        <v>0.72516831803508774</v>
      </c>
      <c r="N149" s="23"/>
    </row>
    <row r="150" spans="1:14" ht="13" hidden="1">
      <c r="A150" s="78" t="s">
        <v>2601</v>
      </c>
      <c r="B150" s="219" t="s">
        <v>837</v>
      </c>
      <c r="C150" s="240" t="s">
        <v>1854</v>
      </c>
      <c r="D150" s="240" t="s">
        <v>1541</v>
      </c>
      <c r="E150" s="240" t="s">
        <v>1549</v>
      </c>
      <c r="F150" s="284">
        <v>0.16</v>
      </c>
      <c r="G150" s="242">
        <v>4.0948275862068968</v>
      </c>
      <c r="H150" s="243">
        <f ca="1">SUMIF('Sales 6.2026'!B:F,'All Menu'!B150,'Sales 6.2026'!F:F)</f>
        <v>6</v>
      </c>
      <c r="I150" s="241"/>
      <c r="J150" s="244">
        <f>SUMIF('Finished Recipe'!B:B, B150, 'Finished Recipe'!M:M)</f>
        <v>3.4925383333333331</v>
      </c>
      <c r="K150" s="244">
        <f t="shared" si="15"/>
        <v>0.60228925287356372</v>
      </c>
      <c r="L150" s="245">
        <f t="shared" ref="L150:L155" si="18">J150/G150</f>
        <v>0.85291462456140343</v>
      </c>
      <c r="M150" s="245">
        <f t="shared" ref="M150:M155" si="19">K150/G150</f>
        <v>0.14708537543859659</v>
      </c>
      <c r="N150" s="23"/>
    </row>
    <row r="151" spans="1:14" ht="13" hidden="1">
      <c r="A151" s="78" t="s">
        <v>2602</v>
      </c>
      <c r="B151" s="219" t="s">
        <v>834</v>
      </c>
      <c r="C151" s="240" t="s">
        <v>1854</v>
      </c>
      <c r="D151" s="240" t="s">
        <v>1541</v>
      </c>
      <c r="E151" s="240" t="s">
        <v>1550</v>
      </c>
      <c r="F151" s="284">
        <v>0.16</v>
      </c>
      <c r="G151" s="242">
        <v>3.0172413793103452</v>
      </c>
      <c r="H151" s="243">
        <f ca="1">SUMIF('Sales 6.2026'!B:F,'All Menu'!B151,'Sales 6.2026'!F:F)</f>
        <v>5</v>
      </c>
      <c r="I151" s="241"/>
      <c r="J151" s="244">
        <f>SUMIF('Finished Recipe'!B:B, B151, 'Finished Recipe'!M:M)</f>
        <v>0.48392810714285717</v>
      </c>
      <c r="K151" s="244">
        <f t="shared" si="15"/>
        <v>2.5333132721674883</v>
      </c>
      <c r="L151" s="245">
        <f t="shared" si="18"/>
        <v>0.16038760122448978</v>
      </c>
      <c r="M151" s="245">
        <f t="shared" si="19"/>
        <v>0.8396123987755103</v>
      </c>
      <c r="N151" s="23"/>
    </row>
    <row r="152" spans="1:14" ht="13" hidden="1">
      <c r="A152" s="78" t="s">
        <v>2603</v>
      </c>
      <c r="B152" s="219" t="s">
        <v>839</v>
      </c>
      <c r="C152" s="240" t="s">
        <v>1854</v>
      </c>
      <c r="D152" s="240" t="s">
        <v>1541</v>
      </c>
      <c r="E152" s="240" t="s">
        <v>1551</v>
      </c>
      <c r="F152" s="284">
        <v>0.16</v>
      </c>
      <c r="G152" s="242">
        <v>4.9568965517241379</v>
      </c>
      <c r="H152" s="243">
        <f ca="1">SUMIF('Sales 6.2026'!B:F,'All Menu'!B152,'Sales 6.2026'!F:F)</f>
        <v>22</v>
      </c>
      <c r="I152" s="241"/>
      <c r="J152" s="244">
        <f>SUMIF('Finished Recipe'!B:B, B152, 'Finished Recipe'!M:M)</f>
        <v>2.0830749024904209</v>
      </c>
      <c r="K152" s="244">
        <f t="shared" si="15"/>
        <v>2.873821649233717</v>
      </c>
      <c r="L152" s="245">
        <f t="shared" si="18"/>
        <v>0.42023771945893712</v>
      </c>
      <c r="M152" s="245">
        <f t="shared" si="19"/>
        <v>0.57976228054106294</v>
      </c>
      <c r="N152" s="23"/>
    </row>
    <row r="153" spans="1:14" ht="13" hidden="1">
      <c r="A153" s="78" t="s">
        <v>2604</v>
      </c>
      <c r="B153" s="219" t="s">
        <v>824</v>
      </c>
      <c r="C153" s="240" t="s">
        <v>1854</v>
      </c>
      <c r="D153" s="240" t="s">
        <v>1541</v>
      </c>
      <c r="E153" s="241" t="s">
        <v>1552</v>
      </c>
      <c r="F153" s="284">
        <v>0.16</v>
      </c>
      <c r="G153" s="242">
        <v>4.9568965517241379</v>
      </c>
      <c r="H153" s="243">
        <f ca="1">SUMIF('Sales 6.2026'!B:F,'All Menu'!B153,'Sales 6.2026'!F:F)</f>
        <v>6</v>
      </c>
      <c r="I153" s="241"/>
      <c r="J153" s="244">
        <f>SUMIF('Finished Recipe'!B:B, B153, 'Finished Recipe'!M:M)</f>
        <v>2.8441841528735639</v>
      </c>
      <c r="K153" s="244">
        <f t="shared" si="15"/>
        <v>2.112712398850574</v>
      </c>
      <c r="L153" s="245">
        <f t="shared" si="18"/>
        <v>0.57378323779710161</v>
      </c>
      <c r="M153" s="245">
        <f t="shared" si="19"/>
        <v>0.42621676220289839</v>
      </c>
      <c r="N153" s="23"/>
    </row>
    <row r="154" spans="1:14" ht="13" hidden="1">
      <c r="A154" s="78" t="s">
        <v>2605</v>
      </c>
      <c r="B154" s="219" t="s">
        <v>831</v>
      </c>
      <c r="C154" s="240" t="s">
        <v>1854</v>
      </c>
      <c r="D154" s="240" t="s">
        <v>1541</v>
      </c>
      <c r="E154" s="240" t="s">
        <v>1553</v>
      </c>
      <c r="F154" s="284">
        <v>0.16</v>
      </c>
      <c r="G154" s="242">
        <v>4.7413793103448283</v>
      </c>
      <c r="H154" s="243">
        <f ca="1">SUMIF('Sales 6.2026'!B:F,'All Menu'!B154,'Sales 6.2026'!F:F)</f>
        <v>15</v>
      </c>
      <c r="I154" s="241"/>
      <c r="J154" s="244">
        <f>SUMIF('Finished Recipe'!B:B, B154, 'Finished Recipe'!M:M)</f>
        <v>4.4457026935298476</v>
      </c>
      <c r="K154" s="244">
        <f t="shared" si="15"/>
        <v>0.2956766168149807</v>
      </c>
      <c r="L154" s="245">
        <f t="shared" si="18"/>
        <v>0.93763911354447682</v>
      </c>
      <c r="M154" s="245">
        <f t="shared" si="19"/>
        <v>6.2360886455523193E-2</v>
      </c>
      <c r="N154" s="23"/>
    </row>
    <row r="155" spans="1:14" ht="13" hidden="1">
      <c r="A155" s="78" t="s">
        <v>2606</v>
      </c>
      <c r="B155" s="219" t="s">
        <v>1246</v>
      </c>
      <c r="C155" s="240" t="s">
        <v>1854</v>
      </c>
      <c r="D155" s="240" t="s">
        <v>1541</v>
      </c>
      <c r="E155" s="240" t="s">
        <v>1555</v>
      </c>
      <c r="F155" s="284">
        <v>0.16</v>
      </c>
      <c r="G155" s="242">
        <v>7.9741379310344831</v>
      </c>
      <c r="H155" s="243">
        <f ca="1">SUMIF('Sales 6.2026'!B:F,'All Menu'!B155,'Sales 6.2026'!F:F)</f>
        <v>6</v>
      </c>
      <c r="I155" s="241"/>
      <c r="J155" s="244">
        <f>SUMIF('Finished Recipe'!B:B, B155, 'Finished Recipe'!M:M)</f>
        <v>5.9854053357715076</v>
      </c>
      <c r="K155" s="244">
        <f t="shared" si="15"/>
        <v>1.9887325952629755</v>
      </c>
      <c r="L155" s="245">
        <f t="shared" si="18"/>
        <v>0.75060218264810252</v>
      </c>
      <c r="M155" s="245">
        <f t="shared" si="19"/>
        <v>0.24939781735189745</v>
      </c>
      <c r="N155" s="23"/>
    </row>
    <row r="156" spans="1:14" ht="13" hidden="1">
      <c r="A156" s="78" t="s">
        <v>2607</v>
      </c>
      <c r="B156" s="219" t="s">
        <v>995</v>
      </c>
      <c r="C156" s="240" t="s">
        <v>1854</v>
      </c>
      <c r="D156" s="240" t="s">
        <v>1334</v>
      </c>
      <c r="E156" s="240" t="s">
        <v>1333</v>
      </c>
      <c r="F156" s="284">
        <v>0.16</v>
      </c>
      <c r="G156" s="242">
        <v>3.2327586206896552</v>
      </c>
      <c r="H156" s="243">
        <f ca="1">SUMIF('Sales 6.2026'!B:F,'All Menu'!B156,'Sales 6.2026'!F:F)</f>
        <v>1</v>
      </c>
      <c r="I156" s="241"/>
      <c r="J156" s="244">
        <f>SUMIF('Finished Recipe'!B:B, B156, 'Finished Recipe'!M:M)</f>
        <v>1.2211814431156764</v>
      </c>
      <c r="K156" s="244">
        <f t="shared" si="15"/>
        <v>2.0115771775739786</v>
      </c>
      <c r="L156" s="245">
        <f t="shared" ref="L156:L202" si="20">J156/G156</f>
        <v>0.37775212640378258</v>
      </c>
      <c r="M156" s="245">
        <f t="shared" ref="M156:M202" si="21">K156/G156</f>
        <v>0.62224787359621736</v>
      </c>
      <c r="N156" s="23"/>
    </row>
    <row r="157" spans="1:14" ht="13" hidden="1">
      <c r="A157" s="78" t="s">
        <v>2608</v>
      </c>
      <c r="B157" s="219" t="s">
        <v>1039</v>
      </c>
      <c r="C157" s="240" t="s">
        <v>1854</v>
      </c>
      <c r="D157" s="240" t="s">
        <v>1334</v>
      </c>
      <c r="E157" s="240" t="s">
        <v>1335</v>
      </c>
      <c r="F157" s="284">
        <v>0.16</v>
      </c>
      <c r="G157" s="242">
        <v>5.1293103448275863</v>
      </c>
      <c r="H157" s="243">
        <f ca="1">SUMIF('Sales 6.2026'!B:F,'All Menu'!B157,'Sales 6.2026'!F:F)</f>
        <v>2</v>
      </c>
      <c r="I157" s="241"/>
      <c r="J157" s="244">
        <f>SUMIF('Finished Recipe'!B:B, B157, 'Finished Recipe'!M:M)</f>
        <v>1.4571450580459773</v>
      </c>
      <c r="K157" s="244">
        <f t="shared" si="15"/>
        <v>3.6721652867816088</v>
      </c>
      <c r="L157" s="245">
        <f t="shared" si="20"/>
        <v>0.2840820617366947</v>
      </c>
      <c r="M157" s="245">
        <f t="shared" si="21"/>
        <v>0.71591793826330519</v>
      </c>
      <c r="N157" s="23"/>
    </row>
    <row r="158" spans="1:14" ht="13" hidden="1">
      <c r="A158" s="78" t="s">
        <v>2609</v>
      </c>
      <c r="B158" s="219" t="s">
        <v>1015</v>
      </c>
      <c r="C158" s="240" t="s">
        <v>1854</v>
      </c>
      <c r="D158" s="240" t="s">
        <v>1334</v>
      </c>
      <c r="E158" s="240" t="s">
        <v>1337</v>
      </c>
      <c r="F158" s="284">
        <v>0.16</v>
      </c>
      <c r="G158" s="242">
        <v>4.4396551724137936</v>
      </c>
      <c r="H158" s="243">
        <f ca="1">SUMIF('Sales 6.2026'!B:F,'All Menu'!B158,'Sales 6.2026'!F:F)</f>
        <v>4</v>
      </c>
      <c r="I158" s="241"/>
      <c r="J158" s="244">
        <f>SUMIF('Finished Recipe'!B:B, B158, 'Finished Recipe'!M:M)</f>
        <v>1.7893961972969561</v>
      </c>
      <c r="K158" s="244">
        <f t="shared" si="15"/>
        <v>2.6502589751168375</v>
      </c>
      <c r="L158" s="245">
        <f t="shared" si="20"/>
        <v>0.40304846385717841</v>
      </c>
      <c r="M158" s="245">
        <f t="shared" si="21"/>
        <v>0.59695153614282159</v>
      </c>
      <c r="N158" s="23"/>
    </row>
    <row r="159" spans="1:14" ht="13" hidden="1">
      <c r="A159" s="78" t="s">
        <v>2610</v>
      </c>
      <c r="B159" s="219" t="s">
        <v>1003</v>
      </c>
      <c r="C159" s="240" t="s">
        <v>1854</v>
      </c>
      <c r="D159" s="240" t="s">
        <v>1334</v>
      </c>
      <c r="E159" s="241" t="s">
        <v>1790</v>
      </c>
      <c r="F159" s="284">
        <v>0.16</v>
      </c>
      <c r="G159" s="242">
        <v>6.0344827586206904</v>
      </c>
      <c r="H159" s="243">
        <f ca="1">SUMIF('Sales 6.2026'!B:F,'All Menu'!B159,'Sales 6.2026'!F:F)</f>
        <v>0</v>
      </c>
      <c r="I159" s="241"/>
      <c r="J159" s="244">
        <f>SUMIF('Finished Recipe'!B:B, B159, 'Finished Recipe'!M:M)</f>
        <v>2.5482321666666667</v>
      </c>
      <c r="K159" s="244">
        <f t="shared" si="15"/>
        <v>3.4862505919540236</v>
      </c>
      <c r="L159" s="245">
        <f t="shared" si="20"/>
        <v>0.42227847333333329</v>
      </c>
      <c r="M159" s="245">
        <f t="shared" si="21"/>
        <v>0.57772152666666665</v>
      </c>
      <c r="N159" s="23"/>
    </row>
    <row r="160" spans="1:14" ht="13" hidden="1">
      <c r="A160" s="78" t="s">
        <v>2611</v>
      </c>
      <c r="B160" s="219" t="s">
        <v>1074</v>
      </c>
      <c r="C160" s="240" t="s">
        <v>1854</v>
      </c>
      <c r="D160" s="240" t="s">
        <v>1334</v>
      </c>
      <c r="E160" s="240" t="s">
        <v>1338</v>
      </c>
      <c r="F160" s="284">
        <v>0.16</v>
      </c>
      <c r="G160" s="242">
        <v>5.0431034482758621</v>
      </c>
      <c r="H160" s="243">
        <f ca="1">SUMIF('Sales 6.2026'!B:F,'All Menu'!B160,'Sales 6.2026'!F:F)</f>
        <v>0</v>
      </c>
      <c r="I160" s="241"/>
      <c r="J160" s="244">
        <f>SUMIF('Finished Recipe'!B:B, B160, 'Finished Recipe'!M:M)</f>
        <v>1.387820232146594</v>
      </c>
      <c r="K160" s="244">
        <f t="shared" si="15"/>
        <v>3.6552832161292681</v>
      </c>
      <c r="L160" s="245">
        <f t="shared" si="20"/>
        <v>0.27519170415214511</v>
      </c>
      <c r="M160" s="245">
        <f t="shared" si="21"/>
        <v>0.72480829584785489</v>
      </c>
      <c r="N160" s="23"/>
    </row>
    <row r="161" spans="1:14" ht="13" hidden="1">
      <c r="A161" s="78" t="s">
        <v>2612</v>
      </c>
      <c r="B161" s="219" t="s">
        <v>876</v>
      </c>
      <c r="C161" s="240" t="s">
        <v>1854</v>
      </c>
      <c r="D161" s="240" t="s">
        <v>1334</v>
      </c>
      <c r="E161" s="240" t="s">
        <v>1339</v>
      </c>
      <c r="F161" s="284">
        <v>0.16</v>
      </c>
      <c r="G161" s="242">
        <v>3.2327586206896552</v>
      </c>
      <c r="H161" s="243">
        <f ca="1">SUMIF('Sales 6.2026'!B:F,'All Menu'!B161,'Sales 6.2026'!F:F)</f>
        <v>2</v>
      </c>
      <c r="I161" s="241"/>
      <c r="J161" s="244">
        <f>SUMIF('Finished Recipe'!B:B, B161, 'Finished Recipe'!M:M)</f>
        <v>1.2367311555555558</v>
      </c>
      <c r="K161" s="244">
        <f t="shared" si="15"/>
        <v>1.9960274651340995</v>
      </c>
      <c r="L161" s="245">
        <f t="shared" si="20"/>
        <v>0.38256217078518523</v>
      </c>
      <c r="M161" s="245">
        <f t="shared" si="21"/>
        <v>0.61743782921481472</v>
      </c>
      <c r="N161" s="23"/>
    </row>
    <row r="162" spans="1:14" ht="13" hidden="1">
      <c r="A162" s="78" t="s">
        <v>2613</v>
      </c>
      <c r="B162" s="219" t="s">
        <v>1012</v>
      </c>
      <c r="C162" s="240" t="s">
        <v>1854</v>
      </c>
      <c r="D162" s="240" t="s">
        <v>1334</v>
      </c>
      <c r="E162" s="240" t="s">
        <v>1340</v>
      </c>
      <c r="F162" s="284">
        <v>0.16</v>
      </c>
      <c r="G162" s="242">
        <v>4.9568965517241379</v>
      </c>
      <c r="H162" s="243">
        <f ca="1">SUMIF('Sales 6.2026'!B:F,'All Menu'!B162,'Sales 6.2026'!F:F)</f>
        <v>5</v>
      </c>
      <c r="I162" s="241"/>
      <c r="J162" s="244">
        <f>SUMIF('Finished Recipe'!B:B, B162, 'Finished Recipe'!M:M)</f>
        <v>1.6953586547619046</v>
      </c>
      <c r="K162" s="244">
        <f t="shared" si="15"/>
        <v>3.2615378969622331</v>
      </c>
      <c r="L162" s="245">
        <f t="shared" si="20"/>
        <v>0.34202018078674945</v>
      </c>
      <c r="M162" s="245">
        <f t="shared" si="21"/>
        <v>0.65797981921325055</v>
      </c>
      <c r="N162" s="23"/>
    </row>
    <row r="163" spans="1:14" ht="13" hidden="1">
      <c r="A163" s="78" t="s">
        <v>2614</v>
      </c>
      <c r="B163" s="219" t="s">
        <v>1050</v>
      </c>
      <c r="C163" s="240" t="s">
        <v>1854</v>
      </c>
      <c r="D163" s="240" t="s">
        <v>1334</v>
      </c>
      <c r="E163" s="247" t="s">
        <v>1341</v>
      </c>
      <c r="F163" s="284">
        <v>0.16</v>
      </c>
      <c r="G163" s="242">
        <v>4.9568965517241379</v>
      </c>
      <c r="H163" s="249">
        <f ca="1">SUMIF('Sales 6.2026'!B:F,'All Menu'!B163,'Sales 6.2026'!F:F)</f>
        <v>2</v>
      </c>
      <c r="I163" s="241"/>
      <c r="J163" s="244">
        <f>SUMIF('Finished Recipe'!B:B, B163, 'Finished Recipe'!M:M)</f>
        <v>1.5768962186742286</v>
      </c>
      <c r="K163" s="244">
        <f t="shared" si="15"/>
        <v>3.3800003330499093</v>
      </c>
      <c r="L163" s="245">
        <f t="shared" si="20"/>
        <v>0.3181216719412357</v>
      </c>
      <c r="M163" s="245">
        <f t="shared" si="21"/>
        <v>0.68187832805876436</v>
      </c>
      <c r="N163" s="23"/>
    </row>
    <row r="164" spans="1:14" ht="13" hidden="1">
      <c r="A164" s="78" t="s">
        <v>2615</v>
      </c>
      <c r="B164" s="219" t="s">
        <v>999</v>
      </c>
      <c r="C164" s="240" t="s">
        <v>1854</v>
      </c>
      <c r="D164" s="240" t="s">
        <v>1334</v>
      </c>
      <c r="E164" s="240" t="s">
        <v>1343</v>
      </c>
      <c r="F164" s="284">
        <v>0.16</v>
      </c>
      <c r="G164" s="242">
        <v>3.2327586206896552</v>
      </c>
      <c r="H164" s="243">
        <f ca="1">SUMIF('Sales 6.2026'!B:F,'All Menu'!B164,'Sales 6.2026'!F:F)</f>
        <v>0</v>
      </c>
      <c r="I164" s="241"/>
      <c r="J164" s="244">
        <f>SUMIF('Finished Recipe'!B:B, B164, 'Finished Recipe'!M:M)</f>
        <v>1.231735325454981</v>
      </c>
      <c r="K164" s="244">
        <f t="shared" si="15"/>
        <v>2.001023295234674</v>
      </c>
      <c r="L164" s="245">
        <f t="shared" si="20"/>
        <v>0.38101679400740746</v>
      </c>
      <c r="M164" s="245">
        <f t="shared" si="21"/>
        <v>0.61898320599259249</v>
      </c>
      <c r="N164" s="23"/>
    </row>
    <row r="165" spans="1:14" ht="13" hidden="1">
      <c r="A165" s="78" t="s">
        <v>2616</v>
      </c>
      <c r="B165" s="219" t="s">
        <v>1001</v>
      </c>
      <c r="C165" s="240" t="s">
        <v>1854</v>
      </c>
      <c r="D165" s="240" t="s">
        <v>1334</v>
      </c>
      <c r="E165" s="240" t="s">
        <v>593</v>
      </c>
      <c r="F165" s="284">
        <v>0.16</v>
      </c>
      <c r="G165" s="242">
        <v>4.5258620689655178</v>
      </c>
      <c r="H165" s="243">
        <f ca="1">SUMIF('Sales 6.2026'!B:F,'All Menu'!B165,'Sales 6.2026'!F:F)</f>
        <v>0</v>
      </c>
      <c r="I165" s="241"/>
      <c r="J165" s="244">
        <f>SUMIF('Finished Recipe'!B:B, B165, 'Finished Recipe'!M:M)</f>
        <v>1.3126720141414145</v>
      </c>
      <c r="K165" s="244">
        <f t="shared" si="15"/>
        <v>3.2131900548241035</v>
      </c>
      <c r="L165" s="245">
        <f t="shared" si="20"/>
        <v>0.29003800693410298</v>
      </c>
      <c r="M165" s="245">
        <f t="shared" si="21"/>
        <v>0.70996199306589702</v>
      </c>
      <c r="N165" s="23"/>
    </row>
    <row r="166" spans="1:14" ht="13" hidden="1">
      <c r="A166" s="78" t="s">
        <v>2617</v>
      </c>
      <c r="B166" s="219" t="s">
        <v>1049</v>
      </c>
      <c r="C166" s="240" t="s">
        <v>1854</v>
      </c>
      <c r="D166" s="240" t="s">
        <v>1334</v>
      </c>
      <c r="E166" s="240" t="s">
        <v>1344</v>
      </c>
      <c r="F166" s="284">
        <v>0.16</v>
      </c>
      <c r="G166" s="242">
        <v>4.5258620689655178</v>
      </c>
      <c r="H166" s="243">
        <f ca="1">SUMIF('Sales 6.2026'!B:F,'All Menu'!B166,'Sales 6.2026'!F:F)</f>
        <v>28</v>
      </c>
      <c r="I166" s="241"/>
      <c r="J166" s="244">
        <f>SUMIF('Finished Recipe'!B:B, B166, 'Finished Recipe'!M:M)</f>
        <v>0.74261713191919199</v>
      </c>
      <c r="K166" s="244">
        <f t="shared" si="15"/>
        <v>3.7832449370463257</v>
      </c>
      <c r="L166" s="245">
        <f t="shared" si="20"/>
        <v>0.16408302343357384</v>
      </c>
      <c r="M166" s="245">
        <f t="shared" si="21"/>
        <v>0.83591697656642616</v>
      </c>
      <c r="N166" s="23"/>
    </row>
    <row r="167" spans="1:14" ht="13" hidden="1">
      <c r="A167" s="78" t="s">
        <v>2618</v>
      </c>
      <c r="B167" s="219" t="s">
        <v>1241</v>
      </c>
      <c r="C167" s="240" t="s">
        <v>1854</v>
      </c>
      <c r="D167" s="240" t="s">
        <v>1334</v>
      </c>
      <c r="E167" s="240" t="s">
        <v>1345</v>
      </c>
      <c r="F167" s="284">
        <v>0.16</v>
      </c>
      <c r="G167" s="242">
        <v>9.3534482758620694</v>
      </c>
      <c r="H167" s="243">
        <f ca="1">SUMIF('Sales 6.2026'!B:F,'All Menu'!B167,'Sales 6.2026'!F:F)</f>
        <v>41</v>
      </c>
      <c r="I167" s="241"/>
      <c r="J167" s="244">
        <f>SUMIF('Finished Recipe'!B:B, B167, 'Finished Recipe'!M:M)</f>
        <v>4.7515965374298501</v>
      </c>
      <c r="K167" s="244">
        <f t="shared" si="15"/>
        <v>4.6018517384322193</v>
      </c>
      <c r="L167" s="245">
        <f t="shared" si="20"/>
        <v>0.50800479109849084</v>
      </c>
      <c r="M167" s="245">
        <f t="shared" si="21"/>
        <v>0.49199520890150916</v>
      </c>
      <c r="N167" s="23"/>
    </row>
    <row r="168" spans="1:14" ht="13" hidden="1">
      <c r="A168" s="78" t="s">
        <v>2619</v>
      </c>
      <c r="B168" s="219" t="s">
        <v>1061</v>
      </c>
      <c r="C168" s="240" t="s">
        <v>1854</v>
      </c>
      <c r="D168" s="240" t="s">
        <v>1334</v>
      </c>
      <c r="E168" s="240" t="s">
        <v>797</v>
      </c>
      <c r="F168" s="284">
        <v>0.16</v>
      </c>
      <c r="G168" s="242">
        <v>1.9396551724137931</v>
      </c>
      <c r="H168" s="243">
        <f ca="1">SUMIF('Sales 6.2026'!B:F,'All Menu'!B168,'Sales 6.2026'!F:F)</f>
        <v>40</v>
      </c>
      <c r="I168" s="241"/>
      <c r="J168" s="244">
        <f>SUMIF('Finished Recipe'!B:B, B168, 'Finished Recipe'!M:M)</f>
        <v>0.40657245833333328</v>
      </c>
      <c r="K168" s="244">
        <f t="shared" si="15"/>
        <v>1.5330827140804599</v>
      </c>
      <c r="L168" s="245">
        <f t="shared" si="20"/>
        <v>0.20961068962962959</v>
      </c>
      <c r="M168" s="245">
        <f t="shared" si="21"/>
        <v>0.79038931037037041</v>
      </c>
      <c r="N168" s="23"/>
    </row>
    <row r="169" spans="1:14" ht="13" hidden="1">
      <c r="A169" s="78" t="s">
        <v>2620</v>
      </c>
      <c r="B169" s="219" t="s">
        <v>879</v>
      </c>
      <c r="C169" s="240" t="s">
        <v>1854</v>
      </c>
      <c r="D169" s="240" t="s">
        <v>1334</v>
      </c>
      <c r="E169" s="240" t="s">
        <v>1346</v>
      </c>
      <c r="F169" s="284">
        <v>0.16</v>
      </c>
      <c r="G169" s="242">
        <v>5.1293103448275863</v>
      </c>
      <c r="H169" s="243">
        <f ca="1">SUMIF('Sales 6.2026'!B:F,'All Menu'!B169,'Sales 6.2026'!F:F)</f>
        <v>4</v>
      </c>
      <c r="I169" s="241"/>
      <c r="J169" s="244">
        <f>SUMIF('Finished Recipe'!B:B, B169, 'Finished Recipe'!M:M)</f>
        <v>1.4003961103322768</v>
      </c>
      <c r="K169" s="244">
        <f t="shared" si="15"/>
        <v>3.7289142344953095</v>
      </c>
      <c r="L169" s="245">
        <f t="shared" si="20"/>
        <v>0.27301840134209093</v>
      </c>
      <c r="M169" s="245">
        <f t="shared" si="21"/>
        <v>0.72698159865790901</v>
      </c>
      <c r="N169" s="23"/>
    </row>
    <row r="170" spans="1:14" ht="13" hidden="1">
      <c r="A170" s="78" t="s">
        <v>2621</v>
      </c>
      <c r="B170" s="219" t="s">
        <v>1214</v>
      </c>
      <c r="C170" s="240" t="s">
        <v>1854</v>
      </c>
      <c r="D170" s="240" t="s">
        <v>1334</v>
      </c>
      <c r="E170" s="240" t="s">
        <v>1347</v>
      </c>
      <c r="F170" s="284">
        <v>0.16</v>
      </c>
      <c r="G170" s="242">
        <v>6.0344827586206904</v>
      </c>
      <c r="H170" s="243">
        <f ca="1">SUMIF('Sales 6.2026'!B:F,'All Menu'!B170,'Sales 6.2026'!F:F)</f>
        <v>43</v>
      </c>
      <c r="I170" s="241"/>
      <c r="J170" s="244">
        <f>SUMIF('Finished Recipe'!B:B, B170, 'Finished Recipe'!M:M)</f>
        <v>6.1012255959427097</v>
      </c>
      <c r="K170" s="244">
        <f t="shared" si="15"/>
        <v>-6.6742837322019355E-2</v>
      </c>
      <c r="L170" s="245">
        <f t="shared" si="20"/>
        <v>1.0110602416133632</v>
      </c>
      <c r="M170" s="245">
        <f t="shared" si="21"/>
        <v>-1.1060241613363206E-2</v>
      </c>
      <c r="N170" s="23"/>
    </row>
    <row r="171" spans="1:14" ht="13" hidden="1">
      <c r="A171" s="78" t="s">
        <v>2622</v>
      </c>
      <c r="B171" s="219" t="s">
        <v>1158</v>
      </c>
      <c r="C171" s="240" t="s">
        <v>1854</v>
      </c>
      <c r="D171" s="240" t="s">
        <v>1334</v>
      </c>
      <c r="E171" s="240" t="s">
        <v>1348</v>
      </c>
      <c r="F171" s="284">
        <v>0.16</v>
      </c>
      <c r="G171" s="242">
        <v>18.965517241379313</v>
      </c>
      <c r="H171" s="243">
        <f ca="1">SUMIF('Sales 6.2026'!B:F,'All Menu'!B171,'Sales 6.2026'!F:F)</f>
        <v>0</v>
      </c>
      <c r="I171" s="241"/>
      <c r="J171" s="244">
        <f>SUMIF('Finished Recipe'!B:B, B171, 'Finished Recipe'!M:M)</f>
        <v>11.051661097840464</v>
      </c>
      <c r="K171" s="244">
        <f t="shared" si="15"/>
        <v>7.9138561435388493</v>
      </c>
      <c r="L171" s="245">
        <f t="shared" si="20"/>
        <v>0.58272394879522438</v>
      </c>
      <c r="M171" s="245">
        <f t="shared" si="21"/>
        <v>0.41727605120477562</v>
      </c>
      <c r="N171" s="23"/>
    </row>
    <row r="172" spans="1:14" ht="13" hidden="1">
      <c r="A172" s="78" t="s">
        <v>2623</v>
      </c>
      <c r="B172" s="219" t="s">
        <v>1132</v>
      </c>
      <c r="C172" s="240" t="s">
        <v>1854</v>
      </c>
      <c r="D172" s="240" t="s">
        <v>1334</v>
      </c>
      <c r="E172" s="240" t="s">
        <v>1349</v>
      </c>
      <c r="F172" s="284">
        <v>0.16</v>
      </c>
      <c r="G172" s="242">
        <v>6.4655172413793105</v>
      </c>
      <c r="H172" s="243">
        <f ca="1">SUMIF('Sales 6.2026'!B:F,'All Menu'!B172,'Sales 6.2026'!F:F)</f>
        <v>1</v>
      </c>
      <c r="I172" s="241"/>
      <c r="J172" s="244">
        <f>SUMIF('Finished Recipe'!B:B, B172, 'Finished Recipe'!M:M)</f>
        <v>1.1225369733119268</v>
      </c>
      <c r="K172" s="244">
        <f t="shared" si="15"/>
        <v>5.3429802680673841</v>
      </c>
      <c r="L172" s="245">
        <f t="shared" si="20"/>
        <v>0.17361905187224469</v>
      </c>
      <c r="M172" s="245">
        <f t="shared" si="21"/>
        <v>0.82638094812775542</v>
      </c>
      <c r="N172" s="23"/>
    </row>
    <row r="173" spans="1:14" ht="13" hidden="1">
      <c r="A173" s="78" t="s">
        <v>2624</v>
      </c>
      <c r="B173" s="219" t="s">
        <v>878</v>
      </c>
      <c r="C173" s="240" t="s">
        <v>1854</v>
      </c>
      <c r="D173" s="240" t="s">
        <v>1334</v>
      </c>
      <c r="E173" s="240" t="s">
        <v>1350</v>
      </c>
      <c r="F173" s="284">
        <v>0.16</v>
      </c>
      <c r="G173" s="242">
        <v>9.3534482758620694</v>
      </c>
      <c r="H173" s="243">
        <f ca="1">SUMIF('Sales 6.2026'!B:F,'All Menu'!B173,'Sales 6.2026'!F:F)</f>
        <v>61</v>
      </c>
      <c r="I173" s="241"/>
      <c r="J173" s="244">
        <f>SUMIF('Finished Recipe'!B:B, B173, 'Finished Recipe'!M:M)</f>
        <v>4.7421068886412456</v>
      </c>
      <c r="K173" s="244">
        <f t="shared" ref="K173:K215" si="22">G173-J173</f>
        <v>4.6113413872208238</v>
      </c>
      <c r="L173" s="245">
        <f t="shared" si="20"/>
        <v>0.50699022956901796</v>
      </c>
      <c r="M173" s="245">
        <f t="shared" si="21"/>
        <v>0.49300977043098204</v>
      </c>
      <c r="N173" s="23"/>
    </row>
    <row r="174" spans="1:14" ht="13" hidden="1">
      <c r="A174" s="78" t="s">
        <v>2625</v>
      </c>
      <c r="B174" s="219" t="s">
        <v>1013</v>
      </c>
      <c r="C174" s="240" t="s">
        <v>1854</v>
      </c>
      <c r="D174" s="240" t="s">
        <v>1334</v>
      </c>
      <c r="E174" s="241" t="s">
        <v>1351</v>
      </c>
      <c r="F174" s="284">
        <v>0.16</v>
      </c>
      <c r="G174" s="242">
        <v>4.5258620689655178</v>
      </c>
      <c r="H174" s="243">
        <f ca="1">SUMIF('Sales 6.2026'!B:F,'All Menu'!B174,'Sales 6.2026'!F:F)</f>
        <v>55</v>
      </c>
      <c r="I174" s="241"/>
      <c r="J174" s="244">
        <f>SUMIF('Finished Recipe'!B:B, B174, 'Finished Recipe'!M:M)</f>
        <v>1.7070253255555554</v>
      </c>
      <c r="K174" s="244">
        <f t="shared" si="22"/>
        <v>2.8188367434099622</v>
      </c>
      <c r="L174" s="245">
        <f t="shared" si="20"/>
        <v>0.37717131002751314</v>
      </c>
      <c r="M174" s="245">
        <f t="shared" si="21"/>
        <v>0.62282868997248675</v>
      </c>
      <c r="N174" s="23"/>
    </row>
    <row r="175" spans="1:14" ht="13">
      <c r="A175" s="78" t="s">
        <v>2626</v>
      </c>
      <c r="B175" s="219" t="s">
        <v>997</v>
      </c>
      <c r="C175" s="240" t="s">
        <v>1854</v>
      </c>
      <c r="D175" s="240" t="s">
        <v>1334</v>
      </c>
      <c r="E175" s="240" t="s">
        <v>1352</v>
      </c>
      <c r="F175" s="284">
        <v>0.16</v>
      </c>
      <c r="G175" s="242">
        <v>4.5258620689655178</v>
      </c>
      <c r="H175" s="243">
        <f ca="1">SUMIF('Sales 6.2026'!B:F,'All Menu'!B175,'Sales 6.2026'!F:F)</f>
        <v>33</v>
      </c>
      <c r="I175" s="241"/>
      <c r="J175" s="244">
        <f>SUMIF('Finished Recipe'!B:B, B175, 'Finished Recipe'!M:M)</f>
        <v>2.0869322880320169</v>
      </c>
      <c r="K175" s="244">
        <f t="shared" si="22"/>
        <v>2.4389297809335009</v>
      </c>
      <c r="L175" s="245">
        <f t="shared" si="20"/>
        <v>0.46111265792707418</v>
      </c>
      <c r="M175" s="245">
        <f t="shared" si="21"/>
        <v>0.53888734207292588</v>
      </c>
      <c r="N175" s="23"/>
    </row>
    <row r="176" spans="1:14" ht="13" hidden="1">
      <c r="A176" s="78" t="s">
        <v>2627</v>
      </c>
      <c r="B176" s="219" t="s">
        <v>877</v>
      </c>
      <c r="C176" s="240" t="s">
        <v>1854</v>
      </c>
      <c r="D176" s="240" t="s">
        <v>1334</v>
      </c>
      <c r="E176" s="240" t="s">
        <v>547</v>
      </c>
      <c r="F176" s="284">
        <v>0.16</v>
      </c>
      <c r="G176" s="242">
        <v>4.6120689655172411</v>
      </c>
      <c r="H176" s="243">
        <f ca="1">SUMIF('Sales 6.2026'!B:F,'All Menu'!B176,'Sales 6.2026'!F:F)</f>
        <v>4</v>
      </c>
      <c r="I176" s="241"/>
      <c r="J176" s="244">
        <f>SUMIF('Finished Recipe'!B:B, B176, 'Finished Recipe'!M:M)</f>
        <v>1.5280409233983929</v>
      </c>
      <c r="K176" s="244">
        <f t="shared" si="22"/>
        <v>3.084028042118848</v>
      </c>
      <c r="L176" s="245">
        <f t="shared" si="20"/>
        <v>0.33131354600787588</v>
      </c>
      <c r="M176" s="245">
        <f t="shared" si="21"/>
        <v>0.66868645399212412</v>
      </c>
      <c r="N176" s="23"/>
    </row>
    <row r="177" spans="1:14" ht="13" hidden="1">
      <c r="A177" s="78" t="s">
        <v>2628</v>
      </c>
      <c r="B177" s="219" t="s">
        <v>881</v>
      </c>
      <c r="C177" s="240" t="s">
        <v>1854</v>
      </c>
      <c r="D177" s="240" t="s">
        <v>1334</v>
      </c>
      <c r="E177" s="241" t="s">
        <v>1353</v>
      </c>
      <c r="F177" s="284">
        <v>0.16</v>
      </c>
      <c r="G177" s="242">
        <v>3.2327586206896552</v>
      </c>
      <c r="H177" s="243">
        <f ca="1">SUMIF('Sales 6.2026'!B:F,'All Menu'!B177,'Sales 6.2026'!F:F)</f>
        <v>28</v>
      </c>
      <c r="I177" s="241"/>
      <c r="J177" s="244">
        <f>SUMIF('Finished Recipe'!B:B, B177, 'Finished Recipe'!M:M)</f>
        <v>1.292666686956522</v>
      </c>
      <c r="K177" s="244">
        <f t="shared" si="22"/>
        <v>1.9400919337331333</v>
      </c>
      <c r="L177" s="245">
        <f t="shared" si="20"/>
        <v>0.39986489516521745</v>
      </c>
      <c r="M177" s="245">
        <f t="shared" si="21"/>
        <v>0.6001351048347825</v>
      </c>
      <c r="N177" s="23"/>
    </row>
    <row r="178" spans="1:14" ht="13" hidden="1">
      <c r="A178" s="78" t="s">
        <v>2629</v>
      </c>
      <c r="B178" s="219" t="s">
        <v>880</v>
      </c>
      <c r="C178" s="240" t="s">
        <v>1854</v>
      </c>
      <c r="D178" s="240" t="s">
        <v>1334</v>
      </c>
      <c r="E178" s="240" t="s">
        <v>555</v>
      </c>
      <c r="F178" s="284">
        <v>0.16</v>
      </c>
      <c r="G178" s="242">
        <v>3.2327586206896552</v>
      </c>
      <c r="H178" s="243">
        <f ca="1">SUMIF('Sales 6.2026'!B:F,'All Menu'!B178,'Sales 6.2026'!F:F)</f>
        <v>33</v>
      </c>
      <c r="I178" s="241"/>
      <c r="J178" s="244">
        <f>SUMIF('Finished Recipe'!B:B, B178, 'Finished Recipe'!M:M)</f>
        <v>1.6103971404182633</v>
      </c>
      <c r="K178" s="244">
        <f t="shared" si="22"/>
        <v>1.6223614802713919</v>
      </c>
      <c r="L178" s="245">
        <f t="shared" si="20"/>
        <v>0.49814951543604946</v>
      </c>
      <c r="M178" s="245">
        <f t="shared" si="21"/>
        <v>0.50185048456395054</v>
      </c>
      <c r="N178" s="23"/>
    </row>
    <row r="179" spans="1:14" ht="13" hidden="1">
      <c r="A179" s="78" t="s">
        <v>2630</v>
      </c>
      <c r="B179" s="219" t="s">
        <v>1079</v>
      </c>
      <c r="C179" s="240" t="s">
        <v>1854</v>
      </c>
      <c r="D179" s="240" t="s">
        <v>1334</v>
      </c>
      <c r="E179" s="240" t="s">
        <v>1354</v>
      </c>
      <c r="F179" s="284">
        <v>0.16</v>
      </c>
      <c r="G179" s="242">
        <v>6.0344827586206904</v>
      </c>
      <c r="H179" s="243">
        <f ca="1">SUMIF('Sales 6.2026'!B:F,'All Menu'!B179,'Sales 6.2026'!F:F)</f>
        <v>14.5</v>
      </c>
      <c r="I179" s="241"/>
      <c r="J179" s="244">
        <f>SUMIF('Finished Recipe'!B:B, B179, 'Finished Recipe'!M:M)</f>
        <v>4.0654226055971554</v>
      </c>
      <c r="K179" s="244">
        <f t="shared" si="22"/>
        <v>1.969060153023535</v>
      </c>
      <c r="L179" s="245">
        <f t="shared" si="20"/>
        <v>0.67369860321324282</v>
      </c>
      <c r="M179" s="245">
        <f t="shared" si="21"/>
        <v>0.32630139678675718</v>
      </c>
      <c r="N179" s="23"/>
    </row>
    <row r="180" spans="1:14" ht="13" hidden="1">
      <c r="A180" s="78" t="s">
        <v>2631</v>
      </c>
      <c r="B180" s="219" t="s">
        <v>1126</v>
      </c>
      <c r="C180" s="240" t="s">
        <v>1854</v>
      </c>
      <c r="D180" s="240" t="s">
        <v>1334</v>
      </c>
      <c r="E180" s="240" t="s">
        <v>1355</v>
      </c>
      <c r="F180" s="284">
        <v>0.16</v>
      </c>
      <c r="G180" s="242">
        <v>1.5086206896551726</v>
      </c>
      <c r="H180" s="243">
        <f ca="1">SUMIF('Sales 6.2026'!B:F,'All Menu'!B180,'Sales 6.2026'!F:F)</f>
        <v>6</v>
      </c>
      <c r="I180" s="241"/>
      <c r="J180" s="244">
        <f>SUMIF('Finished Recipe'!B:B, B180, 'Finished Recipe'!M:M)</f>
        <v>0.7713331000000001</v>
      </c>
      <c r="K180" s="244">
        <f t="shared" si="22"/>
        <v>0.73728758965517249</v>
      </c>
      <c r="L180" s="245">
        <f t="shared" si="20"/>
        <v>0.51128365485714289</v>
      </c>
      <c r="M180" s="245">
        <f t="shared" si="21"/>
        <v>0.48871634514285711</v>
      </c>
      <c r="N180" s="23"/>
    </row>
    <row r="181" spans="1:14" ht="13" hidden="1">
      <c r="A181" s="78" t="s">
        <v>2632</v>
      </c>
      <c r="B181" s="219" t="s">
        <v>1128</v>
      </c>
      <c r="C181" s="240" t="s">
        <v>1854</v>
      </c>
      <c r="D181" s="240" t="s">
        <v>1334</v>
      </c>
      <c r="E181" s="240" t="s">
        <v>1356</v>
      </c>
      <c r="F181" s="284">
        <v>0.16</v>
      </c>
      <c r="G181" s="242">
        <v>12.931034482758621</v>
      </c>
      <c r="H181" s="243">
        <f ca="1">SUMIF('Sales 6.2026'!B:F,'All Menu'!B181,'Sales 6.2026'!F:F)</f>
        <v>19</v>
      </c>
      <c r="I181" s="241"/>
      <c r="J181" s="244">
        <f>SUMIF('Finished Recipe'!B:B, B181, 'Finished Recipe'!M:M)</f>
        <v>4.2482629196360158</v>
      </c>
      <c r="K181" s="244">
        <f t="shared" si="22"/>
        <v>8.6827715631226052</v>
      </c>
      <c r="L181" s="245">
        <f t="shared" si="20"/>
        <v>0.32853233245185187</v>
      </c>
      <c r="M181" s="245">
        <f t="shared" si="21"/>
        <v>0.67146766754814813</v>
      </c>
      <c r="N181" s="23"/>
    </row>
    <row r="182" spans="1:14" ht="13" hidden="1">
      <c r="A182" s="78" t="s">
        <v>2633</v>
      </c>
      <c r="B182" s="219" t="s">
        <v>1127</v>
      </c>
      <c r="C182" s="240" t="s">
        <v>1854</v>
      </c>
      <c r="D182" s="240" t="s">
        <v>1334</v>
      </c>
      <c r="E182" s="240" t="s">
        <v>1357</v>
      </c>
      <c r="F182" s="284">
        <v>0.16</v>
      </c>
      <c r="G182" s="242">
        <v>21.551724137931036</v>
      </c>
      <c r="H182" s="243">
        <f ca="1">SUMIF('Sales 6.2026'!B:F,'All Menu'!B182,'Sales 6.2026'!F:F)</f>
        <v>40</v>
      </c>
      <c r="I182" s="241"/>
      <c r="J182" s="244">
        <f>SUMIF('Finished Recipe'!B:B, B182, 'Finished Recipe'!M:M)</f>
        <v>13.566721674174687</v>
      </c>
      <c r="K182" s="244">
        <f t="shared" si="22"/>
        <v>7.9850024637563486</v>
      </c>
      <c r="L182" s="245">
        <f t="shared" si="20"/>
        <v>0.62949588568170545</v>
      </c>
      <c r="M182" s="245">
        <f t="shared" si="21"/>
        <v>0.37050411431829455</v>
      </c>
      <c r="N182" s="23"/>
    </row>
    <row r="183" spans="1:14" ht="13" hidden="1">
      <c r="A183" s="78" t="s">
        <v>2634</v>
      </c>
      <c r="B183" s="219" t="s">
        <v>1192</v>
      </c>
      <c r="C183" s="240" t="s">
        <v>1854</v>
      </c>
      <c r="D183" s="240" t="s">
        <v>1334</v>
      </c>
      <c r="E183" s="240" t="s">
        <v>1358</v>
      </c>
      <c r="F183" s="284">
        <v>0.16</v>
      </c>
      <c r="G183" s="242">
        <v>6.0344827586206904</v>
      </c>
      <c r="H183" s="243">
        <f ca="1">SUMIF('Sales 6.2026'!B:F,'All Menu'!B183,'Sales 6.2026'!F:F)</f>
        <v>3.2000000476836998</v>
      </c>
      <c r="I183" s="241"/>
      <c r="J183" s="244">
        <f>SUMIF('Finished Recipe'!B:B, B183, 'Finished Recipe'!M:M)</f>
        <v>4.2159421050491357</v>
      </c>
      <c r="K183" s="244">
        <f t="shared" si="22"/>
        <v>1.8185406535715547</v>
      </c>
      <c r="L183" s="245">
        <f t="shared" si="20"/>
        <v>0.6986418345509996</v>
      </c>
      <c r="M183" s="245">
        <f t="shared" si="21"/>
        <v>0.30135816544900046</v>
      </c>
      <c r="N183" s="23"/>
    </row>
    <row r="184" spans="1:14" ht="13" hidden="1">
      <c r="A184" s="78" t="s">
        <v>2635</v>
      </c>
      <c r="B184" s="219" t="s">
        <v>1200</v>
      </c>
      <c r="C184" s="240" t="s">
        <v>1854</v>
      </c>
      <c r="D184" s="240" t="s">
        <v>1334</v>
      </c>
      <c r="E184" s="240" t="s">
        <v>1361</v>
      </c>
      <c r="F184" s="284">
        <v>0.16</v>
      </c>
      <c r="G184" s="242">
        <v>6.0344827586206904</v>
      </c>
      <c r="H184" s="243">
        <f ca="1">SUMIF('Sales 6.2026'!B:F,'All Menu'!B184,'Sales 6.2026'!F:F)</f>
        <v>0</v>
      </c>
      <c r="I184" s="241"/>
      <c r="J184" s="244">
        <f>SUMIF('Finished Recipe'!B:B, B184, 'Finished Recipe'!M:M)</f>
        <v>1.3290548048763495</v>
      </c>
      <c r="K184" s="244">
        <f t="shared" si="22"/>
        <v>4.7054279537443406</v>
      </c>
      <c r="L184" s="245">
        <f t="shared" si="20"/>
        <v>0.22024336766522362</v>
      </c>
      <c r="M184" s="245">
        <f t="shared" si="21"/>
        <v>0.77975663233477632</v>
      </c>
      <c r="N184" s="23"/>
    </row>
    <row r="185" spans="1:14" ht="13" hidden="1">
      <c r="A185" s="78" t="s">
        <v>2636</v>
      </c>
      <c r="B185" s="219" t="s">
        <v>1201</v>
      </c>
      <c r="C185" s="240" t="s">
        <v>1854</v>
      </c>
      <c r="D185" s="240" t="s">
        <v>1334</v>
      </c>
      <c r="E185" s="240" t="s">
        <v>1362</v>
      </c>
      <c r="F185" s="284">
        <v>0.16</v>
      </c>
      <c r="G185" s="242">
        <v>7.7586206896551726</v>
      </c>
      <c r="H185" s="243">
        <f ca="1">SUMIF('Sales 6.2026'!B:F,'All Menu'!B185,'Sales 6.2026'!F:F)</f>
        <v>2</v>
      </c>
      <c r="I185" s="241"/>
      <c r="J185" s="244">
        <f>SUMIF('Finished Recipe'!B:B, B185, 'Finished Recipe'!M:M)</f>
        <v>7.049924653346979</v>
      </c>
      <c r="K185" s="244">
        <f t="shared" si="22"/>
        <v>0.70869603630819356</v>
      </c>
      <c r="L185" s="245">
        <f t="shared" si="20"/>
        <v>0.90865695532027724</v>
      </c>
      <c r="M185" s="245">
        <f t="shared" si="21"/>
        <v>9.1343044679722721E-2</v>
      </c>
      <c r="N185" s="23"/>
    </row>
    <row r="186" spans="1:14" ht="13" hidden="1">
      <c r="A186" s="78" t="s">
        <v>2637</v>
      </c>
      <c r="B186" s="219" t="s">
        <v>904</v>
      </c>
      <c r="C186" s="240" t="s">
        <v>1818</v>
      </c>
      <c r="D186" s="240" t="s">
        <v>1599</v>
      </c>
      <c r="E186" s="240" t="s">
        <v>1598</v>
      </c>
      <c r="F186" s="284">
        <v>0.16</v>
      </c>
      <c r="G186" s="242">
        <v>4.6551724137931041</v>
      </c>
      <c r="H186" s="243">
        <f ca="1">SUMIF('Sales 6.2026'!B:F,'All Menu'!B186,'Sales 6.2026'!F:F)</f>
        <v>1</v>
      </c>
      <c r="I186" s="241"/>
      <c r="J186" s="244">
        <f>SUMIF('Finished Recipe'!B:B, B186, 'Finished Recipe'!M:M)</f>
        <v>1.4426836167370332</v>
      </c>
      <c r="K186" s="244">
        <f t="shared" si="22"/>
        <v>3.2124887970560709</v>
      </c>
      <c r="L186" s="245">
        <f t="shared" si="20"/>
        <v>0.30990981396573303</v>
      </c>
      <c r="M186" s="245">
        <f t="shared" si="21"/>
        <v>0.69009018603426697</v>
      </c>
      <c r="N186" s="23"/>
    </row>
    <row r="187" spans="1:14" ht="13" hidden="1">
      <c r="A187" s="78" t="s">
        <v>2638</v>
      </c>
      <c r="B187" s="219" t="s">
        <v>1157</v>
      </c>
      <c r="C187" s="240" t="s">
        <v>1818</v>
      </c>
      <c r="D187" s="240" t="s">
        <v>1599</v>
      </c>
      <c r="E187" s="240" t="s">
        <v>1601</v>
      </c>
      <c r="F187" s="284">
        <v>0.16</v>
      </c>
      <c r="G187" s="242">
        <v>4.0948275862068968</v>
      </c>
      <c r="H187" s="243">
        <f ca="1">SUMIF('Sales 6.2026'!B:F,'All Menu'!B187,'Sales 6.2026'!F:F)</f>
        <v>12</v>
      </c>
      <c r="I187" s="241"/>
      <c r="J187" s="244">
        <f>SUMIF('Finished Recipe'!B:B, B187, 'Finished Recipe'!M:M)</f>
        <v>1.0118494252964787</v>
      </c>
      <c r="K187" s="244">
        <f t="shared" si="22"/>
        <v>3.0829781609104181</v>
      </c>
      <c r="L187" s="245">
        <f t="shared" si="20"/>
        <v>0.24710428070398216</v>
      </c>
      <c r="M187" s="245">
        <f t="shared" si="21"/>
        <v>0.75289571929601784</v>
      </c>
      <c r="N187" s="23"/>
    </row>
    <row r="188" spans="1:14" ht="13" hidden="1">
      <c r="A188" s="78" t="s">
        <v>2639</v>
      </c>
      <c r="B188" s="219" t="s">
        <v>1177</v>
      </c>
      <c r="C188" s="240" t="s">
        <v>1818</v>
      </c>
      <c r="D188" s="240" t="s">
        <v>1599</v>
      </c>
      <c r="E188" s="240" t="s">
        <v>1607</v>
      </c>
      <c r="F188" s="284">
        <v>0.16</v>
      </c>
      <c r="G188" s="242">
        <v>3.0172413793103452</v>
      </c>
      <c r="H188" s="243">
        <f ca="1">SUMIF('Sales 6.2026'!B:F,'All Menu'!B188,'Sales 6.2026'!F:F)</f>
        <v>13</v>
      </c>
      <c r="I188" s="241"/>
      <c r="J188" s="244">
        <f>SUMIF('Finished Recipe'!B:B, B188, 'Finished Recipe'!M:M)</f>
        <v>2.4346055430311861</v>
      </c>
      <c r="K188" s="244">
        <f t="shared" si="22"/>
        <v>0.58263583627915905</v>
      </c>
      <c r="L188" s="245">
        <f t="shared" si="20"/>
        <v>0.80689783711890728</v>
      </c>
      <c r="M188" s="245">
        <f t="shared" si="21"/>
        <v>0.19310216288109269</v>
      </c>
      <c r="N188" s="23"/>
    </row>
    <row r="189" spans="1:14" ht="13" hidden="1">
      <c r="A189" s="78" t="s">
        <v>2640</v>
      </c>
      <c r="B189" s="219" t="s">
        <v>924</v>
      </c>
      <c r="C189" s="240" t="s">
        <v>1818</v>
      </c>
      <c r="D189" s="240" t="s">
        <v>1557</v>
      </c>
      <c r="E189" s="240" t="s">
        <v>1819</v>
      </c>
      <c r="F189" s="284">
        <v>0.16</v>
      </c>
      <c r="G189" s="242">
        <v>3.2327586206896552</v>
      </c>
      <c r="H189" s="243">
        <f ca="1">SUMIF('Sales 6.2026'!B:F,'All Menu'!B189,'Sales 6.2026'!F:F)</f>
        <v>3</v>
      </c>
      <c r="I189" s="241"/>
      <c r="J189" s="244">
        <f>SUMIF('Finished Recipe'!B:B, B189, 'Finished Recipe'!M:M)</f>
        <v>1.0210398275862069</v>
      </c>
      <c r="K189" s="244">
        <f t="shared" si="22"/>
        <v>2.2117187931034481</v>
      </c>
      <c r="L189" s="245">
        <f t="shared" si="20"/>
        <v>0.31584165333333336</v>
      </c>
      <c r="M189" s="245">
        <f t="shared" si="21"/>
        <v>0.68415834666666664</v>
      </c>
      <c r="N189" s="23"/>
    </row>
    <row r="190" spans="1:14" ht="13" hidden="1">
      <c r="A190" s="287" t="s">
        <v>2641</v>
      </c>
      <c r="B190" s="219" t="s">
        <v>903</v>
      </c>
      <c r="C190" s="240" t="s">
        <v>1818</v>
      </c>
      <c r="D190" s="240" t="s">
        <v>1557</v>
      </c>
      <c r="E190" s="240" t="s">
        <v>1556</v>
      </c>
      <c r="F190" s="284">
        <v>0.16</v>
      </c>
      <c r="G190" s="242">
        <v>3.6637931034482762</v>
      </c>
      <c r="H190" s="243">
        <f ca="1">SUMIF('Sales 6.2026'!B:F,'All Menu'!B190,'Sales 6.2026'!F:F)</f>
        <v>34</v>
      </c>
      <c r="I190" s="241"/>
      <c r="J190" s="244">
        <f>SUMIF('Finished Recipe'!B:B, B190, 'Finished Recipe'!M:M)</f>
        <v>1.9895221732843555</v>
      </c>
      <c r="K190" s="244">
        <f t="shared" si="22"/>
        <v>1.6742709301639207</v>
      </c>
      <c r="L190" s="245">
        <f t="shared" si="20"/>
        <v>0.5430225225905535</v>
      </c>
      <c r="M190" s="245">
        <f t="shared" si="21"/>
        <v>0.45697747740944655</v>
      </c>
      <c r="N190" s="23"/>
    </row>
    <row r="191" spans="1:14" ht="13" hidden="1">
      <c r="A191" s="78" t="s">
        <v>2642</v>
      </c>
      <c r="B191" s="219" t="s">
        <v>907</v>
      </c>
      <c r="C191" s="240" t="s">
        <v>1818</v>
      </c>
      <c r="D191" s="240" t="s">
        <v>1557</v>
      </c>
      <c r="E191" s="240" t="s">
        <v>1688</v>
      </c>
      <c r="F191" s="284">
        <v>0.16</v>
      </c>
      <c r="G191" s="242">
        <v>6.4655172413793105</v>
      </c>
      <c r="H191" s="243">
        <f ca="1">SUMIF('Sales 6.2026'!B:F,'All Menu'!B191,'Sales 6.2026'!F:F)</f>
        <v>24</v>
      </c>
      <c r="I191" s="241"/>
      <c r="J191" s="244">
        <f>SUMIF('Finished Recipe'!B:B, B191, 'Finished Recipe'!M:M)</f>
        <v>4.4380170831923502</v>
      </c>
      <c r="K191" s="244">
        <f t="shared" si="22"/>
        <v>2.0275001581869603</v>
      </c>
      <c r="L191" s="245">
        <f t="shared" si="20"/>
        <v>0.68641330886708352</v>
      </c>
      <c r="M191" s="245">
        <f t="shared" si="21"/>
        <v>0.31358669113291654</v>
      </c>
      <c r="N191" s="23"/>
    </row>
    <row r="192" spans="1:14" ht="13" hidden="1">
      <c r="A192" s="78" t="s">
        <v>2643</v>
      </c>
      <c r="B192" s="219" t="s">
        <v>912</v>
      </c>
      <c r="C192" s="240" t="s">
        <v>1818</v>
      </c>
      <c r="D192" s="240" t="s">
        <v>1557</v>
      </c>
      <c r="E192" s="240" t="s">
        <v>1689</v>
      </c>
      <c r="F192" s="284">
        <v>0.16</v>
      </c>
      <c r="G192" s="242">
        <v>12.068965517241381</v>
      </c>
      <c r="H192" s="243">
        <f ca="1">SUMIF('Sales 6.2026'!B:F,'All Menu'!B192,'Sales 6.2026'!F:F)</f>
        <v>21.501000000000001</v>
      </c>
      <c r="I192" s="241"/>
      <c r="J192" s="244">
        <f>SUMIF('Finished Recipe'!B:B, B192, 'Finished Recipe'!M:M)</f>
        <v>8.1605712158282326</v>
      </c>
      <c r="K192" s="244">
        <f t="shared" si="22"/>
        <v>3.9083943014131481</v>
      </c>
      <c r="L192" s="245">
        <f t="shared" si="20"/>
        <v>0.67616161502576777</v>
      </c>
      <c r="M192" s="245">
        <f t="shared" si="21"/>
        <v>0.32383838497423223</v>
      </c>
      <c r="N192" s="23"/>
    </row>
    <row r="193" spans="1:14" ht="13" hidden="1">
      <c r="A193" s="78" t="s">
        <v>2644</v>
      </c>
      <c r="B193" s="219" t="s">
        <v>901</v>
      </c>
      <c r="C193" s="240" t="s">
        <v>1818</v>
      </c>
      <c r="D193" s="240" t="s">
        <v>1557</v>
      </c>
      <c r="E193" s="240" t="s">
        <v>1690</v>
      </c>
      <c r="F193" s="284">
        <v>0.16</v>
      </c>
      <c r="G193" s="242">
        <v>6.5948275862068977</v>
      </c>
      <c r="H193" s="243">
        <f ca="1">SUMIF('Sales 6.2026'!B:F,'All Menu'!B193,'Sales 6.2026'!F:F)</f>
        <v>5.5</v>
      </c>
      <c r="I193" s="241"/>
      <c r="J193" s="244">
        <f>SUMIF('Finished Recipe'!B:B, B193, 'Finished Recipe'!M:M)</f>
        <v>2.9481771609195397</v>
      </c>
      <c r="K193" s="244">
        <f t="shared" si="22"/>
        <v>3.6466504252873579</v>
      </c>
      <c r="L193" s="245">
        <f t="shared" si="20"/>
        <v>0.4470438570806099</v>
      </c>
      <c r="M193" s="245">
        <f t="shared" si="21"/>
        <v>0.5529561429193901</v>
      </c>
      <c r="N193" s="23"/>
    </row>
    <row r="194" spans="1:14" ht="13" hidden="1">
      <c r="A194" s="78" t="s">
        <v>2645</v>
      </c>
      <c r="B194" s="219" t="s">
        <v>908</v>
      </c>
      <c r="C194" s="240" t="s">
        <v>1818</v>
      </c>
      <c r="D194" s="240" t="s">
        <v>1557</v>
      </c>
      <c r="E194" s="240" t="s">
        <v>1776</v>
      </c>
      <c r="F194" s="284">
        <v>0.16</v>
      </c>
      <c r="G194" s="242">
        <v>11.939655172413794</v>
      </c>
      <c r="H194" s="243">
        <f ca="1">SUMIF('Sales 6.2026'!B:F,'All Menu'!B194,'Sales 6.2026'!F:F)</f>
        <v>9</v>
      </c>
      <c r="I194" s="241"/>
      <c r="J194" s="244">
        <f>SUMIF('Finished Recipe'!B:B, B194, 'Finished Recipe'!M:M)</f>
        <v>5.543466643678161</v>
      </c>
      <c r="K194" s="244">
        <f t="shared" si="22"/>
        <v>6.3961885287356326</v>
      </c>
      <c r="L194" s="245">
        <f t="shared" si="20"/>
        <v>0.46429034705174488</v>
      </c>
      <c r="M194" s="245">
        <f t="shared" si="21"/>
        <v>0.53570965294825512</v>
      </c>
      <c r="N194" s="23"/>
    </row>
    <row r="195" spans="1:14" ht="13" hidden="1">
      <c r="A195" s="78" t="s">
        <v>2646</v>
      </c>
      <c r="B195" s="219" t="s">
        <v>913</v>
      </c>
      <c r="C195" s="240" t="s">
        <v>1818</v>
      </c>
      <c r="D195" s="240" t="s">
        <v>1557</v>
      </c>
      <c r="E195" s="240" t="s">
        <v>1736</v>
      </c>
      <c r="F195" s="284">
        <v>0.16</v>
      </c>
      <c r="G195" s="242">
        <v>20.387931034482758</v>
      </c>
      <c r="H195" s="243">
        <f ca="1">SUMIF('Sales 6.2026'!B:F,'All Menu'!B195,'Sales 6.2026'!F:F)</f>
        <v>14</v>
      </c>
      <c r="I195" s="241"/>
      <c r="J195" s="244">
        <f>SUMIF('Finished Recipe'!B:B, B195, 'Finished Recipe'!M:M)</f>
        <v>8.9953980574712649</v>
      </c>
      <c r="K195" s="244">
        <f t="shared" si="22"/>
        <v>11.392532977011493</v>
      </c>
      <c r="L195" s="245">
        <f t="shared" si="20"/>
        <v>0.44121191317829461</v>
      </c>
      <c r="M195" s="245">
        <f t="shared" si="21"/>
        <v>0.55878808682170544</v>
      </c>
      <c r="N195" s="23"/>
    </row>
    <row r="196" spans="1:14" ht="13" hidden="1">
      <c r="A196" s="78" t="s">
        <v>2647</v>
      </c>
      <c r="B196" s="219" t="s">
        <v>1076</v>
      </c>
      <c r="C196" s="240" t="s">
        <v>1818</v>
      </c>
      <c r="D196" s="240" t="s">
        <v>1557</v>
      </c>
      <c r="E196" s="240" t="s">
        <v>1691</v>
      </c>
      <c r="F196" s="284">
        <v>0.16</v>
      </c>
      <c r="G196" s="242">
        <v>3.2327586206896552</v>
      </c>
      <c r="H196" s="243">
        <f ca="1">SUMIF('Sales 6.2026'!B:F,'All Menu'!B196,'Sales 6.2026'!F:F)</f>
        <v>0</v>
      </c>
      <c r="I196" s="241"/>
      <c r="J196" s="244">
        <f>SUMIF('Finished Recipe'!B:B, B196, 'Finished Recipe'!M:M)</f>
        <v>0.82162382758620689</v>
      </c>
      <c r="K196" s="244">
        <f t="shared" si="22"/>
        <v>2.4111347931034484</v>
      </c>
      <c r="L196" s="245">
        <f t="shared" si="20"/>
        <v>0.25415563733333335</v>
      </c>
      <c r="M196" s="245">
        <f t="shared" si="21"/>
        <v>0.74584436266666665</v>
      </c>
      <c r="N196" s="23"/>
    </row>
    <row r="197" spans="1:14" ht="13" hidden="1">
      <c r="A197" s="78" t="s">
        <v>2648</v>
      </c>
      <c r="B197" s="219" t="s">
        <v>909</v>
      </c>
      <c r="C197" s="240" t="s">
        <v>1818</v>
      </c>
      <c r="D197" s="240" t="s">
        <v>1557</v>
      </c>
      <c r="E197" s="240" t="s">
        <v>1820</v>
      </c>
      <c r="F197" s="284">
        <v>0.16</v>
      </c>
      <c r="G197" s="242">
        <v>3.6637931034482762</v>
      </c>
      <c r="H197" s="243">
        <f ca="1">SUMIF('Sales 6.2026'!B:F,'All Menu'!B197,'Sales 6.2026'!F:F)</f>
        <v>3</v>
      </c>
      <c r="I197" s="241"/>
      <c r="J197" s="244">
        <f>SUMIF('Finished Recipe'!B:B, B197, 'Finished Recipe'!M:M)</f>
        <v>2.3623593752052541</v>
      </c>
      <c r="K197" s="244">
        <f t="shared" si="22"/>
        <v>1.3014337282430222</v>
      </c>
      <c r="L197" s="245">
        <f t="shared" si="20"/>
        <v>0.6447851471148458</v>
      </c>
      <c r="M197" s="245">
        <f t="shared" si="21"/>
        <v>0.35521485288515425</v>
      </c>
      <c r="N197" s="23"/>
    </row>
    <row r="198" spans="1:14" ht="13" hidden="1">
      <c r="A198" s="78" t="s">
        <v>2649</v>
      </c>
      <c r="B198" s="219" t="s">
        <v>910</v>
      </c>
      <c r="C198" s="240" t="s">
        <v>1818</v>
      </c>
      <c r="D198" s="240" t="s">
        <v>1557</v>
      </c>
      <c r="E198" s="240" t="s">
        <v>1777</v>
      </c>
      <c r="F198" s="284">
        <v>0.16</v>
      </c>
      <c r="G198" s="242">
        <v>6.4655172413793105</v>
      </c>
      <c r="H198" s="243">
        <f ca="1">SUMIF('Sales 6.2026'!B:F,'All Menu'!B198,'Sales 6.2026'!F:F)</f>
        <v>0</v>
      </c>
      <c r="I198" s="241"/>
      <c r="J198" s="244">
        <f>SUMIF('Finished Recipe'!B:B, B198, 'Finished Recipe'!M:M)</f>
        <v>4.4689716239737267</v>
      </c>
      <c r="K198" s="244">
        <f t="shared" si="22"/>
        <v>1.9965456174055838</v>
      </c>
      <c r="L198" s="245">
        <f t="shared" si="20"/>
        <v>0.69120094450793634</v>
      </c>
      <c r="M198" s="245">
        <f t="shared" si="21"/>
        <v>0.3087990554920636</v>
      </c>
      <c r="N198" s="23"/>
    </row>
    <row r="199" spans="1:14" ht="13" hidden="1">
      <c r="A199" s="78" t="s">
        <v>2650</v>
      </c>
      <c r="B199" s="219" t="s">
        <v>914</v>
      </c>
      <c r="C199" s="240" t="s">
        <v>1818</v>
      </c>
      <c r="D199" s="240" t="s">
        <v>1557</v>
      </c>
      <c r="E199" s="240" t="s">
        <v>1738</v>
      </c>
      <c r="F199" s="284">
        <v>0.16</v>
      </c>
      <c r="G199" s="242">
        <v>12.068965517241381</v>
      </c>
      <c r="H199" s="243">
        <f ca="1">SUMIF('Sales 6.2026'!B:F,'All Menu'!B199,'Sales 6.2026'!F:F)</f>
        <v>1</v>
      </c>
      <c r="I199" s="241"/>
      <c r="J199" s="244">
        <f>SUMIF('Finished Recipe'!B:B, B199, 'Finished Recipe'!M:M)</f>
        <v>7.7437493103448274</v>
      </c>
      <c r="K199" s="244">
        <f t="shared" si="22"/>
        <v>4.3252162068965534</v>
      </c>
      <c r="L199" s="245">
        <f t="shared" si="20"/>
        <v>0.64162494285714278</v>
      </c>
      <c r="M199" s="245">
        <f t="shared" si="21"/>
        <v>0.35837505714285722</v>
      </c>
      <c r="N199" s="23"/>
    </row>
    <row r="200" spans="1:14" ht="13" hidden="1">
      <c r="A200" s="287" t="s">
        <v>2651</v>
      </c>
      <c r="B200" s="219" t="s">
        <v>1096</v>
      </c>
      <c r="C200" s="240" t="s">
        <v>1818</v>
      </c>
      <c r="D200" s="240" t="s">
        <v>1557</v>
      </c>
      <c r="E200" s="240" t="s">
        <v>1558</v>
      </c>
      <c r="F200" s="284">
        <v>0.16</v>
      </c>
      <c r="G200" s="242">
        <v>3.6637931034482762</v>
      </c>
      <c r="H200" s="243">
        <f ca="1">SUMIF('Sales 6.2026'!B:F,'All Menu'!B200,'Sales 6.2026'!F:F)</f>
        <v>7</v>
      </c>
      <c r="I200" s="241"/>
      <c r="J200" s="244">
        <f>SUMIF('Finished Recipe'!B:B, B200, 'Finished Recipe'!M:M)</f>
        <v>1.4299442846743295</v>
      </c>
      <c r="K200" s="244">
        <f t="shared" si="22"/>
        <v>2.2338488187739465</v>
      </c>
      <c r="L200" s="245">
        <f t="shared" si="20"/>
        <v>0.39029067534640521</v>
      </c>
      <c r="M200" s="245">
        <f t="shared" si="21"/>
        <v>0.60970932465359473</v>
      </c>
      <c r="N200" s="23"/>
    </row>
    <row r="201" spans="1:14" ht="13" hidden="1">
      <c r="A201" s="78" t="s">
        <v>2652</v>
      </c>
      <c r="B201" s="219" t="s">
        <v>1097</v>
      </c>
      <c r="C201" s="240" t="s">
        <v>1818</v>
      </c>
      <c r="D201" s="240" t="s">
        <v>1557</v>
      </c>
      <c r="E201" s="240" t="s">
        <v>1693</v>
      </c>
      <c r="F201" s="284">
        <v>0.16</v>
      </c>
      <c r="G201" s="242">
        <v>6.4655172413793105</v>
      </c>
      <c r="H201" s="243">
        <f ca="1">SUMIF('Sales 6.2026'!B:F,'All Menu'!B201,'Sales 6.2026'!F:F)</f>
        <v>4</v>
      </c>
      <c r="I201" s="241"/>
      <c r="J201" s="244">
        <f>SUMIF('Finished Recipe'!B:B, B201, 'Finished Recipe'!M:M)</f>
        <v>3.1618752068656528</v>
      </c>
      <c r="K201" s="244">
        <f t="shared" si="22"/>
        <v>3.3036420345136577</v>
      </c>
      <c r="L201" s="245">
        <f t="shared" si="20"/>
        <v>0.48903669866188765</v>
      </c>
      <c r="M201" s="245">
        <f t="shared" si="21"/>
        <v>0.51096330133811241</v>
      </c>
      <c r="N201" s="23"/>
    </row>
    <row r="202" spans="1:14" ht="13" hidden="1">
      <c r="A202" s="78" t="s">
        <v>2653</v>
      </c>
      <c r="B202" s="219" t="s">
        <v>1098</v>
      </c>
      <c r="C202" s="240" t="s">
        <v>1818</v>
      </c>
      <c r="D202" s="240" t="s">
        <v>1557</v>
      </c>
      <c r="E202" s="240" t="s">
        <v>1778</v>
      </c>
      <c r="F202" s="284">
        <v>0.16</v>
      </c>
      <c r="G202" s="242">
        <v>12.068965517241381</v>
      </c>
      <c r="H202" s="243">
        <f ca="1">SUMIF('Sales 6.2026'!B:F,'All Menu'!B202,'Sales 6.2026'!F:F)</f>
        <v>6.25</v>
      </c>
      <c r="I202" s="241"/>
      <c r="J202" s="244">
        <f>SUMIF('Finished Recipe'!B:B, B202, 'Finished Recipe'!M:M)</f>
        <v>6.0648999013100973</v>
      </c>
      <c r="K202" s="244">
        <f t="shared" si="22"/>
        <v>6.0040656159312835</v>
      </c>
      <c r="L202" s="245">
        <f t="shared" si="20"/>
        <v>0.50252027753712225</v>
      </c>
      <c r="M202" s="245">
        <f t="shared" si="21"/>
        <v>0.49747972246287769</v>
      </c>
      <c r="N202" s="23"/>
    </row>
    <row r="203" spans="1:14" ht="13" hidden="1">
      <c r="A203" s="78" t="s">
        <v>2654</v>
      </c>
      <c r="B203" s="219" t="s">
        <v>1073</v>
      </c>
      <c r="C203" s="240" t="s">
        <v>1818</v>
      </c>
      <c r="D203" s="240" t="s">
        <v>1557</v>
      </c>
      <c r="E203" s="240" t="s">
        <v>1559</v>
      </c>
      <c r="F203" s="284">
        <v>0.16</v>
      </c>
      <c r="G203" s="242">
        <v>3.6637931034482762</v>
      </c>
      <c r="H203" s="243">
        <f ca="1">SUMIF('Sales 6.2026'!B:F,'All Menu'!B203,'Sales 6.2026'!F:F)</f>
        <v>16</v>
      </c>
      <c r="I203" s="241"/>
      <c r="J203" s="244">
        <f>SUMIF('Finished Recipe'!B:B, B203, 'Finished Recipe'!M:M)</f>
        <v>2.1980220273946363</v>
      </c>
      <c r="K203" s="244">
        <f t="shared" si="22"/>
        <v>1.46577107605364</v>
      </c>
      <c r="L203" s="245">
        <f t="shared" ref="L203:L257" si="23">J203/G203</f>
        <v>0.59993071806535947</v>
      </c>
      <c r="M203" s="245">
        <f t="shared" ref="M203:M257" si="24">K203/G203</f>
        <v>0.40006928193464053</v>
      </c>
      <c r="N203" s="23"/>
    </row>
    <row r="204" spans="1:14" ht="13" hidden="1">
      <c r="A204" s="78" t="s">
        <v>2655</v>
      </c>
      <c r="B204" s="219" t="s">
        <v>1105</v>
      </c>
      <c r="C204" s="240" t="s">
        <v>1818</v>
      </c>
      <c r="D204" s="240" t="s">
        <v>1557</v>
      </c>
      <c r="E204" s="240" t="s">
        <v>1694</v>
      </c>
      <c r="F204" s="284">
        <v>0.16</v>
      </c>
      <c r="G204" s="242">
        <v>6.4655172413793105</v>
      </c>
      <c r="H204" s="243">
        <f ca="1">SUMIF('Sales 6.2026'!B:F,'All Menu'!B204,'Sales 6.2026'!F:F)</f>
        <v>7</v>
      </c>
      <c r="I204" s="241"/>
      <c r="J204" s="244">
        <f>SUMIF('Finished Recipe'!B:B, B204, 'Finished Recipe'!M:M)</f>
        <v>3.7983309847126434</v>
      </c>
      <c r="K204" s="244">
        <f t="shared" si="22"/>
        <v>2.6671862566666671</v>
      </c>
      <c r="L204" s="245">
        <f t="shared" si="23"/>
        <v>0.58747519230222212</v>
      </c>
      <c r="M204" s="245">
        <f t="shared" si="24"/>
        <v>0.41252480769777783</v>
      </c>
      <c r="N204" s="23"/>
    </row>
    <row r="205" spans="1:14" ht="13" hidden="1">
      <c r="A205" s="287" t="s">
        <v>2656</v>
      </c>
      <c r="B205" s="219" t="s">
        <v>905</v>
      </c>
      <c r="C205" s="240" t="s">
        <v>1818</v>
      </c>
      <c r="D205" s="240" t="s">
        <v>1557</v>
      </c>
      <c r="E205" s="240" t="s">
        <v>1696</v>
      </c>
      <c r="F205" s="284">
        <v>0.16</v>
      </c>
      <c r="G205" s="242">
        <v>3.6637931034482762</v>
      </c>
      <c r="H205" s="243">
        <f ca="1">SUMIF('Sales 6.2026'!B:F,'All Menu'!B205,'Sales 6.2026'!F:F)</f>
        <v>17</v>
      </c>
      <c r="I205" s="241"/>
      <c r="J205" s="244">
        <f>SUMIF('Finished Recipe'!B:B, B205, 'Finished Recipe'!M:M)</f>
        <v>1.9931471029819887</v>
      </c>
      <c r="K205" s="244">
        <f t="shared" si="22"/>
        <v>1.6706460004662875</v>
      </c>
      <c r="L205" s="245">
        <f t="shared" si="23"/>
        <v>0.54401191516684866</v>
      </c>
      <c r="M205" s="245">
        <f t="shared" si="24"/>
        <v>0.4559880848331514</v>
      </c>
      <c r="N205" s="23"/>
    </row>
    <row r="206" spans="1:14" ht="13" hidden="1">
      <c r="A206" s="78" t="s">
        <v>2657</v>
      </c>
      <c r="B206" s="219" t="s">
        <v>906</v>
      </c>
      <c r="C206" s="240" t="s">
        <v>1818</v>
      </c>
      <c r="D206" s="240" t="s">
        <v>1557</v>
      </c>
      <c r="E206" s="240" t="s">
        <v>1697</v>
      </c>
      <c r="F206" s="284">
        <v>0.16</v>
      </c>
      <c r="G206" s="242">
        <v>6.4655172413793105</v>
      </c>
      <c r="H206" s="243">
        <f ca="1">SUMIF('Sales 6.2026'!B:F,'All Menu'!B206,'Sales 6.2026'!F:F)</f>
        <v>13</v>
      </c>
      <c r="I206" s="241"/>
      <c r="J206" s="244">
        <f>SUMIF('Finished Recipe'!B:B, B206, 'Finished Recipe'!M:M)</f>
        <v>4.3129671556078018</v>
      </c>
      <c r="K206" s="244">
        <f t="shared" si="22"/>
        <v>2.1525500857715087</v>
      </c>
      <c r="L206" s="245">
        <f t="shared" si="23"/>
        <v>0.66707225340067333</v>
      </c>
      <c r="M206" s="245">
        <f t="shared" si="24"/>
        <v>0.33292774659932667</v>
      </c>
      <c r="N206" s="23"/>
    </row>
    <row r="207" spans="1:14" ht="13" hidden="1">
      <c r="A207" s="78" t="s">
        <v>2658</v>
      </c>
      <c r="B207" s="219" t="s">
        <v>911</v>
      </c>
      <c r="C207" s="240" t="s">
        <v>1818</v>
      </c>
      <c r="D207" s="240" t="s">
        <v>1557</v>
      </c>
      <c r="E207" s="240" t="s">
        <v>1698</v>
      </c>
      <c r="F207" s="284">
        <v>0.16</v>
      </c>
      <c r="G207" s="242">
        <v>12.068965517241381</v>
      </c>
      <c r="H207" s="243">
        <f ca="1">SUMIF('Sales 6.2026'!B:F,'All Menu'!B207,'Sales 6.2026'!F:F)</f>
        <v>17.5</v>
      </c>
      <c r="I207" s="241"/>
      <c r="J207" s="244">
        <f>SUMIF('Finished Recipe'!B:B, B207, 'Finished Recipe'!M:M)</f>
        <v>8.1545283342041106</v>
      </c>
      <c r="K207" s="244">
        <f t="shared" si="22"/>
        <v>3.9144371830372702</v>
      </c>
      <c r="L207" s="245">
        <f t="shared" si="23"/>
        <v>0.67566091911976911</v>
      </c>
      <c r="M207" s="245">
        <f t="shared" si="24"/>
        <v>0.32433908088023089</v>
      </c>
      <c r="N207" s="23"/>
    </row>
    <row r="208" spans="1:14" ht="13" hidden="1">
      <c r="A208" s="78" t="s">
        <v>2659</v>
      </c>
      <c r="B208" s="219" t="s">
        <v>1084</v>
      </c>
      <c r="C208" s="240" t="s">
        <v>1818</v>
      </c>
      <c r="D208" s="240" t="s">
        <v>1557</v>
      </c>
      <c r="E208" s="240" t="s">
        <v>1560</v>
      </c>
      <c r="F208" s="284">
        <v>0.16</v>
      </c>
      <c r="G208" s="242">
        <v>3.4482758620689657</v>
      </c>
      <c r="H208" s="243">
        <f ca="1">SUMIF('Sales 6.2026'!B:F,'All Menu'!B208,'Sales 6.2026'!F:F)</f>
        <v>3</v>
      </c>
      <c r="I208" s="241"/>
      <c r="J208" s="244">
        <f>SUMIF('Finished Recipe'!B:B, B208, 'Finished Recipe'!M:M)</f>
        <v>2.1886243384709161</v>
      </c>
      <c r="K208" s="244">
        <f t="shared" si="22"/>
        <v>1.2596515235980497</v>
      </c>
      <c r="L208" s="245">
        <f t="shared" si="23"/>
        <v>0.63470105815656563</v>
      </c>
      <c r="M208" s="245">
        <f t="shared" si="24"/>
        <v>0.36529894184343437</v>
      </c>
      <c r="N208" s="23"/>
    </row>
    <row r="209" spans="1:14" ht="13" hidden="1">
      <c r="A209" s="78" t="s">
        <v>2660</v>
      </c>
      <c r="B209" s="219" t="s">
        <v>1085</v>
      </c>
      <c r="C209" s="240" t="s">
        <v>1818</v>
      </c>
      <c r="D209" s="240" t="s">
        <v>1557</v>
      </c>
      <c r="E209" s="240" t="s">
        <v>1699</v>
      </c>
      <c r="F209" s="284">
        <v>0.16</v>
      </c>
      <c r="G209" s="242">
        <v>5.1724137931034484</v>
      </c>
      <c r="H209" s="243">
        <f ca="1">SUMIF('Sales 6.2026'!B:F,'All Menu'!B209,'Sales 6.2026'!F:F)</f>
        <v>6</v>
      </c>
      <c r="I209" s="241"/>
      <c r="J209" s="244">
        <f>SUMIF('Finished Recipe'!B:B, B209, 'Finished Recipe'!M:M)</f>
        <v>4.0705318895855109</v>
      </c>
      <c r="K209" s="244">
        <f t="shared" si="22"/>
        <v>1.1018819035179375</v>
      </c>
      <c r="L209" s="245">
        <f t="shared" si="23"/>
        <v>0.78696949865319876</v>
      </c>
      <c r="M209" s="245">
        <f t="shared" si="24"/>
        <v>0.21303050134680124</v>
      </c>
      <c r="N209" s="23"/>
    </row>
    <row r="210" spans="1:14" ht="13" hidden="1">
      <c r="A210" s="78" t="s">
        <v>2661</v>
      </c>
      <c r="B210" s="219" t="s">
        <v>917</v>
      </c>
      <c r="C210" s="240" t="s">
        <v>1818</v>
      </c>
      <c r="D210" s="240" t="s">
        <v>1557</v>
      </c>
      <c r="E210" s="240" t="s">
        <v>1561</v>
      </c>
      <c r="F210" s="284">
        <v>0.16</v>
      </c>
      <c r="G210" s="242">
        <v>3.6637931034482762</v>
      </c>
      <c r="H210" s="243">
        <f ca="1">SUMIF('Sales 6.2026'!B:F,'All Menu'!B210,'Sales 6.2026'!F:F)</f>
        <v>5</v>
      </c>
      <c r="I210" s="241"/>
      <c r="J210" s="244">
        <f>SUMIF('Finished Recipe'!B:B, B210, 'Finished Recipe'!M:M)</f>
        <v>1.8046906845569151</v>
      </c>
      <c r="K210" s="244">
        <f t="shared" si="22"/>
        <v>1.8591024188913612</v>
      </c>
      <c r="L210" s="245">
        <f t="shared" si="23"/>
        <v>0.49257439860847557</v>
      </c>
      <c r="M210" s="245">
        <f t="shared" si="24"/>
        <v>0.50742560139152437</v>
      </c>
      <c r="N210" s="23"/>
    </row>
    <row r="211" spans="1:14" ht="13" hidden="1">
      <c r="A211" s="78" t="s">
        <v>2662</v>
      </c>
      <c r="B211" s="219" t="s">
        <v>918</v>
      </c>
      <c r="C211" s="240" t="s">
        <v>1818</v>
      </c>
      <c r="D211" s="240" t="s">
        <v>1557</v>
      </c>
      <c r="E211" s="240" t="s">
        <v>1700</v>
      </c>
      <c r="F211" s="284">
        <v>0.16</v>
      </c>
      <c r="G211" s="242">
        <v>3.4482758620689657</v>
      </c>
      <c r="H211" s="243">
        <f ca="1">SUMIF('Sales 6.2026'!B:F,'All Menu'!B211,'Sales 6.2026'!F:F)</f>
        <v>1</v>
      </c>
      <c r="I211" s="241"/>
      <c r="J211" s="244">
        <f>SUMIF('Finished Recipe'!B:B, B211, 'Finished Recipe'!M:M)</f>
        <v>0.71389816091954028</v>
      </c>
      <c r="K211" s="244">
        <f t="shared" si="22"/>
        <v>2.7343777011494255</v>
      </c>
      <c r="L211" s="245">
        <f t="shared" si="23"/>
        <v>0.20703046666666666</v>
      </c>
      <c r="M211" s="245">
        <f t="shared" si="24"/>
        <v>0.79296953333333331</v>
      </c>
      <c r="N211" s="23"/>
    </row>
    <row r="212" spans="1:14" ht="13" hidden="1">
      <c r="A212" s="78" t="s">
        <v>2663</v>
      </c>
      <c r="B212" s="219" t="s">
        <v>922</v>
      </c>
      <c r="C212" s="240" t="s">
        <v>1818</v>
      </c>
      <c r="D212" s="240" t="s">
        <v>1557</v>
      </c>
      <c r="E212" s="240" t="s">
        <v>1779</v>
      </c>
      <c r="F212" s="284">
        <v>0.16</v>
      </c>
      <c r="G212" s="242">
        <v>8.6206896551724146</v>
      </c>
      <c r="H212" s="243">
        <f ca="1">SUMIF('Sales 6.2026'!B:F,'All Menu'!B212,'Sales 6.2026'!F:F)</f>
        <v>1</v>
      </c>
      <c r="I212" s="241"/>
      <c r="J212" s="244">
        <f>SUMIF('Finished Recipe'!B:B, B212, 'Finished Recipe'!M:M)</f>
        <v>2.6211459770114947</v>
      </c>
      <c r="K212" s="244">
        <f t="shared" si="22"/>
        <v>5.9995436781609204</v>
      </c>
      <c r="L212" s="245">
        <f t="shared" si="23"/>
        <v>0.30405293333333333</v>
      </c>
      <c r="M212" s="245">
        <f t="shared" si="24"/>
        <v>0.69594706666666672</v>
      </c>
      <c r="N212" s="23"/>
    </row>
    <row r="213" spans="1:14" ht="13" hidden="1">
      <c r="A213" s="78" t="s">
        <v>2664</v>
      </c>
      <c r="B213" s="219" t="s">
        <v>902</v>
      </c>
      <c r="C213" s="240" t="s">
        <v>1818</v>
      </c>
      <c r="D213" s="240" t="s">
        <v>1557</v>
      </c>
      <c r="E213" s="240" t="s">
        <v>1563</v>
      </c>
      <c r="F213" s="284">
        <v>0.16</v>
      </c>
      <c r="G213" s="242">
        <v>3.6637931034482762</v>
      </c>
      <c r="H213" s="243">
        <f ca="1">SUMIF('Sales 6.2026'!B:F,'All Menu'!B213,'Sales 6.2026'!F:F)</f>
        <v>6</v>
      </c>
      <c r="I213" s="241"/>
      <c r="J213" s="244">
        <f>SUMIF('Finished Recipe'!B:B, B213, 'Finished Recipe'!M:M)</f>
        <v>2.4239830634099619</v>
      </c>
      <c r="K213" s="244">
        <f t="shared" si="22"/>
        <v>1.2398100400383143</v>
      </c>
      <c r="L213" s="245">
        <f t="shared" si="23"/>
        <v>0.66160478907189546</v>
      </c>
      <c r="M213" s="245">
        <f t="shared" si="24"/>
        <v>0.3383952109281046</v>
      </c>
      <c r="N213" s="23"/>
    </row>
    <row r="214" spans="1:14" ht="13" hidden="1">
      <c r="A214" s="78" t="s">
        <v>2665</v>
      </c>
      <c r="B214" s="219" t="s">
        <v>1701</v>
      </c>
      <c r="C214" s="240" t="s">
        <v>1818</v>
      </c>
      <c r="D214" s="240" t="s">
        <v>1687</v>
      </c>
      <c r="E214" s="240" t="s">
        <v>1702</v>
      </c>
      <c r="F214" s="284">
        <v>0.16</v>
      </c>
      <c r="G214" s="242">
        <v>12.068965517241381</v>
      </c>
      <c r="H214" s="243">
        <f ca="1">SUMIF('Sales 6.2026'!B:F,'All Menu'!B214,'Sales 6.2026'!F:F)</f>
        <v>1</v>
      </c>
      <c r="I214" s="241"/>
      <c r="J214" s="244">
        <f>SUMIF('Finished Recipe'!B:B, B214, 'Finished Recipe'!M:M)</f>
        <v>5.3013301149425276</v>
      </c>
      <c r="K214" s="244">
        <f t="shared" si="22"/>
        <v>6.7676354022988532</v>
      </c>
      <c r="L214" s="245">
        <f t="shared" si="23"/>
        <v>0.43925306666666653</v>
      </c>
      <c r="M214" s="245">
        <f t="shared" si="24"/>
        <v>0.56074693333333347</v>
      </c>
      <c r="N214" s="23" t="s">
        <v>1941</v>
      </c>
    </row>
    <row r="215" spans="1:14" ht="13" hidden="1">
      <c r="A215" s="78" t="s">
        <v>2666</v>
      </c>
      <c r="B215" s="219" t="s">
        <v>923</v>
      </c>
      <c r="C215" s="240" t="s">
        <v>1818</v>
      </c>
      <c r="D215" s="240" t="s">
        <v>1557</v>
      </c>
      <c r="E215" s="241" t="s">
        <v>1552</v>
      </c>
      <c r="F215" s="284">
        <v>0.16</v>
      </c>
      <c r="G215" s="242">
        <v>4.3103448275862073</v>
      </c>
      <c r="H215" s="243">
        <f ca="1">SUMIF('Sales 6.2026'!B:F,'All Menu'!B215,'Sales 6.2026'!F:F)</f>
        <v>3</v>
      </c>
      <c r="I215" s="241"/>
      <c r="J215" s="244">
        <f>SUMIF('Finished Recipe'!B:B, B215, 'Finished Recipe'!M:M)</f>
        <v>3.2003989804597706</v>
      </c>
      <c r="K215" s="244">
        <f t="shared" si="22"/>
        <v>1.1099458471264367</v>
      </c>
      <c r="L215" s="245">
        <f t="shared" si="23"/>
        <v>0.7424925634666667</v>
      </c>
      <c r="M215" s="245">
        <f t="shared" si="24"/>
        <v>0.2575074365333333</v>
      </c>
      <c r="N215" s="23"/>
    </row>
    <row r="216" spans="1:14" ht="13" hidden="1">
      <c r="A216" s="78" t="s">
        <v>2667</v>
      </c>
      <c r="B216" s="219" t="s">
        <v>1301</v>
      </c>
      <c r="C216" s="240" t="s">
        <v>1818</v>
      </c>
      <c r="D216" s="240" t="s">
        <v>1557</v>
      </c>
      <c r="E216" s="240" t="s">
        <v>1784</v>
      </c>
      <c r="F216" s="284">
        <v>0.16</v>
      </c>
      <c r="G216" s="242">
        <v>12.068965517241381</v>
      </c>
      <c r="H216" s="243">
        <f ca="1">SUMIF('Sales 6.2026'!B:F,'All Menu'!B216,'Sales 6.2026'!F:F)</f>
        <v>6.5</v>
      </c>
      <c r="I216" s="241"/>
      <c r="J216" s="244">
        <f>SUMIF('Finished Recipe'!B:B, B216, 'Finished Recipe'!M:M)</f>
        <v>7.1477666666666666</v>
      </c>
      <c r="K216" s="244">
        <f t="shared" ref="K216:K275" si="25">G216-J216</f>
        <v>4.9211988505747142</v>
      </c>
      <c r="L216" s="245">
        <f t="shared" si="23"/>
        <v>0.59224352380952372</v>
      </c>
      <c r="M216" s="245">
        <f t="shared" si="24"/>
        <v>0.40775647619047628</v>
      </c>
      <c r="N216" s="23"/>
    </row>
    <row r="217" spans="1:14" ht="13" hidden="1">
      <c r="A217" s="78" t="s">
        <v>2668</v>
      </c>
      <c r="B217" s="219" t="s">
        <v>1302</v>
      </c>
      <c r="C217" s="240" t="s">
        <v>1818</v>
      </c>
      <c r="D217" s="240" t="s">
        <v>1557</v>
      </c>
      <c r="E217" s="240" t="s">
        <v>1824</v>
      </c>
      <c r="F217" s="284">
        <v>0.16</v>
      </c>
      <c r="G217" s="242">
        <v>12.068965517241381</v>
      </c>
      <c r="H217" s="243">
        <f ca="1">SUMIF('Sales 6.2026'!B:F,'All Menu'!B217,'Sales 6.2026'!F:F)</f>
        <v>6</v>
      </c>
      <c r="I217" s="241"/>
      <c r="J217" s="244">
        <f>SUMIF('Finished Recipe'!B:B, B217, 'Finished Recipe'!M:M)</f>
        <v>6.5347266666666659</v>
      </c>
      <c r="K217" s="244">
        <f t="shared" si="25"/>
        <v>5.5342388505747149</v>
      </c>
      <c r="L217" s="245">
        <f t="shared" si="23"/>
        <v>0.5414487809523808</v>
      </c>
      <c r="M217" s="245">
        <f t="shared" si="24"/>
        <v>0.4585512190476192</v>
      </c>
      <c r="N217" s="23"/>
    </row>
    <row r="218" spans="1:14" ht="13" hidden="1">
      <c r="A218" s="78" t="s">
        <v>2669</v>
      </c>
      <c r="B218" s="219" t="s">
        <v>926</v>
      </c>
      <c r="C218" s="240" t="s">
        <v>1815</v>
      </c>
      <c r="D218" s="240" t="s">
        <v>1565</v>
      </c>
      <c r="E218" s="241" t="s">
        <v>1564</v>
      </c>
      <c r="F218" s="284">
        <v>0.16</v>
      </c>
      <c r="G218" s="242">
        <v>1.0775862068965518</v>
      </c>
      <c r="H218" s="243">
        <f ca="1">SUMIF('Sales 6.2026'!B:F,'All Menu'!B218,'Sales 6.2026'!F:F)</f>
        <v>3</v>
      </c>
      <c r="I218" s="241"/>
      <c r="J218" s="244">
        <f>SUMIF('Finished Recipe'!B:B, B218, 'Finished Recipe'!M:M)</f>
        <v>0.40548473361010201</v>
      </c>
      <c r="K218" s="244">
        <f t="shared" si="25"/>
        <v>0.67210147328644987</v>
      </c>
      <c r="L218" s="245">
        <f t="shared" si="23"/>
        <v>0.37628983279017464</v>
      </c>
      <c r="M218" s="245">
        <f t="shared" si="24"/>
        <v>0.62371016720982542</v>
      </c>
      <c r="N218" s="23"/>
    </row>
    <row r="219" spans="1:14" ht="13" hidden="1">
      <c r="A219" s="78" t="s">
        <v>2670</v>
      </c>
      <c r="B219" s="219" t="s">
        <v>933</v>
      </c>
      <c r="C219" s="240" t="s">
        <v>1815</v>
      </c>
      <c r="D219" s="240" t="s">
        <v>1565</v>
      </c>
      <c r="E219" s="240" t="s">
        <v>1566</v>
      </c>
      <c r="F219" s="284">
        <v>0.16</v>
      </c>
      <c r="G219" s="242">
        <v>1.0775862068965518</v>
      </c>
      <c r="H219" s="243">
        <f ca="1">SUMIF('Sales 6.2026'!B:F,'All Menu'!B219,'Sales 6.2026'!F:F)</f>
        <v>106</v>
      </c>
      <c r="I219" s="241"/>
      <c r="J219" s="244">
        <f>SUMIF('Finished Recipe'!B:B, B219, 'Finished Recipe'!M:M)</f>
        <v>0.41229306694343532</v>
      </c>
      <c r="K219" s="244">
        <f t="shared" si="25"/>
        <v>0.66529313995311656</v>
      </c>
      <c r="L219" s="245">
        <f t="shared" si="23"/>
        <v>0.38260796612350795</v>
      </c>
      <c r="M219" s="245">
        <f t="shared" si="24"/>
        <v>0.61739203387649211</v>
      </c>
      <c r="N219" s="23"/>
    </row>
    <row r="220" spans="1:14" ht="13" hidden="1">
      <c r="A220" s="78" t="s">
        <v>2671</v>
      </c>
      <c r="B220" s="219" t="s">
        <v>929</v>
      </c>
      <c r="C220" s="240" t="s">
        <v>1815</v>
      </c>
      <c r="D220" s="240" t="s">
        <v>1565</v>
      </c>
      <c r="E220" s="240" t="s">
        <v>1567</v>
      </c>
      <c r="F220" s="284">
        <v>0.16</v>
      </c>
      <c r="G220" s="242">
        <v>0.60344827586206895</v>
      </c>
      <c r="H220" s="243">
        <f ca="1">SUMIF('Sales 6.2026'!B:F,'All Menu'!B220,'Sales 6.2026'!F:F)</f>
        <v>35</v>
      </c>
      <c r="I220" s="241"/>
      <c r="J220" s="244">
        <f>SUMIF('Finished Recipe'!B:B, B220, 'Finished Recipe'!M:M)</f>
        <v>0.22324543361010207</v>
      </c>
      <c r="K220" s="244">
        <f t="shared" si="25"/>
        <v>0.38020284225196688</v>
      </c>
      <c r="L220" s="245">
        <f t="shared" si="23"/>
        <v>0.36994957569674058</v>
      </c>
      <c r="M220" s="245">
        <f t="shared" si="24"/>
        <v>0.63005042430325942</v>
      </c>
      <c r="N220" s="23"/>
    </row>
    <row r="221" spans="1:14" ht="13" hidden="1">
      <c r="A221" s="78" t="s">
        <v>2672</v>
      </c>
      <c r="B221" s="219" t="s">
        <v>930</v>
      </c>
      <c r="C221" s="240" t="s">
        <v>1815</v>
      </c>
      <c r="D221" s="240" t="s">
        <v>1565</v>
      </c>
      <c r="E221" s="240" t="s">
        <v>1568</v>
      </c>
      <c r="F221" s="284">
        <v>0.16</v>
      </c>
      <c r="G221" s="242">
        <v>1.0775862068965518</v>
      </c>
      <c r="H221" s="243">
        <f ca="1">SUMIF('Sales 6.2026'!B:F,'All Menu'!B221,'Sales 6.2026'!F:F)</f>
        <v>61</v>
      </c>
      <c r="I221" s="241"/>
      <c r="J221" s="244">
        <f>SUMIF('Finished Recipe'!B:B, B221, 'Finished Recipe'!M:M)</f>
        <v>0.39583829194343534</v>
      </c>
      <c r="K221" s="244">
        <f t="shared" si="25"/>
        <v>0.68174791495311649</v>
      </c>
      <c r="L221" s="245">
        <f t="shared" si="23"/>
        <v>0.36733793492350797</v>
      </c>
      <c r="M221" s="245">
        <f t="shared" si="24"/>
        <v>0.63266206507649203</v>
      </c>
      <c r="N221" s="23"/>
    </row>
    <row r="222" spans="1:14" ht="13" hidden="1">
      <c r="A222" s="78" t="s">
        <v>2673</v>
      </c>
      <c r="B222" s="219" t="s">
        <v>931</v>
      </c>
      <c r="C222" s="240" t="s">
        <v>1815</v>
      </c>
      <c r="D222" s="240" t="s">
        <v>1565</v>
      </c>
      <c r="E222" s="240" t="s">
        <v>1569</v>
      </c>
      <c r="F222" s="284">
        <v>0.16</v>
      </c>
      <c r="G222" s="242">
        <v>1.0775862068965518</v>
      </c>
      <c r="H222" s="243">
        <f ca="1">SUMIF('Sales 6.2026'!B:F,'All Menu'!B222,'Sales 6.2026'!F:F)</f>
        <v>23</v>
      </c>
      <c r="I222" s="241"/>
      <c r="J222" s="244">
        <f>SUMIF('Finished Recipe'!B:B, B222, 'Finished Recipe'!M:M)</f>
        <v>0.407476733610102</v>
      </c>
      <c r="K222" s="244">
        <f t="shared" si="25"/>
        <v>0.67010947328644987</v>
      </c>
      <c r="L222" s="245">
        <f t="shared" si="23"/>
        <v>0.37813840879017463</v>
      </c>
      <c r="M222" s="245">
        <f t="shared" si="24"/>
        <v>0.62186159120982543</v>
      </c>
      <c r="N222" s="23"/>
    </row>
    <row r="223" spans="1:14" ht="13" hidden="1">
      <c r="A223" s="78" t="s">
        <v>2674</v>
      </c>
      <c r="B223" s="219" t="s">
        <v>935</v>
      </c>
      <c r="C223" s="240" t="s">
        <v>1815</v>
      </c>
      <c r="D223" s="240" t="s">
        <v>1565</v>
      </c>
      <c r="E223" s="241" t="s">
        <v>1570</v>
      </c>
      <c r="F223" s="284">
        <v>0.16</v>
      </c>
      <c r="G223" s="242">
        <v>1.0775862068965518</v>
      </c>
      <c r="H223" s="243">
        <f ca="1">SUMIF('Sales 6.2026'!B:F,'All Menu'!B223,'Sales 6.2026'!F:F)</f>
        <v>23</v>
      </c>
      <c r="I223" s="241"/>
      <c r="J223" s="244">
        <f>SUMIF('Finished Recipe'!B:B, B223, 'Finished Recipe'!M:M)</f>
        <v>0.43973973361010199</v>
      </c>
      <c r="K223" s="244">
        <f t="shared" si="25"/>
        <v>0.63784647328644983</v>
      </c>
      <c r="L223" s="245">
        <f t="shared" si="23"/>
        <v>0.40807847279017462</v>
      </c>
      <c r="M223" s="245">
        <f t="shared" si="24"/>
        <v>0.59192152720982538</v>
      </c>
      <c r="N223" s="23"/>
    </row>
    <row r="224" spans="1:14" ht="13" hidden="1">
      <c r="A224" s="78" t="s">
        <v>2675</v>
      </c>
      <c r="B224" s="219" t="s">
        <v>934</v>
      </c>
      <c r="C224" s="240" t="s">
        <v>1815</v>
      </c>
      <c r="D224" s="240" t="s">
        <v>1565</v>
      </c>
      <c r="E224" s="240" t="s">
        <v>1571</v>
      </c>
      <c r="F224" s="284">
        <v>0.16</v>
      </c>
      <c r="G224" s="242">
        <v>0.60344827586206895</v>
      </c>
      <c r="H224" s="243">
        <f ca="1">SUMIF('Sales 6.2026'!B:F,'All Menu'!B224,'Sales 6.2026'!F:F)</f>
        <v>64</v>
      </c>
      <c r="I224" s="241"/>
      <c r="J224" s="244">
        <f>SUMIF('Finished Recipe'!B:B, B224, 'Finished Recipe'!M:M)</f>
        <v>0.296879733610102</v>
      </c>
      <c r="K224" s="244">
        <f t="shared" si="25"/>
        <v>0.30656854225196695</v>
      </c>
      <c r="L224" s="245">
        <f t="shared" si="23"/>
        <v>0.49197212998245476</v>
      </c>
      <c r="M224" s="245">
        <f t="shared" si="24"/>
        <v>0.50802787001754524</v>
      </c>
      <c r="N224" s="23"/>
    </row>
    <row r="225" spans="1:15" ht="13" hidden="1">
      <c r="A225" s="78" t="s">
        <v>2676</v>
      </c>
      <c r="B225" s="219" t="s">
        <v>925</v>
      </c>
      <c r="C225" s="240" t="s">
        <v>1815</v>
      </c>
      <c r="D225" s="240" t="s">
        <v>1565</v>
      </c>
      <c r="E225" s="240" t="s">
        <v>1572</v>
      </c>
      <c r="F225" s="284">
        <v>0.16</v>
      </c>
      <c r="G225" s="242">
        <v>0.86206896551724144</v>
      </c>
      <c r="H225" s="243">
        <f ca="1">SUMIF('Sales 6.2026'!B:F,'All Menu'!B225,'Sales 6.2026'!F:F)</f>
        <v>127.002</v>
      </c>
      <c r="I225" s="241"/>
      <c r="J225" s="244">
        <f>SUMIF('Finished Recipe'!B:B, B225, 'Finished Recipe'!M:M)</f>
        <v>0.59705973361010212</v>
      </c>
      <c r="K225" s="244">
        <f t="shared" si="25"/>
        <v>0.26500923190713932</v>
      </c>
      <c r="L225" s="245">
        <f t="shared" si="23"/>
        <v>0.69258929098771838</v>
      </c>
      <c r="M225" s="245">
        <f t="shared" si="24"/>
        <v>0.30741070901228157</v>
      </c>
      <c r="N225" s="23"/>
    </row>
    <row r="226" spans="1:15" ht="13" hidden="1">
      <c r="A226" s="78" t="s">
        <v>2677</v>
      </c>
      <c r="B226" s="219" t="s">
        <v>928</v>
      </c>
      <c r="C226" s="240" t="s">
        <v>1815</v>
      </c>
      <c r="D226" s="240" t="s">
        <v>1565</v>
      </c>
      <c r="E226" s="240" t="s">
        <v>1573</v>
      </c>
      <c r="F226" s="284">
        <v>0.16</v>
      </c>
      <c r="G226" s="242">
        <v>0.86206896551724144</v>
      </c>
      <c r="H226" s="243">
        <f ca="1">SUMIF('Sales 6.2026'!B:F,'All Menu'!B226,'Sales 6.2026'!F:F)</f>
        <v>18</v>
      </c>
      <c r="I226" s="241"/>
      <c r="J226" s="244">
        <f>SUMIF('Finished Recipe'!B:B, B226, 'Finished Recipe'!M:M)</f>
        <v>0.34831973361010199</v>
      </c>
      <c r="K226" s="244">
        <f t="shared" si="25"/>
        <v>0.5137492319071395</v>
      </c>
      <c r="L226" s="245">
        <f t="shared" si="23"/>
        <v>0.40405089098771829</v>
      </c>
      <c r="M226" s="245">
        <f t="shared" si="24"/>
        <v>0.59594910901228182</v>
      </c>
      <c r="N226" s="23"/>
    </row>
    <row r="227" spans="1:15" ht="13" hidden="1">
      <c r="A227" s="78" t="s">
        <v>2678</v>
      </c>
      <c r="B227" s="219" t="s">
        <v>932</v>
      </c>
      <c r="C227" s="240" t="s">
        <v>1815</v>
      </c>
      <c r="D227" s="240" t="s">
        <v>1565</v>
      </c>
      <c r="E227" s="240" t="s">
        <v>1739</v>
      </c>
      <c r="F227" s="284">
        <v>0.16</v>
      </c>
      <c r="G227" s="242">
        <v>1.5086206896551726</v>
      </c>
      <c r="H227" s="243">
        <f ca="1">SUMIF('Sales 6.2026'!B:F,'All Menu'!B227,'Sales 6.2026'!F:F)</f>
        <v>8</v>
      </c>
      <c r="I227" s="241"/>
      <c r="J227" s="244">
        <f>SUMIF('Finished Recipe'!B:B, B227, 'Finished Recipe'!M:M)</f>
        <v>0.82094686391928506</v>
      </c>
      <c r="K227" s="244">
        <f t="shared" si="25"/>
        <v>0.68767382573588753</v>
      </c>
      <c r="L227" s="245">
        <f t="shared" si="23"/>
        <v>0.54417049265506889</v>
      </c>
      <c r="M227" s="245">
        <f t="shared" si="24"/>
        <v>0.45582950734493111</v>
      </c>
      <c r="N227" s="23"/>
    </row>
    <row r="228" spans="1:15" ht="13" hidden="1">
      <c r="A228" s="78" t="s">
        <v>2679</v>
      </c>
      <c r="B228" s="219" t="s">
        <v>936</v>
      </c>
      <c r="C228" s="240" t="s">
        <v>1815</v>
      </c>
      <c r="D228" s="240" t="s">
        <v>1565</v>
      </c>
      <c r="E228" s="241" t="s">
        <v>1574</v>
      </c>
      <c r="F228" s="284">
        <v>0.16</v>
      </c>
      <c r="G228" s="242">
        <v>1.0775862068965518</v>
      </c>
      <c r="H228" s="243">
        <f ca="1">SUMIF('Sales 6.2026'!B:F,'All Menu'!B228,'Sales 6.2026'!F:F)</f>
        <v>70</v>
      </c>
      <c r="I228" s="241"/>
      <c r="J228" s="244">
        <f>SUMIF('Finished Recipe'!B:B, B228, 'Finished Recipe'!M:M)</f>
        <v>0.51911934899471734</v>
      </c>
      <c r="K228" s="244">
        <f t="shared" si="25"/>
        <v>0.55846685790183448</v>
      </c>
      <c r="L228" s="245">
        <f t="shared" si="23"/>
        <v>0.48174275586709764</v>
      </c>
      <c r="M228" s="245">
        <f t="shared" si="24"/>
        <v>0.51825724413290231</v>
      </c>
      <c r="N228" s="23"/>
    </row>
    <row r="229" spans="1:15" ht="13" hidden="1">
      <c r="A229" s="78" t="s">
        <v>2680</v>
      </c>
      <c r="B229" s="219" t="s">
        <v>927</v>
      </c>
      <c r="C229" s="240" t="s">
        <v>1815</v>
      </c>
      <c r="D229" s="240" t="s">
        <v>1565</v>
      </c>
      <c r="E229" s="240" t="s">
        <v>1575</v>
      </c>
      <c r="F229" s="284">
        <v>0.16</v>
      </c>
      <c r="G229" s="242">
        <v>0.60344827586206895</v>
      </c>
      <c r="H229" s="243">
        <f ca="1">SUMIF('Sales 6.2026'!B:F,'All Menu'!B229,'Sales 6.2026'!F:F)</f>
        <v>202</v>
      </c>
      <c r="I229" s="241"/>
      <c r="J229" s="244">
        <f>SUMIF('Finished Recipe'!B:B, B229, 'Finished Recipe'!M:M)</f>
        <v>0.23578973361010208</v>
      </c>
      <c r="K229" s="244">
        <f t="shared" si="25"/>
        <v>0.36765854225196687</v>
      </c>
      <c r="L229" s="245">
        <f t="shared" si="23"/>
        <v>0.39073727283959775</v>
      </c>
      <c r="M229" s="245">
        <f t="shared" si="24"/>
        <v>0.60926272716040231</v>
      </c>
      <c r="N229" s="23"/>
    </row>
    <row r="230" spans="1:15" ht="13" hidden="1">
      <c r="A230" s="78" t="s">
        <v>2681</v>
      </c>
      <c r="B230" s="219" t="s">
        <v>945</v>
      </c>
      <c r="C230" s="240" t="s">
        <v>1815</v>
      </c>
      <c r="D230" s="240" t="s">
        <v>1565</v>
      </c>
      <c r="E230" s="241" t="s">
        <v>1576</v>
      </c>
      <c r="F230" s="284">
        <v>0.16</v>
      </c>
      <c r="G230" s="242">
        <v>3.2327586206896552</v>
      </c>
      <c r="H230" s="243">
        <f ca="1">SUMIF('Sales 6.2026'!B:F,'All Menu'!B230,'Sales 6.2026'!F:F)</f>
        <v>52</v>
      </c>
      <c r="I230" s="241"/>
      <c r="J230" s="244">
        <f>SUMIF('Finished Recipe'!B:B, B230, 'Finished Recipe'!M:M)</f>
        <v>1.4740713491210082</v>
      </c>
      <c r="K230" s="244">
        <f t="shared" si="25"/>
        <v>1.758687271568647</v>
      </c>
      <c r="L230" s="245">
        <f t="shared" si="23"/>
        <v>0.45597940399476522</v>
      </c>
      <c r="M230" s="245">
        <f t="shared" si="24"/>
        <v>0.54402059600523478</v>
      </c>
      <c r="N230" s="23"/>
    </row>
    <row r="231" spans="1:15" ht="13" hidden="1">
      <c r="A231" s="78" t="s">
        <v>2682</v>
      </c>
      <c r="B231" s="219" t="s">
        <v>946</v>
      </c>
      <c r="C231" s="240" t="s">
        <v>1815</v>
      </c>
      <c r="D231" s="240" t="s">
        <v>1565</v>
      </c>
      <c r="E231" s="240" t="s">
        <v>1723</v>
      </c>
      <c r="F231" s="284">
        <v>0.16</v>
      </c>
      <c r="G231" s="242">
        <v>1.5086206896551726</v>
      </c>
      <c r="H231" s="243">
        <f ca="1">SUMIF('Sales 6.2026'!B:F,'All Menu'!B231,'Sales 6.2026'!F:F)</f>
        <v>53</v>
      </c>
      <c r="I231" s="241"/>
      <c r="J231" s="244">
        <f>SUMIF('Finished Recipe'!B:B, B231, 'Finished Recipe'!M:M)</f>
        <v>1.2469414581719958</v>
      </c>
      <c r="K231" s="244">
        <f t="shared" si="25"/>
        <v>0.26167923148317684</v>
      </c>
      <c r="L231" s="245">
        <f t="shared" si="23"/>
        <v>0.82654405227400851</v>
      </c>
      <c r="M231" s="245">
        <f t="shared" si="24"/>
        <v>0.17345594772599149</v>
      </c>
      <c r="N231" s="23"/>
    </row>
    <row r="232" spans="1:15" ht="13" hidden="1">
      <c r="A232" s="78" t="s">
        <v>2683</v>
      </c>
      <c r="B232" s="219" t="s">
        <v>1010</v>
      </c>
      <c r="C232" s="240" t="s">
        <v>1815</v>
      </c>
      <c r="D232" s="240" t="s">
        <v>1565</v>
      </c>
      <c r="E232" s="240" t="s">
        <v>1577</v>
      </c>
      <c r="F232" s="284">
        <v>0.16</v>
      </c>
      <c r="G232" s="242">
        <v>0.56034482758620696</v>
      </c>
      <c r="H232" s="243">
        <f ca="1">SUMIF('Sales 6.2026'!B:F,'All Menu'!B232,'Sales 6.2026'!F:F)</f>
        <v>1283.011</v>
      </c>
      <c r="I232" s="241"/>
      <c r="J232" s="244">
        <f>SUMIF('Finished Recipe'!B:B, B232, 'Finished Recipe'!M:M)</f>
        <v>0.41952498492368306</v>
      </c>
      <c r="K232" s="244">
        <f t="shared" si="25"/>
        <v>0.1408198426625239</v>
      </c>
      <c r="L232" s="245">
        <f t="shared" si="23"/>
        <v>0.74869074232534205</v>
      </c>
      <c r="M232" s="245">
        <f t="shared" si="24"/>
        <v>0.251309257674658</v>
      </c>
      <c r="N232" s="23"/>
    </row>
    <row r="233" spans="1:15" ht="13" hidden="1">
      <c r="A233" s="287" t="s">
        <v>2684</v>
      </c>
      <c r="B233" s="219" t="s">
        <v>1011</v>
      </c>
      <c r="C233" s="240" t="s">
        <v>1815</v>
      </c>
      <c r="D233" s="240" t="s">
        <v>1565</v>
      </c>
      <c r="E233" s="240" t="s">
        <v>1578</v>
      </c>
      <c r="F233" s="284">
        <v>0.16</v>
      </c>
      <c r="G233" s="242">
        <v>0.43103448275862072</v>
      </c>
      <c r="H233" s="243">
        <f ca="1">SUMIF('Sales 6.2026'!B:F,'All Menu'!B233,'Sales 6.2026'!F:F)</f>
        <v>4589.0619999999999</v>
      </c>
      <c r="I233" s="241"/>
      <c r="J233" s="244">
        <f>SUMIF('Finished Recipe'!B:B, B233, 'Finished Recipe'!M:M)</f>
        <v>0.22935249871457197</v>
      </c>
      <c r="K233" s="244">
        <f t="shared" si="25"/>
        <v>0.20168198404404875</v>
      </c>
      <c r="L233" s="245">
        <f t="shared" si="23"/>
        <v>0.53209779701780691</v>
      </c>
      <c r="M233" s="245">
        <f t="shared" si="24"/>
        <v>0.46790220298219304</v>
      </c>
      <c r="N233" s="23"/>
    </row>
    <row r="234" spans="1:15" ht="13" hidden="1">
      <c r="A234" s="287" t="s">
        <v>2685</v>
      </c>
      <c r="B234" s="219" t="s">
        <v>942</v>
      </c>
      <c r="C234" s="240" t="s">
        <v>1815</v>
      </c>
      <c r="D234" s="240" t="s">
        <v>1565</v>
      </c>
      <c r="E234" s="240" t="s">
        <v>1579</v>
      </c>
      <c r="F234" s="284">
        <v>0.16</v>
      </c>
      <c r="G234" s="242">
        <v>0.86206896551724144</v>
      </c>
      <c r="H234" s="243">
        <f ca="1">SUMIF('Sales 6.2026'!B:F,'All Menu'!B234,'Sales 6.2026'!F:F)</f>
        <v>5842.0020000000004</v>
      </c>
      <c r="I234" s="241"/>
      <c r="J234" s="244">
        <f>SUMIF('Finished Recipe'!B:B, B234, 'Finished Recipe'!M:M)</f>
        <v>0.40754341772151892</v>
      </c>
      <c r="K234" s="244">
        <f t="shared" si="25"/>
        <v>0.45452554779572252</v>
      </c>
      <c r="L234" s="245">
        <f t="shared" si="23"/>
        <v>0.4727503645569619</v>
      </c>
      <c r="M234" s="245">
        <f t="shared" si="24"/>
        <v>0.52724963544303804</v>
      </c>
      <c r="N234" s="23"/>
    </row>
    <row r="235" spans="1:15" ht="13" hidden="1">
      <c r="A235" s="78" t="s">
        <v>2686</v>
      </c>
      <c r="B235" s="219" t="s">
        <v>1021</v>
      </c>
      <c r="C235" s="240" t="s">
        <v>1815</v>
      </c>
      <c r="D235" s="240" t="s">
        <v>1565</v>
      </c>
      <c r="E235" s="240" t="s">
        <v>1580</v>
      </c>
      <c r="F235" s="284">
        <v>0.16</v>
      </c>
      <c r="G235" s="242">
        <v>15.517241379310345</v>
      </c>
      <c r="H235" s="243">
        <f ca="1">SUMIF('Sales 6.2026'!B:F,'All Menu'!B235,'Sales 6.2026'!F:F)</f>
        <v>242.51</v>
      </c>
      <c r="I235" s="241"/>
      <c r="J235" s="244">
        <f>SUMIF('Finished Recipe'!B:B, B235, 'Finished Recipe'!M:M)</f>
        <v>8.2136722774908097</v>
      </c>
      <c r="K235" s="244">
        <f t="shared" si="25"/>
        <v>7.3035691018195354</v>
      </c>
      <c r="L235" s="245">
        <f t="shared" si="23"/>
        <v>0.52932554677162991</v>
      </c>
      <c r="M235" s="245">
        <f t="shared" si="24"/>
        <v>0.47067445322837004</v>
      </c>
      <c r="N235" s="23"/>
      <c r="O235" s="78">
        <v>43.75</v>
      </c>
    </row>
    <row r="236" spans="1:15" ht="13" hidden="1">
      <c r="A236" s="78" t="s">
        <v>2687</v>
      </c>
      <c r="B236" s="219" t="s">
        <v>1020</v>
      </c>
      <c r="C236" s="240" t="s">
        <v>1815</v>
      </c>
      <c r="D236" s="240" t="s">
        <v>1565</v>
      </c>
      <c r="E236" s="240" t="s">
        <v>1581</v>
      </c>
      <c r="F236" s="284">
        <v>0.16</v>
      </c>
      <c r="G236" s="242">
        <v>17.241379310344829</v>
      </c>
      <c r="H236" s="243">
        <f ca="1">SUMIF('Sales 6.2026'!B:F,'All Menu'!B236,'Sales 6.2026'!F:F)</f>
        <v>25</v>
      </c>
      <c r="I236" s="241"/>
      <c r="J236" s="244">
        <f>SUMIF('Finished Recipe'!B:B, B236, 'Finished Recipe'!M:M)</f>
        <v>15.826002523771082</v>
      </c>
      <c r="K236" s="244">
        <f t="shared" si="25"/>
        <v>1.4153767865737468</v>
      </c>
      <c r="L236" s="245">
        <f t="shared" si="23"/>
        <v>0.91790814637872264</v>
      </c>
      <c r="M236" s="245">
        <f t="shared" si="24"/>
        <v>8.20918536212773E-2</v>
      </c>
      <c r="N236" s="23"/>
    </row>
    <row r="237" spans="1:15" ht="13" hidden="1">
      <c r="A237" s="78" t="s">
        <v>2688</v>
      </c>
      <c r="B237" s="219" t="s">
        <v>939</v>
      </c>
      <c r="C237" s="240" t="s">
        <v>1815</v>
      </c>
      <c r="D237" s="240" t="s">
        <v>1565</v>
      </c>
      <c r="E237" s="247" t="s">
        <v>1594</v>
      </c>
      <c r="F237" s="284">
        <v>0.16</v>
      </c>
      <c r="G237" s="242">
        <v>3.8793103448275863</v>
      </c>
      <c r="H237" s="249">
        <f ca="1">SUMIF('Sales 6.2026'!B:F,'All Menu'!B237,'Sales 6.2026'!F:F)</f>
        <v>5</v>
      </c>
      <c r="I237" s="241"/>
      <c r="J237" s="244">
        <f>SUMIF('Finished Recipe'!B:B, B237, 'Finished Recipe'!M:M)</f>
        <v>1.2558207047223662</v>
      </c>
      <c r="K237" s="244">
        <f t="shared" si="25"/>
        <v>2.6234896401052201</v>
      </c>
      <c r="L237" s="245">
        <f t="shared" si="23"/>
        <v>0.3237226705506544</v>
      </c>
      <c r="M237" s="245">
        <f t="shared" si="24"/>
        <v>0.6762773294493456</v>
      </c>
      <c r="N237" s="23"/>
    </row>
    <row r="238" spans="1:15" ht="13" hidden="1">
      <c r="A238" s="78" t="s">
        <v>2689</v>
      </c>
      <c r="B238" s="219" t="s">
        <v>948</v>
      </c>
      <c r="C238" s="240" t="s">
        <v>1815</v>
      </c>
      <c r="D238" s="240" t="s">
        <v>1565</v>
      </c>
      <c r="E238" s="247" t="s">
        <v>1582</v>
      </c>
      <c r="F238" s="284">
        <v>0.16</v>
      </c>
      <c r="G238" s="242">
        <v>4.7413793103448283</v>
      </c>
      <c r="H238" s="249">
        <f ca="1">SUMIF('Sales 6.2026'!B:F,'All Menu'!B238,'Sales 6.2026'!F:F)</f>
        <v>4</v>
      </c>
      <c r="I238" s="241"/>
      <c r="J238" s="244">
        <f>SUMIF('Finished Recipe'!B:B, B238, 'Finished Recipe'!M:M)</f>
        <v>1.8743774591589428</v>
      </c>
      <c r="K238" s="244">
        <f t="shared" si="25"/>
        <v>2.8670018511858855</v>
      </c>
      <c r="L238" s="245">
        <f t="shared" si="23"/>
        <v>0.39532324593170426</v>
      </c>
      <c r="M238" s="245">
        <f t="shared" si="24"/>
        <v>0.6046767540682958</v>
      </c>
      <c r="N238" s="23"/>
    </row>
    <row r="239" spans="1:15" ht="13" hidden="1">
      <c r="A239" s="78" t="s">
        <v>2690</v>
      </c>
      <c r="B239" s="219" t="s">
        <v>941</v>
      </c>
      <c r="C239" s="240" t="s">
        <v>1815</v>
      </c>
      <c r="D239" s="240" t="s">
        <v>1565</v>
      </c>
      <c r="E239" s="247" t="s">
        <v>1592</v>
      </c>
      <c r="F239" s="284">
        <v>0.16</v>
      </c>
      <c r="G239" s="242">
        <v>4.3103448275862073</v>
      </c>
      <c r="H239" s="249">
        <f ca="1">SUMIF('Sales 6.2026'!B:F,'All Menu'!B239,'Sales 6.2026'!F:F)</f>
        <v>24</v>
      </c>
      <c r="I239" s="241"/>
      <c r="J239" s="244">
        <f>SUMIF('Finished Recipe'!B:B, B239, 'Finished Recipe'!M:M)</f>
        <v>1.3464207047223664</v>
      </c>
      <c r="K239" s="244">
        <f t="shared" si="25"/>
        <v>2.9639241228638409</v>
      </c>
      <c r="L239" s="245">
        <f t="shared" si="23"/>
        <v>0.31236960349558895</v>
      </c>
      <c r="M239" s="245">
        <f t="shared" si="24"/>
        <v>0.68763039650441105</v>
      </c>
      <c r="N239" s="23"/>
    </row>
    <row r="240" spans="1:15" ht="13" hidden="1">
      <c r="A240" s="78" t="s">
        <v>2691</v>
      </c>
      <c r="B240" s="219" t="s">
        <v>940</v>
      </c>
      <c r="C240" s="240" t="s">
        <v>1815</v>
      </c>
      <c r="D240" s="240" t="s">
        <v>1565</v>
      </c>
      <c r="E240" s="247" t="s">
        <v>1583</v>
      </c>
      <c r="F240" s="284">
        <v>0.16</v>
      </c>
      <c r="G240" s="242">
        <v>4.3103448275862073</v>
      </c>
      <c r="H240" s="249">
        <f ca="1">SUMIF('Sales 6.2026'!B:F,'All Menu'!B240,'Sales 6.2026'!F:F)</f>
        <v>3</v>
      </c>
      <c r="I240" s="241"/>
      <c r="J240" s="244">
        <f>SUMIF('Finished Recipe'!B:B, B240, 'Finished Recipe'!M:M)</f>
        <v>1.3095627047223664</v>
      </c>
      <c r="K240" s="244">
        <f t="shared" si="25"/>
        <v>3.0007821228638409</v>
      </c>
      <c r="L240" s="245">
        <f t="shared" si="23"/>
        <v>0.30381854749558895</v>
      </c>
      <c r="M240" s="245">
        <f t="shared" si="24"/>
        <v>0.69618145250441099</v>
      </c>
      <c r="N240" s="23"/>
    </row>
    <row r="241" spans="1:14" ht="13" hidden="1">
      <c r="A241" s="78" t="s">
        <v>2692</v>
      </c>
      <c r="B241" s="219" t="s">
        <v>943</v>
      </c>
      <c r="C241" s="240" t="s">
        <v>1815</v>
      </c>
      <c r="D241" s="240" t="s">
        <v>1565</v>
      </c>
      <c r="E241" s="247" t="s">
        <v>1816</v>
      </c>
      <c r="F241" s="284">
        <v>0.16</v>
      </c>
      <c r="G241" s="242">
        <v>4.3103448275862073</v>
      </c>
      <c r="H241" s="249">
        <f ca="1">SUMIF('Sales 6.2026'!B:F,'All Menu'!B241,'Sales 6.2026'!F:F)</f>
        <v>1</v>
      </c>
      <c r="I241" s="241"/>
      <c r="J241" s="244">
        <f>SUMIF('Finished Recipe'!B:B, B241, 'Finished Recipe'!M:M)</f>
        <v>1.5038976277992893</v>
      </c>
      <c r="K241" s="244">
        <f t="shared" si="25"/>
        <v>2.806447199786918</v>
      </c>
      <c r="L241" s="245">
        <f t="shared" si="23"/>
        <v>0.34890424964943506</v>
      </c>
      <c r="M241" s="245">
        <f t="shared" si="24"/>
        <v>0.65109575035056488</v>
      </c>
      <c r="N241" s="23"/>
    </row>
    <row r="242" spans="1:14" ht="13" hidden="1">
      <c r="A242" s="78" t="s">
        <v>2693</v>
      </c>
      <c r="B242" s="219" t="s">
        <v>944</v>
      </c>
      <c r="C242" s="240" t="s">
        <v>1815</v>
      </c>
      <c r="D242" s="240" t="s">
        <v>1565</v>
      </c>
      <c r="E242" s="247" t="s">
        <v>1724</v>
      </c>
      <c r="F242" s="284">
        <v>0.16</v>
      </c>
      <c r="G242" s="242">
        <v>4.7413793103448283</v>
      </c>
      <c r="H242" s="249">
        <f ca="1">SUMIF('Sales 6.2026'!B:F,'All Menu'!B242,'Sales 6.2026'!F:F)</f>
        <v>9</v>
      </c>
      <c r="I242" s="241"/>
      <c r="J242" s="244">
        <f>SUMIF('Finished Recipe'!B:B, B242, 'Finished Recipe'!M:M)</f>
        <v>1.808327835031549</v>
      </c>
      <c r="K242" s="244">
        <f t="shared" si="25"/>
        <v>2.9330514753132793</v>
      </c>
      <c r="L242" s="245">
        <f t="shared" si="23"/>
        <v>0.38139277975210845</v>
      </c>
      <c r="M242" s="245">
        <f t="shared" si="24"/>
        <v>0.6186072202478915</v>
      </c>
      <c r="N242" s="23"/>
    </row>
    <row r="243" spans="1:14" ht="13" hidden="1">
      <c r="A243" s="78" t="s">
        <v>2694</v>
      </c>
      <c r="B243" s="219" t="s">
        <v>949</v>
      </c>
      <c r="C243" s="240" t="s">
        <v>1815</v>
      </c>
      <c r="D243" s="240" t="s">
        <v>1565</v>
      </c>
      <c r="E243" s="247" t="s">
        <v>1584</v>
      </c>
      <c r="F243" s="284">
        <v>0.16</v>
      </c>
      <c r="G243" s="242">
        <v>5.1724137931034484</v>
      </c>
      <c r="H243" s="249">
        <f ca="1">SUMIF('Sales 6.2026'!B:F,'All Menu'!B243,'Sales 6.2026'!F:F)</f>
        <v>4</v>
      </c>
      <c r="I243" s="241"/>
      <c r="J243" s="244">
        <f>SUMIF('Finished Recipe'!B:B, B243, 'Finished Recipe'!M:M)</f>
        <v>1.4892997767614382</v>
      </c>
      <c r="K243" s="244">
        <f t="shared" si="25"/>
        <v>3.6831140163420102</v>
      </c>
      <c r="L243" s="245">
        <f t="shared" si="23"/>
        <v>0.28793129017387803</v>
      </c>
      <c r="M243" s="245">
        <f t="shared" si="24"/>
        <v>0.71206870982612192</v>
      </c>
      <c r="N243" s="23"/>
    </row>
    <row r="244" spans="1:14" ht="13" hidden="1">
      <c r="A244" s="78" t="s">
        <v>2695</v>
      </c>
      <c r="B244" s="219" t="s">
        <v>1191</v>
      </c>
      <c r="C244" s="240" t="s">
        <v>1815</v>
      </c>
      <c r="D244" s="240" t="s">
        <v>1565</v>
      </c>
      <c r="E244" s="240" t="s">
        <v>1585</v>
      </c>
      <c r="F244" s="284">
        <v>0.16</v>
      </c>
      <c r="G244" s="242">
        <v>0.86206896551724144</v>
      </c>
      <c r="H244" s="243">
        <f ca="1">SUMIF('Sales 6.2026'!B:F,'All Menu'!B244,'Sales 6.2026'!F:F)</f>
        <v>19.95</v>
      </c>
      <c r="I244" s="241"/>
      <c r="J244" s="244">
        <f>SUMIF('Finished Recipe'!B:B, B244, 'Finished Recipe'!M:M)</f>
        <v>6.7972278571428568E-2</v>
      </c>
      <c r="K244" s="244">
        <f t="shared" si="25"/>
        <v>0.79409668694581281</v>
      </c>
      <c r="L244" s="245">
        <f t="shared" si="23"/>
        <v>7.884784314285713E-2</v>
      </c>
      <c r="M244" s="245">
        <f t="shared" si="24"/>
        <v>0.9211521568571428</v>
      </c>
      <c r="N244" s="23"/>
    </row>
    <row r="245" spans="1:14" ht="13" hidden="1">
      <c r="A245" s="78" t="s">
        <v>2696</v>
      </c>
      <c r="B245" s="219" t="s">
        <v>1236</v>
      </c>
      <c r="C245" s="240" t="s">
        <v>1815</v>
      </c>
      <c r="D245" s="240" t="s">
        <v>1565</v>
      </c>
      <c r="E245" s="240" t="s">
        <v>1817</v>
      </c>
      <c r="F245" s="284">
        <v>0.16</v>
      </c>
      <c r="G245" s="242">
        <v>7.7586206896551726</v>
      </c>
      <c r="H245" s="243">
        <f ca="1">SUMIF('Sales 6.2026'!B:F,'All Menu'!B245,'Sales 6.2026'!F:F)</f>
        <v>239</v>
      </c>
      <c r="I245" s="241"/>
      <c r="J245" s="244">
        <f>SUMIF('Finished Recipe'!B:B, B245, 'Finished Recipe'!M:M)</f>
        <v>4.373430966331612</v>
      </c>
      <c r="K245" s="244">
        <f t="shared" si="25"/>
        <v>3.3851897233235606</v>
      </c>
      <c r="L245" s="245">
        <f t="shared" si="23"/>
        <v>0.56368665788274108</v>
      </c>
      <c r="M245" s="245">
        <f t="shared" si="24"/>
        <v>0.43631334211725892</v>
      </c>
      <c r="N245" s="23"/>
    </row>
    <row r="246" spans="1:14" ht="13" hidden="1">
      <c r="A246" s="78" t="s">
        <v>2697</v>
      </c>
      <c r="B246" s="219" t="s">
        <v>1237</v>
      </c>
      <c r="C246" s="240" t="s">
        <v>1815</v>
      </c>
      <c r="D246" s="240" t="s">
        <v>1565</v>
      </c>
      <c r="E246" s="240" t="s">
        <v>1725</v>
      </c>
      <c r="F246" s="284">
        <v>0.16</v>
      </c>
      <c r="G246" s="242">
        <v>9.4827586206896566</v>
      </c>
      <c r="H246" s="243">
        <f ca="1">SUMIF('Sales 6.2026'!B:F,'All Menu'!B246,'Sales 6.2026'!F:F)</f>
        <v>77</v>
      </c>
      <c r="I246" s="241"/>
      <c r="J246" s="244">
        <f>SUMIF('Finished Recipe'!B:B, B246, 'Finished Recipe'!M:M)</f>
        <v>8.1795960894717474</v>
      </c>
      <c r="K246" s="244">
        <f t="shared" si="25"/>
        <v>1.3031625312179091</v>
      </c>
      <c r="L246" s="245">
        <f t="shared" si="23"/>
        <v>0.86257558761702047</v>
      </c>
      <c r="M246" s="245">
        <f t="shared" si="24"/>
        <v>0.13742441238297948</v>
      </c>
      <c r="N246" s="23"/>
    </row>
    <row r="247" spans="1:14" ht="13" hidden="1">
      <c r="A247" s="78" t="s">
        <v>2698</v>
      </c>
      <c r="B247" s="219" t="s">
        <v>991</v>
      </c>
      <c r="C247" s="240" t="s">
        <v>1809</v>
      </c>
      <c r="D247" s="240" t="s">
        <v>1459</v>
      </c>
      <c r="E247" s="240" t="s">
        <v>1350</v>
      </c>
      <c r="F247" s="284">
        <v>0.16</v>
      </c>
      <c r="G247" s="242">
        <v>7.7586206896551726</v>
      </c>
      <c r="H247" s="243">
        <f ca="1">SUMIF('Sales 6.2026'!B:F,'All Menu'!B247,'Sales 6.2026'!F:F)</f>
        <v>130.001</v>
      </c>
      <c r="I247" s="241"/>
      <c r="J247" s="244">
        <f>SUMIF('Finished Recipe'!B:B, B247, 'Finished Recipe'!M:M)</f>
        <v>5.2935268537167888</v>
      </c>
      <c r="K247" s="244">
        <f t="shared" si="25"/>
        <v>2.4650938359383838</v>
      </c>
      <c r="L247" s="245">
        <f t="shared" si="23"/>
        <v>0.68227679447905276</v>
      </c>
      <c r="M247" s="245">
        <f t="shared" si="24"/>
        <v>0.31772320552094724</v>
      </c>
      <c r="N247" s="23"/>
    </row>
    <row r="248" spans="1:14" ht="13" hidden="1">
      <c r="A248" s="78" t="s">
        <v>2699</v>
      </c>
      <c r="B248" s="219" t="s">
        <v>1014</v>
      </c>
      <c r="C248" s="240" t="s">
        <v>1809</v>
      </c>
      <c r="D248" s="240" t="s">
        <v>1459</v>
      </c>
      <c r="E248" s="240" t="s">
        <v>1351</v>
      </c>
      <c r="F248" s="284">
        <v>0.16</v>
      </c>
      <c r="G248" s="242">
        <v>3.4482758620689657</v>
      </c>
      <c r="H248" s="243">
        <f ca="1">SUMIF('Sales 6.2026'!B:F,'All Menu'!B248,'Sales 6.2026'!F:F)</f>
        <v>350.00200000000001</v>
      </c>
      <c r="I248" s="241"/>
      <c r="J248" s="244">
        <f>SUMIF('Finished Recipe'!B:B, B248, 'Finished Recipe'!M:M)</f>
        <v>2.1404005324521074</v>
      </c>
      <c r="K248" s="244">
        <f t="shared" si="25"/>
        <v>1.3078753296168584</v>
      </c>
      <c r="L248" s="245">
        <f t="shared" si="23"/>
        <v>0.62071615441111105</v>
      </c>
      <c r="M248" s="245">
        <f t="shared" si="24"/>
        <v>0.37928384558888889</v>
      </c>
      <c r="N248" s="23"/>
    </row>
    <row r="249" spans="1:14" ht="13">
      <c r="A249" s="78" t="s">
        <v>2700</v>
      </c>
      <c r="B249" s="219" t="s">
        <v>996</v>
      </c>
      <c r="C249" s="240" t="s">
        <v>1809</v>
      </c>
      <c r="D249" s="240" t="s">
        <v>1459</v>
      </c>
      <c r="E249" s="240" t="s">
        <v>1352</v>
      </c>
      <c r="F249" s="284">
        <v>0.16</v>
      </c>
      <c r="G249" s="242">
        <v>3.4482758620689657</v>
      </c>
      <c r="H249" s="243">
        <f ca="1">SUMIF('Sales 6.2026'!B:F,'All Menu'!B249,'Sales 6.2026'!F:F)</f>
        <v>151</v>
      </c>
      <c r="I249" s="241"/>
      <c r="J249" s="244">
        <f>SUMIF('Finished Recipe'!B:B, B249, 'Finished Recipe'!M:M)</f>
        <v>2.3936093603117103</v>
      </c>
      <c r="K249" s="244">
        <f t="shared" si="25"/>
        <v>1.0546665017572554</v>
      </c>
      <c r="L249" s="245">
        <f t="shared" si="23"/>
        <v>0.694146714490396</v>
      </c>
      <c r="M249" s="245">
        <f t="shared" si="24"/>
        <v>0.30585328550960406</v>
      </c>
      <c r="N249" s="23"/>
    </row>
    <row r="250" spans="1:14" ht="13" hidden="1">
      <c r="A250" s="78" t="s">
        <v>2701</v>
      </c>
      <c r="B250" s="219" t="s">
        <v>990</v>
      </c>
      <c r="C250" s="240" t="s">
        <v>1809</v>
      </c>
      <c r="D250" s="240" t="s">
        <v>1459</v>
      </c>
      <c r="E250" s="241" t="s">
        <v>547</v>
      </c>
      <c r="F250" s="284">
        <v>0.16</v>
      </c>
      <c r="G250" s="242">
        <v>3.4482758620689657</v>
      </c>
      <c r="H250" s="243">
        <f ca="1">SUMIF('Sales 6.2026'!B:F,'All Menu'!B250,'Sales 6.2026'!F:F)</f>
        <v>66</v>
      </c>
      <c r="I250" s="241"/>
      <c r="J250" s="244">
        <f>SUMIF('Finished Recipe'!B:B, B250, 'Finished Recipe'!M:M)</f>
        <v>1.5853340738905934</v>
      </c>
      <c r="K250" s="244">
        <f t="shared" si="25"/>
        <v>1.8629417881783723</v>
      </c>
      <c r="L250" s="245">
        <f t="shared" si="23"/>
        <v>0.45974688142827208</v>
      </c>
      <c r="M250" s="245">
        <f t="shared" si="24"/>
        <v>0.54025311857172797</v>
      </c>
      <c r="N250" s="179"/>
    </row>
    <row r="251" spans="1:14" ht="13" hidden="1">
      <c r="A251" s="78" t="s">
        <v>2702</v>
      </c>
      <c r="B251" s="219" t="s">
        <v>987</v>
      </c>
      <c r="C251" s="240" t="s">
        <v>1809</v>
      </c>
      <c r="D251" s="240" t="s">
        <v>1459</v>
      </c>
      <c r="E251" s="240" t="s">
        <v>1353</v>
      </c>
      <c r="F251" s="284">
        <v>0.16</v>
      </c>
      <c r="G251" s="242">
        <v>2.5862068965517242</v>
      </c>
      <c r="H251" s="243">
        <f ca="1">SUMIF('Sales 6.2026'!B:F,'All Menu'!B251,'Sales 6.2026'!F:F)</f>
        <v>449.68010000000004</v>
      </c>
      <c r="I251" s="241"/>
      <c r="J251" s="244">
        <f>SUMIF('Finished Recipe'!B:B, B251, 'Finished Recipe'!M:M)</f>
        <v>1.54633723868066</v>
      </c>
      <c r="K251" s="244">
        <f t="shared" si="25"/>
        <v>1.0398696578710642</v>
      </c>
      <c r="L251" s="245">
        <f t="shared" si="23"/>
        <v>0.59791706562318847</v>
      </c>
      <c r="M251" s="245">
        <f t="shared" si="24"/>
        <v>0.40208293437681147</v>
      </c>
      <c r="N251" s="23"/>
    </row>
    <row r="252" spans="1:14" ht="13" hidden="1">
      <c r="A252" s="78" t="s">
        <v>2703</v>
      </c>
      <c r="B252" s="219" t="s">
        <v>988</v>
      </c>
      <c r="C252" s="240" t="s">
        <v>1809</v>
      </c>
      <c r="D252" s="240" t="s">
        <v>1459</v>
      </c>
      <c r="E252" s="240" t="s">
        <v>555</v>
      </c>
      <c r="F252" s="284">
        <v>0.16</v>
      </c>
      <c r="G252" s="242">
        <v>2.5862068965517242</v>
      </c>
      <c r="H252" s="243">
        <f ca="1">SUMIF('Sales 6.2026'!B:F,'All Menu'!B252,'Sales 6.2026'!F:F)</f>
        <v>355.00099999999998</v>
      </c>
      <c r="I252" s="241"/>
      <c r="J252" s="244">
        <f>SUMIF('Finished Recipe'!B:B, B252, 'Finished Recipe'!M:M)</f>
        <v>1.7098010721424013</v>
      </c>
      <c r="K252" s="244">
        <f t="shared" si="25"/>
        <v>0.87640582440932291</v>
      </c>
      <c r="L252" s="245">
        <f t="shared" si="23"/>
        <v>0.66112308122839514</v>
      </c>
      <c r="M252" s="245">
        <f t="shared" si="24"/>
        <v>0.33887691877160486</v>
      </c>
      <c r="N252" s="23"/>
    </row>
    <row r="253" spans="1:14" ht="13" hidden="1">
      <c r="A253" s="78" t="s">
        <v>2704</v>
      </c>
      <c r="B253" s="219" t="s">
        <v>994</v>
      </c>
      <c r="C253" s="240" t="s">
        <v>1809</v>
      </c>
      <c r="D253" s="240" t="s">
        <v>1459</v>
      </c>
      <c r="E253" s="240" t="s">
        <v>1333</v>
      </c>
      <c r="F253" s="284">
        <v>0.16</v>
      </c>
      <c r="G253" s="242">
        <v>2.5862068965517242</v>
      </c>
      <c r="H253" s="243">
        <f ca="1">SUMIF('Sales 6.2026'!B:F,'All Menu'!B253,'Sales 6.2026'!F:F)</f>
        <v>18</v>
      </c>
      <c r="I253" s="241"/>
      <c r="J253" s="244">
        <f>SUMIF('Finished Recipe'!B:B, B253, 'Finished Recipe'!M:M)</f>
        <v>1.4196795810467109</v>
      </c>
      <c r="K253" s="244">
        <f t="shared" si="25"/>
        <v>1.1665273155050133</v>
      </c>
      <c r="L253" s="245">
        <f t="shared" si="23"/>
        <v>0.54894277133806157</v>
      </c>
      <c r="M253" s="245">
        <f t="shared" si="24"/>
        <v>0.45105722866193848</v>
      </c>
      <c r="N253" s="23"/>
    </row>
    <row r="254" spans="1:14" ht="13" hidden="1">
      <c r="A254" s="78" t="s">
        <v>2705</v>
      </c>
      <c r="B254" s="219" t="s">
        <v>1002</v>
      </c>
      <c r="C254" s="240" t="s">
        <v>1809</v>
      </c>
      <c r="D254" s="240" t="s">
        <v>1459</v>
      </c>
      <c r="E254" s="240" t="s">
        <v>1460</v>
      </c>
      <c r="F254" s="284">
        <v>0.16</v>
      </c>
      <c r="G254" s="242">
        <v>3.4482758620689657</v>
      </c>
      <c r="H254" s="243">
        <f ca="1">SUMIF('Sales 6.2026'!B:F,'All Menu'!B254,'Sales 6.2026'!F:F)</f>
        <v>18</v>
      </c>
      <c r="I254" s="241"/>
      <c r="J254" s="244">
        <f>SUMIF('Finished Recipe'!B:B, B254, 'Finished Recipe'!M:M)</f>
        <v>2.6462827183908053</v>
      </c>
      <c r="K254" s="244">
        <f t="shared" si="25"/>
        <v>0.80199314367816044</v>
      </c>
      <c r="L254" s="245">
        <f t="shared" si="23"/>
        <v>0.76742198833333353</v>
      </c>
      <c r="M254" s="245">
        <f t="shared" si="24"/>
        <v>0.2325780116666665</v>
      </c>
      <c r="N254" s="23"/>
    </row>
    <row r="255" spans="1:14" ht="13" hidden="1">
      <c r="A255" s="78" t="s">
        <v>2706</v>
      </c>
      <c r="B255" s="219" t="s">
        <v>1008</v>
      </c>
      <c r="C255" s="240" t="s">
        <v>1809</v>
      </c>
      <c r="D255" s="240" t="s">
        <v>1459</v>
      </c>
      <c r="E255" s="240" t="s">
        <v>1461</v>
      </c>
      <c r="F255" s="284">
        <v>0.16</v>
      </c>
      <c r="G255" s="242">
        <v>2.5862068965517242</v>
      </c>
      <c r="H255" s="243">
        <f ca="1">SUMIF('Sales 6.2026'!B:F,'All Menu'!B255,'Sales 6.2026'!F:F)</f>
        <v>50</v>
      </c>
      <c r="I255" s="241"/>
      <c r="J255" s="244">
        <f>SUMIF('Finished Recipe'!B:B, B255, 'Finished Recipe'!M:M)</f>
        <v>1.8114892697343898</v>
      </c>
      <c r="K255" s="244">
        <f t="shared" si="25"/>
        <v>0.77471762681733436</v>
      </c>
      <c r="L255" s="245">
        <f t="shared" si="23"/>
        <v>0.7004425176306307</v>
      </c>
      <c r="M255" s="245">
        <f t="shared" si="24"/>
        <v>0.2995574823693693</v>
      </c>
      <c r="N255" s="23"/>
    </row>
    <row r="256" spans="1:14" ht="13" hidden="1">
      <c r="A256" s="78" t="s">
        <v>2707</v>
      </c>
      <c r="B256" s="219" t="s">
        <v>1027</v>
      </c>
      <c r="C256" s="240" t="s">
        <v>1809</v>
      </c>
      <c r="D256" s="240" t="s">
        <v>1459</v>
      </c>
      <c r="E256" s="240" t="s">
        <v>1462</v>
      </c>
      <c r="F256" s="284">
        <v>0.16</v>
      </c>
      <c r="G256" s="242">
        <v>4.3103448275862073</v>
      </c>
      <c r="H256" s="243">
        <f ca="1">SUMIF('Sales 6.2026'!B:F,'All Menu'!B256,'Sales 6.2026'!F:F)</f>
        <v>27</v>
      </c>
      <c r="I256" s="241"/>
      <c r="J256" s="244">
        <f>SUMIF('Finished Recipe'!B:B, B256, 'Finished Recipe'!M:M)</f>
        <v>4.4403028079022997</v>
      </c>
      <c r="K256" s="244">
        <f t="shared" si="25"/>
        <v>-0.1299579803160924</v>
      </c>
      <c r="L256" s="245">
        <f t="shared" si="23"/>
        <v>1.0301502514333334</v>
      </c>
      <c r="M256" s="245">
        <f t="shared" si="24"/>
        <v>-3.0150251433333435E-2</v>
      </c>
      <c r="N256" s="23"/>
    </row>
    <row r="257" spans="1:14" ht="13" hidden="1">
      <c r="A257" s="78" t="s">
        <v>2708</v>
      </c>
      <c r="B257" s="219" t="s">
        <v>1099</v>
      </c>
      <c r="C257" s="240" t="s">
        <v>1809</v>
      </c>
      <c r="D257" s="240" t="s">
        <v>1459</v>
      </c>
      <c r="E257" s="240" t="s">
        <v>1338</v>
      </c>
      <c r="F257" s="284">
        <v>0.16</v>
      </c>
      <c r="G257" s="242">
        <v>3.4482758620689657</v>
      </c>
      <c r="H257" s="243">
        <f ca="1">SUMIF('Sales 6.2026'!B:F,'All Menu'!B257,'Sales 6.2026'!F:F)</f>
        <v>49</v>
      </c>
      <c r="I257" s="241"/>
      <c r="J257" s="244">
        <f>SUMIF('Finished Recipe'!B:B, B257, 'Finished Recipe'!M:M)</f>
        <v>1.3523687902456958</v>
      </c>
      <c r="K257" s="244">
        <f t="shared" si="25"/>
        <v>2.09590707182327</v>
      </c>
      <c r="L257" s="245">
        <f t="shared" si="23"/>
        <v>0.39218694917125174</v>
      </c>
      <c r="M257" s="245">
        <f t="shared" si="24"/>
        <v>0.60781305082874826</v>
      </c>
      <c r="N257" s="23"/>
    </row>
    <row r="258" spans="1:14" ht="13" hidden="1">
      <c r="A258" s="78" t="s">
        <v>2709</v>
      </c>
      <c r="B258" s="219" t="s">
        <v>989</v>
      </c>
      <c r="C258" s="240" t="s">
        <v>1809</v>
      </c>
      <c r="D258" s="240" t="s">
        <v>1459</v>
      </c>
      <c r="E258" s="240" t="s">
        <v>1339</v>
      </c>
      <c r="F258" s="284">
        <v>0.16</v>
      </c>
      <c r="G258" s="242">
        <v>2.5862068965517242</v>
      </c>
      <c r="H258" s="243">
        <f ca="1">SUMIF('Sales 6.2026'!B:F,'All Menu'!B258,'Sales 6.2026'!F:F)</f>
        <v>38</v>
      </c>
      <c r="I258" s="241"/>
      <c r="J258" s="244">
        <f>SUMIF('Finished Recipe'!B:B, B258, 'Finished Recipe'!M:M)</f>
        <v>1.4352292934865902</v>
      </c>
      <c r="K258" s="244">
        <f t="shared" si="25"/>
        <v>1.150977603065134</v>
      </c>
      <c r="L258" s="245">
        <f t="shared" ref="L258:L316" si="26">J258/G258</f>
        <v>0.55495532681481485</v>
      </c>
      <c r="M258" s="245">
        <f t="shared" ref="M258:M316" si="27">K258/G258</f>
        <v>0.44504467318518515</v>
      </c>
      <c r="N258" s="23"/>
    </row>
    <row r="259" spans="1:14" ht="13" hidden="1">
      <c r="A259" s="78" t="s">
        <v>2710</v>
      </c>
      <c r="B259" s="219" t="s">
        <v>1004</v>
      </c>
      <c r="C259" s="240" t="s">
        <v>1809</v>
      </c>
      <c r="D259" s="240" t="s">
        <v>1459</v>
      </c>
      <c r="E259" s="240" t="s">
        <v>651</v>
      </c>
      <c r="F259" s="284">
        <v>0.16</v>
      </c>
      <c r="G259" s="242">
        <v>3.4482758620689657</v>
      </c>
      <c r="H259" s="243">
        <f ca="1">SUMIF('Sales 6.2026'!B:F,'All Menu'!B259,'Sales 6.2026'!F:F)</f>
        <v>25</v>
      </c>
      <c r="I259" s="241"/>
      <c r="J259" s="244">
        <f>SUMIF('Finished Recipe'!B:B, B259, 'Finished Recipe'!M:M)</f>
        <v>1.7860472019766636</v>
      </c>
      <c r="K259" s="244">
        <f t="shared" si="25"/>
        <v>1.6622286600923022</v>
      </c>
      <c r="L259" s="245">
        <f t="shared" si="26"/>
        <v>0.51795368857323243</v>
      </c>
      <c r="M259" s="245">
        <f t="shared" si="27"/>
        <v>0.48204631142676763</v>
      </c>
      <c r="N259" s="23"/>
    </row>
    <row r="260" spans="1:14" ht="13" hidden="1">
      <c r="A260" s="78" t="s">
        <v>2711</v>
      </c>
      <c r="B260" s="219" t="s">
        <v>1009</v>
      </c>
      <c r="C260" s="240" t="s">
        <v>1809</v>
      </c>
      <c r="D260" s="240" t="s">
        <v>1459</v>
      </c>
      <c r="E260" s="240" t="s">
        <v>1340</v>
      </c>
      <c r="F260" s="284">
        <v>0.16</v>
      </c>
      <c r="G260" s="242">
        <v>3.4482758620689657</v>
      </c>
      <c r="H260" s="243">
        <f ca="1">SUMIF('Sales 6.2026'!B:F,'All Menu'!B260,'Sales 6.2026'!F:F)</f>
        <v>46.25</v>
      </c>
      <c r="I260" s="241"/>
      <c r="J260" s="244">
        <f>SUMIF('Finished Recipe'!B:B, B260, 'Finished Recipe'!M:M)</f>
        <v>1.8122227068343535</v>
      </c>
      <c r="K260" s="244">
        <f t="shared" si="25"/>
        <v>1.6360531552346123</v>
      </c>
      <c r="L260" s="245">
        <f t="shared" si="26"/>
        <v>0.52554458498196244</v>
      </c>
      <c r="M260" s="245">
        <f t="shared" si="27"/>
        <v>0.47445541501803751</v>
      </c>
      <c r="N260" s="23"/>
    </row>
    <row r="261" spans="1:14" ht="13" hidden="1">
      <c r="A261" s="78" t="s">
        <v>2712</v>
      </c>
      <c r="B261" s="219" t="s">
        <v>1071</v>
      </c>
      <c r="C261" s="240" t="s">
        <v>1809</v>
      </c>
      <c r="D261" s="240" t="s">
        <v>1459</v>
      </c>
      <c r="E261" s="247" t="s">
        <v>1341</v>
      </c>
      <c r="F261" s="284">
        <v>0.16</v>
      </c>
      <c r="G261" s="242">
        <v>3.4482758620689657</v>
      </c>
      <c r="H261" s="249">
        <f ca="1">SUMIF('Sales 6.2026'!B:F,'All Menu'!B261,'Sales 6.2026'!F:F)</f>
        <v>52.008099999999999</v>
      </c>
      <c r="I261" s="241"/>
      <c r="J261" s="244">
        <f>SUMIF('Finished Recipe'!B:B, B261, 'Finished Recipe'!M:M)</f>
        <v>1.873932684539781</v>
      </c>
      <c r="K261" s="244">
        <f t="shared" si="25"/>
        <v>1.5743431775291847</v>
      </c>
      <c r="L261" s="245">
        <f t="shared" si="26"/>
        <v>0.54344047851653643</v>
      </c>
      <c r="M261" s="245">
        <f t="shared" si="27"/>
        <v>0.45655952148346352</v>
      </c>
      <c r="N261" s="23"/>
    </row>
    <row r="262" spans="1:14" ht="13" hidden="1">
      <c r="A262" s="78" t="s">
        <v>2713</v>
      </c>
      <c r="B262" s="219" t="s">
        <v>1005</v>
      </c>
      <c r="C262" s="240" t="s">
        <v>1809</v>
      </c>
      <c r="D262" s="240" t="s">
        <v>1459</v>
      </c>
      <c r="E262" s="240" t="s">
        <v>1342</v>
      </c>
      <c r="F262" s="284">
        <v>0.16</v>
      </c>
      <c r="G262" s="242">
        <v>3.4482758620689657</v>
      </c>
      <c r="H262" s="243">
        <f ca="1">SUMIF('Sales 6.2026'!B:F,'All Menu'!B262,'Sales 6.2026'!F:F)</f>
        <v>60</v>
      </c>
      <c r="I262" s="241"/>
      <c r="J262" s="244">
        <f>SUMIF('Finished Recipe'!B:B, B262, 'Finished Recipe'!M:M)</f>
        <v>1.6030531260831127</v>
      </c>
      <c r="K262" s="244">
        <f t="shared" si="25"/>
        <v>1.8452227359858531</v>
      </c>
      <c r="L262" s="245">
        <f t="shared" si="26"/>
        <v>0.46488540656410265</v>
      </c>
      <c r="M262" s="245">
        <f t="shared" si="27"/>
        <v>0.5351145934358974</v>
      </c>
      <c r="N262" s="23"/>
    </row>
    <row r="263" spans="1:14" ht="13" hidden="1">
      <c r="A263" s="78" t="s">
        <v>2714</v>
      </c>
      <c r="B263" s="219" t="s">
        <v>998</v>
      </c>
      <c r="C263" s="240" t="s">
        <v>1809</v>
      </c>
      <c r="D263" s="240" t="s">
        <v>1459</v>
      </c>
      <c r="E263" s="240" t="s">
        <v>1343</v>
      </c>
      <c r="F263" s="284">
        <v>0.16</v>
      </c>
      <c r="G263" s="242">
        <v>2.5862068965517242</v>
      </c>
      <c r="H263" s="243">
        <f ca="1">SUMIF('Sales 6.2026'!B:F,'All Menu'!B263,'Sales 6.2026'!F:F)</f>
        <v>21</v>
      </c>
      <c r="I263" s="241"/>
      <c r="J263" s="244">
        <f>SUMIF('Finished Recipe'!B:B, B263, 'Finished Recipe'!M:M)</f>
        <v>1.4302334633860154</v>
      </c>
      <c r="K263" s="244">
        <f t="shared" si="25"/>
        <v>1.1559734331657088</v>
      </c>
      <c r="L263" s="245">
        <f t="shared" si="26"/>
        <v>0.55302360584259258</v>
      </c>
      <c r="M263" s="245">
        <f t="shared" si="27"/>
        <v>0.44697639415740736</v>
      </c>
      <c r="N263" s="23"/>
    </row>
    <row r="264" spans="1:14" ht="13" hidden="1">
      <c r="A264" s="78" t="s">
        <v>2715</v>
      </c>
      <c r="B264" s="219" t="s">
        <v>1000</v>
      </c>
      <c r="C264" s="240" t="s">
        <v>1809</v>
      </c>
      <c r="D264" s="240" t="s">
        <v>1459</v>
      </c>
      <c r="E264" s="240" t="s">
        <v>1463</v>
      </c>
      <c r="F264" s="284">
        <v>0.16</v>
      </c>
      <c r="G264" s="242">
        <v>3.4482758620689657</v>
      </c>
      <c r="H264" s="243">
        <f ca="1">SUMIF('Sales 6.2026'!B:F,'All Menu'!B264,'Sales 6.2026'!F:F)</f>
        <v>38</v>
      </c>
      <c r="I264" s="241"/>
      <c r="J264" s="244">
        <f>SUMIF('Finished Recipe'!B:B, B264, 'Finished Recipe'!M:M)</f>
        <v>1.6513425658655527</v>
      </c>
      <c r="K264" s="244">
        <f t="shared" si="25"/>
        <v>1.796933296203413</v>
      </c>
      <c r="L264" s="245">
        <f t="shared" si="26"/>
        <v>0.47888934410101025</v>
      </c>
      <c r="M264" s="245">
        <f t="shared" si="27"/>
        <v>0.52111065589898975</v>
      </c>
      <c r="N264" s="23"/>
    </row>
    <row r="265" spans="1:14" ht="13" hidden="1">
      <c r="A265" s="78" t="s">
        <v>2716</v>
      </c>
      <c r="B265" s="219" t="s">
        <v>1072</v>
      </c>
      <c r="C265" s="240" t="s">
        <v>1809</v>
      </c>
      <c r="D265" s="240" t="s">
        <v>1459</v>
      </c>
      <c r="E265" s="240" t="s">
        <v>1464</v>
      </c>
      <c r="F265" s="284">
        <v>0.16</v>
      </c>
      <c r="G265" s="242">
        <v>3.4482758620689657</v>
      </c>
      <c r="H265" s="243">
        <f ca="1">SUMIF('Sales 6.2026'!B:F,'All Menu'!B265,'Sales 6.2026'!F:F)</f>
        <v>67</v>
      </c>
      <c r="I265" s="241"/>
      <c r="J265" s="244">
        <f>SUMIF('Finished Recipe'!B:B, B265, 'Finished Recipe'!M:M)</f>
        <v>1.0812876836433301</v>
      </c>
      <c r="K265" s="244">
        <f t="shared" si="25"/>
        <v>2.3669881784256357</v>
      </c>
      <c r="L265" s="245">
        <f t="shared" si="26"/>
        <v>0.3135734282565657</v>
      </c>
      <c r="M265" s="245">
        <f t="shared" si="27"/>
        <v>0.68642657174343435</v>
      </c>
      <c r="N265" s="23"/>
    </row>
    <row r="266" spans="1:14" ht="13" hidden="1">
      <c r="A266" s="78" t="s">
        <v>2717</v>
      </c>
      <c r="B266" s="219" t="s">
        <v>1023</v>
      </c>
      <c r="C266" s="240" t="s">
        <v>1809</v>
      </c>
      <c r="D266" s="240" t="s">
        <v>1459</v>
      </c>
      <c r="E266" s="240" t="s">
        <v>1355</v>
      </c>
      <c r="F266" s="284">
        <v>0.16</v>
      </c>
      <c r="G266" s="242">
        <v>1.2931034482758621</v>
      </c>
      <c r="H266" s="243">
        <f ca="1">SUMIF('Sales 6.2026'!B:F,'All Menu'!B266,'Sales 6.2026'!F:F)</f>
        <v>195.5</v>
      </c>
      <c r="I266" s="241"/>
      <c r="J266" s="244">
        <f>SUMIF('Finished Recipe'!B:B, B266, 'Finished Recipe'!M:M)</f>
        <v>0.7713331000000001</v>
      </c>
      <c r="K266" s="244">
        <f t="shared" si="25"/>
        <v>0.52177034827586199</v>
      </c>
      <c r="L266" s="245">
        <f t="shared" si="26"/>
        <v>0.59649759733333341</v>
      </c>
      <c r="M266" s="245">
        <f t="shared" si="27"/>
        <v>0.40350240266666659</v>
      </c>
      <c r="N266" s="23"/>
    </row>
    <row r="267" spans="1:14" ht="13" hidden="1">
      <c r="A267" s="78" t="s">
        <v>2718</v>
      </c>
      <c r="B267" s="219" t="s">
        <v>1022</v>
      </c>
      <c r="C267" s="240" t="s">
        <v>1809</v>
      </c>
      <c r="D267" s="240" t="s">
        <v>1459</v>
      </c>
      <c r="E267" s="240" t="s">
        <v>1465</v>
      </c>
      <c r="F267" s="284">
        <v>0.16</v>
      </c>
      <c r="G267" s="242">
        <v>0.86206896551724144</v>
      </c>
      <c r="H267" s="243">
        <f ca="1">SUMIF('Sales 6.2026'!B:F,'All Menu'!B267,'Sales 6.2026'!F:F)</f>
        <v>246.75</v>
      </c>
      <c r="I267" s="241"/>
      <c r="J267" s="244">
        <f>SUMIF('Finished Recipe'!B:B, B267, 'Finished Recipe'!M:M)</f>
        <v>0.46080630459770117</v>
      </c>
      <c r="K267" s="244">
        <f t="shared" si="25"/>
        <v>0.40126266091954027</v>
      </c>
      <c r="L267" s="245">
        <f t="shared" si="26"/>
        <v>0.53453531333333326</v>
      </c>
      <c r="M267" s="245">
        <f t="shared" si="27"/>
        <v>0.46546468666666668</v>
      </c>
      <c r="N267" s="23"/>
    </row>
    <row r="268" spans="1:14" ht="13" hidden="1">
      <c r="A268" s="78" t="s">
        <v>2719</v>
      </c>
      <c r="B268" s="219" t="s">
        <v>1026</v>
      </c>
      <c r="C268" s="240" t="s">
        <v>1809</v>
      </c>
      <c r="D268" s="240" t="s">
        <v>1459</v>
      </c>
      <c r="E268" s="240" t="s">
        <v>1466</v>
      </c>
      <c r="F268" s="284">
        <v>0.16</v>
      </c>
      <c r="G268" s="242">
        <v>1.2931034482758621</v>
      </c>
      <c r="H268" s="243">
        <f ca="1">SUMIF('Sales 6.2026'!B:F,'All Menu'!B268,'Sales 6.2026'!F:F)</f>
        <v>109.90010000000001</v>
      </c>
      <c r="I268" s="241"/>
      <c r="J268" s="244">
        <f>SUMIF('Finished Recipe'!B:B, B268, 'Finished Recipe'!M:M)</f>
        <v>0.42057486725663717</v>
      </c>
      <c r="K268" s="244">
        <f t="shared" si="25"/>
        <v>0.87252858101922492</v>
      </c>
      <c r="L268" s="245">
        <f t="shared" si="26"/>
        <v>0.32524456401179941</v>
      </c>
      <c r="M268" s="245">
        <f t="shared" si="27"/>
        <v>0.67475543598820065</v>
      </c>
      <c r="N268" s="23"/>
    </row>
    <row r="269" spans="1:14" ht="13" hidden="1">
      <c r="A269" s="78" t="s">
        <v>2720</v>
      </c>
      <c r="B269" s="219" t="s">
        <v>1070</v>
      </c>
      <c r="C269" s="240" t="s">
        <v>1809</v>
      </c>
      <c r="D269" s="240" t="s">
        <v>1459</v>
      </c>
      <c r="E269" s="240" t="s">
        <v>797</v>
      </c>
      <c r="F269" s="284">
        <v>0.16</v>
      </c>
      <c r="G269" s="242">
        <v>1.2931034482758621</v>
      </c>
      <c r="H269" s="243">
        <f ca="1">SUMIF('Sales 6.2026'!B:F,'All Menu'!B269,'Sales 6.2026'!F:F)</f>
        <v>294.01</v>
      </c>
      <c r="I269" s="241"/>
      <c r="J269" s="244">
        <f>SUMIF('Finished Recipe'!B:B, B269, 'Finished Recipe'!M:M)</f>
        <v>0.80777525143678153</v>
      </c>
      <c r="K269" s="244">
        <f t="shared" si="25"/>
        <v>0.48532819683908057</v>
      </c>
      <c r="L269" s="245">
        <f t="shared" si="26"/>
        <v>0.62467952777777769</v>
      </c>
      <c r="M269" s="245">
        <f t="shared" si="27"/>
        <v>0.37532047222222231</v>
      </c>
      <c r="N269" s="23"/>
    </row>
    <row r="270" spans="1:14" ht="13" hidden="1">
      <c r="A270" s="78" t="s">
        <v>2721</v>
      </c>
      <c r="B270" s="219" t="s">
        <v>992</v>
      </c>
      <c r="C270" s="240" t="s">
        <v>1809</v>
      </c>
      <c r="D270" s="240" t="s">
        <v>1459</v>
      </c>
      <c r="E270" s="240" t="s">
        <v>1346</v>
      </c>
      <c r="F270" s="284">
        <v>0.16</v>
      </c>
      <c r="G270" s="242">
        <v>3.0172413793103452</v>
      </c>
      <c r="H270" s="243">
        <f ca="1">SUMIF('Sales 6.2026'!B:F,'All Menu'!B270,'Sales 6.2026'!F:F)</f>
        <v>148.01</v>
      </c>
      <c r="I270" s="241"/>
      <c r="J270" s="244">
        <f>SUMIF('Finished Recipe'!B:B, B270, 'Finished Recipe'!M:M)</f>
        <v>1.9395633214233041</v>
      </c>
      <c r="K270" s="244">
        <f t="shared" si="25"/>
        <v>1.0776780578870411</v>
      </c>
      <c r="L270" s="245">
        <f t="shared" si="26"/>
        <v>0.64282670081458071</v>
      </c>
      <c r="M270" s="245">
        <f t="shared" si="27"/>
        <v>0.35717329918541929</v>
      </c>
      <c r="N270" s="23"/>
    </row>
    <row r="271" spans="1:14" ht="13" hidden="1">
      <c r="A271" s="78" t="s">
        <v>2722</v>
      </c>
      <c r="B271" s="219" t="s">
        <v>1025</v>
      </c>
      <c r="C271" s="240" t="s">
        <v>1809</v>
      </c>
      <c r="D271" s="240" t="s">
        <v>1459</v>
      </c>
      <c r="E271" s="240" t="s">
        <v>1467</v>
      </c>
      <c r="F271" s="284">
        <v>0.16</v>
      </c>
      <c r="G271" s="242">
        <v>5.1724137931034484</v>
      </c>
      <c r="H271" s="243">
        <f ca="1">SUMIF('Sales 6.2026'!B:F,'All Menu'!B271,'Sales 6.2026'!F:F)</f>
        <v>36.251000000000005</v>
      </c>
      <c r="I271" s="241"/>
      <c r="J271" s="244">
        <f>SUMIF('Finished Recipe'!B:B, B271, 'Finished Recipe'!M:M)</f>
        <v>4.0654226055971554</v>
      </c>
      <c r="K271" s="244">
        <f t="shared" si="25"/>
        <v>1.106991187506293</v>
      </c>
      <c r="L271" s="245">
        <f t="shared" si="26"/>
        <v>0.7859817037487834</v>
      </c>
      <c r="M271" s="245">
        <f t="shared" si="27"/>
        <v>0.21401829625121663</v>
      </c>
      <c r="N271" s="23"/>
    </row>
    <row r="272" spans="1:14" ht="13" hidden="1">
      <c r="A272" s="78" t="s">
        <v>2723</v>
      </c>
      <c r="B272" s="219" t="s">
        <v>1167</v>
      </c>
      <c r="C272" s="240" t="s">
        <v>1809</v>
      </c>
      <c r="D272" s="240" t="s">
        <v>1459</v>
      </c>
      <c r="E272" s="240" t="s">
        <v>1337</v>
      </c>
      <c r="F272" s="284">
        <v>0.16</v>
      </c>
      <c r="G272" s="242">
        <v>3.4482758620689657</v>
      </c>
      <c r="H272" s="243">
        <f ca="1">SUMIF('Sales 6.2026'!B:F,'All Menu'!B272,'Sales 6.2026'!F:F)</f>
        <v>78</v>
      </c>
      <c r="I272" s="241"/>
      <c r="J272" s="244">
        <f>SUMIF('Finished Recipe'!B:B, B272, 'Finished Recipe'!M:M)</f>
        <v>2.4372080066786665</v>
      </c>
      <c r="K272" s="244">
        <f t="shared" si="25"/>
        <v>1.0110678553902992</v>
      </c>
      <c r="L272" s="245">
        <f t="shared" si="26"/>
        <v>0.70679032193681324</v>
      </c>
      <c r="M272" s="245">
        <f t="shared" si="27"/>
        <v>0.29320967806318676</v>
      </c>
      <c r="N272" s="23"/>
    </row>
    <row r="273" spans="1:14" ht="13" hidden="1">
      <c r="A273" s="78" t="s">
        <v>2724</v>
      </c>
      <c r="B273" s="219" t="s">
        <v>1028</v>
      </c>
      <c r="C273" s="240" t="s">
        <v>1809</v>
      </c>
      <c r="D273" s="240" t="s">
        <v>1459</v>
      </c>
      <c r="E273" s="240" t="s">
        <v>1335</v>
      </c>
      <c r="F273" s="284">
        <v>0.16</v>
      </c>
      <c r="G273" s="242">
        <v>2.8017241379310347</v>
      </c>
      <c r="H273" s="243">
        <f ca="1">SUMIF('Sales 6.2026'!B:F,'All Menu'!B273,'Sales 6.2026'!F:F)</f>
        <v>37</v>
      </c>
      <c r="I273" s="241"/>
      <c r="J273" s="244">
        <f>SUMIF('Finished Recipe'!B:B, B273, 'Finished Recipe'!M:M)</f>
        <v>1.6974376402298856</v>
      </c>
      <c r="K273" s="244">
        <f t="shared" si="25"/>
        <v>1.1042864977011491</v>
      </c>
      <c r="L273" s="245">
        <f t="shared" si="26"/>
        <v>0.60585466543589761</v>
      </c>
      <c r="M273" s="245">
        <f t="shared" si="27"/>
        <v>0.39414533456410239</v>
      </c>
      <c r="N273" s="23"/>
    </row>
    <row r="274" spans="1:14" ht="13" hidden="1">
      <c r="A274" s="78" t="s">
        <v>2725</v>
      </c>
      <c r="B274" s="219" t="s">
        <v>1155</v>
      </c>
      <c r="C274" s="240" t="s">
        <v>1809</v>
      </c>
      <c r="D274" s="240" t="s">
        <v>1459</v>
      </c>
      <c r="E274" s="240" t="s">
        <v>1361</v>
      </c>
      <c r="F274" s="284">
        <v>0.16</v>
      </c>
      <c r="G274" s="242">
        <v>3.4482758620689657</v>
      </c>
      <c r="H274" s="243">
        <f ca="1">SUMIF('Sales 6.2026'!B:F,'All Menu'!B274,'Sales 6.2026'!F:F)</f>
        <v>18</v>
      </c>
      <c r="I274" s="241"/>
      <c r="J274" s="244">
        <f>SUMIF('Finished Recipe'!B:B, B274, 'Finished Recipe'!M:M)</f>
        <v>1.6677253566004877</v>
      </c>
      <c r="K274" s="244">
        <f t="shared" si="25"/>
        <v>1.780550505468478</v>
      </c>
      <c r="L274" s="245">
        <f t="shared" si="26"/>
        <v>0.48364035341414141</v>
      </c>
      <c r="M274" s="245">
        <f t="shared" si="27"/>
        <v>0.51635964658585864</v>
      </c>
    </row>
    <row r="275" spans="1:14" ht="13" hidden="1">
      <c r="A275" s="78" t="s">
        <v>2726</v>
      </c>
      <c r="B275" s="219" t="s">
        <v>1131</v>
      </c>
      <c r="C275" s="240" t="s">
        <v>1809</v>
      </c>
      <c r="D275" s="240" t="s">
        <v>1459</v>
      </c>
      <c r="E275" s="240" t="s">
        <v>1468</v>
      </c>
      <c r="F275" s="284">
        <v>0.16</v>
      </c>
      <c r="G275" s="242">
        <v>6.0344827586206904</v>
      </c>
      <c r="H275" s="243">
        <f ca="1">SUMIF('Sales 6.2026'!B:F,'All Menu'!B275,'Sales 6.2026'!F:F)</f>
        <v>6.0009999999999994</v>
      </c>
      <c r="I275" s="241"/>
      <c r="J275" s="244">
        <f>SUMIF('Finished Recipe'!B:B, B275, 'Finished Recipe'!M:M)</f>
        <v>1.336207525036065</v>
      </c>
      <c r="K275" s="244">
        <f t="shared" si="25"/>
        <v>4.6982752335846252</v>
      </c>
      <c r="L275" s="245">
        <f t="shared" si="26"/>
        <v>0.22142867557740503</v>
      </c>
      <c r="M275" s="245">
        <f t="shared" si="27"/>
        <v>0.77857132442259491</v>
      </c>
      <c r="N275" s="23"/>
    </row>
    <row r="276" spans="1:14" ht="13" hidden="1">
      <c r="A276" s="78" t="s">
        <v>2727</v>
      </c>
      <c r="B276" s="219" t="s">
        <v>1175</v>
      </c>
      <c r="C276" s="240" t="s">
        <v>1809</v>
      </c>
      <c r="D276" s="240" t="s">
        <v>1459</v>
      </c>
      <c r="E276" s="240" t="s">
        <v>1358</v>
      </c>
      <c r="F276" s="284">
        <v>0.16</v>
      </c>
      <c r="G276" s="242">
        <v>5.6034482758620694</v>
      </c>
      <c r="H276" s="243">
        <f ca="1">SUMIF('Sales 6.2026'!B:F,'All Menu'!B276,'Sales 6.2026'!F:F)</f>
        <v>18</v>
      </c>
      <c r="I276" s="241"/>
      <c r="J276" s="244">
        <f>SUMIF('Finished Recipe'!B:B, B276, 'Finished Recipe'!M:M)</f>
        <v>4.3739662429801713</v>
      </c>
      <c r="K276" s="244">
        <f t="shared" ref="K276:K335" si="28">G276-J276</f>
        <v>1.2294820328818981</v>
      </c>
      <c r="L276" s="245">
        <f t="shared" si="26"/>
        <v>0.78058474490107665</v>
      </c>
      <c r="M276" s="245">
        <f t="shared" si="27"/>
        <v>0.21941525509892332</v>
      </c>
      <c r="N276" s="23"/>
    </row>
    <row r="277" spans="1:14" ht="13" hidden="1">
      <c r="A277" s="78" t="s">
        <v>2728</v>
      </c>
      <c r="B277" s="231" t="s">
        <v>1470</v>
      </c>
      <c r="C277" s="240" t="s">
        <v>1809</v>
      </c>
      <c r="D277" s="240" t="s">
        <v>1459</v>
      </c>
      <c r="E277" s="240" t="s">
        <v>1471</v>
      </c>
      <c r="F277" s="284">
        <v>0.16</v>
      </c>
      <c r="G277" s="242">
        <v>0.21551724137931036</v>
      </c>
      <c r="H277" s="243">
        <f ca="1">SUMIF('Sales 6.2026'!B:F,'All Menu'!B277,'Sales 6.2026'!F:F)</f>
        <v>705.00199999999995</v>
      </c>
      <c r="I277" s="241"/>
      <c r="J277" s="244">
        <f>SUMIF('Finished Recipe'!B:B, B277, 'Finished Recipe'!M:M)</f>
        <v>0</v>
      </c>
      <c r="K277" s="244">
        <f t="shared" si="28"/>
        <v>0.21551724137931036</v>
      </c>
      <c r="L277" s="245">
        <f t="shared" si="26"/>
        <v>0</v>
      </c>
      <c r="M277" s="245">
        <f t="shared" si="27"/>
        <v>1</v>
      </c>
      <c r="N277" s="23"/>
    </row>
    <row r="278" spans="1:14" ht="13" hidden="1">
      <c r="A278" s="78" t="s">
        <v>2729</v>
      </c>
      <c r="B278" s="219" t="s">
        <v>1198</v>
      </c>
      <c r="C278" s="240" t="s">
        <v>1809</v>
      </c>
      <c r="D278" s="240" t="s">
        <v>1469</v>
      </c>
      <c r="E278" s="240" t="s">
        <v>1474</v>
      </c>
      <c r="F278" s="284">
        <v>0.16</v>
      </c>
      <c r="G278" s="242">
        <v>5.6034482758620694</v>
      </c>
      <c r="H278" s="243">
        <f ca="1">SUMIF('Sales 6.2026'!B:F,'All Menu'!B278,'Sales 6.2026'!F:F)</f>
        <v>45</v>
      </c>
      <c r="I278" s="241"/>
      <c r="J278" s="244">
        <f>SUMIF('Finished Recipe'!B:B, B278, 'Finished Recipe'!M:M)</f>
        <v>3.1462601484907435</v>
      </c>
      <c r="K278" s="244">
        <f t="shared" si="28"/>
        <v>2.4571881273713259</v>
      </c>
      <c r="L278" s="245">
        <f t="shared" si="26"/>
        <v>0.56148642649988645</v>
      </c>
      <c r="M278" s="245">
        <f t="shared" si="27"/>
        <v>0.4385135735001135</v>
      </c>
      <c r="N278" s="23"/>
    </row>
    <row r="279" spans="1:14" ht="13" hidden="1">
      <c r="A279" s="78" t="s">
        <v>2730</v>
      </c>
      <c r="B279" s="219" t="s">
        <v>1199</v>
      </c>
      <c r="C279" s="240" t="s">
        <v>1809</v>
      </c>
      <c r="D279" s="240" t="s">
        <v>1469</v>
      </c>
      <c r="E279" s="240" t="s">
        <v>1362</v>
      </c>
      <c r="F279" s="284">
        <v>0.16</v>
      </c>
      <c r="G279" s="242">
        <v>7.7586206896551726</v>
      </c>
      <c r="H279" s="243">
        <f ca="1">SUMIF('Sales 6.2026'!B:F,'All Menu'!B279,'Sales 6.2026'!F:F)</f>
        <v>3</v>
      </c>
      <c r="I279" s="241"/>
      <c r="J279" s="244">
        <f>SUMIF('Finished Recipe'!B:B, B279, 'Finished Recipe'!M:M)</f>
        <v>7.1847246533469793</v>
      </c>
      <c r="K279" s="244">
        <f t="shared" si="28"/>
        <v>0.5738960363081933</v>
      </c>
      <c r="L279" s="245">
        <f t="shared" si="26"/>
        <v>0.92603117754249953</v>
      </c>
      <c r="M279" s="245">
        <f t="shared" si="27"/>
        <v>7.3968822457500472E-2</v>
      </c>
      <c r="N279" s="23"/>
    </row>
    <row r="280" spans="1:14" ht="13" hidden="1">
      <c r="A280" s="78" t="s">
        <v>2731</v>
      </c>
      <c r="B280" s="219" t="s">
        <v>1223</v>
      </c>
      <c r="C280" s="240" t="s">
        <v>1809</v>
      </c>
      <c r="D280" s="240" t="s">
        <v>1469</v>
      </c>
      <c r="E280" s="240" t="s">
        <v>1946</v>
      </c>
      <c r="F280" s="284">
        <v>0.16</v>
      </c>
      <c r="G280" s="242">
        <v>4.3103448275862073</v>
      </c>
      <c r="H280" s="243">
        <f ca="1">SUMIF('Sales 6.2026'!B:F,'All Menu'!B280,'Sales 6.2026'!F:F)</f>
        <v>68</v>
      </c>
      <c r="I280" s="241"/>
      <c r="J280" s="244">
        <f>SUMIF('Finished Recipe'!B:B, B280, 'Finished Recipe'!M:M)</f>
        <v>3.0970324568917231</v>
      </c>
      <c r="K280" s="244">
        <f t="shared" si="28"/>
        <v>1.2133123706944842</v>
      </c>
      <c r="L280" s="245">
        <f t="shared" si="26"/>
        <v>0.71851152999887968</v>
      </c>
      <c r="M280" s="245">
        <f t="shared" si="27"/>
        <v>0.28148847000112032</v>
      </c>
      <c r="N280" s="23" t="s">
        <v>1939</v>
      </c>
    </row>
    <row r="281" spans="1:14" ht="13" hidden="1">
      <c r="A281" s="78" t="s">
        <v>2732</v>
      </c>
      <c r="B281" s="219" t="s">
        <v>1224</v>
      </c>
      <c r="C281" s="240" t="s">
        <v>1809</v>
      </c>
      <c r="D281" s="240" t="s">
        <v>1469</v>
      </c>
      <c r="E281" s="240" t="s">
        <v>1732</v>
      </c>
      <c r="F281" s="284">
        <v>0.16</v>
      </c>
      <c r="G281" s="242">
        <v>3.4482758620689657</v>
      </c>
      <c r="H281" s="243">
        <f ca="1">SUMIF('Sales 6.2026'!B:F,'All Menu'!B281,'Sales 6.2026'!F:F)</f>
        <v>0</v>
      </c>
      <c r="I281" s="241"/>
      <c r="J281" s="244">
        <f>SUMIF('Finished Recipe'!B:B, B281, 'Finished Recipe'!M:M)</f>
        <v>3.3386071658655525</v>
      </c>
      <c r="K281" s="244">
        <f t="shared" si="28"/>
        <v>0.10966869620341324</v>
      </c>
      <c r="L281" s="245">
        <f t="shared" si="26"/>
        <v>0.96819607810101016</v>
      </c>
      <c r="M281" s="245">
        <f t="shared" si="27"/>
        <v>3.180392189898984E-2</v>
      </c>
      <c r="N281" s="23"/>
    </row>
    <row r="282" spans="1:14" ht="13" hidden="1">
      <c r="A282" s="78" t="s">
        <v>3071</v>
      </c>
      <c r="B282" s="219" t="s">
        <v>1202</v>
      </c>
      <c r="C282" s="240" t="s">
        <v>1809</v>
      </c>
      <c r="D282" s="240" t="s">
        <v>1469</v>
      </c>
      <c r="E282" s="240" t="s">
        <v>1475</v>
      </c>
      <c r="F282" s="284">
        <v>0.16</v>
      </c>
      <c r="G282" s="242">
        <v>3.0172413793103452</v>
      </c>
      <c r="H282" s="243">
        <f ca="1">SUMIF('Sales 6.2026'!B:F,'All Menu'!B282,'Sales 6.2026'!F:F)</f>
        <v>8.0009999999999994</v>
      </c>
      <c r="I282" s="241"/>
      <c r="J282" s="244">
        <f>SUMIF('Finished Recipe'!B:B, B282, 'Finished Recipe'!M:M)</f>
        <v>3.0299511211920569</v>
      </c>
      <c r="K282" s="244">
        <f t="shared" si="28"/>
        <v>-1.27097418817117E-2</v>
      </c>
      <c r="L282" s="245">
        <f t="shared" si="26"/>
        <v>1.0042123715950817</v>
      </c>
      <c r="M282" s="245">
        <f t="shared" si="27"/>
        <v>-4.212371595081592E-3</v>
      </c>
      <c r="N282" s="23"/>
    </row>
    <row r="283" spans="1:14" ht="13" hidden="1">
      <c r="A283" s="78" t="s">
        <v>2733</v>
      </c>
      <c r="B283" s="219" t="s">
        <v>1203</v>
      </c>
      <c r="C283" s="240" t="s">
        <v>1809</v>
      </c>
      <c r="D283" s="240" t="s">
        <v>1469</v>
      </c>
      <c r="E283" s="240" t="s">
        <v>1681</v>
      </c>
      <c r="F283" s="284">
        <v>0.16</v>
      </c>
      <c r="G283" s="242">
        <v>3.0172413793103452</v>
      </c>
      <c r="H283" s="243">
        <f ca="1">SUMIF('Sales 6.2026'!B:F,'All Menu'!B283,'Sales 6.2026'!F:F)</f>
        <v>0</v>
      </c>
      <c r="I283" s="241"/>
      <c r="J283" s="244">
        <f>SUMIF('Finished Recipe'!B:B, B283, 'Finished Recipe'!M:M)</f>
        <v>2.0900115422009051</v>
      </c>
      <c r="K283" s="244">
        <f t="shared" si="28"/>
        <v>0.92722983710944007</v>
      </c>
      <c r="L283" s="245">
        <f t="shared" si="26"/>
        <v>0.69268953970087133</v>
      </c>
      <c r="M283" s="245">
        <f t="shared" si="27"/>
        <v>0.30731046029912867</v>
      </c>
      <c r="N283" s="23"/>
    </row>
    <row r="284" spans="1:14" ht="13" hidden="1">
      <c r="A284" s="78" t="s">
        <v>2734</v>
      </c>
      <c r="B284" s="219" t="s">
        <v>1204</v>
      </c>
      <c r="C284" s="240" t="s">
        <v>1809</v>
      </c>
      <c r="D284" s="240" t="s">
        <v>1469</v>
      </c>
      <c r="E284" s="240" t="s">
        <v>1682</v>
      </c>
      <c r="F284" s="284">
        <v>0.16</v>
      </c>
      <c r="G284" s="242">
        <v>4.3103448275862073</v>
      </c>
      <c r="H284" s="243">
        <f ca="1">SUMIF('Sales 6.2026'!B:F,'All Menu'!B284,'Sales 6.2026'!F:F)</f>
        <v>24</v>
      </c>
      <c r="I284" s="241"/>
      <c r="J284" s="244">
        <f>SUMIF('Finished Recipe'!B:B, B284, 'Finished Recipe'!M:M)</f>
        <v>0.90323429216094819</v>
      </c>
      <c r="K284" s="244">
        <f t="shared" si="28"/>
        <v>3.4071105354252591</v>
      </c>
      <c r="L284" s="245">
        <f t="shared" si="26"/>
        <v>0.20955035578133996</v>
      </c>
      <c r="M284" s="245">
        <f t="shared" si="27"/>
        <v>0.79044964421866004</v>
      </c>
      <c r="N284" s="23"/>
    </row>
    <row r="285" spans="1:14" ht="13" hidden="1">
      <c r="A285" s="78" t="s">
        <v>2735</v>
      </c>
      <c r="B285" s="219" t="s">
        <v>1225</v>
      </c>
      <c r="C285" s="240" t="s">
        <v>1809</v>
      </c>
      <c r="D285" s="240" t="s">
        <v>1469</v>
      </c>
      <c r="E285" s="240" t="s">
        <v>1476</v>
      </c>
      <c r="F285" s="284">
        <v>0.16</v>
      </c>
      <c r="G285" s="242">
        <v>3.4482758620689657</v>
      </c>
      <c r="H285" s="243">
        <f ca="1">SUMIF('Sales 6.2026'!B:F,'All Menu'!B285,'Sales 6.2026'!F:F)</f>
        <v>0</v>
      </c>
      <c r="I285" s="241"/>
      <c r="J285" s="244">
        <f>SUMIF('Finished Recipe'!B:B, B285, 'Finished Recipe'!M:M)</f>
        <v>1.8495930637631333</v>
      </c>
      <c r="K285" s="244">
        <f t="shared" si="28"/>
        <v>1.5986827983058325</v>
      </c>
      <c r="L285" s="245">
        <f t="shared" si="26"/>
        <v>0.53638198849130858</v>
      </c>
      <c r="M285" s="245">
        <f t="shared" si="27"/>
        <v>0.46361801150869136</v>
      </c>
      <c r="N285" s="23"/>
    </row>
    <row r="286" spans="1:14" ht="13" hidden="1">
      <c r="A286" s="78" t="s">
        <v>2736</v>
      </c>
      <c r="B286" s="219" t="s">
        <v>1125</v>
      </c>
      <c r="C286" s="240" t="s">
        <v>1809</v>
      </c>
      <c r="D286" s="240" t="s">
        <v>1469</v>
      </c>
      <c r="E286" s="240" t="s">
        <v>795</v>
      </c>
      <c r="F286" s="284">
        <v>0.16</v>
      </c>
      <c r="G286" s="242">
        <v>3.0172413793103452</v>
      </c>
      <c r="H286" s="243">
        <f ca="1">SUMIF('Sales 6.2026'!B:F,'All Menu'!B286,'Sales 6.2026'!F:F)</f>
        <v>1E-3</v>
      </c>
      <c r="I286" s="241"/>
      <c r="J286" s="244">
        <f>SUMIF('Finished Recipe'!B:B, B286, 'Finished Recipe'!M:M)</f>
        <v>1.4509442375212858</v>
      </c>
      <c r="K286" s="244">
        <f t="shared" si="28"/>
        <v>1.5662971417890594</v>
      </c>
      <c r="L286" s="245">
        <f t="shared" si="26"/>
        <v>0.48088437586419752</v>
      </c>
      <c r="M286" s="245">
        <f t="shared" si="27"/>
        <v>0.51911562413580248</v>
      </c>
      <c r="N286" s="23"/>
    </row>
    <row r="287" spans="1:14" ht="13" hidden="1">
      <c r="A287" s="78" t="s">
        <v>2737</v>
      </c>
      <c r="B287" s="219" t="s">
        <v>1178</v>
      </c>
      <c r="C287" s="240" t="s">
        <v>1809</v>
      </c>
      <c r="D287" s="240" t="s">
        <v>1469</v>
      </c>
      <c r="E287" s="240" t="s">
        <v>1347</v>
      </c>
      <c r="F287" s="284">
        <v>0.16</v>
      </c>
      <c r="G287" s="242">
        <v>6.0344827586206904</v>
      </c>
      <c r="H287" s="243">
        <f ca="1">SUMIF('Sales 6.2026'!B:F,'All Menu'!B287,'Sales 6.2026'!F:F)</f>
        <v>127</v>
      </c>
      <c r="I287" s="241"/>
      <c r="J287" s="244">
        <f>SUMIF('Finished Recipe'!B:B, B287, 'Finished Recipe'!M:M)</f>
        <v>6.2484995959427092</v>
      </c>
      <c r="K287" s="244">
        <f t="shared" si="28"/>
        <v>-0.21401683732201882</v>
      </c>
      <c r="L287" s="245">
        <f t="shared" si="26"/>
        <v>1.0354656473276489</v>
      </c>
      <c r="M287" s="245">
        <f t="shared" si="27"/>
        <v>-3.5465647327648828E-2</v>
      </c>
      <c r="N287" s="23"/>
    </row>
    <row r="288" spans="1:14" ht="13" hidden="1">
      <c r="A288" s="78" t="s">
        <v>2738</v>
      </c>
      <c r="B288" s="219" t="s">
        <v>1270</v>
      </c>
      <c r="C288" s="240" t="s">
        <v>1809</v>
      </c>
      <c r="D288" s="240" t="s">
        <v>1469</v>
      </c>
      <c r="E288" s="240" t="s">
        <v>1345</v>
      </c>
      <c r="F288" s="284">
        <v>0.16</v>
      </c>
      <c r="G288" s="242">
        <v>6.8965517241379315</v>
      </c>
      <c r="H288" s="243">
        <f ca="1">SUMIF('Sales 6.2026'!B:F,'All Menu'!B288,'Sales 6.2026'!F:F)</f>
        <v>111</v>
      </c>
      <c r="I288" s="241"/>
      <c r="J288" s="244">
        <f>SUMIF('Finished Recipe'!B:B, B288, 'Finished Recipe'!M:M)</f>
        <v>4.7272690639304891</v>
      </c>
      <c r="K288" s="244">
        <f t="shared" si="28"/>
        <v>2.1692826602074424</v>
      </c>
      <c r="L288" s="245">
        <f t="shared" si="26"/>
        <v>0.68545401426992092</v>
      </c>
      <c r="M288" s="245">
        <f t="shared" si="27"/>
        <v>0.31454598573007914</v>
      </c>
      <c r="N288" s="23"/>
    </row>
    <row r="289" spans="1:14" ht="13" hidden="1">
      <c r="A289" s="78" t="s">
        <v>2739</v>
      </c>
      <c r="B289" s="219" t="s">
        <v>1226</v>
      </c>
      <c r="C289" s="240" t="s">
        <v>1809</v>
      </c>
      <c r="D289" s="240" t="s">
        <v>1469</v>
      </c>
      <c r="E289" s="240" t="s">
        <v>1348</v>
      </c>
      <c r="F289" s="284">
        <v>0.16</v>
      </c>
      <c r="G289" s="242">
        <v>12.931034482758621</v>
      </c>
      <c r="H289" s="243">
        <f ca="1">SUMIF('Sales 6.2026'!B:F,'All Menu'!B289,'Sales 6.2026'!F:F)</f>
        <v>77</v>
      </c>
      <c r="I289" s="241"/>
      <c r="J289" s="244">
        <f>SUMIF('Finished Recipe'!B:B, B289, 'Finished Recipe'!M:M)</f>
        <v>9.0042398265418075</v>
      </c>
      <c r="K289" s="244">
        <f t="shared" si="28"/>
        <v>3.9267946562168135</v>
      </c>
      <c r="L289" s="245">
        <f t="shared" si="26"/>
        <v>0.69632787991923306</v>
      </c>
      <c r="M289" s="245">
        <f t="shared" si="27"/>
        <v>0.30367212008076688</v>
      </c>
      <c r="N289" s="23"/>
    </row>
    <row r="290" spans="1:14" ht="13" hidden="1">
      <c r="A290" s="78" t="s">
        <v>2740</v>
      </c>
      <c r="B290" s="219" t="s">
        <v>1227</v>
      </c>
      <c r="C290" s="240" t="s">
        <v>1809</v>
      </c>
      <c r="D290" s="240" t="s">
        <v>1469</v>
      </c>
      <c r="E290" s="240" t="s">
        <v>1683</v>
      </c>
      <c r="F290" s="284">
        <v>0.16</v>
      </c>
      <c r="G290" s="242">
        <v>15.517241379310345</v>
      </c>
      <c r="H290" s="243">
        <f ca="1">SUMIF('Sales 6.2026'!B:F,'All Menu'!B290,'Sales 6.2026'!F:F)</f>
        <v>0</v>
      </c>
      <c r="I290" s="241"/>
      <c r="J290" s="244">
        <f>SUMIF('Finished Recipe'!B:B, B290, 'Finished Recipe'!M:M)</f>
        <v>11.170181931590943</v>
      </c>
      <c r="K290" s="244">
        <f t="shared" si="28"/>
        <v>4.3470594477194027</v>
      </c>
      <c r="L290" s="245">
        <f t="shared" si="26"/>
        <v>0.71985616892474957</v>
      </c>
      <c r="M290" s="245">
        <f t="shared" si="27"/>
        <v>0.28014383107525037</v>
      </c>
      <c r="N290" s="23"/>
    </row>
    <row r="291" spans="1:14" ht="13" hidden="1">
      <c r="A291" s="78" t="s">
        <v>2741</v>
      </c>
      <c r="B291" s="219" t="s">
        <v>1309</v>
      </c>
      <c r="C291" s="240" t="s">
        <v>1809</v>
      </c>
      <c r="D291" s="240" t="s">
        <v>1469</v>
      </c>
      <c r="E291" s="240" t="s">
        <v>1364</v>
      </c>
      <c r="F291" s="284">
        <v>0.16</v>
      </c>
      <c r="G291" s="242">
        <v>4.3103448275862073</v>
      </c>
      <c r="H291" s="243">
        <f ca="1">SUMIF('Sales 6.2026'!B:F,'All Menu'!B291,'Sales 6.2026'!F:F)</f>
        <v>0</v>
      </c>
      <c r="I291" s="241"/>
      <c r="J291" s="244">
        <f>SUMIF('Finished Recipe'!B:B, B291, 'Finished Recipe'!M:M)</f>
        <v>1.1848556278379858</v>
      </c>
      <c r="K291" s="244">
        <f t="shared" si="28"/>
        <v>3.1254891997482215</v>
      </c>
      <c r="L291" s="245">
        <f t="shared" si="26"/>
        <v>0.27488650565841266</v>
      </c>
      <c r="M291" s="245">
        <f t="shared" si="27"/>
        <v>0.72511349434158734</v>
      </c>
      <c r="N291" s="23"/>
    </row>
    <row r="292" spans="1:14" ht="13" hidden="1">
      <c r="A292" s="78" t="s">
        <v>2742</v>
      </c>
      <c r="B292" s="219" t="s">
        <v>984</v>
      </c>
      <c r="C292" s="240" t="s">
        <v>423</v>
      </c>
      <c r="D292" s="240" t="s">
        <v>1390</v>
      </c>
      <c r="E292" s="240" t="s">
        <v>1670</v>
      </c>
      <c r="F292" s="284">
        <v>0.16</v>
      </c>
      <c r="G292" s="242">
        <v>2.1551724137931036</v>
      </c>
      <c r="H292" s="243">
        <f ca="1">SUMIF('Sales 6.2026'!B:F,'All Menu'!B292,'Sales 6.2026'!F:F)</f>
        <v>6</v>
      </c>
      <c r="I292" s="241"/>
      <c r="J292" s="244">
        <f>SUMIF('Finished Recipe'!B:B, B292, 'Finished Recipe'!M:M)</f>
        <v>0.89710371447080939</v>
      </c>
      <c r="K292" s="244">
        <f t="shared" si="28"/>
        <v>1.2580686993222943</v>
      </c>
      <c r="L292" s="245">
        <f t="shared" si="26"/>
        <v>0.41625612351445551</v>
      </c>
      <c r="M292" s="245">
        <f t="shared" si="27"/>
        <v>0.58374387648554449</v>
      </c>
      <c r="N292" s="23"/>
    </row>
    <row r="293" spans="1:14" ht="13" hidden="1">
      <c r="A293" s="78" t="s">
        <v>2743</v>
      </c>
      <c r="B293" s="219" t="s">
        <v>978</v>
      </c>
      <c r="C293" s="240" t="s">
        <v>423</v>
      </c>
      <c r="D293" s="240" t="s">
        <v>1418</v>
      </c>
      <c r="E293" s="240" t="s">
        <v>1389</v>
      </c>
      <c r="F293" s="284">
        <v>0.16</v>
      </c>
      <c r="G293" s="242">
        <v>1.7241379310344829</v>
      </c>
      <c r="H293" s="243">
        <f ca="1">SUMIF('Sales 6.2026'!B:F,'All Menu'!B293,'Sales 6.2026'!F:F)</f>
        <v>23</v>
      </c>
      <c r="I293" s="241"/>
      <c r="J293" s="244">
        <f>SUMIF('Finished Recipe'!B:B, B293, 'Finished Recipe'!M:M)</f>
        <v>0.99520715447080943</v>
      </c>
      <c r="K293" s="244">
        <f t="shared" si="28"/>
        <v>0.72893077656367344</v>
      </c>
      <c r="L293" s="245">
        <f t="shared" si="26"/>
        <v>0.57722014959306944</v>
      </c>
      <c r="M293" s="245">
        <f t="shared" si="27"/>
        <v>0.42277985040693056</v>
      </c>
      <c r="N293" s="23"/>
    </row>
    <row r="294" spans="1:14" ht="13" hidden="1">
      <c r="A294" s="78" t="s">
        <v>2744</v>
      </c>
      <c r="B294" s="219" t="s">
        <v>974</v>
      </c>
      <c r="C294" s="240" t="s">
        <v>423</v>
      </c>
      <c r="D294" s="240" t="s">
        <v>1418</v>
      </c>
      <c r="E294" s="247" t="s">
        <v>1671</v>
      </c>
      <c r="F294" s="284">
        <v>0.16</v>
      </c>
      <c r="G294" s="242">
        <v>3.2327586206896552</v>
      </c>
      <c r="H294" s="249">
        <f ca="1">SUMIF('Sales 6.2026'!B:F,'All Menu'!B294,'Sales 6.2026'!F:F)</f>
        <v>6</v>
      </c>
      <c r="I294" s="241"/>
      <c r="J294" s="244">
        <f>SUMIF('Finished Recipe'!B:B, B294, 'Finished Recipe'!M:M)</f>
        <v>1.6932071544708096</v>
      </c>
      <c r="K294" s="244">
        <f t="shared" si="28"/>
        <v>1.5395514662188456</v>
      </c>
      <c r="L294" s="245">
        <f t="shared" si="26"/>
        <v>0.52376541311630376</v>
      </c>
      <c r="M294" s="245">
        <f t="shared" si="27"/>
        <v>0.47623458688369624</v>
      </c>
      <c r="N294" s="23"/>
    </row>
    <row r="295" spans="1:14" ht="13" hidden="1">
      <c r="A295" s="78" t="s">
        <v>2745</v>
      </c>
      <c r="B295" s="219" t="s">
        <v>980</v>
      </c>
      <c r="C295" s="240" t="s">
        <v>423</v>
      </c>
      <c r="D295" s="240" t="s">
        <v>1418</v>
      </c>
      <c r="E295" s="240" t="s">
        <v>1391</v>
      </c>
      <c r="F295" s="284">
        <v>0.16</v>
      </c>
      <c r="G295" s="242">
        <v>1.5086206896551726</v>
      </c>
      <c r="H295" s="243">
        <f ca="1">SUMIF('Sales 6.2026'!B:F,'All Menu'!B295,'Sales 6.2026'!F:F)</f>
        <v>10</v>
      </c>
      <c r="I295" s="241"/>
      <c r="J295" s="244">
        <f>SUMIF('Finished Recipe'!B:B, B295, 'Finished Recipe'!M:M)</f>
        <v>0.78314054788388487</v>
      </c>
      <c r="K295" s="244">
        <f t="shared" si="28"/>
        <v>0.72548014177128772</v>
      </c>
      <c r="L295" s="245">
        <f t="shared" si="26"/>
        <v>0.51911030602588937</v>
      </c>
      <c r="M295" s="245">
        <f t="shared" si="27"/>
        <v>0.48088969397411069</v>
      </c>
      <c r="N295" s="23"/>
    </row>
    <row r="296" spans="1:14" ht="13" hidden="1">
      <c r="A296" s="78" t="s">
        <v>2746</v>
      </c>
      <c r="B296" s="219" t="s">
        <v>981</v>
      </c>
      <c r="C296" s="240" t="s">
        <v>423</v>
      </c>
      <c r="D296" s="240" t="s">
        <v>1418</v>
      </c>
      <c r="E296" s="247" t="s">
        <v>1771</v>
      </c>
      <c r="F296" s="284">
        <v>0.16</v>
      </c>
      <c r="G296" s="242">
        <v>2.7586206896551726</v>
      </c>
      <c r="H296" s="249">
        <f ca="1">SUMIF('Sales 6.2026'!B:F,'All Menu'!B296,'Sales 6.2026'!F:F)</f>
        <v>1</v>
      </c>
      <c r="I296" s="241"/>
      <c r="J296" s="244">
        <f>SUMIF('Finished Recipe'!B:B, B296, 'Finished Recipe'!M:M)</f>
        <v>1.2831405478838851</v>
      </c>
      <c r="K296" s="244">
        <f t="shared" si="28"/>
        <v>1.4754801417712875</v>
      </c>
      <c r="L296" s="245">
        <f t="shared" si="26"/>
        <v>0.46513844860790832</v>
      </c>
      <c r="M296" s="245">
        <f t="shared" si="27"/>
        <v>0.53486155139209168</v>
      </c>
      <c r="N296" s="23"/>
    </row>
    <row r="297" spans="1:14" ht="13" hidden="1">
      <c r="A297" s="78" t="s">
        <v>3070</v>
      </c>
      <c r="B297" s="219" t="s">
        <v>966</v>
      </c>
      <c r="C297" s="240" t="s">
        <v>423</v>
      </c>
      <c r="D297" s="240" t="s">
        <v>1390</v>
      </c>
      <c r="E297" s="240" t="s">
        <v>1392</v>
      </c>
      <c r="F297" s="284">
        <v>0.16</v>
      </c>
      <c r="G297" s="242">
        <v>5.9913793103448283</v>
      </c>
      <c r="H297" s="243">
        <f ca="1">SUMIF('Sales 6.2026'!B:F,'All Menu'!B297,'Sales 6.2026'!F:F)</f>
        <v>25.001000000000001</v>
      </c>
      <c r="I297" s="241"/>
      <c r="J297" s="244">
        <f>SUMIF('Finished Recipe'!B:B, B297, 'Finished Recipe'!M:M)</f>
        <v>3.6686979324224152</v>
      </c>
      <c r="K297" s="244">
        <f t="shared" si="28"/>
        <v>2.3226813779224131</v>
      </c>
      <c r="L297" s="245">
        <f t="shared" si="26"/>
        <v>0.61232943908057569</v>
      </c>
      <c r="M297" s="245">
        <f t="shared" si="27"/>
        <v>0.38767056091942431</v>
      </c>
      <c r="N297" s="23"/>
    </row>
    <row r="298" spans="1:14" ht="13" hidden="1">
      <c r="A298" s="78" t="s">
        <v>3069</v>
      </c>
      <c r="B298" s="219" t="s">
        <v>964</v>
      </c>
      <c r="C298" s="240" t="s">
        <v>423</v>
      </c>
      <c r="D298" s="240" t="s">
        <v>1390</v>
      </c>
      <c r="E298" s="240" t="s">
        <v>1393</v>
      </c>
      <c r="F298" s="284">
        <v>0.16</v>
      </c>
      <c r="G298" s="242">
        <v>5.6896551724137936</v>
      </c>
      <c r="H298" s="243">
        <f ca="1">SUMIF('Sales 6.2026'!B:F,'All Menu'!B298,'Sales 6.2026'!F:F)</f>
        <v>55</v>
      </c>
      <c r="I298" s="241"/>
      <c r="J298" s="244">
        <f>SUMIF('Finished Recipe'!B:B, B298, 'Finished Recipe'!M:M)</f>
        <v>3.7688742119978325</v>
      </c>
      <c r="K298" s="244">
        <f t="shared" si="28"/>
        <v>1.9207809604159611</v>
      </c>
      <c r="L298" s="245">
        <f t="shared" si="26"/>
        <v>0.66240819483598257</v>
      </c>
      <c r="M298" s="245">
        <f t="shared" si="27"/>
        <v>0.33759180516401738</v>
      </c>
      <c r="N298" s="23"/>
    </row>
    <row r="299" spans="1:14" ht="13" hidden="1">
      <c r="A299" s="78" t="s">
        <v>3067</v>
      </c>
      <c r="B299" s="219" t="s">
        <v>967</v>
      </c>
      <c r="C299" s="240" t="s">
        <v>423</v>
      </c>
      <c r="D299" s="240" t="s">
        <v>1390</v>
      </c>
      <c r="E299" s="240" t="s">
        <v>1394</v>
      </c>
      <c r="F299" s="284">
        <v>0.16</v>
      </c>
      <c r="G299" s="242">
        <v>7.112068965517242</v>
      </c>
      <c r="H299" s="243">
        <f ca="1">SUMIF('Sales 6.2026'!B:F,'All Menu'!B299,'Sales 6.2026'!F:F)</f>
        <v>54</v>
      </c>
      <c r="I299" s="241"/>
      <c r="J299" s="244">
        <f>SUMIF('Finished Recipe'!B:B, B299, 'Finished Recipe'!M:M)</f>
        <v>6.3656279160317544</v>
      </c>
      <c r="K299" s="244">
        <f t="shared" si="28"/>
        <v>0.74644104948548762</v>
      </c>
      <c r="L299" s="245">
        <f t="shared" si="26"/>
        <v>0.89504586455719204</v>
      </c>
      <c r="M299" s="245">
        <f t="shared" si="27"/>
        <v>0.10495413544280795</v>
      </c>
      <c r="N299" s="23"/>
    </row>
    <row r="300" spans="1:14" ht="13" hidden="1">
      <c r="A300" s="78" t="s">
        <v>3068</v>
      </c>
      <c r="B300" s="219" t="s">
        <v>965</v>
      </c>
      <c r="C300" s="240" t="s">
        <v>423</v>
      </c>
      <c r="D300" s="240" t="s">
        <v>1390</v>
      </c>
      <c r="E300" s="240" t="s">
        <v>1395</v>
      </c>
      <c r="F300" s="284">
        <v>0.16</v>
      </c>
      <c r="G300" s="242">
        <v>4.7413793103448283</v>
      </c>
      <c r="H300" s="243">
        <f ca="1">SUMIF('Sales 6.2026'!B:F,'All Menu'!B300,'Sales 6.2026'!F:F)</f>
        <v>59.000999999999998</v>
      </c>
      <c r="I300" s="241"/>
      <c r="J300" s="244">
        <f>SUMIF('Finished Recipe'!B:B, B300, 'Finished Recipe'!M:M)</f>
        <v>1.6773279540549295</v>
      </c>
      <c r="K300" s="244">
        <f t="shared" si="28"/>
        <v>3.064051356289899</v>
      </c>
      <c r="L300" s="245">
        <f t="shared" si="26"/>
        <v>0.35376371394613054</v>
      </c>
      <c r="M300" s="245">
        <f t="shared" si="27"/>
        <v>0.64623628605386951</v>
      </c>
      <c r="N300" s="23"/>
    </row>
    <row r="301" spans="1:14" ht="13" hidden="1">
      <c r="A301" s="78" t="s">
        <v>2747</v>
      </c>
      <c r="B301" s="219" t="s">
        <v>1068</v>
      </c>
      <c r="C301" s="240" t="s">
        <v>423</v>
      </c>
      <c r="D301" s="240" t="s">
        <v>1390</v>
      </c>
      <c r="E301" s="240" t="s">
        <v>1396</v>
      </c>
      <c r="F301" s="284">
        <v>0.16</v>
      </c>
      <c r="G301" s="242">
        <v>10.129310344827587</v>
      </c>
      <c r="H301" s="243">
        <f ca="1">SUMIF('Sales 6.2026'!B:F,'All Menu'!B301,'Sales 6.2026'!F:F)</f>
        <v>44</v>
      </c>
      <c r="I301" s="241"/>
      <c r="J301" s="244">
        <f>SUMIF('Finished Recipe'!B:B, B301, 'Finished Recipe'!M:M)</f>
        <v>8.5399233888278197</v>
      </c>
      <c r="K301" s="244">
        <f t="shared" si="28"/>
        <v>1.5893869559997675</v>
      </c>
      <c r="L301" s="245">
        <f t="shared" si="26"/>
        <v>0.84309030902470383</v>
      </c>
      <c r="M301" s="245">
        <f t="shared" si="27"/>
        <v>0.1569096909752962</v>
      </c>
      <c r="N301" s="23"/>
    </row>
    <row r="302" spans="1:14" ht="13" hidden="1">
      <c r="A302" s="78" t="s">
        <v>2748</v>
      </c>
      <c r="B302" s="219" t="s">
        <v>1067</v>
      </c>
      <c r="C302" s="240" t="s">
        <v>423</v>
      </c>
      <c r="D302" s="240" t="s">
        <v>1390</v>
      </c>
      <c r="E302" s="240" t="s">
        <v>1397</v>
      </c>
      <c r="F302" s="284">
        <v>0.16</v>
      </c>
      <c r="G302" s="242">
        <v>18.53448275862069</v>
      </c>
      <c r="H302" s="243">
        <f ca="1">SUMIF('Sales 6.2026'!B:F,'All Menu'!B302,'Sales 6.2026'!F:F)</f>
        <v>184</v>
      </c>
      <c r="I302" s="241"/>
      <c r="J302" s="244">
        <f>SUMIF('Finished Recipe'!B:B, B302, 'Finished Recipe'!M:M)</f>
        <v>13.396247348151649</v>
      </c>
      <c r="K302" s="244">
        <f t="shared" si="28"/>
        <v>5.1382354104690418</v>
      </c>
      <c r="L302" s="245">
        <f t="shared" si="26"/>
        <v>0.72277427552818196</v>
      </c>
      <c r="M302" s="245">
        <f t="shared" si="27"/>
        <v>0.27722572447181804</v>
      </c>
      <c r="N302" s="23"/>
    </row>
    <row r="303" spans="1:14" ht="13" hidden="1">
      <c r="A303" s="78" t="s">
        <v>2749</v>
      </c>
      <c r="B303" s="219" t="s">
        <v>957</v>
      </c>
      <c r="C303" s="240" t="s">
        <v>423</v>
      </c>
      <c r="D303" s="240" t="s">
        <v>1390</v>
      </c>
      <c r="E303" s="240" t="s">
        <v>1398</v>
      </c>
      <c r="F303" s="284">
        <v>0.16</v>
      </c>
      <c r="G303" s="242">
        <v>12.5</v>
      </c>
      <c r="H303" s="243">
        <f ca="1">SUMIF('Sales 6.2026'!B:F,'All Menu'!B303,'Sales 6.2026'!F:F)</f>
        <v>74.801000000000002</v>
      </c>
      <c r="I303" s="241"/>
      <c r="J303" s="244">
        <f>SUMIF('Finished Recipe'!B:B, B303, 'Finished Recipe'!M:M)</f>
        <v>9.7921151018464965</v>
      </c>
      <c r="K303" s="244">
        <f t="shared" si="28"/>
        <v>2.7078848981535035</v>
      </c>
      <c r="L303" s="245">
        <f t="shared" si="26"/>
        <v>0.78336920814771971</v>
      </c>
      <c r="M303" s="245">
        <f t="shared" si="27"/>
        <v>0.21663079185228029</v>
      </c>
      <c r="N303" s="23"/>
    </row>
    <row r="304" spans="1:14" ht="13" hidden="1">
      <c r="A304" s="78" t="s">
        <v>3061</v>
      </c>
      <c r="B304" s="219" t="s">
        <v>950</v>
      </c>
      <c r="C304" s="240" t="s">
        <v>423</v>
      </c>
      <c r="D304" s="240" t="s">
        <v>1390</v>
      </c>
      <c r="E304" s="240" t="s">
        <v>1399</v>
      </c>
      <c r="F304" s="284">
        <v>0.16</v>
      </c>
      <c r="G304" s="242">
        <v>23.706896551724139</v>
      </c>
      <c r="H304" s="243">
        <f ca="1">SUMIF('Sales 6.2026'!B:F,'All Menu'!B304,'Sales 6.2026'!F:F)</f>
        <v>88.350099999999998</v>
      </c>
      <c r="I304" s="241"/>
      <c r="J304" s="244">
        <f>SUMIF('Finished Recipe'!B:B, B304, 'Finished Recipe'!M:M)</f>
        <v>21.859353332193056</v>
      </c>
      <c r="K304" s="244">
        <f t="shared" si="28"/>
        <v>1.847543219531083</v>
      </c>
      <c r="L304" s="245">
        <f t="shared" si="26"/>
        <v>0.92206726783068882</v>
      </c>
      <c r="M304" s="245">
        <f t="shared" si="27"/>
        <v>7.7932732169311139E-2</v>
      </c>
      <c r="N304" s="23"/>
    </row>
    <row r="305" spans="1:14" ht="13" hidden="1">
      <c r="A305" s="78" t="s">
        <v>2751</v>
      </c>
      <c r="B305" s="219" t="s">
        <v>959</v>
      </c>
      <c r="C305" s="240" t="s">
        <v>423</v>
      </c>
      <c r="D305" s="240" t="s">
        <v>1390</v>
      </c>
      <c r="E305" s="240" t="s">
        <v>1400</v>
      </c>
      <c r="F305" s="284">
        <v>0.16</v>
      </c>
      <c r="G305" s="242">
        <v>9.4827586206896566</v>
      </c>
      <c r="H305" s="243">
        <f ca="1">SUMIF('Sales 6.2026'!B:F,'All Menu'!B305,'Sales 6.2026'!F:F)</f>
        <v>113.8</v>
      </c>
      <c r="I305" s="241"/>
      <c r="J305" s="244">
        <f>SUMIF('Finished Recipe'!B:B, B305, 'Finished Recipe'!M:M)</f>
        <v>6.4946902839713658</v>
      </c>
      <c r="K305" s="244">
        <f t="shared" si="28"/>
        <v>2.9880683367182908</v>
      </c>
      <c r="L305" s="245">
        <f t="shared" si="26"/>
        <v>0.68489461176425304</v>
      </c>
      <c r="M305" s="245">
        <f t="shared" si="27"/>
        <v>0.31510538823574696</v>
      </c>
      <c r="N305" s="23"/>
    </row>
    <row r="306" spans="1:14" ht="13" hidden="1">
      <c r="A306" s="78" t="s">
        <v>2752</v>
      </c>
      <c r="B306" s="219" t="s">
        <v>952</v>
      </c>
      <c r="C306" s="240" t="s">
        <v>423</v>
      </c>
      <c r="D306" s="240" t="s">
        <v>1390</v>
      </c>
      <c r="E306" s="240" t="s">
        <v>1401</v>
      </c>
      <c r="F306" s="284">
        <v>0.16</v>
      </c>
      <c r="G306" s="242">
        <v>18.53448275862069</v>
      </c>
      <c r="H306" s="243">
        <f ca="1">SUMIF('Sales 6.2026'!B:F,'All Menu'!B306,'Sales 6.2026'!F:F)</f>
        <v>174.75110000000001</v>
      </c>
      <c r="I306" s="241"/>
      <c r="J306" s="244">
        <f>SUMIF('Finished Recipe'!B:B, B306, 'Finished Recipe'!M:M)</f>
        <v>12.512937550011697</v>
      </c>
      <c r="K306" s="244">
        <f t="shared" si="28"/>
        <v>6.0215452086089929</v>
      </c>
      <c r="L306" s="245">
        <f t="shared" si="26"/>
        <v>0.67511663060528226</v>
      </c>
      <c r="M306" s="245">
        <f t="shared" si="27"/>
        <v>0.32488336939471774</v>
      </c>
      <c r="N306" s="23"/>
    </row>
    <row r="307" spans="1:14" ht="13" hidden="1">
      <c r="A307" s="78" t="s">
        <v>2753</v>
      </c>
      <c r="B307" s="219" t="s">
        <v>960</v>
      </c>
      <c r="C307" s="240" t="s">
        <v>423</v>
      </c>
      <c r="D307" s="240" t="s">
        <v>1390</v>
      </c>
      <c r="E307" s="241" t="s">
        <v>1672</v>
      </c>
      <c r="F307" s="284">
        <v>0.16</v>
      </c>
      <c r="G307" s="242">
        <v>7.7586206896551726</v>
      </c>
      <c r="H307" s="243">
        <f ca="1">SUMIF('Sales 6.2026'!B:F,'All Menu'!B307,'Sales 6.2026'!F:F)</f>
        <v>56.250999999999998</v>
      </c>
      <c r="I307" s="241"/>
      <c r="J307" s="244">
        <f>SUMIF('Finished Recipe'!B:B, B307, 'Finished Recipe'!M:M)</f>
        <v>3.136900159373992</v>
      </c>
      <c r="K307" s="244">
        <f t="shared" si="28"/>
        <v>4.6217205302811806</v>
      </c>
      <c r="L307" s="245">
        <f t="shared" si="26"/>
        <v>0.40431157609709228</v>
      </c>
      <c r="M307" s="245">
        <f t="shared" si="27"/>
        <v>0.59568842390290766</v>
      </c>
      <c r="N307" s="23"/>
    </row>
    <row r="308" spans="1:14" ht="13" hidden="1">
      <c r="A308" s="78" t="s">
        <v>2754</v>
      </c>
      <c r="B308" s="219" t="s">
        <v>954</v>
      </c>
      <c r="C308" s="240" t="s">
        <v>423</v>
      </c>
      <c r="D308" s="240" t="s">
        <v>1390</v>
      </c>
      <c r="E308" s="241" t="s">
        <v>1402</v>
      </c>
      <c r="F308" s="284">
        <v>0.16</v>
      </c>
      <c r="G308" s="242">
        <v>14.655172413793105</v>
      </c>
      <c r="H308" s="243">
        <f ca="1">SUMIF('Sales 6.2026'!B:F,'All Menu'!B308,'Sales 6.2026'!F:F)</f>
        <v>61.2</v>
      </c>
      <c r="I308" s="241"/>
      <c r="J308" s="244">
        <f>SUMIF('Finished Recipe'!B:B, B308, 'Finished Recipe'!M:M)</f>
        <v>5.6704266024752172</v>
      </c>
      <c r="K308" s="244">
        <f t="shared" si="28"/>
        <v>8.9847458113178877</v>
      </c>
      <c r="L308" s="245">
        <f t="shared" si="26"/>
        <v>0.38692322699242654</v>
      </c>
      <c r="M308" s="245">
        <f t="shared" si="27"/>
        <v>0.61307677300757346</v>
      </c>
      <c r="N308" s="23"/>
    </row>
    <row r="309" spans="1:14" ht="13" hidden="1">
      <c r="A309" s="78" t="s">
        <v>2755</v>
      </c>
      <c r="B309" s="219" t="s">
        <v>961</v>
      </c>
      <c r="C309" s="240" t="s">
        <v>423</v>
      </c>
      <c r="D309" s="240" t="s">
        <v>1390</v>
      </c>
      <c r="E309" s="240" t="s">
        <v>1403</v>
      </c>
      <c r="F309" s="284">
        <v>0.16</v>
      </c>
      <c r="G309" s="242">
        <v>11.63793103448276</v>
      </c>
      <c r="H309" s="243">
        <f ca="1">SUMIF('Sales 6.2026'!B:F,'All Menu'!B309,'Sales 6.2026'!F:F)</f>
        <v>16</v>
      </c>
      <c r="I309" s="241"/>
      <c r="J309" s="244">
        <f>SUMIF('Finished Recipe'!B:B, B309, 'Finished Recipe'!M:M)</f>
        <v>7.7324063313202105</v>
      </c>
      <c r="K309" s="244">
        <f t="shared" si="28"/>
        <v>3.9055247031625493</v>
      </c>
      <c r="L309" s="245">
        <f t="shared" si="26"/>
        <v>0.66441417365418098</v>
      </c>
      <c r="M309" s="245">
        <f t="shared" si="27"/>
        <v>0.33558582634581902</v>
      </c>
      <c r="N309" s="23"/>
    </row>
    <row r="310" spans="1:14" ht="13" hidden="1">
      <c r="A310" s="78" t="s">
        <v>2756</v>
      </c>
      <c r="B310" s="219" t="s">
        <v>953</v>
      </c>
      <c r="C310" s="240" t="s">
        <v>423</v>
      </c>
      <c r="D310" s="240" t="s">
        <v>1390</v>
      </c>
      <c r="E310" s="240" t="s">
        <v>1673</v>
      </c>
      <c r="F310" s="284">
        <v>0.16</v>
      </c>
      <c r="G310" s="242">
        <v>21.551724137931036</v>
      </c>
      <c r="H310" s="243">
        <f ca="1">SUMIF('Sales 6.2026'!B:F,'All Menu'!B310,'Sales 6.2026'!F:F)</f>
        <v>20.900099999999998</v>
      </c>
      <c r="I310" s="241"/>
      <c r="J310" s="244">
        <f>SUMIF('Finished Recipe'!B:B, B310, 'Finished Recipe'!M:M)</f>
        <v>14.858878515880367</v>
      </c>
      <c r="K310" s="244">
        <f t="shared" si="28"/>
        <v>6.6928456220506689</v>
      </c>
      <c r="L310" s="245">
        <f t="shared" si="26"/>
        <v>0.68945196313684898</v>
      </c>
      <c r="M310" s="245">
        <f t="shared" si="27"/>
        <v>0.31054803686315102</v>
      </c>
      <c r="N310" s="23"/>
    </row>
    <row r="311" spans="1:14" ht="13" hidden="1">
      <c r="A311" s="78" t="s">
        <v>2757</v>
      </c>
      <c r="B311" s="219" t="s">
        <v>958</v>
      </c>
      <c r="C311" s="240" t="s">
        <v>423</v>
      </c>
      <c r="D311" s="240" t="s">
        <v>1390</v>
      </c>
      <c r="E311" s="240" t="s">
        <v>1769</v>
      </c>
      <c r="F311" s="284">
        <v>0.16</v>
      </c>
      <c r="G311" s="242">
        <v>7.7586206896551726</v>
      </c>
      <c r="H311" s="243">
        <f ca="1">SUMIF('Sales 6.2026'!B:F,'All Menu'!B311,'Sales 6.2026'!F:F)</f>
        <v>4</v>
      </c>
      <c r="I311" s="241"/>
      <c r="J311" s="244">
        <f>SUMIF('Finished Recipe'!B:B, B311, 'Finished Recipe'!M:M)</f>
        <v>3.1783996947637747</v>
      </c>
      <c r="K311" s="244">
        <f t="shared" si="28"/>
        <v>4.5802209948913983</v>
      </c>
      <c r="L311" s="245">
        <f t="shared" si="26"/>
        <v>0.40966040510288648</v>
      </c>
      <c r="M311" s="245">
        <f t="shared" si="27"/>
        <v>0.59033959489711352</v>
      </c>
      <c r="N311" s="23"/>
    </row>
    <row r="312" spans="1:14" ht="13" hidden="1">
      <c r="A312" s="78" t="s">
        <v>2758</v>
      </c>
      <c r="B312" s="219" t="s">
        <v>951</v>
      </c>
      <c r="C312" s="240" t="s">
        <v>423</v>
      </c>
      <c r="D312" s="240" t="s">
        <v>1390</v>
      </c>
      <c r="E312" s="240" t="s">
        <v>1674</v>
      </c>
      <c r="F312" s="284">
        <v>0.16</v>
      </c>
      <c r="G312" s="242">
        <v>13.793103448275863</v>
      </c>
      <c r="H312" s="243">
        <f ca="1">SUMIF('Sales 6.2026'!B:F,'All Menu'!B312,'Sales 6.2026'!F:F)</f>
        <v>5</v>
      </c>
      <c r="I312" s="241"/>
      <c r="J312" s="244">
        <f>SUMIF('Finished Recipe'!B:B, B312, 'Finished Recipe'!M:M)</f>
        <v>5.2933006210056091</v>
      </c>
      <c r="K312" s="244">
        <f t="shared" si="28"/>
        <v>8.4998028272702548</v>
      </c>
      <c r="L312" s="245">
        <f t="shared" si="26"/>
        <v>0.38376429502290665</v>
      </c>
      <c r="M312" s="245">
        <f t="shared" si="27"/>
        <v>0.61623570497709346</v>
      </c>
      <c r="N312" s="23"/>
    </row>
    <row r="313" spans="1:14" ht="13" hidden="1">
      <c r="A313" s="287" t="s">
        <v>2759</v>
      </c>
      <c r="B313" s="219" t="s">
        <v>963</v>
      </c>
      <c r="C313" s="240" t="s">
        <v>423</v>
      </c>
      <c r="D313" s="240" t="s">
        <v>1390</v>
      </c>
      <c r="E313" s="240" t="s">
        <v>1404</v>
      </c>
      <c r="F313" s="284">
        <v>0.16</v>
      </c>
      <c r="G313" s="242">
        <v>3.4482758620689657</v>
      </c>
      <c r="H313" s="243">
        <f ca="1">SUMIF('Sales 6.2026'!B:F,'All Menu'!B313,'Sales 6.2026'!F:F)</f>
        <v>511.00009999999997</v>
      </c>
      <c r="I313" s="241"/>
      <c r="J313" s="244">
        <f>SUMIF('Finished Recipe'!B:B, B313, 'Finished Recipe'!M:M)</f>
        <v>2.7230676011278017</v>
      </c>
      <c r="K313" s="244">
        <f t="shared" si="28"/>
        <v>0.72520826094116408</v>
      </c>
      <c r="L313" s="245">
        <f t="shared" si="26"/>
        <v>0.78968960432706248</v>
      </c>
      <c r="M313" s="245">
        <f t="shared" si="27"/>
        <v>0.21031039567293758</v>
      </c>
      <c r="N313" s="23"/>
    </row>
    <row r="314" spans="1:14" ht="13" hidden="1">
      <c r="A314" s="287" t="s">
        <v>2760</v>
      </c>
      <c r="B314" s="219" t="s">
        <v>956</v>
      </c>
      <c r="C314" s="240" t="s">
        <v>423</v>
      </c>
      <c r="D314" s="240" t="s">
        <v>1390</v>
      </c>
      <c r="E314" s="240" t="s">
        <v>1405</v>
      </c>
      <c r="F314" s="284">
        <v>0.16</v>
      </c>
      <c r="G314" s="242">
        <v>6.0344827586206904</v>
      </c>
      <c r="H314" s="243">
        <f ca="1">SUMIF('Sales 6.2026'!B:F,'All Menu'!B314,'Sales 6.2026'!F:F)</f>
        <v>771.00199999999995</v>
      </c>
      <c r="I314" s="241"/>
      <c r="J314" s="244">
        <f>SUMIF('Finished Recipe'!B:B, B314, 'Finished Recipe'!M:M)</f>
        <v>4.8935270251662928</v>
      </c>
      <c r="K314" s="244">
        <f t="shared" si="28"/>
        <v>1.1409557334543976</v>
      </c>
      <c r="L314" s="245">
        <f t="shared" si="26"/>
        <v>0.81092733559898555</v>
      </c>
      <c r="M314" s="245">
        <f t="shared" si="27"/>
        <v>0.18907266440101445</v>
      </c>
      <c r="N314" s="23"/>
    </row>
    <row r="315" spans="1:14" ht="13" hidden="1">
      <c r="A315" s="78" t="s">
        <v>2761</v>
      </c>
      <c r="B315" s="219" t="s">
        <v>986</v>
      </c>
      <c r="C315" s="240" t="s">
        <v>423</v>
      </c>
      <c r="D315" s="240" t="s">
        <v>1390</v>
      </c>
      <c r="E315" s="240" t="s">
        <v>1679</v>
      </c>
      <c r="F315" s="284">
        <v>0.16</v>
      </c>
      <c r="G315" s="242">
        <v>2.5862068965517242</v>
      </c>
      <c r="H315" s="243">
        <f ca="1">SUMIF('Sales 6.2026'!B:F,'All Menu'!B315,'Sales 6.2026'!F:F)</f>
        <v>0</v>
      </c>
      <c r="I315" s="241"/>
      <c r="J315" s="244">
        <f>SUMIF('Finished Recipe'!B:B, B315, 'Finished Recipe'!M:M)</f>
        <v>0.99476165692158713</v>
      </c>
      <c r="K315" s="244">
        <f t="shared" si="28"/>
        <v>1.5914452396301371</v>
      </c>
      <c r="L315" s="245">
        <f t="shared" si="26"/>
        <v>0.38464117400968034</v>
      </c>
      <c r="M315" s="245">
        <f t="shared" si="27"/>
        <v>0.61535882599031966</v>
      </c>
      <c r="N315" s="23"/>
    </row>
    <row r="316" spans="1:14" ht="13" hidden="1">
      <c r="A316" s="78" t="s">
        <v>2762</v>
      </c>
      <c r="B316" s="219" t="s">
        <v>962</v>
      </c>
      <c r="C316" s="240" t="s">
        <v>423</v>
      </c>
      <c r="D316" s="240" t="s">
        <v>1390</v>
      </c>
      <c r="E316" s="240" t="s">
        <v>1406</v>
      </c>
      <c r="F316" s="284">
        <v>0.16</v>
      </c>
      <c r="G316" s="242">
        <v>7.7586206896551726</v>
      </c>
      <c r="H316" s="243">
        <f ca="1">SUMIF('Sales 6.2026'!B:F,'All Menu'!B316,'Sales 6.2026'!F:F)</f>
        <v>3</v>
      </c>
      <c r="I316" s="241"/>
      <c r="J316" s="244">
        <f>SUMIF('Finished Recipe'!B:B, B316, 'Finished Recipe'!M:M)</f>
        <v>4.3013817614277379</v>
      </c>
      <c r="K316" s="244">
        <f t="shared" si="28"/>
        <v>3.4572389282274347</v>
      </c>
      <c r="L316" s="245">
        <f t="shared" si="26"/>
        <v>0.55440031591735284</v>
      </c>
      <c r="M316" s="245">
        <f t="shared" si="27"/>
        <v>0.44559968408264711</v>
      </c>
      <c r="N316" s="23"/>
    </row>
    <row r="317" spans="1:14" ht="13" hidden="1">
      <c r="A317" s="78" t="s">
        <v>2763</v>
      </c>
      <c r="B317" s="219" t="s">
        <v>955</v>
      </c>
      <c r="C317" s="240" t="s">
        <v>423</v>
      </c>
      <c r="D317" s="240" t="s">
        <v>1390</v>
      </c>
      <c r="E317" s="240" t="s">
        <v>1730</v>
      </c>
      <c r="F317" s="284">
        <v>0.16</v>
      </c>
      <c r="G317" s="242">
        <v>13.793103448275863</v>
      </c>
      <c r="H317" s="243">
        <f ca="1">SUMIF('Sales 6.2026'!B:F,'All Menu'!B317,'Sales 6.2026'!F:F)</f>
        <v>8.1</v>
      </c>
      <c r="I317" s="241"/>
      <c r="J317" s="244">
        <f>SUMIF('Finished Recipe'!B:B, B317, 'Finished Recipe'!M:M)</f>
        <v>7.944055182547034</v>
      </c>
      <c r="K317" s="244">
        <f t="shared" si="28"/>
        <v>5.849048265728829</v>
      </c>
      <c r="L317" s="245">
        <f t="shared" ref="L317:L378" si="29">J317/G317</f>
        <v>0.5759440007346599</v>
      </c>
      <c r="M317" s="245">
        <f t="shared" ref="M317:M378" si="30">K317/G317</f>
        <v>0.42405599926534004</v>
      </c>
      <c r="N317" s="23"/>
    </row>
    <row r="318" spans="1:14" ht="13" hidden="1">
      <c r="A318" s="287" t="s">
        <v>2764</v>
      </c>
      <c r="B318" s="219" t="s">
        <v>971</v>
      </c>
      <c r="C318" s="240" t="s">
        <v>423</v>
      </c>
      <c r="D318" s="240" t="s">
        <v>1418</v>
      </c>
      <c r="E318" s="240" t="s">
        <v>1407</v>
      </c>
      <c r="F318" s="284">
        <v>0.16</v>
      </c>
      <c r="G318" s="242">
        <v>1.9396551724137931</v>
      </c>
      <c r="H318" s="243">
        <f ca="1">SUMIF('Sales 6.2026'!B:F,'All Menu'!B318,'Sales 6.2026'!F:F)</f>
        <v>1296.0039999999999</v>
      </c>
      <c r="I318" s="241"/>
      <c r="J318" s="244">
        <f>SUMIF('Finished Recipe'!B:B, B318, 'Finished Recipe'!M:M)</f>
        <v>0.9825894471323211</v>
      </c>
      <c r="K318" s="244">
        <f t="shared" si="28"/>
        <v>0.95706572528147205</v>
      </c>
      <c r="L318" s="245">
        <f t="shared" si="29"/>
        <v>0.50657944829932999</v>
      </c>
      <c r="M318" s="245">
        <f t="shared" si="30"/>
        <v>0.49342055170067001</v>
      </c>
      <c r="N318" s="23"/>
    </row>
    <row r="319" spans="1:14" ht="13" hidden="1">
      <c r="A319" s="78" t="s">
        <v>2765</v>
      </c>
      <c r="B319" s="219" t="s">
        <v>975</v>
      </c>
      <c r="C319" s="240" t="s">
        <v>423</v>
      </c>
      <c r="D319" s="240" t="s">
        <v>1418</v>
      </c>
      <c r="E319" s="240" t="s">
        <v>1408</v>
      </c>
      <c r="F319" s="284">
        <v>0.16</v>
      </c>
      <c r="G319" s="242">
        <v>2.8017241379310347</v>
      </c>
      <c r="H319" s="243">
        <f ca="1">SUMIF('Sales 6.2026'!B:F,'All Menu'!B319,'Sales 6.2026'!F:F)</f>
        <v>303</v>
      </c>
      <c r="I319" s="241"/>
      <c r="J319" s="244">
        <f>SUMIF('Finished Recipe'!B:B, B319, 'Finished Recipe'!M:M)</f>
        <v>1.7564933001329548</v>
      </c>
      <c r="K319" s="244">
        <f t="shared" si="28"/>
        <v>1.0452308377980799</v>
      </c>
      <c r="L319" s="245">
        <f t="shared" si="29"/>
        <v>0.62693299327822383</v>
      </c>
      <c r="M319" s="245">
        <f t="shared" si="30"/>
        <v>0.37306700672177617</v>
      </c>
    </row>
    <row r="320" spans="1:14" ht="13" hidden="1">
      <c r="A320" s="78" t="s">
        <v>2766</v>
      </c>
      <c r="B320" s="219" t="s">
        <v>976</v>
      </c>
      <c r="C320" s="240" t="s">
        <v>423</v>
      </c>
      <c r="D320" s="240" t="s">
        <v>1418</v>
      </c>
      <c r="E320" s="240" t="s">
        <v>1409</v>
      </c>
      <c r="F320" s="284">
        <v>0.16</v>
      </c>
      <c r="G320" s="242">
        <v>2.8017241379310347</v>
      </c>
      <c r="H320" s="243">
        <f ca="1">SUMIF('Sales 6.2026'!B:F,'All Menu'!B320,'Sales 6.2026'!F:F)</f>
        <v>202.00110000000001</v>
      </c>
      <c r="I320" s="241"/>
      <c r="J320" s="244">
        <f>SUMIF('Finished Recipe'!B:B, B320, 'Finished Recipe'!M:M)</f>
        <v>2.3988635967239338</v>
      </c>
      <c r="K320" s="244">
        <f t="shared" si="28"/>
        <v>0.40286054120710091</v>
      </c>
      <c r="L320" s="245">
        <f t="shared" si="29"/>
        <v>0.85620977606146553</v>
      </c>
      <c r="M320" s="245">
        <f t="shared" si="30"/>
        <v>0.14379022393853447</v>
      </c>
      <c r="N320" s="23"/>
    </row>
    <row r="321" spans="1:14" ht="13" hidden="1">
      <c r="A321" s="78" t="s">
        <v>2767</v>
      </c>
      <c r="B321" s="219" t="s">
        <v>982</v>
      </c>
      <c r="C321" s="240" t="s">
        <v>423</v>
      </c>
      <c r="D321" s="240" t="s">
        <v>1418</v>
      </c>
      <c r="E321" s="240" t="s">
        <v>1410</v>
      </c>
      <c r="F321" s="284">
        <v>0.16</v>
      </c>
      <c r="G321" s="242">
        <v>4.9568965517241379</v>
      </c>
      <c r="H321" s="243">
        <f ca="1">SUMIF('Sales 6.2026'!B:F,'All Menu'!B321,'Sales 6.2026'!F:F)</f>
        <v>40.000100000000003</v>
      </c>
      <c r="I321" s="241"/>
      <c r="J321" s="244">
        <f>SUMIF('Finished Recipe'!B:B, B321, 'Finished Recipe'!M:M)</f>
        <v>4.4283782633905995</v>
      </c>
      <c r="K321" s="244">
        <f t="shared" si="28"/>
        <v>0.52851828833353842</v>
      </c>
      <c r="L321" s="245">
        <f t="shared" si="29"/>
        <v>0.89337718009271228</v>
      </c>
      <c r="M321" s="245">
        <f t="shared" si="30"/>
        <v>0.10662281990728775</v>
      </c>
      <c r="N321" s="23"/>
    </row>
    <row r="322" spans="1:14" ht="13" hidden="1">
      <c r="A322" s="287" t="s">
        <v>2768</v>
      </c>
      <c r="B322" s="219" t="s">
        <v>979</v>
      </c>
      <c r="C322" s="240" t="s">
        <v>423</v>
      </c>
      <c r="D322" s="240" t="s">
        <v>1418</v>
      </c>
      <c r="E322" s="240" t="s">
        <v>1411</v>
      </c>
      <c r="F322" s="284">
        <v>0.16</v>
      </c>
      <c r="G322" s="242">
        <v>1.9396551724137931</v>
      </c>
      <c r="H322" s="243">
        <f ca="1">SUMIF('Sales 6.2026'!B:F,'All Menu'!B322,'Sales 6.2026'!F:F)</f>
        <v>782.00099999999998</v>
      </c>
      <c r="I322" s="241"/>
      <c r="J322" s="244">
        <f>SUMIF('Finished Recipe'!B:B, B322, 'Finished Recipe'!M:M)</f>
        <v>0.77954251079060299</v>
      </c>
      <c r="K322" s="244">
        <f t="shared" si="28"/>
        <v>1.1601126616231903</v>
      </c>
      <c r="L322" s="245">
        <f t="shared" si="29"/>
        <v>0.40189747222982197</v>
      </c>
      <c r="M322" s="245">
        <f t="shared" si="30"/>
        <v>0.59810252777017803</v>
      </c>
      <c r="N322" s="23"/>
    </row>
    <row r="323" spans="1:14" ht="13" hidden="1">
      <c r="A323" s="78" t="s">
        <v>2769</v>
      </c>
      <c r="B323" s="219" t="s">
        <v>983</v>
      </c>
      <c r="C323" s="240" t="s">
        <v>423</v>
      </c>
      <c r="D323" s="240" t="s">
        <v>1418</v>
      </c>
      <c r="E323" s="240" t="s">
        <v>1412</v>
      </c>
      <c r="F323" s="284">
        <v>0.16</v>
      </c>
      <c r="G323" s="242">
        <v>3.2327586206896552</v>
      </c>
      <c r="H323" s="243">
        <f ca="1">SUMIF('Sales 6.2026'!B:F,'All Menu'!B323,'Sales 6.2026'!F:F)</f>
        <v>132.001</v>
      </c>
      <c r="I323" s="241"/>
      <c r="J323" s="244">
        <f>SUMIF('Finished Recipe'!B:B, B323, 'Finished Recipe'!M:M)</f>
        <v>1.2707311640531975</v>
      </c>
      <c r="K323" s="244">
        <f t="shared" si="28"/>
        <v>1.9620274566364577</v>
      </c>
      <c r="L323" s="245">
        <f t="shared" si="29"/>
        <v>0.39307950674712244</v>
      </c>
      <c r="M323" s="245">
        <f t="shared" si="30"/>
        <v>0.60692049325287756</v>
      </c>
      <c r="N323" s="23"/>
    </row>
    <row r="324" spans="1:14" ht="13" hidden="1">
      <c r="A324" s="78" t="s">
        <v>2770</v>
      </c>
      <c r="B324" s="219" t="s">
        <v>972</v>
      </c>
      <c r="C324" s="240" t="s">
        <v>423</v>
      </c>
      <c r="D324" s="240" t="s">
        <v>1418</v>
      </c>
      <c r="E324" s="240" t="s">
        <v>1413</v>
      </c>
      <c r="F324" s="284">
        <v>0.16</v>
      </c>
      <c r="G324" s="242">
        <v>1.2931034482758621</v>
      </c>
      <c r="H324" s="243">
        <f ca="1">SUMIF('Sales 6.2026'!B:F,'All Menu'!B324,'Sales 6.2026'!F:F)</f>
        <v>37</v>
      </c>
      <c r="I324" s="241"/>
      <c r="J324" s="244">
        <f>SUMIF('Finished Recipe'!B:B, B324, 'Finished Recipe'!M:M)</f>
        <v>0.70647592238991186</v>
      </c>
      <c r="K324" s="244">
        <f t="shared" si="28"/>
        <v>0.58662752588595024</v>
      </c>
      <c r="L324" s="245">
        <f t="shared" si="29"/>
        <v>0.54634137998153187</v>
      </c>
      <c r="M324" s="245">
        <f t="shared" si="30"/>
        <v>0.45365862001846818</v>
      </c>
      <c r="N324" s="23"/>
    </row>
    <row r="325" spans="1:14" ht="13" hidden="1">
      <c r="A325" s="78" t="s">
        <v>2771</v>
      </c>
      <c r="B325" s="219" t="s">
        <v>973</v>
      </c>
      <c r="C325" s="240" t="s">
        <v>423</v>
      </c>
      <c r="D325" s="240" t="s">
        <v>1418</v>
      </c>
      <c r="E325" s="240" t="s">
        <v>1923</v>
      </c>
      <c r="F325" s="284">
        <v>0.16</v>
      </c>
      <c r="G325" s="242">
        <v>2.3706896551724141</v>
      </c>
      <c r="H325" s="243">
        <f ca="1">SUMIF('Sales 6.2026'!B:F,'All Menu'!B325,'Sales 6.2026'!F:F)</f>
        <v>2</v>
      </c>
      <c r="I325" s="241"/>
      <c r="J325" s="244">
        <f>SUMIF('Finished Recipe'!B:B, B325, 'Finished Recipe'!M:M)</f>
        <v>1.1667698255915604</v>
      </c>
      <c r="K325" s="244">
        <f t="shared" si="28"/>
        <v>1.2039198295808538</v>
      </c>
      <c r="L325" s="245">
        <f t="shared" si="29"/>
        <v>0.49216472643134906</v>
      </c>
      <c r="M325" s="245">
        <f t="shared" si="30"/>
        <v>0.50783527356865099</v>
      </c>
      <c r="N325" s="23"/>
    </row>
    <row r="326" spans="1:14" ht="13" hidden="1">
      <c r="A326" s="287" t="s">
        <v>2772</v>
      </c>
      <c r="B326" s="219" t="s">
        <v>977</v>
      </c>
      <c r="C326" s="240" t="s">
        <v>423</v>
      </c>
      <c r="D326" s="240" t="s">
        <v>1418</v>
      </c>
      <c r="E326" s="240" t="s">
        <v>1414</v>
      </c>
      <c r="F326" s="284">
        <v>0.16</v>
      </c>
      <c r="G326" s="242">
        <v>3.6637931034482762</v>
      </c>
      <c r="H326" s="243">
        <f ca="1">SUMIF('Sales 6.2026'!B:F,'All Menu'!B326,'Sales 6.2026'!F:F)</f>
        <v>108</v>
      </c>
      <c r="I326" s="241"/>
      <c r="J326" s="244">
        <f>SUMIF('Finished Recipe'!B:B, B326, 'Finished Recipe'!M:M)</f>
        <v>3.1797157827930547</v>
      </c>
      <c r="K326" s="244">
        <f t="shared" si="28"/>
        <v>0.48407732065522158</v>
      </c>
      <c r="L326" s="245">
        <f t="shared" si="29"/>
        <v>0.86787536659763365</v>
      </c>
      <c r="M326" s="245">
        <f t="shared" si="30"/>
        <v>0.13212463340236635</v>
      </c>
      <c r="N326" s="23"/>
    </row>
    <row r="327" spans="1:14" ht="13" hidden="1">
      <c r="A327" s="78" t="s">
        <v>2773</v>
      </c>
      <c r="B327" s="219" t="s">
        <v>985</v>
      </c>
      <c r="C327" s="240" t="s">
        <v>423</v>
      </c>
      <c r="D327" s="240" t="s">
        <v>1418</v>
      </c>
      <c r="E327" s="247" t="s">
        <v>1415</v>
      </c>
      <c r="F327" s="284">
        <v>0.16</v>
      </c>
      <c r="G327" s="242">
        <v>3.0172413793103452</v>
      </c>
      <c r="H327" s="249">
        <f ca="1">SUMIF('Sales 6.2026'!B:F,'All Menu'!B327,'Sales 6.2026'!F:F)</f>
        <v>12</v>
      </c>
      <c r="I327" s="241"/>
      <c r="J327" s="244">
        <f>SUMIF('Finished Recipe'!B:B, B327, 'Finished Recipe'!M:M)</f>
        <v>2.8033576186383069</v>
      </c>
      <c r="K327" s="244">
        <f t="shared" si="28"/>
        <v>0.21388376067203829</v>
      </c>
      <c r="L327" s="245">
        <f t="shared" si="29"/>
        <v>0.92911281074869589</v>
      </c>
      <c r="M327" s="245">
        <f t="shared" si="30"/>
        <v>7.0887189251304106E-2</v>
      </c>
      <c r="N327" s="23"/>
    </row>
    <row r="328" spans="1:14" ht="13" hidden="1">
      <c r="A328" s="78" t="s">
        <v>2774</v>
      </c>
      <c r="B328" s="219" t="s">
        <v>968</v>
      </c>
      <c r="C328" s="240" t="s">
        <v>423</v>
      </c>
      <c r="D328" s="240" t="s">
        <v>1390</v>
      </c>
      <c r="E328" s="240" t="s">
        <v>1417</v>
      </c>
      <c r="F328" s="284">
        <v>0.16</v>
      </c>
      <c r="G328" s="242">
        <v>6.25</v>
      </c>
      <c r="H328" s="243">
        <f ca="1">SUMIF('Sales 6.2026'!B:F,'All Menu'!B328,'Sales 6.2026'!F:F)</f>
        <v>4</v>
      </c>
      <c r="I328" s="241"/>
      <c r="J328" s="244">
        <f>SUMIF('Finished Recipe'!B:B, B328, 'Finished Recipe'!M:M)</f>
        <v>4.410333916031755</v>
      </c>
      <c r="K328" s="244">
        <f t="shared" si="28"/>
        <v>1.839666083968245</v>
      </c>
      <c r="L328" s="245">
        <f t="shared" si="29"/>
        <v>0.70565342656508079</v>
      </c>
      <c r="M328" s="245">
        <f t="shared" si="30"/>
        <v>0.29434657343491921</v>
      </c>
      <c r="N328" s="23"/>
    </row>
    <row r="329" spans="1:14" ht="13" hidden="1">
      <c r="A329" s="78" t="s">
        <v>2775</v>
      </c>
      <c r="B329" s="219" t="s">
        <v>970</v>
      </c>
      <c r="C329" s="240" t="s">
        <v>423</v>
      </c>
      <c r="D329" s="240" t="s">
        <v>1390</v>
      </c>
      <c r="E329" s="240" t="s">
        <v>1419</v>
      </c>
      <c r="F329" s="284">
        <v>0.16</v>
      </c>
      <c r="G329" s="242">
        <v>4.1379310344827589</v>
      </c>
      <c r="H329" s="243">
        <f ca="1">SUMIF('Sales 6.2026'!B:F,'All Menu'!B329,'Sales 6.2026'!F:F)</f>
        <v>3</v>
      </c>
      <c r="I329" s="241"/>
      <c r="J329" s="244">
        <f>SUMIF('Finished Recipe'!B:B, B329, 'Finished Recipe'!M:M)</f>
        <v>2.3290839160317551</v>
      </c>
      <c r="K329" s="244">
        <f t="shared" si="28"/>
        <v>1.8088471184510038</v>
      </c>
      <c r="L329" s="245">
        <f t="shared" si="29"/>
        <v>0.56286194637434084</v>
      </c>
      <c r="M329" s="245">
        <f t="shared" si="30"/>
        <v>0.43713805362565922</v>
      </c>
      <c r="N329" s="23"/>
    </row>
    <row r="330" spans="1:14" ht="13" hidden="1">
      <c r="A330" s="78" t="s">
        <v>2776</v>
      </c>
      <c r="B330" s="219" t="s">
        <v>1205</v>
      </c>
      <c r="C330" s="240" t="s">
        <v>423</v>
      </c>
      <c r="D330" s="240" t="s">
        <v>1418</v>
      </c>
      <c r="E330" s="240" t="s">
        <v>1731</v>
      </c>
      <c r="F330" s="284">
        <v>0.16</v>
      </c>
      <c r="G330" s="242">
        <v>1.7241379310344829</v>
      </c>
      <c r="H330" s="243">
        <f ca="1">SUMIF('Sales 6.2026'!B:F,'All Menu'!B330,'Sales 6.2026'!F:F)</f>
        <v>16</v>
      </c>
      <c r="I330" s="241"/>
      <c r="J330" s="244">
        <f>SUMIF('Finished Recipe'!B:B, B330, 'Finished Recipe'!M:M)</f>
        <v>0.46721213030918279</v>
      </c>
      <c r="K330" s="244">
        <f t="shared" si="28"/>
        <v>1.2569258007253001</v>
      </c>
      <c r="L330" s="245">
        <f t="shared" si="29"/>
        <v>0.27098303557932601</v>
      </c>
      <c r="M330" s="245">
        <f t="shared" si="30"/>
        <v>0.72901696442067399</v>
      </c>
      <c r="N330" s="23"/>
    </row>
    <row r="331" spans="1:14" ht="13" hidden="1">
      <c r="A331" s="78" t="s">
        <v>2777</v>
      </c>
      <c r="B331" s="219" t="s">
        <v>1206</v>
      </c>
      <c r="C331" s="240" t="s">
        <v>423</v>
      </c>
      <c r="D331" s="240" t="s">
        <v>1418</v>
      </c>
      <c r="E331" s="240" t="s">
        <v>1675</v>
      </c>
      <c r="F331" s="284">
        <v>0.16</v>
      </c>
      <c r="G331" s="242">
        <v>2.3706896551724141</v>
      </c>
      <c r="H331" s="243">
        <f ca="1">SUMIF('Sales 6.2026'!B:F,'All Menu'!B331,'Sales 6.2026'!F:F)</f>
        <v>23</v>
      </c>
      <c r="I331" s="241"/>
      <c r="J331" s="244">
        <f>SUMIF('Finished Recipe'!B:B, B331, 'Finished Recipe'!M:M)</f>
        <v>2.0415146666666666</v>
      </c>
      <c r="K331" s="244">
        <f t="shared" si="28"/>
        <v>0.32917498850574756</v>
      </c>
      <c r="L331" s="245">
        <f t="shared" si="29"/>
        <v>0.86114800484848464</v>
      </c>
      <c r="M331" s="245">
        <f t="shared" si="30"/>
        <v>0.13885199515151531</v>
      </c>
      <c r="N331" s="23"/>
    </row>
    <row r="332" spans="1:14" ht="13" hidden="1">
      <c r="A332" s="78" t="s">
        <v>2778</v>
      </c>
      <c r="B332" s="219" t="s">
        <v>1136</v>
      </c>
      <c r="C332" s="240" t="s">
        <v>423</v>
      </c>
      <c r="D332" s="240" t="s">
        <v>1418</v>
      </c>
      <c r="E332" s="240" t="s">
        <v>1680</v>
      </c>
      <c r="F332" s="284">
        <v>0.16</v>
      </c>
      <c r="G332" s="242">
        <v>1.9396551724137931</v>
      </c>
      <c r="H332" s="243">
        <f ca="1">SUMIF('Sales 6.2026'!B:F,'All Menu'!B332,'Sales 6.2026'!F:F)</f>
        <v>65</v>
      </c>
      <c r="I332" s="241"/>
      <c r="J332" s="244">
        <f>SUMIF('Finished Recipe'!B:B, B332, 'Finished Recipe'!M:M)</f>
        <v>1.1636090242685133</v>
      </c>
      <c r="K332" s="244">
        <f t="shared" si="28"/>
        <v>0.77604614814527983</v>
      </c>
      <c r="L332" s="245">
        <f t="shared" si="29"/>
        <v>0.5999050969562113</v>
      </c>
      <c r="M332" s="245">
        <f t="shared" si="30"/>
        <v>0.4000949030437887</v>
      </c>
      <c r="N332" s="23"/>
    </row>
    <row r="333" spans="1:14" ht="13" hidden="1">
      <c r="A333" s="78" t="s">
        <v>2779</v>
      </c>
      <c r="B333" s="219" t="s">
        <v>1137</v>
      </c>
      <c r="C333" s="240" t="s">
        <v>423</v>
      </c>
      <c r="D333" s="240" t="s">
        <v>1418</v>
      </c>
      <c r="E333" s="240" t="s">
        <v>1420</v>
      </c>
      <c r="F333" s="284">
        <v>0.16</v>
      </c>
      <c r="G333" s="242">
        <v>1.7241379310344829</v>
      </c>
      <c r="H333" s="243">
        <f ca="1">SUMIF('Sales 6.2026'!B:F,'All Menu'!B333,'Sales 6.2026'!F:F)</f>
        <v>14.003</v>
      </c>
      <c r="I333" s="241"/>
      <c r="J333" s="244">
        <f>SUMIF('Finished Recipe'!B:B, B333, 'Finished Recipe'!M:M)</f>
        <v>0.5</v>
      </c>
      <c r="K333" s="244">
        <f t="shared" si="28"/>
        <v>1.2241379310344829</v>
      </c>
      <c r="L333" s="245">
        <f t="shared" si="29"/>
        <v>0.28999999999999998</v>
      </c>
      <c r="M333" s="245">
        <f t="shared" si="30"/>
        <v>0.71</v>
      </c>
      <c r="N333" s="23"/>
    </row>
    <row r="334" spans="1:14" ht="13" hidden="1">
      <c r="A334" s="78" t="s">
        <v>2780</v>
      </c>
      <c r="B334" s="219" t="s">
        <v>1139</v>
      </c>
      <c r="C334" s="240" t="s">
        <v>423</v>
      </c>
      <c r="D334" s="240" t="s">
        <v>1418</v>
      </c>
      <c r="E334" s="240" t="s">
        <v>1676</v>
      </c>
      <c r="F334" s="284">
        <v>0.16</v>
      </c>
      <c r="G334" s="242">
        <v>1.2931034482758621</v>
      </c>
      <c r="H334" s="243">
        <f ca="1">SUMIF('Sales 6.2026'!B:F,'All Menu'!B334,'Sales 6.2026'!F:F)</f>
        <v>4</v>
      </c>
      <c r="I334" s="241"/>
      <c r="J334" s="244">
        <f>SUMIF('Finished Recipe'!B:B, B334, 'Finished Recipe'!M:M)</f>
        <v>0.70000000000000007</v>
      </c>
      <c r="K334" s="244">
        <f t="shared" si="28"/>
        <v>0.59310344827586203</v>
      </c>
      <c r="L334" s="245">
        <f t="shared" si="29"/>
        <v>0.54133333333333333</v>
      </c>
      <c r="M334" s="245">
        <f t="shared" si="30"/>
        <v>0.45866666666666661</v>
      </c>
      <c r="N334" s="23"/>
    </row>
    <row r="335" spans="1:14" ht="13" hidden="1">
      <c r="A335" s="78" t="s">
        <v>2781</v>
      </c>
      <c r="B335" s="219" t="s">
        <v>1141</v>
      </c>
      <c r="C335" s="240" t="s">
        <v>423</v>
      </c>
      <c r="D335" s="240" t="s">
        <v>1418</v>
      </c>
      <c r="E335" s="240" t="s">
        <v>1677</v>
      </c>
      <c r="F335" s="284">
        <v>0.16</v>
      </c>
      <c r="G335" s="242">
        <v>0.64655172413793105</v>
      </c>
      <c r="H335" s="243">
        <f ca="1">SUMIF('Sales 6.2026'!B:F,'All Menu'!B335,'Sales 6.2026'!F:F)</f>
        <v>2.5009999999999999</v>
      </c>
      <c r="I335" s="241"/>
      <c r="J335" s="244">
        <f>SUMIF('Finished Recipe'!B:B, B335, 'Finished Recipe'!M:M)</f>
        <v>0.11697</v>
      </c>
      <c r="K335" s="244">
        <f t="shared" si="28"/>
        <v>0.52958172413793103</v>
      </c>
      <c r="L335" s="245">
        <f t="shared" si="29"/>
        <v>0.18091360000000001</v>
      </c>
      <c r="M335" s="245">
        <f t="shared" si="30"/>
        <v>0.81908639999999999</v>
      </c>
      <c r="N335" s="23"/>
    </row>
    <row r="336" spans="1:14" ht="13" hidden="1">
      <c r="A336" s="78" t="s">
        <v>2782</v>
      </c>
      <c r="B336" s="219" t="s">
        <v>1140</v>
      </c>
      <c r="C336" s="240" t="s">
        <v>423</v>
      </c>
      <c r="D336" s="240" t="s">
        <v>1418</v>
      </c>
      <c r="E336" s="240" t="s">
        <v>1678</v>
      </c>
      <c r="F336" s="284">
        <v>0.16</v>
      </c>
      <c r="G336" s="242">
        <v>0.64655172413793105</v>
      </c>
      <c r="H336" s="243">
        <f ca="1">SUMIF('Sales 6.2026'!B:F,'All Menu'!B336,'Sales 6.2026'!F:F)</f>
        <v>17.5</v>
      </c>
      <c r="I336" s="241"/>
      <c r="J336" s="244">
        <f>SUMIF('Finished Recipe'!B:B, B336, 'Finished Recipe'!M:M)</f>
        <v>0.11097000000000001</v>
      </c>
      <c r="K336" s="244">
        <f t="shared" ref="K336:K394" si="31">G336-J336</f>
        <v>0.53558172413793104</v>
      </c>
      <c r="L336" s="245">
        <f t="shared" si="29"/>
        <v>0.17163360000000003</v>
      </c>
      <c r="M336" s="245">
        <f t="shared" si="30"/>
        <v>0.82836639999999995</v>
      </c>
      <c r="N336" s="23"/>
    </row>
    <row r="337" spans="1:14" ht="13" hidden="1">
      <c r="A337" s="78" t="s">
        <v>2331</v>
      </c>
      <c r="B337" s="219" t="s">
        <v>1181</v>
      </c>
      <c r="C337" s="240" t="s">
        <v>423</v>
      </c>
      <c r="D337" s="240" t="s">
        <v>1418</v>
      </c>
      <c r="E337" s="240" t="s">
        <v>531</v>
      </c>
      <c r="F337" s="284">
        <v>0.16</v>
      </c>
      <c r="G337" s="242">
        <v>8.6206896551724144E-2</v>
      </c>
      <c r="H337" s="243">
        <f ca="1">SUMIF('Sales 6.2026'!B:F,'All Menu'!B337,'Sales 6.2026'!F:F)</f>
        <v>166</v>
      </c>
      <c r="I337" s="241"/>
      <c r="J337" s="244">
        <f>SUMIF('Finished Recipe'!B:B, B337, 'Finished Recipe'!M:M)</f>
        <v>1.8806451612903227E-2</v>
      </c>
      <c r="K337" s="244">
        <f t="shared" si="31"/>
        <v>6.7400444938820914E-2</v>
      </c>
      <c r="L337" s="245">
        <f t="shared" si="29"/>
        <v>0.21815483870967742</v>
      </c>
      <c r="M337" s="245">
        <f t="shared" si="30"/>
        <v>0.78184516129032255</v>
      </c>
      <c r="N337" s="23"/>
    </row>
    <row r="338" spans="1:14" ht="13" hidden="1">
      <c r="A338" s="78" t="s">
        <v>2783</v>
      </c>
      <c r="B338" s="219" t="s">
        <v>1222</v>
      </c>
      <c r="C338" s="240" t="s">
        <v>423</v>
      </c>
      <c r="D338" s="240" t="s">
        <v>1418</v>
      </c>
      <c r="E338" s="240" t="s">
        <v>1770</v>
      </c>
      <c r="F338" s="284">
        <v>0.16</v>
      </c>
      <c r="G338" s="242">
        <v>0.25862068965517243</v>
      </c>
      <c r="H338" s="243">
        <f ca="1">SUMIF('Sales 6.2026'!B:F,'All Menu'!B338,'Sales 6.2026'!F:F)</f>
        <v>6</v>
      </c>
      <c r="I338" s="241"/>
      <c r="J338" s="244">
        <f>SUMIF('Finished Recipe'!B:B, B338, 'Finished Recipe'!M:M)</f>
        <v>6.6138606586924442E-2</v>
      </c>
      <c r="K338" s="244">
        <f t="shared" si="31"/>
        <v>0.19248208306824799</v>
      </c>
      <c r="L338" s="245">
        <f t="shared" si="29"/>
        <v>0.25573594546944117</v>
      </c>
      <c r="M338" s="245">
        <f t="shared" si="30"/>
        <v>0.74426405453055888</v>
      </c>
      <c r="N338" s="23"/>
    </row>
    <row r="339" spans="1:14" ht="13" hidden="1">
      <c r="A339" s="78" t="s">
        <v>2784</v>
      </c>
      <c r="B339" s="219" t="s">
        <v>1207</v>
      </c>
      <c r="C339" s="240" t="s">
        <v>423</v>
      </c>
      <c r="D339" s="240" t="s">
        <v>1418</v>
      </c>
      <c r="E339" s="240" t="s">
        <v>1416</v>
      </c>
      <c r="F339" s="284">
        <v>0.16</v>
      </c>
      <c r="G339" s="242">
        <v>2.5862068965517242</v>
      </c>
      <c r="H339" s="243">
        <f ca="1">SUMIF('Sales 6.2026'!B:F,'All Menu'!B339,'Sales 6.2026'!F:F)</f>
        <v>15</v>
      </c>
      <c r="I339" s="241"/>
      <c r="J339" s="244">
        <f>SUMIF('Finished Recipe'!B:B, B339, 'Finished Recipe'!M:M)</f>
        <v>0.97973570949744626</v>
      </c>
      <c r="K339" s="244">
        <f t="shared" si="31"/>
        <v>1.6064711870542778</v>
      </c>
      <c r="L339" s="245">
        <f t="shared" si="29"/>
        <v>0.37883114100567922</v>
      </c>
      <c r="M339" s="245">
        <f t="shared" si="30"/>
        <v>0.62116885899432073</v>
      </c>
      <c r="N339" s="23"/>
    </row>
    <row r="340" spans="1:14" ht="13" hidden="1">
      <c r="A340" s="78" t="s">
        <v>2785</v>
      </c>
      <c r="B340" s="219" t="s">
        <v>1208</v>
      </c>
      <c r="C340" s="240" t="s">
        <v>423</v>
      </c>
      <c r="D340" s="240" t="s">
        <v>1418</v>
      </c>
      <c r="E340" s="240" t="s">
        <v>1772</v>
      </c>
      <c r="F340" s="284">
        <v>0.16</v>
      </c>
      <c r="G340" s="242">
        <v>2.8017241379310347</v>
      </c>
      <c r="H340" s="243">
        <f ca="1">SUMIF('Sales 6.2026'!B:F,'All Menu'!B340,'Sales 6.2026'!F:F)</f>
        <v>9</v>
      </c>
      <c r="I340" s="241"/>
      <c r="J340" s="244">
        <f>SUMIF('Finished Recipe'!B:B, B340, 'Finished Recipe'!M:M)</f>
        <v>1.5244993528768931</v>
      </c>
      <c r="K340" s="244">
        <f t="shared" si="31"/>
        <v>1.2772247850541416</v>
      </c>
      <c r="L340" s="245">
        <f t="shared" si="29"/>
        <v>0.54412899979606022</v>
      </c>
      <c r="M340" s="245">
        <f t="shared" si="30"/>
        <v>0.45587100020393972</v>
      </c>
      <c r="N340" s="23"/>
    </row>
    <row r="341" spans="1:14" ht="13" hidden="1">
      <c r="A341" s="78" t="s">
        <v>2786</v>
      </c>
      <c r="B341" s="219" t="s">
        <v>1275</v>
      </c>
      <c r="C341" s="240" t="s">
        <v>423</v>
      </c>
      <c r="D341" s="240" t="s">
        <v>1418</v>
      </c>
      <c r="E341" s="240" t="s">
        <v>1773</v>
      </c>
      <c r="F341" s="284">
        <v>0.16</v>
      </c>
      <c r="G341" s="242">
        <v>0.12931034482758622</v>
      </c>
      <c r="H341" s="243">
        <f ca="1">SUMIF('Sales 6.2026'!B:F,'All Menu'!B341,'Sales 6.2026'!F:F)</f>
        <v>18</v>
      </c>
      <c r="I341" s="241"/>
      <c r="J341" s="244">
        <f>SUMIF('Finished Recipe'!B:B, B341, 'Finished Recipe'!M:M)</f>
        <v>3.9698754838709674E-2</v>
      </c>
      <c r="K341" s="244">
        <f t="shared" si="31"/>
        <v>8.9611589988876542E-2</v>
      </c>
      <c r="L341" s="245">
        <f t="shared" si="29"/>
        <v>0.30700370408602146</v>
      </c>
      <c r="M341" s="245">
        <f t="shared" si="30"/>
        <v>0.69299629591397849</v>
      </c>
      <c r="N341" s="23"/>
    </row>
    <row r="342" spans="1:14" ht="13" hidden="1">
      <c r="A342" s="78" t="s">
        <v>2787</v>
      </c>
      <c r="B342" s="219" t="s">
        <v>1289</v>
      </c>
      <c r="C342" s="240" t="s">
        <v>423</v>
      </c>
      <c r="D342" s="240" t="s">
        <v>1418</v>
      </c>
      <c r="E342" s="240" t="s">
        <v>1774</v>
      </c>
      <c r="F342" s="284">
        <v>0.16</v>
      </c>
      <c r="G342" s="242">
        <v>0.12931034482758622</v>
      </c>
      <c r="H342" s="243">
        <f ca="1">SUMIF('Sales 6.2026'!B:F,'All Menu'!B342,'Sales 6.2026'!F:F)</f>
        <v>12</v>
      </c>
      <c r="I342" s="241"/>
      <c r="J342" s="244">
        <f>SUMIF('Finished Recipe'!B:B, B342, 'Finished Recipe'!M:M)</f>
        <v>1.1955E-2</v>
      </c>
      <c r="K342" s="244">
        <f t="shared" si="31"/>
        <v>0.11735534482758622</v>
      </c>
      <c r="L342" s="245">
        <f t="shared" si="29"/>
        <v>9.2451999999999993E-2</v>
      </c>
      <c r="M342" s="245">
        <f t="shared" si="30"/>
        <v>0.90754800000000002</v>
      </c>
      <c r="N342" s="23"/>
    </row>
    <row r="343" spans="1:14" ht="13" hidden="1">
      <c r="A343" s="78" t="s">
        <v>3107</v>
      </c>
      <c r="B343" s="219" t="s">
        <v>1277</v>
      </c>
      <c r="C343" s="240" t="s">
        <v>423</v>
      </c>
      <c r="D343" s="240" t="s">
        <v>1418</v>
      </c>
      <c r="E343" s="240" t="s">
        <v>1420</v>
      </c>
      <c r="F343" s="284">
        <v>0.16</v>
      </c>
      <c r="G343" s="242">
        <v>1.2931034482758621</v>
      </c>
      <c r="H343" s="243">
        <f ca="1">SUMIF('Sales 6.2026'!B:F,'All Menu'!B343,'Sales 6.2026'!F:F)</f>
        <v>44</v>
      </c>
      <c r="I343" s="241"/>
      <c r="J343" s="244">
        <f>SUMIF('Finished Recipe'!B:B, B343, 'Finished Recipe'!M:M)</f>
        <v>0.56896999999999998</v>
      </c>
      <c r="K343" s="244">
        <f t="shared" si="31"/>
        <v>0.72413344827586212</v>
      </c>
      <c r="L343" s="245">
        <f t="shared" si="29"/>
        <v>0.44000346666666662</v>
      </c>
      <c r="M343" s="245">
        <f t="shared" si="30"/>
        <v>0.55999653333333332</v>
      </c>
      <c r="N343" s="23"/>
    </row>
    <row r="344" spans="1:14" ht="13" hidden="1">
      <c r="A344" s="78" t="s">
        <v>2788</v>
      </c>
      <c r="B344" s="219" t="s">
        <v>1278</v>
      </c>
      <c r="C344" s="240" t="s">
        <v>423</v>
      </c>
      <c r="D344" s="240" t="s">
        <v>1418</v>
      </c>
      <c r="E344" s="240" t="s">
        <v>1783</v>
      </c>
      <c r="F344" s="284">
        <v>0.16</v>
      </c>
      <c r="G344" s="242">
        <v>0.64655172413793105</v>
      </c>
      <c r="H344" s="243">
        <f ca="1">SUMIF('Sales 6.2026'!B:F,'All Menu'!B344,'Sales 6.2026'!F:F)</f>
        <v>3</v>
      </c>
      <c r="I344" s="241"/>
      <c r="J344" s="244">
        <f>SUMIF('Finished Recipe'!B:B, B344, 'Finished Recipe'!M:M)</f>
        <v>0.12397</v>
      </c>
      <c r="K344" s="244">
        <f t="shared" si="31"/>
        <v>0.52258172413793103</v>
      </c>
      <c r="L344" s="245">
        <f t="shared" si="29"/>
        <v>0.19174026666666666</v>
      </c>
      <c r="M344" s="245">
        <f t="shared" si="30"/>
        <v>0.80825973333333334</v>
      </c>
      <c r="N344" s="23"/>
    </row>
    <row r="345" spans="1:14" ht="13" hidden="1">
      <c r="A345" s="78" t="s">
        <v>2789</v>
      </c>
      <c r="B345" s="219" t="s">
        <v>1297</v>
      </c>
      <c r="C345" s="240" t="s">
        <v>423</v>
      </c>
      <c r="D345" s="240" t="s">
        <v>1418</v>
      </c>
      <c r="E345" s="247" t="s">
        <v>1791</v>
      </c>
      <c r="F345" s="284">
        <v>0.16</v>
      </c>
      <c r="G345" s="242">
        <v>1.7241379310344829</v>
      </c>
      <c r="H345" s="249">
        <f ca="1">SUMIF('Sales 6.2026'!B:F,'All Menu'!B345,'Sales 6.2026'!F:F)</f>
        <v>4</v>
      </c>
      <c r="I345" s="241"/>
      <c r="J345" s="244">
        <f>SUMIF('Finished Recipe'!B:B, B345, 'Finished Recipe'!M:M)</f>
        <v>0.83102372051401119</v>
      </c>
      <c r="K345" s="244">
        <f t="shared" si="31"/>
        <v>0.89311421052047169</v>
      </c>
      <c r="L345" s="245">
        <f t="shared" si="29"/>
        <v>0.48199375789812648</v>
      </c>
      <c r="M345" s="245">
        <f t="shared" si="30"/>
        <v>0.51800624210187352</v>
      </c>
      <c r="N345" s="23"/>
    </row>
    <row r="346" spans="1:14" ht="13" hidden="1">
      <c r="A346" s="78" t="s">
        <v>2790</v>
      </c>
      <c r="B346" s="219" t="s">
        <v>1298</v>
      </c>
      <c r="C346" s="240" t="s">
        <v>423</v>
      </c>
      <c r="D346" s="240" t="s">
        <v>1418</v>
      </c>
      <c r="E346" s="247" t="s">
        <v>1775</v>
      </c>
      <c r="F346" s="284">
        <v>0.16</v>
      </c>
      <c r="G346" s="242">
        <v>1.7241379310344829</v>
      </c>
      <c r="H346" s="249">
        <f ca="1">SUMIF('Sales 6.2026'!B:F,'All Menu'!B346,'Sales 6.2026'!F:F)</f>
        <v>0</v>
      </c>
      <c r="I346" s="241"/>
      <c r="J346" s="244">
        <f>SUMIF('Finished Recipe'!B:B, B346, 'Finished Recipe'!M:M)</f>
        <v>0.83102372051401119</v>
      </c>
      <c r="K346" s="244">
        <f t="shared" si="31"/>
        <v>0.89311421052047169</v>
      </c>
      <c r="L346" s="245">
        <f t="shared" si="29"/>
        <v>0.48199375789812648</v>
      </c>
      <c r="M346" s="245">
        <f t="shared" si="30"/>
        <v>0.51800624210187352</v>
      </c>
      <c r="N346" s="23"/>
    </row>
    <row r="347" spans="1:14" ht="13" hidden="1">
      <c r="A347" s="78" t="s">
        <v>2380</v>
      </c>
      <c r="B347" s="219" t="s">
        <v>1899</v>
      </c>
      <c r="C347" s="240" t="s">
        <v>423</v>
      </c>
      <c r="D347" s="240" t="s">
        <v>1418</v>
      </c>
      <c r="E347" s="240" t="s">
        <v>1901</v>
      </c>
      <c r="F347" s="284">
        <v>0.16</v>
      </c>
      <c r="G347" s="242">
        <v>5.6034482758620694</v>
      </c>
      <c r="H347" s="243">
        <f ca="1">SUMIF('Sales 6.2026'!B:F,'All Menu'!B347,'Sales 6.2026'!F:F)</f>
        <v>154</v>
      </c>
      <c r="I347" s="241"/>
      <c r="J347" s="244">
        <f>SUMIF('Finished Recipe'!B:B, B347, 'Finished Recipe'!M:M)</f>
        <v>3.3664918850821848</v>
      </c>
      <c r="K347" s="244">
        <f t="shared" si="31"/>
        <v>2.2369563907798846</v>
      </c>
      <c r="L347" s="245">
        <f t="shared" si="29"/>
        <v>0.60078932103005134</v>
      </c>
      <c r="M347" s="245">
        <f t="shared" si="30"/>
        <v>0.39921067896994861</v>
      </c>
      <c r="N347" s="23"/>
    </row>
    <row r="348" spans="1:14" ht="13" hidden="1">
      <c r="A348" s="78" t="s">
        <v>2791</v>
      </c>
      <c r="B348" s="219" t="s">
        <v>1900</v>
      </c>
      <c r="C348" s="240" t="s">
        <v>423</v>
      </c>
      <c r="D348" s="240" t="s">
        <v>1418</v>
      </c>
      <c r="E348" s="240" t="s">
        <v>1924</v>
      </c>
      <c r="F348" s="284">
        <v>0.16</v>
      </c>
      <c r="G348" s="242">
        <v>3.2327586206896552</v>
      </c>
      <c r="H348" s="243">
        <f ca="1">SUMIF('Sales 6.2026'!B:F,'All Menu'!B348,'Sales 6.2026'!F:F)</f>
        <v>134</v>
      </c>
      <c r="I348" s="241"/>
      <c r="J348" s="244">
        <f>SUMIF('Finished Recipe'!B:B, B348, 'Finished Recipe'!M:M)</f>
        <v>2.039611748992705</v>
      </c>
      <c r="K348" s="244">
        <f t="shared" si="31"/>
        <v>1.1931468716969502</v>
      </c>
      <c r="L348" s="245">
        <f t="shared" si="29"/>
        <v>0.63091990102174345</v>
      </c>
      <c r="M348" s="245">
        <f t="shared" si="30"/>
        <v>0.36908009897825661</v>
      </c>
      <c r="N348" s="23"/>
    </row>
    <row r="349" spans="1:14" ht="13" hidden="1">
      <c r="A349" s="78" t="s">
        <v>2792</v>
      </c>
      <c r="B349" s="219" t="s">
        <v>1143</v>
      </c>
      <c r="C349" s="240" t="s">
        <v>1813</v>
      </c>
      <c r="D349" s="240" t="s">
        <v>1634</v>
      </c>
      <c r="E349" s="240" t="s">
        <v>1633</v>
      </c>
      <c r="F349" s="284">
        <v>0.16</v>
      </c>
      <c r="G349" s="242">
        <v>0.30172413793103448</v>
      </c>
      <c r="H349" s="243">
        <f ca="1">SUMIF('Sales 6.2026'!B:F,'All Menu'!B349,'Sales 6.2026'!F:F)</f>
        <v>1400.1</v>
      </c>
      <c r="I349" s="241"/>
      <c r="J349" s="244">
        <f>SUMIF('Finished Recipe'!B:B, B349, 'Finished Recipe'!M:M)</f>
        <v>0.13741666666666666</v>
      </c>
      <c r="K349" s="244">
        <f t="shared" si="31"/>
        <v>0.16430747126436782</v>
      </c>
      <c r="L349" s="245">
        <f t="shared" si="29"/>
        <v>0.4554380952380952</v>
      </c>
      <c r="M349" s="245">
        <f t="shared" si="30"/>
        <v>0.5445619047619048</v>
      </c>
      <c r="N349" s="23"/>
    </row>
    <row r="350" spans="1:14" ht="13" hidden="1">
      <c r="A350" s="78" t="s">
        <v>2793</v>
      </c>
      <c r="B350" s="219" t="s">
        <v>1144</v>
      </c>
      <c r="C350" s="240" t="s">
        <v>1813</v>
      </c>
      <c r="D350" s="240" t="s">
        <v>1634</v>
      </c>
      <c r="E350" s="240" t="s">
        <v>1635</v>
      </c>
      <c r="F350" s="284">
        <v>0.16</v>
      </c>
      <c r="G350" s="242">
        <v>0.30172413793103448</v>
      </c>
      <c r="H350" s="243">
        <f ca="1">SUMIF('Sales 6.2026'!B:F,'All Menu'!B350,'Sales 6.2026'!F:F)</f>
        <v>82.86</v>
      </c>
      <c r="I350" s="241"/>
      <c r="J350" s="244">
        <f>SUMIF('Finished Recipe'!B:B, B350, 'Finished Recipe'!M:M)</f>
        <v>0.13700000000000001</v>
      </c>
      <c r="K350" s="244">
        <f t="shared" si="31"/>
        <v>0.16472413793103446</v>
      </c>
      <c r="L350" s="245">
        <f t="shared" si="29"/>
        <v>0.45405714285714288</v>
      </c>
      <c r="M350" s="245">
        <f t="shared" si="30"/>
        <v>0.54594285714285706</v>
      </c>
      <c r="N350" s="23"/>
    </row>
    <row r="351" spans="1:14" ht="13" hidden="1">
      <c r="A351" s="78" t="s">
        <v>2794</v>
      </c>
      <c r="B351" s="219" t="s">
        <v>1145</v>
      </c>
      <c r="C351" s="240" t="s">
        <v>1813</v>
      </c>
      <c r="D351" s="240" t="s">
        <v>1634</v>
      </c>
      <c r="E351" s="240" t="s">
        <v>1636</v>
      </c>
      <c r="F351" s="284">
        <v>0.16</v>
      </c>
      <c r="G351" s="242">
        <v>0.30172413793103448</v>
      </c>
      <c r="H351" s="243">
        <f ca="1">SUMIF('Sales 6.2026'!B:F,'All Menu'!B351,'Sales 6.2026'!F:F)</f>
        <v>196</v>
      </c>
      <c r="I351" s="241"/>
      <c r="J351" s="244">
        <f>SUMIF('Finished Recipe'!B:B, B351, 'Finished Recipe'!M:M)</f>
        <v>0.13700000000000001</v>
      </c>
      <c r="K351" s="244">
        <f t="shared" si="31"/>
        <v>0.16472413793103446</v>
      </c>
      <c r="L351" s="245">
        <f t="shared" si="29"/>
        <v>0.45405714285714288</v>
      </c>
      <c r="M351" s="245">
        <f t="shared" si="30"/>
        <v>0.54594285714285706</v>
      </c>
      <c r="N351" s="23"/>
    </row>
    <row r="352" spans="1:14" ht="13" hidden="1">
      <c r="A352" s="78" t="s">
        <v>2795</v>
      </c>
      <c r="B352" s="219" t="s">
        <v>1146</v>
      </c>
      <c r="C352" s="240" t="s">
        <v>1813</v>
      </c>
      <c r="D352" s="240" t="s">
        <v>1634</v>
      </c>
      <c r="E352" s="240" t="s">
        <v>1637</v>
      </c>
      <c r="F352" s="284">
        <v>0.16</v>
      </c>
      <c r="G352" s="242">
        <v>0.30172413793103448</v>
      </c>
      <c r="H352" s="243">
        <f ca="1">SUMIF('Sales 6.2026'!B:F,'All Menu'!B352,'Sales 6.2026'!F:F)</f>
        <v>91.5</v>
      </c>
      <c r="I352" s="241"/>
      <c r="J352" s="244">
        <f>SUMIF('Finished Recipe'!B:B, B352, 'Finished Recipe'!M:M)</f>
        <v>0.13700000000000001</v>
      </c>
      <c r="K352" s="244">
        <f t="shared" si="31"/>
        <v>0.16472413793103446</v>
      </c>
      <c r="L352" s="245">
        <f t="shared" si="29"/>
        <v>0.45405714285714288</v>
      </c>
      <c r="M352" s="245">
        <f t="shared" si="30"/>
        <v>0.54594285714285706</v>
      </c>
      <c r="N352" s="23"/>
    </row>
    <row r="353" spans="1:14" ht="13" hidden="1">
      <c r="A353" s="78" t="s">
        <v>2796</v>
      </c>
      <c r="B353" s="219" t="s">
        <v>1147</v>
      </c>
      <c r="C353" s="240" t="s">
        <v>1813</v>
      </c>
      <c r="D353" s="240" t="s">
        <v>1634</v>
      </c>
      <c r="E353" s="240" t="s">
        <v>1638</v>
      </c>
      <c r="F353" s="284">
        <v>0.16</v>
      </c>
      <c r="G353" s="242">
        <v>0.30172413793103448</v>
      </c>
      <c r="H353" s="243">
        <f ca="1">SUMIF('Sales 6.2026'!B:F,'All Menu'!B353,'Sales 6.2026'!F:F)</f>
        <v>33.700000000000003</v>
      </c>
      <c r="I353" s="241"/>
      <c r="J353" s="244">
        <f>SUMIF('Finished Recipe'!B:B, B353, 'Finished Recipe'!M:M)</f>
        <v>0.13700000000000001</v>
      </c>
      <c r="K353" s="244">
        <f t="shared" si="31"/>
        <v>0.16472413793103446</v>
      </c>
      <c r="L353" s="245">
        <f t="shared" si="29"/>
        <v>0.45405714285714288</v>
      </c>
      <c r="M353" s="245">
        <f t="shared" si="30"/>
        <v>0.54594285714285706</v>
      </c>
      <c r="N353" s="23"/>
    </row>
    <row r="354" spans="1:14" ht="13" hidden="1">
      <c r="A354" s="78" t="s">
        <v>2797</v>
      </c>
      <c r="B354" s="219" t="s">
        <v>1149</v>
      </c>
      <c r="C354" s="240" t="s">
        <v>1813</v>
      </c>
      <c r="D354" s="240" t="s">
        <v>1634</v>
      </c>
      <c r="E354" s="240" t="s">
        <v>1639</v>
      </c>
      <c r="F354" s="284">
        <v>0.16</v>
      </c>
      <c r="G354" s="242">
        <v>0.43103448275862072</v>
      </c>
      <c r="H354" s="243">
        <f ca="1">SUMIF('Sales 6.2026'!B:F,'All Menu'!B354,'Sales 6.2026'!F:F)</f>
        <v>903.51099999999997</v>
      </c>
      <c r="I354" s="241"/>
      <c r="J354" s="244">
        <f>SUMIF('Finished Recipe'!B:B, B354, 'Finished Recipe'!M:M)</f>
        <v>0.4</v>
      </c>
      <c r="K354" s="244">
        <f t="shared" si="31"/>
        <v>3.1034482758620696E-2</v>
      </c>
      <c r="L354" s="245">
        <f t="shared" si="29"/>
        <v>0.92799999999999994</v>
      </c>
      <c r="M354" s="245">
        <f t="shared" si="30"/>
        <v>7.2000000000000008E-2</v>
      </c>
      <c r="N354" s="23"/>
    </row>
    <row r="355" spans="1:14" ht="13" hidden="1">
      <c r="A355" s="78" t="s">
        <v>2798</v>
      </c>
      <c r="B355" s="219" t="s">
        <v>1150</v>
      </c>
      <c r="C355" s="240" t="s">
        <v>1813</v>
      </c>
      <c r="D355" s="240" t="s">
        <v>1634</v>
      </c>
      <c r="E355" s="240" t="s">
        <v>1640</v>
      </c>
      <c r="F355" s="284">
        <v>0.16</v>
      </c>
      <c r="G355" s="242">
        <v>1.2931034482758621</v>
      </c>
      <c r="H355" s="243">
        <f ca="1">SUMIF('Sales 6.2026'!B:F,'All Menu'!B355,'Sales 6.2026'!F:F)</f>
        <v>324.75</v>
      </c>
      <c r="I355" s="241"/>
      <c r="J355" s="244">
        <f>SUMIF('Finished Recipe'!B:B, B355, 'Finished Recipe'!M:M)</f>
        <v>0.50141762452107275</v>
      </c>
      <c r="K355" s="244">
        <f t="shared" si="31"/>
        <v>0.79168582375478935</v>
      </c>
      <c r="L355" s="245">
        <f t="shared" si="29"/>
        <v>0.38776296296296292</v>
      </c>
      <c r="M355" s="245">
        <f t="shared" si="30"/>
        <v>0.61223703703703714</v>
      </c>
      <c r="N355" s="23"/>
    </row>
    <row r="356" spans="1:14" ht="13" hidden="1">
      <c r="A356" s="78" t="s">
        <v>2285</v>
      </c>
      <c r="B356" s="219" t="s">
        <v>1142</v>
      </c>
      <c r="C356" s="240" t="s">
        <v>1813</v>
      </c>
      <c r="D356" s="240" t="s">
        <v>1634</v>
      </c>
      <c r="E356" s="240" t="s">
        <v>1479</v>
      </c>
      <c r="F356" s="284">
        <v>0.16</v>
      </c>
      <c r="G356" s="242">
        <v>0.30172413793103448</v>
      </c>
      <c r="H356" s="243">
        <f ca="1">SUMIF('Sales 6.2026'!B:F,'All Menu'!B356,'Sales 6.2026'!F:F)</f>
        <v>174.4</v>
      </c>
      <c r="I356" s="241"/>
      <c r="J356" s="244">
        <f>SUMIF('Finished Recipe'!B:B, B356, 'Finished Recipe'!M:M)</f>
        <v>8.9833333333333334E-2</v>
      </c>
      <c r="K356" s="244">
        <f t="shared" si="31"/>
        <v>0.21189080459770115</v>
      </c>
      <c r="L356" s="245">
        <f t="shared" si="29"/>
        <v>0.29773333333333335</v>
      </c>
      <c r="M356" s="245">
        <f t="shared" si="30"/>
        <v>0.70226666666666671</v>
      </c>
      <c r="N356" s="23"/>
    </row>
    <row r="357" spans="1:14" ht="13" hidden="1">
      <c r="A357" s="78" t="s">
        <v>2302</v>
      </c>
      <c r="B357" s="219" t="s">
        <v>1217</v>
      </c>
      <c r="C357" s="240" t="s">
        <v>1813</v>
      </c>
      <c r="D357" s="240" t="s">
        <v>1634</v>
      </c>
      <c r="E357" s="240" t="s">
        <v>1768</v>
      </c>
      <c r="F357" s="284">
        <v>0.16</v>
      </c>
      <c r="G357" s="242">
        <v>0.51724137931034486</v>
      </c>
      <c r="H357" s="243">
        <f ca="1">SUMIF('Sales 6.2026'!B:F,'All Menu'!B357,'Sales 6.2026'!F:F)</f>
        <v>23.3</v>
      </c>
      <c r="I357" s="241"/>
      <c r="J357" s="244">
        <f>SUMIF('Finished Recipe'!B:B, B357, 'Finished Recipe'!M:M)</f>
        <v>0.39200000000000002</v>
      </c>
      <c r="K357" s="244">
        <f t="shared" si="31"/>
        <v>0.12524137931034485</v>
      </c>
      <c r="L357" s="245">
        <f t="shared" si="29"/>
        <v>0.75786666666666669</v>
      </c>
      <c r="M357" s="245">
        <f t="shared" si="30"/>
        <v>0.24213333333333337</v>
      </c>
      <c r="N357" s="23"/>
    </row>
    <row r="358" spans="1:14" ht="13" hidden="1">
      <c r="A358" s="78" t="s">
        <v>2299</v>
      </c>
      <c r="B358" s="219" t="s">
        <v>1218</v>
      </c>
      <c r="C358" s="240" t="s">
        <v>1813</v>
      </c>
      <c r="D358" s="240" t="s">
        <v>1634</v>
      </c>
      <c r="E358" s="240" t="s">
        <v>1480</v>
      </c>
      <c r="F358" s="284">
        <v>0.16</v>
      </c>
      <c r="G358" s="242">
        <v>0.51724137931034486</v>
      </c>
      <c r="H358" s="243">
        <f ca="1">SUMIF('Sales 6.2026'!B:F,'All Menu'!B358,'Sales 6.2026'!F:F)</f>
        <v>11</v>
      </c>
      <c r="I358" s="241"/>
      <c r="J358" s="244">
        <f>SUMIF('Finished Recipe'!B:B, B358, 'Finished Recipe'!M:M)</f>
        <v>0.32</v>
      </c>
      <c r="K358" s="244">
        <f t="shared" si="31"/>
        <v>0.19724137931034486</v>
      </c>
      <c r="L358" s="245">
        <f t="shared" si="29"/>
        <v>0.61866666666666659</v>
      </c>
      <c r="M358" s="245">
        <f t="shared" si="30"/>
        <v>0.38133333333333336</v>
      </c>
      <c r="N358" s="23"/>
    </row>
    <row r="359" spans="1:14" ht="13" hidden="1">
      <c r="A359" s="78" t="s">
        <v>2799</v>
      </c>
      <c r="B359" s="219" t="s">
        <v>1219</v>
      </c>
      <c r="C359" s="240" t="s">
        <v>1813</v>
      </c>
      <c r="D359" s="240" t="s">
        <v>1634</v>
      </c>
      <c r="E359" s="240" t="s">
        <v>1482</v>
      </c>
      <c r="F359" s="284">
        <v>0.16</v>
      </c>
      <c r="G359" s="242">
        <v>0.51724137931034486</v>
      </c>
      <c r="H359" s="243">
        <f ca="1">SUMIF('Sales 6.2026'!B:F,'All Menu'!B359,'Sales 6.2026'!F:F)</f>
        <v>101</v>
      </c>
      <c r="I359" s="241"/>
      <c r="J359" s="244">
        <f>SUMIF('Finished Recipe'!B:B, B359, 'Finished Recipe'!M:M)</f>
        <v>0.39200000000000002</v>
      </c>
      <c r="K359" s="244">
        <f t="shared" si="31"/>
        <v>0.12524137931034485</v>
      </c>
      <c r="L359" s="245">
        <f t="shared" si="29"/>
        <v>0.75786666666666669</v>
      </c>
      <c r="M359" s="245">
        <f t="shared" si="30"/>
        <v>0.24213333333333337</v>
      </c>
      <c r="N359" s="23"/>
    </row>
    <row r="360" spans="1:14" ht="13" hidden="1">
      <c r="A360" s="78" t="s">
        <v>2300</v>
      </c>
      <c r="B360" s="219" t="s">
        <v>1220</v>
      </c>
      <c r="C360" s="240" t="s">
        <v>1813</v>
      </c>
      <c r="D360" s="240" t="s">
        <v>1634</v>
      </c>
      <c r="E360" s="240" t="s">
        <v>1641</v>
      </c>
      <c r="F360" s="284">
        <v>0.16</v>
      </c>
      <c r="G360" s="242">
        <v>0.51724137931034486</v>
      </c>
      <c r="H360" s="243">
        <f ca="1">SUMIF('Sales 6.2026'!B:F,'All Menu'!B360,'Sales 6.2026'!F:F)</f>
        <v>20</v>
      </c>
      <c r="I360" s="241"/>
      <c r="J360" s="244">
        <f>SUMIF('Finished Recipe'!B:B, B360, 'Finished Recipe'!M:M)</f>
        <v>0.32</v>
      </c>
      <c r="K360" s="244">
        <f t="shared" si="31"/>
        <v>0.19724137931034486</v>
      </c>
      <c r="L360" s="245">
        <f t="shared" si="29"/>
        <v>0.61866666666666659</v>
      </c>
      <c r="M360" s="245">
        <f t="shared" si="30"/>
        <v>0.38133333333333336</v>
      </c>
      <c r="N360" s="23"/>
    </row>
    <row r="361" spans="1:14" ht="13" hidden="1">
      <c r="A361" s="78" t="s">
        <v>3175</v>
      </c>
      <c r="B361" s="219" t="s">
        <v>1290</v>
      </c>
      <c r="C361" s="240" t="s">
        <v>1813</v>
      </c>
      <c r="D361" s="240" t="s">
        <v>1634</v>
      </c>
      <c r="E361" s="240" t="s">
        <v>332</v>
      </c>
      <c r="F361" s="284">
        <v>0.16</v>
      </c>
      <c r="G361" s="242">
        <v>2.1551724137931036</v>
      </c>
      <c r="H361" s="243">
        <f ca="1">SUMIF('Sales 6.2026'!B:F,'All Menu'!B361,'Sales 6.2026'!F:F)</f>
        <v>20</v>
      </c>
      <c r="I361" s="241"/>
      <c r="J361" s="244">
        <f>SUMIF('Finished Recipe'!B:B, B361, 'Finished Recipe'!M:M)</f>
        <v>1.6</v>
      </c>
      <c r="K361" s="244">
        <f t="shared" si="31"/>
        <v>0.55517241379310356</v>
      </c>
      <c r="L361" s="245">
        <f t="shared" si="29"/>
        <v>0.74239999999999995</v>
      </c>
      <c r="M361" s="245">
        <f t="shared" si="30"/>
        <v>0.25760000000000005</v>
      </c>
      <c r="N361" s="23"/>
    </row>
    <row r="362" spans="1:14" ht="13" hidden="1">
      <c r="A362" s="78" t="s">
        <v>2800</v>
      </c>
      <c r="B362" s="219" t="s">
        <v>1069</v>
      </c>
      <c r="C362" s="240" t="s">
        <v>1806</v>
      </c>
      <c r="D362" s="240" t="s">
        <v>1448</v>
      </c>
      <c r="E362" s="240" t="s">
        <v>1447</v>
      </c>
      <c r="F362" s="284">
        <v>0.16</v>
      </c>
      <c r="G362" s="242">
        <v>5.1724137931034484</v>
      </c>
      <c r="H362" s="243">
        <f ca="1">SUMIF('Sales 6.2026'!B:F,'All Menu'!B362,'Sales 6.2026'!F:F)</f>
        <v>65</v>
      </c>
      <c r="I362" s="241"/>
      <c r="J362" s="244">
        <f>SUMIF('Finished Recipe'!B:B, B362, 'Finished Recipe'!M:M)</f>
        <v>2.1146906785521877</v>
      </c>
      <c r="K362" s="244">
        <f t="shared" si="31"/>
        <v>3.0577231145512607</v>
      </c>
      <c r="L362" s="245">
        <f t="shared" si="29"/>
        <v>0.40884019785342296</v>
      </c>
      <c r="M362" s="245">
        <f t="shared" si="30"/>
        <v>0.59115980214657704</v>
      </c>
      <c r="N362" s="23"/>
    </row>
    <row r="363" spans="1:14" ht="13" hidden="1">
      <c r="A363" s="78" t="s">
        <v>2801</v>
      </c>
      <c r="B363" s="219" t="s">
        <v>892</v>
      </c>
      <c r="C363" s="240" t="s">
        <v>1806</v>
      </c>
      <c r="D363" s="240" t="s">
        <v>1448</v>
      </c>
      <c r="E363" s="240" t="s">
        <v>1449</v>
      </c>
      <c r="F363" s="284">
        <v>0.16</v>
      </c>
      <c r="G363" s="242">
        <v>2.5862068965517242</v>
      </c>
      <c r="H363" s="243">
        <f ca="1">SUMIF('Sales 6.2026'!B:F,'All Menu'!B363,'Sales 6.2026'!F:F)</f>
        <v>147.001</v>
      </c>
      <c r="I363" s="241"/>
      <c r="J363" s="244">
        <f>SUMIF('Finished Recipe'!B:B, B363, 'Finished Recipe'!M:M)</f>
        <v>0.47319357762056669</v>
      </c>
      <c r="K363" s="244">
        <f t="shared" si="31"/>
        <v>2.1130133189311575</v>
      </c>
      <c r="L363" s="245">
        <f t="shared" si="29"/>
        <v>0.1829681833466191</v>
      </c>
      <c r="M363" s="245">
        <f t="shared" si="30"/>
        <v>0.81703181665338087</v>
      </c>
      <c r="N363" s="23"/>
    </row>
    <row r="364" spans="1:14" ht="13" hidden="1">
      <c r="A364" s="78" t="s">
        <v>3064</v>
      </c>
      <c r="B364" s="219" t="s">
        <v>898</v>
      </c>
      <c r="C364" s="240" t="s">
        <v>1806</v>
      </c>
      <c r="D364" s="240" t="s">
        <v>1448</v>
      </c>
      <c r="E364" s="240" t="s">
        <v>571</v>
      </c>
      <c r="F364" s="284">
        <v>0.16</v>
      </c>
      <c r="G364" s="242">
        <v>1.7241379310344829</v>
      </c>
      <c r="H364" s="243">
        <f ca="1">SUMIF('Sales 6.2026'!B:F,'All Menu'!B364,'Sales 6.2026'!F:F)</f>
        <v>122</v>
      </c>
      <c r="I364" s="241"/>
      <c r="J364" s="244">
        <f>SUMIF('Finished Recipe'!B:B, B364, 'Finished Recipe'!M:M)</f>
        <v>0.32659275311949881</v>
      </c>
      <c r="K364" s="244">
        <f t="shared" si="31"/>
        <v>1.3975451779149841</v>
      </c>
      <c r="L364" s="245">
        <f t="shared" si="29"/>
        <v>0.18942379680930929</v>
      </c>
      <c r="M364" s="245">
        <f t="shared" si="30"/>
        <v>0.81057620319069068</v>
      </c>
      <c r="N364" s="23"/>
    </row>
    <row r="365" spans="1:14" ht="13" hidden="1">
      <c r="A365" s="78" t="s">
        <v>3065</v>
      </c>
      <c r="B365" s="219" t="s">
        <v>891</v>
      </c>
      <c r="C365" s="240" t="s">
        <v>1806</v>
      </c>
      <c r="D365" s="240" t="s">
        <v>1448</v>
      </c>
      <c r="E365" s="241" t="s">
        <v>515</v>
      </c>
      <c r="F365" s="284">
        <v>0.16</v>
      </c>
      <c r="G365" s="242">
        <v>1.7241379310344829</v>
      </c>
      <c r="H365" s="243">
        <f ca="1">SUMIF('Sales 6.2026'!B:F,'All Menu'!B365,'Sales 6.2026'!F:F)</f>
        <v>222.00020000000001</v>
      </c>
      <c r="I365" s="241"/>
      <c r="J365" s="244">
        <f>SUMIF('Finished Recipe'!B:B, B365, 'Finished Recipe'!M:M)</f>
        <v>0.32280166723763842</v>
      </c>
      <c r="K365" s="244">
        <f t="shared" si="31"/>
        <v>1.4013362637968445</v>
      </c>
      <c r="L365" s="245">
        <f t="shared" si="29"/>
        <v>0.18722496699783028</v>
      </c>
      <c r="M365" s="245">
        <f t="shared" si="30"/>
        <v>0.8127750330021698</v>
      </c>
      <c r="N365" s="23"/>
    </row>
    <row r="366" spans="1:14" ht="13" hidden="1">
      <c r="A366" s="78" t="s">
        <v>2802</v>
      </c>
      <c r="B366" s="219" t="s">
        <v>896</v>
      </c>
      <c r="C366" s="240" t="s">
        <v>1806</v>
      </c>
      <c r="D366" s="240" t="s">
        <v>1448</v>
      </c>
      <c r="E366" s="247" t="s">
        <v>517</v>
      </c>
      <c r="F366" s="284">
        <v>0.16</v>
      </c>
      <c r="G366" s="242">
        <v>2.1551724137931036</v>
      </c>
      <c r="H366" s="249">
        <f ca="1">SUMIF('Sales 6.2026'!B:F,'All Menu'!B366,'Sales 6.2026'!F:F)</f>
        <v>1</v>
      </c>
      <c r="I366" s="241"/>
      <c r="J366" s="244">
        <f>SUMIF('Finished Recipe'!B:B, B366, 'Finished Recipe'!M:M)</f>
        <v>0.25284042461005196</v>
      </c>
      <c r="K366" s="244">
        <f t="shared" si="31"/>
        <v>1.9023319891830517</v>
      </c>
      <c r="L366" s="245">
        <f t="shared" si="29"/>
        <v>0.1173179570190641</v>
      </c>
      <c r="M366" s="245">
        <f t="shared" si="30"/>
        <v>0.88268204298093589</v>
      </c>
      <c r="N366" s="23"/>
    </row>
    <row r="367" spans="1:14" ht="13" hidden="1">
      <c r="A367" s="78" t="s">
        <v>3063</v>
      </c>
      <c r="B367" s="219" t="s">
        <v>895</v>
      </c>
      <c r="C367" s="240" t="s">
        <v>1806</v>
      </c>
      <c r="D367" s="240" t="s">
        <v>1448</v>
      </c>
      <c r="E367" s="240" t="s">
        <v>489</v>
      </c>
      <c r="F367" s="284">
        <v>0.16</v>
      </c>
      <c r="G367" s="242">
        <v>1.7241379310344829</v>
      </c>
      <c r="H367" s="243">
        <f ca="1">SUMIF('Sales 6.2026'!B:F,'All Menu'!B367,'Sales 6.2026'!F:F)</f>
        <v>350</v>
      </c>
      <c r="I367" s="241"/>
      <c r="J367" s="244">
        <f>SUMIF('Finished Recipe'!B:B, B367, 'Finished Recipe'!M:M)</f>
        <v>0.37273836559139784</v>
      </c>
      <c r="K367" s="244">
        <f t="shared" si="31"/>
        <v>1.351399565443085</v>
      </c>
      <c r="L367" s="245">
        <f t="shared" si="29"/>
        <v>0.21618825204301073</v>
      </c>
      <c r="M367" s="245">
        <f t="shared" si="30"/>
        <v>0.78381174795698927</v>
      </c>
      <c r="N367" s="23"/>
    </row>
    <row r="368" spans="1:14" ht="13" hidden="1">
      <c r="A368" s="78" t="s">
        <v>2803</v>
      </c>
      <c r="B368" s="219" t="s">
        <v>887</v>
      </c>
      <c r="C368" s="240" t="s">
        <v>1806</v>
      </c>
      <c r="D368" s="240" t="s">
        <v>1448</v>
      </c>
      <c r="E368" s="240" t="s">
        <v>567</v>
      </c>
      <c r="F368" s="284">
        <v>0.16</v>
      </c>
      <c r="G368" s="242">
        <v>1.2931034482758621</v>
      </c>
      <c r="H368" s="243">
        <f ca="1">SUMIF('Sales 6.2026'!B:F,'All Menu'!B368,'Sales 6.2026'!F:F)</f>
        <v>91.710000000000008</v>
      </c>
      <c r="I368" s="241"/>
      <c r="J368" s="244">
        <f>SUMIF('Finished Recipe'!B:B, B368, 'Finished Recipe'!M:M)</f>
        <v>0.6310778979497047</v>
      </c>
      <c r="K368" s="244">
        <f t="shared" si="31"/>
        <v>0.6620255503261574</v>
      </c>
      <c r="L368" s="245">
        <f t="shared" si="29"/>
        <v>0.48803357441443829</v>
      </c>
      <c r="M368" s="245">
        <f t="shared" si="30"/>
        <v>0.51196642558556171</v>
      </c>
      <c r="N368" s="23"/>
    </row>
    <row r="369" spans="1:14" ht="13" hidden="1">
      <c r="A369" s="78" t="s">
        <v>2409</v>
      </c>
      <c r="B369" s="219" t="s">
        <v>1179</v>
      </c>
      <c r="C369" s="240" t="s">
        <v>1806</v>
      </c>
      <c r="D369" s="240" t="s">
        <v>1448</v>
      </c>
      <c r="E369" s="240" t="s">
        <v>579</v>
      </c>
      <c r="F369" s="284">
        <v>0.16</v>
      </c>
      <c r="G369" s="242">
        <v>0.21551724137931036</v>
      </c>
      <c r="H369" s="243">
        <f ca="1">SUMIF('Sales 6.2026'!B:F,'All Menu'!B369,'Sales 6.2026'!F:F)</f>
        <v>330.22</v>
      </c>
      <c r="I369" s="241"/>
      <c r="J369" s="244">
        <f>SUMIF('Finished Recipe'!B:B, B369, 'Finished Recipe'!M:M)</f>
        <v>6.0440000000000001E-2</v>
      </c>
      <c r="K369" s="244">
        <f t="shared" si="31"/>
        <v>0.15507724137931037</v>
      </c>
      <c r="L369" s="245">
        <f t="shared" si="29"/>
        <v>0.28044159999999996</v>
      </c>
      <c r="M369" s="245">
        <f t="shared" si="30"/>
        <v>0.71955840000000004</v>
      </c>
      <c r="N369" s="23"/>
    </row>
    <row r="370" spans="1:14" ht="13" hidden="1">
      <c r="A370" s="78" t="s">
        <v>2804</v>
      </c>
      <c r="B370" s="219" t="s">
        <v>1100</v>
      </c>
      <c r="C370" s="240" t="s">
        <v>1806</v>
      </c>
      <c r="D370" s="240" t="s">
        <v>1448</v>
      </c>
      <c r="E370" s="240" t="s">
        <v>1781</v>
      </c>
      <c r="F370" s="284">
        <v>0.16</v>
      </c>
      <c r="G370" s="242">
        <v>0.64655172413793105</v>
      </c>
      <c r="H370" s="243">
        <f ca="1">SUMIF('Sales 6.2026'!B:F,'All Menu'!B370,'Sales 6.2026'!F:F)</f>
        <v>168.001</v>
      </c>
      <c r="I370" s="241"/>
      <c r="J370" s="244">
        <f>SUMIF('Finished Recipe'!B:B, B370, 'Finished Recipe'!M:M)</f>
        <v>0.11478613834173157</v>
      </c>
      <c r="K370" s="244">
        <f t="shared" si="31"/>
        <v>0.53176558579619948</v>
      </c>
      <c r="L370" s="245">
        <f t="shared" si="29"/>
        <v>0.17753589396854483</v>
      </c>
      <c r="M370" s="245">
        <f t="shared" si="30"/>
        <v>0.82246410603145514</v>
      </c>
      <c r="N370" s="23"/>
    </row>
    <row r="371" spans="1:14" ht="13" hidden="1">
      <c r="A371" s="78" t="s">
        <v>2805</v>
      </c>
      <c r="B371" s="219" t="s">
        <v>1018</v>
      </c>
      <c r="C371" s="240" t="s">
        <v>1806</v>
      </c>
      <c r="D371" s="240" t="s">
        <v>1448</v>
      </c>
      <c r="E371" s="240" t="s">
        <v>1782</v>
      </c>
      <c r="F371" s="284">
        <v>0.16</v>
      </c>
      <c r="G371" s="242">
        <v>0.34482758620689657</v>
      </c>
      <c r="H371" s="243">
        <f ca="1">SUMIF('Sales 6.2026'!B:F,'All Menu'!B371,'Sales 6.2026'!F:F)</f>
        <v>324.39999999999998</v>
      </c>
      <c r="I371" s="241"/>
      <c r="J371" s="244">
        <f>SUMIF('Finished Recipe'!B:B, B371, 'Finished Recipe'!M:M)</f>
        <v>0.16</v>
      </c>
      <c r="K371" s="244">
        <f t="shared" si="31"/>
        <v>0.18482758620689657</v>
      </c>
      <c r="L371" s="245">
        <f t="shared" si="29"/>
        <v>0.46399999999999997</v>
      </c>
      <c r="M371" s="245">
        <f t="shared" si="30"/>
        <v>0.53600000000000003</v>
      </c>
      <c r="N371" s="23"/>
    </row>
    <row r="372" spans="1:14" ht="13" hidden="1">
      <c r="A372" s="78" t="s">
        <v>2806</v>
      </c>
      <c r="B372" s="219" t="s">
        <v>1083</v>
      </c>
      <c r="C372" s="240" t="s">
        <v>1806</v>
      </c>
      <c r="D372" s="241" t="s">
        <v>1448</v>
      </c>
      <c r="E372" s="251" t="s">
        <v>1452</v>
      </c>
      <c r="F372" s="284">
        <v>0.16</v>
      </c>
      <c r="G372" s="242">
        <v>0.34482758620689657</v>
      </c>
      <c r="H372" s="243">
        <f ca="1">SUMIF('Sales 6.2026'!B:F,'All Menu'!B372,'Sales 6.2026'!F:F)</f>
        <v>39</v>
      </c>
      <c r="I372" s="241"/>
      <c r="J372" s="244">
        <f>SUMIF('Finished Recipe'!B:B, B372, 'Finished Recipe'!M:M)</f>
        <v>0.12825673611111113</v>
      </c>
      <c r="K372" s="244">
        <f t="shared" si="31"/>
        <v>0.21657085009578544</v>
      </c>
      <c r="L372" s="245">
        <f t="shared" si="29"/>
        <v>0.37194453472222228</v>
      </c>
      <c r="M372" s="245">
        <f t="shared" si="30"/>
        <v>0.62805546527777778</v>
      </c>
      <c r="N372" s="23"/>
    </row>
    <row r="373" spans="1:14" ht="13">
      <c r="A373" s="78" t="s">
        <v>2807</v>
      </c>
      <c r="B373" s="219" t="s">
        <v>897</v>
      </c>
      <c r="C373" s="240" t="s">
        <v>1806</v>
      </c>
      <c r="D373" s="240" t="s">
        <v>1448</v>
      </c>
      <c r="E373" s="240" t="s">
        <v>573</v>
      </c>
      <c r="F373" s="284">
        <v>0.16</v>
      </c>
      <c r="G373" s="242">
        <v>1.0775862068965518</v>
      </c>
      <c r="H373" s="243">
        <f ca="1">SUMIF('Sales 6.2026'!B:F,'All Menu'!B373,'Sales 6.2026'!F:F)</f>
        <v>670.00099999999998</v>
      </c>
      <c r="I373" s="241"/>
      <c r="J373" s="244">
        <f>SUMIF('Finished Recipe'!B:B, B373, 'Finished Recipe'!M:M)</f>
        <v>0.56669403004883445</v>
      </c>
      <c r="K373" s="244">
        <f t="shared" si="31"/>
        <v>0.51089217684771737</v>
      </c>
      <c r="L373" s="245">
        <f t="shared" si="29"/>
        <v>0.52589205988531829</v>
      </c>
      <c r="M373" s="245">
        <f t="shared" si="30"/>
        <v>0.47410794011468166</v>
      </c>
      <c r="N373" s="23"/>
    </row>
    <row r="374" spans="1:14" ht="13">
      <c r="A374" s="78" t="s">
        <v>2808</v>
      </c>
      <c r="B374" s="219" t="s">
        <v>893</v>
      </c>
      <c r="C374" s="240" t="s">
        <v>1806</v>
      </c>
      <c r="D374" s="240" t="s">
        <v>1448</v>
      </c>
      <c r="E374" s="240" t="s">
        <v>569</v>
      </c>
      <c r="F374" s="284">
        <v>0.16</v>
      </c>
      <c r="G374" s="242">
        <v>0.64655172413793105</v>
      </c>
      <c r="H374" s="243">
        <f ca="1">SUMIF('Sales 6.2026'!B:F,'All Menu'!B374,'Sales 6.2026'!F:F)</f>
        <v>1510.3000999999999</v>
      </c>
      <c r="I374" s="241"/>
      <c r="J374" s="244">
        <f>SUMIF('Finished Recipe'!B:B, B374, 'Finished Recipe'!M:M)</f>
        <v>0.74333047410526309</v>
      </c>
      <c r="K374" s="244">
        <f t="shared" si="31"/>
        <v>-9.6778749967332045E-2</v>
      </c>
      <c r="L374" s="245">
        <f t="shared" si="29"/>
        <v>1.1496844666161403</v>
      </c>
      <c r="M374" s="245">
        <f t="shared" si="30"/>
        <v>-0.14968446661614024</v>
      </c>
      <c r="N374" s="23"/>
    </row>
    <row r="375" spans="1:14" ht="13" hidden="1">
      <c r="A375" s="78" t="s">
        <v>2809</v>
      </c>
      <c r="B375" s="219" t="s">
        <v>947</v>
      </c>
      <c r="C375" s="240" t="s">
        <v>1806</v>
      </c>
      <c r="D375" s="241" t="s">
        <v>1448</v>
      </c>
      <c r="E375" s="251" t="s">
        <v>1453</v>
      </c>
      <c r="F375" s="284">
        <v>0.16</v>
      </c>
      <c r="G375" s="242">
        <v>0.64655172413793105</v>
      </c>
      <c r="H375" s="243">
        <f ca="1">SUMIF('Sales 6.2026'!B:F,'All Menu'!B375,'Sales 6.2026'!F:F)</f>
        <v>688.00009999999997</v>
      </c>
      <c r="I375" s="241"/>
      <c r="J375" s="244">
        <f>SUMIF('Finished Recipe'!B:B, B375, 'Finished Recipe'!M:M)</f>
        <v>0.19348933333333332</v>
      </c>
      <c r="K375" s="244">
        <f t="shared" si="31"/>
        <v>0.45306239080459776</v>
      </c>
      <c r="L375" s="245">
        <f t="shared" si="29"/>
        <v>0.2992635022222222</v>
      </c>
      <c r="M375" s="245">
        <f t="shared" si="30"/>
        <v>0.7007364977777778</v>
      </c>
      <c r="N375" s="23"/>
    </row>
    <row r="376" spans="1:14" ht="13" hidden="1">
      <c r="A376" s="78" t="s">
        <v>2810</v>
      </c>
      <c r="B376" s="219" t="s">
        <v>969</v>
      </c>
      <c r="C376" s="240" t="s">
        <v>1806</v>
      </c>
      <c r="D376" s="240" t="s">
        <v>1448</v>
      </c>
      <c r="E376" s="240" t="s">
        <v>1454</v>
      </c>
      <c r="F376" s="284">
        <v>0.16</v>
      </c>
      <c r="G376" s="242">
        <v>0.86206896551724144</v>
      </c>
      <c r="H376" s="243">
        <f ca="1">SUMIF('Sales 6.2026'!B:F,'All Menu'!B376,'Sales 6.2026'!F:F)</f>
        <v>564.5</v>
      </c>
      <c r="I376" s="241"/>
      <c r="J376" s="244">
        <f>SUMIF('Finished Recipe'!B:B, B376, 'Finished Recipe'!M:M)</f>
        <v>0.19719300000000001</v>
      </c>
      <c r="K376" s="244">
        <f t="shared" si="31"/>
        <v>0.66487596551724137</v>
      </c>
      <c r="L376" s="245">
        <f t="shared" si="29"/>
        <v>0.22874387999999998</v>
      </c>
      <c r="M376" s="245">
        <f t="shared" si="30"/>
        <v>0.77125611999999999</v>
      </c>
      <c r="N376" s="23"/>
    </row>
    <row r="377" spans="1:14" ht="13" hidden="1">
      <c r="A377" s="78" t="s">
        <v>2811</v>
      </c>
      <c r="B377" s="219" t="s">
        <v>937</v>
      </c>
      <c r="C377" s="240" t="s">
        <v>1806</v>
      </c>
      <c r="D377" s="240" t="s">
        <v>1448</v>
      </c>
      <c r="E377" s="240" t="s">
        <v>1455</v>
      </c>
      <c r="F377" s="284">
        <v>0.16</v>
      </c>
      <c r="G377" s="242">
        <v>0.64655172413793105</v>
      </c>
      <c r="H377" s="243">
        <f ca="1">SUMIF('Sales 6.2026'!B:F,'All Menu'!B377,'Sales 6.2026'!F:F)</f>
        <v>1726.0020999999999</v>
      </c>
      <c r="I377" s="241"/>
      <c r="J377" s="244">
        <f>SUMIF('Finished Recipe'!B:B, B377, 'Finished Recipe'!M:M)</f>
        <v>0.2584178695286195</v>
      </c>
      <c r="K377" s="244">
        <f t="shared" si="31"/>
        <v>0.38813385460931155</v>
      </c>
      <c r="L377" s="245">
        <f t="shared" si="29"/>
        <v>0.39968630487093149</v>
      </c>
      <c r="M377" s="245">
        <f t="shared" si="30"/>
        <v>0.60031369512906851</v>
      </c>
      <c r="N377" s="23"/>
    </row>
    <row r="378" spans="1:14" ht="13" hidden="1">
      <c r="A378" s="78" t="s">
        <v>2812</v>
      </c>
      <c r="B378" s="219" t="s">
        <v>938</v>
      </c>
      <c r="C378" s="240" t="s">
        <v>1806</v>
      </c>
      <c r="D378" s="240" t="s">
        <v>1448</v>
      </c>
      <c r="E378" s="240" t="s">
        <v>1456</v>
      </c>
      <c r="F378" s="284">
        <v>0.16</v>
      </c>
      <c r="G378" s="242">
        <v>0.77586206896551735</v>
      </c>
      <c r="H378" s="243">
        <f ca="1">SUMIF('Sales 6.2026'!B:F,'All Menu'!B378,'Sales 6.2026'!F:F)</f>
        <v>1139.001</v>
      </c>
      <c r="I378" s="241"/>
      <c r="J378" s="244">
        <f>SUMIF('Finished Recipe'!B:B, B378, 'Finished Recipe'!M:M)</f>
        <v>0.46852673828030816</v>
      </c>
      <c r="K378" s="244">
        <f t="shared" si="31"/>
        <v>0.30733533068520918</v>
      </c>
      <c r="L378" s="245">
        <f t="shared" si="29"/>
        <v>0.60387890711684156</v>
      </c>
      <c r="M378" s="245">
        <f t="shared" si="30"/>
        <v>0.39612109288315844</v>
      </c>
      <c r="N378" s="23"/>
    </row>
    <row r="379" spans="1:14" ht="13" hidden="1">
      <c r="A379" s="78" t="s">
        <v>2813</v>
      </c>
      <c r="B379" s="219" t="s">
        <v>1047</v>
      </c>
      <c r="C379" s="240" t="s">
        <v>1806</v>
      </c>
      <c r="D379" s="240" t="s">
        <v>1448</v>
      </c>
      <c r="E379" s="240" t="s">
        <v>1457</v>
      </c>
      <c r="F379" s="284">
        <v>0.16</v>
      </c>
      <c r="G379" s="242">
        <v>0.21551724137931036</v>
      </c>
      <c r="H379" s="243">
        <f ca="1">SUMIF('Sales 6.2026'!B:F,'All Menu'!B379,'Sales 6.2026'!F:F)</f>
        <v>197.03200000000001</v>
      </c>
      <c r="I379" s="241"/>
      <c r="J379" s="244">
        <f>SUMIF('Finished Recipe'!B:B, B379, 'Finished Recipe'!M:M)</f>
        <v>6.620838217338218E-2</v>
      </c>
      <c r="K379" s="244">
        <f t="shared" si="31"/>
        <v>0.14930885920592818</v>
      </c>
      <c r="L379" s="245">
        <f t="shared" ref="L379:L431" si="32">J379/G379</f>
        <v>0.3072068932844933</v>
      </c>
      <c r="M379" s="245">
        <f t="shared" ref="M379:M431" si="33">K379/G379</f>
        <v>0.69279310671550676</v>
      </c>
      <c r="N379" s="23"/>
    </row>
    <row r="380" spans="1:14" ht="13" hidden="1">
      <c r="A380" s="78" t="s">
        <v>2814</v>
      </c>
      <c r="B380" s="219" t="s">
        <v>1048</v>
      </c>
      <c r="C380" s="240" t="s">
        <v>1806</v>
      </c>
      <c r="D380" s="240" t="s">
        <v>1448</v>
      </c>
      <c r="E380" s="240" t="s">
        <v>1458</v>
      </c>
      <c r="F380" s="284">
        <v>0.16</v>
      </c>
      <c r="G380" s="242">
        <v>0.21551724137931036</v>
      </c>
      <c r="H380" s="243">
        <f ca="1">SUMIF('Sales 6.2026'!B:F,'All Menu'!B380,'Sales 6.2026'!F:F)</f>
        <v>217</v>
      </c>
      <c r="I380" s="241"/>
      <c r="J380" s="244">
        <f>SUMIF('Finished Recipe'!B:B, B380, 'Finished Recipe'!M:M)</f>
        <v>8.7399999999999992E-2</v>
      </c>
      <c r="K380" s="244">
        <f t="shared" si="31"/>
        <v>0.12811724137931035</v>
      </c>
      <c r="L380" s="245">
        <f t="shared" si="32"/>
        <v>0.40553599999999995</v>
      </c>
      <c r="M380" s="245">
        <f t="shared" si="33"/>
        <v>0.59446399999999999</v>
      </c>
      <c r="N380" s="23"/>
    </row>
    <row r="381" spans="1:14" ht="13" hidden="1">
      <c r="A381" s="78" t="s">
        <v>2815</v>
      </c>
      <c r="B381" s="219" t="s">
        <v>1180</v>
      </c>
      <c r="C381" s="240" t="s">
        <v>1806</v>
      </c>
      <c r="D381" s="240" t="s">
        <v>1448</v>
      </c>
      <c r="E381" s="240" t="s">
        <v>1787</v>
      </c>
      <c r="F381" s="284">
        <v>0.16</v>
      </c>
      <c r="G381" s="242">
        <v>0.21551724137931036</v>
      </c>
      <c r="H381" s="243">
        <f ca="1">SUMIF('Sales 6.2026'!B:F,'All Menu'!B381,'Sales 6.2026'!F:F)</f>
        <v>23.001000000000001</v>
      </c>
      <c r="I381" s="241"/>
      <c r="J381" s="244">
        <f>SUMIF('Finished Recipe'!B:B, B381, 'Finished Recipe'!M:M)</f>
        <v>8.0269227668346321E-2</v>
      </c>
      <c r="K381" s="244">
        <f t="shared" si="31"/>
        <v>0.13524801371096404</v>
      </c>
      <c r="L381" s="245">
        <f t="shared" si="32"/>
        <v>0.37244921638112688</v>
      </c>
      <c r="M381" s="245">
        <f t="shared" si="33"/>
        <v>0.62755078361887306</v>
      </c>
      <c r="N381" s="23"/>
    </row>
    <row r="382" spans="1:14" ht="13" hidden="1">
      <c r="A382" s="78" t="s">
        <v>2816</v>
      </c>
      <c r="B382" s="219" t="s">
        <v>1221</v>
      </c>
      <c r="C382" s="240" t="s">
        <v>1806</v>
      </c>
      <c r="D382" s="240" t="s">
        <v>1448</v>
      </c>
      <c r="E382" s="240" t="s">
        <v>1785</v>
      </c>
      <c r="F382" s="284">
        <v>0.16</v>
      </c>
      <c r="G382" s="242">
        <v>0.21551724137931036</v>
      </c>
      <c r="H382" s="243">
        <f ca="1">SUMIF('Sales 6.2026'!B:F,'All Menu'!B382,'Sales 6.2026'!F:F)</f>
        <v>5</v>
      </c>
      <c r="I382" s="241"/>
      <c r="J382" s="244">
        <f>SUMIF('Finished Recipe'!B:B, B382, 'Finished Recipe'!M:M)</f>
        <v>3.3079165310720644E-2</v>
      </c>
      <c r="K382" s="244">
        <f t="shared" si="31"/>
        <v>0.18243807606858972</v>
      </c>
      <c r="L382" s="245">
        <f t="shared" si="32"/>
        <v>0.15348732704174378</v>
      </c>
      <c r="M382" s="245">
        <f t="shared" si="33"/>
        <v>0.84651267295825627</v>
      </c>
      <c r="N382" s="23"/>
    </row>
    <row r="383" spans="1:14" ht="13" hidden="1">
      <c r="A383" s="78" t="s">
        <v>2817</v>
      </c>
      <c r="B383" s="219" t="s">
        <v>1300</v>
      </c>
      <c r="C383" s="240" t="s">
        <v>1806</v>
      </c>
      <c r="D383" s="240" t="s">
        <v>1448</v>
      </c>
      <c r="E383" s="240" t="s">
        <v>1797</v>
      </c>
      <c r="F383" s="284">
        <v>0.16</v>
      </c>
      <c r="G383" s="242">
        <v>12.931034482758621</v>
      </c>
      <c r="H383" s="243">
        <f ca="1">SUMIF('Sales 6.2026'!B:F,'All Menu'!B383,'Sales 6.2026'!F:F)</f>
        <v>9</v>
      </c>
      <c r="I383" s="241"/>
      <c r="J383" s="244">
        <f>SUMIF('Finished Recipe'!B:B, B383, 'Finished Recipe'!M:M)</f>
        <v>3.0207196746032001</v>
      </c>
      <c r="K383" s="244">
        <f t="shared" si="31"/>
        <v>9.9103148081554213</v>
      </c>
      <c r="L383" s="245">
        <f t="shared" si="32"/>
        <v>0.23360232150264748</v>
      </c>
      <c r="M383" s="245">
        <f t="shared" si="33"/>
        <v>0.76639767849735252</v>
      </c>
      <c r="N383" s="23"/>
    </row>
    <row r="384" spans="1:14" ht="13" hidden="1">
      <c r="A384" s="78" t="s">
        <v>2818</v>
      </c>
      <c r="B384" s="219" t="s">
        <v>1274</v>
      </c>
      <c r="C384" s="240" t="s">
        <v>1806</v>
      </c>
      <c r="D384" s="240" t="s">
        <v>1448</v>
      </c>
      <c r="E384" s="240" t="s">
        <v>1786</v>
      </c>
      <c r="F384" s="284">
        <v>0.16</v>
      </c>
      <c r="G384" s="242">
        <v>1.2931034482758621</v>
      </c>
      <c r="H384" s="243">
        <f ca="1">SUMIF('Sales 6.2026'!B:F,'All Menu'!B384,'Sales 6.2026'!F:F)</f>
        <v>46</v>
      </c>
      <c r="I384" s="241"/>
      <c r="J384" s="244">
        <f>SUMIF('Finished Recipe'!B:B, B384, 'Finished Recipe'!M:M)</f>
        <v>0.27506122685185186</v>
      </c>
      <c r="K384" s="244">
        <f t="shared" si="31"/>
        <v>1.0180422214240101</v>
      </c>
      <c r="L384" s="245">
        <f t="shared" si="32"/>
        <v>0.21271401543209875</v>
      </c>
      <c r="M384" s="245">
        <f t="shared" si="33"/>
        <v>0.78728598456790111</v>
      </c>
      <c r="N384" s="23"/>
    </row>
    <row r="385" spans="1:14" ht="13" hidden="1">
      <c r="A385" s="78" t="s">
        <v>2819</v>
      </c>
      <c r="B385" s="219" t="s">
        <v>1308</v>
      </c>
      <c r="C385" s="240" t="s">
        <v>1806</v>
      </c>
      <c r="D385" s="240" t="s">
        <v>1448</v>
      </c>
      <c r="E385" s="240" t="s">
        <v>1794</v>
      </c>
      <c r="F385" s="284">
        <v>0.16</v>
      </c>
      <c r="G385" s="242">
        <v>2.5862068965517242</v>
      </c>
      <c r="H385" s="243">
        <f ca="1">SUMIF('Sales 6.2026'!B:F,'All Menu'!B385,'Sales 6.2026'!F:F)</f>
        <v>12</v>
      </c>
      <c r="I385" s="241"/>
      <c r="J385" s="244">
        <f>SUMIF('Finished Recipe'!B:B, B385, 'Finished Recipe'!M:M)</f>
        <v>0.95152662777020813</v>
      </c>
      <c r="K385" s="244">
        <f t="shared" si="31"/>
        <v>1.6346802687815161</v>
      </c>
      <c r="L385" s="245">
        <f t="shared" si="32"/>
        <v>0.36792362940448048</v>
      </c>
      <c r="M385" s="245">
        <f t="shared" si="33"/>
        <v>0.63207637059551958</v>
      </c>
      <c r="N385" s="23"/>
    </row>
    <row r="386" spans="1:14" ht="13" hidden="1">
      <c r="A386" s="78" t="s">
        <v>2820</v>
      </c>
      <c r="B386" s="219" t="s">
        <v>883</v>
      </c>
      <c r="C386" s="240" t="s">
        <v>1806</v>
      </c>
      <c r="D386" s="240" t="s">
        <v>1515</v>
      </c>
      <c r="E386" s="240" t="s">
        <v>1514</v>
      </c>
      <c r="F386" s="284">
        <v>0.16</v>
      </c>
      <c r="G386" s="242">
        <v>1.7241379310344829</v>
      </c>
      <c r="H386" s="243">
        <f ca="1">SUMIF('Sales 6.2026'!B:F,'All Menu'!B386,'Sales 6.2026'!F:F)</f>
        <v>245.00110000000001</v>
      </c>
      <c r="I386" s="241"/>
      <c r="J386" s="244">
        <f>SUMIF('Finished Recipe'!B:B, B386, 'Finished Recipe'!M:M)</f>
        <v>0.19847362714776634</v>
      </c>
      <c r="K386" s="244">
        <f t="shared" si="31"/>
        <v>1.5256643038867166</v>
      </c>
      <c r="L386" s="245">
        <f t="shared" si="32"/>
        <v>0.11511470374570447</v>
      </c>
      <c r="M386" s="245">
        <f t="shared" si="33"/>
        <v>0.88488529625429557</v>
      </c>
      <c r="N386" s="23"/>
    </row>
    <row r="387" spans="1:14" ht="13" hidden="1">
      <c r="A387" s="78" t="s">
        <v>2821</v>
      </c>
      <c r="B387" s="219" t="s">
        <v>1030</v>
      </c>
      <c r="C387" s="240" t="s">
        <v>1806</v>
      </c>
      <c r="D387" s="241" t="s">
        <v>1515</v>
      </c>
      <c r="E387" s="251" t="s">
        <v>1516</v>
      </c>
      <c r="F387" s="284">
        <v>0.16</v>
      </c>
      <c r="G387" s="242">
        <v>10.129310344827587</v>
      </c>
      <c r="H387" s="243">
        <f ca="1">SUMIF('Sales 6.2026'!B:F,'All Menu'!B387,'Sales 6.2026'!F:F)</f>
        <v>19</v>
      </c>
      <c r="I387" s="241"/>
      <c r="J387" s="244">
        <f>SUMIF('Finished Recipe'!B:B, B387, 'Finished Recipe'!M:M)</f>
        <v>1.945874705154639</v>
      </c>
      <c r="K387" s="244">
        <f t="shared" si="31"/>
        <v>8.1834356396729486</v>
      </c>
      <c r="L387" s="245">
        <f t="shared" si="32"/>
        <v>0.19210337514718137</v>
      </c>
      <c r="M387" s="245">
        <f t="shared" si="33"/>
        <v>0.80789662485281866</v>
      </c>
      <c r="N387" s="23"/>
    </row>
    <row r="388" spans="1:14" ht="13" hidden="1">
      <c r="A388" s="78" t="s">
        <v>2822</v>
      </c>
      <c r="B388" s="219" t="s">
        <v>886</v>
      </c>
      <c r="C388" s="240" t="s">
        <v>1806</v>
      </c>
      <c r="D388" s="241" t="s">
        <v>1515</v>
      </c>
      <c r="E388" s="251" t="s">
        <v>1517</v>
      </c>
      <c r="F388" s="284">
        <v>0.16</v>
      </c>
      <c r="G388" s="242">
        <v>1.7241379310344829</v>
      </c>
      <c r="H388" s="243">
        <f ca="1">SUMIF('Sales 6.2026'!B:F,'All Menu'!B388,'Sales 6.2026'!F:F)</f>
        <v>143.001</v>
      </c>
      <c r="I388" s="241"/>
      <c r="J388" s="244">
        <f>SUMIF('Finished Recipe'!B:B, B388, 'Finished Recipe'!M:M)</f>
        <v>0.30728885714285714</v>
      </c>
      <c r="K388" s="244">
        <f t="shared" si="31"/>
        <v>1.4168490738916257</v>
      </c>
      <c r="L388" s="245">
        <f t="shared" si="32"/>
        <v>0.17822753714285713</v>
      </c>
      <c r="M388" s="245">
        <f t="shared" si="33"/>
        <v>0.82177246285714289</v>
      </c>
      <c r="N388" s="23"/>
    </row>
    <row r="389" spans="1:14" ht="13" hidden="1">
      <c r="A389" s="78" t="s">
        <v>2823</v>
      </c>
      <c r="B389" s="219" t="s">
        <v>1029</v>
      </c>
      <c r="C389" s="240" t="s">
        <v>1806</v>
      </c>
      <c r="D389" s="240" t="s">
        <v>1515</v>
      </c>
      <c r="E389" s="240" t="s">
        <v>1518</v>
      </c>
      <c r="F389" s="284">
        <v>0.16</v>
      </c>
      <c r="G389" s="242">
        <v>10.129310344827587</v>
      </c>
      <c r="H389" s="243">
        <f ca="1">SUMIF('Sales 6.2026'!B:F,'All Menu'!B389,'Sales 6.2026'!F:F)</f>
        <v>9</v>
      </c>
      <c r="I389" s="241"/>
      <c r="J389" s="244">
        <f>SUMIF('Finished Recipe'!B:B, B389, 'Finished Recipe'!M:M)</f>
        <v>2.756986233153639</v>
      </c>
      <c r="K389" s="244">
        <f t="shared" si="31"/>
        <v>7.3723241116739482</v>
      </c>
      <c r="L389" s="245">
        <f t="shared" si="32"/>
        <v>0.27217906642197626</v>
      </c>
      <c r="M389" s="245">
        <f t="shared" si="33"/>
        <v>0.7278209335780238</v>
      </c>
      <c r="N389" s="23"/>
    </row>
    <row r="390" spans="1:14" ht="13" hidden="1">
      <c r="A390" s="78" t="s">
        <v>2824</v>
      </c>
      <c r="B390" s="219" t="s">
        <v>888</v>
      </c>
      <c r="C390" s="240" t="s">
        <v>1806</v>
      </c>
      <c r="D390" s="240" t="s">
        <v>1515</v>
      </c>
      <c r="E390" s="241" t="s">
        <v>1519</v>
      </c>
      <c r="F390" s="284">
        <v>0.16</v>
      </c>
      <c r="G390" s="242">
        <v>1.7241379310344829</v>
      </c>
      <c r="H390" s="243">
        <f ca="1">SUMIF('Sales 6.2026'!B:F,'All Menu'!B390,'Sales 6.2026'!F:F)</f>
        <v>39</v>
      </c>
      <c r="I390" s="241"/>
      <c r="J390" s="244">
        <f>SUMIF('Finished Recipe'!B:B, B390, 'Finished Recipe'!M:M)</f>
        <v>0.53857280476190472</v>
      </c>
      <c r="K390" s="244">
        <f t="shared" si="31"/>
        <v>1.1855651262725782</v>
      </c>
      <c r="L390" s="245">
        <f t="shared" si="32"/>
        <v>0.31237222676190474</v>
      </c>
      <c r="M390" s="245">
        <f t="shared" si="33"/>
        <v>0.68762777323809532</v>
      </c>
      <c r="N390" s="23"/>
    </row>
    <row r="391" spans="1:14" ht="13" hidden="1">
      <c r="A391" s="78" t="s">
        <v>2825</v>
      </c>
      <c r="B391" s="219" t="s">
        <v>1209</v>
      </c>
      <c r="C391" s="240" t="s">
        <v>1806</v>
      </c>
      <c r="D391" s="240" t="s">
        <v>1515</v>
      </c>
      <c r="E391" s="240" t="s">
        <v>1684</v>
      </c>
      <c r="F391" s="284">
        <v>0.16</v>
      </c>
      <c r="G391" s="242">
        <v>10.129310344827587</v>
      </c>
      <c r="H391" s="243">
        <f ca="1">SUMIF('Sales 6.2026'!B:F,'All Menu'!B391,'Sales 6.2026'!F:F)</f>
        <v>1</v>
      </c>
      <c r="I391" s="241"/>
      <c r="J391" s="244">
        <f>SUMIF('Finished Recipe'!B:B, B391, 'Finished Recipe'!M:M)</f>
        <v>2.0016639238095237</v>
      </c>
      <c r="K391" s="244">
        <f t="shared" si="31"/>
        <v>8.1276464210180634</v>
      </c>
      <c r="L391" s="245">
        <f t="shared" si="32"/>
        <v>0.19761107673353595</v>
      </c>
      <c r="M391" s="245">
        <f t="shared" si="33"/>
        <v>0.80238892326646405</v>
      </c>
      <c r="N391" s="23"/>
    </row>
    <row r="392" spans="1:14" ht="13" hidden="1">
      <c r="A392" s="78" t="s">
        <v>2826</v>
      </c>
      <c r="B392" s="219" t="s">
        <v>889</v>
      </c>
      <c r="C392" s="240" t="s">
        <v>1806</v>
      </c>
      <c r="D392" s="240" t="s">
        <v>1515</v>
      </c>
      <c r="E392" s="240" t="s">
        <v>1520</v>
      </c>
      <c r="F392" s="284">
        <v>0.16</v>
      </c>
      <c r="G392" s="242">
        <v>2.5862068965517242</v>
      </c>
      <c r="H392" s="243">
        <f ca="1">SUMIF('Sales 6.2026'!B:F,'All Menu'!B392,'Sales 6.2026'!F:F)</f>
        <v>30</v>
      </c>
      <c r="I392" s="241"/>
      <c r="J392" s="244">
        <f>SUMIF('Finished Recipe'!B:B, B392, 'Finished Recipe'!M:M)</f>
        <v>1.1090192185550083</v>
      </c>
      <c r="K392" s="244">
        <f t="shared" si="31"/>
        <v>1.4771876779967159</v>
      </c>
      <c r="L392" s="245">
        <f t="shared" si="32"/>
        <v>0.42882076450793655</v>
      </c>
      <c r="M392" s="245">
        <f t="shared" si="33"/>
        <v>0.57117923549206351</v>
      </c>
      <c r="N392" s="23"/>
    </row>
    <row r="393" spans="1:14" ht="13" hidden="1">
      <c r="A393" s="78" t="s">
        <v>2827</v>
      </c>
      <c r="B393" s="219" t="s">
        <v>1080</v>
      </c>
      <c r="C393" s="240" t="s">
        <v>1806</v>
      </c>
      <c r="D393" s="241" t="s">
        <v>1515</v>
      </c>
      <c r="E393" s="252" t="s">
        <v>1811</v>
      </c>
      <c r="F393" s="284">
        <v>0.16</v>
      </c>
      <c r="G393" s="242">
        <v>14.439655172413794</v>
      </c>
      <c r="H393" s="243">
        <f ca="1">SUMIF('Sales 6.2026'!B:F,'All Menu'!B393,'Sales 6.2026'!F:F)</f>
        <v>0</v>
      </c>
      <c r="I393" s="241"/>
      <c r="J393" s="244">
        <f>SUMIF('Finished Recipe'!B:B, B393, 'Finished Recipe'!M:M)</f>
        <v>10.071963464285714</v>
      </c>
      <c r="K393" s="244">
        <f t="shared" si="31"/>
        <v>4.3676917081280795</v>
      </c>
      <c r="L393" s="245">
        <f t="shared" si="32"/>
        <v>0.69752105185501068</v>
      </c>
      <c r="M393" s="245">
        <f t="shared" si="33"/>
        <v>0.30247894814498938</v>
      </c>
      <c r="N393" s="23"/>
    </row>
    <row r="394" spans="1:14" ht="13" hidden="1">
      <c r="A394" s="78" t="s">
        <v>2828</v>
      </c>
      <c r="B394" s="219" t="s">
        <v>890</v>
      </c>
      <c r="C394" s="240" t="s">
        <v>1806</v>
      </c>
      <c r="D394" s="241" t="s">
        <v>1515</v>
      </c>
      <c r="E394" s="251" t="s">
        <v>1521</v>
      </c>
      <c r="F394" s="284">
        <v>0.16</v>
      </c>
      <c r="G394" s="242">
        <v>2.5862068965517242</v>
      </c>
      <c r="H394" s="243">
        <f ca="1">SUMIF('Sales 6.2026'!B:F,'All Menu'!B394,'Sales 6.2026'!F:F)</f>
        <v>32</v>
      </c>
      <c r="I394" s="241"/>
      <c r="J394" s="244">
        <f>SUMIF('Finished Recipe'!B:B, B394, 'Finished Recipe'!M:M)</f>
        <v>0.66348513538748821</v>
      </c>
      <c r="K394" s="244">
        <f t="shared" si="31"/>
        <v>1.922721761164236</v>
      </c>
      <c r="L394" s="245">
        <f t="shared" si="32"/>
        <v>0.2565475856831621</v>
      </c>
      <c r="M394" s="245">
        <f t="shared" si="33"/>
        <v>0.74345241431683795</v>
      </c>
      <c r="N394" s="23"/>
    </row>
    <row r="395" spans="1:14" ht="13" hidden="1">
      <c r="A395" s="78" t="s">
        <v>2829</v>
      </c>
      <c r="B395" s="219" t="s">
        <v>1081</v>
      </c>
      <c r="C395" s="240" t="s">
        <v>1806</v>
      </c>
      <c r="D395" s="240" t="s">
        <v>1515</v>
      </c>
      <c r="E395" s="240" t="s">
        <v>1812</v>
      </c>
      <c r="F395" s="284">
        <v>0.16</v>
      </c>
      <c r="G395" s="242">
        <v>14.439655172413794</v>
      </c>
      <c r="H395" s="243">
        <f ca="1">SUMIF('Sales 6.2026'!B:F,'All Menu'!B395,'Sales 6.2026'!F:F)</f>
        <v>1E-4</v>
      </c>
      <c r="I395" s="241"/>
      <c r="J395" s="244">
        <f>SUMIF('Finished Recipe'!B:B, B395, 'Finished Recipe'!M:M)</f>
        <v>3.9666160971055087</v>
      </c>
      <c r="K395" s="244">
        <f t="shared" ref="K395:K448" si="34">G395-J395</f>
        <v>10.473039075308286</v>
      </c>
      <c r="L395" s="245">
        <f t="shared" si="32"/>
        <v>0.27470296553088897</v>
      </c>
      <c r="M395" s="245">
        <f t="shared" si="33"/>
        <v>0.72529703446911109</v>
      </c>
      <c r="N395" s="23"/>
    </row>
    <row r="396" spans="1:14" ht="13" hidden="1">
      <c r="A396" s="78" t="s">
        <v>2830</v>
      </c>
      <c r="B396" s="219" t="s">
        <v>885</v>
      </c>
      <c r="C396" s="240" t="s">
        <v>1806</v>
      </c>
      <c r="D396" s="240" t="s">
        <v>1515</v>
      </c>
      <c r="E396" s="240" t="s">
        <v>1522</v>
      </c>
      <c r="F396" s="284">
        <v>0.16</v>
      </c>
      <c r="G396" s="242">
        <v>1.2931034482758621</v>
      </c>
      <c r="H396" s="243">
        <f ca="1">SUMIF('Sales 6.2026'!B:F,'All Menu'!B396,'Sales 6.2026'!F:F)</f>
        <v>161.001</v>
      </c>
      <c r="I396" s="241"/>
      <c r="J396" s="244">
        <f>SUMIF('Finished Recipe'!B:B, B396, 'Finished Recipe'!M:M)</f>
        <v>0.24234587628865978</v>
      </c>
      <c r="K396" s="244">
        <f t="shared" si="34"/>
        <v>1.0507575719872024</v>
      </c>
      <c r="L396" s="245">
        <f t="shared" si="32"/>
        <v>0.18741414432989689</v>
      </c>
      <c r="M396" s="245">
        <f t="shared" si="33"/>
        <v>0.81258585567010322</v>
      </c>
      <c r="N396" s="23"/>
    </row>
    <row r="397" spans="1:14" ht="13" hidden="1">
      <c r="A397" s="78" t="s">
        <v>2831</v>
      </c>
      <c r="B397" s="219" t="s">
        <v>1032</v>
      </c>
      <c r="C397" s="240" t="s">
        <v>1806</v>
      </c>
      <c r="D397" s="240" t="s">
        <v>1515</v>
      </c>
      <c r="E397" s="240" t="s">
        <v>1685</v>
      </c>
      <c r="F397" s="284">
        <v>0.16</v>
      </c>
      <c r="G397" s="242">
        <v>7.9741379310344831</v>
      </c>
      <c r="H397" s="243">
        <f ca="1">SUMIF('Sales 6.2026'!B:F,'All Menu'!B397,'Sales 6.2026'!F:F)</f>
        <v>3</v>
      </c>
      <c r="I397" s="241"/>
      <c r="J397" s="244">
        <f>SUMIF('Finished Recipe'!B:B, B397, 'Finished Recipe'!M:M)</f>
        <v>2.174355095729013</v>
      </c>
      <c r="K397" s="244">
        <f t="shared" si="34"/>
        <v>5.7997828353054697</v>
      </c>
      <c r="L397" s="245">
        <f t="shared" si="32"/>
        <v>0.27267588227520595</v>
      </c>
      <c r="M397" s="245">
        <f t="shared" si="33"/>
        <v>0.72732411772479399</v>
      </c>
      <c r="N397" s="23"/>
    </row>
    <row r="398" spans="1:14" ht="13" hidden="1">
      <c r="A398" s="78" t="s">
        <v>2832</v>
      </c>
      <c r="B398" s="219" t="s">
        <v>882</v>
      </c>
      <c r="C398" s="240" t="s">
        <v>1806</v>
      </c>
      <c r="D398" s="240" t="s">
        <v>1515</v>
      </c>
      <c r="E398" s="240" t="s">
        <v>1523</v>
      </c>
      <c r="F398" s="284">
        <v>0.16</v>
      </c>
      <c r="G398" s="242">
        <v>1.7241379310344829</v>
      </c>
      <c r="H398" s="243">
        <f ca="1">SUMIF('Sales 6.2026'!B:F,'All Menu'!B398,'Sales 6.2026'!F:F)</f>
        <v>57.001000000000005</v>
      </c>
      <c r="I398" s="241"/>
      <c r="J398" s="244">
        <f>SUMIF('Finished Recipe'!B:B, B398, 'Finished Recipe'!M:M)</f>
        <v>0.54531407563025203</v>
      </c>
      <c r="K398" s="244">
        <f t="shared" si="34"/>
        <v>1.178823855404231</v>
      </c>
      <c r="L398" s="245">
        <f t="shared" si="32"/>
        <v>0.31628216386554614</v>
      </c>
      <c r="M398" s="245">
        <f t="shared" si="33"/>
        <v>0.68371783613445392</v>
      </c>
      <c r="N398" s="23"/>
    </row>
    <row r="399" spans="1:14" ht="13" hidden="1">
      <c r="A399" s="78" t="s">
        <v>2833</v>
      </c>
      <c r="B399" s="219" t="s">
        <v>1082</v>
      </c>
      <c r="C399" s="240" t="s">
        <v>1806</v>
      </c>
      <c r="D399" s="240" t="s">
        <v>1515</v>
      </c>
      <c r="E399" s="240" t="s">
        <v>1793</v>
      </c>
      <c r="F399" s="284">
        <v>0.16</v>
      </c>
      <c r="G399" s="242">
        <v>10.129310344827587</v>
      </c>
      <c r="H399" s="243">
        <f ca="1">SUMIF('Sales 6.2026'!B:F,'All Menu'!B399,'Sales 6.2026'!F:F)</f>
        <v>0</v>
      </c>
      <c r="I399" s="241"/>
      <c r="J399" s="244">
        <f>SUMIF('Finished Recipe'!B:B, B399, 'Finished Recipe'!M:M)</f>
        <v>2.7924978991596636</v>
      </c>
      <c r="K399" s="244">
        <f t="shared" si="34"/>
        <v>7.336812445667924</v>
      </c>
      <c r="L399" s="245">
        <f t="shared" si="32"/>
        <v>0.2756848989808689</v>
      </c>
      <c r="M399" s="245">
        <f t="shared" si="33"/>
        <v>0.7243151010191311</v>
      </c>
      <c r="N399" s="23"/>
    </row>
    <row r="400" spans="1:14" ht="13" hidden="1">
      <c r="A400" s="78" t="s">
        <v>2834</v>
      </c>
      <c r="B400" s="219" t="s">
        <v>884</v>
      </c>
      <c r="C400" s="240" t="s">
        <v>1806</v>
      </c>
      <c r="D400" s="240" t="s">
        <v>1515</v>
      </c>
      <c r="E400" s="240" t="s">
        <v>1524</v>
      </c>
      <c r="F400" s="284">
        <v>0.16</v>
      </c>
      <c r="G400" s="242">
        <v>1.5086206896551726</v>
      </c>
      <c r="H400" s="243">
        <f ca="1">SUMIF('Sales 6.2026'!B:F,'All Menu'!B400,'Sales 6.2026'!F:F)</f>
        <v>59</v>
      </c>
      <c r="I400" s="241"/>
      <c r="J400" s="244">
        <f>SUMIF('Finished Recipe'!B:B, B400, 'Finished Recipe'!M:M)</f>
        <v>0.27673545612059258</v>
      </c>
      <c r="K400" s="244">
        <f t="shared" si="34"/>
        <v>1.23188523353458</v>
      </c>
      <c r="L400" s="245">
        <f t="shared" si="32"/>
        <v>0.1834360737713642</v>
      </c>
      <c r="M400" s="245">
        <f t="shared" si="33"/>
        <v>0.81656392622863583</v>
      </c>
      <c r="N400" s="23"/>
    </row>
    <row r="401" spans="1:14" ht="13" hidden="1">
      <c r="A401" s="78" t="s">
        <v>2835</v>
      </c>
      <c r="B401" s="219" t="s">
        <v>1031</v>
      </c>
      <c r="C401" s="240" t="s">
        <v>1806</v>
      </c>
      <c r="D401" s="240" t="s">
        <v>1515</v>
      </c>
      <c r="E401" s="240" t="s">
        <v>1525</v>
      </c>
      <c r="F401" s="284">
        <v>0.16</v>
      </c>
      <c r="G401" s="242">
        <v>9.0517241379310356</v>
      </c>
      <c r="H401" s="243">
        <f ca="1">SUMIF('Sales 6.2026'!B:F,'All Menu'!B401,'Sales 6.2026'!F:F)</f>
        <v>3</v>
      </c>
      <c r="I401" s="241"/>
      <c r="J401" s="244">
        <f>SUMIF('Finished Recipe'!B:B, B401, 'Finished Recipe'!M:M)</f>
        <v>2.4039679628241015</v>
      </c>
      <c r="K401" s="244">
        <f t="shared" si="34"/>
        <v>6.6477561751069345</v>
      </c>
      <c r="L401" s="245">
        <f t="shared" si="32"/>
        <v>0.26558122255961497</v>
      </c>
      <c r="M401" s="245">
        <f t="shared" si="33"/>
        <v>0.73441877744038508</v>
      </c>
      <c r="N401" s="23"/>
    </row>
    <row r="402" spans="1:14" ht="13" hidden="1">
      <c r="A402" s="78" t="s">
        <v>2836</v>
      </c>
      <c r="B402" s="219" t="s">
        <v>1230</v>
      </c>
      <c r="C402" s="240" t="s">
        <v>1806</v>
      </c>
      <c r="D402" s="240" t="s">
        <v>1515</v>
      </c>
      <c r="E402" s="240" t="s">
        <v>1686</v>
      </c>
      <c r="F402" s="284">
        <v>0.16</v>
      </c>
      <c r="G402" s="242">
        <v>12.068965517241381</v>
      </c>
      <c r="H402" s="243">
        <f ca="1">SUMIF('Sales 6.2026'!B:F,'All Menu'!B402,'Sales 6.2026'!F:F)</f>
        <v>1.0009999999999999</v>
      </c>
      <c r="I402" s="241"/>
      <c r="J402" s="244">
        <f>SUMIF('Finished Recipe'!B:B, B402, 'Finished Recipe'!M:M)</f>
        <v>9.1579092857142861</v>
      </c>
      <c r="K402" s="244">
        <f t="shared" si="34"/>
        <v>2.9110562315270947</v>
      </c>
      <c r="L402" s="245">
        <f t="shared" si="32"/>
        <v>0.75879819795918357</v>
      </c>
      <c r="M402" s="245">
        <f t="shared" si="33"/>
        <v>0.2412018020408164</v>
      </c>
      <c r="N402" s="23"/>
    </row>
    <row r="403" spans="1:14" ht="13" hidden="1">
      <c r="A403" s="78" t="s">
        <v>2837</v>
      </c>
      <c r="B403" s="219" t="s">
        <v>1231</v>
      </c>
      <c r="C403" s="240" t="s">
        <v>1806</v>
      </c>
      <c r="D403" s="241" t="s">
        <v>1515</v>
      </c>
      <c r="E403" s="251" t="s">
        <v>1526</v>
      </c>
      <c r="F403" s="284">
        <v>0.16</v>
      </c>
      <c r="G403" s="242">
        <v>2.5862068965517242</v>
      </c>
      <c r="H403" s="243">
        <f ca="1">SUMIF('Sales 6.2026'!B:F,'All Menu'!B403,'Sales 6.2026'!F:F)</f>
        <v>63</v>
      </c>
      <c r="I403" s="241"/>
      <c r="J403" s="244">
        <f>SUMIF('Finished Recipe'!B:B, B403, 'Finished Recipe'!M:M)</f>
        <v>0.6959929452541771</v>
      </c>
      <c r="K403" s="244">
        <f t="shared" si="34"/>
        <v>1.8902139512975471</v>
      </c>
      <c r="L403" s="245">
        <f t="shared" si="32"/>
        <v>0.26911727216494846</v>
      </c>
      <c r="M403" s="245">
        <f t="shared" si="33"/>
        <v>0.73088272783505148</v>
      </c>
      <c r="N403" s="23"/>
    </row>
    <row r="404" spans="1:14" ht="13" hidden="1">
      <c r="A404" s="78" t="s">
        <v>2838</v>
      </c>
      <c r="B404" s="219" t="s">
        <v>1232</v>
      </c>
      <c r="C404" s="240" t="s">
        <v>1806</v>
      </c>
      <c r="D404" s="240" t="s">
        <v>1535</v>
      </c>
      <c r="E404" s="240" t="s">
        <v>631</v>
      </c>
      <c r="F404" s="284">
        <v>0.16</v>
      </c>
      <c r="G404" s="242">
        <v>1.2931034482758621</v>
      </c>
      <c r="H404" s="243">
        <f ca="1">SUMIF('Sales 6.2026'!B:F,'All Menu'!B404,'Sales 6.2026'!F:F)</f>
        <v>2</v>
      </c>
      <c r="I404" s="241"/>
      <c r="J404" s="244">
        <f>SUMIF('Finished Recipe'!B:B, B404, 'Finished Recipe'!M:M)</f>
        <v>0.33484549999999996</v>
      </c>
      <c r="K404" s="244">
        <f t="shared" si="34"/>
        <v>0.95825794827586219</v>
      </c>
      <c r="L404" s="245">
        <f t="shared" si="32"/>
        <v>0.25894718666666661</v>
      </c>
      <c r="M404" s="245">
        <f t="shared" si="33"/>
        <v>0.74105281333333339</v>
      </c>
      <c r="N404" s="23"/>
    </row>
    <row r="405" spans="1:14" ht="13" hidden="1">
      <c r="A405" s="78" t="s">
        <v>2839</v>
      </c>
      <c r="B405" s="219" t="s">
        <v>1235</v>
      </c>
      <c r="C405" s="240" t="s">
        <v>1806</v>
      </c>
      <c r="D405" s="240" t="s">
        <v>1535</v>
      </c>
      <c r="E405" s="240" t="s">
        <v>1536</v>
      </c>
      <c r="F405" s="284">
        <v>0.16</v>
      </c>
      <c r="G405" s="242">
        <v>1.7241379310344829</v>
      </c>
      <c r="H405" s="243">
        <f ca="1">SUMIF('Sales 6.2026'!B:F,'All Menu'!B405,'Sales 6.2026'!F:F)</f>
        <v>0</v>
      </c>
      <c r="I405" s="241"/>
      <c r="J405" s="244">
        <f>SUMIF('Finished Recipe'!B:B, B405, 'Finished Recipe'!M:M)</f>
        <v>1.2361490538793105</v>
      </c>
      <c r="K405" s="244">
        <f t="shared" si="34"/>
        <v>0.48798887715517236</v>
      </c>
      <c r="L405" s="245">
        <f t="shared" si="32"/>
        <v>0.71696645125000003</v>
      </c>
      <c r="M405" s="245">
        <f t="shared" si="33"/>
        <v>0.28303354874999997</v>
      </c>
      <c r="N405" s="23"/>
    </row>
    <row r="406" spans="1:14" ht="13" hidden="1">
      <c r="A406" s="78" t="s">
        <v>2840</v>
      </c>
      <c r="B406" s="219">
        <v>50001</v>
      </c>
      <c r="C406" s="240" t="s">
        <v>1835</v>
      </c>
      <c r="D406" s="240" t="s">
        <v>284</v>
      </c>
      <c r="E406" s="240" t="s">
        <v>1497</v>
      </c>
      <c r="F406" s="284">
        <v>0</v>
      </c>
      <c r="G406" s="242">
        <v>2.75</v>
      </c>
      <c r="H406" s="243">
        <f ca="1">SUMIF('Sales 6.2026'!B:F,'All Menu'!B406,'Sales 6.2026'!F:F)</f>
        <v>1957.3890000000001</v>
      </c>
      <c r="I406" s="241"/>
      <c r="J406" s="244">
        <f>SUMIF('Finished Recipe'!B:B, B406, 'Finished Recipe'!M:M)</f>
        <v>2.34</v>
      </c>
      <c r="K406" s="244">
        <f t="shared" si="34"/>
        <v>0.41000000000000014</v>
      </c>
      <c r="L406" s="245">
        <f t="shared" si="32"/>
        <v>0.85090909090909084</v>
      </c>
      <c r="M406" s="245">
        <f t="shared" si="33"/>
        <v>0.14909090909090914</v>
      </c>
      <c r="N406" s="23"/>
    </row>
    <row r="407" spans="1:14" ht="13" hidden="1">
      <c r="A407" s="78" t="s">
        <v>2841</v>
      </c>
      <c r="B407" s="219">
        <v>50002</v>
      </c>
      <c r="C407" s="240" t="s">
        <v>1835</v>
      </c>
      <c r="D407" s="240" t="s">
        <v>284</v>
      </c>
      <c r="E407" s="240" t="s">
        <v>1497</v>
      </c>
      <c r="F407" s="284">
        <v>0</v>
      </c>
      <c r="G407" s="242">
        <v>2.5</v>
      </c>
      <c r="H407" s="243">
        <f ca="1">SUMIF('Sales 6.2026'!B:F,'All Menu'!B407,'Sales 6.2026'!F:F)</f>
        <v>148.88999999999999</v>
      </c>
      <c r="I407" s="241"/>
      <c r="J407" s="244">
        <f>SUMIF('Finished Recipe'!B:B, B407, 'Finished Recipe'!M:M)</f>
        <v>1.9</v>
      </c>
      <c r="K407" s="244">
        <f t="shared" si="34"/>
        <v>0.60000000000000009</v>
      </c>
      <c r="L407" s="245">
        <f t="shared" si="32"/>
        <v>0.76</v>
      </c>
      <c r="M407" s="245">
        <f t="shared" si="33"/>
        <v>0.24000000000000005</v>
      </c>
      <c r="N407" s="23"/>
    </row>
    <row r="408" spans="1:14" ht="13" hidden="1">
      <c r="A408" s="78" t="s">
        <v>2842</v>
      </c>
      <c r="B408" s="219">
        <v>50004</v>
      </c>
      <c r="C408" s="240" t="s">
        <v>1835</v>
      </c>
      <c r="D408" s="240" t="s">
        <v>284</v>
      </c>
      <c r="E408" s="240" t="s">
        <v>1498</v>
      </c>
      <c r="F408" s="284">
        <v>0</v>
      </c>
      <c r="G408" s="242">
        <v>4.5</v>
      </c>
      <c r="H408" s="243">
        <f ca="1">SUMIF('Sales 6.2026'!B:F,'All Menu'!B408,'Sales 6.2026'!F:F)</f>
        <v>70.864999999999995</v>
      </c>
      <c r="I408" s="241"/>
      <c r="J408" s="244">
        <f>SUMIF('Finished Recipe'!B:B, B408, 'Finished Recipe'!M:M)</f>
        <v>2.95</v>
      </c>
      <c r="K408" s="244">
        <f t="shared" si="34"/>
        <v>1.5499999999999998</v>
      </c>
      <c r="L408" s="245">
        <f t="shared" si="32"/>
        <v>0.65555555555555556</v>
      </c>
      <c r="M408" s="245">
        <f t="shared" si="33"/>
        <v>0.34444444444444439</v>
      </c>
      <c r="N408" s="23"/>
    </row>
    <row r="409" spans="1:14" ht="13" hidden="1">
      <c r="A409" s="78" t="s">
        <v>2843</v>
      </c>
      <c r="B409" s="219">
        <v>50005</v>
      </c>
      <c r="C409" s="240" t="s">
        <v>1835</v>
      </c>
      <c r="D409" s="240" t="s">
        <v>284</v>
      </c>
      <c r="E409" s="240" t="s">
        <v>303</v>
      </c>
      <c r="F409" s="284">
        <v>0</v>
      </c>
      <c r="G409" s="242">
        <v>7</v>
      </c>
      <c r="H409" s="243">
        <f ca="1">SUMIF('Sales 6.2026'!B:F,'All Menu'!B409,'Sales 6.2026'!F:F)</f>
        <v>359.99</v>
      </c>
      <c r="I409" s="241"/>
      <c r="J409" s="244">
        <f>SUMIF('Finished Recipe'!B:B, B409, 'Finished Recipe'!M:M)</f>
        <v>5.7</v>
      </c>
      <c r="K409" s="244">
        <f t="shared" si="34"/>
        <v>1.2999999999999998</v>
      </c>
      <c r="L409" s="245">
        <f t="shared" si="32"/>
        <v>0.81428571428571428</v>
      </c>
      <c r="M409" s="245">
        <f t="shared" si="33"/>
        <v>0.18571428571428569</v>
      </c>
      <c r="N409" s="23"/>
    </row>
    <row r="410" spans="1:14" ht="13" hidden="1">
      <c r="A410" s="78" t="s">
        <v>2844</v>
      </c>
      <c r="B410" s="219">
        <v>50006</v>
      </c>
      <c r="C410" s="240" t="s">
        <v>1835</v>
      </c>
      <c r="D410" s="240" t="s">
        <v>284</v>
      </c>
      <c r="E410" s="240" t="s">
        <v>1499</v>
      </c>
      <c r="F410" s="284">
        <v>0</v>
      </c>
      <c r="G410" s="242">
        <v>6</v>
      </c>
      <c r="H410" s="243">
        <f ca="1">SUMIF('Sales 6.2026'!B:F,'All Menu'!B410,'Sales 6.2026'!F:F)</f>
        <v>467.76500000000004</v>
      </c>
      <c r="I410" s="241"/>
      <c r="J410" s="244">
        <f>SUMIF('Finished Recipe'!B:B, B410, 'Finished Recipe'!M:M)</f>
        <v>4.2</v>
      </c>
      <c r="K410" s="244">
        <f t="shared" si="34"/>
        <v>1.7999999999999998</v>
      </c>
      <c r="L410" s="245">
        <f t="shared" si="32"/>
        <v>0.70000000000000007</v>
      </c>
      <c r="M410" s="245">
        <f t="shared" si="33"/>
        <v>0.3</v>
      </c>
      <c r="N410" s="23"/>
    </row>
    <row r="411" spans="1:14" ht="13" hidden="1">
      <c r="A411" s="78" t="s">
        <v>2845</v>
      </c>
      <c r="B411" s="219">
        <v>50008</v>
      </c>
      <c r="C411" s="240" t="s">
        <v>1835</v>
      </c>
      <c r="D411" s="240" t="s">
        <v>284</v>
      </c>
      <c r="E411" s="240" t="s">
        <v>1500</v>
      </c>
      <c r="F411" s="284">
        <v>0</v>
      </c>
      <c r="G411" s="242">
        <v>3</v>
      </c>
      <c r="H411" s="243">
        <f ca="1">SUMIF('Sales 6.2026'!B:F,'All Menu'!B411,'Sales 6.2026'!F:F)</f>
        <v>187.79</v>
      </c>
      <c r="I411" s="241"/>
      <c r="J411" s="244">
        <f>SUMIF('Finished Recipe'!B:B, B411, 'Finished Recipe'!M:M)</f>
        <v>1.65</v>
      </c>
      <c r="K411" s="244">
        <f t="shared" si="34"/>
        <v>1.35</v>
      </c>
      <c r="L411" s="245">
        <f t="shared" si="32"/>
        <v>0.54999999999999993</v>
      </c>
      <c r="M411" s="245">
        <f t="shared" si="33"/>
        <v>0.45</v>
      </c>
      <c r="N411" s="23"/>
    </row>
    <row r="412" spans="1:14" ht="13" hidden="1">
      <c r="A412" s="78" t="s">
        <v>2846</v>
      </c>
      <c r="B412" s="219">
        <v>50009</v>
      </c>
      <c r="C412" s="240" t="s">
        <v>1835</v>
      </c>
      <c r="D412" s="240" t="s">
        <v>284</v>
      </c>
      <c r="E412" s="240" t="s">
        <v>1501</v>
      </c>
      <c r="F412" s="284">
        <v>0</v>
      </c>
      <c r="G412" s="242">
        <v>3</v>
      </c>
      <c r="H412" s="243">
        <f ca="1">SUMIF('Sales 6.2026'!B:F,'All Menu'!B412,'Sales 6.2026'!F:F)</f>
        <v>68</v>
      </c>
      <c r="I412" s="241"/>
      <c r="J412" s="244">
        <f>SUMIF('Finished Recipe'!B:B, B412, 'Finished Recipe'!M:M)</f>
        <v>1.8</v>
      </c>
      <c r="K412" s="244">
        <f t="shared" si="34"/>
        <v>1.2</v>
      </c>
      <c r="L412" s="245">
        <f t="shared" si="32"/>
        <v>0.6</v>
      </c>
      <c r="M412" s="245">
        <f t="shared" si="33"/>
        <v>0.39999999999999997</v>
      </c>
      <c r="N412" s="23"/>
    </row>
    <row r="413" spans="1:14" ht="13" hidden="1">
      <c r="A413" s="78" t="s">
        <v>2511</v>
      </c>
      <c r="B413" s="219">
        <v>50010</v>
      </c>
      <c r="C413" s="240" t="s">
        <v>1835</v>
      </c>
      <c r="D413" s="240" t="s">
        <v>284</v>
      </c>
      <c r="E413" s="240" t="s">
        <v>1502</v>
      </c>
      <c r="F413" s="284">
        <v>0</v>
      </c>
      <c r="G413" s="242">
        <v>3</v>
      </c>
      <c r="H413" s="243">
        <f ca="1">SUMIF('Sales 6.2026'!B:F,'All Menu'!B413,'Sales 6.2026'!F:F)</f>
        <v>42.150000000000006</v>
      </c>
      <c r="I413" s="241"/>
      <c r="J413" s="244">
        <f>SUMIF('Finished Recipe'!B:B, B413, 'Finished Recipe'!M:M)</f>
        <v>1.3</v>
      </c>
      <c r="K413" s="244">
        <f t="shared" si="34"/>
        <v>1.7</v>
      </c>
      <c r="L413" s="245">
        <f t="shared" si="32"/>
        <v>0.43333333333333335</v>
      </c>
      <c r="M413" s="245">
        <f t="shared" si="33"/>
        <v>0.56666666666666665</v>
      </c>
      <c r="N413" s="23"/>
    </row>
    <row r="414" spans="1:14" ht="13" hidden="1">
      <c r="A414" s="78" t="s">
        <v>3116</v>
      </c>
      <c r="B414" s="219">
        <v>50014</v>
      </c>
      <c r="C414" s="241" t="s">
        <v>1835</v>
      </c>
      <c r="D414" s="241" t="s">
        <v>1630</v>
      </c>
      <c r="E414" s="241" t="s">
        <v>1763</v>
      </c>
      <c r="F414" s="284">
        <v>0</v>
      </c>
      <c r="G414" s="242">
        <v>4.5</v>
      </c>
      <c r="H414" s="243">
        <f ca="1">SUMIF('Sales 6.2026'!B:F,'All Menu'!B414,'Sales 6.2026'!F:F)</f>
        <v>1.5899999999999999</v>
      </c>
      <c r="I414" s="241"/>
      <c r="J414" s="244">
        <f>SUMIF('Finished Recipe'!B:B, B414, 'Finished Recipe'!M:M)</f>
        <v>2.2516335453720506</v>
      </c>
      <c r="K414" s="244">
        <f t="shared" si="34"/>
        <v>2.2483664546279494</v>
      </c>
      <c r="L414" s="245">
        <f t="shared" si="32"/>
        <v>0.50036301008267792</v>
      </c>
      <c r="M414" s="245">
        <f t="shared" si="33"/>
        <v>0.49963698991732208</v>
      </c>
      <c r="N414" s="23"/>
    </row>
    <row r="415" spans="1:14" ht="13" hidden="1">
      <c r="A415" s="78" t="s">
        <v>3117</v>
      </c>
      <c r="B415" s="219">
        <v>50015</v>
      </c>
      <c r="C415" s="241" t="s">
        <v>1835</v>
      </c>
      <c r="D415" s="241" t="s">
        <v>1630</v>
      </c>
      <c r="E415" s="241" t="s">
        <v>1764</v>
      </c>
      <c r="F415" s="284">
        <v>0</v>
      </c>
      <c r="G415" s="242">
        <v>4.5</v>
      </c>
      <c r="H415" s="243">
        <f ca="1">SUMIF('Sales 6.2026'!B:F,'All Menu'!B415,'Sales 6.2026'!F:F)</f>
        <v>0</v>
      </c>
      <c r="I415" s="241"/>
      <c r="J415" s="244">
        <f>SUMIF('Finished Recipe'!B:B, B415, 'Finished Recipe'!M:M)</f>
        <v>2.2973086330913488</v>
      </c>
      <c r="K415" s="244">
        <f t="shared" si="34"/>
        <v>2.2026913669086512</v>
      </c>
      <c r="L415" s="245">
        <f t="shared" si="32"/>
        <v>0.51051302957585531</v>
      </c>
      <c r="M415" s="245">
        <f t="shared" si="33"/>
        <v>0.48948697042414469</v>
      </c>
      <c r="N415" s="23"/>
    </row>
    <row r="416" spans="1:14" ht="13" hidden="1">
      <c r="A416" s="78" t="s">
        <v>2847</v>
      </c>
      <c r="B416" s="219">
        <v>50016</v>
      </c>
      <c r="C416" s="241" t="s">
        <v>1835</v>
      </c>
      <c r="D416" s="241" t="s">
        <v>1630</v>
      </c>
      <c r="E416" s="241" t="s">
        <v>1765</v>
      </c>
      <c r="F416" s="284">
        <v>0</v>
      </c>
      <c r="G416" s="242">
        <v>4.5</v>
      </c>
      <c r="H416" s="243">
        <f ca="1">SUMIF('Sales 6.2026'!B:F,'All Menu'!B416,'Sales 6.2026'!F:F)</f>
        <v>39.050000000000004</v>
      </c>
      <c r="I416" s="241"/>
      <c r="J416" s="244">
        <f>SUMIF('Finished Recipe'!B:B, B416, 'Finished Recipe'!M:M)</f>
        <v>2.9873086330913488</v>
      </c>
      <c r="K416" s="244">
        <f t="shared" si="34"/>
        <v>1.5126913669086512</v>
      </c>
      <c r="L416" s="245">
        <f t="shared" si="32"/>
        <v>0.66384636290918864</v>
      </c>
      <c r="M416" s="245">
        <f t="shared" si="33"/>
        <v>0.33615363709081136</v>
      </c>
      <c r="N416" s="23"/>
    </row>
    <row r="417" spans="1:14" ht="13" hidden="1">
      <c r="A417" s="78" t="s">
        <v>3118</v>
      </c>
      <c r="B417" s="219">
        <v>50017</v>
      </c>
      <c r="C417" s="241" t="s">
        <v>1835</v>
      </c>
      <c r="D417" s="241" t="s">
        <v>1630</v>
      </c>
      <c r="E417" s="241" t="s">
        <v>1629</v>
      </c>
      <c r="F417" s="284">
        <v>0</v>
      </c>
      <c r="G417" s="242">
        <v>5</v>
      </c>
      <c r="H417" s="243">
        <f ca="1">SUMIF('Sales 6.2026'!B:F,'All Menu'!B417,'Sales 6.2026'!F:F)</f>
        <v>10</v>
      </c>
      <c r="I417" s="241"/>
      <c r="J417" s="244">
        <f>SUMIF('Finished Recipe'!B:B, B417, 'Finished Recipe'!M:M)</f>
        <v>3.4553086330913492</v>
      </c>
      <c r="K417" s="244">
        <f t="shared" si="34"/>
        <v>1.5446913669086508</v>
      </c>
      <c r="L417" s="245">
        <f t="shared" si="32"/>
        <v>0.69106172661826981</v>
      </c>
      <c r="M417" s="246">
        <f t="shared" si="33"/>
        <v>0.30893827338173019</v>
      </c>
      <c r="N417" s="23"/>
    </row>
    <row r="418" spans="1:14" ht="13" hidden="1">
      <c r="A418" s="78" t="s">
        <v>2848</v>
      </c>
      <c r="B418" s="219">
        <v>50018</v>
      </c>
      <c r="C418" s="240" t="s">
        <v>1835</v>
      </c>
      <c r="D418" s="240" t="s">
        <v>1504</v>
      </c>
      <c r="E418" s="240" t="s">
        <v>1505</v>
      </c>
      <c r="F418" s="284">
        <v>0</v>
      </c>
      <c r="G418" s="242">
        <v>8</v>
      </c>
      <c r="H418" s="243">
        <f ca="1">SUMIF('Sales 6.2026'!B:F,'All Menu'!B418,'Sales 6.2026'!F:F)</f>
        <v>122.43</v>
      </c>
      <c r="I418" s="241"/>
      <c r="J418" s="244">
        <f>SUMIF('Finished Recipe'!B:B, B418, 'Finished Recipe'!M:M)</f>
        <v>4.5</v>
      </c>
      <c r="K418" s="244">
        <f t="shared" si="34"/>
        <v>3.5</v>
      </c>
      <c r="L418" s="245">
        <f t="shared" si="32"/>
        <v>0.5625</v>
      </c>
      <c r="M418" s="245">
        <f t="shared" si="33"/>
        <v>0.4375</v>
      </c>
      <c r="N418" s="23"/>
    </row>
    <row r="419" spans="1:14" ht="13" hidden="1">
      <c r="A419" s="78" t="s">
        <v>2849</v>
      </c>
      <c r="B419" s="219">
        <v>50019</v>
      </c>
      <c r="C419" s="240" t="s">
        <v>1835</v>
      </c>
      <c r="D419" s="240" t="s">
        <v>1504</v>
      </c>
      <c r="E419" s="240" t="s">
        <v>1506</v>
      </c>
      <c r="F419" s="284">
        <v>0</v>
      </c>
      <c r="G419" s="242">
        <v>11</v>
      </c>
      <c r="H419" s="243">
        <f ca="1">SUMIF('Sales 6.2026'!B:F,'All Menu'!B419,'Sales 6.2026'!F:F)</f>
        <v>77.504999999999995</v>
      </c>
      <c r="I419" s="241"/>
      <c r="J419" s="244">
        <f>SUMIF('Finished Recipe'!B:B, B419, 'Finished Recipe'!M:M)</f>
        <v>7</v>
      </c>
      <c r="K419" s="244">
        <f t="shared" si="34"/>
        <v>4</v>
      </c>
      <c r="L419" s="245">
        <f t="shared" si="32"/>
        <v>0.63636363636363635</v>
      </c>
      <c r="M419" s="245">
        <f t="shared" si="33"/>
        <v>0.36363636363636365</v>
      </c>
      <c r="N419" s="23"/>
    </row>
    <row r="420" spans="1:14" ht="13" hidden="1">
      <c r="A420" s="78" t="s">
        <v>2850</v>
      </c>
      <c r="B420" s="219">
        <v>50020</v>
      </c>
      <c r="C420" s="240" t="s">
        <v>1835</v>
      </c>
      <c r="D420" s="240" t="s">
        <v>1504</v>
      </c>
      <c r="E420" s="240" t="s">
        <v>1507</v>
      </c>
      <c r="F420" s="284">
        <v>0</v>
      </c>
      <c r="G420" s="242">
        <v>8</v>
      </c>
      <c r="H420" s="243">
        <f ca="1">SUMIF('Sales 6.2026'!B:F,'All Menu'!B420,'Sales 6.2026'!F:F)</f>
        <v>64.807000000000002</v>
      </c>
      <c r="I420" s="241"/>
      <c r="J420" s="244">
        <f>SUMIF('Finished Recipe'!B:B, B420, 'Finished Recipe'!M:M)</f>
        <v>4.5</v>
      </c>
      <c r="K420" s="244">
        <f t="shared" si="34"/>
        <v>3.5</v>
      </c>
      <c r="L420" s="245">
        <f t="shared" si="32"/>
        <v>0.5625</v>
      </c>
      <c r="M420" s="245">
        <f t="shared" si="33"/>
        <v>0.4375</v>
      </c>
      <c r="N420" s="23"/>
    </row>
    <row r="421" spans="1:14" ht="13" hidden="1">
      <c r="A421" s="78" t="s">
        <v>2851</v>
      </c>
      <c r="B421" s="219">
        <v>50021</v>
      </c>
      <c r="C421" s="240" t="s">
        <v>1835</v>
      </c>
      <c r="D421" s="240" t="s">
        <v>1504</v>
      </c>
      <c r="E421" s="240" t="s">
        <v>1853</v>
      </c>
      <c r="F421" s="284">
        <v>0</v>
      </c>
      <c r="G421" s="242">
        <v>10</v>
      </c>
      <c r="H421" s="243">
        <f ca="1">SUMIF('Sales 6.2026'!B:F,'All Menu'!B421,'Sales 6.2026'!F:F)</f>
        <v>3.3001</v>
      </c>
      <c r="I421" s="241"/>
      <c r="J421" s="244">
        <f>SUMIF('Finished Recipe'!B:B, B421, 'Finished Recipe'!M:M)</f>
        <v>4.1581209137931037</v>
      </c>
      <c r="K421" s="244">
        <f t="shared" si="34"/>
        <v>5.8418790862068963</v>
      </c>
      <c r="L421" s="245">
        <f t="shared" si="32"/>
        <v>0.41581209137931036</v>
      </c>
      <c r="M421" s="245">
        <f t="shared" si="33"/>
        <v>0.58418790862068959</v>
      </c>
      <c r="N421" s="23"/>
    </row>
    <row r="422" spans="1:14" ht="13" hidden="1">
      <c r="A422" s="78" t="s">
        <v>2852</v>
      </c>
      <c r="B422" s="219">
        <v>50022</v>
      </c>
      <c r="C422" s="240" t="s">
        <v>1835</v>
      </c>
      <c r="D422" s="240" t="s">
        <v>1504</v>
      </c>
      <c r="E422" s="240" t="s">
        <v>1508</v>
      </c>
      <c r="F422" s="284">
        <v>0</v>
      </c>
      <c r="G422" s="242">
        <v>7</v>
      </c>
      <c r="H422" s="243">
        <f ca="1">SUMIF('Sales 6.2026'!B:F,'All Menu'!B422,'Sales 6.2026'!F:F)</f>
        <v>36.130000000000003</v>
      </c>
      <c r="I422" s="241"/>
      <c r="J422" s="244">
        <f>SUMIF('Finished Recipe'!B:B, B422, 'Finished Recipe'!M:M)</f>
        <v>4.5</v>
      </c>
      <c r="K422" s="244">
        <f t="shared" si="34"/>
        <v>2.5</v>
      </c>
      <c r="L422" s="245">
        <f t="shared" si="32"/>
        <v>0.6428571428571429</v>
      </c>
      <c r="M422" s="245">
        <f t="shared" si="33"/>
        <v>0.35714285714285715</v>
      </c>
      <c r="N422" s="23"/>
    </row>
    <row r="423" spans="1:14" ht="13" hidden="1">
      <c r="A423" s="78" t="s">
        <v>2853</v>
      </c>
      <c r="B423" s="219">
        <v>50023</v>
      </c>
      <c r="C423" s="240" t="s">
        <v>1835</v>
      </c>
      <c r="D423" s="240" t="s">
        <v>1504</v>
      </c>
      <c r="E423" s="240" t="s">
        <v>1509</v>
      </c>
      <c r="F423" s="284">
        <v>0</v>
      </c>
      <c r="G423" s="242">
        <v>8</v>
      </c>
      <c r="H423" s="243">
        <f ca="1">SUMIF('Sales 6.2026'!B:F,'All Menu'!B423,'Sales 6.2026'!F:F)</f>
        <v>28.555</v>
      </c>
      <c r="I423" s="241"/>
      <c r="J423" s="244">
        <f>SUMIF('Finished Recipe'!B:B, B423, 'Finished Recipe'!M:M)</f>
        <v>4.5</v>
      </c>
      <c r="K423" s="244">
        <f t="shared" si="34"/>
        <v>3.5</v>
      </c>
      <c r="L423" s="245">
        <f t="shared" si="32"/>
        <v>0.5625</v>
      </c>
      <c r="M423" s="245">
        <f t="shared" si="33"/>
        <v>0.4375</v>
      </c>
      <c r="N423" s="23"/>
    </row>
    <row r="424" spans="1:14" ht="13" hidden="1">
      <c r="A424" s="78" t="s">
        <v>3119</v>
      </c>
      <c r="B424" s="219">
        <v>50024</v>
      </c>
      <c r="C424" s="240" t="s">
        <v>1835</v>
      </c>
      <c r="D424" s="240" t="s">
        <v>1504</v>
      </c>
      <c r="E424" s="240" t="s">
        <v>1510</v>
      </c>
      <c r="F424" s="284">
        <v>0</v>
      </c>
      <c r="G424" s="242">
        <v>2.5</v>
      </c>
      <c r="H424" s="243">
        <f ca="1">SUMIF('Sales 6.2026'!B:F,'All Menu'!B424,'Sales 6.2026'!F:F)</f>
        <v>78</v>
      </c>
      <c r="I424" s="241"/>
      <c r="J424" s="244">
        <f>SUMIF('Finished Recipe'!B:B, B424, 'Finished Recipe'!M:M)</f>
        <v>1.25</v>
      </c>
      <c r="K424" s="244">
        <f t="shared" si="34"/>
        <v>1.25</v>
      </c>
      <c r="L424" s="245">
        <f t="shared" si="32"/>
        <v>0.5</v>
      </c>
      <c r="M424" s="245">
        <f t="shared" si="33"/>
        <v>0.5</v>
      </c>
      <c r="N424" s="23"/>
    </row>
    <row r="425" spans="1:14" ht="13" hidden="1">
      <c r="A425" s="78" t="s">
        <v>2854</v>
      </c>
      <c r="B425" s="219">
        <v>50025</v>
      </c>
      <c r="C425" s="240" t="s">
        <v>1835</v>
      </c>
      <c r="D425" s="240" t="s">
        <v>1504</v>
      </c>
      <c r="E425" s="240" t="s">
        <v>305</v>
      </c>
      <c r="F425" s="284">
        <v>0</v>
      </c>
      <c r="G425" s="242">
        <v>4.5</v>
      </c>
      <c r="H425" s="243">
        <f ca="1">SUMIF('Sales 6.2026'!B:F,'All Menu'!B425,'Sales 6.2026'!F:F)</f>
        <v>26.02</v>
      </c>
      <c r="I425" s="241"/>
      <c r="J425" s="244">
        <f>SUMIF('Finished Recipe'!B:B, B425, 'Finished Recipe'!M:M)</f>
        <v>2.895620913793103</v>
      </c>
      <c r="K425" s="244">
        <f t="shared" si="34"/>
        <v>1.604379086206897</v>
      </c>
      <c r="L425" s="245">
        <f t="shared" si="32"/>
        <v>0.64347131417624515</v>
      </c>
      <c r="M425" s="245">
        <f t="shared" si="33"/>
        <v>0.35652868582375485</v>
      </c>
      <c r="N425" s="23"/>
    </row>
    <row r="426" spans="1:14" ht="13" hidden="1">
      <c r="A426" s="78" t="s">
        <v>2855</v>
      </c>
      <c r="B426" s="219">
        <v>50026</v>
      </c>
      <c r="C426" s="240" t="s">
        <v>1835</v>
      </c>
      <c r="D426" s="240" t="s">
        <v>1504</v>
      </c>
      <c r="E426" s="240" t="s">
        <v>1511</v>
      </c>
      <c r="F426" s="284">
        <v>0</v>
      </c>
      <c r="G426" s="242">
        <v>5.5</v>
      </c>
      <c r="H426" s="243">
        <f ca="1">SUMIF('Sales 6.2026'!B:F,'All Menu'!B426,'Sales 6.2026'!F:F)</f>
        <v>9</v>
      </c>
      <c r="I426" s="241"/>
      <c r="J426" s="244">
        <f>SUMIF('Finished Recipe'!B:B, B426, 'Finished Recipe'!M:M)</f>
        <v>2.895620913793103</v>
      </c>
      <c r="K426" s="244">
        <f t="shared" si="34"/>
        <v>2.604379086206897</v>
      </c>
      <c r="L426" s="245">
        <f t="shared" si="32"/>
        <v>0.52647652978056414</v>
      </c>
      <c r="M426" s="245">
        <f t="shared" si="33"/>
        <v>0.4735234702194358</v>
      </c>
      <c r="N426" s="23"/>
    </row>
    <row r="427" spans="1:14" ht="13" hidden="1">
      <c r="A427" s="78" t="s">
        <v>2856</v>
      </c>
      <c r="B427" s="219">
        <v>50027</v>
      </c>
      <c r="C427" s="240" t="s">
        <v>1835</v>
      </c>
      <c r="D427" s="240" t="s">
        <v>1504</v>
      </c>
      <c r="E427" s="240" t="s">
        <v>1512</v>
      </c>
      <c r="F427" s="284">
        <v>0</v>
      </c>
      <c r="G427" s="242">
        <v>6.5</v>
      </c>
      <c r="H427" s="243">
        <f ca="1">SUMIF('Sales 6.2026'!B:F,'All Menu'!B427,'Sales 6.2026'!F:F)</f>
        <v>11.98</v>
      </c>
      <c r="I427" s="241"/>
      <c r="J427" s="244">
        <f>SUMIF('Finished Recipe'!B:B, B427, 'Finished Recipe'!M:M)</f>
        <v>2.5</v>
      </c>
      <c r="K427" s="244">
        <f t="shared" si="34"/>
        <v>4</v>
      </c>
      <c r="L427" s="245">
        <f t="shared" si="32"/>
        <v>0.38461538461538464</v>
      </c>
      <c r="M427" s="245">
        <f t="shared" si="33"/>
        <v>0.61538461538461542</v>
      </c>
      <c r="N427" s="23"/>
    </row>
    <row r="428" spans="1:14" ht="13" hidden="1">
      <c r="A428" s="78" t="s">
        <v>2857</v>
      </c>
      <c r="B428" s="219">
        <v>50028</v>
      </c>
      <c r="C428" s="240" t="s">
        <v>1835</v>
      </c>
      <c r="D428" s="240" t="s">
        <v>1504</v>
      </c>
      <c r="E428" s="240" t="s">
        <v>1734</v>
      </c>
      <c r="F428" s="284">
        <v>0</v>
      </c>
      <c r="G428" s="242">
        <v>10</v>
      </c>
      <c r="H428" s="243">
        <f ca="1">SUMIF('Sales 6.2026'!B:F,'All Menu'!B428,'Sales 6.2026'!F:F)</f>
        <v>14.375</v>
      </c>
      <c r="I428" s="241"/>
      <c r="J428" s="244">
        <f>SUMIF('Finished Recipe'!B:B, B428, 'Finished Recipe'!M:M)</f>
        <v>4.4081209137931037</v>
      </c>
      <c r="K428" s="244">
        <f t="shared" si="34"/>
        <v>5.5918790862068963</v>
      </c>
      <c r="L428" s="245">
        <f t="shared" si="32"/>
        <v>0.44081209137931038</v>
      </c>
      <c r="M428" s="245">
        <f t="shared" si="33"/>
        <v>0.55918790862068968</v>
      </c>
      <c r="N428" s="23"/>
    </row>
    <row r="429" spans="1:14" ht="13" hidden="1">
      <c r="A429" s="78" t="s">
        <v>2323</v>
      </c>
      <c r="B429" s="219">
        <v>50029</v>
      </c>
      <c r="C429" s="240" t="s">
        <v>1835</v>
      </c>
      <c r="D429" s="240" t="s">
        <v>1504</v>
      </c>
      <c r="E429" s="240" t="s">
        <v>1513</v>
      </c>
      <c r="F429" s="284">
        <v>0</v>
      </c>
      <c r="G429" s="242">
        <v>7</v>
      </c>
      <c r="H429" s="243">
        <f ca="1">SUMIF('Sales 6.2026'!B:F,'All Menu'!B429,'Sales 6.2026'!F:F)</f>
        <v>21.03</v>
      </c>
      <c r="I429" s="241"/>
      <c r="J429" s="244">
        <f>SUMIF('Finished Recipe'!B:B, B429, 'Finished Recipe'!M:M)</f>
        <v>4.5</v>
      </c>
      <c r="K429" s="244">
        <f t="shared" si="34"/>
        <v>2.5</v>
      </c>
      <c r="L429" s="245">
        <f t="shared" si="32"/>
        <v>0.6428571428571429</v>
      </c>
      <c r="M429" s="245">
        <f t="shared" si="33"/>
        <v>0.35714285714285715</v>
      </c>
      <c r="N429" s="23"/>
    </row>
    <row r="430" spans="1:14" ht="13" hidden="1">
      <c r="A430" s="78" t="s">
        <v>2858</v>
      </c>
      <c r="B430" s="219">
        <v>50030</v>
      </c>
      <c r="C430" s="240" t="s">
        <v>1835</v>
      </c>
      <c r="D430" s="240" t="s">
        <v>1504</v>
      </c>
      <c r="E430" s="240" t="s">
        <v>307</v>
      </c>
      <c r="F430" s="284">
        <v>0</v>
      </c>
      <c r="G430" s="242">
        <v>3</v>
      </c>
      <c r="H430" s="243">
        <f ca="1">SUMIF('Sales 6.2026'!B:F,'All Menu'!B430,'Sales 6.2026'!F:F)</f>
        <v>15</v>
      </c>
      <c r="I430" s="241"/>
      <c r="J430" s="244">
        <f>SUMIF('Finished Recipe'!B:B, B430, 'Finished Recipe'!M:M)</f>
        <v>2.5</v>
      </c>
      <c r="K430" s="244">
        <f t="shared" si="34"/>
        <v>0.5</v>
      </c>
      <c r="L430" s="245">
        <f t="shared" si="32"/>
        <v>0.83333333333333337</v>
      </c>
      <c r="M430" s="245">
        <f t="shared" si="33"/>
        <v>0.16666666666666666</v>
      </c>
      <c r="N430" s="23"/>
    </row>
    <row r="431" spans="1:14" ht="13" hidden="1">
      <c r="A431" s="78" t="s">
        <v>2859</v>
      </c>
      <c r="B431" s="219">
        <v>50031</v>
      </c>
      <c r="C431" s="240" t="s">
        <v>1835</v>
      </c>
      <c r="D431" s="240" t="s">
        <v>1504</v>
      </c>
      <c r="E431" s="240" t="s">
        <v>309</v>
      </c>
      <c r="F431" s="284">
        <v>0</v>
      </c>
      <c r="G431" s="242">
        <v>0.6</v>
      </c>
      <c r="H431" s="243">
        <f ca="1">SUMIF('Sales 6.2026'!B:F,'All Menu'!B431,'Sales 6.2026'!F:F)</f>
        <v>51</v>
      </c>
      <c r="I431" s="241"/>
      <c r="J431" s="244">
        <f>SUMIF('Finished Recipe'!B:B, B431, 'Finished Recipe'!M:M)</f>
        <v>0.35</v>
      </c>
      <c r="K431" s="244">
        <f t="shared" si="34"/>
        <v>0.25</v>
      </c>
      <c r="L431" s="245">
        <f t="shared" si="32"/>
        <v>0.58333333333333337</v>
      </c>
      <c r="M431" s="245">
        <f t="shared" si="33"/>
        <v>0.41666666666666669</v>
      </c>
      <c r="N431" s="23"/>
    </row>
    <row r="432" spans="1:14" ht="13" hidden="1">
      <c r="A432" s="78" t="s">
        <v>2860</v>
      </c>
      <c r="B432" s="219">
        <v>50032</v>
      </c>
      <c r="C432" s="240" t="s">
        <v>1835</v>
      </c>
      <c r="D432" s="240" t="s">
        <v>1504</v>
      </c>
      <c r="E432" s="240" t="s">
        <v>310</v>
      </c>
      <c r="F432" s="284">
        <v>0</v>
      </c>
      <c r="G432" s="242">
        <v>5</v>
      </c>
      <c r="H432" s="243">
        <f ca="1">SUMIF('Sales 6.2026'!B:F,'All Menu'!B432,'Sales 6.2026'!F:F)</f>
        <v>8</v>
      </c>
      <c r="I432" s="241"/>
      <c r="J432" s="244">
        <f>SUMIF('Finished Recipe'!B:B, B432, 'Finished Recipe'!M:M)</f>
        <v>4.5</v>
      </c>
      <c r="K432" s="244">
        <f t="shared" si="34"/>
        <v>0.5</v>
      </c>
      <c r="L432" s="245">
        <f t="shared" ref="L432:L492" si="35">J432/G432</f>
        <v>0.9</v>
      </c>
      <c r="M432" s="245">
        <f t="shared" ref="M432:M492" si="36">K432/G432</f>
        <v>0.1</v>
      </c>
      <c r="N432" s="23"/>
    </row>
    <row r="433" spans="1:14" ht="13" hidden="1">
      <c r="A433" s="78" t="s">
        <v>3120</v>
      </c>
      <c r="B433" s="219">
        <v>50033</v>
      </c>
      <c r="C433" s="240" t="s">
        <v>1835</v>
      </c>
      <c r="D433" s="241" t="s">
        <v>1504</v>
      </c>
      <c r="E433" s="251" t="s">
        <v>312</v>
      </c>
      <c r="F433" s="284">
        <v>0</v>
      </c>
      <c r="G433" s="242">
        <v>3</v>
      </c>
      <c r="H433" s="243">
        <f ca="1">SUMIF('Sales 6.2026'!B:F,'All Menu'!B433,'Sales 6.2026'!F:F)</f>
        <v>5</v>
      </c>
      <c r="I433" s="241"/>
      <c r="J433" s="244">
        <f>SUMIF('Finished Recipe'!B:B, B433, 'Finished Recipe'!M:M)</f>
        <v>1</v>
      </c>
      <c r="K433" s="244">
        <f t="shared" si="34"/>
        <v>2</v>
      </c>
      <c r="L433" s="245">
        <f t="shared" si="35"/>
        <v>0.33333333333333331</v>
      </c>
      <c r="M433" s="245">
        <f t="shared" si="36"/>
        <v>0.66666666666666663</v>
      </c>
      <c r="N433" s="23"/>
    </row>
    <row r="434" spans="1:14" ht="13" hidden="1">
      <c r="A434" s="78" t="s">
        <v>3121</v>
      </c>
      <c r="B434" s="219">
        <v>50034</v>
      </c>
      <c r="C434" s="240" t="s">
        <v>1835</v>
      </c>
      <c r="D434" s="240" t="s">
        <v>1504</v>
      </c>
      <c r="E434" s="240" t="s">
        <v>314</v>
      </c>
      <c r="F434" s="284">
        <v>0</v>
      </c>
      <c r="G434" s="242">
        <v>3</v>
      </c>
      <c r="H434" s="243">
        <f ca="1">SUMIF('Sales 6.2026'!B:F,'All Menu'!B434,'Sales 6.2026'!F:F)</f>
        <v>26</v>
      </c>
      <c r="I434" s="241"/>
      <c r="J434" s="244">
        <f>SUMIF('Finished Recipe'!B:B, B434, 'Finished Recipe'!M:M)</f>
        <v>0.35</v>
      </c>
      <c r="K434" s="244">
        <f t="shared" si="34"/>
        <v>2.65</v>
      </c>
      <c r="L434" s="245">
        <f t="shared" si="35"/>
        <v>0.11666666666666665</v>
      </c>
      <c r="M434" s="245">
        <f t="shared" si="36"/>
        <v>0.8833333333333333</v>
      </c>
      <c r="N434" s="23"/>
    </row>
    <row r="435" spans="1:14" ht="13" hidden="1">
      <c r="A435" s="78" t="s">
        <v>2861</v>
      </c>
      <c r="B435" s="219">
        <v>50035</v>
      </c>
      <c r="C435" s="240" t="s">
        <v>1835</v>
      </c>
      <c r="D435" s="240" t="s">
        <v>1504</v>
      </c>
      <c r="E435" s="240" t="s">
        <v>1780</v>
      </c>
      <c r="F435" s="284">
        <v>0</v>
      </c>
      <c r="G435" s="242">
        <v>7</v>
      </c>
      <c r="H435" s="243">
        <f ca="1">SUMIF('Sales 6.2026'!B:F,'All Menu'!B435,'Sales 6.2026'!F:F)</f>
        <v>4.2</v>
      </c>
      <c r="I435" s="241"/>
      <c r="J435" s="244">
        <f>SUMIF('Finished Recipe'!B:B, B435, 'Finished Recipe'!M:M)</f>
        <v>5.5</v>
      </c>
      <c r="K435" s="244">
        <f t="shared" si="34"/>
        <v>1.5</v>
      </c>
      <c r="L435" s="245">
        <f t="shared" si="35"/>
        <v>0.7857142857142857</v>
      </c>
      <c r="M435" s="245">
        <f t="shared" si="36"/>
        <v>0.21428571428571427</v>
      </c>
      <c r="N435" s="23"/>
    </row>
    <row r="436" spans="1:14" ht="13" hidden="1">
      <c r="A436" s="78" t="s">
        <v>3122</v>
      </c>
      <c r="B436" s="219">
        <v>50036</v>
      </c>
      <c r="C436" s="240" t="s">
        <v>1835</v>
      </c>
      <c r="D436" s="240" t="s">
        <v>1504</v>
      </c>
      <c r="E436" s="240" t="s">
        <v>308</v>
      </c>
      <c r="F436" s="284">
        <v>0</v>
      </c>
      <c r="G436" s="242">
        <v>12</v>
      </c>
      <c r="H436" s="243">
        <f ca="1">SUMIF('Sales 6.2026'!B:F,'All Menu'!B436,'Sales 6.2026'!F:F)</f>
        <v>8.1</v>
      </c>
      <c r="I436" s="241"/>
      <c r="J436" s="244">
        <f>SUMIF('Finished Recipe'!B:B, B436, 'Finished Recipe'!M:M)</f>
        <v>9</v>
      </c>
      <c r="K436" s="244">
        <f t="shared" si="34"/>
        <v>3</v>
      </c>
      <c r="L436" s="245">
        <f t="shared" si="35"/>
        <v>0.75</v>
      </c>
      <c r="M436" s="245">
        <f t="shared" si="36"/>
        <v>0.25</v>
      </c>
      <c r="N436" s="23"/>
    </row>
    <row r="437" spans="1:14" ht="13" hidden="1">
      <c r="A437" s="78" t="s">
        <v>2365</v>
      </c>
      <c r="B437" s="219">
        <v>50037</v>
      </c>
      <c r="C437" s="241" t="s">
        <v>1835</v>
      </c>
      <c r="D437" s="241" t="s">
        <v>1630</v>
      </c>
      <c r="E437" s="241" t="s">
        <v>1631</v>
      </c>
      <c r="F437" s="284">
        <v>0</v>
      </c>
      <c r="G437" s="242">
        <v>14</v>
      </c>
      <c r="H437" s="243">
        <f ca="1">SUMIF('Sales 6.2026'!B:F,'All Menu'!B437,'Sales 6.2026'!F:F)</f>
        <v>163.0351</v>
      </c>
      <c r="I437" s="241"/>
      <c r="J437" s="244">
        <f>SUMIF('Finished Recipe'!B:B, B437, 'Finished Recipe'!M:M)</f>
        <v>8.3203850798990757</v>
      </c>
      <c r="K437" s="244">
        <f t="shared" si="34"/>
        <v>5.6796149201009243</v>
      </c>
      <c r="L437" s="245">
        <f t="shared" si="35"/>
        <v>0.59431321999279108</v>
      </c>
      <c r="M437" s="245">
        <f t="shared" si="36"/>
        <v>0.40568678000720887</v>
      </c>
      <c r="N437" s="23"/>
    </row>
    <row r="438" spans="1:14" ht="13" hidden="1">
      <c r="A438" s="78" t="s">
        <v>3123</v>
      </c>
      <c r="B438" s="219">
        <v>50038</v>
      </c>
      <c r="C438" s="241" t="s">
        <v>1835</v>
      </c>
      <c r="D438" s="241" t="s">
        <v>1630</v>
      </c>
      <c r="E438" s="241" t="s">
        <v>1766</v>
      </c>
      <c r="F438" s="284">
        <v>0</v>
      </c>
      <c r="G438" s="242">
        <v>16</v>
      </c>
      <c r="H438" s="243">
        <f ca="1">SUMIF('Sales 6.2026'!B:F,'All Menu'!B438,'Sales 6.2026'!F:F)</f>
        <v>12.7601</v>
      </c>
      <c r="I438" s="241"/>
      <c r="J438" s="244">
        <f>SUMIF('Finished Recipe'!B:B, B438, 'Finished Recipe'!M:M)</f>
        <v>8.3203850798990757</v>
      </c>
      <c r="K438" s="244">
        <f t="shared" si="34"/>
        <v>7.6796149201009243</v>
      </c>
      <c r="L438" s="245">
        <f t="shared" si="35"/>
        <v>0.52002406749369223</v>
      </c>
      <c r="M438" s="245">
        <f t="shared" si="36"/>
        <v>0.47997593250630777</v>
      </c>
      <c r="N438" s="23"/>
    </row>
    <row r="439" spans="1:14" ht="13" hidden="1">
      <c r="A439" s="78" t="s">
        <v>2862</v>
      </c>
      <c r="B439" s="219">
        <v>50039</v>
      </c>
      <c r="C439" s="241" t="s">
        <v>1835</v>
      </c>
      <c r="D439" s="241" t="s">
        <v>1630</v>
      </c>
      <c r="E439" s="241" t="s">
        <v>717</v>
      </c>
      <c r="F439" s="284">
        <v>0</v>
      </c>
      <c r="G439" s="242">
        <v>9</v>
      </c>
      <c r="H439" s="243">
        <f ca="1">SUMIF('Sales 6.2026'!B:F,'All Menu'!B439,'Sales 6.2026'!F:F)</f>
        <v>40.769999999999996</v>
      </c>
      <c r="I439" s="241"/>
      <c r="J439" s="244">
        <f>SUMIF('Finished Recipe'!B:B, B439, 'Finished Recipe'!M:M)</f>
        <v>4.295609075670499</v>
      </c>
      <c r="K439" s="244">
        <f t="shared" si="34"/>
        <v>4.704390924329501</v>
      </c>
      <c r="L439" s="245">
        <f t="shared" si="35"/>
        <v>0.47728989729672211</v>
      </c>
      <c r="M439" s="245">
        <f t="shared" si="36"/>
        <v>0.52271010270327789</v>
      </c>
      <c r="N439" s="23"/>
    </row>
    <row r="440" spans="1:14" ht="13" hidden="1">
      <c r="A440" s="78" t="s">
        <v>2863</v>
      </c>
      <c r="B440" s="219">
        <v>50040</v>
      </c>
      <c r="C440" s="241" t="s">
        <v>1835</v>
      </c>
      <c r="D440" s="241" t="s">
        <v>1630</v>
      </c>
      <c r="E440" s="241" t="s">
        <v>719</v>
      </c>
      <c r="F440" s="284">
        <v>0</v>
      </c>
      <c r="G440" s="242">
        <v>7</v>
      </c>
      <c r="H440" s="243">
        <f ca="1">SUMIF('Sales 6.2026'!B:F,'All Menu'!B440,'Sales 6.2026'!F:F)</f>
        <v>9.82</v>
      </c>
      <c r="I440" s="241"/>
      <c r="J440" s="244">
        <f>SUMIF('Finished Recipe'!B:B, B440, 'Finished Recipe'!M:M)</f>
        <v>2.5816251162790702</v>
      </c>
      <c r="K440" s="244">
        <f t="shared" si="34"/>
        <v>4.4183748837209293</v>
      </c>
      <c r="L440" s="245">
        <f t="shared" si="35"/>
        <v>0.36880358803986718</v>
      </c>
      <c r="M440" s="245">
        <f t="shared" si="36"/>
        <v>0.63119641196013276</v>
      </c>
      <c r="N440" s="23"/>
    </row>
    <row r="441" spans="1:14" ht="13" hidden="1">
      <c r="A441" s="78" t="s">
        <v>2864</v>
      </c>
      <c r="B441" s="219">
        <v>50041</v>
      </c>
      <c r="C441" s="241" t="s">
        <v>1835</v>
      </c>
      <c r="D441" s="241" t="s">
        <v>1630</v>
      </c>
      <c r="E441" s="241" t="s">
        <v>1632</v>
      </c>
      <c r="F441" s="284">
        <v>0</v>
      </c>
      <c r="G441" s="242">
        <v>9</v>
      </c>
      <c r="H441" s="243">
        <f ca="1">SUMIF('Sales 6.2026'!B:F,'All Menu'!B441,'Sales 6.2026'!F:F)</f>
        <v>109.0855</v>
      </c>
      <c r="I441" s="241"/>
      <c r="J441" s="244">
        <f>SUMIF('Finished Recipe'!B:B, B441, 'Finished Recipe'!M:M)</f>
        <v>5.3194299361831767</v>
      </c>
      <c r="K441" s="244">
        <f t="shared" si="34"/>
        <v>3.6805700638168233</v>
      </c>
      <c r="L441" s="245">
        <f t="shared" si="35"/>
        <v>0.59104777068701964</v>
      </c>
      <c r="M441" s="245">
        <f t="shared" si="36"/>
        <v>0.40895222931298036</v>
      </c>
      <c r="N441" s="23"/>
    </row>
    <row r="442" spans="1:14" ht="13" hidden="1">
      <c r="A442" s="78" t="s">
        <v>2865</v>
      </c>
      <c r="B442" s="219">
        <v>50042</v>
      </c>
      <c r="C442" s="241" t="s">
        <v>1835</v>
      </c>
      <c r="D442" s="241" t="s">
        <v>1630</v>
      </c>
      <c r="E442" s="241" t="s">
        <v>799</v>
      </c>
      <c r="F442" s="284">
        <v>0</v>
      </c>
      <c r="G442" s="242">
        <v>10</v>
      </c>
      <c r="H442" s="243">
        <f ca="1">SUMIF('Sales 6.2026'!B:F,'All Menu'!B442,'Sales 6.2026'!F:F)</f>
        <v>22.97</v>
      </c>
      <c r="I442" s="241"/>
      <c r="J442" s="244">
        <f>SUMIF('Finished Recipe'!B:B, B442, 'Finished Recipe'!M:M)</f>
        <v>3.2840802125553341</v>
      </c>
      <c r="K442" s="244">
        <f t="shared" si="34"/>
        <v>6.7159197874446654</v>
      </c>
      <c r="L442" s="245">
        <f t="shared" si="35"/>
        <v>0.32840802125553342</v>
      </c>
      <c r="M442" s="245">
        <f t="shared" si="36"/>
        <v>0.67159197874446652</v>
      </c>
      <c r="N442" s="23"/>
    </row>
    <row r="443" spans="1:14" ht="13" hidden="1">
      <c r="A443" s="78" t="s">
        <v>2866</v>
      </c>
      <c r="B443" s="219">
        <v>50046</v>
      </c>
      <c r="C443" s="240" t="s">
        <v>1835</v>
      </c>
      <c r="D443" s="240" t="s">
        <v>284</v>
      </c>
      <c r="E443" s="240" t="s">
        <v>402</v>
      </c>
      <c r="F443" s="284">
        <v>0</v>
      </c>
      <c r="G443" s="242">
        <v>4.5</v>
      </c>
      <c r="H443" s="243">
        <f ca="1">SUMIF('Sales 6.2026'!B:F,'All Menu'!B443,'Sales 6.2026'!F:F)</f>
        <v>27.43</v>
      </c>
      <c r="I443" s="241"/>
      <c r="J443" s="244">
        <f>SUMIF('Finished Recipe'!B:B, B443, 'Finished Recipe'!M:M)</f>
        <v>1.6</v>
      </c>
      <c r="K443" s="244">
        <f t="shared" si="34"/>
        <v>2.9</v>
      </c>
      <c r="L443" s="245">
        <f t="shared" si="35"/>
        <v>0.35555555555555557</v>
      </c>
      <c r="M443" s="245">
        <f t="shared" si="36"/>
        <v>0.64444444444444438</v>
      </c>
      <c r="N443" s="23"/>
    </row>
    <row r="444" spans="1:14" ht="13" hidden="1">
      <c r="A444" s="78" t="s">
        <v>3124</v>
      </c>
      <c r="B444" s="219">
        <v>50047</v>
      </c>
      <c r="C444" s="240" t="s">
        <v>1835</v>
      </c>
      <c r="D444" s="240" t="s">
        <v>284</v>
      </c>
      <c r="E444" s="240" t="s">
        <v>1733</v>
      </c>
      <c r="F444" s="284">
        <v>0</v>
      </c>
      <c r="G444" s="242">
        <v>6.5</v>
      </c>
      <c r="H444" s="243">
        <f ca="1">SUMIF('Sales 6.2026'!B:F,'All Menu'!B444,'Sales 6.2026'!F:F)</f>
        <v>0</v>
      </c>
      <c r="I444" s="241"/>
      <c r="J444" s="244">
        <f>SUMIF('Finished Recipe'!B:B, B444, 'Finished Recipe'!M:M)</f>
        <v>4.5</v>
      </c>
      <c r="K444" s="244">
        <f t="shared" si="34"/>
        <v>2</v>
      </c>
      <c r="L444" s="245">
        <f t="shared" si="35"/>
        <v>0.69230769230769229</v>
      </c>
      <c r="M444" s="245">
        <f t="shared" si="36"/>
        <v>0.30769230769230771</v>
      </c>
      <c r="N444" s="23"/>
    </row>
    <row r="445" spans="1:14" ht="13" hidden="1">
      <c r="A445" s="78" t="s">
        <v>2867</v>
      </c>
      <c r="B445" s="219">
        <v>50048</v>
      </c>
      <c r="C445" s="240" t="s">
        <v>1835</v>
      </c>
      <c r="D445" s="240" t="s">
        <v>284</v>
      </c>
      <c r="E445" s="282" t="s">
        <v>677</v>
      </c>
      <c r="F445" s="284">
        <v>0</v>
      </c>
      <c r="G445" s="242">
        <v>8</v>
      </c>
      <c r="H445" s="243">
        <f ca="1">SUMIF('Sales 6.2026'!B:F,'All Menu'!B445,'Sales 6.2026'!F:F)</f>
        <v>22.06</v>
      </c>
      <c r="I445" s="241"/>
      <c r="J445" s="244">
        <f>SUMIF('Finished Recipe'!B:B, B445, 'Finished Recipe'!M:M)</f>
        <v>4.186896</v>
      </c>
      <c r="K445" s="244">
        <f t="shared" si="34"/>
        <v>3.813104</v>
      </c>
      <c r="L445" s="245">
        <f t="shared" si="35"/>
        <v>0.52336199999999999</v>
      </c>
      <c r="M445" s="245">
        <f t="shared" si="36"/>
        <v>0.47663800000000001</v>
      </c>
      <c r="N445" s="23"/>
    </row>
    <row r="446" spans="1:14" ht="13" hidden="1">
      <c r="A446" s="78" t="s">
        <v>2317</v>
      </c>
      <c r="B446" s="219">
        <v>50060</v>
      </c>
      <c r="C446" s="240" t="s">
        <v>1835</v>
      </c>
      <c r="D446" s="240" t="s">
        <v>1504</v>
      </c>
      <c r="E446" s="240" t="s">
        <v>1735</v>
      </c>
      <c r="F446" s="284">
        <v>0</v>
      </c>
      <c r="G446" s="242">
        <v>1</v>
      </c>
      <c r="H446" s="243">
        <f ca="1">SUMIF('Sales 6.2026'!B:F,'All Menu'!B446,'Sales 6.2026'!F:F)</f>
        <v>652</v>
      </c>
      <c r="I446" s="241"/>
      <c r="J446" s="244">
        <f>SUMIF('Finished Recipe'!B:B, B446, 'Finished Recipe'!M:M)</f>
        <v>1</v>
      </c>
      <c r="K446" s="244">
        <f t="shared" si="34"/>
        <v>0</v>
      </c>
      <c r="L446" s="245">
        <f t="shared" si="35"/>
        <v>1</v>
      </c>
      <c r="M446" s="245">
        <f t="shared" si="36"/>
        <v>0</v>
      </c>
      <c r="N446" s="23"/>
    </row>
    <row r="447" spans="1:14" ht="13" hidden="1">
      <c r="A447" s="78" t="s">
        <v>3125</v>
      </c>
      <c r="B447" s="219">
        <v>60001</v>
      </c>
      <c r="C447" s="240" t="s">
        <v>1835</v>
      </c>
      <c r="D447" s="240" t="s">
        <v>1610</v>
      </c>
      <c r="E447" s="240" t="s">
        <v>1932</v>
      </c>
      <c r="F447" s="284">
        <v>0</v>
      </c>
      <c r="G447" s="242">
        <v>13.5</v>
      </c>
      <c r="H447" s="243">
        <f ca="1">SUMIF('Sales 6.2026'!B:F,'All Menu'!B447,'Sales 6.2026'!F:F)</f>
        <v>497.47180000000003</v>
      </c>
      <c r="I447" s="241"/>
      <c r="J447" s="244">
        <f>SUMIF('Finished Recipe'!B:B, B447, 'Finished Recipe'!M:M)</f>
        <v>11.5</v>
      </c>
      <c r="K447" s="244">
        <f t="shared" si="34"/>
        <v>2</v>
      </c>
      <c r="L447" s="245">
        <f t="shared" si="35"/>
        <v>0.85185185185185186</v>
      </c>
      <c r="M447" s="245">
        <f t="shared" si="36"/>
        <v>0.14814814814814814</v>
      </c>
      <c r="N447" s="23"/>
    </row>
    <row r="448" spans="1:14" ht="13" hidden="1">
      <c r="A448" s="78" t="s">
        <v>3126</v>
      </c>
      <c r="B448" s="219">
        <v>60002</v>
      </c>
      <c r="C448" s="240" t="s">
        <v>1835</v>
      </c>
      <c r="D448" s="240" t="s">
        <v>1610</v>
      </c>
      <c r="E448" s="240" t="s">
        <v>1932</v>
      </c>
      <c r="F448" s="284">
        <v>0</v>
      </c>
      <c r="G448" s="242">
        <v>12.5</v>
      </c>
      <c r="H448" s="243">
        <f ca="1">SUMIF('Sales 6.2026'!B:F,'All Menu'!B448,'Sales 6.2026'!F:F)</f>
        <v>1098.8609999999999</v>
      </c>
      <c r="I448" s="241"/>
      <c r="J448" s="244">
        <f>SUMIF('Finished Recipe'!B:B, B448, 'Finished Recipe'!M:M)</f>
        <v>11.5</v>
      </c>
      <c r="K448" s="244">
        <f t="shared" si="34"/>
        <v>1</v>
      </c>
      <c r="L448" s="245">
        <f t="shared" si="35"/>
        <v>0.92</v>
      </c>
      <c r="M448" s="245">
        <f t="shared" si="36"/>
        <v>0.08</v>
      </c>
      <c r="N448" s="23"/>
    </row>
    <row r="449" spans="1:14" ht="13" hidden="1">
      <c r="A449" s="78" t="s">
        <v>3127</v>
      </c>
      <c r="B449" s="219">
        <v>60003</v>
      </c>
      <c r="C449" s="240" t="s">
        <v>1835</v>
      </c>
      <c r="D449" s="240" t="s">
        <v>1610</v>
      </c>
      <c r="E449" s="240" t="s">
        <v>1933</v>
      </c>
      <c r="F449" s="284">
        <v>0</v>
      </c>
      <c r="G449" s="242">
        <v>13.5</v>
      </c>
      <c r="H449" s="243">
        <f ca="1">SUMIF('Sales 6.2026'!B:F,'All Menu'!B449,'Sales 6.2026'!F:F)</f>
        <v>1746.798</v>
      </c>
      <c r="I449" s="241"/>
      <c r="J449" s="244">
        <f>SUMIF('Finished Recipe'!B:B, B449, 'Finished Recipe'!M:M)</f>
        <v>11.039193820514564</v>
      </c>
      <c r="K449" s="244">
        <f t="shared" ref="K449:K508" si="37">G449-J449</f>
        <v>2.4608061794854361</v>
      </c>
      <c r="L449" s="245">
        <f t="shared" si="35"/>
        <v>0.81771806077885656</v>
      </c>
      <c r="M449" s="245">
        <f t="shared" si="36"/>
        <v>0.18228193922114341</v>
      </c>
      <c r="N449" s="23"/>
    </row>
    <row r="450" spans="1:14" ht="13" hidden="1">
      <c r="A450" s="78" t="s">
        <v>2868</v>
      </c>
      <c r="B450" s="219">
        <v>60004</v>
      </c>
      <c r="C450" s="240" t="s">
        <v>1835</v>
      </c>
      <c r="D450" s="240" t="s">
        <v>1610</v>
      </c>
      <c r="E450" s="240" t="s">
        <v>1934</v>
      </c>
      <c r="F450" s="284">
        <v>0</v>
      </c>
      <c r="G450" s="242">
        <v>16</v>
      </c>
      <c r="H450" s="243">
        <f ca="1">SUMIF('Sales 6.2026'!B:F,'All Menu'!B450,'Sales 6.2026'!F:F)</f>
        <v>192.85399999999998</v>
      </c>
      <c r="I450" s="241"/>
      <c r="J450" s="244">
        <f>SUMIF('Finished Recipe'!B:B, B450, 'Finished Recipe'!M:M)</f>
        <v>11.039193820514564</v>
      </c>
      <c r="K450" s="244">
        <f t="shared" si="37"/>
        <v>4.9608061794854361</v>
      </c>
      <c r="L450" s="245">
        <f t="shared" si="35"/>
        <v>0.68994961378216024</v>
      </c>
      <c r="M450" s="245">
        <f t="shared" si="36"/>
        <v>0.31005038621783976</v>
      </c>
      <c r="N450" s="23"/>
    </row>
    <row r="451" spans="1:14" ht="13" hidden="1">
      <c r="A451" s="78" t="s">
        <v>2869</v>
      </c>
      <c r="B451" s="219">
        <v>60005</v>
      </c>
      <c r="C451" s="240" t="s">
        <v>1835</v>
      </c>
      <c r="D451" s="240" t="s">
        <v>1610</v>
      </c>
      <c r="E451" s="240" t="s">
        <v>1611</v>
      </c>
      <c r="F451" s="284">
        <v>0</v>
      </c>
      <c r="G451" s="242">
        <v>24</v>
      </c>
      <c r="H451" s="243">
        <f ca="1">SUMIF('Sales 6.2026'!B:F,'All Menu'!B451,'Sales 6.2026'!F:F)</f>
        <v>207.21600000000001</v>
      </c>
      <c r="I451" s="241"/>
      <c r="J451" s="244">
        <f>SUMIF('Finished Recipe'!B:B, B451, 'Finished Recipe'!M:M)</f>
        <v>11.039193820514564</v>
      </c>
      <c r="K451" s="244">
        <f t="shared" si="37"/>
        <v>12.960806179485436</v>
      </c>
      <c r="L451" s="245">
        <f t="shared" si="35"/>
        <v>0.45996640918810683</v>
      </c>
      <c r="M451" s="245">
        <f t="shared" si="36"/>
        <v>0.54003359081189317</v>
      </c>
      <c r="N451" s="23"/>
    </row>
    <row r="452" spans="1:14" ht="13" hidden="1">
      <c r="A452" s="78" t="s">
        <v>2870</v>
      </c>
      <c r="B452" s="219">
        <v>60006</v>
      </c>
      <c r="C452" s="240" t="s">
        <v>1835</v>
      </c>
      <c r="D452" s="241" t="s">
        <v>1619</v>
      </c>
      <c r="E452" s="251" t="s">
        <v>1618</v>
      </c>
      <c r="F452" s="284">
        <v>0</v>
      </c>
      <c r="G452" s="242">
        <v>11.5</v>
      </c>
      <c r="H452" s="243">
        <f ca="1">SUMIF('Sales 6.2026'!B:F,'All Menu'!B452,'Sales 6.2026'!F:F)</f>
        <v>900.88700000000006</v>
      </c>
      <c r="I452" s="241"/>
      <c r="J452" s="244">
        <f>SUMIF('Finished Recipe'!B:B, B452, 'Finished Recipe'!M:M)</f>
        <v>11.039193820514564</v>
      </c>
      <c r="K452" s="244">
        <f t="shared" si="37"/>
        <v>0.46080617948543612</v>
      </c>
      <c r="L452" s="245">
        <f t="shared" si="35"/>
        <v>0.95992989743604906</v>
      </c>
      <c r="M452" s="245">
        <f t="shared" si="36"/>
        <v>4.0070102563950966E-2</v>
      </c>
      <c r="N452" s="23"/>
    </row>
    <row r="453" spans="1:14" ht="13" hidden="1">
      <c r="A453" s="78" t="s">
        <v>3128</v>
      </c>
      <c r="B453" s="219">
        <v>60007</v>
      </c>
      <c r="C453" s="240" t="s">
        <v>1835</v>
      </c>
      <c r="D453" s="241" t="s">
        <v>1619</v>
      </c>
      <c r="E453" s="251" t="s">
        <v>1936</v>
      </c>
      <c r="F453" s="284">
        <v>0</v>
      </c>
      <c r="G453" s="242">
        <v>12.5</v>
      </c>
      <c r="H453" s="243">
        <f ca="1">SUMIF('Sales 6.2026'!B:F,'All Menu'!B453,'Sales 6.2026'!F:F)</f>
        <v>170.255</v>
      </c>
      <c r="I453" s="241"/>
      <c r="J453" s="244">
        <f>SUMIF('Finished Recipe'!B:B, B453, 'Finished Recipe'!M:M)</f>
        <v>11.039193820514564</v>
      </c>
      <c r="K453" s="244">
        <f t="shared" si="37"/>
        <v>1.4608061794854361</v>
      </c>
      <c r="L453" s="245">
        <f t="shared" si="35"/>
        <v>0.88313550564116516</v>
      </c>
      <c r="M453" s="245">
        <f t="shared" si="36"/>
        <v>0.11686449435883489</v>
      </c>
      <c r="N453" s="23"/>
    </row>
    <row r="454" spans="1:14" ht="13" hidden="1">
      <c r="A454" s="78" t="s">
        <v>3129</v>
      </c>
      <c r="B454" s="219">
        <v>60008</v>
      </c>
      <c r="C454" s="240" t="s">
        <v>1835</v>
      </c>
      <c r="D454" s="241" t="s">
        <v>1619</v>
      </c>
      <c r="E454" s="251" t="s">
        <v>1620</v>
      </c>
      <c r="F454" s="284">
        <v>0</v>
      </c>
      <c r="G454" s="242">
        <v>11</v>
      </c>
      <c r="H454" s="243">
        <f ca="1">SUMIF('Sales 6.2026'!B:F,'All Menu'!B454,'Sales 6.2026'!F:F)</f>
        <v>122.1</v>
      </c>
      <c r="I454" s="241"/>
      <c r="J454" s="244">
        <f>SUMIF('Finished Recipe'!B:B, B454, 'Finished Recipe'!M:M)</f>
        <v>11.039193820514564</v>
      </c>
      <c r="K454" s="244">
        <f t="shared" si="37"/>
        <v>-3.9193820514563882E-2</v>
      </c>
      <c r="L454" s="245">
        <f t="shared" si="35"/>
        <v>1.003563074592233</v>
      </c>
      <c r="M454" s="245">
        <f t="shared" si="36"/>
        <v>-3.5630745922330801E-3</v>
      </c>
      <c r="N454" s="23"/>
    </row>
    <row r="455" spans="1:14" ht="13" hidden="1">
      <c r="A455" s="78" t="s">
        <v>3130</v>
      </c>
      <c r="B455" s="219">
        <v>60009</v>
      </c>
      <c r="C455" s="240" t="s">
        <v>1835</v>
      </c>
      <c r="D455" s="240" t="s">
        <v>1610</v>
      </c>
      <c r="E455" s="240" t="s">
        <v>1740</v>
      </c>
      <c r="F455" s="284">
        <v>0</v>
      </c>
      <c r="G455" s="242">
        <v>11</v>
      </c>
      <c r="H455" s="243">
        <f ca="1">SUMIF('Sales 6.2026'!B:F,'All Menu'!B455,'Sales 6.2026'!F:F)</f>
        <v>7.02</v>
      </c>
      <c r="I455" s="241"/>
      <c r="J455" s="244">
        <f>SUMIF('Finished Recipe'!B:B, B455, 'Finished Recipe'!M:M)</f>
        <v>11.039193820514564</v>
      </c>
      <c r="K455" s="244">
        <f t="shared" si="37"/>
        <v>-3.9193820514563882E-2</v>
      </c>
      <c r="L455" s="245">
        <f t="shared" si="35"/>
        <v>1.003563074592233</v>
      </c>
      <c r="M455" s="245">
        <f t="shared" si="36"/>
        <v>-3.5630745922330801E-3</v>
      </c>
      <c r="N455" s="23"/>
    </row>
    <row r="456" spans="1:14" ht="13" hidden="1">
      <c r="A456" s="78" t="s">
        <v>3131</v>
      </c>
      <c r="B456" s="219">
        <v>60010</v>
      </c>
      <c r="C456" s="240" t="s">
        <v>1835</v>
      </c>
      <c r="D456" s="240" t="s">
        <v>1610</v>
      </c>
      <c r="E456" s="240" t="s">
        <v>1741</v>
      </c>
      <c r="F456" s="284">
        <v>0</v>
      </c>
      <c r="G456" s="242">
        <v>16</v>
      </c>
      <c r="H456" s="243">
        <f ca="1">SUMIF('Sales 6.2026'!B:F,'All Menu'!B456,'Sales 6.2026'!F:F)</f>
        <v>23.545000000000002</v>
      </c>
      <c r="I456" s="241"/>
      <c r="J456" s="244">
        <f>SUMIF('Finished Recipe'!B:B, B456, 'Finished Recipe'!M:M)</f>
        <v>11.039193820514564</v>
      </c>
      <c r="K456" s="244">
        <f t="shared" si="37"/>
        <v>4.9608061794854361</v>
      </c>
      <c r="L456" s="245">
        <f t="shared" si="35"/>
        <v>0.68994961378216024</v>
      </c>
      <c r="M456" s="245">
        <f t="shared" si="36"/>
        <v>0.31005038621783976</v>
      </c>
      <c r="N456" s="23"/>
    </row>
    <row r="457" spans="1:14" ht="13" hidden="1">
      <c r="A457" s="78" t="s">
        <v>3132</v>
      </c>
      <c r="B457" s="219">
        <v>60011</v>
      </c>
      <c r="C457" s="240" t="s">
        <v>1835</v>
      </c>
      <c r="D457" s="240" t="s">
        <v>1610</v>
      </c>
      <c r="E457" s="240" t="s">
        <v>296</v>
      </c>
      <c r="F457" s="284">
        <v>0</v>
      </c>
      <c r="G457" s="242">
        <v>11</v>
      </c>
      <c r="H457" s="243">
        <f ca="1">SUMIF('Sales 6.2026'!B:F,'All Menu'!B457,'Sales 6.2026'!F:F)</f>
        <v>369.41800000000001</v>
      </c>
      <c r="I457" s="241"/>
      <c r="J457" s="244">
        <f>SUMIF('Finished Recipe'!B:B, B457, 'Finished Recipe'!M:M)</f>
        <v>9.01</v>
      </c>
      <c r="K457" s="244">
        <f t="shared" si="37"/>
        <v>1.9900000000000002</v>
      </c>
      <c r="L457" s="245">
        <f t="shared" si="35"/>
        <v>0.81909090909090909</v>
      </c>
      <c r="M457" s="245">
        <f t="shared" si="36"/>
        <v>0.18090909090909094</v>
      </c>
      <c r="N457" s="23"/>
    </row>
    <row r="458" spans="1:14" ht="13" hidden="1">
      <c r="A458" s="78" t="s">
        <v>2871</v>
      </c>
      <c r="B458" s="219">
        <v>60012</v>
      </c>
      <c r="C458" s="240" t="s">
        <v>1835</v>
      </c>
      <c r="D458" s="240" t="s">
        <v>1610</v>
      </c>
      <c r="E458" s="240" t="s">
        <v>297</v>
      </c>
      <c r="F458" s="284">
        <v>0</v>
      </c>
      <c r="G458" s="242">
        <v>16</v>
      </c>
      <c r="H458" s="243">
        <f ca="1">SUMIF('Sales 6.2026'!B:F,'All Menu'!B458,'Sales 6.2026'!F:F)</f>
        <v>67.436999999999998</v>
      </c>
      <c r="I458" s="241"/>
      <c r="J458" s="244">
        <f>SUMIF('Finished Recipe'!B:B, B458, 'Finished Recipe'!M:M)</f>
        <v>12.58</v>
      </c>
      <c r="K458" s="244">
        <f t="shared" si="37"/>
        <v>3.42</v>
      </c>
      <c r="L458" s="245">
        <f t="shared" si="35"/>
        <v>0.78625</v>
      </c>
      <c r="M458" s="245">
        <f t="shared" si="36"/>
        <v>0.21375</v>
      </c>
      <c r="N458" s="23"/>
    </row>
    <row r="459" spans="1:14" ht="13" hidden="1">
      <c r="A459" s="78" t="s">
        <v>3133</v>
      </c>
      <c r="B459" s="219">
        <v>60013</v>
      </c>
      <c r="C459" s="240" t="s">
        <v>1835</v>
      </c>
      <c r="D459" s="240" t="s">
        <v>1610</v>
      </c>
      <c r="E459" s="240" t="s">
        <v>1742</v>
      </c>
      <c r="F459" s="284">
        <v>0</v>
      </c>
      <c r="G459" s="242">
        <v>16</v>
      </c>
      <c r="H459" s="243">
        <f ca="1">SUMIF('Sales 6.2026'!B:F,'All Menu'!B459,'Sales 6.2026'!F:F)</f>
        <v>8.0010000000000012</v>
      </c>
      <c r="I459" s="241"/>
      <c r="J459" s="244">
        <f>SUMIF('Finished Recipe'!B:B, B459, 'Finished Recipe'!M:M)</f>
        <v>12.58</v>
      </c>
      <c r="K459" s="244">
        <f t="shared" si="37"/>
        <v>3.42</v>
      </c>
      <c r="L459" s="245">
        <f t="shared" si="35"/>
        <v>0.78625</v>
      </c>
      <c r="M459" s="245">
        <f t="shared" si="36"/>
        <v>0.21375</v>
      </c>
      <c r="N459" s="23"/>
    </row>
    <row r="460" spans="1:14" ht="13" hidden="1">
      <c r="A460" s="78" t="s">
        <v>3134</v>
      </c>
      <c r="B460" s="219">
        <v>60014</v>
      </c>
      <c r="C460" s="240" t="s">
        <v>1835</v>
      </c>
      <c r="D460" s="240" t="s">
        <v>1610</v>
      </c>
      <c r="E460" s="240" t="s">
        <v>1935</v>
      </c>
      <c r="F460" s="284">
        <v>0</v>
      </c>
      <c r="G460" s="242">
        <v>20</v>
      </c>
      <c r="H460" s="243">
        <f ca="1">SUMIF('Sales 6.2026'!B:F,'All Menu'!B460,'Sales 6.2026'!F:F)</f>
        <v>9.5</v>
      </c>
      <c r="I460" s="241"/>
      <c r="J460" s="244">
        <f>SUMIF('Finished Recipe'!B:B, B460, 'Finished Recipe'!M:M)</f>
        <v>21.5</v>
      </c>
      <c r="K460" s="244">
        <f t="shared" si="37"/>
        <v>-1.5</v>
      </c>
      <c r="L460" s="245">
        <f t="shared" si="35"/>
        <v>1.075</v>
      </c>
      <c r="M460" s="245">
        <f t="shared" si="36"/>
        <v>-7.4999999999999997E-2</v>
      </c>
      <c r="N460" s="23"/>
    </row>
    <row r="461" spans="1:14" ht="13" hidden="1">
      <c r="A461" s="78" t="s">
        <v>3135</v>
      </c>
      <c r="B461" s="219">
        <v>60015</v>
      </c>
      <c r="C461" s="240" t="s">
        <v>1835</v>
      </c>
      <c r="D461" s="240" t="s">
        <v>1610</v>
      </c>
      <c r="E461" s="240" t="s">
        <v>1612</v>
      </c>
      <c r="F461" s="284">
        <v>0</v>
      </c>
      <c r="G461" s="242">
        <v>20</v>
      </c>
      <c r="H461" s="243">
        <f ca="1">SUMIF('Sales 6.2026'!B:F,'All Menu'!B461,'Sales 6.2026'!F:F)</f>
        <v>28.770099999999999</v>
      </c>
      <c r="I461" s="241"/>
      <c r="J461" s="244">
        <f>SUMIF('Finished Recipe'!B:B, B461, 'Finished Recipe'!M:M)</f>
        <v>21.5</v>
      </c>
      <c r="K461" s="244">
        <f t="shared" si="37"/>
        <v>-1.5</v>
      </c>
      <c r="L461" s="245">
        <f t="shared" si="35"/>
        <v>1.075</v>
      </c>
      <c r="M461" s="245">
        <f t="shared" si="36"/>
        <v>-7.4999999999999997E-2</v>
      </c>
      <c r="N461" s="23"/>
    </row>
    <row r="462" spans="1:14" ht="13" hidden="1">
      <c r="A462" s="78" t="s">
        <v>3136</v>
      </c>
      <c r="B462" s="219">
        <v>60016</v>
      </c>
      <c r="C462" s="240" t="s">
        <v>1835</v>
      </c>
      <c r="D462" s="240" t="s">
        <v>1610</v>
      </c>
      <c r="E462" s="240" t="s">
        <v>1613</v>
      </c>
      <c r="F462" s="284">
        <v>0</v>
      </c>
      <c r="G462" s="242">
        <v>16</v>
      </c>
      <c r="H462" s="243">
        <f ca="1">SUMIF('Sales 6.2026'!B:F,'All Menu'!B462,'Sales 6.2026'!F:F)</f>
        <v>278.84499999999997</v>
      </c>
      <c r="I462" s="241"/>
      <c r="J462" s="244">
        <f>SUMIF('Finished Recipe'!B:B, B462, 'Finished Recipe'!M:M)</f>
        <v>12.58</v>
      </c>
      <c r="K462" s="244">
        <f t="shared" si="37"/>
        <v>3.42</v>
      </c>
      <c r="L462" s="245">
        <f t="shared" si="35"/>
        <v>0.78625</v>
      </c>
      <c r="M462" s="245">
        <f t="shared" si="36"/>
        <v>0.21375</v>
      </c>
      <c r="N462" s="23"/>
    </row>
    <row r="463" spans="1:14" ht="13" hidden="1">
      <c r="A463" s="78" t="s">
        <v>3137</v>
      </c>
      <c r="B463" s="219">
        <v>60017</v>
      </c>
      <c r="C463" s="240" t="s">
        <v>1835</v>
      </c>
      <c r="D463" s="240" t="s">
        <v>1610</v>
      </c>
      <c r="E463" s="240" t="s">
        <v>1614</v>
      </c>
      <c r="F463" s="284">
        <v>0</v>
      </c>
      <c r="G463" s="242">
        <v>14</v>
      </c>
      <c r="H463" s="243">
        <f ca="1">SUMIF('Sales 6.2026'!B:F,'All Menu'!B463,'Sales 6.2026'!F:F)</f>
        <v>81.42</v>
      </c>
      <c r="I463" s="241"/>
      <c r="J463" s="244">
        <f>SUMIF('Finished Recipe'!B:B, B463, 'Finished Recipe'!M:M)</f>
        <v>12.58</v>
      </c>
      <c r="K463" s="244">
        <f t="shared" si="37"/>
        <v>1.42</v>
      </c>
      <c r="L463" s="245">
        <f t="shared" si="35"/>
        <v>0.89857142857142858</v>
      </c>
      <c r="M463" s="245">
        <f t="shared" si="36"/>
        <v>0.10142857142857142</v>
      </c>
      <c r="N463" s="23"/>
    </row>
    <row r="464" spans="1:14" ht="13" hidden="1">
      <c r="A464" s="78" t="s">
        <v>3138</v>
      </c>
      <c r="B464" s="219">
        <v>60018</v>
      </c>
      <c r="C464" s="240" t="s">
        <v>1835</v>
      </c>
      <c r="D464" s="241" t="s">
        <v>1619</v>
      </c>
      <c r="E464" s="251" t="s">
        <v>1621</v>
      </c>
      <c r="F464" s="284">
        <v>0</v>
      </c>
      <c r="G464" s="242">
        <v>11</v>
      </c>
      <c r="H464" s="243">
        <f ca="1">SUMIF('Sales 6.2026'!B:F,'All Menu'!B464,'Sales 6.2026'!F:F)</f>
        <v>37.835099999999997</v>
      </c>
      <c r="I464" s="241"/>
      <c r="J464" s="244">
        <f>SUMIF('Finished Recipe'!B:B, B464, 'Finished Recipe'!M:M)</f>
        <v>9.01</v>
      </c>
      <c r="K464" s="244">
        <f t="shared" si="37"/>
        <v>1.9900000000000002</v>
      </c>
      <c r="L464" s="245">
        <f t="shared" si="35"/>
        <v>0.81909090909090909</v>
      </c>
      <c r="M464" s="245">
        <f t="shared" si="36"/>
        <v>0.18090909090909094</v>
      </c>
      <c r="N464" s="23"/>
    </row>
    <row r="465" spans="1:14" ht="13" hidden="1">
      <c r="A465" s="78" t="s">
        <v>2872</v>
      </c>
      <c r="B465" s="219">
        <v>60019</v>
      </c>
      <c r="C465" s="240" t="s">
        <v>1835</v>
      </c>
      <c r="D465" s="240" t="s">
        <v>1619</v>
      </c>
      <c r="E465" s="240" t="s">
        <v>294</v>
      </c>
      <c r="F465" s="284">
        <v>0</v>
      </c>
      <c r="G465" s="242">
        <v>14</v>
      </c>
      <c r="H465" s="243">
        <f ca="1">SUMIF('Sales 6.2026'!B:F,'All Menu'!B465,'Sales 6.2026'!F:F)</f>
        <v>1.04</v>
      </c>
      <c r="I465" s="241"/>
      <c r="J465" s="244">
        <f>SUMIF('Finished Recipe'!B:B, B465, 'Finished Recipe'!M:M)</f>
        <v>12.58</v>
      </c>
      <c r="K465" s="244">
        <f t="shared" si="37"/>
        <v>1.42</v>
      </c>
      <c r="L465" s="245">
        <f t="shared" si="35"/>
        <v>0.89857142857142858</v>
      </c>
      <c r="M465" s="245">
        <f t="shared" si="36"/>
        <v>0.10142857142857142</v>
      </c>
      <c r="N465" s="23"/>
    </row>
    <row r="466" spans="1:14" ht="13" hidden="1">
      <c r="A466" s="78" t="s">
        <v>3139</v>
      </c>
      <c r="B466" s="219">
        <v>60021</v>
      </c>
      <c r="C466" s="241" t="s">
        <v>1835</v>
      </c>
      <c r="D466" s="241" t="s">
        <v>1619</v>
      </c>
      <c r="E466" s="251" t="s">
        <v>1622</v>
      </c>
      <c r="F466" s="284">
        <v>0</v>
      </c>
      <c r="G466" s="242">
        <v>20</v>
      </c>
      <c r="H466" s="243">
        <f ca="1">SUMIF('Sales 6.2026'!B:F,'All Menu'!B466,'Sales 6.2026'!F:F)</f>
        <v>2.0550000000000002</v>
      </c>
      <c r="I466" s="241"/>
      <c r="J466" s="244">
        <f>SUMIF('Finished Recipe'!B:B, B466, 'Finished Recipe'!M:M)</f>
        <v>21.5</v>
      </c>
      <c r="K466" s="244">
        <f t="shared" si="37"/>
        <v>-1.5</v>
      </c>
      <c r="L466" s="245">
        <f t="shared" si="35"/>
        <v>1.075</v>
      </c>
      <c r="M466" s="245">
        <f t="shared" si="36"/>
        <v>-7.4999999999999997E-2</v>
      </c>
      <c r="N466" s="23"/>
    </row>
    <row r="467" spans="1:14" ht="13" hidden="1">
      <c r="A467" s="78" t="s">
        <v>3140</v>
      </c>
      <c r="B467" s="219">
        <v>60022</v>
      </c>
      <c r="C467" s="241" t="s">
        <v>1835</v>
      </c>
      <c r="D467" s="241" t="s">
        <v>1619</v>
      </c>
      <c r="E467" s="251" t="s">
        <v>1750</v>
      </c>
      <c r="F467" s="284">
        <v>0</v>
      </c>
      <c r="G467" s="242">
        <v>10</v>
      </c>
      <c r="H467" s="243">
        <f ca="1">SUMIF('Sales 6.2026'!B:F,'All Menu'!B467,'Sales 6.2026'!F:F)</f>
        <v>10</v>
      </c>
      <c r="I467" s="241"/>
      <c r="J467" s="244">
        <f>SUMIF('Finished Recipe'!B:B, B467, 'Finished Recipe'!M:M)</f>
        <v>9.01</v>
      </c>
      <c r="K467" s="244">
        <f t="shared" si="37"/>
        <v>0.99000000000000021</v>
      </c>
      <c r="L467" s="245">
        <f t="shared" si="35"/>
        <v>0.90100000000000002</v>
      </c>
      <c r="M467" s="245">
        <f t="shared" si="36"/>
        <v>9.9000000000000019E-2</v>
      </c>
      <c r="N467" s="23"/>
    </row>
    <row r="468" spans="1:14" ht="13" hidden="1">
      <c r="A468" s="78" t="s">
        <v>3141</v>
      </c>
      <c r="B468" s="219">
        <v>60023</v>
      </c>
      <c r="C468" s="240" t="s">
        <v>1835</v>
      </c>
      <c r="D468" s="240" t="s">
        <v>1610</v>
      </c>
      <c r="E468" s="240" t="s">
        <v>301</v>
      </c>
      <c r="F468" s="284">
        <v>0</v>
      </c>
      <c r="G468" s="242">
        <v>12</v>
      </c>
      <c r="H468" s="243">
        <f ca="1">SUMIF('Sales 6.2026'!B:F,'All Menu'!B468,'Sales 6.2026'!F:F)</f>
        <v>22.17</v>
      </c>
      <c r="I468" s="241"/>
      <c r="J468" s="244">
        <f>SUMIF('Finished Recipe'!B:B, B468, 'Finished Recipe'!M:M)</f>
        <v>9.01</v>
      </c>
      <c r="K468" s="244">
        <f t="shared" si="37"/>
        <v>2.99</v>
      </c>
      <c r="L468" s="245">
        <f t="shared" si="35"/>
        <v>0.75083333333333335</v>
      </c>
      <c r="M468" s="245">
        <f t="shared" si="36"/>
        <v>0.24916666666666668</v>
      </c>
      <c r="N468" s="23"/>
    </row>
    <row r="469" spans="1:14" ht="13" hidden="1">
      <c r="A469" s="78" t="s">
        <v>2873</v>
      </c>
      <c r="B469" s="219">
        <v>60024</v>
      </c>
      <c r="C469" s="240" t="s">
        <v>1835</v>
      </c>
      <c r="D469" s="240" t="s">
        <v>1610</v>
      </c>
      <c r="E469" s="240" t="s">
        <v>1615</v>
      </c>
      <c r="F469" s="284">
        <v>0</v>
      </c>
      <c r="G469" s="242">
        <v>12</v>
      </c>
      <c r="H469" s="243">
        <f ca="1">SUMIF('Sales 6.2026'!B:F,'All Menu'!B469,'Sales 6.2026'!F:F)</f>
        <v>507.66099999999994</v>
      </c>
      <c r="I469" s="241"/>
      <c r="J469" s="244">
        <f>SUMIF('Finished Recipe'!B:B, B469, 'Finished Recipe'!M:M)</f>
        <v>7.6017209137931037</v>
      </c>
      <c r="K469" s="244">
        <f t="shared" si="37"/>
        <v>4.3982790862068963</v>
      </c>
      <c r="L469" s="245">
        <f t="shared" si="35"/>
        <v>0.63347674281609201</v>
      </c>
      <c r="M469" s="245">
        <f t="shared" si="36"/>
        <v>0.36652325718390805</v>
      </c>
      <c r="N469" s="23"/>
    </row>
    <row r="470" spans="1:14" ht="13" hidden="1">
      <c r="A470" s="78" t="s">
        <v>2874</v>
      </c>
      <c r="B470" s="219">
        <v>60025</v>
      </c>
      <c r="C470" s="240" t="s">
        <v>1835</v>
      </c>
      <c r="D470" s="240" t="s">
        <v>1610</v>
      </c>
      <c r="E470" s="240" t="s">
        <v>1616</v>
      </c>
      <c r="F470" s="284">
        <v>0</v>
      </c>
      <c r="G470" s="242">
        <v>10</v>
      </c>
      <c r="H470" s="243">
        <f ca="1">SUMIF('Sales 6.2026'!B:F,'All Menu'!B470,'Sales 6.2026'!F:F)</f>
        <v>170.73000000000002</v>
      </c>
      <c r="I470" s="241"/>
      <c r="J470" s="244">
        <f>SUMIF('Finished Recipe'!B:B, B470, 'Finished Recipe'!M:M)</f>
        <v>5</v>
      </c>
      <c r="K470" s="244">
        <f t="shared" si="37"/>
        <v>5</v>
      </c>
      <c r="L470" s="245">
        <f t="shared" si="35"/>
        <v>0.5</v>
      </c>
      <c r="M470" s="245">
        <f t="shared" si="36"/>
        <v>0.5</v>
      </c>
      <c r="N470" s="23"/>
    </row>
    <row r="471" spans="1:14" ht="13" hidden="1">
      <c r="A471" s="78" t="s">
        <v>2875</v>
      </c>
      <c r="B471" s="219">
        <v>60026</v>
      </c>
      <c r="C471" s="241" t="s">
        <v>1835</v>
      </c>
      <c r="D471" s="241" t="s">
        <v>1624</v>
      </c>
      <c r="E471" s="251" t="s">
        <v>1751</v>
      </c>
      <c r="F471" s="284">
        <v>0</v>
      </c>
      <c r="G471" s="242">
        <v>25</v>
      </c>
      <c r="H471" s="243">
        <f ca="1">SUMIF('Sales 6.2026'!B:F,'All Menu'!B471,'Sales 6.2026'!F:F)</f>
        <v>131.30009999999999</v>
      </c>
      <c r="I471" s="241"/>
      <c r="J471" s="244">
        <f>SUMIF('Finished Recipe'!B:B, B471, 'Finished Recipe'!M:M)</f>
        <v>20.330211999999996</v>
      </c>
      <c r="K471" s="244">
        <f t="shared" si="37"/>
        <v>4.669788000000004</v>
      </c>
      <c r="L471" s="245">
        <f t="shared" si="35"/>
        <v>0.81320847999999979</v>
      </c>
      <c r="M471" s="245">
        <f t="shared" si="36"/>
        <v>0.18679152000000016</v>
      </c>
      <c r="N471" s="23"/>
    </row>
    <row r="472" spans="1:14" ht="13" hidden="1">
      <c r="A472" s="78" t="s">
        <v>2876</v>
      </c>
      <c r="B472" s="219">
        <v>60027</v>
      </c>
      <c r="C472" s="241" t="s">
        <v>1835</v>
      </c>
      <c r="D472" s="241" t="s">
        <v>1624</v>
      </c>
      <c r="E472" s="251" t="s">
        <v>1623</v>
      </c>
      <c r="F472" s="284">
        <v>0</v>
      </c>
      <c r="G472" s="242">
        <v>19</v>
      </c>
      <c r="H472" s="243">
        <f ca="1">SUMIF('Sales 6.2026'!B:F,'All Menu'!B472,'Sales 6.2026'!F:F)</f>
        <v>143.90010000000001</v>
      </c>
      <c r="I472" s="241"/>
      <c r="J472" s="244">
        <f>SUMIF('Finished Recipe'!B:B, B472, 'Finished Recipe'!M:M)</f>
        <v>13.259170242685132</v>
      </c>
      <c r="K472" s="244">
        <f t="shared" si="37"/>
        <v>5.7408297573148683</v>
      </c>
      <c r="L472" s="245">
        <f t="shared" si="35"/>
        <v>0.69785106540448061</v>
      </c>
      <c r="M472" s="245">
        <f t="shared" si="36"/>
        <v>0.30214893459551939</v>
      </c>
      <c r="N472" s="23"/>
    </row>
    <row r="473" spans="1:14" ht="13" hidden="1">
      <c r="A473" s="78" t="s">
        <v>2877</v>
      </c>
      <c r="B473" s="219">
        <v>60028</v>
      </c>
      <c r="C473" s="241" t="s">
        <v>1835</v>
      </c>
      <c r="D473" s="241" t="s">
        <v>1624</v>
      </c>
      <c r="E473" s="251" t="s">
        <v>1752</v>
      </c>
      <c r="F473" s="284">
        <v>0</v>
      </c>
      <c r="G473" s="242">
        <v>19</v>
      </c>
      <c r="H473" s="243">
        <f ca="1">SUMIF('Sales 6.2026'!B:F,'All Menu'!B473,'Sales 6.2026'!F:F)</f>
        <v>27.53</v>
      </c>
      <c r="I473" s="241"/>
      <c r="J473" s="244">
        <f>SUMIF('Finished Recipe'!B:B, B473, 'Finished Recipe'!M:M)</f>
        <v>13.664539434084606</v>
      </c>
      <c r="K473" s="244">
        <f t="shared" si="37"/>
        <v>5.335460565915394</v>
      </c>
      <c r="L473" s="245">
        <f t="shared" si="35"/>
        <v>0.719186286004453</v>
      </c>
      <c r="M473" s="245">
        <f t="shared" si="36"/>
        <v>0.28081371399554705</v>
      </c>
      <c r="N473" s="23"/>
    </row>
    <row r="474" spans="1:14" ht="13" hidden="1">
      <c r="A474" s="78" t="s">
        <v>2878</v>
      </c>
      <c r="B474" s="219">
        <v>60029</v>
      </c>
      <c r="C474" s="241" t="s">
        <v>1835</v>
      </c>
      <c r="D474" s="241" t="s">
        <v>1624</v>
      </c>
      <c r="E474" s="251" t="s">
        <v>1625</v>
      </c>
      <c r="F474" s="284">
        <v>0</v>
      </c>
      <c r="G474" s="242">
        <v>20</v>
      </c>
      <c r="H474" s="243">
        <f ca="1">SUMIF('Sales 6.2026'!B:F,'All Menu'!B474,'Sales 6.2026'!F:F)</f>
        <v>25.75</v>
      </c>
      <c r="I474" s="241"/>
      <c r="J474" s="244">
        <f>SUMIF('Finished Recipe'!B:B, B474, 'Finished Recipe'!M:M)</f>
        <v>12.540785760514565</v>
      </c>
      <c r="K474" s="244">
        <f t="shared" si="37"/>
        <v>7.4592142394854353</v>
      </c>
      <c r="L474" s="245">
        <f t="shared" si="35"/>
        <v>0.62703928802572828</v>
      </c>
      <c r="M474" s="245">
        <f t="shared" si="36"/>
        <v>0.37296071197427177</v>
      </c>
      <c r="N474" s="23"/>
    </row>
    <row r="475" spans="1:14" ht="13" hidden="1">
      <c r="A475" s="78" t="s">
        <v>3059</v>
      </c>
      <c r="B475" s="219">
        <v>60030</v>
      </c>
      <c r="C475" s="241" t="s">
        <v>1835</v>
      </c>
      <c r="D475" s="241" t="s">
        <v>1624</v>
      </c>
      <c r="E475" s="251" t="s">
        <v>1758</v>
      </c>
      <c r="F475" s="284">
        <v>0</v>
      </c>
      <c r="G475" s="242">
        <v>22</v>
      </c>
      <c r="H475" s="243">
        <f ca="1">SUMIF('Sales 6.2026'!B:F,'All Menu'!B475,'Sales 6.2026'!F:F)</f>
        <v>13.32</v>
      </c>
      <c r="I475" s="241"/>
      <c r="J475" s="244">
        <f>SUMIF('Finished Recipe'!B:B, B475, 'Finished Recipe'!M:M)</f>
        <v>9.581059597476651</v>
      </c>
      <c r="K475" s="244">
        <f t="shared" si="37"/>
        <v>12.418940402523349</v>
      </c>
      <c r="L475" s="245">
        <f t="shared" si="35"/>
        <v>0.43550270897621141</v>
      </c>
      <c r="M475" s="245">
        <f t="shared" si="36"/>
        <v>0.56449729102378854</v>
      </c>
      <c r="N475" s="179" t="s">
        <v>1941</v>
      </c>
    </row>
    <row r="476" spans="1:14" ht="13" hidden="1">
      <c r="A476" s="78" t="s">
        <v>2880</v>
      </c>
      <c r="B476" s="219">
        <v>60031</v>
      </c>
      <c r="C476" s="241" t="s">
        <v>1835</v>
      </c>
      <c r="D476" s="241" t="s">
        <v>1624</v>
      </c>
      <c r="E476" s="251" t="s">
        <v>1937</v>
      </c>
      <c r="F476" s="284">
        <v>0</v>
      </c>
      <c r="G476" s="242">
        <v>22</v>
      </c>
      <c r="H476" s="243">
        <f ca="1">SUMIF('Sales 6.2026'!B:F,'All Menu'!B476,'Sales 6.2026'!F:F)</f>
        <v>7.5500000000000007</v>
      </c>
      <c r="I476" s="241"/>
      <c r="J476" s="244">
        <f>SUMIF('Finished Recipe'!B:B, B476, 'Finished Recipe'!M:M)</f>
        <v>8.8181905284662339</v>
      </c>
      <c r="K476" s="244">
        <f t="shared" si="37"/>
        <v>13.181809471533766</v>
      </c>
      <c r="L476" s="245">
        <f t="shared" si="35"/>
        <v>0.40082684220301062</v>
      </c>
      <c r="M476" s="245">
        <f t="shared" si="36"/>
        <v>0.59917315779698932</v>
      </c>
      <c r="N476" s="179" t="s">
        <v>1941</v>
      </c>
    </row>
    <row r="477" spans="1:14" ht="13" hidden="1">
      <c r="A477" s="78" t="s">
        <v>2881</v>
      </c>
      <c r="B477" s="219">
        <v>60032</v>
      </c>
      <c r="C477" s="241" t="s">
        <v>1835</v>
      </c>
      <c r="D477" s="241" t="s">
        <v>1624</v>
      </c>
      <c r="E477" s="251" t="s">
        <v>1753</v>
      </c>
      <c r="F477" s="284">
        <v>0</v>
      </c>
      <c r="G477" s="242">
        <v>12</v>
      </c>
      <c r="H477" s="243">
        <f ca="1">SUMIF('Sales 6.2026'!B:F,'All Menu'!B477,'Sales 6.2026'!F:F)</f>
        <v>1.94</v>
      </c>
      <c r="I477" s="241"/>
      <c r="J477" s="244">
        <f>SUMIF('Finished Recipe'!B:B, B477, 'Finished Recipe'!M:M)</f>
        <v>6.1582059229208923</v>
      </c>
      <c r="K477" s="244">
        <f t="shared" si="37"/>
        <v>5.8417940770791077</v>
      </c>
      <c r="L477" s="245">
        <f t="shared" si="35"/>
        <v>0.51318382691007436</v>
      </c>
      <c r="M477" s="245">
        <f t="shared" si="36"/>
        <v>0.48681617308992564</v>
      </c>
      <c r="N477" s="23"/>
    </row>
    <row r="478" spans="1:14" ht="13" hidden="1">
      <c r="A478" s="78" t="s">
        <v>2882</v>
      </c>
      <c r="B478" s="219">
        <v>60033</v>
      </c>
      <c r="C478" s="241" t="s">
        <v>1835</v>
      </c>
      <c r="D478" s="241" t="s">
        <v>1624</v>
      </c>
      <c r="E478" s="251" t="s">
        <v>1759</v>
      </c>
      <c r="F478" s="284">
        <v>0</v>
      </c>
      <c r="G478" s="242">
        <v>14</v>
      </c>
      <c r="H478" s="243">
        <f ca="1">SUMIF('Sales 6.2026'!B:F,'All Menu'!B478,'Sales 6.2026'!F:F)</f>
        <v>1.4009999999999998</v>
      </c>
      <c r="I478" s="241"/>
      <c r="J478" s="244">
        <f>SUMIF('Finished Recipe'!B:B, B478, 'Finished Recipe'!M:M)</f>
        <v>5.7961459229208927</v>
      </c>
      <c r="K478" s="244">
        <f t="shared" si="37"/>
        <v>8.2038540770791073</v>
      </c>
      <c r="L478" s="245">
        <f t="shared" si="35"/>
        <v>0.41401042306577807</v>
      </c>
      <c r="M478" s="245">
        <f t="shared" si="36"/>
        <v>0.58598957693422193</v>
      </c>
      <c r="N478" s="23"/>
    </row>
    <row r="479" spans="1:14" ht="13" hidden="1">
      <c r="A479" s="78" t="s">
        <v>2883</v>
      </c>
      <c r="B479" s="219">
        <v>60034</v>
      </c>
      <c r="C479" s="241" t="s">
        <v>1835</v>
      </c>
      <c r="D479" s="241" t="s">
        <v>1624</v>
      </c>
      <c r="E479" s="251" t="s">
        <v>1837</v>
      </c>
      <c r="F479" s="284">
        <v>0</v>
      </c>
      <c r="G479" s="242">
        <v>7</v>
      </c>
      <c r="H479" s="243">
        <f ca="1">SUMIF('Sales 6.2026'!B:F,'All Menu'!B479,'Sales 6.2026'!F:F)</f>
        <v>5</v>
      </c>
      <c r="I479" s="241"/>
      <c r="J479" s="244">
        <f>SUMIF('Finished Recipe'!B:B, B479, 'Finished Recipe'!M:M)</f>
        <v>4.7069982955314504</v>
      </c>
      <c r="K479" s="244">
        <f t="shared" si="37"/>
        <v>2.2930017044685496</v>
      </c>
      <c r="L479" s="245">
        <f t="shared" si="35"/>
        <v>0.6724283279330644</v>
      </c>
      <c r="M479" s="245">
        <f t="shared" si="36"/>
        <v>0.32757167206693566</v>
      </c>
      <c r="N479" s="23"/>
    </row>
    <row r="480" spans="1:14" ht="13" hidden="1">
      <c r="A480" s="78" t="s">
        <v>2884</v>
      </c>
      <c r="B480" s="219">
        <v>60035</v>
      </c>
      <c r="C480" s="241" t="s">
        <v>1835</v>
      </c>
      <c r="D480" s="241" t="s">
        <v>1624</v>
      </c>
      <c r="E480" s="251" t="s">
        <v>1760</v>
      </c>
      <c r="F480" s="284">
        <v>0</v>
      </c>
      <c r="G480" s="242">
        <v>8</v>
      </c>
      <c r="H480" s="243">
        <f ca="1">SUMIF('Sales 6.2026'!B:F,'All Menu'!B480,'Sales 6.2026'!F:F)</f>
        <v>8.5</v>
      </c>
      <c r="I480" s="241"/>
      <c r="J480" s="244">
        <f>SUMIF('Finished Recipe'!B:B, B480, 'Finished Recipe'!M:M)</f>
        <v>3.3015919400000002</v>
      </c>
      <c r="K480" s="244">
        <f t="shared" si="37"/>
        <v>4.6984080600000002</v>
      </c>
      <c r="L480" s="245">
        <f t="shared" si="35"/>
        <v>0.41269899250000003</v>
      </c>
      <c r="M480" s="245">
        <f t="shared" si="36"/>
        <v>0.58730100750000003</v>
      </c>
      <c r="N480" s="23"/>
    </row>
    <row r="481" spans="1:14" ht="13" hidden="1">
      <c r="A481" s="78" t="s">
        <v>2885</v>
      </c>
      <c r="B481" s="219">
        <v>60036</v>
      </c>
      <c r="C481" s="241" t="s">
        <v>1835</v>
      </c>
      <c r="D481" s="241" t="s">
        <v>1624</v>
      </c>
      <c r="E481" s="251" t="s">
        <v>1626</v>
      </c>
      <c r="F481" s="284">
        <v>0</v>
      </c>
      <c r="G481" s="242">
        <v>13</v>
      </c>
      <c r="H481" s="243">
        <f ca="1">SUMIF('Sales 6.2026'!B:F,'All Menu'!B481,'Sales 6.2026'!F:F)</f>
        <v>73.9011</v>
      </c>
      <c r="I481" s="241"/>
      <c r="J481" s="244">
        <f>SUMIF('Finished Recipe'!B:B, B481, 'Finished Recipe'!M:M)</f>
        <v>6.165761303091827</v>
      </c>
      <c r="K481" s="244">
        <f t="shared" si="37"/>
        <v>6.834238696908173</v>
      </c>
      <c r="L481" s="245">
        <f t="shared" si="35"/>
        <v>0.47428933100706361</v>
      </c>
      <c r="M481" s="245">
        <f t="shared" si="36"/>
        <v>0.52571066899293639</v>
      </c>
      <c r="N481" s="23"/>
    </row>
    <row r="482" spans="1:14" ht="13" hidden="1">
      <c r="A482" s="78" t="s">
        <v>2886</v>
      </c>
      <c r="B482" s="219">
        <v>60037</v>
      </c>
      <c r="C482" s="241" t="s">
        <v>1835</v>
      </c>
      <c r="D482" s="241" t="s">
        <v>1624</v>
      </c>
      <c r="E482" s="251" t="s">
        <v>1838</v>
      </c>
      <c r="F482" s="284">
        <v>0</v>
      </c>
      <c r="G482" s="242">
        <v>16</v>
      </c>
      <c r="H482" s="243">
        <f ca="1">SUMIF('Sales 6.2026'!B:F,'All Menu'!B482,'Sales 6.2026'!F:F)</f>
        <v>0.7</v>
      </c>
      <c r="I482" s="241"/>
      <c r="J482" s="244">
        <f>SUMIF('Finished Recipe'!B:B, B482, 'Finished Recipe'!M:M)</f>
        <v>8.1582059229208923</v>
      </c>
      <c r="K482" s="244">
        <f t="shared" si="37"/>
        <v>7.8417940770791077</v>
      </c>
      <c r="L482" s="245">
        <f t="shared" si="35"/>
        <v>0.50988787018255577</v>
      </c>
      <c r="M482" s="245">
        <f t="shared" si="36"/>
        <v>0.49011212981744423</v>
      </c>
      <c r="N482" s="23"/>
    </row>
    <row r="483" spans="1:14" ht="13" hidden="1">
      <c r="A483" s="78" t="s">
        <v>3142</v>
      </c>
      <c r="B483" s="219">
        <v>60038</v>
      </c>
      <c r="C483" s="240" t="s">
        <v>1835</v>
      </c>
      <c r="D483" s="240" t="s">
        <v>1610</v>
      </c>
      <c r="E483" s="240" t="s">
        <v>537</v>
      </c>
      <c r="F483" s="284">
        <v>0</v>
      </c>
      <c r="G483" s="242">
        <v>14</v>
      </c>
      <c r="H483" s="243">
        <f ca="1">SUMIF('Sales 6.2026'!B:F,'All Menu'!B483,'Sales 6.2026'!F:F)</f>
        <v>8.43</v>
      </c>
      <c r="I483" s="241"/>
      <c r="J483" s="244">
        <f>SUMIF('Finished Recipe'!B:B, B483, 'Finished Recipe'!M:M)</f>
        <v>5.2698975804597694</v>
      </c>
      <c r="K483" s="244">
        <f t="shared" si="37"/>
        <v>8.7301024195402306</v>
      </c>
      <c r="L483" s="245">
        <f t="shared" si="35"/>
        <v>0.37642125574712637</v>
      </c>
      <c r="M483" s="245">
        <f t="shared" si="36"/>
        <v>0.62357874425287363</v>
      </c>
      <c r="N483" s="23"/>
    </row>
    <row r="484" spans="1:14" ht="13" hidden="1">
      <c r="A484" s="78" t="s">
        <v>3143</v>
      </c>
      <c r="B484" s="219">
        <v>60039</v>
      </c>
      <c r="C484" s="240" t="s">
        <v>1835</v>
      </c>
      <c r="D484" s="240" t="s">
        <v>1610</v>
      </c>
      <c r="E484" s="240" t="s">
        <v>1617</v>
      </c>
      <c r="F484" s="284">
        <v>0</v>
      </c>
      <c r="G484" s="242">
        <v>12</v>
      </c>
      <c r="H484" s="243">
        <f ca="1">SUMIF('Sales 6.2026'!B:F,'All Menu'!B484,'Sales 6.2026'!F:F)</f>
        <v>118.01599999999999</v>
      </c>
      <c r="I484" s="241"/>
      <c r="J484" s="244">
        <f>SUMIF('Finished Recipe'!B:B, B484, 'Finished Recipe'!M:M)</f>
        <v>9.2655342471264373</v>
      </c>
      <c r="K484" s="244">
        <f t="shared" si="37"/>
        <v>2.7344657528735627</v>
      </c>
      <c r="L484" s="245">
        <f t="shared" si="35"/>
        <v>0.77212785392720307</v>
      </c>
      <c r="M484" s="245">
        <f t="shared" si="36"/>
        <v>0.22787214607279691</v>
      </c>
      <c r="N484" s="23"/>
    </row>
    <row r="485" spans="1:14" ht="13" hidden="1">
      <c r="A485" s="78" t="s">
        <v>3144</v>
      </c>
      <c r="B485" s="219">
        <v>60040</v>
      </c>
      <c r="C485" s="240" t="s">
        <v>1835</v>
      </c>
      <c r="D485" s="241" t="s">
        <v>1610</v>
      </c>
      <c r="E485" s="251" t="s">
        <v>1743</v>
      </c>
      <c r="F485" s="284">
        <v>0</v>
      </c>
      <c r="G485" s="242">
        <v>12</v>
      </c>
      <c r="H485" s="243">
        <f ca="1">SUMIF('Sales 6.2026'!B:F,'All Menu'!B485,'Sales 6.2026'!F:F)</f>
        <v>29.6</v>
      </c>
      <c r="I485" s="241"/>
      <c r="J485" s="244">
        <f>SUMIF('Finished Recipe'!B:B, B485, 'Finished Recipe'!M:M)</f>
        <v>5.2594342471264373</v>
      </c>
      <c r="K485" s="244">
        <f t="shared" si="37"/>
        <v>6.7405657528735627</v>
      </c>
      <c r="L485" s="245">
        <f t="shared" si="35"/>
        <v>0.43828618726053642</v>
      </c>
      <c r="M485" s="245">
        <f t="shared" si="36"/>
        <v>0.56171381273946352</v>
      </c>
      <c r="N485" s="23"/>
    </row>
    <row r="486" spans="1:14" ht="13" hidden="1">
      <c r="A486" s="78" t="s">
        <v>2887</v>
      </c>
      <c r="B486" s="219">
        <v>60041</v>
      </c>
      <c r="C486" s="241" t="s">
        <v>1835</v>
      </c>
      <c r="D486" s="241" t="s">
        <v>1624</v>
      </c>
      <c r="E486" s="251" t="s">
        <v>1627</v>
      </c>
      <c r="F486" s="284">
        <v>0</v>
      </c>
      <c r="G486" s="242">
        <v>18</v>
      </c>
      <c r="H486" s="243">
        <f ca="1">SUMIF('Sales 6.2026'!B:F,'All Menu'!B486,'Sales 6.2026'!F:F)</f>
        <v>349.267</v>
      </c>
      <c r="I486" s="241"/>
      <c r="J486" s="244">
        <f>SUMIF('Finished Recipe'!B:B, B486, 'Finished Recipe'!M:M)</f>
        <v>9.5930438909447719</v>
      </c>
      <c r="K486" s="244">
        <f t="shared" si="37"/>
        <v>8.4069561090552281</v>
      </c>
      <c r="L486" s="245">
        <f t="shared" si="35"/>
        <v>0.53294688283026515</v>
      </c>
      <c r="M486" s="245">
        <f t="shared" si="36"/>
        <v>0.46705311716973491</v>
      </c>
      <c r="N486" s="23"/>
    </row>
    <row r="487" spans="1:14" ht="13" hidden="1">
      <c r="A487" s="78" t="s">
        <v>2888</v>
      </c>
      <c r="B487" s="219">
        <v>60042</v>
      </c>
      <c r="C487" s="241" t="s">
        <v>1835</v>
      </c>
      <c r="D487" s="241" t="s">
        <v>1624</v>
      </c>
      <c r="E487" s="251" t="s">
        <v>1628</v>
      </c>
      <c r="F487" s="284">
        <v>0</v>
      </c>
      <c r="G487" s="242">
        <v>18</v>
      </c>
      <c r="H487" s="243">
        <f ca="1">SUMIF('Sales 6.2026'!B:F,'All Menu'!B487,'Sales 6.2026'!F:F)</f>
        <v>11.6</v>
      </c>
      <c r="I487" s="241"/>
      <c r="J487" s="244">
        <f>SUMIF('Finished Recipe'!B:B, B487, 'Finished Recipe'!M:M)</f>
        <v>9.9282559666152714</v>
      </c>
      <c r="K487" s="244">
        <f t="shared" si="37"/>
        <v>8.0717440333847286</v>
      </c>
      <c r="L487" s="245">
        <f t="shared" si="35"/>
        <v>0.55156977592307066</v>
      </c>
      <c r="M487" s="245">
        <f t="shared" si="36"/>
        <v>0.44843022407692934</v>
      </c>
      <c r="N487" s="23"/>
    </row>
    <row r="488" spans="1:14" ht="13" hidden="1">
      <c r="A488" s="78" t="s">
        <v>2889</v>
      </c>
      <c r="B488" s="219">
        <v>60043</v>
      </c>
      <c r="C488" s="241" t="s">
        <v>1835</v>
      </c>
      <c r="D488" s="241" t="s">
        <v>1624</v>
      </c>
      <c r="E488" s="251" t="s">
        <v>1761</v>
      </c>
      <c r="F488" s="284">
        <v>0</v>
      </c>
      <c r="G488" s="242">
        <v>3</v>
      </c>
      <c r="H488" s="243">
        <f ca="1">SUMIF('Sales 6.2026'!B:F,'All Menu'!B488,'Sales 6.2026'!F:F)</f>
        <v>272.01</v>
      </c>
      <c r="I488" s="241"/>
      <c r="J488" s="244">
        <f>SUMIF('Finished Recipe'!B:B, B488, 'Finished Recipe'!M:M)</f>
        <v>0.49504962499999999</v>
      </c>
      <c r="K488" s="244">
        <f t="shared" si="37"/>
        <v>2.504950375</v>
      </c>
      <c r="L488" s="245">
        <f t="shared" si="35"/>
        <v>0.16501654166666666</v>
      </c>
      <c r="M488" s="245">
        <f t="shared" si="36"/>
        <v>0.83498345833333332</v>
      </c>
      <c r="N488" s="23"/>
    </row>
    <row r="489" spans="1:14" ht="13" hidden="1">
      <c r="A489" s="78" t="s">
        <v>2890</v>
      </c>
      <c r="B489" s="219">
        <v>60044</v>
      </c>
      <c r="C489" s="241" t="s">
        <v>1835</v>
      </c>
      <c r="D489" s="241" t="s">
        <v>1624</v>
      </c>
      <c r="E489" s="251" t="s">
        <v>1839</v>
      </c>
      <c r="F489" s="284">
        <v>0</v>
      </c>
      <c r="G489" s="242">
        <v>3</v>
      </c>
      <c r="H489" s="243">
        <f ca="1">SUMIF('Sales 6.2026'!B:F,'All Menu'!B489,'Sales 6.2026'!F:F)</f>
        <v>17</v>
      </c>
      <c r="I489" s="241"/>
      <c r="J489" s="244">
        <f>SUMIF('Finished Recipe'!B:B, B489, 'Finished Recipe'!M:M)</f>
        <v>0.53695113445881237</v>
      </c>
      <c r="K489" s="244">
        <f t="shared" si="37"/>
        <v>2.4630488655411877</v>
      </c>
      <c r="L489" s="245">
        <f t="shared" si="35"/>
        <v>0.17898371148627079</v>
      </c>
      <c r="M489" s="245">
        <f t="shared" si="36"/>
        <v>0.82101628851372921</v>
      </c>
      <c r="N489" s="23"/>
    </row>
    <row r="490" spans="1:14" ht="13" hidden="1">
      <c r="A490" s="78" t="s">
        <v>2891</v>
      </c>
      <c r="B490" s="219">
        <v>60045</v>
      </c>
      <c r="C490" s="241" t="s">
        <v>1835</v>
      </c>
      <c r="D490" s="241" t="s">
        <v>1624</v>
      </c>
      <c r="E490" s="251" t="s">
        <v>1726</v>
      </c>
      <c r="F490" s="284">
        <v>0</v>
      </c>
      <c r="G490" s="242">
        <v>0.75</v>
      </c>
      <c r="H490" s="243">
        <f ca="1">SUMIF('Sales 6.2026'!B:F,'All Menu'!B490,'Sales 6.2026'!F:F)</f>
        <v>72</v>
      </c>
      <c r="I490" s="241"/>
      <c r="J490" s="244">
        <f>SUMIF('Finished Recipe'!B:B, B490, 'Finished Recipe'!M:M)</f>
        <v>0.11097000000000001</v>
      </c>
      <c r="K490" s="244">
        <f t="shared" si="37"/>
        <v>0.63902999999999999</v>
      </c>
      <c r="L490" s="245">
        <f t="shared" si="35"/>
        <v>0.14796000000000001</v>
      </c>
      <c r="M490" s="245">
        <f t="shared" si="36"/>
        <v>0.85204000000000002</v>
      </c>
      <c r="N490" s="23"/>
    </row>
    <row r="491" spans="1:14" ht="13" hidden="1">
      <c r="A491" s="78" t="s">
        <v>2892</v>
      </c>
      <c r="B491" s="219">
        <v>60046</v>
      </c>
      <c r="C491" s="241" t="s">
        <v>1835</v>
      </c>
      <c r="D491" s="241" t="s">
        <v>1624</v>
      </c>
      <c r="E491" s="251" t="s">
        <v>1727</v>
      </c>
      <c r="F491" s="284">
        <v>0</v>
      </c>
      <c r="G491" s="242">
        <v>0.75</v>
      </c>
      <c r="H491" s="243">
        <f ca="1">SUMIF('Sales 6.2026'!B:F,'All Menu'!B491,'Sales 6.2026'!F:F)</f>
        <v>68</v>
      </c>
      <c r="I491" s="241"/>
      <c r="J491" s="244">
        <f>SUMIF('Finished Recipe'!B:B, B491, 'Finished Recipe'!M:M)</f>
        <v>0.12897</v>
      </c>
      <c r="K491" s="244">
        <f t="shared" si="37"/>
        <v>0.62102999999999997</v>
      </c>
      <c r="L491" s="245">
        <f t="shared" si="35"/>
        <v>0.17196</v>
      </c>
      <c r="M491" s="245">
        <f t="shared" si="36"/>
        <v>0.82804</v>
      </c>
      <c r="N491" s="23"/>
    </row>
    <row r="492" spans="1:14" ht="13" hidden="1">
      <c r="A492" s="78" t="s">
        <v>2893</v>
      </c>
      <c r="B492" s="219">
        <v>60047</v>
      </c>
      <c r="C492" s="241" t="s">
        <v>1835</v>
      </c>
      <c r="D492" s="241" t="s">
        <v>1624</v>
      </c>
      <c r="E492" s="251" t="s">
        <v>1420</v>
      </c>
      <c r="F492" s="284">
        <v>0</v>
      </c>
      <c r="G492" s="242">
        <v>2</v>
      </c>
      <c r="H492" s="243">
        <f ca="1">SUMIF('Sales 6.2026'!B:F,'All Menu'!B492,'Sales 6.2026'!F:F)</f>
        <v>73</v>
      </c>
      <c r="I492" s="241"/>
      <c r="J492" s="244">
        <f>SUMIF('Finished Recipe'!B:B, B492, 'Finished Recipe'!M:M)</f>
        <v>0.56896999999999998</v>
      </c>
      <c r="K492" s="244">
        <f t="shared" si="37"/>
        <v>1.43103</v>
      </c>
      <c r="L492" s="245">
        <f t="shared" si="35"/>
        <v>0.28448499999999999</v>
      </c>
      <c r="M492" s="245">
        <f t="shared" si="36"/>
        <v>0.71551500000000001</v>
      </c>
      <c r="N492" s="23"/>
    </row>
    <row r="493" spans="1:14" ht="13" hidden="1">
      <c r="A493" s="78" t="s">
        <v>2894</v>
      </c>
      <c r="B493" s="219">
        <v>60048</v>
      </c>
      <c r="C493" s="241" t="s">
        <v>1835</v>
      </c>
      <c r="D493" s="241" t="s">
        <v>1624</v>
      </c>
      <c r="E493" s="251" t="s">
        <v>1728</v>
      </c>
      <c r="F493" s="284">
        <v>0</v>
      </c>
      <c r="G493" s="242">
        <v>0.75</v>
      </c>
      <c r="H493" s="243">
        <f ca="1">SUMIF('Sales 6.2026'!B:F,'All Menu'!B493,'Sales 6.2026'!F:F)</f>
        <v>32</v>
      </c>
      <c r="I493" s="241"/>
      <c r="J493" s="244">
        <f>SUMIF('Finished Recipe'!B:B, B493, 'Finished Recipe'!M:M)</f>
        <v>0.12397</v>
      </c>
      <c r="K493" s="244">
        <f t="shared" si="37"/>
        <v>0.62602999999999998</v>
      </c>
      <c r="L493" s="245">
        <f t="shared" ref="L493:L542" si="38">J493/G493</f>
        <v>0.16529333333333332</v>
      </c>
      <c r="M493" s="245">
        <f t="shared" ref="M493:M542" si="39">K493/G493</f>
        <v>0.8347066666666666</v>
      </c>
      <c r="N493" s="23"/>
    </row>
    <row r="494" spans="1:14" ht="13" hidden="1">
      <c r="A494" s="78" t="s">
        <v>2895</v>
      </c>
      <c r="B494" s="219">
        <v>60049</v>
      </c>
      <c r="C494" s="240" t="s">
        <v>1835</v>
      </c>
      <c r="D494" s="240" t="s">
        <v>1610</v>
      </c>
      <c r="E494" s="240" t="s">
        <v>1744</v>
      </c>
      <c r="F494" s="284">
        <v>0</v>
      </c>
      <c r="G494" s="242">
        <v>6</v>
      </c>
      <c r="H494" s="243">
        <f ca="1">SUMIF('Sales 6.2026'!B:F,'All Menu'!B494,'Sales 6.2026'!F:F)</f>
        <v>254.59800000000001</v>
      </c>
      <c r="I494" s="241"/>
      <c r="J494" s="244">
        <f>SUMIF('Finished Recipe'!B:B, B494, 'Finished Recipe'!M:M)</f>
        <v>5.25</v>
      </c>
      <c r="K494" s="244">
        <f t="shared" si="37"/>
        <v>0.75</v>
      </c>
      <c r="L494" s="245">
        <f t="shared" si="38"/>
        <v>0.875</v>
      </c>
      <c r="M494" s="245">
        <f t="shared" si="39"/>
        <v>0.125</v>
      </c>
      <c r="N494" s="23"/>
    </row>
    <row r="495" spans="1:14" ht="13" hidden="1">
      <c r="A495" s="78" t="s">
        <v>3145</v>
      </c>
      <c r="B495" s="219">
        <v>60050</v>
      </c>
      <c r="C495" s="240" t="s">
        <v>1835</v>
      </c>
      <c r="D495" s="240" t="s">
        <v>1610</v>
      </c>
      <c r="E495" s="240" t="s">
        <v>1745</v>
      </c>
      <c r="F495" s="284">
        <v>0</v>
      </c>
      <c r="G495" s="242">
        <v>5.75</v>
      </c>
      <c r="H495" s="243">
        <f ca="1">SUMIF('Sales 6.2026'!B:F,'All Menu'!B495,'Sales 6.2026'!F:F)</f>
        <v>213.5</v>
      </c>
      <c r="I495" s="241"/>
      <c r="J495" s="244">
        <f>SUMIF('Finished Recipe'!B:B, B495, 'Finished Recipe'!M:M)</f>
        <v>5.0999999999999996</v>
      </c>
      <c r="K495" s="244">
        <f t="shared" si="37"/>
        <v>0.65000000000000036</v>
      </c>
      <c r="L495" s="245">
        <f t="shared" si="38"/>
        <v>0.88695652173913042</v>
      </c>
      <c r="M495" s="245">
        <f t="shared" si="39"/>
        <v>0.11304347826086962</v>
      </c>
      <c r="N495" s="23"/>
    </row>
    <row r="496" spans="1:14" ht="13" hidden="1">
      <c r="A496" s="78" t="s">
        <v>3146</v>
      </c>
      <c r="B496" s="219">
        <v>60053</v>
      </c>
      <c r="C496" s="241" t="s">
        <v>1835</v>
      </c>
      <c r="D496" s="241" t="s">
        <v>1619</v>
      </c>
      <c r="E496" s="251" t="s">
        <v>1914</v>
      </c>
      <c r="F496" s="284">
        <v>0</v>
      </c>
      <c r="G496" s="242">
        <v>10</v>
      </c>
      <c r="H496" s="243">
        <f ca="1">SUMIF('Sales 6.2026'!B:F,'All Menu'!B496,'Sales 6.2026'!F:F)</f>
        <v>103.83499999999999</v>
      </c>
      <c r="I496" s="241"/>
      <c r="J496" s="244">
        <f>SUMIF('Finished Recipe'!B:B, B496, 'Finished Recipe'!M:M)</f>
        <v>9.01</v>
      </c>
      <c r="K496" s="244">
        <f t="shared" si="37"/>
        <v>0.99000000000000021</v>
      </c>
      <c r="L496" s="245">
        <f t="shared" si="38"/>
        <v>0.90100000000000002</v>
      </c>
      <c r="M496" s="245">
        <f t="shared" si="39"/>
        <v>9.9000000000000019E-2</v>
      </c>
      <c r="N496" s="23"/>
    </row>
    <row r="497" spans="1:14" ht="13" hidden="1">
      <c r="A497" s="78" t="s">
        <v>2378</v>
      </c>
      <c r="B497" s="219">
        <v>60054</v>
      </c>
      <c r="C497" s="241" t="s">
        <v>1835</v>
      </c>
      <c r="D497" s="241" t="s">
        <v>1630</v>
      </c>
      <c r="E497" s="241" t="s">
        <v>801</v>
      </c>
      <c r="F497" s="284">
        <v>0</v>
      </c>
      <c r="G497" s="242">
        <v>10</v>
      </c>
      <c r="H497" s="243">
        <f ca="1">SUMIF('Sales 6.2026'!B:F,'All Menu'!B497,'Sales 6.2026'!F:F)</f>
        <v>2.29</v>
      </c>
      <c r="I497" s="241"/>
      <c r="J497" s="244">
        <f>SUMIF('Finished Recipe'!B:B, B497, 'Finished Recipe'!M:M)</f>
        <v>3.2840802125553341</v>
      </c>
      <c r="K497" s="244">
        <f t="shared" si="37"/>
        <v>6.7159197874446654</v>
      </c>
      <c r="L497" s="245">
        <f t="shared" si="38"/>
        <v>0.32840802125553342</v>
      </c>
      <c r="M497" s="245">
        <f t="shared" si="39"/>
        <v>0.67159197874446652</v>
      </c>
      <c r="N497" s="23"/>
    </row>
    <row r="498" spans="1:14" ht="13" hidden="1">
      <c r="A498" s="78" t="s">
        <v>2896</v>
      </c>
      <c r="B498" s="219">
        <v>60056</v>
      </c>
      <c r="C498" s="240" t="s">
        <v>1835</v>
      </c>
      <c r="D498" s="240" t="s">
        <v>1610</v>
      </c>
      <c r="E498" s="240" t="s">
        <v>1849</v>
      </c>
      <c r="F498" s="284">
        <v>0</v>
      </c>
      <c r="G498" s="242">
        <v>26</v>
      </c>
      <c r="H498" s="243">
        <f ca="1">SUMIF('Sales 6.2026'!B:F,'All Menu'!B498,'Sales 6.2026'!F:F)</f>
        <v>23.61</v>
      </c>
      <c r="I498" s="241"/>
      <c r="J498" s="244">
        <f>SUMIF('Finished Recipe'!B:B, B498, 'Finished Recipe'!M:M)</f>
        <v>26.874999999999996</v>
      </c>
      <c r="K498" s="244">
        <f t="shared" si="37"/>
        <v>-0.87499999999999645</v>
      </c>
      <c r="L498" s="245">
        <f t="shared" si="38"/>
        <v>1.033653846153846</v>
      </c>
      <c r="M498" s="245">
        <f t="shared" si="39"/>
        <v>-3.365384615384602E-2</v>
      </c>
      <c r="N498" s="23"/>
    </row>
    <row r="499" spans="1:14" ht="13" hidden="1">
      <c r="A499" s="78" t="s">
        <v>3147</v>
      </c>
      <c r="B499" s="219">
        <v>60057</v>
      </c>
      <c r="C499" s="240" t="s">
        <v>1835</v>
      </c>
      <c r="D499" s="240" t="s">
        <v>1610</v>
      </c>
      <c r="E499" s="240" t="s">
        <v>1795</v>
      </c>
      <c r="F499" s="284">
        <v>0</v>
      </c>
      <c r="G499" s="242">
        <v>22</v>
      </c>
      <c r="H499" s="243">
        <f ca="1">SUMIF('Sales 6.2026'!B:F,'All Menu'!B499,'Sales 6.2026'!F:F)</f>
        <v>7.18</v>
      </c>
      <c r="I499" s="241"/>
      <c r="J499" s="244">
        <f>SUMIF('Finished Recipe'!B:B, B499, 'Finished Recipe'!M:M)</f>
        <v>17.25</v>
      </c>
      <c r="K499" s="244">
        <f t="shared" si="37"/>
        <v>4.75</v>
      </c>
      <c r="L499" s="245">
        <f t="shared" si="38"/>
        <v>0.78409090909090906</v>
      </c>
      <c r="M499" s="245">
        <f t="shared" si="39"/>
        <v>0.21590909090909091</v>
      </c>
      <c r="N499" s="23"/>
    </row>
    <row r="500" spans="1:14" ht="13" hidden="1">
      <c r="A500" s="78" t="s">
        <v>3148</v>
      </c>
      <c r="B500" s="219">
        <v>60058</v>
      </c>
      <c r="C500" s="240" t="s">
        <v>1835</v>
      </c>
      <c r="D500" s="240" t="s">
        <v>1610</v>
      </c>
      <c r="E500" s="240" t="s">
        <v>1850</v>
      </c>
      <c r="F500" s="284">
        <v>0</v>
      </c>
      <c r="G500" s="242">
        <v>24</v>
      </c>
      <c r="H500" s="243">
        <f ca="1">SUMIF('Sales 6.2026'!B:F,'All Menu'!B500,'Sales 6.2026'!F:F)</f>
        <v>0.5</v>
      </c>
      <c r="I500" s="241"/>
      <c r="J500" s="244">
        <f>SUMIF('Finished Recipe'!B:B, B500, 'Finished Recipe'!M:M)</f>
        <v>26.874999999999996</v>
      </c>
      <c r="K500" s="244">
        <f t="shared" si="37"/>
        <v>-2.8749999999999964</v>
      </c>
      <c r="L500" s="245">
        <f t="shared" si="38"/>
        <v>1.1197916666666665</v>
      </c>
      <c r="M500" s="245">
        <f t="shared" si="39"/>
        <v>-0.11979166666666652</v>
      </c>
      <c r="N500" s="23"/>
    </row>
    <row r="501" spans="1:14" ht="13" hidden="1">
      <c r="A501" s="78" t="s">
        <v>3149</v>
      </c>
      <c r="B501" s="219">
        <v>60059</v>
      </c>
      <c r="C501" s="241" t="s">
        <v>1835</v>
      </c>
      <c r="D501" s="241" t="s">
        <v>1619</v>
      </c>
      <c r="E501" s="251" t="s">
        <v>1836</v>
      </c>
      <c r="F501" s="284">
        <v>0</v>
      </c>
      <c r="G501" s="242">
        <v>12</v>
      </c>
      <c r="H501" s="243">
        <f ca="1">SUMIF('Sales 6.2026'!B:F,'All Menu'!B501,'Sales 6.2026'!F:F)</f>
        <v>222.86100000000002</v>
      </c>
      <c r="I501" s="241"/>
      <c r="J501" s="244">
        <f>SUMIF('Finished Recipe'!B:B, B501, 'Finished Recipe'!M:M)</f>
        <v>11.039193820514564</v>
      </c>
      <c r="K501" s="244">
        <f t="shared" si="37"/>
        <v>0.96080617948543612</v>
      </c>
      <c r="L501" s="245">
        <f t="shared" si="38"/>
        <v>0.91993281837621366</v>
      </c>
      <c r="M501" s="245">
        <f t="shared" si="39"/>
        <v>8.0067181623786343E-2</v>
      </c>
      <c r="N501" s="23"/>
    </row>
    <row r="502" spans="1:14" ht="13">
      <c r="A502" s="78" t="s">
        <v>3150</v>
      </c>
      <c r="B502" s="219">
        <v>60068</v>
      </c>
      <c r="C502" s="240" t="s">
        <v>1835</v>
      </c>
      <c r="D502" s="240" t="s">
        <v>1610</v>
      </c>
      <c r="E502" s="240" t="s">
        <v>1746</v>
      </c>
      <c r="F502" s="284">
        <v>0</v>
      </c>
      <c r="G502" s="242">
        <v>9</v>
      </c>
      <c r="H502" s="243">
        <f ca="1">SUMIF('Sales 6.2026'!B:F,'All Menu'!B502,'Sales 6.2026'!F:F)</f>
        <v>1</v>
      </c>
      <c r="I502" s="241"/>
      <c r="J502" s="244">
        <f>SUMIF('Finished Recipe'!B:B, B502, 'Finished Recipe'!M:M)</f>
        <v>5.3839858563218392</v>
      </c>
      <c r="K502" s="244">
        <f t="shared" si="37"/>
        <v>3.6160141436781608</v>
      </c>
      <c r="L502" s="245">
        <f t="shared" si="38"/>
        <v>0.59822065070242658</v>
      </c>
      <c r="M502" s="245">
        <f t="shared" si="39"/>
        <v>0.40177934929757342</v>
      </c>
      <c r="N502" s="23"/>
    </row>
    <row r="503" spans="1:14" ht="13" hidden="1">
      <c r="A503" s="78" t="s">
        <v>2897</v>
      </c>
      <c r="B503" s="219">
        <v>60071</v>
      </c>
      <c r="C503" s="241" t="s">
        <v>1835</v>
      </c>
      <c r="D503" s="241" t="s">
        <v>1624</v>
      </c>
      <c r="E503" s="251" t="s">
        <v>1798</v>
      </c>
      <c r="F503" s="284">
        <v>0</v>
      </c>
      <c r="G503" s="242">
        <v>14</v>
      </c>
      <c r="H503" s="243">
        <f ca="1">SUMIF('Sales 6.2026'!B:F,'All Menu'!B503,'Sales 6.2026'!F:F)</f>
        <v>1.8</v>
      </c>
      <c r="I503" s="241"/>
      <c r="J503" s="244">
        <f>SUMIF('Finished Recipe'!B:B, B503, 'Finished Recipe'!M:M)</f>
        <v>8.7466547635841145</v>
      </c>
      <c r="K503" s="244">
        <f t="shared" si="37"/>
        <v>5.2533452364158855</v>
      </c>
      <c r="L503" s="245">
        <f t="shared" si="38"/>
        <v>0.62476105454172248</v>
      </c>
      <c r="M503" s="245">
        <f t="shared" si="39"/>
        <v>0.37523894545827752</v>
      </c>
      <c r="N503" s="23"/>
    </row>
    <row r="504" spans="1:14" ht="13" hidden="1">
      <c r="A504" s="78" t="s">
        <v>2898</v>
      </c>
      <c r="B504" s="219">
        <v>60072</v>
      </c>
      <c r="C504" s="241" t="s">
        <v>1835</v>
      </c>
      <c r="D504" s="241" t="s">
        <v>1624</v>
      </c>
      <c r="E504" s="241" t="s">
        <v>1842</v>
      </c>
      <c r="F504" s="284">
        <v>0</v>
      </c>
      <c r="G504" s="242">
        <v>7.5</v>
      </c>
      <c r="H504" s="243">
        <f ca="1">SUMIF('Sales 6.2026'!B:F,'All Menu'!B504,'Sales 6.2026'!F:F)</f>
        <v>8</v>
      </c>
      <c r="I504" s="241"/>
      <c r="J504" s="244">
        <f>SUMIF('Finished Recipe'!B:B, B504, 'Finished Recipe'!M:M)</f>
        <v>4.3045469570707064</v>
      </c>
      <c r="K504" s="244">
        <f t="shared" si="37"/>
        <v>3.1954530429292936</v>
      </c>
      <c r="L504" s="245">
        <f t="shared" si="38"/>
        <v>0.5739395942760942</v>
      </c>
      <c r="M504" s="245">
        <f t="shared" si="39"/>
        <v>0.4260604057239058</v>
      </c>
      <c r="N504" s="23"/>
    </row>
    <row r="505" spans="1:14" ht="13" hidden="1">
      <c r="A505" s="78" t="s">
        <v>2899</v>
      </c>
      <c r="B505" s="219">
        <v>60073</v>
      </c>
      <c r="C505" s="241" t="s">
        <v>1835</v>
      </c>
      <c r="D505" s="241" t="s">
        <v>1624</v>
      </c>
      <c r="E505" s="241" t="s">
        <v>1843</v>
      </c>
      <c r="F505" s="284">
        <v>0</v>
      </c>
      <c r="G505" s="242">
        <v>14</v>
      </c>
      <c r="H505" s="243">
        <f ca="1">SUMIF('Sales 6.2026'!B:F,'All Menu'!B505,'Sales 6.2026'!F:F)</f>
        <v>1.4</v>
      </c>
      <c r="I505" s="241"/>
      <c r="J505" s="244">
        <f>SUMIF('Finished Recipe'!B:B, B505, 'Finished Recipe'!M:M)</f>
        <v>8.1603612158282317</v>
      </c>
      <c r="K505" s="244">
        <f t="shared" si="37"/>
        <v>5.8396387841717683</v>
      </c>
      <c r="L505" s="245">
        <f t="shared" si="38"/>
        <v>0.58288294398773088</v>
      </c>
      <c r="M505" s="245">
        <f t="shared" si="39"/>
        <v>0.41711705601226917</v>
      </c>
      <c r="N505" s="23"/>
    </row>
    <row r="506" spans="1:14" ht="13" hidden="1">
      <c r="A506" s="78" t="s">
        <v>2900</v>
      </c>
      <c r="B506" s="219">
        <v>60074</v>
      </c>
      <c r="C506" s="241" t="s">
        <v>1835</v>
      </c>
      <c r="D506" s="241" t="s">
        <v>1624</v>
      </c>
      <c r="E506" s="241" t="s">
        <v>1792</v>
      </c>
      <c r="F506" s="284">
        <v>0</v>
      </c>
      <c r="G506" s="242">
        <v>7.5</v>
      </c>
      <c r="H506" s="243">
        <f ca="1">SUMIF('Sales 6.2026'!B:F,'All Menu'!B506,'Sales 6.2026'!F:F)</f>
        <v>7</v>
      </c>
      <c r="I506" s="241"/>
      <c r="J506" s="244">
        <f>SUMIF('Finished Recipe'!B:B, B506, 'Finished Recipe'!M:M)</f>
        <v>4.4378070831923502</v>
      </c>
      <c r="K506" s="244">
        <f t="shared" si="37"/>
        <v>3.0621929168076498</v>
      </c>
      <c r="L506" s="245">
        <f t="shared" si="38"/>
        <v>0.5917076110923134</v>
      </c>
      <c r="M506" s="245">
        <f t="shared" si="39"/>
        <v>0.40829238890768665</v>
      </c>
      <c r="N506" s="23"/>
    </row>
    <row r="507" spans="1:14" ht="13" hidden="1">
      <c r="A507" s="78" t="s">
        <v>2901</v>
      </c>
      <c r="B507" s="219">
        <v>60075</v>
      </c>
      <c r="C507" s="241" t="s">
        <v>1835</v>
      </c>
      <c r="D507" s="241" t="s">
        <v>1624</v>
      </c>
      <c r="E507" s="241" t="s">
        <v>1762</v>
      </c>
      <c r="F507" s="284">
        <v>0</v>
      </c>
      <c r="G507" s="242">
        <v>22</v>
      </c>
      <c r="H507" s="243">
        <f ca="1">SUMIF('Sales 6.2026'!B:F,'All Menu'!B507,'Sales 6.2026'!F:F)</f>
        <v>0.5</v>
      </c>
      <c r="I507" s="241"/>
      <c r="J507" s="244">
        <f>SUMIF('Finished Recipe'!B:B, B507, 'Finished Recipe'!M:M)</f>
        <v>8.4558017241379293</v>
      </c>
      <c r="K507" s="244">
        <f t="shared" si="37"/>
        <v>13.544198275862071</v>
      </c>
      <c r="L507" s="245">
        <f t="shared" si="38"/>
        <v>0.38435462382445135</v>
      </c>
      <c r="M507" s="245">
        <f t="shared" si="39"/>
        <v>0.61564537617554871</v>
      </c>
      <c r="N507" s="23"/>
    </row>
    <row r="508" spans="1:14" ht="13" hidden="1">
      <c r="A508" s="78" t="s">
        <v>2902</v>
      </c>
      <c r="B508" s="219">
        <v>60076</v>
      </c>
      <c r="C508" s="241" t="s">
        <v>1835</v>
      </c>
      <c r="D508" s="241" t="s">
        <v>1624</v>
      </c>
      <c r="E508" s="241" t="s">
        <v>1844</v>
      </c>
      <c r="F508" s="284">
        <v>0</v>
      </c>
      <c r="G508" s="242">
        <v>12</v>
      </c>
      <c r="H508" s="243">
        <f ca="1">SUMIF('Sales 6.2026'!B:F,'All Menu'!B508,'Sales 6.2026'!F:F)</f>
        <v>0</v>
      </c>
      <c r="I508" s="241"/>
      <c r="J508" s="244">
        <f>SUMIF('Finished Recipe'!B:B, B508, 'Finished Recipe'!M:M)</f>
        <v>4.4471226436781608</v>
      </c>
      <c r="K508" s="244">
        <f t="shared" si="37"/>
        <v>7.5528773563218392</v>
      </c>
      <c r="L508" s="245">
        <f t="shared" si="38"/>
        <v>0.37059355363984675</v>
      </c>
      <c r="M508" s="245">
        <f t="shared" si="39"/>
        <v>0.6294064463601533</v>
      </c>
      <c r="N508" s="23"/>
    </row>
    <row r="509" spans="1:14" ht="13" hidden="1">
      <c r="A509" s="78" t="s">
        <v>2903</v>
      </c>
      <c r="B509" s="219">
        <v>60078</v>
      </c>
      <c r="C509" s="241" t="s">
        <v>1835</v>
      </c>
      <c r="D509" s="241" t="s">
        <v>1624</v>
      </c>
      <c r="E509" s="241" t="s">
        <v>1845</v>
      </c>
      <c r="F509" s="284">
        <v>0</v>
      </c>
      <c r="G509" s="242">
        <v>12</v>
      </c>
      <c r="H509" s="243">
        <f ca="1">SUMIF('Sales 6.2026'!B:F,'All Menu'!B509,'Sales 6.2026'!F:F)</f>
        <v>0</v>
      </c>
      <c r="I509" s="241"/>
      <c r="J509" s="244">
        <f>SUMIF('Finished Recipe'!B:B, B509, 'Finished Recipe'!M:M)</f>
        <v>4.4858376436781606</v>
      </c>
      <c r="K509" s="244">
        <f t="shared" ref="K509:K556" si="40">G509-J509</f>
        <v>7.5141623563218394</v>
      </c>
      <c r="L509" s="245">
        <f t="shared" si="38"/>
        <v>0.37381980363984674</v>
      </c>
      <c r="M509" s="245">
        <f t="shared" si="39"/>
        <v>0.62618019636015332</v>
      </c>
      <c r="N509" s="23"/>
    </row>
    <row r="510" spans="1:14" ht="13" hidden="1">
      <c r="A510" s="78" t="s">
        <v>2904</v>
      </c>
      <c r="B510" s="219">
        <v>60079</v>
      </c>
      <c r="C510" s="241" t="s">
        <v>1835</v>
      </c>
      <c r="D510" s="241" t="s">
        <v>1624</v>
      </c>
      <c r="E510" s="241" t="s">
        <v>1778</v>
      </c>
      <c r="F510" s="284">
        <v>0</v>
      </c>
      <c r="G510" s="242">
        <v>14</v>
      </c>
      <c r="H510" s="243">
        <f ca="1">SUMIF('Sales 6.2026'!B:F,'All Menu'!B510,'Sales 6.2026'!F:F)</f>
        <v>0</v>
      </c>
      <c r="I510" s="241"/>
      <c r="J510" s="244">
        <f>SUMIF('Finished Recipe'!B:B, B510, 'Finished Recipe'!M:M)</f>
        <v>6.0648999013100973</v>
      </c>
      <c r="K510" s="244">
        <f t="shared" si="40"/>
        <v>7.9351000986899027</v>
      </c>
      <c r="L510" s="245">
        <f t="shared" si="38"/>
        <v>0.43320713580786407</v>
      </c>
      <c r="M510" s="245">
        <f t="shared" si="39"/>
        <v>0.56679286419213593</v>
      </c>
      <c r="N510" s="23"/>
    </row>
    <row r="511" spans="1:14" ht="13" hidden="1">
      <c r="A511" s="78" t="s">
        <v>2905</v>
      </c>
      <c r="B511" s="219">
        <v>60085</v>
      </c>
      <c r="C511" s="240" t="s">
        <v>1835</v>
      </c>
      <c r="D511" s="241" t="s">
        <v>1610</v>
      </c>
      <c r="E511" s="251" t="s">
        <v>1747</v>
      </c>
      <c r="F511" s="284">
        <v>0</v>
      </c>
      <c r="G511" s="242">
        <v>22</v>
      </c>
      <c r="H511" s="243">
        <f ca="1">SUMIF('Sales 6.2026'!B:F,'All Menu'!B511,'Sales 6.2026'!F:F)</f>
        <v>7.8900000000000006</v>
      </c>
      <c r="I511" s="241"/>
      <c r="J511" s="244">
        <f>SUMIF('Finished Recipe'!B:B, B511, 'Finished Recipe'!M:M)</f>
        <v>16.958120913793103</v>
      </c>
      <c r="K511" s="244">
        <f t="shared" si="40"/>
        <v>5.0418790862068974</v>
      </c>
      <c r="L511" s="245">
        <f t="shared" si="38"/>
        <v>0.77082367789968653</v>
      </c>
      <c r="M511" s="245">
        <f t="shared" si="39"/>
        <v>0.22917632210031352</v>
      </c>
      <c r="N511" s="23"/>
    </row>
    <row r="512" spans="1:14" ht="13" hidden="1">
      <c r="A512" s="78" t="s">
        <v>2906</v>
      </c>
      <c r="B512" s="219">
        <v>60086</v>
      </c>
      <c r="C512" s="240" t="s">
        <v>1835</v>
      </c>
      <c r="D512" s="241" t="s">
        <v>1610</v>
      </c>
      <c r="E512" s="251" t="s">
        <v>1748</v>
      </c>
      <c r="F512" s="284">
        <v>0</v>
      </c>
      <c r="G512" s="242">
        <v>14</v>
      </c>
      <c r="H512" s="243">
        <f ca="1">SUMIF('Sales 6.2026'!B:F,'All Menu'!B512,'Sales 6.2026'!F:F)</f>
        <v>11.84</v>
      </c>
      <c r="I512" s="241"/>
      <c r="J512" s="244">
        <f>SUMIF('Finished Recipe'!B:B, B512, 'Finished Recipe'!M:M)</f>
        <v>12.58</v>
      </c>
      <c r="K512" s="244">
        <f t="shared" si="40"/>
        <v>1.42</v>
      </c>
      <c r="L512" s="245">
        <f t="shared" si="38"/>
        <v>0.89857142857142858</v>
      </c>
      <c r="M512" s="245">
        <f t="shared" si="39"/>
        <v>0.10142857142857142</v>
      </c>
      <c r="N512" s="23"/>
    </row>
    <row r="513" spans="1:14" ht="13" hidden="1">
      <c r="A513" s="78" t="s">
        <v>3151</v>
      </c>
      <c r="B513" s="219">
        <v>60087</v>
      </c>
      <c r="C513" s="240" t="s">
        <v>1835</v>
      </c>
      <c r="D513" s="240" t="s">
        <v>1610</v>
      </c>
      <c r="E513" s="240" t="s">
        <v>1749</v>
      </c>
      <c r="F513" s="284">
        <v>0</v>
      </c>
      <c r="G513" s="242">
        <v>24</v>
      </c>
      <c r="H513" s="243">
        <f ca="1">SUMIF('Sales 6.2026'!B:F,'All Menu'!B513,'Sales 6.2026'!F:F)</f>
        <v>0</v>
      </c>
      <c r="I513" s="241"/>
      <c r="J513" s="244">
        <f>SUMIF('Finished Recipe'!B:B, B513, 'Finished Recipe'!M:M)</f>
        <v>21.5</v>
      </c>
      <c r="K513" s="244">
        <f t="shared" si="40"/>
        <v>2.5</v>
      </c>
      <c r="L513" s="245">
        <f t="shared" si="38"/>
        <v>0.89583333333333337</v>
      </c>
      <c r="M513" s="245">
        <f t="shared" si="39"/>
        <v>0.10416666666666667</v>
      </c>
      <c r="N513" s="23"/>
    </row>
    <row r="514" spans="1:14" ht="13" hidden="1">
      <c r="A514" s="78" t="s">
        <v>3152</v>
      </c>
      <c r="B514" s="219">
        <v>60088</v>
      </c>
      <c r="C514" s="241" t="s">
        <v>1835</v>
      </c>
      <c r="D514" s="241" t="s">
        <v>1619</v>
      </c>
      <c r="E514" s="251" t="s">
        <v>1915</v>
      </c>
      <c r="F514" s="284">
        <v>0</v>
      </c>
      <c r="G514" s="242">
        <v>9.5</v>
      </c>
      <c r="H514" s="243">
        <f ca="1">SUMIF('Sales 6.2026'!B:F,'All Menu'!B514,'Sales 6.2026'!F:F)</f>
        <v>0</v>
      </c>
      <c r="I514" s="241"/>
      <c r="J514" s="244">
        <f>SUMIF('Finished Recipe'!B:B, B514, 'Finished Recipe'!M:M)</f>
        <v>11.039193820514564</v>
      </c>
      <c r="K514" s="244">
        <f t="shared" si="40"/>
        <v>-1.5391938205145639</v>
      </c>
      <c r="L514" s="245">
        <f t="shared" si="38"/>
        <v>1.1620204021594278</v>
      </c>
      <c r="M514" s="245">
        <f t="shared" si="39"/>
        <v>-0.16202040215942778</v>
      </c>
      <c r="N514" s="23"/>
    </row>
    <row r="515" spans="1:14" ht="13" hidden="1">
      <c r="A515" s="78" t="s">
        <v>2907</v>
      </c>
      <c r="B515" s="219">
        <v>60089</v>
      </c>
      <c r="C515" s="240" t="s">
        <v>1835</v>
      </c>
      <c r="D515" s="240" t="s">
        <v>1610</v>
      </c>
      <c r="E515" s="240" t="s">
        <v>1942</v>
      </c>
      <c r="F515" s="284">
        <v>0</v>
      </c>
      <c r="G515" s="242">
        <v>14.5</v>
      </c>
      <c r="H515" s="243">
        <f ca="1">SUMIF('Sales 6.2026'!B:F,'All Menu'!B515,'Sales 6.2026'!F:F)</f>
        <v>0</v>
      </c>
      <c r="I515" s="241"/>
      <c r="J515" s="244">
        <f>SUMIF('Finished Recipe'!B:B, B515, 'Finished Recipe'!M:M)</f>
        <v>11.039193820514564</v>
      </c>
      <c r="K515" s="244">
        <f t="shared" si="40"/>
        <v>3.4608061794854361</v>
      </c>
      <c r="L515" s="245">
        <f t="shared" si="38"/>
        <v>0.7613237117596251</v>
      </c>
      <c r="M515" s="245">
        <f t="shared" si="39"/>
        <v>0.2386762882403749</v>
      </c>
      <c r="N515" s="23"/>
    </row>
    <row r="516" spans="1:14" ht="13" hidden="1">
      <c r="A516" s="78" t="s">
        <v>2879</v>
      </c>
      <c r="B516" s="219">
        <v>60090</v>
      </c>
      <c r="C516" s="241" t="s">
        <v>1835</v>
      </c>
      <c r="D516" s="241" t="s">
        <v>1624</v>
      </c>
      <c r="E516" s="241" t="s">
        <v>1754</v>
      </c>
      <c r="F516" s="284">
        <v>0</v>
      </c>
      <c r="G516" s="242">
        <v>20</v>
      </c>
      <c r="H516" s="243">
        <f ca="1">SUMIF('Sales 6.2026'!B:F,'All Menu'!B516,'Sales 6.2026'!F:F)</f>
        <v>2.72</v>
      </c>
      <c r="I516" s="241"/>
      <c r="J516" s="244">
        <f>SUMIF('Finished Recipe'!B:B, B516, 'Finished Recipe'!M:M)</f>
        <v>8.4789046549479163</v>
      </c>
      <c r="K516" s="244">
        <f t="shared" si="40"/>
        <v>11.521095345052084</v>
      </c>
      <c r="L516" s="245">
        <f t="shared" si="38"/>
        <v>0.42394523274739582</v>
      </c>
      <c r="M516" s="245">
        <f t="shared" si="39"/>
        <v>0.57605476725260418</v>
      </c>
      <c r="N516" s="23"/>
    </row>
    <row r="517" spans="1:14" ht="13" hidden="1">
      <c r="A517" s="78" t="s">
        <v>2908</v>
      </c>
      <c r="B517" s="219">
        <v>60100</v>
      </c>
      <c r="C517" s="241" t="s">
        <v>1835</v>
      </c>
      <c r="D517" s="241" t="s">
        <v>1624</v>
      </c>
      <c r="E517" s="241" t="s">
        <v>1846</v>
      </c>
      <c r="F517" s="284">
        <v>0</v>
      </c>
      <c r="G517" s="242">
        <v>20</v>
      </c>
      <c r="H517" s="243">
        <f ca="1">SUMIF('Sales 6.2026'!B:F,'All Menu'!B517,'Sales 6.2026'!F:F)</f>
        <v>1.07</v>
      </c>
      <c r="I517" s="241"/>
      <c r="J517" s="244">
        <f>SUMIF('Finished Recipe'!B:B, B517, 'Finished Recipe'!M:M)</f>
        <v>7.6586855859374996</v>
      </c>
      <c r="K517" s="244">
        <f t="shared" si="40"/>
        <v>12.3413144140625</v>
      </c>
      <c r="L517" s="245">
        <f t="shared" si="38"/>
        <v>0.38293427929687496</v>
      </c>
      <c r="M517" s="245">
        <f t="shared" si="39"/>
        <v>0.61706572070312504</v>
      </c>
      <c r="N517" s="23"/>
    </row>
    <row r="518" spans="1:14" ht="13" hidden="1">
      <c r="A518" s="78" t="s">
        <v>2909</v>
      </c>
      <c r="B518" s="219">
        <v>203070</v>
      </c>
      <c r="C518" s="241" t="s">
        <v>1835</v>
      </c>
      <c r="D518" s="241" t="s">
        <v>1624</v>
      </c>
      <c r="E518" s="251" t="s">
        <v>1840</v>
      </c>
      <c r="F518" s="284">
        <v>0</v>
      </c>
      <c r="G518" s="242">
        <v>2</v>
      </c>
      <c r="H518" s="243">
        <f ca="1">SUMIF('Sales 6.2026'!B:F,'All Menu'!B518,'Sales 6.2026'!F:F)</f>
        <v>2</v>
      </c>
      <c r="I518" s="241"/>
      <c r="J518" s="244">
        <f>SUMIF('Finished Recipe'!B:B, B518, 'Finished Recipe'!M:M)</f>
        <v>0.23579365079365081</v>
      </c>
      <c r="K518" s="244">
        <f t="shared" si="40"/>
        <v>1.7642063492063491</v>
      </c>
      <c r="L518" s="245">
        <f t="shared" si="38"/>
        <v>0.1178968253968254</v>
      </c>
      <c r="M518" s="245">
        <f t="shared" si="39"/>
        <v>0.88210317460317456</v>
      </c>
      <c r="N518" s="23"/>
    </row>
    <row r="519" spans="1:14" ht="13" hidden="1">
      <c r="A519" s="78" t="s">
        <v>3153</v>
      </c>
      <c r="B519" s="219">
        <v>204050</v>
      </c>
      <c r="C519" s="240" t="s">
        <v>1835</v>
      </c>
      <c r="D519" s="240" t="s">
        <v>1504</v>
      </c>
      <c r="E519" s="240" t="s">
        <v>1503</v>
      </c>
      <c r="F519" s="284">
        <v>0</v>
      </c>
      <c r="G519" s="242">
        <v>1</v>
      </c>
      <c r="H519" s="243">
        <f ca="1">SUMIF('Sales 6.2026'!B:F,'All Menu'!B519,'Sales 6.2026'!F:F)</f>
        <v>246.5</v>
      </c>
      <c r="I519" s="241"/>
      <c r="J519" s="244">
        <f>SUMIF('Finished Recipe'!B:B, B519, 'Finished Recipe'!M:M)</f>
        <v>0</v>
      </c>
      <c r="K519" s="244">
        <f t="shared" si="40"/>
        <v>1</v>
      </c>
      <c r="L519" s="245">
        <f t="shared" si="38"/>
        <v>0</v>
      </c>
      <c r="M519" s="245">
        <f t="shared" si="39"/>
        <v>1</v>
      </c>
      <c r="N519" s="23"/>
    </row>
    <row r="520" spans="1:14" ht="13" hidden="1">
      <c r="A520" s="78" t="s">
        <v>3154</v>
      </c>
      <c r="B520" s="219" t="s">
        <v>1978</v>
      </c>
      <c r="C520" s="241" t="s">
        <v>1835</v>
      </c>
      <c r="D520" s="241" t="s">
        <v>2000</v>
      </c>
      <c r="E520" s="241" t="s">
        <v>1991</v>
      </c>
      <c r="F520" s="284">
        <v>0</v>
      </c>
      <c r="G520" s="242">
        <v>255</v>
      </c>
      <c r="H520" s="243">
        <f ca="1">SUMIF('Sales 6.2026'!B:F,'All Menu'!B520,'Sales 6.2026'!F:F)</f>
        <v>0</v>
      </c>
      <c r="I520" s="241"/>
      <c r="J520" s="244">
        <f>SUMIF('Finished Recipe'!B:B, B520, 'Finished Recipe'!M:M)</f>
        <v>0</v>
      </c>
      <c r="K520" s="244">
        <f t="shared" si="40"/>
        <v>255</v>
      </c>
      <c r="L520" s="245">
        <f t="shared" si="38"/>
        <v>0</v>
      </c>
      <c r="M520" s="246">
        <f t="shared" si="39"/>
        <v>1</v>
      </c>
      <c r="N520" s="23"/>
    </row>
    <row r="521" spans="1:14" ht="13" hidden="1">
      <c r="A521" s="78" t="s">
        <v>3155</v>
      </c>
      <c r="B521" s="219" t="s">
        <v>1979</v>
      </c>
      <c r="C521" s="241" t="s">
        <v>1835</v>
      </c>
      <c r="D521" s="241" t="s">
        <v>2000</v>
      </c>
      <c r="E521" s="241" t="s">
        <v>1992</v>
      </c>
      <c r="F521" s="284">
        <v>0</v>
      </c>
      <c r="G521" s="242">
        <v>285</v>
      </c>
      <c r="H521" s="243">
        <f ca="1">SUMIF('Sales 6.2026'!B:F,'All Menu'!B521,'Sales 6.2026'!F:F)</f>
        <v>2</v>
      </c>
      <c r="I521" s="241"/>
      <c r="J521" s="244">
        <f>SUMIF('Finished Recipe'!B:B, B521, 'Finished Recipe'!M:M)</f>
        <v>0</v>
      </c>
      <c r="K521" s="244">
        <f t="shared" si="40"/>
        <v>285</v>
      </c>
      <c r="L521" s="245">
        <f t="shared" si="38"/>
        <v>0</v>
      </c>
      <c r="M521" s="246">
        <f t="shared" si="39"/>
        <v>1</v>
      </c>
      <c r="N521" s="23"/>
    </row>
    <row r="522" spans="1:14" ht="13" hidden="1">
      <c r="A522" s="78" t="s">
        <v>3156</v>
      </c>
      <c r="B522" s="219" t="s">
        <v>1980</v>
      </c>
      <c r="C522" s="241" t="s">
        <v>1835</v>
      </c>
      <c r="D522" s="241" t="s">
        <v>2000</v>
      </c>
      <c r="E522" s="241" t="s">
        <v>1993</v>
      </c>
      <c r="F522" s="284">
        <v>0</v>
      </c>
      <c r="G522" s="242">
        <v>7</v>
      </c>
      <c r="H522" s="243">
        <f ca="1">SUMIF('Sales 6.2026'!B:F,'All Menu'!B522,'Sales 6.2026'!F:F)</f>
        <v>120</v>
      </c>
      <c r="I522" s="241"/>
      <c r="J522" s="244">
        <f>SUMIF('Finished Recipe'!B:B, B522, 'Finished Recipe'!M:M)</f>
        <v>0</v>
      </c>
      <c r="K522" s="244">
        <f t="shared" si="40"/>
        <v>7</v>
      </c>
      <c r="L522" s="245">
        <f t="shared" si="38"/>
        <v>0</v>
      </c>
      <c r="M522" s="246">
        <f t="shared" si="39"/>
        <v>1</v>
      </c>
      <c r="N522" s="23"/>
    </row>
    <row r="523" spans="1:14" ht="13" hidden="1">
      <c r="A523" s="78" t="s">
        <v>3157</v>
      </c>
      <c r="B523" s="219" t="s">
        <v>1981</v>
      </c>
      <c r="C523" s="241" t="s">
        <v>1835</v>
      </c>
      <c r="D523" s="241" t="s">
        <v>2000</v>
      </c>
      <c r="E523" s="241" t="s">
        <v>1994</v>
      </c>
      <c r="F523" s="284">
        <v>0</v>
      </c>
      <c r="G523" s="242">
        <v>255</v>
      </c>
      <c r="H523" s="243">
        <f ca="1">SUMIF('Sales 6.2026'!B:F,'All Menu'!B523,'Sales 6.2026'!F:F)</f>
        <v>0</v>
      </c>
      <c r="I523" s="241"/>
      <c r="J523" s="244">
        <f>SUMIF('Finished Recipe'!B:B, B523, 'Finished Recipe'!M:M)</f>
        <v>0</v>
      </c>
      <c r="K523" s="244">
        <f t="shared" si="40"/>
        <v>255</v>
      </c>
      <c r="L523" s="245">
        <f t="shared" si="38"/>
        <v>0</v>
      </c>
      <c r="M523" s="246">
        <f t="shared" si="39"/>
        <v>1</v>
      </c>
      <c r="N523" s="23"/>
    </row>
    <row r="524" spans="1:14" ht="13" hidden="1">
      <c r="A524" s="78" t="s">
        <v>3158</v>
      </c>
      <c r="B524" s="219" t="s">
        <v>1982</v>
      </c>
      <c r="C524" s="241" t="s">
        <v>1835</v>
      </c>
      <c r="D524" s="241" t="s">
        <v>2000</v>
      </c>
      <c r="E524" s="241" t="s">
        <v>1995</v>
      </c>
      <c r="F524" s="284">
        <v>0</v>
      </c>
      <c r="G524" s="242">
        <v>285</v>
      </c>
      <c r="H524" s="243">
        <f ca="1">SUMIF('Sales 6.2026'!B:F,'All Menu'!B524,'Sales 6.2026'!F:F)</f>
        <v>0</v>
      </c>
      <c r="I524" s="241"/>
      <c r="J524" s="244">
        <f>SUMIF('Finished Recipe'!B:B, B524, 'Finished Recipe'!M:M)</f>
        <v>0</v>
      </c>
      <c r="K524" s="244">
        <f t="shared" si="40"/>
        <v>285</v>
      </c>
      <c r="L524" s="245">
        <f t="shared" si="38"/>
        <v>0</v>
      </c>
      <c r="M524" s="246">
        <f t="shared" si="39"/>
        <v>1</v>
      </c>
      <c r="N524" s="23"/>
    </row>
    <row r="525" spans="1:14" ht="13" hidden="1">
      <c r="A525" s="78" t="s">
        <v>3159</v>
      </c>
      <c r="B525" s="219" t="s">
        <v>1983</v>
      </c>
      <c r="C525" s="241" t="s">
        <v>1835</v>
      </c>
      <c r="D525" s="241" t="s">
        <v>2000</v>
      </c>
      <c r="E525" s="241" t="s">
        <v>1996</v>
      </c>
      <c r="F525" s="284">
        <v>0</v>
      </c>
      <c r="G525" s="242">
        <v>7</v>
      </c>
      <c r="H525" s="243">
        <f ca="1">SUMIF('Sales 6.2026'!B:F,'All Menu'!B525,'Sales 6.2026'!F:F)</f>
        <v>2283</v>
      </c>
      <c r="I525" s="241"/>
      <c r="J525" s="244">
        <f>SUMIF('Finished Recipe'!B:B, B525, 'Finished Recipe'!M:M)</f>
        <v>0</v>
      </c>
      <c r="K525" s="244">
        <f t="shared" si="40"/>
        <v>7</v>
      </c>
      <c r="L525" s="245">
        <f t="shared" si="38"/>
        <v>0</v>
      </c>
      <c r="M525" s="246">
        <f t="shared" si="39"/>
        <v>1</v>
      </c>
      <c r="N525" s="23"/>
    </row>
    <row r="526" spans="1:14" ht="13" hidden="1">
      <c r="A526" s="78" t="s">
        <v>3160</v>
      </c>
      <c r="B526" s="219" t="s">
        <v>1985</v>
      </c>
      <c r="C526" s="241" t="s">
        <v>1835</v>
      </c>
      <c r="D526" s="241" t="s">
        <v>2000</v>
      </c>
      <c r="E526" s="241" t="s">
        <v>1998</v>
      </c>
      <c r="F526" s="284">
        <v>0</v>
      </c>
      <c r="G526" s="242">
        <v>4.5</v>
      </c>
      <c r="H526" s="243">
        <f ca="1">SUMIF('Sales 6.2026'!B:F,'All Menu'!B526,'Sales 6.2026'!F:F)</f>
        <v>0</v>
      </c>
      <c r="I526" s="241"/>
      <c r="J526" s="244">
        <f>SUMIF('Finished Recipe'!B:B, B526, 'Finished Recipe'!M:M)</f>
        <v>0</v>
      </c>
      <c r="K526" s="244">
        <f t="shared" si="40"/>
        <v>4.5</v>
      </c>
      <c r="L526" s="245">
        <f t="shared" si="38"/>
        <v>0</v>
      </c>
      <c r="M526" s="246">
        <f t="shared" si="39"/>
        <v>1</v>
      </c>
      <c r="N526" s="23"/>
    </row>
    <row r="527" spans="1:14" ht="13" hidden="1">
      <c r="A527" s="78" t="s">
        <v>3161</v>
      </c>
      <c r="B527" s="219" t="s">
        <v>1279</v>
      </c>
      <c r="C527" s="241" t="s">
        <v>1835</v>
      </c>
      <c r="D527" s="241" t="s">
        <v>1630</v>
      </c>
      <c r="E527" s="241" t="s">
        <v>1767</v>
      </c>
      <c r="F527" s="284">
        <v>0</v>
      </c>
      <c r="G527" s="242">
        <v>3</v>
      </c>
      <c r="H527" s="243">
        <f ca="1">SUMIF('Sales 6.2026'!B:F,'All Menu'!B527,'Sales 6.2026'!F:F)</f>
        <v>2</v>
      </c>
      <c r="I527" s="241"/>
      <c r="J527" s="244">
        <f>SUMIF('Finished Recipe'!B:B, B527, 'Finished Recipe'!M:M)</f>
        <v>1.5426662000000002</v>
      </c>
      <c r="K527" s="244">
        <f t="shared" si="40"/>
        <v>1.4573337999999998</v>
      </c>
      <c r="L527" s="245">
        <f t="shared" si="38"/>
        <v>0.5142220666666667</v>
      </c>
      <c r="M527" s="245">
        <f t="shared" si="39"/>
        <v>0.48577793333333324</v>
      </c>
      <c r="N527" s="23"/>
    </row>
    <row r="528" spans="1:14" ht="13" hidden="1">
      <c r="A528" s="78" t="s">
        <v>3162</v>
      </c>
      <c r="B528" s="219" t="s">
        <v>1893</v>
      </c>
      <c r="C528" s="240" t="s">
        <v>1835</v>
      </c>
      <c r="D528" s="240" t="s">
        <v>1851</v>
      </c>
      <c r="E528" s="240" t="s">
        <v>1894</v>
      </c>
      <c r="F528" s="284">
        <v>0</v>
      </c>
      <c r="G528" s="242">
        <v>4.5</v>
      </c>
      <c r="H528" s="243">
        <f ca="1">SUMIF('Sales 6.2026'!B:F,'All Menu'!B528,'Sales 6.2026'!F:F)</f>
        <v>5</v>
      </c>
      <c r="I528" s="241"/>
      <c r="J528" s="244">
        <f>SUMIF('Finished Recipe'!B:B, B528, 'Finished Recipe'!M:M)</f>
        <v>2.7208427777777779</v>
      </c>
      <c r="K528" s="244">
        <f t="shared" si="40"/>
        <v>1.7791572222222221</v>
      </c>
      <c r="L528" s="245">
        <f t="shared" si="38"/>
        <v>0.60463172839506174</v>
      </c>
      <c r="M528" s="245">
        <f t="shared" si="39"/>
        <v>0.39536827160493826</v>
      </c>
      <c r="N528" s="23"/>
    </row>
    <row r="529" spans="1:14" ht="13" hidden="1">
      <c r="A529" s="78" t="s">
        <v>2910</v>
      </c>
      <c r="B529" s="219" t="s">
        <v>1282</v>
      </c>
      <c r="C529" s="241" t="s">
        <v>1835</v>
      </c>
      <c r="D529" s="241" t="s">
        <v>1624</v>
      </c>
      <c r="E529" s="241" t="s">
        <v>1755</v>
      </c>
      <c r="F529" s="284">
        <v>0</v>
      </c>
      <c r="G529" s="242">
        <v>1.5</v>
      </c>
      <c r="H529" s="243">
        <f ca="1">SUMIF('Sales 6.2026'!B:F,'All Menu'!B529,'Sales 6.2026'!F:F)</f>
        <v>10</v>
      </c>
      <c r="I529" s="241"/>
      <c r="J529" s="244">
        <f>SUMIF('Finished Recipe'!B:B, B529, 'Finished Recipe'!M:M)</f>
        <v>1.5</v>
      </c>
      <c r="K529" s="244">
        <f t="shared" si="40"/>
        <v>0</v>
      </c>
      <c r="L529" s="245">
        <f t="shared" si="38"/>
        <v>1</v>
      </c>
      <c r="M529" s="245">
        <f t="shared" si="39"/>
        <v>0</v>
      </c>
      <c r="N529" s="23"/>
    </row>
    <row r="530" spans="1:14" ht="13" hidden="1">
      <c r="A530" s="78" t="s">
        <v>2183</v>
      </c>
      <c r="B530" s="219" t="s">
        <v>1283</v>
      </c>
      <c r="C530" s="241" t="s">
        <v>1835</v>
      </c>
      <c r="D530" s="241" t="s">
        <v>1624</v>
      </c>
      <c r="E530" s="241" t="s">
        <v>1756</v>
      </c>
      <c r="F530" s="284">
        <v>0</v>
      </c>
      <c r="G530" s="242">
        <v>4.5</v>
      </c>
      <c r="H530" s="243">
        <f ca="1">SUMIF('Sales 6.2026'!B:F,'All Menu'!B530,'Sales 6.2026'!F:F)</f>
        <v>15</v>
      </c>
      <c r="I530" s="241"/>
      <c r="J530" s="244">
        <f>SUMIF('Finished Recipe'!B:B, B530, 'Finished Recipe'!M:M)</f>
        <v>2.7160000000000002</v>
      </c>
      <c r="K530" s="244">
        <f t="shared" si="40"/>
        <v>1.7839999999999998</v>
      </c>
      <c r="L530" s="245">
        <f t="shared" si="38"/>
        <v>0.60355555555555562</v>
      </c>
      <c r="M530" s="245">
        <f t="shared" si="39"/>
        <v>0.39644444444444438</v>
      </c>
      <c r="N530" s="23"/>
    </row>
    <row r="531" spans="1:14" ht="13" hidden="1">
      <c r="A531" s="78" t="s">
        <v>2911</v>
      </c>
      <c r="B531" s="219" t="s">
        <v>1284</v>
      </c>
      <c r="C531" s="241" t="s">
        <v>1835</v>
      </c>
      <c r="D531" s="241" t="s">
        <v>1624</v>
      </c>
      <c r="E531" s="241" t="s">
        <v>1757</v>
      </c>
      <c r="F531" s="284">
        <v>0</v>
      </c>
      <c r="G531" s="242">
        <v>7</v>
      </c>
      <c r="H531" s="243">
        <f ca="1">SUMIF('Sales 6.2026'!B:F,'All Menu'!B531,'Sales 6.2026'!F:F)</f>
        <v>12</v>
      </c>
      <c r="I531" s="241"/>
      <c r="J531" s="244">
        <f>SUMIF('Finished Recipe'!B:B, B531, 'Finished Recipe'!M:M)</f>
        <v>0.3664</v>
      </c>
      <c r="K531" s="244">
        <f t="shared" si="40"/>
        <v>6.6336000000000004</v>
      </c>
      <c r="L531" s="245">
        <f t="shared" si="38"/>
        <v>5.2342857142857142E-2</v>
      </c>
      <c r="M531" s="245">
        <f t="shared" si="39"/>
        <v>0.94765714285714286</v>
      </c>
      <c r="N531" s="23"/>
    </row>
    <row r="532" spans="1:14" ht="13" hidden="1">
      <c r="A532" s="78" t="s">
        <v>2306</v>
      </c>
      <c r="B532" s="219" t="s">
        <v>1285</v>
      </c>
      <c r="C532" s="241" t="s">
        <v>1835</v>
      </c>
      <c r="D532" s="241" t="s">
        <v>1624</v>
      </c>
      <c r="E532" s="241" t="s">
        <v>321</v>
      </c>
      <c r="F532" s="284">
        <v>0</v>
      </c>
      <c r="G532" s="242">
        <v>1</v>
      </c>
      <c r="H532" s="243">
        <f ca="1">SUMIF('Sales 6.2026'!B:F,'All Menu'!B532,'Sales 6.2026'!F:F)</f>
        <v>13</v>
      </c>
      <c r="I532" s="241"/>
      <c r="J532" s="244">
        <f>SUMIF('Finished Recipe'!B:B, B532, 'Finished Recipe'!M:M)</f>
        <v>0.79</v>
      </c>
      <c r="K532" s="244">
        <f t="shared" si="40"/>
        <v>0.20999999999999996</v>
      </c>
      <c r="L532" s="245">
        <f t="shared" si="38"/>
        <v>0.79</v>
      </c>
      <c r="M532" s="245">
        <f t="shared" si="39"/>
        <v>0.20999999999999996</v>
      </c>
      <c r="N532" s="23"/>
    </row>
    <row r="533" spans="1:14" ht="13" hidden="1">
      <c r="A533" s="78" t="s">
        <v>2324</v>
      </c>
      <c r="B533" s="219" t="s">
        <v>1952</v>
      </c>
      <c r="C533" s="241" t="s">
        <v>1835</v>
      </c>
      <c r="D533" s="241" t="s">
        <v>1624</v>
      </c>
      <c r="E533" s="241" t="s">
        <v>1953</v>
      </c>
      <c r="F533" s="284">
        <v>0</v>
      </c>
      <c r="G533" s="242">
        <v>1.5</v>
      </c>
      <c r="H533" s="243">
        <f ca="1">SUMIF('Sales 6.2026'!B:F,'All Menu'!B533,'Sales 6.2026'!F:F)</f>
        <v>7</v>
      </c>
      <c r="I533" s="241"/>
      <c r="J533" s="244">
        <f>SUMIF('Finished Recipe'!B:B, B533, 'Finished Recipe'!M:M)</f>
        <v>0.7</v>
      </c>
      <c r="K533" s="244">
        <f t="shared" si="40"/>
        <v>0.8</v>
      </c>
      <c r="L533" s="245">
        <f t="shared" si="38"/>
        <v>0.46666666666666662</v>
      </c>
      <c r="M533" s="246">
        <f t="shared" si="39"/>
        <v>0.53333333333333333</v>
      </c>
      <c r="N533" s="23"/>
    </row>
    <row r="534" spans="1:14" ht="13" hidden="1">
      <c r="A534" s="78" t="s">
        <v>2912</v>
      </c>
      <c r="B534" s="219" t="s">
        <v>1961</v>
      </c>
      <c r="C534" s="241" t="s">
        <v>1835</v>
      </c>
      <c r="D534" s="241" t="s">
        <v>1624</v>
      </c>
      <c r="E534" s="241" t="s">
        <v>1966</v>
      </c>
      <c r="F534" s="284">
        <v>0</v>
      </c>
      <c r="G534" s="242">
        <v>19.850000000000001</v>
      </c>
      <c r="H534" s="243">
        <f ca="1">SUMIF('Sales 6.2026'!B:F,'All Menu'!B534,'Sales 6.2026'!F:F)</f>
        <v>5</v>
      </c>
      <c r="I534" s="241"/>
      <c r="J534" s="244">
        <f>SUMIF('Finished Recipe'!B:B, B534, 'Finished Recipe'!M:M)</f>
        <v>16.244582771598072</v>
      </c>
      <c r="K534" s="244">
        <f t="shared" si="40"/>
        <v>3.6054172284019295</v>
      </c>
      <c r="L534" s="245">
        <f t="shared" si="38"/>
        <v>0.81836689025682974</v>
      </c>
      <c r="M534" s="245">
        <f t="shared" si="39"/>
        <v>0.18163310974317023</v>
      </c>
    </row>
    <row r="535" spans="1:14" ht="13" hidden="1">
      <c r="A535" s="78" t="s">
        <v>2913</v>
      </c>
      <c r="B535" s="219" t="s">
        <v>1962</v>
      </c>
      <c r="C535" s="241" t="s">
        <v>1835</v>
      </c>
      <c r="D535" s="241" t="s">
        <v>1624</v>
      </c>
      <c r="E535" s="241" t="s">
        <v>1964</v>
      </c>
      <c r="F535" s="284">
        <v>0</v>
      </c>
      <c r="G535" s="242">
        <v>9.85</v>
      </c>
      <c r="H535" s="243">
        <f ca="1">SUMIF('Sales 6.2026'!B:F,'All Menu'!B535,'Sales 6.2026'!F:F)</f>
        <v>5.4</v>
      </c>
      <c r="I535" s="241"/>
      <c r="J535" s="244">
        <f>SUMIF('Finished Recipe'!B:B, B535, 'Finished Recipe'!M:M)</f>
        <v>6.6868945417130146</v>
      </c>
      <c r="K535" s="244">
        <f t="shared" si="40"/>
        <v>3.1631054582869851</v>
      </c>
      <c r="L535" s="245">
        <f t="shared" si="38"/>
        <v>0.67887254230588978</v>
      </c>
      <c r="M535" s="245">
        <f t="shared" si="39"/>
        <v>0.32112745769411016</v>
      </c>
    </row>
    <row r="536" spans="1:14" ht="13" hidden="1">
      <c r="A536" s="78" t="s">
        <v>2914</v>
      </c>
      <c r="B536" s="219" t="s">
        <v>1963</v>
      </c>
      <c r="C536" s="241" t="s">
        <v>1835</v>
      </c>
      <c r="D536" s="241" t="s">
        <v>1624</v>
      </c>
      <c r="E536" s="241" t="s">
        <v>1967</v>
      </c>
      <c r="F536" s="284">
        <v>0</v>
      </c>
      <c r="G536" s="242">
        <v>19.850000000000001</v>
      </c>
      <c r="H536" s="243">
        <f ca="1">SUMIF('Sales 6.2026'!B:F,'All Menu'!B536,'Sales 6.2026'!F:F)</f>
        <v>4.5</v>
      </c>
      <c r="I536" s="241"/>
      <c r="J536" s="244">
        <f>SUMIF('Finished Recipe'!B:B, B536, 'Finished Recipe'!M:M)</f>
        <v>14.174101438264739</v>
      </c>
      <c r="K536" s="244">
        <f t="shared" si="40"/>
        <v>5.6758985617352629</v>
      </c>
      <c r="L536" s="245">
        <f t="shared" si="38"/>
        <v>0.71406052585716562</v>
      </c>
      <c r="M536" s="245">
        <f t="shared" si="39"/>
        <v>0.28593947414283438</v>
      </c>
    </row>
    <row r="537" spans="1:14" ht="13" hidden="1">
      <c r="A537" s="78" t="s">
        <v>2915</v>
      </c>
      <c r="B537" s="232">
        <v>1223965891925</v>
      </c>
      <c r="C537" s="241" t="s">
        <v>1871</v>
      </c>
      <c r="D537" s="241" t="s">
        <v>1705</v>
      </c>
      <c r="E537" s="285" t="s">
        <v>1928</v>
      </c>
      <c r="F537" s="284">
        <v>0</v>
      </c>
      <c r="G537" s="242">
        <v>4.3491136309067686</v>
      </c>
      <c r="H537" s="243">
        <f ca="1">SUMIF('Sales 6.2026'!B:F,'All Menu'!B537,'Sales 6.2026'!F:F)</f>
        <v>13</v>
      </c>
      <c r="I537" s="241"/>
      <c r="J537" s="244">
        <f>SUMIF('Finished Recipe'!B:B, B537, 'Finished Recipe'!M:M)</f>
        <v>3.3018352231800763</v>
      </c>
      <c r="K537" s="244">
        <f t="shared" si="40"/>
        <v>1.0472784077266923</v>
      </c>
      <c r="L537" s="245">
        <f t="shared" si="38"/>
        <v>0.7591972763635656</v>
      </c>
      <c r="M537" s="245">
        <f t="shared" si="39"/>
        <v>0.2408027236364344</v>
      </c>
      <c r="N537" s="23"/>
    </row>
    <row r="538" spans="1:14" ht="13" hidden="1">
      <c r="A538" s="78" t="s">
        <v>2916</v>
      </c>
      <c r="B538" s="232">
        <v>1223965891928</v>
      </c>
      <c r="C538" s="241" t="s">
        <v>1871</v>
      </c>
      <c r="D538" s="241" t="s">
        <v>1705</v>
      </c>
      <c r="E538" s="285" t="s">
        <v>1929</v>
      </c>
      <c r="F538" s="284">
        <v>0</v>
      </c>
      <c r="G538" s="242">
        <v>6.8220636496886495</v>
      </c>
      <c r="H538" s="243">
        <f ca="1">SUMIF('Sales 6.2026'!B:F,'All Menu'!B538,'Sales 6.2026'!F:F)</f>
        <v>111</v>
      </c>
      <c r="I538" s="241"/>
      <c r="J538" s="244">
        <f>SUMIF('Finished Recipe'!B:B, B538, 'Finished Recipe'!M:M)</f>
        <v>4.6379191516516514</v>
      </c>
      <c r="K538" s="244">
        <f t="shared" si="40"/>
        <v>2.1841444980369982</v>
      </c>
      <c r="L538" s="245">
        <f t="shared" si="38"/>
        <v>0.67984108472270266</v>
      </c>
      <c r="M538" s="245">
        <f t="shared" si="39"/>
        <v>0.32015891527729734</v>
      </c>
      <c r="N538" s="23"/>
    </row>
    <row r="539" spans="1:14" ht="13" hidden="1">
      <c r="A539" s="78" t="s">
        <v>2917</v>
      </c>
      <c r="B539" s="232">
        <v>1223965891929</v>
      </c>
      <c r="C539" s="241" t="s">
        <v>1871</v>
      </c>
      <c r="D539" s="241" t="s">
        <v>1705</v>
      </c>
      <c r="E539" s="285" t="s">
        <v>1930</v>
      </c>
      <c r="F539" s="284">
        <v>0</v>
      </c>
      <c r="G539" s="242">
        <v>5.9109100780998691</v>
      </c>
      <c r="H539" s="243">
        <f ca="1">SUMIF('Sales 6.2026'!B:F,'All Menu'!B539,'Sales 6.2026'!F:F)</f>
        <v>94</v>
      </c>
      <c r="I539" s="241"/>
      <c r="J539" s="244">
        <f>SUMIF('Finished Recipe'!B:B, B539, 'Finished Recipe'!M:M)</f>
        <v>3.8412006515459138</v>
      </c>
      <c r="K539" s="244">
        <f t="shared" si="40"/>
        <v>2.0697094265539553</v>
      </c>
      <c r="L539" s="245">
        <f t="shared" si="38"/>
        <v>0.64984927884078258</v>
      </c>
      <c r="M539" s="245">
        <f t="shared" si="39"/>
        <v>0.35015072115921742</v>
      </c>
      <c r="N539" s="23"/>
    </row>
    <row r="540" spans="1:14" ht="13" hidden="1">
      <c r="A540" s="78" t="s">
        <v>2918</v>
      </c>
      <c r="B540" s="232">
        <v>1223965891930</v>
      </c>
      <c r="C540" s="241" t="s">
        <v>1871</v>
      </c>
      <c r="D540" s="241" t="s">
        <v>1705</v>
      </c>
      <c r="E540" s="285" t="s">
        <v>1931</v>
      </c>
      <c r="F540" s="284">
        <v>0</v>
      </c>
      <c r="G540" s="242">
        <v>12.696725342785053</v>
      </c>
      <c r="H540" s="243">
        <f ca="1">SUMIF('Sales 6.2026'!B:F,'All Menu'!B540,'Sales 6.2026'!F:F)</f>
        <v>153</v>
      </c>
      <c r="I540" s="241"/>
      <c r="J540" s="244">
        <f>SUMIF('Finished Recipe'!B:B, B540, 'Finished Recipe'!M:M)</f>
        <v>9.9118654356602196</v>
      </c>
      <c r="K540" s="244">
        <f t="shared" si="40"/>
        <v>2.784859907124833</v>
      </c>
      <c r="L540" s="245">
        <f t="shared" si="38"/>
        <v>0.78066313699482071</v>
      </c>
      <c r="M540" s="245">
        <f t="shared" si="39"/>
        <v>0.21933686300517927</v>
      </c>
      <c r="N540" s="23"/>
    </row>
    <row r="541" spans="1:14" ht="13" hidden="1">
      <c r="A541" s="78" t="s">
        <v>2919</v>
      </c>
      <c r="B541" s="219" t="s">
        <v>1264</v>
      </c>
      <c r="C541" s="241" t="s">
        <v>1871</v>
      </c>
      <c r="D541" s="241" t="s">
        <v>1705</v>
      </c>
      <c r="E541" s="285" t="s">
        <v>1704</v>
      </c>
      <c r="F541" s="284">
        <v>0</v>
      </c>
      <c r="G541" s="242">
        <v>16.760051334028681</v>
      </c>
      <c r="H541" s="243">
        <f ca="1">SUMIF('Sales 6.2026'!B:F,'All Menu'!B541,'Sales 6.2026'!F:F)</f>
        <v>825</v>
      </c>
      <c r="I541" s="241"/>
      <c r="J541" s="244">
        <f>SUMIF('Finished Recipe'!B:B, B541, 'Finished Recipe'!M:M)</f>
        <v>11.779040583849017</v>
      </c>
      <c r="K541" s="244">
        <f t="shared" si="40"/>
        <v>4.9810107501796637</v>
      </c>
      <c r="L541" s="245">
        <f t="shared" si="38"/>
        <v>0.7028045648006761</v>
      </c>
      <c r="M541" s="245">
        <f t="shared" si="39"/>
        <v>0.29719543519932395</v>
      </c>
      <c r="N541" s="23"/>
    </row>
    <row r="542" spans="1:14" ht="13" hidden="1">
      <c r="A542" s="78" t="s">
        <v>2920</v>
      </c>
      <c r="B542" s="219" t="s">
        <v>1250</v>
      </c>
      <c r="C542" s="241" t="s">
        <v>1871</v>
      </c>
      <c r="D542" s="241" t="s">
        <v>1705</v>
      </c>
      <c r="E542" s="285" t="s">
        <v>1706</v>
      </c>
      <c r="F542" s="284">
        <v>0</v>
      </c>
      <c r="G542" s="242">
        <v>6.1763705573593066</v>
      </c>
      <c r="H542" s="243">
        <f ca="1">SUMIF('Sales 6.2026'!B:F,'All Menu'!B542,'Sales 6.2026'!F:F)</f>
        <v>4477</v>
      </c>
      <c r="I542" s="241"/>
      <c r="J542" s="244">
        <f>SUMIF('Finished Recipe'!B:B, B542, 'Finished Recipe'!M:M)</f>
        <v>4.3680474250000003</v>
      </c>
      <c r="K542" s="244">
        <f t="shared" si="40"/>
        <v>1.8083231323593063</v>
      </c>
      <c r="L542" s="245">
        <f t="shared" si="38"/>
        <v>0.70721913208321963</v>
      </c>
      <c r="M542" s="245">
        <f t="shared" si="39"/>
        <v>0.29278086791678037</v>
      </c>
      <c r="N542" s="23"/>
    </row>
    <row r="543" spans="1:14" ht="13" hidden="1">
      <c r="A543" s="78" t="s">
        <v>2921</v>
      </c>
      <c r="B543" s="219" t="s">
        <v>1249</v>
      </c>
      <c r="C543" s="241" t="s">
        <v>1871</v>
      </c>
      <c r="D543" s="241" t="s">
        <v>1705</v>
      </c>
      <c r="E543" s="285" t="s">
        <v>1707</v>
      </c>
      <c r="F543" s="284">
        <v>0</v>
      </c>
      <c r="G543" s="242">
        <v>6.1763705573593066</v>
      </c>
      <c r="H543" s="243">
        <f ca="1">SUMIF('Sales 6.2026'!B:F,'All Menu'!B543,'Sales 6.2026'!F:F)</f>
        <v>6117</v>
      </c>
      <c r="I543" s="241"/>
      <c r="J543" s="244">
        <f>SUMIF('Finished Recipe'!B:B, B543, 'Finished Recipe'!M:M)</f>
        <v>4.3680474250000003</v>
      </c>
      <c r="K543" s="244">
        <f t="shared" si="40"/>
        <v>1.8083231323593063</v>
      </c>
      <c r="L543" s="245">
        <f t="shared" ref="L543:L563" si="41">J543/G543</f>
        <v>0.70721913208321963</v>
      </c>
      <c r="M543" s="245">
        <f t="shared" ref="M543:M563" si="42">K543/G543</f>
        <v>0.29278086791678037</v>
      </c>
      <c r="N543" s="23"/>
    </row>
    <row r="544" spans="1:14" ht="13" hidden="1">
      <c r="A544" s="78" t="s">
        <v>2922</v>
      </c>
      <c r="B544" s="219" t="s">
        <v>1251</v>
      </c>
      <c r="C544" s="241" t="s">
        <v>1871</v>
      </c>
      <c r="D544" s="241" t="s">
        <v>1705</v>
      </c>
      <c r="E544" s="285" t="s">
        <v>1708</v>
      </c>
      <c r="F544" s="284">
        <v>0</v>
      </c>
      <c r="G544" s="242">
        <v>6.1763705573593066</v>
      </c>
      <c r="H544" s="243">
        <f ca="1">SUMIF('Sales 6.2026'!B:F,'All Menu'!B544,'Sales 6.2026'!F:F)</f>
        <v>6707</v>
      </c>
      <c r="I544" s="241"/>
      <c r="J544" s="244">
        <f>SUMIF('Finished Recipe'!B:B, B544, 'Finished Recipe'!M:M)</f>
        <v>4.0675474249999999</v>
      </c>
      <c r="K544" s="244">
        <f t="shared" si="40"/>
        <v>2.1088231323593067</v>
      </c>
      <c r="L544" s="245">
        <f t="shared" si="41"/>
        <v>0.65856596316964999</v>
      </c>
      <c r="M544" s="245">
        <f t="shared" si="42"/>
        <v>0.34143403683035001</v>
      </c>
      <c r="N544" s="23"/>
    </row>
    <row r="545" spans="1:14" ht="13" hidden="1">
      <c r="A545" s="78" t="s">
        <v>2923</v>
      </c>
      <c r="B545" s="219" t="s">
        <v>1263</v>
      </c>
      <c r="C545" s="241" t="s">
        <v>1871</v>
      </c>
      <c r="D545" s="241" t="s">
        <v>1705</v>
      </c>
      <c r="E545" s="285" t="s">
        <v>1709</v>
      </c>
      <c r="F545" s="284">
        <v>0</v>
      </c>
      <c r="G545" s="242">
        <v>6.5724744534632036</v>
      </c>
      <c r="H545" s="243">
        <f ca="1">SUMIF('Sales 6.2026'!B:F,'All Menu'!B545,'Sales 6.2026'!F:F)</f>
        <v>4516</v>
      </c>
      <c r="I545" s="241"/>
      <c r="J545" s="244">
        <f>SUMIF('Finished Recipe'!B:B, B545, 'Finished Recipe'!M:M)</f>
        <v>4.6685474249999999</v>
      </c>
      <c r="K545" s="244">
        <f t="shared" si="40"/>
        <v>1.9039270284632037</v>
      </c>
      <c r="L545" s="245">
        <f t="shared" si="41"/>
        <v>0.71031807853433704</v>
      </c>
      <c r="M545" s="245">
        <f t="shared" si="42"/>
        <v>0.28968192146566296</v>
      </c>
      <c r="N545" s="23"/>
    </row>
    <row r="546" spans="1:14" ht="13" hidden="1">
      <c r="A546" s="78" t="s">
        <v>2924</v>
      </c>
      <c r="B546" s="219" t="s">
        <v>1262</v>
      </c>
      <c r="C546" s="241" t="s">
        <v>1871</v>
      </c>
      <c r="D546" s="241" t="s">
        <v>1705</v>
      </c>
      <c r="E546" s="285" t="s">
        <v>1710</v>
      </c>
      <c r="F546" s="284">
        <v>0</v>
      </c>
      <c r="G546" s="242">
        <v>9.6678441510695201</v>
      </c>
      <c r="H546" s="243">
        <f ca="1">SUMIF('Sales 6.2026'!B:F,'All Menu'!B546,'Sales 6.2026'!F:F)</f>
        <v>1423</v>
      </c>
      <c r="I546" s="241"/>
      <c r="J546" s="244">
        <f>SUMIF('Finished Recipe'!B:B, B546, 'Finished Recipe'!M:M)</f>
        <v>7.163547425</v>
      </c>
      <c r="K546" s="244">
        <f t="shared" si="40"/>
        <v>2.5042967260695201</v>
      </c>
      <c r="L546" s="245">
        <f t="shared" si="41"/>
        <v>0.74096637399843912</v>
      </c>
      <c r="M546" s="245">
        <f t="shared" si="42"/>
        <v>0.25903362600156088</v>
      </c>
      <c r="N546" s="23"/>
    </row>
    <row r="547" spans="1:14" ht="13" hidden="1">
      <c r="A547" s="78" t="s">
        <v>2925</v>
      </c>
      <c r="B547" s="219" t="s">
        <v>1261</v>
      </c>
      <c r="C547" s="241" t="s">
        <v>1871</v>
      </c>
      <c r="D547" s="241" t="s">
        <v>1705</v>
      </c>
      <c r="E547" s="285" t="s">
        <v>1711</v>
      </c>
      <c r="F547" s="284">
        <v>0</v>
      </c>
      <c r="G547" s="242">
        <v>5.9249157954545453</v>
      </c>
      <c r="H547" s="243">
        <f ca="1">SUMIF('Sales 6.2026'!B:F,'All Menu'!B547,'Sales 6.2026'!F:F)</f>
        <v>1326</v>
      </c>
      <c r="I547" s="241"/>
      <c r="J547" s="244">
        <f>SUMIF('Finished Recipe'!B:B, B547, 'Finished Recipe'!M:M)</f>
        <v>4.1239444250000004</v>
      </c>
      <c r="K547" s="244">
        <f t="shared" si="40"/>
        <v>1.8009713704545449</v>
      </c>
      <c r="L547" s="245">
        <f t="shared" si="41"/>
        <v>0.69603426738381546</v>
      </c>
      <c r="M547" s="245">
        <f t="shared" si="42"/>
        <v>0.30396573261618459</v>
      </c>
      <c r="N547" s="23"/>
    </row>
    <row r="548" spans="1:14" ht="13" hidden="1">
      <c r="A548" s="78" t="s">
        <v>2926</v>
      </c>
      <c r="B548" s="219" t="s">
        <v>1260</v>
      </c>
      <c r="C548" s="241" t="s">
        <v>1871</v>
      </c>
      <c r="D548" s="241" t="s">
        <v>1705</v>
      </c>
      <c r="E548" s="285" t="s">
        <v>1712</v>
      </c>
      <c r="F548" s="284">
        <v>0</v>
      </c>
      <c r="G548" s="242">
        <v>6.5724744534632036</v>
      </c>
      <c r="H548" s="243">
        <f ca="1">SUMIF('Sales 6.2026'!B:F,'All Menu'!B548,'Sales 6.2026'!F:F)</f>
        <v>1764</v>
      </c>
      <c r="I548" s="241"/>
      <c r="J548" s="244">
        <f>SUMIF('Finished Recipe'!B:B, B548, 'Finished Recipe'!M:M)</f>
        <v>4.6685474249999999</v>
      </c>
      <c r="K548" s="244">
        <f t="shared" si="40"/>
        <v>1.9039270284632037</v>
      </c>
      <c r="L548" s="245">
        <f t="shared" si="41"/>
        <v>0.71031807853433704</v>
      </c>
      <c r="M548" s="245">
        <f t="shared" si="42"/>
        <v>0.28968192146566296</v>
      </c>
      <c r="N548" s="23"/>
    </row>
    <row r="549" spans="1:14" ht="13" hidden="1">
      <c r="A549" s="78" t="s">
        <v>2927</v>
      </c>
      <c r="B549" s="219" t="s">
        <v>1259</v>
      </c>
      <c r="C549" s="241" t="s">
        <v>1871</v>
      </c>
      <c r="D549" s="241" t="s">
        <v>1705</v>
      </c>
      <c r="E549" s="285" t="s">
        <v>1713</v>
      </c>
      <c r="F549" s="284">
        <v>0</v>
      </c>
      <c r="G549" s="242">
        <v>9.8084051893939392</v>
      </c>
      <c r="H549" s="243">
        <f ca="1">SUMIF('Sales 6.2026'!B:F,'All Menu'!B549,'Sales 6.2026'!F:F)</f>
        <v>482</v>
      </c>
      <c r="I549" s="241"/>
      <c r="J549" s="244">
        <f>SUMIF('Finished Recipe'!B:B, B549, 'Finished Recipe'!M:M)</f>
        <v>6.453547425</v>
      </c>
      <c r="K549" s="244">
        <f t="shared" si="40"/>
        <v>3.3548577643939392</v>
      </c>
      <c r="L549" s="245">
        <f t="shared" si="41"/>
        <v>0.65796093252533794</v>
      </c>
      <c r="M549" s="245">
        <f t="shared" si="42"/>
        <v>0.34203906747466206</v>
      </c>
      <c r="N549" s="23"/>
    </row>
    <row r="550" spans="1:14" ht="13" hidden="1">
      <c r="A550" s="78" t="s">
        <v>2928</v>
      </c>
      <c r="B550" s="219" t="s">
        <v>1258</v>
      </c>
      <c r="C550" s="241" t="s">
        <v>1871</v>
      </c>
      <c r="D550" s="241" t="s">
        <v>1705</v>
      </c>
      <c r="E550" s="285" t="s">
        <v>1714</v>
      </c>
      <c r="F550" s="284">
        <v>0</v>
      </c>
      <c r="G550" s="242">
        <v>5.9426131259018744</v>
      </c>
      <c r="H550" s="243">
        <f ca="1">SUMIF('Sales 6.2026'!B:F,'All Menu'!B550,'Sales 6.2026'!F:F)</f>
        <v>2323</v>
      </c>
      <c r="I550" s="241"/>
      <c r="J550" s="244">
        <f>SUMIF('Finished Recipe'!B:B, B550, 'Finished Recipe'!M:M)</f>
        <v>4.1746960916666662</v>
      </c>
      <c r="K550" s="244">
        <f t="shared" si="40"/>
        <v>1.7679170342352082</v>
      </c>
      <c r="L550" s="245">
        <f t="shared" si="41"/>
        <v>0.70250174514483443</v>
      </c>
      <c r="M550" s="245">
        <f t="shared" si="42"/>
        <v>0.29749825485516562</v>
      </c>
      <c r="N550" s="23"/>
    </row>
    <row r="551" spans="1:14" ht="13" hidden="1">
      <c r="A551" s="78" t="s">
        <v>2929</v>
      </c>
      <c r="B551" s="219" t="s">
        <v>1257</v>
      </c>
      <c r="C551" s="241" t="s">
        <v>1871</v>
      </c>
      <c r="D551" s="241" t="s">
        <v>1705</v>
      </c>
      <c r="E551" s="285" t="s">
        <v>1715</v>
      </c>
      <c r="F551" s="284">
        <v>0</v>
      </c>
      <c r="G551" s="242">
        <v>9.8084051893939392</v>
      </c>
      <c r="H551" s="243">
        <f ca="1">SUMIF('Sales 6.2026'!B:F,'All Menu'!B551,'Sales 6.2026'!F:F)</f>
        <v>618</v>
      </c>
      <c r="I551" s="241"/>
      <c r="J551" s="244">
        <f>SUMIF('Finished Recipe'!B:B, B551, 'Finished Recipe'!M:M)</f>
        <v>6.453547425</v>
      </c>
      <c r="K551" s="244">
        <f t="shared" si="40"/>
        <v>3.3548577643939392</v>
      </c>
      <c r="L551" s="245">
        <f t="shared" si="41"/>
        <v>0.65796093252533794</v>
      </c>
      <c r="M551" s="245">
        <f t="shared" si="42"/>
        <v>0.34203906747466206</v>
      </c>
      <c r="N551" s="23"/>
    </row>
    <row r="552" spans="1:14" ht="13" hidden="1">
      <c r="A552" s="78" t="s">
        <v>2930</v>
      </c>
      <c r="B552" s="219" t="s">
        <v>1256</v>
      </c>
      <c r="C552" s="241" t="s">
        <v>1871</v>
      </c>
      <c r="D552" s="241" t="s">
        <v>1705</v>
      </c>
      <c r="E552" s="285" t="s">
        <v>1716</v>
      </c>
      <c r="F552" s="284">
        <v>0</v>
      </c>
      <c r="G552" s="242">
        <v>3.0980632333333333</v>
      </c>
      <c r="H552" s="243">
        <f ca="1">SUMIF('Sales 6.2026'!B:F,'All Menu'!B552,'Sales 6.2026'!F:F)</f>
        <v>0</v>
      </c>
      <c r="I552" s="241"/>
      <c r="J552" s="244">
        <f>SUMIF('Finished Recipe'!B:B, B552, 'Finished Recipe'!M:M)</f>
        <v>2.2635474250000001</v>
      </c>
      <c r="K552" s="244">
        <f t="shared" si="40"/>
        <v>0.83451580833333328</v>
      </c>
      <c r="L552" s="245">
        <f t="shared" si="41"/>
        <v>0.73063306153520846</v>
      </c>
      <c r="M552" s="245">
        <f t="shared" si="42"/>
        <v>0.26936693846479159</v>
      </c>
      <c r="N552" s="23"/>
    </row>
    <row r="553" spans="1:14" ht="13" hidden="1">
      <c r="A553" s="78" t="s">
        <v>2931</v>
      </c>
      <c r="B553" s="219" t="s">
        <v>1255</v>
      </c>
      <c r="C553" s="241" t="s">
        <v>1871</v>
      </c>
      <c r="D553" s="241" t="s">
        <v>1705</v>
      </c>
      <c r="E553" s="285" t="s">
        <v>1717</v>
      </c>
      <c r="F553" s="284">
        <v>0</v>
      </c>
      <c r="G553" s="242">
        <v>3.0980632333333333</v>
      </c>
      <c r="H553" s="243">
        <f ca="1">SUMIF('Sales 6.2026'!B:F,'All Menu'!B553,'Sales 6.2026'!F:F)</f>
        <v>548</v>
      </c>
      <c r="I553" s="241"/>
      <c r="J553" s="244">
        <f>SUMIF('Finished Recipe'!B:B, B553, 'Finished Recipe'!M:M)</f>
        <v>2.2635474250000001</v>
      </c>
      <c r="K553" s="244">
        <f t="shared" si="40"/>
        <v>0.83451580833333328</v>
      </c>
      <c r="L553" s="245">
        <f t="shared" si="41"/>
        <v>0.73063306153520846</v>
      </c>
      <c r="M553" s="245">
        <f t="shared" si="42"/>
        <v>0.26936693846479159</v>
      </c>
      <c r="N553" s="23"/>
    </row>
    <row r="554" spans="1:14" ht="13" hidden="1">
      <c r="A554" s="78" t="s">
        <v>2932</v>
      </c>
      <c r="B554" s="219" t="s">
        <v>1254</v>
      </c>
      <c r="C554" s="241" t="s">
        <v>1871</v>
      </c>
      <c r="D554" s="241" t="s">
        <v>1705</v>
      </c>
      <c r="E554" s="285" t="s">
        <v>1498</v>
      </c>
      <c r="F554" s="284">
        <v>0</v>
      </c>
      <c r="G554" s="242">
        <v>1.7980632333333333</v>
      </c>
      <c r="H554" s="243">
        <f ca="1">SUMIF('Sales 6.2026'!B:F,'All Menu'!B554,'Sales 6.2026'!F:F)</f>
        <v>0</v>
      </c>
      <c r="I554" s="241"/>
      <c r="J554" s="244">
        <f>SUMIF('Finished Recipe'!B:B, B554, 'Finished Recipe'!M:M)</f>
        <v>1.3135474249999999</v>
      </c>
      <c r="K554" s="244">
        <f t="shared" si="40"/>
        <v>0.48451580833333341</v>
      </c>
      <c r="L554" s="245">
        <f t="shared" si="41"/>
        <v>0.7305346111576313</v>
      </c>
      <c r="M554" s="245">
        <f t="shared" si="42"/>
        <v>0.2694653888423687</v>
      </c>
      <c r="N554" s="23"/>
    </row>
    <row r="555" spans="1:14" ht="13" hidden="1">
      <c r="A555" s="78" t="s">
        <v>2933</v>
      </c>
      <c r="B555" s="219" t="s">
        <v>1253</v>
      </c>
      <c r="C555" s="241" t="s">
        <v>1871</v>
      </c>
      <c r="D555" s="241" t="s">
        <v>1705</v>
      </c>
      <c r="E555" s="285" t="s">
        <v>1718</v>
      </c>
      <c r="F555" s="284">
        <v>0</v>
      </c>
      <c r="G555" s="242">
        <v>2.5624259000000005</v>
      </c>
      <c r="H555" s="243">
        <f ca="1">SUMIF('Sales 6.2026'!B:F,'All Menu'!B555,'Sales 6.2026'!F:F)</f>
        <v>0</v>
      </c>
      <c r="I555" s="241"/>
      <c r="J555" s="244">
        <f>SUMIF('Finished Recipe'!B:B, B555, 'Finished Recipe'!M:M)</f>
        <v>1.8618194250000004</v>
      </c>
      <c r="K555" s="244">
        <f t="shared" si="40"/>
        <v>0.70060647500000006</v>
      </c>
      <c r="L555" s="245">
        <f t="shared" si="41"/>
        <v>0.72658468875138982</v>
      </c>
      <c r="M555" s="245">
        <f t="shared" si="42"/>
        <v>0.27341531124861013</v>
      </c>
      <c r="N555" s="23"/>
    </row>
    <row r="556" spans="1:14" ht="13" hidden="1">
      <c r="A556" s="78" t="s">
        <v>2934</v>
      </c>
      <c r="B556" s="219" t="s">
        <v>1252</v>
      </c>
      <c r="C556" s="241" t="s">
        <v>1871</v>
      </c>
      <c r="D556" s="241" t="s">
        <v>1705</v>
      </c>
      <c r="E556" s="285" t="s">
        <v>1719</v>
      </c>
      <c r="F556" s="284">
        <v>0</v>
      </c>
      <c r="G556" s="242">
        <v>1.9296173106060608</v>
      </c>
      <c r="H556" s="243">
        <f ca="1">SUMIF('Sales 6.2026'!B:F,'All Menu'!B556,'Sales 6.2026'!F:F)</f>
        <v>0</v>
      </c>
      <c r="I556" s="241"/>
      <c r="J556" s="244">
        <f>SUMIF('Finished Recipe'!B:B, B556, 'Finished Recipe'!M:M)</f>
        <v>1.213547425</v>
      </c>
      <c r="K556" s="244">
        <f t="shared" si="40"/>
        <v>0.71606988560606077</v>
      </c>
      <c r="L556" s="245">
        <f t="shared" si="41"/>
        <v>0.62890575158596862</v>
      </c>
      <c r="M556" s="245">
        <f t="shared" si="42"/>
        <v>0.37109424841403144</v>
      </c>
      <c r="N556" s="23"/>
    </row>
    <row r="557" spans="1:14" ht="13" hidden="1">
      <c r="A557" s="78" t="s">
        <v>2248</v>
      </c>
      <c r="B557" s="219" t="s">
        <v>1269</v>
      </c>
      <c r="C557" s="241" t="s">
        <v>1871</v>
      </c>
      <c r="D557" s="241" t="s">
        <v>1705</v>
      </c>
      <c r="E557" s="285" t="s">
        <v>1873</v>
      </c>
      <c r="F557" s="284">
        <v>0</v>
      </c>
      <c r="G557" s="242">
        <v>16.760051334028681</v>
      </c>
      <c r="H557" s="243">
        <f ca="1">SUMIF('Sales 6.2026'!B:F,'All Menu'!B557,'Sales 6.2026'!F:F)</f>
        <v>4</v>
      </c>
      <c r="I557" s="241"/>
      <c r="J557" s="244">
        <f>SUMIF('Finished Recipe'!B:B, B557, 'Finished Recipe'!M:M)</f>
        <v>11.779040583849017</v>
      </c>
      <c r="K557" s="244">
        <f t="shared" ref="K557:K563" si="43">G557-J557</f>
        <v>4.9810107501796637</v>
      </c>
      <c r="L557" s="245">
        <f t="shared" si="41"/>
        <v>0.7028045648006761</v>
      </c>
      <c r="M557" s="245">
        <f t="shared" si="42"/>
        <v>0.29719543519932395</v>
      </c>
      <c r="N557" s="23"/>
    </row>
    <row r="558" spans="1:14" ht="13" hidden="1">
      <c r="A558" s="78" t="s">
        <v>2935</v>
      </c>
      <c r="B558" s="219" t="s">
        <v>1268</v>
      </c>
      <c r="C558" s="241" t="s">
        <v>1871</v>
      </c>
      <c r="D558" s="241" t="s">
        <v>1705</v>
      </c>
      <c r="E558" s="285" t="s">
        <v>799</v>
      </c>
      <c r="F558" s="284">
        <v>0</v>
      </c>
      <c r="G558" s="242">
        <v>2.6499125080868144</v>
      </c>
      <c r="H558" s="243">
        <f ca="1">SUMIF('Sales 6.2026'!B:F,'All Menu'!B558,'Sales 6.2026'!F:F)</f>
        <v>536</v>
      </c>
      <c r="I558" s="241"/>
      <c r="J558" s="244">
        <f>SUMIF('Finished Recipe'!B:B, B558, 'Finished Recipe'!M:M)</f>
        <v>1.9238825161031603</v>
      </c>
      <c r="K558" s="244">
        <f t="shared" si="43"/>
        <v>0.72602999198365414</v>
      </c>
      <c r="L558" s="245">
        <f t="shared" si="41"/>
        <v>0.72601737235927322</v>
      </c>
      <c r="M558" s="245">
        <f t="shared" si="42"/>
        <v>0.27398262764072678</v>
      </c>
      <c r="N558" s="23"/>
    </row>
    <row r="559" spans="1:14" ht="13" hidden="1">
      <c r="A559" s="78" t="s">
        <v>2936</v>
      </c>
      <c r="B559" s="219" t="s">
        <v>1265</v>
      </c>
      <c r="C559" s="241" t="s">
        <v>1871</v>
      </c>
      <c r="D559" s="241" t="s">
        <v>1705</v>
      </c>
      <c r="E559" s="285" t="s">
        <v>1720</v>
      </c>
      <c r="F559" s="284">
        <v>0</v>
      </c>
      <c r="G559" s="242">
        <v>16.760051334028681</v>
      </c>
      <c r="H559" s="243">
        <f ca="1">SUMIF('Sales 6.2026'!B:F,'All Menu'!B559,'Sales 6.2026'!F:F)</f>
        <v>669</v>
      </c>
      <c r="I559" s="241"/>
      <c r="J559" s="244">
        <f>SUMIF('Finished Recipe'!B:B, B559, 'Finished Recipe'!M:M)</f>
        <v>11.779040583849017</v>
      </c>
      <c r="K559" s="244">
        <f t="shared" si="43"/>
        <v>4.9810107501796637</v>
      </c>
      <c r="L559" s="245">
        <f t="shared" si="41"/>
        <v>0.7028045648006761</v>
      </c>
      <c r="M559" s="245">
        <f t="shared" si="42"/>
        <v>0.29719543519932395</v>
      </c>
      <c r="N559" s="23"/>
    </row>
    <row r="560" spans="1:14" ht="13" hidden="1">
      <c r="A560" s="78" t="s">
        <v>2937</v>
      </c>
      <c r="B560" s="219" t="s">
        <v>1266</v>
      </c>
      <c r="C560" s="241" t="s">
        <v>1871</v>
      </c>
      <c r="D560" s="241" t="s">
        <v>1705</v>
      </c>
      <c r="E560" s="285" t="s">
        <v>1722</v>
      </c>
      <c r="F560" s="284">
        <v>0</v>
      </c>
      <c r="G560" s="242">
        <v>1.6980632333333334</v>
      </c>
      <c r="H560" s="243">
        <f ca="1">SUMIF('Sales 6.2026'!B:F,'All Menu'!B560,'Sales 6.2026'!F:F)</f>
        <v>0</v>
      </c>
      <c r="I560" s="241"/>
      <c r="J560" s="244">
        <f>SUMIF('Finished Recipe'!B:B, B560, 'Finished Recipe'!M:M)</f>
        <v>1.213547425</v>
      </c>
      <c r="K560" s="244">
        <f t="shared" si="43"/>
        <v>0.48451580833333341</v>
      </c>
      <c r="L560" s="245">
        <f t="shared" si="41"/>
        <v>0.714665626802237</v>
      </c>
      <c r="M560" s="245">
        <f t="shared" si="42"/>
        <v>0.28533437319776295</v>
      </c>
      <c r="N560" s="23"/>
    </row>
    <row r="561" spans="1:14" ht="13" hidden="1">
      <c r="A561" s="78" t="s">
        <v>2938</v>
      </c>
      <c r="B561" s="219" t="s">
        <v>1287</v>
      </c>
      <c r="C561" s="241" t="s">
        <v>1871</v>
      </c>
      <c r="D561" s="241" t="s">
        <v>1705</v>
      </c>
      <c r="E561" s="285" t="s">
        <v>328</v>
      </c>
      <c r="F561" s="284">
        <v>0</v>
      </c>
      <c r="G561" s="242">
        <v>2.6313965666666665</v>
      </c>
      <c r="H561" s="243">
        <f ca="1">SUMIF('Sales 6.2026'!B:F,'All Menu'!B561,'Sales 6.2026'!F:F)</f>
        <v>0</v>
      </c>
      <c r="I561" s="241"/>
      <c r="J561" s="244">
        <f>SUMIF('Finished Recipe'!B:B, B561, 'Finished Recipe'!M:M)</f>
        <v>1.913547425</v>
      </c>
      <c r="K561" s="244">
        <f t="shared" si="43"/>
        <v>0.71784914166666658</v>
      </c>
      <c r="L561" s="245">
        <f t="shared" si="41"/>
        <v>0.72719841974408095</v>
      </c>
      <c r="M561" s="245">
        <f t="shared" si="42"/>
        <v>0.27280158025591911</v>
      </c>
      <c r="N561" s="23"/>
    </row>
    <row r="562" spans="1:14" ht="13" hidden="1">
      <c r="A562" s="78" t="s">
        <v>2939</v>
      </c>
      <c r="B562" s="219" t="s">
        <v>1174</v>
      </c>
      <c r="C562" s="241" t="s">
        <v>1806</v>
      </c>
      <c r="D562" s="241" t="s">
        <v>1448</v>
      </c>
      <c r="E562" s="241" t="s">
        <v>1807</v>
      </c>
      <c r="F562" s="284">
        <v>0.16</v>
      </c>
      <c r="G562" s="242">
        <v>13.793103448275863</v>
      </c>
      <c r="H562" s="243">
        <f ca="1">SUMIF('Sales 6.2026'!B:F,'All Menu'!B562,'Sales 6.2026'!F:F)</f>
        <v>0</v>
      </c>
      <c r="I562" s="241"/>
      <c r="J562" s="244">
        <f>SUMIF('Finished Recipe'!B:B, B562, 'Finished Recipe'!M:M)</f>
        <v>0.76950670387486686</v>
      </c>
      <c r="K562" s="244">
        <f t="shared" si="43"/>
        <v>13.023596744400995</v>
      </c>
      <c r="L562" s="245">
        <f t="shared" si="41"/>
        <v>5.5789236030927843E-2</v>
      </c>
      <c r="M562" s="245">
        <f t="shared" si="42"/>
        <v>0.94421076396907211</v>
      </c>
      <c r="N562" s="23"/>
    </row>
    <row r="563" spans="1:14" ht="13" hidden="1">
      <c r="A563" s="78" t="s">
        <v>2940</v>
      </c>
      <c r="B563" s="219" t="s">
        <v>1077</v>
      </c>
      <c r="C563" s="177" t="s">
        <v>1818</v>
      </c>
      <c r="D563" s="177" t="s">
        <v>1557</v>
      </c>
      <c r="E563" s="177" t="s">
        <v>1692</v>
      </c>
      <c r="F563" s="284">
        <v>0.16</v>
      </c>
      <c r="G563" s="242">
        <v>5.6034482758620694</v>
      </c>
      <c r="H563" s="243">
        <f ca="1">SUMIF('Sales 6.2026'!B:F,'All Menu'!B563,'Sales 6.2026'!F:F)</f>
        <v>0</v>
      </c>
      <c r="I563" s="177"/>
      <c r="J563" s="244">
        <f>SUMIF('Finished Recipe'!B:B, B563, 'Finished Recipe'!M:M)</f>
        <v>1.4675020986281051</v>
      </c>
      <c r="K563" s="244">
        <f t="shared" si="43"/>
        <v>4.1359461772339641</v>
      </c>
      <c r="L563" s="245">
        <f t="shared" si="41"/>
        <v>0.26189268221670797</v>
      </c>
      <c r="M563" s="245">
        <f t="shared" si="42"/>
        <v>0.73810731778329197</v>
      </c>
    </row>
    <row r="564" spans="1:14" ht="13" hidden="1">
      <c r="A564" s="78" t="s">
        <v>2941</v>
      </c>
      <c r="B564" s="219" t="s">
        <v>1078</v>
      </c>
      <c r="C564" s="177" t="s">
        <v>1818</v>
      </c>
      <c r="D564" s="177" t="s">
        <v>1557</v>
      </c>
      <c r="E564" s="177" t="s">
        <v>1737</v>
      </c>
      <c r="F564" s="284">
        <v>0.16</v>
      </c>
      <c r="G564" s="242">
        <v>10.344827586206897</v>
      </c>
      <c r="H564" s="243">
        <f ca="1">SUMIF('Sales 6.2026'!B:F,'All Menu'!B564,'Sales 6.2026'!F:F)</f>
        <v>0</v>
      </c>
      <c r="I564" s="177"/>
      <c r="J564" s="244">
        <f>SUMIF('Finished Recipe'!B:B, B564, 'Finished Recipe'!M:M)</f>
        <v>2.5329647652947718</v>
      </c>
      <c r="K564" s="244">
        <f t="shared" ref="K564" si="44">G564-J564</f>
        <v>7.8118628209121255</v>
      </c>
      <c r="L564" s="245">
        <f t="shared" ref="L564" si="45">J564/G564</f>
        <v>0.24485326064516127</v>
      </c>
      <c r="M564" s="245">
        <f t="shared" ref="M564" si="46">K564/G564</f>
        <v>0.75514673935483878</v>
      </c>
    </row>
    <row r="565" spans="1:14" ht="13" hidden="1">
      <c r="A565" s="78" t="s">
        <v>2942</v>
      </c>
      <c r="B565" s="219" t="s">
        <v>1106</v>
      </c>
      <c r="C565" s="177" t="s">
        <v>1818</v>
      </c>
      <c r="D565" s="177" t="s">
        <v>1557</v>
      </c>
      <c r="E565" s="177" t="s">
        <v>1695</v>
      </c>
      <c r="F565" s="284">
        <v>0.16</v>
      </c>
      <c r="G565" s="242">
        <v>12.068965517241381</v>
      </c>
      <c r="H565" s="243">
        <f ca="1">SUMIF('Sales 6.2026'!B:F,'All Menu'!B565,'Sales 6.2026'!F:F)</f>
        <v>2</v>
      </c>
      <c r="I565" s="177"/>
      <c r="J565" s="244">
        <f>SUMIF('Finished Recipe'!B:B, B565, 'Finished Recipe'!M:M)</f>
        <v>6.0986681080459766</v>
      </c>
      <c r="K565" s="244">
        <f t="shared" ref="K565" si="47">G565-J565</f>
        <v>5.9702974091954042</v>
      </c>
      <c r="L565" s="245">
        <f t="shared" ref="L565" si="48">J565/G565</f>
        <v>0.5053182146666666</v>
      </c>
      <c r="M565" s="245">
        <f t="shared" ref="M565" si="49">K565/G565</f>
        <v>0.49468178533333346</v>
      </c>
    </row>
    <row r="566" spans="1:14" ht="13" hidden="1">
      <c r="A566" s="78" t="s">
        <v>2943</v>
      </c>
      <c r="B566" s="219" t="s">
        <v>1086</v>
      </c>
      <c r="C566" s="177" t="s">
        <v>1818</v>
      </c>
      <c r="D566" s="177" t="s">
        <v>1557</v>
      </c>
      <c r="E566" s="177" t="s">
        <v>1703</v>
      </c>
      <c r="F566" s="284">
        <v>0.16</v>
      </c>
      <c r="G566" s="242">
        <v>8.6206896551724146</v>
      </c>
      <c r="H566" s="243">
        <f ca="1">SUMIF('Sales 6.2026'!B:F,'All Menu'!B566,'Sales 6.2026'!F:F)</f>
        <v>2</v>
      </c>
      <c r="I566" s="177"/>
      <c r="J566" s="244">
        <f>SUMIF('Finished Recipe'!B:B, B566, 'Finished Recipe'!M:M)</f>
        <v>6.1457205660048757</v>
      </c>
      <c r="K566" s="244">
        <f t="shared" ref="K566:K568" si="50">G566-J566</f>
        <v>2.4749690891675389</v>
      </c>
      <c r="L566" s="245">
        <f t="shared" ref="L566:L568" si="51">J566/G566</f>
        <v>0.71290358565656553</v>
      </c>
      <c r="M566" s="245">
        <f t="shared" ref="M566:M568" si="52">K566/G566</f>
        <v>0.28709641434343447</v>
      </c>
    </row>
    <row r="567" spans="1:14" ht="13" hidden="1">
      <c r="A567" s="78" t="s">
        <v>2944</v>
      </c>
      <c r="B567" s="219" t="s">
        <v>919</v>
      </c>
      <c r="C567" s="177" t="s">
        <v>1818</v>
      </c>
      <c r="D567" s="177" t="s">
        <v>1557</v>
      </c>
      <c r="E567" s="177" t="s">
        <v>1821</v>
      </c>
      <c r="F567" s="284">
        <v>0.16</v>
      </c>
      <c r="G567" s="242">
        <v>6.4655172413793105</v>
      </c>
      <c r="H567" s="243">
        <f ca="1">SUMIF('Sales 6.2026'!B:F,'All Menu'!B567,'Sales 6.2026'!F:F)</f>
        <v>0</v>
      </c>
      <c r="I567" s="177"/>
      <c r="J567" s="244">
        <f>SUMIF('Finished Recipe'!B:B, B567, 'Finished Recipe'!M:M)</f>
        <v>2.820059690952911</v>
      </c>
      <c r="K567" s="244">
        <f t="shared" si="50"/>
        <v>3.6454575504263995</v>
      </c>
      <c r="L567" s="245">
        <f t="shared" si="51"/>
        <v>0.43616923220071691</v>
      </c>
      <c r="M567" s="245">
        <f t="shared" si="52"/>
        <v>0.56383076779928309</v>
      </c>
    </row>
    <row r="568" spans="1:14" ht="13" hidden="1">
      <c r="A568" s="78" t="s">
        <v>2945</v>
      </c>
      <c r="B568" s="219" t="s">
        <v>920</v>
      </c>
      <c r="C568" s="177" t="s">
        <v>1818</v>
      </c>
      <c r="D568" s="177" t="s">
        <v>1557</v>
      </c>
      <c r="E568" s="177" t="s">
        <v>1822</v>
      </c>
      <c r="F568" s="284">
        <v>0.16</v>
      </c>
      <c r="G568" s="242">
        <v>12.068965517241381</v>
      </c>
      <c r="H568" s="243">
        <f ca="1">SUMIF('Sales 6.2026'!B:F,'All Menu'!B568,'Sales 6.2026'!F:F)</f>
        <v>2</v>
      </c>
      <c r="I568" s="177"/>
      <c r="J568" s="244">
        <f>SUMIF('Finished Recipe'!B:B, B568, 'Finished Recipe'!M:M)</f>
        <v>6.0909734048943269</v>
      </c>
      <c r="K568" s="244">
        <f t="shared" si="50"/>
        <v>5.9779921123470539</v>
      </c>
      <c r="L568" s="245">
        <f t="shared" si="51"/>
        <v>0.50468065354838698</v>
      </c>
      <c r="M568" s="245">
        <f t="shared" si="52"/>
        <v>0.49531934645161296</v>
      </c>
    </row>
    <row r="569" spans="1:14" ht="13" hidden="1">
      <c r="A569" s="78" t="s">
        <v>2946</v>
      </c>
      <c r="B569" s="219" t="s">
        <v>915</v>
      </c>
      <c r="C569" s="177" t="s">
        <v>1818</v>
      </c>
      <c r="D569" s="177" t="s">
        <v>1557</v>
      </c>
      <c r="E569" s="177" t="s">
        <v>1562</v>
      </c>
      <c r="F569" s="284">
        <v>0.16</v>
      </c>
      <c r="G569" s="242">
        <v>5.1724137931034484</v>
      </c>
      <c r="H569" s="243">
        <f ca="1">SUMIF('Sales 6.2026'!B:F,'All Menu'!B569,'Sales 6.2026'!F:F)</f>
        <v>4.0009999999999994</v>
      </c>
      <c r="I569" s="177"/>
      <c r="J569" s="244">
        <f>SUMIF('Finished Recipe'!B:B, B569, 'Finished Recipe'!M:M)</f>
        <v>1.5146459770114944</v>
      </c>
      <c r="K569" s="244">
        <f t="shared" ref="K569" si="53">G569-J569</f>
        <v>3.6577678160919538</v>
      </c>
      <c r="L569" s="245">
        <f t="shared" ref="L569" si="54">J569/G569</f>
        <v>0.29283155555555557</v>
      </c>
      <c r="M569" s="245">
        <f t="shared" ref="M569" si="55">K569/G569</f>
        <v>0.70716844444444438</v>
      </c>
    </row>
    <row r="570" spans="1:14" s="262" customFormat="1" ht="13" hidden="1">
      <c r="A570" s="78" t="s">
        <v>2947</v>
      </c>
      <c r="B570" s="257" t="s">
        <v>1984</v>
      </c>
      <c r="C570" s="258" t="s">
        <v>1825</v>
      </c>
      <c r="D570" s="258" t="s">
        <v>1496</v>
      </c>
      <c r="E570" s="258" t="s">
        <v>1997</v>
      </c>
      <c r="F570" s="284">
        <v>0</v>
      </c>
      <c r="G570" s="242">
        <v>1</v>
      </c>
      <c r="H570" s="259">
        <f ca="1">SUMIF('Sales 6.2026'!B:F,'All Menu'!B570,'Sales 6.2026'!F:F)</f>
        <v>0</v>
      </c>
      <c r="I570" s="258"/>
      <c r="J570" s="260">
        <v>0.5</v>
      </c>
      <c r="K570" s="260">
        <f t="shared" ref="K570:K633" si="56">G570-J570</f>
        <v>0.5</v>
      </c>
      <c r="L570" s="261">
        <f t="shared" ref="L570:L633" si="57">J570/G570</f>
        <v>0.5</v>
      </c>
      <c r="M570" s="261">
        <f t="shared" ref="M570:M633" si="58">K570/G570</f>
        <v>0.5</v>
      </c>
    </row>
    <row r="571" spans="1:14" ht="13">
      <c r="A571" s="78" t="s">
        <v>3073</v>
      </c>
      <c r="B571" s="232">
        <v>30206</v>
      </c>
      <c r="C571" s="177" t="s">
        <v>1825</v>
      </c>
      <c r="D571" s="177" t="s">
        <v>1851</v>
      </c>
      <c r="E571" s="177" t="s">
        <v>1895</v>
      </c>
      <c r="F571" s="284">
        <v>0</v>
      </c>
      <c r="G571" s="242">
        <v>3.8</v>
      </c>
      <c r="H571" s="243">
        <f ca="1">SUMIF('Sales 6.2026'!B:F,'All Menu'!B571,'Sales 6.2026'!F:F)</f>
        <v>3.7109999999999999</v>
      </c>
      <c r="I571" s="177"/>
      <c r="J571" s="244">
        <f>SUMIF('Finished Recipe'!B:B, B571, 'Finished Recipe'!M:M)</f>
        <v>4.8215285557894729</v>
      </c>
      <c r="K571" s="244">
        <f t="shared" si="56"/>
        <v>-1.0215285557894731</v>
      </c>
      <c r="L571" s="245">
        <f t="shared" si="57"/>
        <v>1.2688233041551245</v>
      </c>
      <c r="M571" s="245">
        <f t="shared" si="58"/>
        <v>-0.26882330415512451</v>
      </c>
    </row>
    <row r="572" spans="1:14" ht="13">
      <c r="A572" s="78" t="s">
        <v>3074</v>
      </c>
      <c r="B572" s="232">
        <v>30207</v>
      </c>
      <c r="C572" s="177" t="s">
        <v>1825</v>
      </c>
      <c r="D572" s="177" t="s">
        <v>1851</v>
      </c>
      <c r="E572" s="177" t="s">
        <v>1852</v>
      </c>
      <c r="F572" s="284">
        <v>0</v>
      </c>
      <c r="G572" s="242">
        <v>5.9</v>
      </c>
      <c r="H572" s="243">
        <f ca="1">SUMIF('Sales 6.2026'!B:F,'All Menu'!B572,'Sales 6.2026'!F:F)</f>
        <v>4.0010000000000003</v>
      </c>
      <c r="I572" s="177"/>
      <c r="J572" s="244">
        <f>SUMIF('Finished Recipe'!B:B, B572, 'Finished Recipe'!M:M)</f>
        <v>6.4287047410526306</v>
      </c>
      <c r="K572" s="244">
        <f t="shared" si="56"/>
        <v>-0.52870474105263021</v>
      </c>
      <c r="L572" s="245">
        <f t="shared" si="57"/>
        <v>1.0896109730597678</v>
      </c>
      <c r="M572" s="245">
        <f t="shared" si="58"/>
        <v>-8.9610973059767826E-2</v>
      </c>
    </row>
    <row r="573" spans="1:14" ht="13" hidden="1">
      <c r="A573" s="78" t="s">
        <v>3075</v>
      </c>
      <c r="B573" s="232" t="s">
        <v>1189</v>
      </c>
      <c r="C573" s="177" t="s">
        <v>1825</v>
      </c>
      <c r="D573" s="177" t="s">
        <v>1851</v>
      </c>
      <c r="E573" s="177" t="s">
        <v>685</v>
      </c>
      <c r="F573" s="284">
        <v>0</v>
      </c>
      <c r="G573" s="242">
        <v>5.9</v>
      </c>
      <c r="H573" s="243">
        <f ca="1">SUMIF('Sales 6.2026'!B:F,'All Menu'!B573,'Sales 6.2026'!F:F)</f>
        <v>0</v>
      </c>
      <c r="I573" s="177"/>
      <c r="J573" s="244">
        <f>SUMIF('Finished Recipe'!B:B, B573, 'Finished Recipe'!M:M)</f>
        <v>1.7505825000000002</v>
      </c>
      <c r="K573" s="244">
        <f t="shared" si="56"/>
        <v>4.1494175000000002</v>
      </c>
      <c r="L573" s="245">
        <f t="shared" si="57"/>
        <v>0.29670889830508473</v>
      </c>
      <c r="M573" s="245">
        <f t="shared" si="58"/>
        <v>0.70329110169491527</v>
      </c>
    </row>
    <row r="574" spans="1:14" ht="13" hidden="1">
      <c r="A574" s="78" t="s">
        <v>3076</v>
      </c>
      <c r="B574" s="232" t="s">
        <v>1190</v>
      </c>
      <c r="C574" s="177" t="s">
        <v>1825</v>
      </c>
      <c r="D574" s="177" t="s">
        <v>1851</v>
      </c>
      <c r="E574" s="177" t="s">
        <v>687</v>
      </c>
      <c r="F574" s="284">
        <v>0</v>
      </c>
      <c r="G574" s="242">
        <v>4.9000000000000004</v>
      </c>
      <c r="H574" s="243">
        <f ca="1">SUMIF('Sales 6.2026'!B:F,'All Menu'!B574,'Sales 6.2026'!F:F)</f>
        <v>0</v>
      </c>
      <c r="I574" s="177"/>
      <c r="J574" s="244">
        <f>SUMIF('Finished Recipe'!B:B, B574, 'Finished Recipe'!M:M)</f>
        <v>3.3030589999999997</v>
      </c>
      <c r="K574" s="244">
        <f t="shared" si="56"/>
        <v>1.5969410000000006</v>
      </c>
      <c r="L574" s="245">
        <f t="shared" si="57"/>
        <v>0.67409367346938764</v>
      </c>
      <c r="M574" s="245">
        <f t="shared" si="58"/>
        <v>0.32590632653061236</v>
      </c>
    </row>
    <row r="575" spans="1:14" ht="13" hidden="1">
      <c r="A575" s="78" t="s">
        <v>3077</v>
      </c>
      <c r="B575" s="232" t="s">
        <v>1291</v>
      </c>
      <c r="C575" s="177" t="s">
        <v>1825</v>
      </c>
      <c r="D575" s="177" t="s">
        <v>1366</v>
      </c>
      <c r="E575" s="177" t="s">
        <v>1827</v>
      </c>
      <c r="F575" s="284">
        <v>0.16</v>
      </c>
      <c r="G575" s="242">
        <v>19.827586206896552</v>
      </c>
      <c r="H575" s="243">
        <f ca="1">SUMIF('Sales 6.2026'!B:F,'All Menu'!B575,'Sales 6.2026'!F:F)</f>
        <v>2</v>
      </c>
      <c r="I575" s="177"/>
      <c r="J575" s="244">
        <f>SUMIF('Finished Recipe'!B:B, B575, 'Finished Recipe'!M:M)</f>
        <v>13.471000731032925</v>
      </c>
      <c r="K575" s="244">
        <f t="shared" si="56"/>
        <v>6.3565854758636267</v>
      </c>
      <c r="L575" s="245">
        <f t="shared" si="57"/>
        <v>0.67940699339122579</v>
      </c>
      <c r="M575" s="245">
        <f t="shared" si="58"/>
        <v>0.32059300660877421</v>
      </c>
    </row>
    <row r="576" spans="1:14" ht="13" hidden="1">
      <c r="A576" s="78" t="s">
        <v>3078</v>
      </c>
      <c r="B576" s="232" t="s">
        <v>1210</v>
      </c>
      <c r="C576" s="177" t="s">
        <v>1825</v>
      </c>
      <c r="D576" s="177" t="s">
        <v>1366</v>
      </c>
      <c r="E576" s="177" t="s">
        <v>1828</v>
      </c>
      <c r="F576" s="284">
        <v>0.16</v>
      </c>
      <c r="G576" s="242">
        <v>19.827586206896552</v>
      </c>
      <c r="H576" s="243">
        <f ca="1">SUMIF('Sales 6.2026'!B:F,'All Menu'!B576,'Sales 6.2026'!F:F)</f>
        <v>3</v>
      </c>
      <c r="I576" s="177"/>
      <c r="J576" s="244">
        <f>SUMIF('Finished Recipe'!B:B, B576, 'Finished Recipe'!M:M)</f>
        <v>13.239955823720623</v>
      </c>
      <c r="K576" s="244">
        <f t="shared" si="56"/>
        <v>6.5876303831759291</v>
      </c>
      <c r="L576" s="245">
        <f t="shared" si="57"/>
        <v>0.66775429371808359</v>
      </c>
      <c r="M576" s="245">
        <f t="shared" si="58"/>
        <v>0.33224570628191641</v>
      </c>
    </row>
    <row r="577" spans="1:13" ht="13" hidden="1">
      <c r="A577" s="78" t="s">
        <v>3079</v>
      </c>
      <c r="B577" s="232" t="s">
        <v>1912</v>
      </c>
      <c r="C577" s="177" t="s">
        <v>1825</v>
      </c>
      <c r="D577" s="177" t="s">
        <v>1366</v>
      </c>
      <c r="E577" s="177" t="s">
        <v>1913</v>
      </c>
      <c r="F577" s="284">
        <v>0.16</v>
      </c>
      <c r="G577" s="242">
        <v>17.241379310344829</v>
      </c>
      <c r="H577" s="243">
        <f ca="1">SUMIF('Sales 6.2026'!B:F,'All Menu'!B577,'Sales 6.2026'!F:F)</f>
        <v>0</v>
      </c>
      <c r="I577" s="177"/>
      <c r="J577" s="244">
        <f>SUMIF('Finished Recipe'!B:B, B577, 'Finished Recipe'!M:M)</f>
        <v>14.525006348849017</v>
      </c>
      <c r="K577" s="244">
        <f t="shared" si="56"/>
        <v>2.7163729614958125</v>
      </c>
      <c r="L577" s="245">
        <f t="shared" si="57"/>
        <v>0.84245036823324293</v>
      </c>
      <c r="M577" s="245">
        <f t="shared" si="58"/>
        <v>0.15754963176675713</v>
      </c>
    </row>
    <row r="578" spans="1:13" ht="13" hidden="1">
      <c r="A578" s="78" t="s">
        <v>3080</v>
      </c>
      <c r="B578" s="232" t="s">
        <v>1292</v>
      </c>
      <c r="C578" s="177" t="s">
        <v>1825</v>
      </c>
      <c r="D578" s="177" t="s">
        <v>1366</v>
      </c>
      <c r="E578" s="177" t="s">
        <v>1654</v>
      </c>
      <c r="F578" s="284">
        <v>0.16</v>
      </c>
      <c r="G578" s="242">
        <v>8.6206896551724146</v>
      </c>
      <c r="H578" s="243">
        <f ca="1">SUMIF('Sales 6.2026'!B:F,'All Menu'!B578,'Sales 6.2026'!F:F)</f>
        <v>0</v>
      </c>
      <c r="I578" s="177"/>
      <c r="J578" s="244">
        <f>SUMIF('Finished Recipe'!B:B, B578, 'Finished Recipe'!M:M)</f>
        <v>4.4358653629885065</v>
      </c>
      <c r="K578" s="244">
        <f t="shared" si="56"/>
        <v>4.1848242921839081</v>
      </c>
      <c r="L578" s="245">
        <f t="shared" si="57"/>
        <v>0.51456038210666666</v>
      </c>
      <c r="M578" s="245">
        <f t="shared" si="58"/>
        <v>0.48543961789333329</v>
      </c>
    </row>
    <row r="579" spans="1:13" ht="13" hidden="1">
      <c r="A579" s="78" t="s">
        <v>3081</v>
      </c>
      <c r="B579" s="232" t="s">
        <v>1211</v>
      </c>
      <c r="C579" s="177" t="s">
        <v>1825</v>
      </c>
      <c r="D579" s="177" t="s">
        <v>1366</v>
      </c>
      <c r="E579" s="177" t="s">
        <v>1830</v>
      </c>
      <c r="F579" s="284">
        <v>0.16</v>
      </c>
      <c r="G579" s="242">
        <v>8.6206896551724146</v>
      </c>
      <c r="H579" s="243">
        <f ca="1">SUMIF('Sales 6.2026'!B:F,'All Menu'!B579,'Sales 6.2026'!F:F)</f>
        <v>15</v>
      </c>
      <c r="I579" s="177"/>
      <c r="J579" s="244">
        <f>SUMIF('Finished Recipe'!B:B, B579, 'Finished Recipe'!M:M)</f>
        <v>4.4921930432753632</v>
      </c>
      <c r="K579" s="244">
        <f t="shared" si="56"/>
        <v>4.1284966118970514</v>
      </c>
      <c r="L579" s="245">
        <f t="shared" si="57"/>
        <v>0.52109439301994209</v>
      </c>
      <c r="M579" s="245">
        <f t="shared" si="58"/>
        <v>0.47890560698005791</v>
      </c>
    </row>
    <row r="580" spans="1:13" ht="13" hidden="1">
      <c r="A580" s="78" t="s">
        <v>3082</v>
      </c>
      <c r="B580" s="232" t="s">
        <v>1165</v>
      </c>
      <c r="C580" s="177" t="s">
        <v>1825</v>
      </c>
      <c r="D580" s="177" t="s">
        <v>1366</v>
      </c>
      <c r="E580" s="177" t="s">
        <v>1831</v>
      </c>
      <c r="F580" s="284">
        <v>0.16</v>
      </c>
      <c r="G580" s="242">
        <v>10.344827586206897</v>
      </c>
      <c r="H580" s="243">
        <f ca="1">SUMIF('Sales 6.2026'!B:F,'All Menu'!B580,'Sales 6.2026'!F:F)</f>
        <v>0</v>
      </c>
      <c r="I580" s="177"/>
      <c r="J580" s="244">
        <f>SUMIF('Finished Recipe'!B:B, B580, 'Finished Recipe'!M:M)</f>
        <v>3.8964989277777784</v>
      </c>
      <c r="K580" s="244">
        <f t="shared" si="56"/>
        <v>6.4483286584291184</v>
      </c>
      <c r="L580" s="245">
        <f t="shared" si="57"/>
        <v>0.37666156301851855</v>
      </c>
      <c r="M580" s="245">
        <f t="shared" si="58"/>
        <v>0.62333843698148139</v>
      </c>
    </row>
    <row r="581" spans="1:13" ht="13" hidden="1">
      <c r="A581" s="78" t="s">
        <v>3083</v>
      </c>
      <c r="B581" s="232" t="s">
        <v>1166</v>
      </c>
      <c r="C581" s="177" t="s">
        <v>1825</v>
      </c>
      <c r="D581" s="177" t="s">
        <v>1366</v>
      </c>
      <c r="E581" s="177" t="s">
        <v>1378</v>
      </c>
      <c r="F581" s="284">
        <v>0.16</v>
      </c>
      <c r="G581" s="242">
        <v>10.344827586206897</v>
      </c>
      <c r="H581" s="243">
        <f ca="1">SUMIF('Sales 6.2026'!B:F,'All Menu'!B581,'Sales 6.2026'!F:F)</f>
        <v>2</v>
      </c>
      <c r="I581" s="177"/>
      <c r="J581" s="244">
        <f>SUMIF('Finished Recipe'!B:B, B581, 'Finished Recipe'!M:M)</f>
        <v>3.8964989277777784</v>
      </c>
      <c r="K581" s="244">
        <f t="shared" si="56"/>
        <v>6.4483286584291184</v>
      </c>
      <c r="L581" s="245">
        <f t="shared" si="57"/>
        <v>0.37666156301851855</v>
      </c>
      <c r="M581" s="245">
        <f t="shared" si="58"/>
        <v>0.62333843698148139</v>
      </c>
    </row>
    <row r="582" spans="1:13" ht="13" hidden="1">
      <c r="A582" s="78" t="s">
        <v>3084</v>
      </c>
      <c r="B582" s="232" t="s">
        <v>1325</v>
      </c>
      <c r="C582" s="177" t="s">
        <v>1825</v>
      </c>
      <c r="D582" s="177" t="s">
        <v>1384</v>
      </c>
      <c r="E582" s="177" t="s">
        <v>1383</v>
      </c>
      <c r="F582" s="284">
        <v>0.16</v>
      </c>
      <c r="G582" s="242">
        <v>17.241379310344829</v>
      </c>
      <c r="H582" s="243">
        <f ca="1">SUMIF('Sales 6.2026'!B:F,'All Menu'!B582,'Sales 6.2026'!F:F)</f>
        <v>7.25</v>
      </c>
      <c r="I582" s="177"/>
      <c r="J582" s="244">
        <f>SUMIF('Finished Recipe'!B:B, B582, 'Finished Recipe'!M:M)</f>
        <v>13.955534387552717</v>
      </c>
      <c r="K582" s="244">
        <f t="shared" si="56"/>
        <v>3.285844922792112</v>
      </c>
      <c r="L582" s="245">
        <f t="shared" si="57"/>
        <v>0.80942099447805749</v>
      </c>
      <c r="M582" s="245">
        <f t="shared" si="58"/>
        <v>0.19057900552194249</v>
      </c>
    </row>
    <row r="583" spans="1:13" ht="13" hidden="1">
      <c r="A583" s="78" t="s">
        <v>2948</v>
      </c>
      <c r="B583" s="232" t="s">
        <v>1296</v>
      </c>
      <c r="C583" s="177" t="s">
        <v>1825</v>
      </c>
      <c r="D583" s="177" t="s">
        <v>1384</v>
      </c>
      <c r="E583" s="177" t="s">
        <v>1663</v>
      </c>
      <c r="F583" s="284">
        <v>0.16</v>
      </c>
      <c r="G583" s="242">
        <v>17.241379310344829</v>
      </c>
      <c r="H583" s="243">
        <f ca="1">SUMIF('Sales 6.2026'!B:F,'All Menu'!B583,'Sales 6.2026'!F:F)</f>
        <v>0</v>
      </c>
      <c r="I583" s="177"/>
      <c r="J583" s="244">
        <f>SUMIF('Finished Recipe'!B:B, B583, 'Finished Recipe'!M:M)</f>
        <v>3.758961666666667</v>
      </c>
      <c r="K583" s="244">
        <f t="shared" si="56"/>
        <v>13.482417643678161</v>
      </c>
      <c r="L583" s="245">
        <f t="shared" si="57"/>
        <v>0.21801977666666666</v>
      </c>
      <c r="M583" s="245">
        <f t="shared" si="58"/>
        <v>0.78198022333333328</v>
      </c>
    </row>
    <row r="584" spans="1:13" ht="13" hidden="1">
      <c r="A584" s="78" t="s">
        <v>2949</v>
      </c>
      <c r="B584" s="232" t="s">
        <v>1172</v>
      </c>
      <c r="C584" s="177" t="s">
        <v>1825</v>
      </c>
      <c r="D584" s="177" t="s">
        <v>1384</v>
      </c>
      <c r="E584" s="177" t="s">
        <v>1665</v>
      </c>
      <c r="F584" s="284">
        <v>0.16</v>
      </c>
      <c r="G584" s="242">
        <v>11.206896551724139</v>
      </c>
      <c r="H584" s="243">
        <f ca="1">SUMIF('Sales 6.2026'!B:F,'All Menu'!B584,'Sales 6.2026'!F:F)</f>
        <v>0</v>
      </c>
      <c r="I584" s="177"/>
      <c r="J584" s="244">
        <f>SUMIF('Finished Recipe'!B:B, B584, 'Finished Recipe'!M:M)</f>
        <v>6.2112614459770112</v>
      </c>
      <c r="K584" s="244">
        <f t="shared" si="56"/>
        <v>4.9956351057471275</v>
      </c>
      <c r="L584" s="245">
        <f t="shared" si="57"/>
        <v>0.55423563671794862</v>
      </c>
      <c r="M584" s="245">
        <f t="shared" si="58"/>
        <v>0.44576436328205132</v>
      </c>
    </row>
    <row r="585" spans="1:13" ht="13" hidden="1">
      <c r="A585" s="78" t="s">
        <v>2950</v>
      </c>
      <c r="B585" s="232" t="s">
        <v>1324</v>
      </c>
      <c r="C585" s="177" t="s">
        <v>1825</v>
      </c>
      <c r="D585" s="177" t="s">
        <v>1384</v>
      </c>
      <c r="E585" s="177" t="s">
        <v>1667</v>
      </c>
      <c r="F585" s="284">
        <v>0.16</v>
      </c>
      <c r="G585" s="242">
        <v>17.241379310344829</v>
      </c>
      <c r="H585" s="243">
        <f ca="1">SUMIF('Sales 6.2026'!B:F,'All Menu'!B585,'Sales 6.2026'!F:F)</f>
        <v>14</v>
      </c>
      <c r="I585" s="177"/>
      <c r="J585" s="244">
        <f>SUMIF('Finished Recipe'!B:B, B585, 'Finished Recipe'!M:M)</f>
        <v>11.864188957746478</v>
      </c>
      <c r="K585" s="244">
        <f t="shared" si="56"/>
        <v>5.3771903525983511</v>
      </c>
      <c r="L585" s="245">
        <f t="shared" si="57"/>
        <v>0.6881229595492957</v>
      </c>
      <c r="M585" s="245">
        <f t="shared" si="58"/>
        <v>0.31187704045070436</v>
      </c>
    </row>
    <row r="586" spans="1:13" ht="13" hidden="1">
      <c r="A586" s="78" t="s">
        <v>2951</v>
      </c>
      <c r="B586" s="232" t="s">
        <v>1271</v>
      </c>
      <c r="C586" s="177" t="s">
        <v>1825</v>
      </c>
      <c r="D586" s="177" t="s">
        <v>1384</v>
      </c>
      <c r="E586" s="177" t="s">
        <v>1832</v>
      </c>
      <c r="F586" s="284">
        <v>0.16</v>
      </c>
      <c r="G586" s="242">
        <v>6.4655172413793105</v>
      </c>
      <c r="H586" s="243">
        <f ca="1">SUMIF('Sales 6.2026'!B:F,'All Menu'!B586,'Sales 6.2026'!F:F)</f>
        <v>0</v>
      </c>
      <c r="I586" s="177"/>
      <c r="J586" s="244">
        <f>SUMIF('Finished Recipe'!B:B, B586, 'Finished Recipe'!M:M)</f>
        <v>3.56744167782476</v>
      </c>
      <c r="K586" s="244">
        <f t="shared" si="56"/>
        <v>2.8980755635545505</v>
      </c>
      <c r="L586" s="245">
        <f t="shared" si="57"/>
        <v>0.5517643128368962</v>
      </c>
      <c r="M586" s="245">
        <f t="shared" si="58"/>
        <v>0.4482356871631038</v>
      </c>
    </row>
    <row r="587" spans="1:13" ht="13" hidden="1">
      <c r="A587" s="78" t="s">
        <v>2952</v>
      </c>
      <c r="B587" s="232" t="s">
        <v>1272</v>
      </c>
      <c r="C587" s="177" t="s">
        <v>1825</v>
      </c>
      <c r="D587" s="177" t="s">
        <v>1384</v>
      </c>
      <c r="E587" s="177" t="s">
        <v>1729</v>
      </c>
      <c r="F587" s="284">
        <v>0.16</v>
      </c>
      <c r="G587" s="242">
        <v>10.344827586206897</v>
      </c>
      <c r="H587" s="243">
        <f ca="1">SUMIF('Sales 6.2026'!B:F,'All Menu'!B587,'Sales 6.2026'!F:F)</f>
        <v>0</v>
      </c>
      <c r="I587" s="177"/>
      <c r="J587" s="244">
        <f>SUMIF('Finished Recipe'!B:B, B587, 'Finished Recipe'!M:M)</f>
        <v>4.2128643545924369</v>
      </c>
      <c r="K587" s="244">
        <f t="shared" si="56"/>
        <v>6.1319632316144599</v>
      </c>
      <c r="L587" s="245">
        <f t="shared" si="57"/>
        <v>0.40724355427726888</v>
      </c>
      <c r="M587" s="245">
        <f t="shared" si="58"/>
        <v>0.59275644572273112</v>
      </c>
    </row>
    <row r="588" spans="1:13" ht="13" hidden="1">
      <c r="A588" s="78" t="s">
        <v>2953</v>
      </c>
      <c r="B588" s="232" t="s">
        <v>1273</v>
      </c>
      <c r="C588" s="177" t="s">
        <v>1825</v>
      </c>
      <c r="D588" s="177" t="s">
        <v>1384</v>
      </c>
      <c r="E588" s="177" t="s">
        <v>1669</v>
      </c>
      <c r="F588" s="284">
        <v>0.16</v>
      </c>
      <c r="G588" s="242">
        <v>17.241379310344829</v>
      </c>
      <c r="H588" s="243">
        <f ca="1">SUMIF('Sales 6.2026'!B:F,'All Menu'!B588,'Sales 6.2026'!F:F)</f>
        <v>0</v>
      </c>
      <c r="I588" s="177"/>
      <c r="J588" s="244">
        <f>SUMIF('Finished Recipe'!B:B, B588, 'Finished Recipe'!M:M)</f>
        <v>8.2316929768616411</v>
      </c>
      <c r="K588" s="244">
        <f t="shared" si="56"/>
        <v>9.009686333483188</v>
      </c>
      <c r="L588" s="245">
        <f t="shared" si="57"/>
        <v>0.47743819265797516</v>
      </c>
      <c r="M588" s="245">
        <f t="shared" si="58"/>
        <v>0.52256180734202484</v>
      </c>
    </row>
    <row r="589" spans="1:13" ht="13" hidden="1">
      <c r="A589" s="78" t="s">
        <v>2954</v>
      </c>
      <c r="B589" s="232" t="s">
        <v>1229</v>
      </c>
      <c r="C589" s="177" t="s">
        <v>1825</v>
      </c>
      <c r="D589" s="177" t="s">
        <v>1384</v>
      </c>
      <c r="E589" s="177" t="s">
        <v>1381</v>
      </c>
      <c r="F589" s="284">
        <v>0.16</v>
      </c>
      <c r="G589" s="242">
        <v>1.7241379310344829</v>
      </c>
      <c r="H589" s="243">
        <f ca="1">SUMIF('Sales 6.2026'!B:F,'All Menu'!B589,'Sales 6.2026'!F:F)</f>
        <v>0</v>
      </c>
      <c r="I589" s="177"/>
      <c r="J589" s="244">
        <f>SUMIF('Finished Recipe'!B:B, B589, 'Finished Recipe'!M:M)</f>
        <v>1.2075036059660642</v>
      </c>
      <c r="K589" s="244">
        <f t="shared" si="56"/>
        <v>0.51663432506841866</v>
      </c>
      <c r="L589" s="245">
        <f t="shared" si="57"/>
        <v>0.70035209146031718</v>
      </c>
      <c r="M589" s="245">
        <f t="shared" si="58"/>
        <v>0.29964790853968282</v>
      </c>
    </row>
    <row r="590" spans="1:13" ht="13" hidden="1">
      <c r="A590" s="78" t="s">
        <v>2955</v>
      </c>
      <c r="B590" s="232" t="s">
        <v>1281</v>
      </c>
      <c r="C590" s="177" t="s">
        <v>1825</v>
      </c>
      <c r="D590" s="177" t="s">
        <v>1366</v>
      </c>
      <c r="E590" s="177" t="s">
        <v>1833</v>
      </c>
      <c r="F590" s="284">
        <v>0.16</v>
      </c>
      <c r="G590" s="242">
        <v>8.6206896551724146</v>
      </c>
      <c r="H590" s="243">
        <f ca="1">SUMIF('Sales 6.2026'!B:F,'All Menu'!B590,'Sales 6.2026'!F:F)</f>
        <v>0</v>
      </c>
      <c r="I590" s="177"/>
      <c r="J590" s="244">
        <f>SUMIF('Finished Recipe'!B:B, B590, 'Finished Recipe'!M:M)</f>
        <v>4.6398193029978412</v>
      </c>
      <c r="K590" s="244">
        <f t="shared" si="56"/>
        <v>3.9808703521745734</v>
      </c>
      <c r="L590" s="245">
        <f t="shared" si="57"/>
        <v>0.53821903914774949</v>
      </c>
      <c r="M590" s="245">
        <f t="shared" si="58"/>
        <v>0.46178096085225045</v>
      </c>
    </row>
    <row r="591" spans="1:13" ht="13" hidden="1">
      <c r="A591" s="78" t="s">
        <v>2956</v>
      </c>
      <c r="B591" s="232" t="s">
        <v>1874</v>
      </c>
      <c r="C591" s="177" t="s">
        <v>1825</v>
      </c>
      <c r="D591" s="177" t="s">
        <v>1384</v>
      </c>
      <c r="E591" s="177" t="s">
        <v>1875</v>
      </c>
      <c r="F591" s="284">
        <v>0.16</v>
      </c>
      <c r="G591" s="242">
        <v>1.7241379310344829</v>
      </c>
      <c r="H591" s="243">
        <f ca="1">SUMIF('Sales 6.2026'!B:F,'All Menu'!B591,'Sales 6.2026'!F:F)</f>
        <v>0</v>
      </c>
      <c r="I591" s="177"/>
      <c r="J591" s="244">
        <f>SUMIF('Finished Recipe'!B:B, B591, 'Finished Recipe'!M:M)</f>
        <v>0.35646629310344824</v>
      </c>
      <c r="K591" s="244">
        <f t="shared" si="56"/>
        <v>1.3676716379310347</v>
      </c>
      <c r="L591" s="245">
        <f t="shared" si="57"/>
        <v>0.20675044999999997</v>
      </c>
      <c r="M591" s="245">
        <f t="shared" si="58"/>
        <v>0.79324955000000008</v>
      </c>
    </row>
    <row r="592" spans="1:13" ht="13" hidden="1">
      <c r="A592" s="78" t="s">
        <v>2957</v>
      </c>
      <c r="B592" s="232" t="s">
        <v>854</v>
      </c>
      <c r="C592" s="177" t="s">
        <v>1854</v>
      </c>
      <c r="D592" s="177" t="s">
        <v>1643</v>
      </c>
      <c r="E592" s="177" t="s">
        <v>1862</v>
      </c>
      <c r="F592" s="284">
        <v>0.16</v>
      </c>
      <c r="G592" s="242">
        <v>0.34482758620689657</v>
      </c>
      <c r="H592" s="243">
        <f ca="1">SUMIF('Sales 6.2026'!B:F,'All Menu'!B592,'Sales 6.2026'!F:F)</f>
        <v>0</v>
      </c>
      <c r="I592" s="177"/>
      <c r="J592" s="244">
        <f>SUMIF('Finished Recipe'!B:B, B592, 'Finished Recipe'!M:M)</f>
        <v>0.11331673611111112</v>
      </c>
      <c r="K592" s="244">
        <f t="shared" si="56"/>
        <v>0.23151085009578545</v>
      </c>
      <c r="L592" s="245">
        <f t="shared" si="57"/>
        <v>0.32861853472222224</v>
      </c>
      <c r="M592" s="245">
        <f t="shared" si="58"/>
        <v>0.67138146527777776</v>
      </c>
    </row>
    <row r="593" spans="1:13" ht="13" hidden="1">
      <c r="A593" s="78" t="s">
        <v>2958</v>
      </c>
      <c r="B593" s="232" t="s">
        <v>1056</v>
      </c>
      <c r="C593" s="177" t="s">
        <v>1854</v>
      </c>
      <c r="D593" s="177" t="s">
        <v>1643</v>
      </c>
      <c r="E593" s="177" t="s">
        <v>1644</v>
      </c>
      <c r="F593" s="284">
        <v>0.16</v>
      </c>
      <c r="G593" s="242">
        <v>1.9396551724137931</v>
      </c>
      <c r="H593" s="243">
        <f ca="1">SUMIF('Sales 6.2026'!B:F,'All Menu'!B593,'Sales 6.2026'!F:F)</f>
        <v>0</v>
      </c>
      <c r="I593" s="177"/>
      <c r="J593" s="244">
        <f>SUMIF('Finished Recipe'!B:B, B593, 'Finished Recipe'!M:M)</f>
        <v>0.13</v>
      </c>
      <c r="K593" s="244">
        <f t="shared" si="56"/>
        <v>1.8096551724137933</v>
      </c>
      <c r="L593" s="245">
        <f t="shared" si="57"/>
        <v>6.7022222222222219E-2</v>
      </c>
      <c r="M593" s="245">
        <f t="shared" si="58"/>
        <v>0.93297777777777779</v>
      </c>
    </row>
    <row r="594" spans="1:13" ht="13" hidden="1">
      <c r="A594" s="78" t="s">
        <v>3085</v>
      </c>
      <c r="B594" s="232" t="s">
        <v>1311</v>
      </c>
      <c r="C594" s="177" t="s">
        <v>1854</v>
      </c>
      <c r="D594" s="177" t="s">
        <v>1643</v>
      </c>
      <c r="E594" s="177" t="s">
        <v>1794</v>
      </c>
      <c r="F594" s="284">
        <v>0.16</v>
      </c>
      <c r="G594" s="242">
        <v>1.9396551724137931</v>
      </c>
      <c r="H594" s="243">
        <f ca="1">SUMIF('Sales 6.2026'!B:F,'All Menu'!B594,'Sales 6.2026'!F:F)</f>
        <v>0</v>
      </c>
      <c r="I594" s="177"/>
      <c r="J594" s="244">
        <f>SUMIF('Finished Recipe'!B:B, B594, 'Finished Recipe'!M:M)</f>
        <v>0.21199999999999999</v>
      </c>
      <c r="K594" s="244">
        <f t="shared" si="56"/>
        <v>1.7276551724137932</v>
      </c>
      <c r="L594" s="245">
        <f t="shared" si="57"/>
        <v>0.10929777777777777</v>
      </c>
      <c r="M594" s="245">
        <f t="shared" si="58"/>
        <v>0.89070222222222228</v>
      </c>
    </row>
    <row r="595" spans="1:13" ht="13" hidden="1">
      <c r="A595" s="78" t="s">
        <v>2959</v>
      </c>
      <c r="B595" s="232" t="s">
        <v>1881</v>
      </c>
      <c r="C595" s="177" t="s">
        <v>1854</v>
      </c>
      <c r="D595" s="177" t="s">
        <v>1646</v>
      </c>
      <c r="E595" s="177" t="s">
        <v>1882</v>
      </c>
      <c r="F595" s="284">
        <v>0.16</v>
      </c>
      <c r="G595" s="242">
        <v>0.64655172413793105</v>
      </c>
      <c r="H595" s="243">
        <f ca="1">SUMIF('Sales 6.2026'!B:F,'All Menu'!B595,'Sales 6.2026'!F:F)</f>
        <v>0</v>
      </c>
      <c r="I595" s="177"/>
      <c r="J595" s="244">
        <f>SUMIF('Finished Recipe'!B:B, B595, 'Finished Recipe'!M:M)</f>
        <v>0.28946629310344824</v>
      </c>
      <c r="K595" s="244">
        <f t="shared" si="56"/>
        <v>0.35708543103448281</v>
      </c>
      <c r="L595" s="245">
        <f t="shared" si="57"/>
        <v>0.44770786666666662</v>
      </c>
      <c r="M595" s="245">
        <f t="shared" si="58"/>
        <v>0.55229213333333338</v>
      </c>
    </row>
    <row r="596" spans="1:13" ht="13" hidden="1">
      <c r="A596" s="78" t="s">
        <v>3086</v>
      </c>
      <c r="B596" s="232" t="s">
        <v>1187</v>
      </c>
      <c r="C596" s="177" t="s">
        <v>1854</v>
      </c>
      <c r="D596" s="177" t="s">
        <v>1646</v>
      </c>
      <c r="E596" s="177" t="s">
        <v>685</v>
      </c>
      <c r="F596" s="284">
        <v>0.16</v>
      </c>
      <c r="G596" s="242">
        <v>0.73275862068965525</v>
      </c>
      <c r="H596" s="243">
        <f ca="1">SUMIF('Sales 6.2026'!B:F,'All Menu'!B596,'Sales 6.2026'!F:F)</f>
        <v>0</v>
      </c>
      <c r="I596" s="177"/>
      <c r="J596" s="244">
        <f>SUMIF('Finished Recipe'!B:B, B596, 'Finished Recipe'!M:M)</f>
        <v>0.1167055</v>
      </c>
      <c r="K596" s="244">
        <f t="shared" si="56"/>
        <v>0.61605312068965523</v>
      </c>
      <c r="L596" s="245">
        <f t="shared" si="57"/>
        <v>0.15926868235294117</v>
      </c>
      <c r="M596" s="245">
        <f t="shared" si="58"/>
        <v>0.84073131764705877</v>
      </c>
    </row>
    <row r="597" spans="1:13" ht="13" hidden="1">
      <c r="A597" s="78" t="s">
        <v>3087</v>
      </c>
      <c r="B597" s="232" t="s">
        <v>1188</v>
      </c>
      <c r="C597" s="177" t="s">
        <v>1854</v>
      </c>
      <c r="D597" s="177" t="s">
        <v>1646</v>
      </c>
      <c r="E597" s="177" t="s">
        <v>687</v>
      </c>
      <c r="F597" s="284">
        <v>0.16</v>
      </c>
      <c r="G597" s="242">
        <v>0.73275862068965525</v>
      </c>
      <c r="H597" s="243">
        <f ca="1">SUMIF('Sales 6.2026'!B:F,'All Menu'!B597,'Sales 6.2026'!F:F)</f>
        <v>0</v>
      </c>
      <c r="I597" s="177"/>
      <c r="J597" s="244">
        <f>SUMIF('Finished Recipe'!B:B, B597, 'Finished Recipe'!M:M)</f>
        <v>0.22020393333333332</v>
      </c>
      <c r="K597" s="244">
        <f t="shared" si="56"/>
        <v>0.51255468735632193</v>
      </c>
      <c r="L597" s="245">
        <f t="shared" si="57"/>
        <v>0.30051360313725484</v>
      </c>
      <c r="M597" s="245">
        <f t="shared" si="58"/>
        <v>0.69948639686274516</v>
      </c>
    </row>
    <row r="598" spans="1:13" ht="13" hidden="1">
      <c r="A598" s="78" t="s">
        <v>2960</v>
      </c>
      <c r="B598" s="232" t="s">
        <v>1648</v>
      </c>
      <c r="C598" s="177" t="s">
        <v>1854</v>
      </c>
      <c r="D598" s="177" t="s">
        <v>1646</v>
      </c>
      <c r="E598" s="177" t="s">
        <v>1649</v>
      </c>
      <c r="F598" s="284">
        <v>0.16</v>
      </c>
      <c r="G598" s="242">
        <v>1.6810344827586208</v>
      </c>
      <c r="H598" s="243">
        <f ca="1">SUMIF('Sales 6.2026'!B:F,'All Menu'!B598,'Sales 6.2026'!F:F)</f>
        <v>0</v>
      </c>
      <c r="I598" s="177"/>
      <c r="J598" s="244">
        <f>SUMIF('Finished Recipe'!B:B, B598, 'Finished Recipe'!M:M)</f>
        <v>0.21206699999999998</v>
      </c>
      <c r="K598" s="244">
        <f t="shared" si="56"/>
        <v>1.4689674827586208</v>
      </c>
      <c r="L598" s="245">
        <f t="shared" si="57"/>
        <v>0.12615267692307691</v>
      </c>
      <c r="M598" s="245">
        <f t="shared" si="58"/>
        <v>0.87384732307692303</v>
      </c>
    </row>
    <row r="599" spans="1:13" ht="13" hidden="1">
      <c r="A599" s="78" t="s">
        <v>2961</v>
      </c>
      <c r="B599" s="232" t="s">
        <v>1877</v>
      </c>
      <c r="C599" s="177" t="s">
        <v>1854</v>
      </c>
      <c r="D599" s="177" t="s">
        <v>1646</v>
      </c>
      <c r="E599" s="177" t="s">
        <v>1878</v>
      </c>
      <c r="F599" s="284">
        <v>0.16</v>
      </c>
      <c r="G599" s="242">
        <v>3.2327586206896552</v>
      </c>
      <c r="H599" s="243">
        <f ca="1">SUMIF('Sales 6.2026'!B:F,'All Menu'!B599,'Sales 6.2026'!F:F)</f>
        <v>0</v>
      </c>
      <c r="I599" s="177"/>
      <c r="J599" s="244">
        <f>SUMIF('Finished Recipe'!B:B, B599, 'Finished Recipe'!M:M)</f>
        <v>1.2</v>
      </c>
      <c r="K599" s="244">
        <f t="shared" si="56"/>
        <v>2.0327586206896555</v>
      </c>
      <c r="L599" s="245">
        <f t="shared" si="57"/>
        <v>0.37119999999999997</v>
      </c>
      <c r="M599" s="245">
        <f t="shared" si="58"/>
        <v>0.62880000000000014</v>
      </c>
    </row>
    <row r="600" spans="1:13" ht="13" hidden="1">
      <c r="A600" s="78" t="s">
        <v>2962</v>
      </c>
      <c r="B600" s="232" t="s">
        <v>1186</v>
      </c>
      <c r="C600" s="177" t="s">
        <v>1854</v>
      </c>
      <c r="D600" s="177" t="s">
        <v>1422</v>
      </c>
      <c r="E600" s="177" t="s">
        <v>1430</v>
      </c>
      <c r="F600" s="284">
        <v>0.16</v>
      </c>
      <c r="G600" s="242">
        <v>5.1724137931034484</v>
      </c>
      <c r="H600" s="243">
        <f ca="1">SUMIF('Sales 6.2026'!B:F,'All Menu'!B600,'Sales 6.2026'!F:F)</f>
        <v>0</v>
      </c>
      <c r="I600" s="177"/>
      <c r="J600" s="244">
        <f>SUMIF('Finished Recipe'!B:B, B600, 'Finished Recipe'!M:M)</f>
        <v>1.6609315590496858</v>
      </c>
      <c r="K600" s="244">
        <f t="shared" si="56"/>
        <v>3.5114822340537626</v>
      </c>
      <c r="L600" s="245">
        <f t="shared" si="57"/>
        <v>0.32111343474960591</v>
      </c>
      <c r="M600" s="245">
        <f t="shared" si="58"/>
        <v>0.67888656525039404</v>
      </c>
    </row>
    <row r="601" spans="1:13" ht="13" hidden="1">
      <c r="A601" s="78" t="s">
        <v>2963</v>
      </c>
      <c r="B601" s="232" t="s">
        <v>863</v>
      </c>
      <c r="C601" s="177" t="s">
        <v>1854</v>
      </c>
      <c r="D601" s="177" t="s">
        <v>1422</v>
      </c>
      <c r="E601" s="177" t="s">
        <v>1433</v>
      </c>
      <c r="F601" s="284">
        <v>0.16</v>
      </c>
      <c r="G601" s="242">
        <v>13.793103448275863</v>
      </c>
      <c r="H601" s="243">
        <f ca="1">SUMIF('Sales 6.2026'!B:F,'All Menu'!B601,'Sales 6.2026'!F:F)</f>
        <v>0</v>
      </c>
      <c r="I601" s="177"/>
      <c r="J601" s="244">
        <f>SUMIF('Finished Recipe'!B:B, B601, 'Finished Recipe'!M:M)</f>
        <v>4.1823549910661697</v>
      </c>
      <c r="K601" s="244">
        <f t="shared" si="56"/>
        <v>9.6107484572096933</v>
      </c>
      <c r="L601" s="245">
        <f t="shared" si="57"/>
        <v>0.30322073685229728</v>
      </c>
      <c r="M601" s="245">
        <f t="shared" si="58"/>
        <v>0.69677926314770267</v>
      </c>
    </row>
    <row r="602" spans="1:13" ht="13" hidden="1">
      <c r="A602" s="78" t="s">
        <v>2964</v>
      </c>
      <c r="B602" s="232" t="s">
        <v>867</v>
      </c>
      <c r="C602" s="177" t="s">
        <v>1854</v>
      </c>
      <c r="D602" s="177" t="s">
        <v>1422</v>
      </c>
      <c r="E602" s="177" t="s">
        <v>1869</v>
      </c>
      <c r="F602" s="284">
        <v>0.16</v>
      </c>
      <c r="G602" s="242">
        <v>12.068965517241381</v>
      </c>
      <c r="H602" s="243">
        <f ca="1">SUMIF('Sales 6.2026'!B:F,'All Menu'!B602,'Sales 6.2026'!F:F)</f>
        <v>1</v>
      </c>
      <c r="I602" s="177"/>
      <c r="J602" s="244">
        <f>SUMIF('Finished Recipe'!B:B, B602, 'Finished Recipe'!M:M)</f>
        <v>7.26576208737462</v>
      </c>
      <c r="K602" s="244">
        <f t="shared" si="56"/>
        <v>4.8032034298667607</v>
      </c>
      <c r="L602" s="245">
        <f t="shared" si="57"/>
        <v>0.60202028723961132</v>
      </c>
      <c r="M602" s="245">
        <f t="shared" si="58"/>
        <v>0.39797971276038868</v>
      </c>
    </row>
    <row r="603" spans="1:13" ht="13" hidden="1">
      <c r="A603" s="78" t="s">
        <v>2965</v>
      </c>
      <c r="B603" s="232" t="s">
        <v>1294</v>
      </c>
      <c r="C603" s="177" t="s">
        <v>1854</v>
      </c>
      <c r="D603" s="177" t="s">
        <v>1422</v>
      </c>
      <c r="E603" s="177" t="s">
        <v>1436</v>
      </c>
      <c r="F603" s="284">
        <v>0.16</v>
      </c>
      <c r="G603" s="242">
        <v>13.793103448275863</v>
      </c>
      <c r="H603" s="243">
        <f ca="1">SUMIF('Sales 6.2026'!B:F,'All Menu'!B603,'Sales 6.2026'!F:F)</f>
        <v>0.5</v>
      </c>
      <c r="I603" s="177"/>
      <c r="J603" s="244">
        <f>SUMIF('Finished Recipe'!B:B, B603, 'Finished Recipe'!M:M)</f>
        <v>4.862065290999138</v>
      </c>
      <c r="K603" s="244">
        <f t="shared" si="56"/>
        <v>8.9310381572767241</v>
      </c>
      <c r="L603" s="245">
        <f t="shared" si="57"/>
        <v>0.35249973359743747</v>
      </c>
      <c r="M603" s="245">
        <f t="shared" si="58"/>
        <v>0.64750026640256242</v>
      </c>
    </row>
    <row r="604" spans="1:13" ht="13" hidden="1">
      <c r="A604" s="78" t="s">
        <v>3088</v>
      </c>
      <c r="B604" s="232" t="s">
        <v>1041</v>
      </c>
      <c r="C604" s="177" t="s">
        <v>1854</v>
      </c>
      <c r="D604" s="177" t="s">
        <v>1422</v>
      </c>
      <c r="E604" s="177" t="s">
        <v>1408</v>
      </c>
      <c r="F604" s="284">
        <v>0.16</v>
      </c>
      <c r="G604" s="242">
        <v>3.4482758620689657</v>
      </c>
      <c r="H604" s="243">
        <f ca="1">SUMIF('Sales 6.2026'!B:F,'All Menu'!B604,'Sales 6.2026'!F:F)</f>
        <v>2</v>
      </c>
      <c r="I604" s="177"/>
      <c r="J604" s="244">
        <f>SUMIF('Finished Recipe'!B:B, B604, 'Finished Recipe'!M:M)</f>
        <v>1.5984724463398512</v>
      </c>
      <c r="K604" s="244">
        <f t="shared" si="56"/>
        <v>1.8498034157291146</v>
      </c>
      <c r="L604" s="245">
        <f t="shared" si="57"/>
        <v>0.46355700943855682</v>
      </c>
      <c r="M604" s="245">
        <f t="shared" si="58"/>
        <v>0.53644299056144318</v>
      </c>
    </row>
    <row r="605" spans="1:13" ht="13" hidden="1">
      <c r="A605" s="78" t="s">
        <v>3089</v>
      </c>
      <c r="B605" s="232" t="s">
        <v>1103</v>
      </c>
      <c r="C605" s="177" t="s">
        <v>1854</v>
      </c>
      <c r="D605" s="177" t="s">
        <v>1422</v>
      </c>
      <c r="E605" s="177" t="s">
        <v>1410</v>
      </c>
      <c r="F605" s="284">
        <v>0.16</v>
      </c>
      <c r="G605" s="242">
        <v>5.431034482758621</v>
      </c>
      <c r="H605" s="243">
        <f ca="1">SUMIF('Sales 6.2026'!B:F,'All Menu'!B605,'Sales 6.2026'!F:F)</f>
        <v>0</v>
      </c>
      <c r="I605" s="177"/>
      <c r="J605" s="244">
        <f>SUMIF('Finished Recipe'!B:B, B605, 'Finished Recipe'!M:M)</f>
        <v>4.2653574095974962</v>
      </c>
      <c r="K605" s="244">
        <f t="shared" si="56"/>
        <v>1.1656770731611248</v>
      </c>
      <c r="L605" s="245">
        <f t="shared" si="57"/>
        <v>0.78536739605287231</v>
      </c>
      <c r="M605" s="245">
        <f t="shared" si="58"/>
        <v>0.21463260394712771</v>
      </c>
    </row>
    <row r="606" spans="1:13" ht="13" hidden="1">
      <c r="A606" s="78" t="s">
        <v>2966</v>
      </c>
      <c r="B606" s="232" t="s">
        <v>1045</v>
      </c>
      <c r="C606" s="177" t="s">
        <v>1854</v>
      </c>
      <c r="D606" s="177" t="s">
        <v>1422</v>
      </c>
      <c r="E606" s="177" t="s">
        <v>1443</v>
      </c>
      <c r="F606" s="284">
        <v>0.16</v>
      </c>
      <c r="G606" s="242">
        <v>4.7413793103448283</v>
      </c>
      <c r="H606" s="243">
        <f ca="1">SUMIF('Sales 6.2026'!B:F,'All Menu'!B606,'Sales 6.2026'!F:F)</f>
        <v>1</v>
      </c>
      <c r="I606" s="177"/>
      <c r="J606" s="244">
        <f>SUMIF('Finished Recipe'!B:B, B606, 'Finished Recipe'!M:M)</f>
        <v>2.8009835985035014</v>
      </c>
      <c r="K606" s="244">
        <f t="shared" si="56"/>
        <v>1.9403957118413269</v>
      </c>
      <c r="L606" s="245">
        <f t="shared" si="57"/>
        <v>0.59075290441164752</v>
      </c>
      <c r="M606" s="245">
        <f t="shared" si="58"/>
        <v>0.40924709558835254</v>
      </c>
    </row>
    <row r="607" spans="1:13" ht="13" hidden="1">
      <c r="A607" s="78" t="s">
        <v>3090</v>
      </c>
      <c r="B607" s="232" t="s">
        <v>1986</v>
      </c>
      <c r="C607" s="177" t="s">
        <v>1854</v>
      </c>
      <c r="D607" s="177" t="s">
        <v>1422</v>
      </c>
      <c r="E607" s="177" t="s">
        <v>1901</v>
      </c>
      <c r="F607" s="284">
        <v>0.16</v>
      </c>
      <c r="G607" s="242">
        <v>6.25</v>
      </c>
      <c r="H607" s="243">
        <f ca="1">SUMIF('Sales 6.2026'!B:F,'All Menu'!B607,'Sales 6.2026'!F:F)</f>
        <v>1</v>
      </c>
      <c r="I607" s="177"/>
      <c r="J607" s="244">
        <f>SUMIF('Finished Recipe'!B:B, B607, 'Finished Recipe'!M:M)</f>
        <v>3.3754918850821847</v>
      </c>
      <c r="K607" s="244">
        <f t="shared" si="56"/>
        <v>2.8745081149178153</v>
      </c>
      <c r="L607" s="245">
        <f t="shared" si="57"/>
        <v>0.54007870161314953</v>
      </c>
      <c r="M607" s="245">
        <f t="shared" si="58"/>
        <v>0.45992129838685047</v>
      </c>
    </row>
    <row r="608" spans="1:13" ht="13" hidden="1">
      <c r="A608" s="78" t="s">
        <v>3091</v>
      </c>
      <c r="B608" s="232" t="s">
        <v>1987</v>
      </c>
      <c r="C608" s="177" t="s">
        <v>1854</v>
      </c>
      <c r="D608" s="177" t="s">
        <v>1422</v>
      </c>
      <c r="E608" s="177" t="s">
        <v>1924</v>
      </c>
      <c r="F608" s="284">
        <v>0.16</v>
      </c>
      <c r="G608" s="242">
        <v>3.4482758620689657</v>
      </c>
      <c r="H608" s="243">
        <f ca="1">SUMIF('Sales 6.2026'!B:F,'All Menu'!B608,'Sales 6.2026'!F:F)</f>
        <v>37</v>
      </c>
      <c r="I608" s="177"/>
      <c r="J608" s="244">
        <f>SUMIF('Finished Recipe'!B:B, B608, 'Finished Recipe'!M:M)</f>
        <v>1.6041717489927052</v>
      </c>
      <c r="K608" s="244">
        <f t="shared" si="56"/>
        <v>1.8441041130762605</v>
      </c>
      <c r="L608" s="245">
        <f t="shared" si="57"/>
        <v>0.46520980720788446</v>
      </c>
      <c r="M608" s="245">
        <f t="shared" si="58"/>
        <v>0.53479019279211548</v>
      </c>
    </row>
    <row r="609" spans="1:13" ht="13" hidden="1">
      <c r="A609" s="78" t="s">
        <v>3092</v>
      </c>
      <c r="B609" s="232" t="s">
        <v>1182</v>
      </c>
      <c r="C609" s="177" t="s">
        <v>1854</v>
      </c>
      <c r="D609" s="177" t="s">
        <v>1587</v>
      </c>
      <c r="E609" s="177" t="s">
        <v>531</v>
      </c>
      <c r="F609" s="284">
        <v>0.16</v>
      </c>
      <c r="G609" s="242">
        <v>8.6206896551724144E-2</v>
      </c>
      <c r="H609" s="243">
        <f ca="1">SUMIF('Sales 6.2026'!B:F,'All Menu'!B609,'Sales 6.2026'!F:F)</f>
        <v>0</v>
      </c>
      <c r="I609" s="177"/>
      <c r="J609" s="244">
        <f>SUMIF('Finished Recipe'!B:B, B609, 'Finished Recipe'!M:M)</f>
        <v>1.8806451612903227E-2</v>
      </c>
      <c r="K609" s="244">
        <f t="shared" si="56"/>
        <v>6.7400444938820914E-2</v>
      </c>
      <c r="L609" s="245">
        <f t="shared" si="57"/>
        <v>0.21815483870967742</v>
      </c>
      <c r="M609" s="245">
        <f t="shared" si="58"/>
        <v>0.78184516129032255</v>
      </c>
    </row>
    <row r="610" spans="1:13" ht="13" hidden="1">
      <c r="A610" s="78" t="s">
        <v>3093</v>
      </c>
      <c r="B610" s="232" t="s">
        <v>851</v>
      </c>
      <c r="C610" s="177" t="s">
        <v>1854</v>
      </c>
      <c r="D610" s="177" t="s">
        <v>1587</v>
      </c>
      <c r="E610" s="177" t="s">
        <v>1583</v>
      </c>
      <c r="F610" s="284">
        <v>0.16</v>
      </c>
      <c r="G610" s="242">
        <v>4.3103448275862073</v>
      </c>
      <c r="H610" s="243">
        <f ca="1">SUMIF('Sales 6.2026'!B:F,'All Menu'!B610,'Sales 6.2026'!F:F)</f>
        <v>8</v>
      </c>
      <c r="I610" s="177"/>
      <c r="J610" s="244">
        <f>SUMIF('Finished Recipe'!B:B, B610, 'Finished Recipe'!M:M)</f>
        <v>1.1895627047223662</v>
      </c>
      <c r="K610" s="244">
        <f t="shared" si="56"/>
        <v>3.120782122863841</v>
      </c>
      <c r="L610" s="245">
        <f t="shared" si="57"/>
        <v>0.27597854749558892</v>
      </c>
      <c r="M610" s="245">
        <f t="shared" si="58"/>
        <v>0.72402145250441108</v>
      </c>
    </row>
    <row r="611" spans="1:13" ht="13" hidden="1">
      <c r="A611" s="78" t="s">
        <v>2967</v>
      </c>
      <c r="B611" s="232" t="s">
        <v>1303</v>
      </c>
      <c r="C611" s="177" t="s">
        <v>1854</v>
      </c>
      <c r="D611" s="177" t="s">
        <v>1587</v>
      </c>
      <c r="E611" s="177" t="s">
        <v>1860</v>
      </c>
      <c r="F611" s="284">
        <v>0.16</v>
      </c>
      <c r="G611" s="242">
        <v>17.241379310344829</v>
      </c>
      <c r="H611" s="243">
        <f ca="1">SUMIF('Sales 6.2026'!B:F,'All Menu'!B611,'Sales 6.2026'!F:F)</f>
        <v>0</v>
      </c>
      <c r="I611" s="177"/>
      <c r="J611" s="244">
        <f>SUMIF('Finished Recipe'!B:B, B611, 'Finished Recipe'!M:M)</f>
        <v>15.455312868598668</v>
      </c>
      <c r="K611" s="244">
        <f t="shared" si="56"/>
        <v>1.7860664417461614</v>
      </c>
      <c r="L611" s="245">
        <f t="shared" si="57"/>
        <v>0.89640814637872268</v>
      </c>
      <c r="M611" s="245">
        <f t="shared" si="58"/>
        <v>0.10359185362127735</v>
      </c>
    </row>
    <row r="612" spans="1:13" ht="13" hidden="1">
      <c r="A612" s="78" t="s">
        <v>2968</v>
      </c>
      <c r="B612" s="232" t="s">
        <v>1304</v>
      </c>
      <c r="C612" s="177" t="s">
        <v>1854</v>
      </c>
      <c r="D612" s="177" t="s">
        <v>1587</v>
      </c>
      <c r="E612" s="177" t="s">
        <v>1596</v>
      </c>
      <c r="F612" s="284">
        <v>0.16</v>
      </c>
      <c r="G612" s="242">
        <v>9.4827586206896566</v>
      </c>
      <c r="H612" s="243">
        <f ca="1">SUMIF('Sales 6.2026'!B:F,'All Menu'!B612,'Sales 6.2026'!F:F)</f>
        <v>2</v>
      </c>
      <c r="I612" s="177"/>
      <c r="J612" s="244">
        <f>SUMIF('Finished Recipe'!B:B, B612, 'Finished Recipe'!M:M)</f>
        <v>7.8089064342993337</v>
      </c>
      <c r="K612" s="244">
        <f t="shared" si="56"/>
        <v>1.6738521863903228</v>
      </c>
      <c r="L612" s="245">
        <f t="shared" si="57"/>
        <v>0.8234846785261114</v>
      </c>
      <c r="M612" s="245">
        <f t="shared" si="58"/>
        <v>0.17651532147388857</v>
      </c>
    </row>
    <row r="613" spans="1:13" ht="13" hidden="1">
      <c r="A613" s="78" t="s">
        <v>2969</v>
      </c>
      <c r="B613" s="232" t="s">
        <v>1038</v>
      </c>
      <c r="C613" s="177" t="s">
        <v>1854</v>
      </c>
      <c r="D613" s="177" t="s">
        <v>1587</v>
      </c>
      <c r="E613" s="177" t="s">
        <v>1855</v>
      </c>
      <c r="F613" s="284">
        <v>0.16</v>
      </c>
      <c r="G613" s="242">
        <v>1.6810344827586208</v>
      </c>
      <c r="H613" s="243">
        <f ca="1">SUMIF('Sales 6.2026'!B:F,'All Menu'!B613,'Sales 6.2026'!F:F)</f>
        <v>3</v>
      </c>
      <c r="I613" s="177"/>
      <c r="J613" s="244">
        <f>SUMIF('Finished Recipe'!B:B, B613, 'Finished Recipe'!M:M)</f>
        <v>0.22126973361010208</v>
      </c>
      <c r="K613" s="244">
        <f t="shared" si="56"/>
        <v>1.4597647491485186</v>
      </c>
      <c r="L613" s="245">
        <f t="shared" si="57"/>
        <v>0.13162712358344533</v>
      </c>
      <c r="M613" s="245">
        <f t="shared" si="58"/>
        <v>0.86837287641655458</v>
      </c>
    </row>
    <row r="614" spans="1:13" ht="13" hidden="1">
      <c r="A614" s="78" t="s">
        <v>2970</v>
      </c>
      <c r="B614" s="232" t="s">
        <v>1170</v>
      </c>
      <c r="C614" s="177" t="s">
        <v>1854</v>
      </c>
      <c r="D614" s="177" t="s">
        <v>1587</v>
      </c>
      <c r="E614" s="177" t="s">
        <v>1796</v>
      </c>
      <c r="F614" s="284">
        <v>0.16</v>
      </c>
      <c r="G614" s="242">
        <v>1.9396551724137931</v>
      </c>
      <c r="H614" s="243">
        <f ca="1">SUMIF('Sales 6.2026'!B:F,'All Menu'!B614,'Sales 6.2026'!F:F)</f>
        <v>0</v>
      </c>
      <c r="I614" s="177"/>
      <c r="J614" s="244">
        <f>SUMIF('Finished Recipe'!B:B, B614, 'Finished Recipe'!M:M)</f>
        <v>0.34986473361010206</v>
      </c>
      <c r="K614" s="244">
        <f t="shared" si="56"/>
        <v>1.589790438803691</v>
      </c>
      <c r="L614" s="245">
        <f t="shared" si="57"/>
        <v>0.18037470710565262</v>
      </c>
      <c r="M614" s="245">
        <f t="shared" si="58"/>
        <v>0.81962529289434738</v>
      </c>
    </row>
    <row r="615" spans="1:13" ht="13" hidden="1">
      <c r="A615" s="78" t="s">
        <v>3094</v>
      </c>
      <c r="B615" s="232" t="s">
        <v>1034</v>
      </c>
      <c r="C615" s="177" t="s">
        <v>1854</v>
      </c>
      <c r="D615" s="177" t="s">
        <v>1587</v>
      </c>
      <c r="E615" s="177" t="s">
        <v>1567</v>
      </c>
      <c r="F615" s="284">
        <v>0.16</v>
      </c>
      <c r="G615" s="242">
        <v>1.9396551724137931</v>
      </c>
      <c r="H615" s="243">
        <f ca="1">SUMIF('Sales 6.2026'!B:F,'All Menu'!B615,'Sales 6.2026'!F:F)</f>
        <v>0</v>
      </c>
      <c r="I615" s="177"/>
      <c r="J615" s="244">
        <f>SUMIF('Finished Recipe'!B:B, B615, 'Finished Recipe'!M:M)</f>
        <v>0.15909329194343538</v>
      </c>
      <c r="K615" s="244">
        <f t="shared" si="56"/>
        <v>1.7805618804703578</v>
      </c>
      <c r="L615" s="245">
        <f t="shared" si="57"/>
        <v>8.2021430513060017E-2</v>
      </c>
      <c r="M615" s="245">
        <f t="shared" si="58"/>
        <v>0.91797856948694001</v>
      </c>
    </row>
    <row r="616" spans="1:13" ht="13" hidden="1">
      <c r="A616" s="78" t="s">
        <v>2971</v>
      </c>
      <c r="B616" s="232" t="s">
        <v>1035</v>
      </c>
      <c r="C616" s="177" t="s">
        <v>1854</v>
      </c>
      <c r="D616" s="177" t="s">
        <v>1587</v>
      </c>
      <c r="E616" s="177" t="s">
        <v>1857</v>
      </c>
      <c r="F616" s="284">
        <v>0.16</v>
      </c>
      <c r="G616" s="242">
        <v>1.9396551724137931</v>
      </c>
      <c r="H616" s="243">
        <f ca="1">SUMIF('Sales 6.2026'!B:F,'All Menu'!B616,'Sales 6.2026'!F:F)</f>
        <v>0</v>
      </c>
      <c r="I616" s="177"/>
      <c r="J616" s="244">
        <f>SUMIF('Finished Recipe'!B:B, B616, 'Finished Recipe'!M:M)</f>
        <v>0.38411973361010204</v>
      </c>
      <c r="K616" s="244">
        <f t="shared" si="56"/>
        <v>1.5555354388036911</v>
      </c>
      <c r="L616" s="245">
        <f t="shared" si="57"/>
        <v>0.19803506266120816</v>
      </c>
      <c r="M616" s="245">
        <f t="shared" si="58"/>
        <v>0.80196493733879182</v>
      </c>
    </row>
    <row r="617" spans="1:13" ht="13" hidden="1">
      <c r="A617" s="78" t="s">
        <v>2972</v>
      </c>
      <c r="B617" s="232" t="s">
        <v>1171</v>
      </c>
      <c r="C617" s="177" t="s">
        <v>1854</v>
      </c>
      <c r="D617" s="177" t="s">
        <v>1587</v>
      </c>
      <c r="E617" s="177" t="s">
        <v>1858</v>
      </c>
      <c r="F617" s="284">
        <v>0.16</v>
      </c>
      <c r="G617" s="242">
        <v>1.6810344827586208</v>
      </c>
      <c r="H617" s="243">
        <f ca="1">SUMIF('Sales 6.2026'!B:F,'All Menu'!B617,'Sales 6.2026'!F:F)</f>
        <v>1</v>
      </c>
      <c r="I617" s="177"/>
      <c r="J617" s="244">
        <f>SUMIF('Finished Recipe'!B:B, B617, 'Finished Recipe'!M:M)</f>
        <v>0.24125973361010206</v>
      </c>
      <c r="K617" s="244">
        <f t="shared" si="56"/>
        <v>1.4397747491485187</v>
      </c>
      <c r="L617" s="245">
        <f t="shared" si="57"/>
        <v>0.14351861076293249</v>
      </c>
      <c r="M617" s="245">
        <f t="shared" si="58"/>
        <v>0.85648138923706751</v>
      </c>
    </row>
    <row r="618" spans="1:13" ht="13" hidden="1">
      <c r="A618" s="78" t="s">
        <v>3095</v>
      </c>
      <c r="B618" s="232" t="s">
        <v>1036</v>
      </c>
      <c r="C618" s="177" t="s">
        <v>1854</v>
      </c>
      <c r="D618" s="177" t="s">
        <v>1587</v>
      </c>
      <c r="E618" s="177" t="s">
        <v>1572</v>
      </c>
      <c r="F618" s="284">
        <v>0.16</v>
      </c>
      <c r="G618" s="242">
        <v>1.6810344827586208</v>
      </c>
      <c r="H618" s="243">
        <f ca="1">SUMIF('Sales 6.2026'!B:F,'All Menu'!B618,'Sales 6.2026'!F:F)</f>
        <v>1</v>
      </c>
      <c r="I618" s="177"/>
      <c r="J618" s="244">
        <f>SUMIF('Finished Recipe'!B:B, B618, 'Finished Recipe'!M:M)</f>
        <v>0.541439733610102</v>
      </c>
      <c r="K618" s="244">
        <f t="shared" si="56"/>
        <v>1.1395947491485188</v>
      </c>
      <c r="L618" s="245">
        <f t="shared" si="57"/>
        <v>0.32208722614754787</v>
      </c>
      <c r="M618" s="245">
        <f t="shared" si="58"/>
        <v>0.67791277385245219</v>
      </c>
    </row>
    <row r="619" spans="1:13" ht="13" hidden="1">
      <c r="A619" s="78" t="s">
        <v>2973</v>
      </c>
      <c r="B619" s="232" t="s">
        <v>1037</v>
      </c>
      <c r="C619" s="177" t="s">
        <v>1854</v>
      </c>
      <c r="D619" s="177" t="s">
        <v>1587</v>
      </c>
      <c r="E619" s="177" t="s">
        <v>1859</v>
      </c>
      <c r="F619" s="284">
        <v>0.16</v>
      </c>
      <c r="G619" s="242">
        <v>1.9396551724137931</v>
      </c>
      <c r="H619" s="243">
        <f ca="1">SUMIF('Sales 6.2026'!B:F,'All Menu'!B619,'Sales 6.2026'!F:F)</f>
        <v>0</v>
      </c>
      <c r="I619" s="177"/>
      <c r="J619" s="244">
        <f>SUMIF('Finished Recipe'!B:B, B619, 'Finished Recipe'!M:M)</f>
        <v>0.29269973361010204</v>
      </c>
      <c r="K619" s="244">
        <f t="shared" si="56"/>
        <v>1.6469554388036911</v>
      </c>
      <c r="L619" s="245">
        <f t="shared" si="57"/>
        <v>0.15090297377231926</v>
      </c>
      <c r="M619" s="245">
        <f t="shared" si="58"/>
        <v>0.84909702622768068</v>
      </c>
    </row>
    <row r="620" spans="1:13" ht="13" hidden="1">
      <c r="A620" s="78" t="s">
        <v>3096</v>
      </c>
      <c r="B620" s="232" t="s">
        <v>1024</v>
      </c>
      <c r="C620" s="177" t="s">
        <v>1854</v>
      </c>
      <c r="D620" s="177" t="s">
        <v>1487</v>
      </c>
      <c r="E620" s="177" t="s">
        <v>1355</v>
      </c>
      <c r="F620" s="284">
        <v>0.16</v>
      </c>
      <c r="G620" s="242">
        <v>1.0775862068965518</v>
      </c>
      <c r="H620" s="243">
        <f ca="1">SUMIF('Sales 6.2026'!B:F,'All Menu'!B620,'Sales 6.2026'!F:F)</f>
        <v>0</v>
      </c>
      <c r="I620" s="177"/>
      <c r="J620" s="244">
        <f>SUMIF('Finished Recipe'!B:B, B620, 'Finished Recipe'!M:M)</f>
        <v>0.7713331000000001</v>
      </c>
      <c r="K620" s="244">
        <f t="shared" si="56"/>
        <v>0.30625310689655172</v>
      </c>
      <c r="L620" s="245">
        <f t="shared" si="57"/>
        <v>0.71579711680000002</v>
      </c>
      <c r="M620" s="245">
        <f t="shared" si="58"/>
        <v>0.28420288319999998</v>
      </c>
    </row>
    <row r="621" spans="1:13" ht="13" hidden="1">
      <c r="A621" s="78" t="s">
        <v>3097</v>
      </c>
      <c r="B621" s="232" t="s">
        <v>1095</v>
      </c>
      <c r="C621" s="177" t="s">
        <v>1854</v>
      </c>
      <c r="D621" s="177" t="s">
        <v>1537</v>
      </c>
      <c r="E621" s="177" t="s">
        <v>633</v>
      </c>
      <c r="F621" s="284">
        <v>0.16</v>
      </c>
      <c r="G621" s="242">
        <v>1.6810344827586208</v>
      </c>
      <c r="H621" s="243">
        <f ca="1">SUMIF('Sales 6.2026'!B:F,'All Menu'!B621,'Sales 6.2026'!F:F)</f>
        <v>7</v>
      </c>
      <c r="I621" s="177"/>
      <c r="J621" s="244">
        <f>SUMIF('Finished Recipe'!B:B, B621, 'Finished Recipe'!M:M)</f>
        <v>6.7103849425287368E-2</v>
      </c>
      <c r="K621" s="244">
        <f t="shared" si="56"/>
        <v>1.6139306333333334</v>
      </c>
      <c r="L621" s="245">
        <f t="shared" si="57"/>
        <v>3.9918187350427355E-2</v>
      </c>
      <c r="M621" s="245">
        <f t="shared" si="58"/>
        <v>0.96008181264957271</v>
      </c>
    </row>
    <row r="622" spans="1:13" ht="13" hidden="1">
      <c r="A622" s="78" t="s">
        <v>3098</v>
      </c>
      <c r="B622" s="232" t="s">
        <v>1320</v>
      </c>
      <c r="C622" s="177" t="s">
        <v>1854</v>
      </c>
      <c r="D622" s="177" t="s">
        <v>1537</v>
      </c>
      <c r="E622" s="177" t="s">
        <v>793</v>
      </c>
      <c r="F622" s="284">
        <v>0.16</v>
      </c>
      <c r="G622" s="242">
        <v>1.7241379310344829</v>
      </c>
      <c r="H622" s="243">
        <f ca="1">SUMIF('Sales 6.2026'!B:F,'All Menu'!B622,'Sales 6.2026'!F:F)</f>
        <v>0</v>
      </c>
      <c r="I622" s="177"/>
      <c r="J622" s="244">
        <f>SUMIF('Finished Recipe'!B:B, B622, 'Finished Recipe'!M:M)</f>
        <v>0.23196670804597699</v>
      </c>
      <c r="K622" s="244">
        <f t="shared" si="56"/>
        <v>1.4921712229885058</v>
      </c>
      <c r="L622" s="245">
        <f t="shared" si="57"/>
        <v>0.13454069066666666</v>
      </c>
      <c r="M622" s="245">
        <f t="shared" si="58"/>
        <v>0.86545930933333326</v>
      </c>
    </row>
    <row r="623" spans="1:13" ht="13" hidden="1">
      <c r="A623" s="78" t="s">
        <v>2974</v>
      </c>
      <c r="B623" s="232" t="s">
        <v>1075</v>
      </c>
      <c r="C623" s="177" t="s">
        <v>1854</v>
      </c>
      <c r="D623" s="177" t="s">
        <v>1541</v>
      </c>
      <c r="E623" s="177" t="s">
        <v>1864</v>
      </c>
      <c r="F623" s="284">
        <v>0.16</v>
      </c>
      <c r="G623" s="242">
        <v>3.6637931034482762</v>
      </c>
      <c r="H623" s="243">
        <f ca="1">SUMIF('Sales 6.2026'!B:F,'All Menu'!B623,'Sales 6.2026'!F:F)</f>
        <v>0</v>
      </c>
      <c r="I623" s="177"/>
      <c r="J623" s="244">
        <f>SUMIF('Finished Recipe'!B:B, B623, 'Finished Recipe'!M:M)</f>
        <v>0.50481100000000001</v>
      </c>
      <c r="K623" s="244">
        <f t="shared" si="56"/>
        <v>3.1589821034482761</v>
      </c>
      <c r="L623" s="245">
        <f t="shared" si="57"/>
        <v>0.13778370823529409</v>
      </c>
      <c r="M623" s="245">
        <f t="shared" si="58"/>
        <v>0.86221629176470582</v>
      </c>
    </row>
    <row r="624" spans="1:13" ht="13" hidden="1">
      <c r="A624" s="78" t="s">
        <v>2975</v>
      </c>
      <c r="B624" s="232" t="s">
        <v>826</v>
      </c>
      <c r="C624" s="177" t="s">
        <v>1854</v>
      </c>
      <c r="D624" s="177" t="s">
        <v>1541</v>
      </c>
      <c r="E624" s="177" t="s">
        <v>1865</v>
      </c>
      <c r="F624" s="284">
        <v>0.16</v>
      </c>
      <c r="G624" s="242">
        <v>3.2327586206896552</v>
      </c>
      <c r="H624" s="243">
        <f ca="1">SUMIF('Sales 6.2026'!B:F,'All Menu'!B624,'Sales 6.2026'!F:F)</f>
        <v>0</v>
      </c>
      <c r="I624" s="177"/>
      <c r="J624" s="244">
        <f>SUMIF('Finished Recipe'!B:B, B624, 'Finished Recipe'!M:M)</f>
        <v>0.68249033333333331</v>
      </c>
      <c r="K624" s="244">
        <f t="shared" si="56"/>
        <v>2.5502682873563218</v>
      </c>
      <c r="L624" s="245">
        <f t="shared" si="57"/>
        <v>0.21111700977777775</v>
      </c>
      <c r="M624" s="245">
        <f t="shared" si="58"/>
        <v>0.78888299022222219</v>
      </c>
    </row>
    <row r="625" spans="1:13" ht="13" hidden="1">
      <c r="A625" s="78" t="s">
        <v>2976</v>
      </c>
      <c r="B625" s="232" t="s">
        <v>832</v>
      </c>
      <c r="C625" s="177" t="s">
        <v>1854</v>
      </c>
      <c r="D625" s="177" t="s">
        <v>1541</v>
      </c>
      <c r="E625" s="177" t="s">
        <v>1554</v>
      </c>
      <c r="F625" s="284">
        <v>0.16</v>
      </c>
      <c r="G625" s="242">
        <v>3.2327586206896552</v>
      </c>
      <c r="H625" s="243">
        <f ca="1">SUMIF('Sales 6.2026'!B:F,'All Menu'!B625,'Sales 6.2026'!F:F)</f>
        <v>1</v>
      </c>
      <c r="I625" s="177"/>
      <c r="J625" s="244">
        <f>SUMIF('Finished Recipe'!B:B, B625, 'Finished Recipe'!M:M)</f>
        <v>1.2147992528735629</v>
      </c>
      <c r="K625" s="244">
        <f t="shared" si="56"/>
        <v>2.0179593678160925</v>
      </c>
      <c r="L625" s="245">
        <f t="shared" si="57"/>
        <v>0.37577790222222213</v>
      </c>
      <c r="M625" s="245">
        <f t="shared" si="58"/>
        <v>0.62422209777777793</v>
      </c>
    </row>
    <row r="626" spans="1:13" ht="13" hidden="1">
      <c r="A626" s="78" t="s">
        <v>2977</v>
      </c>
      <c r="B626" s="232" t="s">
        <v>827</v>
      </c>
      <c r="C626" s="177" t="s">
        <v>1854</v>
      </c>
      <c r="D626" s="177" t="s">
        <v>1541</v>
      </c>
      <c r="E626" s="177" t="s">
        <v>1866</v>
      </c>
      <c r="F626" s="284">
        <v>0.16</v>
      </c>
      <c r="G626" s="242">
        <v>3.2327586206896552</v>
      </c>
      <c r="H626" s="243">
        <f ca="1">SUMIF('Sales 6.2026'!B:F,'All Menu'!B626,'Sales 6.2026'!F:F)</f>
        <v>1</v>
      </c>
      <c r="I626" s="177"/>
      <c r="J626" s="244">
        <f>SUMIF('Finished Recipe'!B:B, B626, 'Finished Recipe'!M:M)</f>
        <v>0.69967000000000001</v>
      </c>
      <c r="K626" s="244">
        <f t="shared" si="56"/>
        <v>2.5330886206896555</v>
      </c>
      <c r="L626" s="245">
        <f t="shared" si="57"/>
        <v>0.21643125333333332</v>
      </c>
      <c r="M626" s="245">
        <f t="shared" si="58"/>
        <v>0.78356874666666676</v>
      </c>
    </row>
    <row r="627" spans="1:13" ht="13" hidden="1">
      <c r="A627" s="78" t="s">
        <v>2978</v>
      </c>
      <c r="B627" s="232" t="s">
        <v>1092</v>
      </c>
      <c r="C627" s="177" t="s">
        <v>1854</v>
      </c>
      <c r="D627" s="177" t="s">
        <v>1493</v>
      </c>
      <c r="E627" s="177" t="s">
        <v>1492</v>
      </c>
      <c r="F627" s="284">
        <v>0.16</v>
      </c>
      <c r="G627" s="242">
        <v>3.0172413793103452</v>
      </c>
      <c r="H627" s="243">
        <f ca="1">SUMIF('Sales 6.2026'!B:F,'All Menu'!B627,'Sales 6.2026'!F:F)</f>
        <v>12.800000190735</v>
      </c>
      <c r="I627" s="177"/>
      <c r="J627" s="244">
        <f>SUMIF('Finished Recipe'!B:B, B627, 'Finished Recipe'!M:M)</f>
        <v>0.49158024137931045</v>
      </c>
      <c r="K627" s="244">
        <f t="shared" si="56"/>
        <v>2.525661137931035</v>
      </c>
      <c r="L627" s="245">
        <f t="shared" si="57"/>
        <v>0.16292373714285716</v>
      </c>
      <c r="M627" s="245">
        <f t="shared" si="58"/>
        <v>0.83707626285714287</v>
      </c>
    </row>
    <row r="628" spans="1:13" ht="13" hidden="1">
      <c r="A628" s="78" t="s">
        <v>2979</v>
      </c>
      <c r="B628" s="232" t="s">
        <v>1307</v>
      </c>
      <c r="C628" s="177" t="s">
        <v>1854</v>
      </c>
      <c r="D628" s="177" t="s">
        <v>1493</v>
      </c>
      <c r="E628" s="177" t="s">
        <v>1868</v>
      </c>
      <c r="F628" s="284">
        <v>0.16</v>
      </c>
      <c r="G628" s="242">
        <v>0</v>
      </c>
      <c r="H628" s="243">
        <f ca="1">SUMIF('Sales 6.2026'!B:F,'All Menu'!B628,'Sales 6.2026'!F:F)</f>
        <v>0</v>
      </c>
      <c r="I628" s="177"/>
      <c r="J628" s="244">
        <f>SUMIF('Finished Recipe'!B:B, B628, 'Finished Recipe'!M:M)</f>
        <v>7.1727578400000006E-2</v>
      </c>
      <c r="K628" s="244">
        <f t="shared" si="56"/>
        <v>-7.1727578400000006E-2</v>
      </c>
      <c r="L628" s="245" t="e">
        <f t="shared" si="57"/>
        <v>#DIV/0!</v>
      </c>
      <c r="M628" s="245" t="e">
        <f t="shared" si="58"/>
        <v>#DIV/0!</v>
      </c>
    </row>
    <row r="629" spans="1:13" ht="13" hidden="1">
      <c r="A629" s="78" t="s">
        <v>3099</v>
      </c>
      <c r="B629" s="232" t="s">
        <v>1007</v>
      </c>
      <c r="C629" s="177" t="s">
        <v>1854</v>
      </c>
      <c r="D629" s="177" t="s">
        <v>1334</v>
      </c>
      <c r="E629" s="177" t="s">
        <v>1336</v>
      </c>
      <c r="F629" s="284">
        <v>0.16</v>
      </c>
      <c r="G629" s="242">
        <v>3.2327586206896552</v>
      </c>
      <c r="H629" s="243">
        <f ca="1">SUMIF('Sales 6.2026'!B:F,'All Menu'!B629,'Sales 6.2026'!F:F)</f>
        <v>2</v>
      </c>
      <c r="I629" s="177"/>
      <c r="J629" s="244">
        <f>SUMIF('Finished Recipe'!B:B, B629, 'Finished Recipe'!M:M)</f>
        <v>1.5578187180102518</v>
      </c>
      <c r="K629" s="244">
        <f t="shared" si="56"/>
        <v>1.6749399026794034</v>
      </c>
      <c r="L629" s="245">
        <f t="shared" si="57"/>
        <v>0.48188525677117122</v>
      </c>
      <c r="M629" s="245">
        <f t="shared" si="58"/>
        <v>0.51811474322882878</v>
      </c>
    </row>
    <row r="630" spans="1:13" ht="13" hidden="1">
      <c r="A630" s="78" t="s">
        <v>3100</v>
      </c>
      <c r="B630" s="232" t="s">
        <v>1006</v>
      </c>
      <c r="C630" s="177" t="s">
        <v>1854</v>
      </c>
      <c r="D630" s="177" t="s">
        <v>1334</v>
      </c>
      <c r="E630" s="177" t="s">
        <v>1342</v>
      </c>
      <c r="F630" s="284">
        <v>0.16</v>
      </c>
      <c r="G630" s="242">
        <v>4.5258620689655178</v>
      </c>
      <c r="H630" s="243">
        <f ca="1">SUMIF('Sales 6.2026'!B:F,'All Menu'!B630,'Sales 6.2026'!F:F)</f>
        <v>5</v>
      </c>
      <c r="I630" s="177"/>
      <c r="J630" s="244">
        <f>SUMIF('Finished Recipe'!B:B, B630, 'Finished Recipe'!M:M)</f>
        <v>1.2227484885003888</v>
      </c>
      <c r="K630" s="244">
        <f t="shared" si="56"/>
        <v>3.303113580465129</v>
      </c>
      <c r="L630" s="245">
        <f t="shared" si="57"/>
        <v>0.27016918984008587</v>
      </c>
      <c r="M630" s="245">
        <f t="shared" si="58"/>
        <v>0.72983081015991413</v>
      </c>
    </row>
    <row r="631" spans="1:13" ht="13" hidden="1">
      <c r="A631" s="78" t="s">
        <v>3101</v>
      </c>
      <c r="B631" s="232" t="s">
        <v>1169</v>
      </c>
      <c r="C631" s="177" t="s">
        <v>1854</v>
      </c>
      <c r="D631" s="177" t="s">
        <v>1334</v>
      </c>
      <c r="E631" s="177" t="s">
        <v>1462</v>
      </c>
      <c r="F631" s="284">
        <v>0.16</v>
      </c>
      <c r="G631" s="242">
        <v>6.4655172413793105</v>
      </c>
      <c r="H631" s="243">
        <f ca="1">SUMIF('Sales 6.2026'!B:F,'All Menu'!B631,'Sales 6.2026'!F:F)</f>
        <v>2</v>
      </c>
      <c r="I631" s="177"/>
      <c r="J631" s="244">
        <f>SUMIF('Finished Recipe'!B:B, B631, 'Finished Recipe'!M:M)</f>
        <v>4.3100288079022997</v>
      </c>
      <c r="K631" s="244">
        <f t="shared" si="56"/>
        <v>2.1554884334770108</v>
      </c>
      <c r="L631" s="245">
        <f t="shared" si="57"/>
        <v>0.66661778895555568</v>
      </c>
      <c r="M631" s="245">
        <f t="shared" si="58"/>
        <v>0.33338221104444432</v>
      </c>
    </row>
    <row r="632" spans="1:13" ht="13" hidden="1">
      <c r="A632" s="78" t="s">
        <v>3102</v>
      </c>
      <c r="B632" s="232" t="s">
        <v>1183</v>
      </c>
      <c r="C632" s="177" t="s">
        <v>1854</v>
      </c>
      <c r="D632" s="177" t="s">
        <v>1334</v>
      </c>
      <c r="E632" s="177" t="s">
        <v>1788</v>
      </c>
      <c r="F632" s="284">
        <v>0.16</v>
      </c>
      <c r="G632" s="242">
        <v>4.3103448275862073</v>
      </c>
      <c r="H632" s="243">
        <f ca="1">SUMIF('Sales 6.2026'!B:F,'All Menu'!B632,'Sales 6.2026'!F:F)</f>
        <v>0</v>
      </c>
      <c r="I632" s="177"/>
      <c r="J632" s="244">
        <f>SUMIF('Finished Recipe'!B:B, B632, 'Finished Recipe'!M:M)</f>
        <v>1.7699991477657253</v>
      </c>
      <c r="K632" s="244">
        <f t="shared" si="56"/>
        <v>2.540345679820482</v>
      </c>
      <c r="L632" s="245">
        <f t="shared" si="57"/>
        <v>0.41063980228164826</v>
      </c>
      <c r="M632" s="245">
        <f t="shared" si="58"/>
        <v>0.5893601977183518</v>
      </c>
    </row>
    <row r="633" spans="1:13" ht="13" hidden="1">
      <c r="A633" s="78" t="s">
        <v>3103</v>
      </c>
      <c r="B633" s="232" t="s">
        <v>1242</v>
      </c>
      <c r="C633" s="177" t="s">
        <v>1854</v>
      </c>
      <c r="D633" s="177" t="s">
        <v>1334</v>
      </c>
      <c r="E633" s="177" t="s">
        <v>1732</v>
      </c>
      <c r="F633" s="284">
        <v>0.16</v>
      </c>
      <c r="G633" s="242">
        <v>4.9568965517241379</v>
      </c>
      <c r="H633" s="243">
        <f ca="1">SUMIF('Sales 6.2026'!B:F,'All Menu'!B633,'Sales 6.2026'!F:F)</f>
        <v>0</v>
      </c>
      <c r="I633" s="177"/>
      <c r="J633" s="244">
        <f>SUMIF('Finished Recipe'!B:B, B633, 'Finished Recipe'!M:M)</f>
        <v>2.9999366141414141</v>
      </c>
      <c r="K633" s="244">
        <f t="shared" si="56"/>
        <v>1.9569599375827238</v>
      </c>
      <c r="L633" s="245">
        <f t="shared" si="57"/>
        <v>0.60520460389635489</v>
      </c>
      <c r="M633" s="245">
        <f t="shared" si="58"/>
        <v>0.39479539610364517</v>
      </c>
    </row>
    <row r="634" spans="1:13" ht="13" hidden="1">
      <c r="A634" s="78" t="s">
        <v>2980</v>
      </c>
      <c r="B634" s="232" t="s">
        <v>1193</v>
      </c>
      <c r="C634" s="177" t="s">
        <v>1854</v>
      </c>
      <c r="D634" s="177" t="s">
        <v>1334</v>
      </c>
      <c r="E634" s="177" t="s">
        <v>1359</v>
      </c>
      <c r="F634" s="284">
        <v>0.16</v>
      </c>
      <c r="G634" s="242">
        <v>6.0344827586206904</v>
      </c>
      <c r="H634" s="243">
        <f ca="1">SUMIF('Sales 6.2026'!B:F,'All Menu'!B634,'Sales 6.2026'!F:F)</f>
        <v>0</v>
      </c>
      <c r="I634" s="177"/>
      <c r="J634" s="244">
        <f>SUMIF('Finished Recipe'!B:B, B634, 'Finished Recipe'!M:M)</f>
        <v>3.2219750202770041</v>
      </c>
      <c r="K634" s="244">
        <f t="shared" ref="K634:K662" si="59">G634-J634</f>
        <v>2.8125077383436863</v>
      </c>
      <c r="L634" s="245">
        <f t="shared" ref="L634:L662" si="60">J634/G634</f>
        <v>0.53392728907447495</v>
      </c>
      <c r="M634" s="245">
        <f t="shared" ref="M634:M662" si="61">K634/G634</f>
        <v>0.4660727109255251</v>
      </c>
    </row>
    <row r="635" spans="1:13" ht="13" hidden="1">
      <c r="A635" s="78" t="s">
        <v>2981</v>
      </c>
      <c r="B635" s="232" t="s">
        <v>1194</v>
      </c>
      <c r="C635" s="177" t="s">
        <v>1854</v>
      </c>
      <c r="D635" s="177" t="s">
        <v>1334</v>
      </c>
      <c r="E635" s="177" t="s">
        <v>1360</v>
      </c>
      <c r="F635" s="284">
        <v>0.16</v>
      </c>
      <c r="G635" s="242">
        <v>6.0344827586206904</v>
      </c>
      <c r="H635" s="243">
        <f ca="1">SUMIF('Sales 6.2026'!B:F,'All Menu'!B635,'Sales 6.2026'!F:F)</f>
        <v>0</v>
      </c>
      <c r="I635" s="177"/>
      <c r="J635" s="244">
        <f>SUMIF('Finished Recipe'!B:B, B635, 'Finished Recipe'!M:M)</f>
        <v>1.3367501313131314</v>
      </c>
      <c r="K635" s="244">
        <f t="shared" si="59"/>
        <v>4.697732627307559</v>
      </c>
      <c r="L635" s="245">
        <f t="shared" si="60"/>
        <v>0.22151859318903316</v>
      </c>
      <c r="M635" s="245">
        <f t="shared" si="61"/>
        <v>0.77848140681096678</v>
      </c>
    </row>
    <row r="636" spans="1:13" ht="13" hidden="1">
      <c r="A636" s="78" t="s">
        <v>3104</v>
      </c>
      <c r="B636" s="232" t="s">
        <v>1243</v>
      </c>
      <c r="C636" s="177" t="s">
        <v>1854</v>
      </c>
      <c r="D636" s="177" t="s">
        <v>1334</v>
      </c>
      <c r="E636" s="177" t="s">
        <v>751</v>
      </c>
      <c r="F636" s="284">
        <v>0.16</v>
      </c>
      <c r="G636" s="242">
        <v>5.1724137931034484</v>
      </c>
      <c r="H636" s="243">
        <f ca="1">SUMIF('Sales 6.2026'!B:F,'All Menu'!B636,'Sales 6.2026'!F:F)</f>
        <v>0</v>
      </c>
      <c r="I636" s="177"/>
      <c r="J636" s="244">
        <f>SUMIF('Finished Recipe'!B:B, B636, 'Finished Recipe'!M:M)</f>
        <v>5.0892226116047743</v>
      </c>
      <c r="K636" s="244">
        <f t="shared" si="59"/>
        <v>8.3191181498674105E-2</v>
      </c>
      <c r="L636" s="245">
        <f t="shared" si="60"/>
        <v>0.98391637157692302</v>
      </c>
      <c r="M636" s="245">
        <f t="shared" si="61"/>
        <v>1.6083628423076993E-2</v>
      </c>
    </row>
    <row r="637" spans="1:13" ht="13" hidden="1">
      <c r="A637" s="78" t="s">
        <v>2982</v>
      </c>
      <c r="B637" s="232" t="s">
        <v>1244</v>
      </c>
      <c r="C637" s="177" t="s">
        <v>1854</v>
      </c>
      <c r="D637" s="177" t="s">
        <v>1334</v>
      </c>
      <c r="E637" s="177" t="s">
        <v>1810</v>
      </c>
      <c r="F637" s="284">
        <v>0.16</v>
      </c>
      <c r="G637" s="242">
        <v>6.0344827586206904</v>
      </c>
      <c r="H637" s="243">
        <f ca="1">SUMIF('Sales 6.2026'!B:F,'All Menu'!B637,'Sales 6.2026'!F:F)</f>
        <v>0</v>
      </c>
      <c r="I637" s="177"/>
      <c r="J637" s="244">
        <f>SUMIF('Finished Recipe'!B:B, B637, 'Finished Recipe'!M:M)</f>
        <v>1.5554824948549533</v>
      </c>
      <c r="K637" s="244">
        <f t="shared" si="59"/>
        <v>4.4790002637657373</v>
      </c>
      <c r="L637" s="245">
        <f t="shared" si="60"/>
        <v>0.25776567057596367</v>
      </c>
      <c r="M637" s="245">
        <f t="shared" si="61"/>
        <v>0.74223432942403633</v>
      </c>
    </row>
    <row r="638" spans="1:13" ht="13" hidden="1">
      <c r="A638" s="78" t="s">
        <v>2983</v>
      </c>
      <c r="B638" s="232" t="s">
        <v>1245</v>
      </c>
      <c r="C638" s="177" t="s">
        <v>1854</v>
      </c>
      <c r="D638" s="177" t="s">
        <v>1334</v>
      </c>
      <c r="E638" s="177" t="s">
        <v>1863</v>
      </c>
      <c r="F638" s="284">
        <v>0.16</v>
      </c>
      <c r="G638" s="242">
        <v>10.344827586206897</v>
      </c>
      <c r="H638" s="243">
        <f ca="1">SUMIF('Sales 6.2026'!B:F,'All Menu'!B638,'Sales 6.2026'!F:F)</f>
        <v>0</v>
      </c>
      <c r="I638" s="177"/>
      <c r="J638" s="244">
        <f>SUMIF('Finished Recipe'!B:B, B638, 'Finished Recipe'!M:M)</f>
        <v>2.9327863230432398</v>
      </c>
      <c r="K638" s="244">
        <f t="shared" si="59"/>
        <v>7.4120412631636565</v>
      </c>
      <c r="L638" s="245">
        <f t="shared" si="60"/>
        <v>0.28350267789417982</v>
      </c>
      <c r="M638" s="245">
        <f t="shared" si="61"/>
        <v>0.71649732210582007</v>
      </c>
    </row>
    <row r="639" spans="1:13" ht="13" hidden="1">
      <c r="A639" s="78" t="s">
        <v>2984</v>
      </c>
      <c r="B639" s="232" t="s">
        <v>1280</v>
      </c>
      <c r="C639" s="177" t="s">
        <v>1854</v>
      </c>
      <c r="D639" s="177" t="s">
        <v>1334</v>
      </c>
      <c r="E639" s="177" t="s">
        <v>1363</v>
      </c>
      <c r="F639" s="284">
        <v>0.16</v>
      </c>
      <c r="G639" s="242">
        <v>5.1724137931034484</v>
      </c>
      <c r="H639" s="243">
        <f ca="1">SUMIF('Sales 6.2026'!B:F,'All Menu'!B639,'Sales 6.2026'!F:F)</f>
        <v>0</v>
      </c>
      <c r="I639" s="177"/>
      <c r="J639" s="244">
        <f>SUMIF('Finished Recipe'!B:B, B639, 'Finished Recipe'!M:M)</f>
        <v>1.5109225120389951</v>
      </c>
      <c r="K639" s="244">
        <f t="shared" si="59"/>
        <v>3.6614912810644533</v>
      </c>
      <c r="L639" s="245">
        <f t="shared" si="60"/>
        <v>0.29211168566087237</v>
      </c>
      <c r="M639" s="245">
        <f t="shared" si="61"/>
        <v>0.70788831433912758</v>
      </c>
    </row>
    <row r="640" spans="1:13" ht="13" hidden="1">
      <c r="A640" s="78" t="s">
        <v>3105</v>
      </c>
      <c r="B640" s="232" t="s">
        <v>1312</v>
      </c>
      <c r="C640" s="177" t="s">
        <v>1854</v>
      </c>
      <c r="D640" s="177" t="s">
        <v>1334</v>
      </c>
      <c r="E640" s="177" t="s">
        <v>1364</v>
      </c>
      <c r="F640" s="284">
        <v>0.16</v>
      </c>
      <c r="G640" s="242">
        <v>6.0344827586206904</v>
      </c>
      <c r="H640" s="243">
        <f ca="1">SUMIF('Sales 6.2026'!B:F,'All Menu'!B640,'Sales 6.2026'!F:F)</f>
        <v>0</v>
      </c>
      <c r="I640" s="177"/>
      <c r="J640" s="244">
        <f>SUMIF('Finished Recipe'!B:B, B640, 'Finished Recipe'!M:M)</f>
        <v>1.0895816278379857</v>
      </c>
      <c r="K640" s="244">
        <f t="shared" si="59"/>
        <v>4.9449011307827044</v>
      </c>
      <c r="L640" s="245">
        <f t="shared" si="60"/>
        <v>0.18055924118458047</v>
      </c>
      <c r="M640" s="245">
        <f t="shared" si="61"/>
        <v>0.81944075881541945</v>
      </c>
    </row>
    <row r="641" spans="1:13" ht="13" hidden="1">
      <c r="A641" s="78" t="s">
        <v>2985</v>
      </c>
      <c r="B641" s="232" t="s">
        <v>1988</v>
      </c>
      <c r="C641" s="177" t="s">
        <v>1854</v>
      </c>
      <c r="D641" s="177" t="s">
        <v>2001</v>
      </c>
      <c r="E641" s="177" t="s">
        <v>1999</v>
      </c>
      <c r="F641" s="284">
        <v>0.16</v>
      </c>
      <c r="G641" s="242">
        <v>15.517241379310345</v>
      </c>
      <c r="H641" s="243">
        <f ca="1">SUMIF('Sales 6.2026'!B:F,'All Menu'!B641,'Sales 6.2026'!F:F)</f>
        <v>28</v>
      </c>
      <c r="I641" s="177"/>
      <c r="J641" s="244">
        <f>SUMIF('Finished Recipe'!B:B, B641, 'Finished Recipe'!M:M)</f>
        <v>9.316249632592255</v>
      </c>
      <c r="K641" s="244">
        <f t="shared" si="59"/>
        <v>6.2009917467180902</v>
      </c>
      <c r="L641" s="245">
        <f t="shared" si="60"/>
        <v>0.60038053187816753</v>
      </c>
      <c r="M641" s="245">
        <f t="shared" si="61"/>
        <v>0.39961946812183247</v>
      </c>
    </row>
    <row r="642" spans="1:13" ht="13" hidden="1">
      <c r="A642" s="78" t="s">
        <v>3106</v>
      </c>
      <c r="B642" s="232" t="s">
        <v>900</v>
      </c>
      <c r="C642" s="177" t="s">
        <v>1818</v>
      </c>
      <c r="D642" s="177" t="s">
        <v>1599</v>
      </c>
      <c r="E642" s="177" t="s">
        <v>1602</v>
      </c>
      <c r="F642" s="284">
        <v>0.16</v>
      </c>
      <c r="G642" s="242">
        <v>4.3103448275862073</v>
      </c>
      <c r="H642" s="243">
        <f ca="1">SUMIF('Sales 6.2026'!B:F,'All Menu'!B642,'Sales 6.2026'!F:F)</f>
        <v>1</v>
      </c>
      <c r="I642" s="177"/>
      <c r="J642" s="244">
        <f>SUMIF('Finished Recipe'!B:B, B642, 'Finished Recipe'!M:M)</f>
        <v>1.1501846754241927</v>
      </c>
      <c r="K642" s="244">
        <f t="shared" si="59"/>
        <v>3.1601601521620148</v>
      </c>
      <c r="L642" s="245">
        <f t="shared" si="60"/>
        <v>0.26684284469841268</v>
      </c>
      <c r="M642" s="245">
        <f t="shared" si="61"/>
        <v>0.73315715530158743</v>
      </c>
    </row>
    <row r="643" spans="1:13" ht="13" hidden="1">
      <c r="A643" s="78" t="s">
        <v>2986</v>
      </c>
      <c r="B643" s="232" t="s">
        <v>899</v>
      </c>
      <c r="C643" s="177" t="s">
        <v>1818</v>
      </c>
      <c r="D643" s="177" t="s">
        <v>1599</v>
      </c>
      <c r="E643" s="177" t="s">
        <v>1600</v>
      </c>
      <c r="F643" s="284">
        <v>0.16</v>
      </c>
      <c r="G643" s="242">
        <v>4.3103448275862073</v>
      </c>
      <c r="H643" s="243">
        <f ca="1">SUMIF('Sales 6.2026'!B:F,'All Menu'!B643,'Sales 6.2026'!F:F)</f>
        <v>0</v>
      </c>
      <c r="I643" s="177"/>
      <c r="J643" s="244">
        <f>SUMIF('Finished Recipe'!B:B, B643, 'Finished Recipe'!M:M)</f>
        <v>2.0196581087940162</v>
      </c>
      <c r="K643" s="244">
        <f t="shared" si="59"/>
        <v>2.2906867187921911</v>
      </c>
      <c r="L643" s="245">
        <f t="shared" si="60"/>
        <v>0.46856068124021172</v>
      </c>
      <c r="M643" s="245">
        <f t="shared" si="61"/>
        <v>0.53143931875978834</v>
      </c>
    </row>
    <row r="644" spans="1:13" ht="13" hidden="1">
      <c r="A644" s="78" t="s">
        <v>2987</v>
      </c>
      <c r="B644" s="232" t="s">
        <v>916</v>
      </c>
      <c r="C644" s="177" t="s">
        <v>1818</v>
      </c>
      <c r="D644" s="177" t="s">
        <v>1557</v>
      </c>
      <c r="E644" s="177" t="s">
        <v>1554</v>
      </c>
      <c r="F644" s="284">
        <v>0.16</v>
      </c>
      <c r="G644" s="242">
        <v>3.2327586206896552</v>
      </c>
      <c r="H644" s="243">
        <f ca="1">SUMIF('Sales 6.2026'!B:F,'All Menu'!B644,'Sales 6.2026'!F:F)</f>
        <v>2</v>
      </c>
      <c r="I644" s="177"/>
      <c r="J644" s="244">
        <f>SUMIF('Finished Recipe'!B:B, B644, 'Finished Recipe'!M:M)</f>
        <v>1.5047888275862069</v>
      </c>
      <c r="K644" s="244">
        <f t="shared" si="59"/>
        <v>1.7279697931034483</v>
      </c>
      <c r="L644" s="245">
        <f t="shared" si="60"/>
        <v>0.46548134400000002</v>
      </c>
      <c r="M644" s="245">
        <f t="shared" si="61"/>
        <v>0.53451865600000004</v>
      </c>
    </row>
    <row r="645" spans="1:13" ht="13" hidden="1">
      <c r="A645" s="78" t="s">
        <v>2988</v>
      </c>
      <c r="B645" s="232" t="s">
        <v>921</v>
      </c>
      <c r="C645" s="177" t="s">
        <v>1818</v>
      </c>
      <c r="D645" s="177" t="s">
        <v>1557</v>
      </c>
      <c r="E645" s="177" t="s">
        <v>1823</v>
      </c>
      <c r="F645" s="284">
        <v>0.16</v>
      </c>
      <c r="G645" s="242">
        <v>4.3103448275862073</v>
      </c>
      <c r="H645" s="243">
        <f ca="1">SUMIF('Sales 6.2026'!B:F,'All Menu'!B645,'Sales 6.2026'!F:F)</f>
        <v>3</v>
      </c>
      <c r="I645" s="177"/>
      <c r="J645" s="244">
        <f>SUMIF('Finished Recipe'!B:B, B645, 'Finished Recipe'!M:M)</f>
        <v>1.4357331804597702</v>
      </c>
      <c r="K645" s="244">
        <f t="shared" si="59"/>
        <v>2.8746116471264371</v>
      </c>
      <c r="L645" s="245">
        <f t="shared" si="60"/>
        <v>0.33309009786666666</v>
      </c>
      <c r="M645" s="245">
        <f t="shared" si="61"/>
        <v>0.66690990213333334</v>
      </c>
    </row>
    <row r="646" spans="1:13" ht="13" hidden="1">
      <c r="A646" s="78" t="s">
        <v>2989</v>
      </c>
      <c r="B646" s="232" t="s">
        <v>1176</v>
      </c>
      <c r="C646" s="177" t="s">
        <v>1809</v>
      </c>
      <c r="D646" s="177" t="s">
        <v>1459</v>
      </c>
      <c r="E646" s="177" t="s">
        <v>1359</v>
      </c>
      <c r="F646" s="284">
        <v>0.16</v>
      </c>
      <c r="G646" s="242">
        <v>5.6034482758620694</v>
      </c>
      <c r="H646" s="243">
        <f ca="1">SUMIF('Sales 6.2026'!B:F,'All Menu'!B646,'Sales 6.2026'!F:F)</f>
        <v>0</v>
      </c>
      <c r="I646" s="177"/>
      <c r="J646" s="244">
        <f>SUMIF('Finished Recipe'!B:B, B646, 'Finished Recipe'!M:M)</f>
        <v>3.8249750202770043</v>
      </c>
      <c r="K646" s="244">
        <f t="shared" si="59"/>
        <v>1.7784732555850651</v>
      </c>
      <c r="L646" s="245">
        <f t="shared" si="60"/>
        <v>0.68261092669558843</v>
      </c>
      <c r="M646" s="245">
        <f t="shared" si="61"/>
        <v>0.31738907330441157</v>
      </c>
    </row>
    <row r="647" spans="1:13" ht="13" hidden="1">
      <c r="A647" s="78" t="s">
        <v>2990</v>
      </c>
      <c r="B647" s="232" t="s">
        <v>1195</v>
      </c>
      <c r="C647" s="177" t="s">
        <v>1809</v>
      </c>
      <c r="D647" s="177" t="s">
        <v>1469</v>
      </c>
      <c r="E647" s="177" t="s">
        <v>1360</v>
      </c>
      <c r="F647" s="284">
        <v>0.16</v>
      </c>
      <c r="G647" s="242">
        <v>3.4482758620689657</v>
      </c>
      <c r="H647" s="243">
        <f ca="1">SUMIF('Sales 6.2026'!B:F,'All Menu'!B647,'Sales 6.2026'!F:F)</f>
        <v>0</v>
      </c>
      <c r="I647" s="177"/>
      <c r="J647" s="244">
        <f>SUMIF('Finished Recipe'!B:B, B647, 'Finished Recipe'!M:M)</f>
        <v>1.9797501313131312</v>
      </c>
      <c r="K647" s="244">
        <f t="shared" si="59"/>
        <v>1.4685257307558346</v>
      </c>
      <c r="L647" s="245">
        <f t="shared" si="60"/>
        <v>0.57412753808080796</v>
      </c>
      <c r="M647" s="245">
        <f t="shared" si="61"/>
        <v>0.42587246191919198</v>
      </c>
    </row>
    <row r="648" spans="1:13" ht="13" hidden="1">
      <c r="A648" s="78" t="s">
        <v>2991</v>
      </c>
      <c r="B648" s="232" t="s">
        <v>1196</v>
      </c>
      <c r="C648" s="177" t="s">
        <v>1809</v>
      </c>
      <c r="D648" s="177" t="s">
        <v>1469</v>
      </c>
      <c r="E648" s="177" t="s">
        <v>1472</v>
      </c>
      <c r="F648" s="284">
        <v>0.16</v>
      </c>
      <c r="G648" s="242">
        <v>6.4655172413793105</v>
      </c>
      <c r="H648" s="243">
        <f ca="1">SUMIF('Sales 6.2026'!B:F,'All Menu'!B648,'Sales 6.2026'!F:F)</f>
        <v>0</v>
      </c>
      <c r="I648" s="177"/>
      <c r="J648" s="244">
        <f>SUMIF('Finished Recipe'!B:B, B648, 'Finished Recipe'!M:M)</f>
        <v>3.1965002626262624</v>
      </c>
      <c r="K648" s="244">
        <f t="shared" si="59"/>
        <v>3.2690169787530481</v>
      </c>
      <c r="L648" s="245">
        <f t="shared" si="60"/>
        <v>0.49439204061952857</v>
      </c>
      <c r="M648" s="245">
        <f t="shared" si="61"/>
        <v>0.50560795938047143</v>
      </c>
    </row>
    <row r="649" spans="1:13" ht="13" hidden="1">
      <c r="A649" s="78" t="s">
        <v>2992</v>
      </c>
      <c r="B649" s="232" t="s">
        <v>1197</v>
      </c>
      <c r="C649" s="177" t="s">
        <v>1809</v>
      </c>
      <c r="D649" s="177" t="s">
        <v>1469</v>
      </c>
      <c r="E649" s="177" t="s">
        <v>1473</v>
      </c>
      <c r="F649" s="284">
        <v>0.16</v>
      </c>
      <c r="G649" s="242">
        <v>8.3189655172413808</v>
      </c>
      <c r="H649" s="243">
        <f ca="1">SUMIF('Sales 6.2026'!B:F,'All Menu'!B649,'Sales 6.2026'!F:F)</f>
        <v>1</v>
      </c>
      <c r="I649" s="177"/>
      <c r="J649" s="244">
        <f>SUMIF('Finished Recipe'!B:B, B649, 'Finished Recipe'!M:M)</f>
        <v>4.5732503939393929</v>
      </c>
      <c r="K649" s="244">
        <f t="shared" si="59"/>
        <v>3.7457151233019879</v>
      </c>
      <c r="L649" s="245">
        <f t="shared" si="60"/>
        <v>0.54973787118856943</v>
      </c>
      <c r="M649" s="245">
        <f t="shared" si="61"/>
        <v>0.45026212881143057</v>
      </c>
    </row>
    <row r="650" spans="1:13" ht="13" hidden="1">
      <c r="A650" s="78" t="s">
        <v>2993</v>
      </c>
      <c r="B650" s="232" t="s">
        <v>1228</v>
      </c>
      <c r="C650" s="177" t="s">
        <v>1809</v>
      </c>
      <c r="D650" s="177" t="s">
        <v>1469</v>
      </c>
      <c r="E650" s="177" t="s">
        <v>1810</v>
      </c>
      <c r="F650" s="284">
        <v>0.16</v>
      </c>
      <c r="G650" s="242">
        <v>5.6034482758620694</v>
      </c>
      <c r="H650" s="243">
        <f ca="1">SUMIF('Sales 6.2026'!B:F,'All Menu'!B650,'Sales 6.2026'!F:F)</f>
        <v>0</v>
      </c>
      <c r="I650" s="177"/>
      <c r="J650" s="244">
        <f>SUMIF('Finished Recipe'!B:B, B650, 'Finished Recipe'!M:M)</f>
        <v>1.8916530465790913</v>
      </c>
      <c r="K650" s="244">
        <f t="shared" si="59"/>
        <v>3.7117952292829779</v>
      </c>
      <c r="L650" s="245">
        <f t="shared" si="60"/>
        <v>0.3375873129279609</v>
      </c>
      <c r="M650" s="245">
        <f t="shared" si="61"/>
        <v>0.66241268707203904</v>
      </c>
    </row>
    <row r="651" spans="1:13" ht="13" hidden="1">
      <c r="A651" s="78" t="s">
        <v>2994</v>
      </c>
      <c r="B651" s="232" t="s">
        <v>1276</v>
      </c>
      <c r="C651" s="177" t="s">
        <v>423</v>
      </c>
      <c r="D651" s="177" t="s">
        <v>1418</v>
      </c>
      <c r="E651" s="177" t="s">
        <v>1808</v>
      </c>
      <c r="F651" s="284">
        <v>0.16</v>
      </c>
      <c r="G651" s="242">
        <v>0.12931034482758622</v>
      </c>
      <c r="H651" s="243">
        <f ca="1">SUMIF('Sales 6.2026'!B:F,'All Menu'!B651,'Sales 6.2026'!F:F)</f>
        <v>10</v>
      </c>
      <c r="I651" s="177"/>
      <c r="J651" s="244">
        <f>SUMIF('Finished Recipe'!B:B, B651, 'Finished Recipe'!M:M)</f>
        <v>2.8163130374339856E-2</v>
      </c>
      <c r="K651" s="244">
        <f t="shared" si="59"/>
        <v>0.10114721445324636</v>
      </c>
      <c r="L651" s="245">
        <f t="shared" si="60"/>
        <v>0.21779487489489488</v>
      </c>
      <c r="M651" s="245">
        <f t="shared" si="61"/>
        <v>0.78220512510510509</v>
      </c>
    </row>
    <row r="652" spans="1:13" ht="13" hidden="1">
      <c r="A652" s="78" t="s">
        <v>2995</v>
      </c>
      <c r="B652" s="232" t="s">
        <v>1148</v>
      </c>
      <c r="C652" s="177" t="s">
        <v>1813</v>
      </c>
      <c r="D652" s="177" t="s">
        <v>1634</v>
      </c>
      <c r="E652" s="177" t="s">
        <v>1814</v>
      </c>
      <c r="F652" s="284">
        <v>0.16</v>
      </c>
      <c r="G652" s="242">
        <v>0.21551724137931036</v>
      </c>
      <c r="H652" s="243">
        <f ca="1">SUMIF('Sales 6.2026'!B:F,'All Menu'!B652,'Sales 6.2026'!F:F)</f>
        <v>0</v>
      </c>
      <c r="I652" s="177"/>
      <c r="J652" s="244">
        <f>SUMIF('Finished Recipe'!B:B, B652, 'Finished Recipe'!M:M)</f>
        <v>0.13741666666666666</v>
      </c>
      <c r="K652" s="244">
        <f t="shared" si="59"/>
        <v>7.81005747126437E-2</v>
      </c>
      <c r="L652" s="245">
        <f t="shared" si="60"/>
        <v>0.63761333333333325</v>
      </c>
      <c r="M652" s="245">
        <f t="shared" si="61"/>
        <v>0.36238666666666675</v>
      </c>
    </row>
    <row r="653" spans="1:13" ht="13" hidden="1">
      <c r="A653" s="78" t="s">
        <v>3112</v>
      </c>
      <c r="B653" s="232" t="s">
        <v>1897</v>
      </c>
      <c r="C653" s="177" t="s">
        <v>1806</v>
      </c>
      <c r="D653" s="177" t="s">
        <v>1448</v>
      </c>
      <c r="E653" s="177" t="s">
        <v>1925</v>
      </c>
      <c r="F653" s="284">
        <v>0.16</v>
      </c>
      <c r="G653" s="242">
        <v>0.43103448275862072</v>
      </c>
      <c r="H653" s="243">
        <f ca="1">SUMIF('Sales 6.2026'!B:F,'All Menu'!B653,'Sales 6.2026'!F:F)</f>
        <v>0</v>
      </c>
      <c r="I653" s="177"/>
      <c r="J653" s="244">
        <f>SUMIF('Finished Recipe'!B:B, B653, 'Finished Recipe'!M:M)</f>
        <v>0.1167055</v>
      </c>
      <c r="K653" s="244">
        <f t="shared" si="59"/>
        <v>0.3143289827586207</v>
      </c>
      <c r="L653" s="245">
        <f t="shared" si="60"/>
        <v>0.27075675999999999</v>
      </c>
      <c r="M653" s="245">
        <f t="shared" si="61"/>
        <v>0.72924323999999996</v>
      </c>
    </row>
    <row r="654" spans="1:13" ht="13" hidden="1">
      <c r="A654" s="78" t="s">
        <v>3113</v>
      </c>
      <c r="B654" s="232" t="s">
        <v>1898</v>
      </c>
      <c r="C654" s="177" t="s">
        <v>1806</v>
      </c>
      <c r="D654" s="177" t="s">
        <v>1448</v>
      </c>
      <c r="E654" s="177" t="s">
        <v>1926</v>
      </c>
      <c r="F654" s="284">
        <v>0.16</v>
      </c>
      <c r="G654" s="242">
        <v>0.43103448275862072</v>
      </c>
      <c r="H654" s="243">
        <f ca="1">SUMIF('Sales 6.2026'!B:F,'All Menu'!B654,'Sales 6.2026'!F:F)</f>
        <v>0</v>
      </c>
      <c r="I654" s="177"/>
      <c r="J654" s="244">
        <f>SUMIF('Finished Recipe'!B:B, B654, 'Finished Recipe'!M:M)</f>
        <v>0.22020393333333332</v>
      </c>
      <c r="K654" s="244">
        <f t="shared" si="59"/>
        <v>0.21083054942528739</v>
      </c>
      <c r="L654" s="245">
        <f t="shared" si="60"/>
        <v>0.51087312533333329</v>
      </c>
      <c r="M654" s="245">
        <f t="shared" si="61"/>
        <v>0.48912687466666671</v>
      </c>
    </row>
    <row r="655" spans="1:13" ht="13" hidden="1">
      <c r="A655" s="78" t="s">
        <v>3114</v>
      </c>
      <c r="B655" s="232" t="s">
        <v>1233</v>
      </c>
      <c r="C655" s="177" t="s">
        <v>1806</v>
      </c>
      <c r="D655" s="177" t="s">
        <v>1535</v>
      </c>
      <c r="E655" s="177" t="s">
        <v>1382</v>
      </c>
      <c r="F655" s="284">
        <v>0.16</v>
      </c>
      <c r="G655" s="242">
        <v>1.2931034482758621</v>
      </c>
      <c r="H655" s="243">
        <f ca="1">SUMIF('Sales 6.2026'!B:F,'All Menu'!B655,'Sales 6.2026'!F:F)</f>
        <v>0</v>
      </c>
      <c r="I655" s="177"/>
      <c r="J655" s="244">
        <f>SUMIF('Finished Recipe'!B:B, B655, 'Finished Recipe'!M:M)</f>
        <v>0.59931053448275862</v>
      </c>
      <c r="K655" s="244">
        <f t="shared" si="59"/>
        <v>0.69379291379310348</v>
      </c>
      <c r="L655" s="245">
        <f t="shared" si="60"/>
        <v>0.46346681333333334</v>
      </c>
      <c r="M655" s="245">
        <f t="shared" si="61"/>
        <v>0.53653318666666672</v>
      </c>
    </row>
    <row r="656" spans="1:13" ht="13" hidden="1">
      <c r="A656" s="78" t="s">
        <v>3115</v>
      </c>
      <c r="B656" s="232" t="s">
        <v>1234</v>
      </c>
      <c r="C656" s="177" t="s">
        <v>1806</v>
      </c>
      <c r="D656" s="177" t="s">
        <v>1535</v>
      </c>
      <c r="E656" s="177" t="s">
        <v>633</v>
      </c>
      <c r="F656" s="284">
        <v>0.16</v>
      </c>
      <c r="G656" s="242">
        <v>1.2931034482758621</v>
      </c>
      <c r="H656" s="243">
        <f ca="1">SUMIF('Sales 6.2026'!B:F,'All Menu'!B656,'Sales 6.2026'!F:F)</f>
        <v>0</v>
      </c>
      <c r="I656" s="177"/>
      <c r="J656" s="244">
        <f>SUMIF('Finished Recipe'!B:B, B656, 'Finished Recipe'!M:M)</f>
        <v>0.12786746448275862</v>
      </c>
      <c r="K656" s="244">
        <f t="shared" si="59"/>
        <v>1.1652359837931034</v>
      </c>
      <c r="L656" s="245">
        <f t="shared" si="60"/>
        <v>9.8884172533333328E-2</v>
      </c>
      <c r="M656" s="245">
        <f t="shared" si="61"/>
        <v>0.90111582746666663</v>
      </c>
    </row>
    <row r="657" spans="1:14" ht="13" hidden="1">
      <c r="A657" s="78" t="s">
        <v>2458</v>
      </c>
      <c r="B657" s="232">
        <v>50011</v>
      </c>
      <c r="C657" s="177" t="s">
        <v>1835</v>
      </c>
      <c r="D657" s="177" t="s">
        <v>284</v>
      </c>
      <c r="E657" s="177" t="s">
        <v>404</v>
      </c>
      <c r="F657" s="284">
        <v>0</v>
      </c>
      <c r="G657" s="242">
        <v>3</v>
      </c>
      <c r="H657" s="243">
        <f ca="1">SUMIF('Sales 6.2026'!B:F,'All Menu'!B657,'Sales 6.2026'!F:F)</f>
        <v>1</v>
      </c>
      <c r="I657" s="177"/>
      <c r="J657" s="244">
        <f>SUMIF('Finished Recipe'!B:B, B657, 'Finished Recipe'!M:M)</f>
        <v>0.75</v>
      </c>
      <c r="K657" s="244">
        <f t="shared" si="59"/>
        <v>2.25</v>
      </c>
      <c r="L657" s="245">
        <f t="shared" si="60"/>
        <v>0.25</v>
      </c>
      <c r="M657" s="245">
        <f t="shared" si="61"/>
        <v>0.75</v>
      </c>
    </row>
    <row r="658" spans="1:14" ht="13" hidden="1">
      <c r="A658" s="78" t="s">
        <v>2459</v>
      </c>
      <c r="B658" s="232">
        <v>50012</v>
      </c>
      <c r="C658" s="177" t="s">
        <v>1835</v>
      </c>
      <c r="D658" s="177" t="s">
        <v>284</v>
      </c>
      <c r="E658" s="177" t="s">
        <v>406</v>
      </c>
      <c r="F658" s="284">
        <v>0</v>
      </c>
      <c r="G658" s="242">
        <v>3</v>
      </c>
      <c r="H658" s="243">
        <f ca="1">SUMIF('Sales 6.2026'!B:F,'All Menu'!B658,'Sales 6.2026'!F:F)</f>
        <v>2.48</v>
      </c>
      <c r="I658" s="177"/>
      <c r="J658" s="244">
        <f>SUMIF('Finished Recipe'!B:B, B658, 'Finished Recipe'!M:M)</f>
        <v>0.75</v>
      </c>
      <c r="K658" s="244">
        <f t="shared" si="59"/>
        <v>2.25</v>
      </c>
      <c r="L658" s="245">
        <f t="shared" si="60"/>
        <v>0.25</v>
      </c>
      <c r="M658" s="245">
        <f t="shared" si="61"/>
        <v>0.75</v>
      </c>
    </row>
    <row r="659" spans="1:14" ht="13" hidden="1">
      <c r="A659" s="78" t="s">
        <v>2314</v>
      </c>
      <c r="B659" s="232">
        <v>50013</v>
      </c>
      <c r="C659" s="177" t="s">
        <v>1835</v>
      </c>
      <c r="D659" s="177" t="s">
        <v>284</v>
      </c>
      <c r="E659" s="177" t="s">
        <v>304</v>
      </c>
      <c r="F659" s="284">
        <v>0</v>
      </c>
      <c r="G659" s="242">
        <v>3.75</v>
      </c>
      <c r="H659" s="243">
        <f ca="1">SUMIF('Sales 6.2026'!B:F,'All Menu'!B659,'Sales 6.2026'!F:F)</f>
        <v>0</v>
      </c>
      <c r="I659" s="177"/>
      <c r="J659" s="244">
        <f>SUMIF('Finished Recipe'!B:B, B659, 'Finished Recipe'!M:M)</f>
        <v>1.65</v>
      </c>
      <c r="K659" s="244">
        <f t="shared" si="59"/>
        <v>2.1</v>
      </c>
      <c r="L659" s="245">
        <f t="shared" si="60"/>
        <v>0.44</v>
      </c>
      <c r="M659" s="245">
        <f t="shared" si="61"/>
        <v>0.56000000000000005</v>
      </c>
    </row>
    <row r="660" spans="1:14" ht="13" hidden="1">
      <c r="A660" s="78" t="s">
        <v>3163</v>
      </c>
      <c r="B660" s="232" t="s">
        <v>1916</v>
      </c>
      <c r="C660" s="177" t="s">
        <v>1835</v>
      </c>
      <c r="D660" s="177" t="s">
        <v>1610</v>
      </c>
      <c r="E660" s="177" t="s">
        <v>1917</v>
      </c>
      <c r="F660" s="284">
        <v>0</v>
      </c>
      <c r="G660" s="242">
        <v>14</v>
      </c>
      <c r="H660" s="243">
        <f ca="1">SUMIF('Sales 6.2026'!B:F,'All Menu'!B660,'Sales 6.2026'!F:F)</f>
        <v>0</v>
      </c>
      <c r="I660" s="177"/>
      <c r="J660" s="244">
        <f>SUMIF('Finished Recipe'!B:B, B660, 'Finished Recipe'!M:M)</f>
        <v>12.58</v>
      </c>
      <c r="K660" s="244">
        <f t="shared" si="59"/>
        <v>1.42</v>
      </c>
      <c r="L660" s="245">
        <f t="shared" si="60"/>
        <v>0.89857142857142858</v>
      </c>
      <c r="M660" s="245">
        <f t="shared" si="61"/>
        <v>0.10142857142857142</v>
      </c>
    </row>
    <row r="661" spans="1:14" ht="13" hidden="1">
      <c r="A661" s="78" t="s">
        <v>2997</v>
      </c>
      <c r="B661" s="232" t="s">
        <v>1288</v>
      </c>
      <c r="C661" s="177" t="s">
        <v>1871</v>
      </c>
      <c r="D661" s="177" t="s">
        <v>1705</v>
      </c>
      <c r="E661" s="286" t="s">
        <v>1872</v>
      </c>
      <c r="F661" s="284">
        <v>0</v>
      </c>
      <c r="G661" s="242">
        <v>2.2326476136363635</v>
      </c>
      <c r="H661" s="243">
        <f ca="1">SUMIF('Sales 6.2026'!B:F,'All Menu'!B661,'Sales 6.2026'!F:F)</f>
        <v>364</v>
      </c>
      <c r="I661" s="177"/>
      <c r="J661" s="244">
        <f>SUMIF('Finished Recipe'!B:B, B661, 'Finished Recipe'!M:M)</f>
        <v>1.413547425</v>
      </c>
      <c r="K661" s="244">
        <f t="shared" si="59"/>
        <v>0.81910018863636358</v>
      </c>
      <c r="L661" s="245">
        <f t="shared" si="60"/>
        <v>0.6331260770246333</v>
      </c>
      <c r="M661" s="245">
        <f t="shared" si="61"/>
        <v>0.36687392297536675</v>
      </c>
      <c r="N661" s="23"/>
    </row>
    <row r="662" spans="1:14" ht="13" hidden="1">
      <c r="A662" s="78" t="s">
        <v>2998</v>
      </c>
      <c r="B662" s="232" t="s">
        <v>1267</v>
      </c>
      <c r="C662" s="177" t="s">
        <v>1871</v>
      </c>
      <c r="D662" s="177" t="s">
        <v>1705</v>
      </c>
      <c r="E662" s="286" t="s">
        <v>1721</v>
      </c>
      <c r="F662" s="284">
        <v>0</v>
      </c>
      <c r="G662" s="242">
        <v>4.2180632333333339</v>
      </c>
      <c r="H662" s="243">
        <f ca="1">SUMIF('Sales 6.2026'!B:F,'All Menu'!B662,'Sales 6.2026'!F:F)</f>
        <v>0</v>
      </c>
      <c r="I662" s="177"/>
      <c r="J662" s="244">
        <f>SUMIF('Finished Recipe'!B:B, B662, 'Finished Recipe'!M:M)</f>
        <v>3.1035474250000004</v>
      </c>
      <c r="K662" s="244">
        <f t="shared" si="59"/>
        <v>1.1145158083333335</v>
      </c>
      <c r="L662" s="245">
        <f t="shared" si="60"/>
        <v>0.73577546217755851</v>
      </c>
      <c r="M662" s="245">
        <f t="shared" si="61"/>
        <v>0.26422453782244154</v>
      </c>
      <c r="N662" s="23"/>
    </row>
    <row r="663" spans="1:14" ht="13" hidden="1">
      <c r="A663" s="78" t="s">
        <v>3172</v>
      </c>
      <c r="B663" s="232" t="s">
        <v>2111</v>
      </c>
      <c r="C663" s="177" t="s">
        <v>2119</v>
      </c>
      <c r="D663" s="177" t="s">
        <v>1634</v>
      </c>
      <c r="E663" s="177" t="s">
        <v>2112</v>
      </c>
      <c r="F663" s="284">
        <v>0.16</v>
      </c>
      <c r="G663" s="242">
        <v>0.43103448275862072</v>
      </c>
      <c r="H663" s="243">
        <f ca="1">SUMIF('Sales 6.2026'!B:F,'All Menu'!B663,'Sales 6.2026'!F:F)</f>
        <v>143</v>
      </c>
      <c r="I663" s="177"/>
      <c r="J663" s="244">
        <f>SUMIF('Finished Recipe'!B:B, B663, 'Finished Recipe'!M:M)</f>
        <v>0.2155</v>
      </c>
      <c r="K663" s="244">
        <f t="shared" ref="K663:K666" si="62">G663-J663</f>
        <v>0.21553448275862072</v>
      </c>
      <c r="L663" s="245">
        <f t="shared" ref="L663:L666" si="63">J663/G663</f>
        <v>0.49995999999999996</v>
      </c>
      <c r="M663" s="245">
        <f t="shared" ref="M663:M666" si="64">K663/G663</f>
        <v>0.50004000000000004</v>
      </c>
    </row>
    <row r="664" spans="1:14" ht="13" hidden="1">
      <c r="A664" s="78" t="s">
        <v>3173</v>
      </c>
      <c r="B664" s="232" t="s">
        <v>2113</v>
      </c>
      <c r="C664" s="177" t="s">
        <v>2119</v>
      </c>
      <c r="D664" s="177" t="s">
        <v>1634</v>
      </c>
      <c r="E664" s="177" t="s">
        <v>2114</v>
      </c>
      <c r="F664" s="284">
        <v>0.16</v>
      </c>
      <c r="G664" s="242">
        <v>0.43103448275862072</v>
      </c>
      <c r="H664" s="243">
        <f ca="1">SUMIF('Sales 6.2026'!B:F,'All Menu'!B664,'Sales 6.2026'!F:F)</f>
        <v>7</v>
      </c>
      <c r="I664" s="177"/>
      <c r="J664" s="244">
        <f>SUMIF('Finished Recipe'!B:B, B664, 'Finished Recipe'!M:M)</f>
        <v>0.2155</v>
      </c>
      <c r="K664" s="244">
        <f t="shared" si="62"/>
        <v>0.21553448275862072</v>
      </c>
      <c r="L664" s="245">
        <f t="shared" si="63"/>
        <v>0.49995999999999996</v>
      </c>
      <c r="M664" s="245">
        <f t="shared" si="64"/>
        <v>0.50004000000000004</v>
      </c>
    </row>
    <row r="665" spans="1:14" ht="13" hidden="1">
      <c r="A665" s="78" t="s">
        <v>3174</v>
      </c>
      <c r="B665" s="232" t="s">
        <v>2115</v>
      </c>
      <c r="C665" s="177" t="s">
        <v>2119</v>
      </c>
      <c r="D665" s="177" t="s">
        <v>1634</v>
      </c>
      <c r="E665" s="177" t="s">
        <v>2116</v>
      </c>
      <c r="F665" s="284">
        <v>0.16</v>
      </c>
      <c r="G665" s="242">
        <v>0.43103448275862072</v>
      </c>
      <c r="H665" s="243">
        <f ca="1">SUMIF('Sales 6.2026'!B:F,'All Menu'!B665,'Sales 6.2026'!F:F)</f>
        <v>42</v>
      </c>
      <c r="I665" s="177"/>
      <c r="J665" s="244">
        <f>SUMIF('Finished Recipe'!B:B, B665, 'Finished Recipe'!M:M)</f>
        <v>0.2155</v>
      </c>
      <c r="K665" s="244">
        <f t="shared" si="62"/>
        <v>0.21553448275862072</v>
      </c>
      <c r="L665" s="245">
        <f t="shared" si="63"/>
        <v>0.49995999999999996</v>
      </c>
      <c r="M665" s="245">
        <f t="shared" si="64"/>
        <v>0.50004000000000004</v>
      </c>
    </row>
    <row r="666" spans="1:14" ht="13" hidden="1">
      <c r="A666" s="78" t="s">
        <v>3177</v>
      </c>
      <c r="B666" s="232" t="s">
        <v>2117</v>
      </c>
      <c r="C666" s="177" t="s">
        <v>2119</v>
      </c>
      <c r="D666" s="177" t="s">
        <v>1634</v>
      </c>
      <c r="E666" s="177" t="s">
        <v>2118</v>
      </c>
      <c r="F666" s="284">
        <v>0.16</v>
      </c>
      <c r="G666" s="242">
        <v>0.43103448275862072</v>
      </c>
      <c r="H666" s="243">
        <f ca="1">SUMIF('Sales 6.2026'!B:F,'All Menu'!B666,'Sales 6.2026'!F:F)</f>
        <v>6</v>
      </c>
      <c r="I666" s="177"/>
      <c r="J666" s="244">
        <f>SUMIF('Finished Recipe'!B:B, B666, 'Finished Recipe'!M:M)</f>
        <v>0.2155</v>
      </c>
      <c r="K666" s="244">
        <f t="shared" si="62"/>
        <v>0.21553448275862072</v>
      </c>
      <c r="L666" s="245">
        <f t="shared" si="63"/>
        <v>0.49995999999999996</v>
      </c>
      <c r="M666" s="245">
        <f t="shared" si="64"/>
        <v>0.50004000000000004</v>
      </c>
    </row>
    <row r="667" spans="1:14" ht="13" hidden="1">
      <c r="A667" s="78" t="s">
        <v>3171</v>
      </c>
      <c r="B667" s="283">
        <v>1223965891949</v>
      </c>
      <c r="C667" s="177" t="s">
        <v>1871</v>
      </c>
      <c r="D667" s="177" t="s">
        <v>1705</v>
      </c>
      <c r="E667" s="286" t="s">
        <v>2092</v>
      </c>
      <c r="F667" s="284">
        <v>0</v>
      </c>
      <c r="G667" s="242">
        <v>7.32827195855615</v>
      </c>
      <c r="H667" s="243">
        <f ca="1">SUMIF('Sales 6.2026'!B:F,'All Menu'!B667,'Sales 6.2026'!F:F)</f>
        <v>496</v>
      </c>
      <c r="I667" s="177"/>
      <c r="J667" s="244">
        <f>SUMIF('Finished Recipe'!B:B, B667, 'Finished Recipe'!M:M)</f>
        <v>5.413547425</v>
      </c>
      <c r="K667" s="244">
        <f t="shared" ref="K667" si="65">G667-J667</f>
        <v>1.91472453355615</v>
      </c>
      <c r="L667" s="245">
        <f t="shared" ref="L667" si="66">J667/G667</f>
        <v>0.73872086838690443</v>
      </c>
      <c r="M667" s="245">
        <f t="shared" ref="M667" si="67">K667/G667</f>
        <v>0.26127913161309557</v>
      </c>
      <c r="N667" s="23"/>
    </row>
    <row r="668" spans="1:14" ht="13" hidden="1">
      <c r="B668" s="283" t="s">
        <v>1921</v>
      </c>
      <c r="C668" s="177" t="s">
        <v>2139</v>
      </c>
      <c r="D668" s="177" t="s">
        <v>2140</v>
      </c>
      <c r="E668" s="177" t="s">
        <v>1922</v>
      </c>
      <c r="F668" s="284">
        <v>0.16</v>
      </c>
      <c r="G668" s="242">
        <v>3.75</v>
      </c>
      <c r="H668" s="243">
        <f ca="1">SUMIF('Sales 6.2026'!B:F,'All Menu'!B668,'Sales 6.2026'!F:F)</f>
        <v>959</v>
      </c>
      <c r="I668" s="177"/>
      <c r="J668" s="244">
        <f>SUMIF('Finished Recipe'!B:B, B668, 'Finished Recipe'!M:M)</f>
        <v>1.9936646727101242</v>
      </c>
      <c r="K668" s="244">
        <f t="shared" ref="K668:K669" si="68">G668-J668</f>
        <v>1.7563353272898758</v>
      </c>
      <c r="L668" s="245">
        <f t="shared" ref="L668:L669" si="69">J668/G668</f>
        <v>0.53164391272269973</v>
      </c>
      <c r="M668" s="245">
        <f t="shared" ref="M668:M669" si="70">K668/G668</f>
        <v>0.46835608727730021</v>
      </c>
    </row>
    <row r="669" spans="1:14" ht="13" hidden="1">
      <c r="A669" s="78" t="s">
        <v>2999</v>
      </c>
      <c r="B669" s="283">
        <v>60060</v>
      </c>
      <c r="C669" s="177" t="s">
        <v>1835</v>
      </c>
      <c r="D669" s="177" t="s">
        <v>1610</v>
      </c>
      <c r="E669" s="177" t="s">
        <v>1974</v>
      </c>
      <c r="F669" s="284">
        <v>0</v>
      </c>
      <c r="G669" s="242">
        <v>10.972133104005055</v>
      </c>
      <c r="H669" s="243">
        <f ca="1">SUMIF('Sales 6.2026'!B:F,'All Menu'!B669,'Sales 6.2026'!F:F)</f>
        <v>1363.86</v>
      </c>
      <c r="I669" s="177"/>
      <c r="J669" s="244">
        <f>SUMIF('Finished Recipe'!B:B, B669, 'Finished Recipe'!M:M)</f>
        <v>9.01</v>
      </c>
      <c r="K669" s="244">
        <f t="shared" si="68"/>
        <v>1.9621331040050549</v>
      </c>
      <c r="L669" s="245">
        <f t="shared" si="69"/>
        <v>0.82117122665155817</v>
      </c>
      <c r="M669" s="245">
        <f t="shared" si="70"/>
        <v>0.17882877334844177</v>
      </c>
    </row>
    <row r="670" spans="1:14" ht="13" hidden="1">
      <c r="A670" s="78" t="s">
        <v>3176</v>
      </c>
      <c r="B670" s="283" t="s">
        <v>2108</v>
      </c>
      <c r="C670" s="177" t="s">
        <v>2109</v>
      </c>
      <c r="D670" s="177" t="s">
        <v>1496</v>
      </c>
      <c r="E670" s="177" t="s">
        <v>2109</v>
      </c>
      <c r="F670" s="284">
        <v>0.16</v>
      </c>
      <c r="G670" s="242">
        <v>0.86206896551724144</v>
      </c>
      <c r="H670" s="243">
        <f ca="1">SUMIF('Sales 6.2026'!B:F,'All Menu'!B670,'Sales 6.2026'!F:F)</f>
        <v>35</v>
      </c>
      <c r="I670" s="177"/>
      <c r="J670" s="244">
        <v>0.5</v>
      </c>
      <c r="K670" s="244">
        <f t="shared" ref="K670:K673" si="71">G670-J670</f>
        <v>0.36206896551724144</v>
      </c>
      <c r="L670" s="245">
        <f t="shared" ref="L670:L673" si="72">J670/G670</f>
        <v>0.57999999999999996</v>
      </c>
      <c r="M670" s="245">
        <f t="shared" ref="M670:M673" si="73">K670/G670</f>
        <v>0.42000000000000004</v>
      </c>
    </row>
    <row r="671" spans="1:14" ht="13" hidden="1">
      <c r="A671" s="78" t="s">
        <v>2186</v>
      </c>
      <c r="B671" s="283">
        <v>50061</v>
      </c>
      <c r="C671" s="177" t="s">
        <v>1835</v>
      </c>
      <c r="D671" s="177" t="s">
        <v>1610</v>
      </c>
      <c r="E671" s="177" t="s">
        <v>2151</v>
      </c>
      <c r="F671" s="284">
        <v>0</v>
      </c>
      <c r="G671" s="242">
        <v>8</v>
      </c>
      <c r="H671" s="243">
        <f ca="1">SUMIF('Sales 6.2026'!B:F,'All Menu'!B671,'Sales 6.2026'!F:F)</f>
        <v>3.27</v>
      </c>
      <c r="I671" s="177"/>
      <c r="J671" s="244">
        <f>SUMIF('Finished Recipe'!B:B, B671, 'Finished Recipe'!M:M)</f>
        <v>7</v>
      </c>
      <c r="K671" s="244">
        <f t="shared" si="71"/>
        <v>1</v>
      </c>
      <c r="L671" s="245">
        <f t="shared" si="72"/>
        <v>0.875</v>
      </c>
      <c r="M671" s="245">
        <f t="shared" si="73"/>
        <v>0.125</v>
      </c>
    </row>
    <row r="672" spans="1:14" ht="13" hidden="1">
      <c r="A672" s="78" t="s">
        <v>2187</v>
      </c>
      <c r="B672" s="283">
        <v>50062</v>
      </c>
      <c r="C672" s="177" t="s">
        <v>1835</v>
      </c>
      <c r="D672" s="177" t="s">
        <v>1504</v>
      </c>
      <c r="E672" s="177" t="s">
        <v>2152</v>
      </c>
      <c r="F672" s="284">
        <v>0</v>
      </c>
      <c r="G672" s="242">
        <v>3</v>
      </c>
      <c r="H672" s="243">
        <f ca="1">SUMIF('Sales 6.2026'!B:F,'All Menu'!B672,'Sales 6.2026'!F:F)</f>
        <v>1</v>
      </c>
      <c r="I672" s="177"/>
      <c r="J672" s="244">
        <f>SUMIF('Finished Recipe'!B:B, B672, 'Finished Recipe'!M:M)</f>
        <v>1.5</v>
      </c>
      <c r="K672" s="244">
        <f t="shared" si="71"/>
        <v>1.5</v>
      </c>
      <c r="L672" s="245">
        <f t="shared" si="72"/>
        <v>0.5</v>
      </c>
      <c r="M672" s="245">
        <f t="shared" si="73"/>
        <v>0.5</v>
      </c>
    </row>
    <row r="673" spans="1:13" ht="13" hidden="1">
      <c r="A673" s="78" t="s">
        <v>2188</v>
      </c>
      <c r="B673" s="283">
        <v>50063</v>
      </c>
      <c r="C673" s="177" t="s">
        <v>1835</v>
      </c>
      <c r="D673" s="177" t="s">
        <v>1504</v>
      </c>
      <c r="E673" s="177" t="s">
        <v>2153</v>
      </c>
      <c r="F673" s="284">
        <v>0</v>
      </c>
      <c r="G673" s="242">
        <v>3</v>
      </c>
      <c r="H673" s="243">
        <f ca="1">SUMIF('Sales 6.2026'!B:F,'All Menu'!B673,'Sales 6.2026'!F:F)</f>
        <v>1</v>
      </c>
      <c r="I673" s="177"/>
      <c r="J673" s="244">
        <f>SUMIF('Finished Recipe'!B:B, B673, 'Finished Recipe'!M:M)</f>
        <v>1.5</v>
      </c>
      <c r="K673" s="244">
        <f t="shared" si="71"/>
        <v>1.5</v>
      </c>
      <c r="L673" s="245">
        <f t="shared" si="72"/>
        <v>0.5</v>
      </c>
      <c r="M673" s="245">
        <f t="shared" si="73"/>
        <v>0.5</v>
      </c>
    </row>
    <row r="674" spans="1:13" ht="13" hidden="1">
      <c r="A674" s="78" t="s">
        <v>3000</v>
      </c>
      <c r="B674" s="283">
        <v>50064</v>
      </c>
      <c r="C674" s="177" t="s">
        <v>2154</v>
      </c>
      <c r="D674" s="177" t="s">
        <v>1496</v>
      </c>
      <c r="E674" s="177" t="s">
        <v>2154</v>
      </c>
      <c r="F674" s="284">
        <v>0.16</v>
      </c>
      <c r="G674" s="242">
        <v>0.86206896551724144</v>
      </c>
      <c r="H674" s="243">
        <f ca="1">SUMIF('Sales 6.2026'!B:F,'All Menu'!B674,'Sales 6.2026'!F:F)</f>
        <v>0</v>
      </c>
      <c r="I674" s="177"/>
      <c r="J674" s="244">
        <v>0.5</v>
      </c>
      <c r="K674" s="244">
        <f t="shared" ref="K674:K681" si="74">G674-J674</f>
        <v>0.36206896551724144</v>
      </c>
      <c r="L674" s="245">
        <f t="shared" ref="L674:L681" si="75">J674/G674</f>
        <v>0.57999999999999996</v>
      </c>
      <c r="M674" s="245">
        <f t="shared" ref="M674:M681" si="76">K674/G674</f>
        <v>0.42000000000000004</v>
      </c>
    </row>
    <row r="675" spans="1:13" ht="13" hidden="1">
      <c r="A675" s="78" t="s">
        <v>3164</v>
      </c>
      <c r="B675" s="232" t="s">
        <v>2162</v>
      </c>
      <c r="C675" s="177" t="s">
        <v>1835</v>
      </c>
      <c r="D675" s="177" t="s">
        <v>2161</v>
      </c>
      <c r="E675" s="177" t="s">
        <v>1991</v>
      </c>
      <c r="F675" s="284">
        <v>0</v>
      </c>
      <c r="G675" s="242">
        <v>255</v>
      </c>
      <c r="H675" s="243">
        <f ca="1">SUMIF('Sales 6.2026'!B:F,'All Menu'!B675,'Sales 6.2026'!F:F)</f>
        <v>0</v>
      </c>
      <c r="I675" s="177"/>
      <c r="J675" s="244">
        <f>SUMIF('Finished Recipe'!B:B, B675, 'Finished Recipe'!M:M)</f>
        <v>0</v>
      </c>
      <c r="K675" s="244">
        <f t="shared" si="74"/>
        <v>255</v>
      </c>
      <c r="L675" s="245">
        <f t="shared" si="75"/>
        <v>0</v>
      </c>
      <c r="M675" s="245">
        <f t="shared" si="76"/>
        <v>1</v>
      </c>
    </row>
    <row r="676" spans="1:13" ht="13" hidden="1">
      <c r="A676" s="78" t="s">
        <v>3165</v>
      </c>
      <c r="B676" s="232" t="s">
        <v>2163</v>
      </c>
      <c r="C676" s="177" t="s">
        <v>1835</v>
      </c>
      <c r="D676" s="177" t="s">
        <v>2161</v>
      </c>
      <c r="E676" s="177" t="s">
        <v>1992</v>
      </c>
      <c r="F676" s="284">
        <v>0</v>
      </c>
      <c r="G676" s="242">
        <v>285</v>
      </c>
      <c r="H676" s="243">
        <f ca="1">SUMIF('Sales 6.2026'!B:F,'All Menu'!B676,'Sales 6.2026'!F:F)</f>
        <v>0</v>
      </c>
      <c r="I676" s="177"/>
      <c r="J676" s="244">
        <f>SUMIF('Finished Recipe'!B:B, B676, 'Finished Recipe'!M:M)</f>
        <v>0</v>
      </c>
      <c r="K676" s="244">
        <f t="shared" si="74"/>
        <v>285</v>
      </c>
      <c r="L676" s="245">
        <f t="shared" si="75"/>
        <v>0</v>
      </c>
      <c r="M676" s="245">
        <f t="shared" si="76"/>
        <v>1</v>
      </c>
    </row>
    <row r="677" spans="1:13" ht="13" hidden="1">
      <c r="A677" s="78" t="s">
        <v>3166</v>
      </c>
      <c r="B677" s="232" t="s">
        <v>2164</v>
      </c>
      <c r="C677" s="177" t="s">
        <v>1835</v>
      </c>
      <c r="D677" s="177" t="s">
        <v>2161</v>
      </c>
      <c r="E677" s="177" t="s">
        <v>1993</v>
      </c>
      <c r="F677" s="284">
        <v>0</v>
      </c>
      <c r="G677" s="242">
        <v>7</v>
      </c>
      <c r="H677" s="243">
        <f ca="1">SUMIF('Sales 6.2026'!B:F,'All Menu'!B677,'Sales 6.2026'!F:F)</f>
        <v>85</v>
      </c>
      <c r="I677" s="177"/>
      <c r="J677" s="244">
        <f>SUMIF('Finished Recipe'!B:B, B677, 'Finished Recipe'!M:M)</f>
        <v>0</v>
      </c>
      <c r="K677" s="244">
        <f t="shared" si="74"/>
        <v>7</v>
      </c>
      <c r="L677" s="245">
        <f t="shared" si="75"/>
        <v>0</v>
      </c>
      <c r="M677" s="245">
        <f t="shared" si="76"/>
        <v>1</v>
      </c>
    </row>
    <row r="678" spans="1:13" ht="13" hidden="1">
      <c r="A678" s="78" t="s">
        <v>3167</v>
      </c>
      <c r="B678" s="232" t="s">
        <v>2165</v>
      </c>
      <c r="C678" s="177" t="s">
        <v>1835</v>
      </c>
      <c r="D678" s="177" t="s">
        <v>2161</v>
      </c>
      <c r="E678" s="177" t="s">
        <v>1994</v>
      </c>
      <c r="F678" s="284">
        <v>0</v>
      </c>
      <c r="G678" s="242">
        <v>255</v>
      </c>
      <c r="H678" s="243">
        <f ca="1">SUMIF('Sales 6.2026'!B:F,'All Menu'!B678,'Sales 6.2026'!F:F)</f>
        <v>0</v>
      </c>
      <c r="I678" s="177"/>
      <c r="J678" s="244">
        <f>SUMIF('Finished Recipe'!B:B, B678, 'Finished Recipe'!M:M)</f>
        <v>0</v>
      </c>
      <c r="K678" s="244">
        <f t="shared" si="74"/>
        <v>255</v>
      </c>
      <c r="L678" s="245">
        <f t="shared" si="75"/>
        <v>0</v>
      </c>
      <c r="M678" s="245">
        <f t="shared" si="76"/>
        <v>1</v>
      </c>
    </row>
    <row r="679" spans="1:13" ht="13" hidden="1">
      <c r="A679" s="78" t="s">
        <v>3168</v>
      </c>
      <c r="B679" s="232" t="s">
        <v>2166</v>
      </c>
      <c r="C679" s="177" t="s">
        <v>1835</v>
      </c>
      <c r="D679" s="177" t="s">
        <v>2161</v>
      </c>
      <c r="E679" s="177" t="s">
        <v>1995</v>
      </c>
      <c r="F679" s="284">
        <v>0</v>
      </c>
      <c r="G679" s="242">
        <v>285</v>
      </c>
      <c r="H679" s="243">
        <f ca="1">SUMIF('Sales 6.2026'!B:F,'All Menu'!B679,'Sales 6.2026'!F:F)</f>
        <v>0</v>
      </c>
      <c r="I679" s="177"/>
      <c r="J679" s="244">
        <f>SUMIF('Finished Recipe'!B:B, B679, 'Finished Recipe'!M:M)</f>
        <v>0</v>
      </c>
      <c r="K679" s="244">
        <f t="shared" si="74"/>
        <v>285</v>
      </c>
      <c r="L679" s="245">
        <f t="shared" si="75"/>
        <v>0</v>
      </c>
      <c r="M679" s="245">
        <f t="shared" si="76"/>
        <v>1</v>
      </c>
    </row>
    <row r="680" spans="1:13" ht="13" hidden="1">
      <c r="A680" s="78" t="s">
        <v>3169</v>
      </c>
      <c r="B680" s="232" t="s">
        <v>2167</v>
      </c>
      <c r="C680" s="177" t="s">
        <v>1835</v>
      </c>
      <c r="D680" s="177" t="s">
        <v>2161</v>
      </c>
      <c r="E680" s="177" t="s">
        <v>1996</v>
      </c>
      <c r="F680" s="284">
        <v>0</v>
      </c>
      <c r="G680" s="242">
        <v>7</v>
      </c>
      <c r="H680" s="243">
        <f ca="1">SUMIF('Sales 6.2026'!B:F,'All Menu'!B680,'Sales 6.2026'!F:F)</f>
        <v>135</v>
      </c>
      <c r="I680" s="177"/>
      <c r="J680" s="244">
        <f>SUMIF('Finished Recipe'!B:B, B680, 'Finished Recipe'!M:M)</f>
        <v>0</v>
      </c>
      <c r="K680" s="244">
        <f t="shared" si="74"/>
        <v>7</v>
      </c>
      <c r="L680" s="245">
        <f t="shared" si="75"/>
        <v>0</v>
      </c>
      <c r="M680" s="245">
        <f t="shared" si="76"/>
        <v>1</v>
      </c>
    </row>
    <row r="681" spans="1:13" ht="13" hidden="1">
      <c r="A681" s="78" t="s">
        <v>3170</v>
      </c>
      <c r="B681" s="232" t="s">
        <v>2168</v>
      </c>
      <c r="C681" s="177" t="s">
        <v>1835</v>
      </c>
      <c r="D681" s="177" t="s">
        <v>2161</v>
      </c>
      <c r="E681" s="177" t="s">
        <v>1998</v>
      </c>
      <c r="F681" s="284">
        <v>0</v>
      </c>
      <c r="G681" s="242">
        <v>4.5</v>
      </c>
      <c r="H681" s="243">
        <f ca="1">SUMIF('Sales 6.2026'!B:F,'All Menu'!B681,'Sales 6.2026'!F:F)</f>
        <v>0</v>
      </c>
      <c r="I681" s="177"/>
      <c r="J681" s="244">
        <f>SUMIF('Finished Recipe'!B:B, B681, 'Finished Recipe'!M:M)</f>
        <v>0</v>
      </c>
      <c r="K681" s="244">
        <f t="shared" si="74"/>
        <v>4.5</v>
      </c>
      <c r="L681" s="245">
        <f t="shared" si="75"/>
        <v>0</v>
      </c>
      <c r="M681" s="245">
        <f t="shared" si="76"/>
        <v>1</v>
      </c>
    </row>
    <row r="682" spans="1:13" ht="13" hidden="1">
      <c r="A682" s="78" t="s">
        <v>3178</v>
      </c>
      <c r="B682" s="232">
        <v>5285</v>
      </c>
      <c r="C682" s="177" t="s">
        <v>1835</v>
      </c>
      <c r="D682" s="177" t="s">
        <v>284</v>
      </c>
      <c r="E682" s="177" t="s">
        <v>328</v>
      </c>
      <c r="F682" s="284">
        <v>0</v>
      </c>
      <c r="G682" s="242">
        <v>2.5</v>
      </c>
      <c r="H682" s="243">
        <f ca="1">SUMIF('Sales 6.2026'!B:F,'All Menu'!B682,'Sales 6.2026'!F:F)</f>
        <v>4.7</v>
      </c>
      <c r="I682" s="177"/>
      <c r="J682" s="244">
        <f>SUMIF('Finished Recipe'!B:B, B682, 'Finished Recipe'!M:M)</f>
        <v>1.75</v>
      </c>
      <c r="K682" s="244">
        <f t="shared" ref="K682" si="77">G682-J682</f>
        <v>0.75</v>
      </c>
      <c r="L682" s="245">
        <f t="shared" ref="L682" si="78">J682/G682</f>
        <v>0.7</v>
      </c>
      <c r="M682" s="245">
        <f t="shared" ref="M682" si="79">K682/G682</f>
        <v>0.3</v>
      </c>
    </row>
    <row r="683" spans="1:13" ht="13" hidden="1">
      <c r="A683" s="78" t="s">
        <v>3179</v>
      </c>
      <c r="B683" s="232">
        <v>60020</v>
      </c>
      <c r="C683" s="177" t="s">
        <v>1835</v>
      </c>
      <c r="D683" s="177" t="s">
        <v>1619</v>
      </c>
      <c r="E683" s="177" t="s">
        <v>3011</v>
      </c>
      <c r="F683" s="284">
        <v>0</v>
      </c>
      <c r="G683" s="242">
        <v>18</v>
      </c>
      <c r="H683" s="243">
        <f ca="1">SUMIF('Sales 6.2026'!B:F,'All Menu'!B683,'Sales 6.2026'!F:F)</f>
        <v>2</v>
      </c>
      <c r="I683" s="177"/>
      <c r="J683" s="244">
        <f>SUMIF('Finished Recipe'!B:B, B683, 'Finished Recipe'!M:M)</f>
        <v>12.58</v>
      </c>
      <c r="K683" s="244">
        <f t="shared" ref="K683" si="80">G683-J683</f>
        <v>5.42</v>
      </c>
      <c r="L683" s="245">
        <f t="shared" ref="L683" si="81">J683/G683</f>
        <v>0.69888888888888889</v>
      </c>
      <c r="M683" s="245">
        <f t="shared" ref="M683" si="82">K683/G683</f>
        <v>0.30111111111111111</v>
      </c>
    </row>
    <row r="684" spans="1:13" ht="13" hidden="1">
      <c r="A684" s="302" t="s">
        <v>3062</v>
      </c>
      <c r="B684" s="232">
        <v>60077</v>
      </c>
      <c r="C684" s="177" t="s">
        <v>1835</v>
      </c>
      <c r="D684" s="177" t="s">
        <v>1624</v>
      </c>
      <c r="E684" s="177" t="s">
        <v>3012</v>
      </c>
      <c r="F684" s="284">
        <v>0</v>
      </c>
      <c r="G684" s="242">
        <v>22</v>
      </c>
      <c r="H684" s="243">
        <f ca="1">SUMIF('Sales 6.2026'!B:F,'All Menu'!B684,'Sales 6.2026'!F:F)</f>
        <v>1E-3</v>
      </c>
      <c r="I684" s="177"/>
      <c r="J684" s="244">
        <f>SUMIF('Finished Recipe'!B:B, B684, 'Finished Recipe'!M:M)</f>
        <v>8.5247717241379295</v>
      </c>
      <c r="K684" s="244">
        <f t="shared" ref="K684" si="83">G684-J684</f>
        <v>13.475228275862071</v>
      </c>
      <c r="L684" s="245">
        <f t="shared" ref="L684" si="84">J684/G684</f>
        <v>0.38748962382445135</v>
      </c>
      <c r="M684" s="245">
        <f t="shared" ref="M684" si="85">K684/G684</f>
        <v>0.61251037617554871</v>
      </c>
    </row>
    <row r="685" spans="1:13" ht="13" hidden="1">
      <c r="A685" s="78" t="s">
        <v>3108</v>
      </c>
      <c r="B685" s="232" t="s">
        <v>3033</v>
      </c>
      <c r="C685" s="177" t="s">
        <v>423</v>
      </c>
      <c r="D685" s="177" t="s">
        <v>1418</v>
      </c>
      <c r="E685" s="177" t="s">
        <v>3035</v>
      </c>
      <c r="F685" s="284">
        <v>0.16</v>
      </c>
      <c r="G685" s="242">
        <v>3.6637931034482762</v>
      </c>
      <c r="H685" s="243">
        <f ca="1">SUMIF('Sales 6.2026'!B:F,'All Menu'!B685,'Sales 6.2026'!F:F)</f>
        <v>0</v>
      </c>
      <c r="I685" s="177"/>
      <c r="J685" s="244">
        <f>SUMIF('Finished Recipe'!B:B, B685, 'Finished Recipe'!M:M)</f>
        <v>1.5860798953548008</v>
      </c>
      <c r="K685" s="244">
        <f t="shared" ref="K685" si="86">G685-J685</f>
        <v>2.0777132080934755</v>
      </c>
      <c r="L685" s="245">
        <f t="shared" ref="L685" si="87">J685/G685</f>
        <v>0.43290651261448676</v>
      </c>
      <c r="M685" s="245">
        <f t="shared" ref="M685" si="88">K685/G685</f>
        <v>0.56709348738551324</v>
      </c>
    </row>
    <row r="686" spans="1:13" ht="13" hidden="1">
      <c r="A686" s="78" t="s">
        <v>3109</v>
      </c>
      <c r="B686" s="232" t="s">
        <v>3034</v>
      </c>
      <c r="C686" s="177" t="s">
        <v>423</v>
      </c>
      <c r="D686" s="177" t="s">
        <v>1418</v>
      </c>
      <c r="E686" s="177" t="s">
        <v>3036</v>
      </c>
      <c r="F686" s="284">
        <v>0.16</v>
      </c>
      <c r="G686" s="242">
        <v>4.9568965517241379</v>
      </c>
      <c r="H686" s="243">
        <f ca="1">SUMIF('Sales 6.2026'!B:F,'All Menu'!B686,'Sales 6.2026'!F:F)</f>
        <v>0</v>
      </c>
      <c r="I686" s="177"/>
      <c r="J686" s="244">
        <f>SUMIF('Finished Recipe'!B:B, B686, 'Finished Recipe'!M:M)</f>
        <v>2.2522790263628369</v>
      </c>
      <c r="K686" s="244">
        <f t="shared" ref="K686" si="89">G686-J686</f>
        <v>2.704617525361301</v>
      </c>
      <c r="L686" s="245">
        <f t="shared" ref="L686" si="90">J686/G686</f>
        <v>0.45437281227493753</v>
      </c>
      <c r="M686" s="245">
        <f t="shared" ref="M686" si="91">K686/G686</f>
        <v>0.54562718772506247</v>
      </c>
    </row>
    <row r="687" spans="1:13" ht="13" hidden="1">
      <c r="A687" s="78" t="s">
        <v>3110</v>
      </c>
      <c r="B687" s="232" t="s">
        <v>3050</v>
      </c>
      <c r="C687" s="177" t="s">
        <v>423</v>
      </c>
      <c r="D687" s="177" t="s">
        <v>1418</v>
      </c>
      <c r="E687" s="177" t="s">
        <v>3055</v>
      </c>
      <c r="F687" s="284">
        <v>0.16</v>
      </c>
      <c r="G687" s="242">
        <v>3.6637931034482762</v>
      </c>
      <c r="H687" s="243">
        <f ca="1">SUMIF('Sales 6.2026'!B:F,'All Menu'!B687,'Sales 6.2026'!F:F)</f>
        <v>0</v>
      </c>
      <c r="I687" s="177"/>
      <c r="J687" s="244">
        <f>SUMIF('Finished Recipe'!B:B, B687, 'Finished Recipe'!M:M)</f>
        <v>1.5575627504529008</v>
      </c>
      <c r="K687" s="244">
        <f t="shared" ref="K687:K688" si="92">G687-J687</f>
        <v>2.1062303529953752</v>
      </c>
      <c r="L687" s="245">
        <f t="shared" ref="L687:L688" si="93">J687/G687</f>
        <v>0.42512300953537996</v>
      </c>
      <c r="M687" s="245">
        <f t="shared" ref="M687:M688" si="94">K687/G687</f>
        <v>0.57487699046462004</v>
      </c>
    </row>
    <row r="688" spans="1:13" ht="13" hidden="1">
      <c r="A688" s="78" t="s">
        <v>3111</v>
      </c>
      <c r="B688" s="232" t="s">
        <v>3054</v>
      </c>
      <c r="C688" s="177" t="s">
        <v>423</v>
      </c>
      <c r="D688" s="177" t="s">
        <v>1418</v>
      </c>
      <c r="E688" s="177" t="s">
        <v>3056</v>
      </c>
      <c r="F688" s="284">
        <v>0.16</v>
      </c>
      <c r="G688" s="242">
        <v>4.9568965517241379</v>
      </c>
      <c r="H688" s="243">
        <f ca="1">SUMIF('Sales 6.2026'!B:F,'All Menu'!B688,'Sales 6.2026'!F:F)</f>
        <v>0</v>
      </c>
      <c r="I688" s="177"/>
      <c r="J688" s="244">
        <f>SUMIF('Finished Recipe'!B:B, B688, 'Finished Recipe'!M:M)</f>
        <v>2.1336984565492729</v>
      </c>
      <c r="K688" s="244">
        <f t="shared" si="92"/>
        <v>2.823198095174865</v>
      </c>
      <c r="L688" s="245">
        <f t="shared" si="93"/>
        <v>0.43045047123428809</v>
      </c>
      <c r="M688" s="245">
        <f t="shared" si="94"/>
        <v>0.56954952876571185</v>
      </c>
    </row>
    <row r="689" spans="2:13" hidden="1">
      <c r="B689" s="189" t="s">
        <v>3204</v>
      </c>
      <c r="E689" s="78" t="s">
        <v>3205</v>
      </c>
      <c r="F689" s="284">
        <v>0.16</v>
      </c>
      <c r="G689" s="78">
        <v>0</v>
      </c>
      <c r="H689" s="243">
        <f ca="1">SUMIF('Sales 6.2026'!B:F,'All Menu'!B689,'Sales 6.2026'!F:F)</f>
        <v>0</v>
      </c>
      <c r="J689" s="244">
        <f>SUMIF('Finished Recipe'!B:B, B689, 'Finished Recipe'!M:M)</f>
        <v>0.67956562962962963</v>
      </c>
      <c r="K689" s="244">
        <f t="shared" ref="K689" si="95">G689-J689</f>
        <v>-0.67956562962962963</v>
      </c>
      <c r="L689" s="245" t="e">
        <f t="shared" ref="L689" si="96">J689/G689</f>
        <v>#DIV/0!</v>
      </c>
      <c r="M689" s="245" t="e">
        <f t="shared" ref="M689" si="97">K689/G689</f>
        <v>#DIV/0!</v>
      </c>
    </row>
    <row r="690" spans="2:13" hidden="1">
      <c r="J690" s="78">
        <f>J566*1.5</f>
        <v>9.2185808490073136</v>
      </c>
    </row>
    <row r="691" spans="2:13" hidden="1">
      <c r="J691" s="78">
        <f>J690*1.12</f>
        <v>10.324810550888191</v>
      </c>
    </row>
  </sheetData>
  <autoFilter ref="A1:N691" xr:uid="{00000000-0001-0000-0B00-000000000000}">
    <filterColumn colId="4">
      <filters>
        <filter val="عجينة كبة"/>
        <filter val="كبة صغيرة ني"/>
        <filter val="كبة لبنية"/>
        <filter val="كبة مشوية"/>
        <filter val="كبة مقلية"/>
        <filter val="كبة مقلية ني"/>
      </filters>
    </filterColumn>
  </autoFilter>
  <phoneticPr fontId="17" type="noConversion"/>
  <conditionalFormatting sqref="A1:A1048576">
    <cfRule type="duplicateValues" dxfId="350" priority="2"/>
  </conditionalFormatting>
  <conditionalFormatting sqref="B1:B1048576">
    <cfRule type="duplicateValues" dxfId="349" priority="245"/>
  </conditionalFormatting>
  <conditionalFormatting sqref="M1:M689">
    <cfRule type="cellIs" dxfId="348" priority="33" operator="lessThanOrEqual">
      <formula>"25%"</formula>
    </cfRule>
    <cfRule type="cellIs" dxfId="347" priority="34" operator="lessThanOrEqual">
      <formula>"35%"</formula>
    </cfRule>
    <cfRule type="cellIs" dxfId="346" priority="35" operator="lessThanOrEqual">
      <formula>"45%"</formula>
    </cfRule>
    <cfRule type="cellIs" dxfId="345" priority="37" operator="lessThanOrEqual">
      <formula>"65%"</formula>
    </cfRule>
    <cfRule type="cellIs" dxfId="344" priority="38" operator="lessThanOrEqual">
      <formula>"75%"</formula>
    </cfRule>
  </conditionalFormatting>
  <conditionalFormatting sqref="M2:M689">
    <cfRule type="cellIs" dxfId="343" priority="36" operator="lessThanOrEqual">
      <formula>"55.00%"</formula>
    </cfRule>
    <cfRule type="cellIs" dxfId="342" priority="39" operator="lessThanOrEqual">
      <formula>"85%"</formula>
    </cfRule>
    <cfRule type="cellIs" dxfId="341" priority="40" operator="lessThanOrEqual">
      <formula>"100%"</formula>
    </cfRule>
  </conditionalFormatting>
  <conditionalFormatting sqref="M675:M689">
    <cfRule type="cellIs" dxfId="340" priority="6" operator="lessThanOrEqual">
      <formula>"25%"</formula>
    </cfRule>
    <cfRule type="cellIs" dxfId="339" priority="7" operator="lessThanOrEqual">
      <formula>"35%"</formula>
    </cfRule>
    <cfRule type="cellIs" dxfId="338" priority="8" operator="lessThanOrEqual">
      <formula>"45%"</formula>
    </cfRule>
    <cfRule type="cellIs" dxfId="337" priority="9" operator="lessThanOrEqual">
      <formula>"55.00%"</formula>
    </cfRule>
    <cfRule type="cellIs" dxfId="336" priority="10" operator="lessThanOrEqual">
      <formula>"65%"</formula>
    </cfRule>
    <cfRule type="cellIs" dxfId="335" priority="11" operator="lessThanOrEqual">
      <formula>"75%"</formula>
    </cfRule>
    <cfRule type="cellIs" dxfId="334" priority="12" operator="lessThanOrEqual">
      <formula>"85%"</formula>
    </cfRule>
    <cfRule type="cellIs" dxfId="333" priority="13" operator="lessThanOrEqual">
      <formula>"100%"</formula>
    </cfRule>
  </conditionalFormatting>
  <pageMargins left="0.7" right="0.7" top="0.75" bottom="0.75" header="0.3" footer="0.3"/>
  <pageSetup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8FD8-4463-4909-B5E9-F74F444703A6}">
  <dimension ref="A1:H3"/>
  <sheetViews>
    <sheetView workbookViewId="0">
      <selection activeCell="B20" sqref="B20"/>
    </sheetView>
  </sheetViews>
  <sheetFormatPr defaultRowHeight="12.5"/>
  <cols>
    <col min="1" max="1" width="11.54296875" bestFit="1" customWidth="1"/>
    <col min="2" max="2" width="12.26953125" bestFit="1" customWidth="1"/>
    <col min="3" max="3" width="5.54296875" bestFit="1" customWidth="1"/>
    <col min="4" max="4" width="19.54296875" bestFit="1" customWidth="1"/>
    <col min="5" max="5" width="14.81640625" bestFit="1" customWidth="1"/>
    <col min="6" max="6" width="16.1796875" bestFit="1" customWidth="1"/>
    <col min="7" max="7" width="8.26953125" bestFit="1" customWidth="1"/>
    <col min="8" max="8" width="12.1796875" bestFit="1" customWidth="1"/>
  </cols>
  <sheetData>
    <row r="1" spans="1:8" ht="13">
      <c r="A1" s="295" t="s">
        <v>3002</v>
      </c>
      <c r="B1" s="295" t="s">
        <v>1959</v>
      </c>
      <c r="C1" s="295" t="s">
        <v>3044</v>
      </c>
      <c r="D1" s="295" t="s">
        <v>3045</v>
      </c>
      <c r="E1" s="295" t="s">
        <v>3047</v>
      </c>
      <c r="F1" s="295" t="s">
        <v>3048</v>
      </c>
      <c r="G1" s="295" t="s">
        <v>1803</v>
      </c>
      <c r="H1" s="295" t="s">
        <v>3046</v>
      </c>
    </row>
    <row r="2" spans="1:8" ht="13">
      <c r="A2" s="232" t="s">
        <v>3033</v>
      </c>
      <c r="B2" s="219" t="s">
        <v>3035</v>
      </c>
      <c r="C2" s="294">
        <f>1.51737151318142*2</f>
        <v>3.0347430263628401</v>
      </c>
      <c r="D2" s="295">
        <v>6.5140000000000002</v>
      </c>
      <c r="E2" s="295">
        <f>D2/1.3</f>
        <v>5.0107692307692311</v>
      </c>
      <c r="F2" s="295">
        <f>E2/1.16</f>
        <v>4.3196286472148548</v>
      </c>
      <c r="G2" s="296">
        <f>F2-C2</f>
        <v>1.2848856208520147</v>
      </c>
      <c r="H2" s="297">
        <f>G2/F2</f>
        <v>0.29745279647602668</v>
      </c>
    </row>
    <row r="3" spans="1:8" ht="13">
      <c r="A3" s="232" t="s">
        <v>3034</v>
      </c>
      <c r="B3" s="219" t="s">
        <v>3036</v>
      </c>
      <c r="C3" s="294">
        <f>2.18107064418945*2</f>
        <v>4.3621412883788997</v>
      </c>
      <c r="D3" s="295">
        <v>8.6859999999999999</v>
      </c>
      <c r="E3" s="295">
        <f>D3/1.3</f>
        <v>6.6815384615384614</v>
      </c>
      <c r="F3" s="295">
        <f>E3/1.16</f>
        <v>5.7599469496021225</v>
      </c>
      <c r="G3" s="296">
        <f>F3-C3</f>
        <v>1.3978056612232228</v>
      </c>
      <c r="H3" s="297">
        <f>G3/F3</f>
        <v>0.2426768290495763</v>
      </c>
    </row>
  </sheetData>
  <conditionalFormatting sqref="A2:A3">
    <cfRule type="duplicateValues" dxfId="332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35B2-2BCB-41AB-8335-40282C695A84}">
  <sheetPr codeName="Sheet14">
    <tabColor theme="7"/>
  </sheetPr>
  <dimension ref="A1:O26"/>
  <sheetViews>
    <sheetView topLeftCell="C1" zoomScaleNormal="100" workbookViewId="0">
      <selection activeCell="G8" sqref="G8"/>
    </sheetView>
  </sheetViews>
  <sheetFormatPr defaultColWidth="11.54296875" defaultRowHeight="14"/>
  <cols>
    <col min="1" max="4" width="11.54296875" style="204"/>
    <col min="5" max="5" width="17.54296875" style="204" bestFit="1" customWidth="1"/>
    <col min="6" max="8" width="11.54296875" style="204"/>
    <col min="9" max="9" width="11.7265625" style="204" bestFit="1" customWidth="1"/>
    <col min="10" max="10" width="10.1796875" style="204" bestFit="1" customWidth="1"/>
    <col min="11" max="11" width="19" style="204" bestFit="1" customWidth="1"/>
    <col min="12" max="12" width="16.26953125" style="204" bestFit="1" customWidth="1"/>
    <col min="13" max="16384" width="11.54296875" style="204"/>
  </cols>
  <sheetData>
    <row r="1" spans="1:15" ht="30" customHeight="1">
      <c r="B1" s="204">
        <v>12.177186963979416</v>
      </c>
      <c r="C1" s="204">
        <v>12.770740103270223</v>
      </c>
      <c r="D1" s="204">
        <v>11.935009310986965</v>
      </c>
      <c r="E1" s="204">
        <v>13.948305084745762</v>
      </c>
      <c r="F1" s="204">
        <f>E1+D1+C1+B1</f>
        <v>50.831241462982362</v>
      </c>
      <c r="G1" s="338" t="s">
        <v>1960</v>
      </c>
      <c r="H1" s="338" t="s">
        <v>2094</v>
      </c>
      <c r="I1" s="340" t="s">
        <v>2095</v>
      </c>
      <c r="J1" s="341" t="s">
        <v>2096</v>
      </c>
      <c r="K1" s="342"/>
      <c r="L1" s="203" t="s">
        <v>2097</v>
      </c>
      <c r="M1" s="203" t="s">
        <v>2031</v>
      </c>
    </row>
    <row r="2" spans="1:15" ht="30" customHeight="1">
      <c r="F2" s="204">
        <f>F1/4</f>
        <v>12.707810365745591</v>
      </c>
      <c r="G2" s="339"/>
      <c r="H2" s="339"/>
      <c r="I2" s="340"/>
      <c r="J2" s="343">
        <v>10</v>
      </c>
      <c r="K2" s="344"/>
      <c r="L2" s="203">
        <v>10.25</v>
      </c>
      <c r="M2" s="203">
        <f>L2*M17</f>
        <v>2439.5</v>
      </c>
      <c r="N2"/>
    </row>
    <row r="3" spans="1:15" ht="30" customHeight="1">
      <c r="G3" s="339"/>
      <c r="H3" s="339"/>
      <c r="I3" s="340" t="s">
        <v>1959</v>
      </c>
      <c r="J3" s="340"/>
      <c r="K3" s="340"/>
      <c r="L3" s="340"/>
      <c r="M3" s="205" t="s">
        <v>1957</v>
      </c>
      <c r="N3"/>
    </row>
    <row r="4" spans="1:15" ht="30" customHeight="1">
      <c r="A4" s="204">
        <v>5433</v>
      </c>
      <c r="B4" s="204">
        <v>4608</v>
      </c>
      <c r="C4" s="204">
        <v>4605</v>
      </c>
      <c r="D4" s="180">
        <v>5393</v>
      </c>
      <c r="E4" s="204" t="s">
        <v>2032</v>
      </c>
      <c r="F4" s="180">
        <f>G4/1000</f>
        <v>1.2633003426090063E-2</v>
      </c>
      <c r="G4" s="206">
        <v>12.633003426090063</v>
      </c>
      <c r="H4" s="207">
        <f>G4*M4</f>
        <v>735.24079939844171</v>
      </c>
      <c r="I4" s="346" t="s">
        <v>2032</v>
      </c>
      <c r="J4" s="346"/>
      <c r="K4" s="346"/>
      <c r="L4" s="346"/>
      <c r="M4" s="208">
        <v>58.2</v>
      </c>
      <c r="N4" s="204">
        <f>M2-H5-H6-H7-H8-H9-H10-H11-H12-H13-H15-H16</f>
        <v>815.99999999999977</v>
      </c>
      <c r="O4" s="204">
        <f>N4/M4</f>
        <v>14.020618556701026</v>
      </c>
    </row>
    <row r="5" spans="1:15" ht="30" customHeight="1">
      <c r="C5" s="204" t="s">
        <v>528</v>
      </c>
      <c r="D5" s="180">
        <v>979</v>
      </c>
      <c r="E5" s="204" t="s">
        <v>2033</v>
      </c>
      <c r="F5" s="180">
        <f t="shared" ref="F5:F16" si="0">G5/1000</f>
        <v>0.02</v>
      </c>
      <c r="G5" s="207">
        <v>20</v>
      </c>
      <c r="H5" s="207">
        <f t="shared" ref="H5:H16" si="1">G5*M5</f>
        <v>382</v>
      </c>
      <c r="I5" s="346" t="s">
        <v>2033</v>
      </c>
      <c r="J5" s="346"/>
      <c r="K5" s="346"/>
      <c r="L5" s="346"/>
      <c r="M5" s="208">
        <v>19.100000000000001</v>
      </c>
    </row>
    <row r="6" spans="1:15" ht="30" customHeight="1">
      <c r="D6" s="204">
        <v>4598</v>
      </c>
      <c r="E6" s="204" t="s">
        <v>1872</v>
      </c>
      <c r="F6" s="180">
        <f t="shared" si="0"/>
        <v>5.0000000000000001E-3</v>
      </c>
      <c r="G6" s="207">
        <v>5</v>
      </c>
      <c r="H6" s="207">
        <f t="shared" si="1"/>
        <v>168</v>
      </c>
      <c r="I6" s="346" t="s">
        <v>1872</v>
      </c>
      <c r="J6" s="346"/>
      <c r="K6" s="346"/>
      <c r="L6" s="346"/>
      <c r="M6" s="208">
        <v>33.6</v>
      </c>
    </row>
    <row r="7" spans="1:15" ht="30" customHeight="1">
      <c r="C7" s="204">
        <v>4614</v>
      </c>
      <c r="D7" s="204">
        <v>5392</v>
      </c>
      <c r="E7" s="204" t="s">
        <v>1710</v>
      </c>
      <c r="F7" s="180">
        <f t="shared" si="0"/>
        <v>1.4E-2</v>
      </c>
      <c r="G7" s="254">
        <v>14</v>
      </c>
      <c r="H7" s="207">
        <f t="shared" si="1"/>
        <v>340.2</v>
      </c>
      <c r="I7" s="346" t="s">
        <v>1710</v>
      </c>
      <c r="J7" s="346"/>
      <c r="K7" s="346"/>
      <c r="L7" s="346"/>
      <c r="M7" s="208">
        <v>24.3</v>
      </c>
    </row>
    <row r="8" spans="1:15" ht="30" customHeight="1">
      <c r="B8" s="204">
        <v>4606</v>
      </c>
      <c r="C8" s="204">
        <v>4943</v>
      </c>
      <c r="D8" s="204" t="s">
        <v>698</v>
      </c>
      <c r="E8" s="204" t="s">
        <v>2098</v>
      </c>
      <c r="F8" s="180">
        <f t="shared" si="0"/>
        <v>1.2E-2</v>
      </c>
      <c r="G8" s="254">
        <v>12</v>
      </c>
      <c r="H8" s="207">
        <f t="shared" si="1"/>
        <v>177.60000000000002</v>
      </c>
      <c r="I8" s="346" t="s">
        <v>2120</v>
      </c>
      <c r="J8" s="346"/>
      <c r="K8" s="346"/>
      <c r="L8" s="346"/>
      <c r="M8" s="208">
        <v>14.8</v>
      </c>
    </row>
    <row r="9" spans="1:15" ht="30" customHeight="1">
      <c r="D9" s="212"/>
      <c r="E9" s="212" t="s">
        <v>2034</v>
      </c>
      <c r="F9" s="180">
        <f t="shared" si="0"/>
        <v>3.0000000000000001E-3</v>
      </c>
      <c r="G9" s="254">
        <v>3</v>
      </c>
      <c r="H9" s="207">
        <f t="shared" si="1"/>
        <v>52.5</v>
      </c>
      <c r="I9" s="346" t="s">
        <v>2034</v>
      </c>
      <c r="J9" s="346"/>
      <c r="K9" s="346"/>
      <c r="L9" s="346"/>
      <c r="M9" s="208">
        <v>17.5</v>
      </c>
    </row>
    <row r="10" spans="1:15" ht="30" customHeight="1">
      <c r="C10" s="204">
        <v>5430</v>
      </c>
      <c r="D10" s="212">
        <v>4601</v>
      </c>
      <c r="E10" s="212" t="s">
        <v>1735</v>
      </c>
      <c r="F10" s="180">
        <f t="shared" si="0"/>
        <v>3.0000000000000001E-3</v>
      </c>
      <c r="G10" s="254">
        <v>3</v>
      </c>
      <c r="H10" s="207">
        <f t="shared" si="1"/>
        <v>20.399999999999999</v>
      </c>
      <c r="I10" s="346" t="s">
        <v>1735</v>
      </c>
      <c r="J10" s="346"/>
      <c r="K10" s="346"/>
      <c r="L10" s="346"/>
      <c r="M10" s="208">
        <v>6.8</v>
      </c>
    </row>
    <row r="11" spans="1:15" ht="30" customHeight="1">
      <c r="D11" s="204">
        <v>4762</v>
      </c>
      <c r="E11" s="204" t="s">
        <v>2035</v>
      </c>
      <c r="F11" s="180">
        <f t="shared" si="0"/>
        <v>5.0000000000000001E-3</v>
      </c>
      <c r="G11" s="254">
        <v>5</v>
      </c>
      <c r="H11" s="207">
        <f t="shared" si="1"/>
        <v>6.45</v>
      </c>
      <c r="I11" s="346" t="s">
        <v>2035</v>
      </c>
      <c r="J11" s="346"/>
      <c r="K11" s="346"/>
      <c r="L11" s="346"/>
      <c r="M11" s="208">
        <v>1.29</v>
      </c>
    </row>
    <row r="12" spans="1:15" ht="30" customHeight="1">
      <c r="D12" s="204">
        <v>4764</v>
      </c>
      <c r="E12" s="204" t="s">
        <v>2036</v>
      </c>
      <c r="F12" s="180">
        <f t="shared" si="0"/>
        <v>5.0000000000000001E-3</v>
      </c>
      <c r="G12" s="254">
        <v>5</v>
      </c>
      <c r="H12" s="207">
        <f t="shared" si="1"/>
        <v>12.25</v>
      </c>
      <c r="I12" s="346" t="s">
        <v>2036</v>
      </c>
      <c r="J12" s="346"/>
      <c r="K12" s="346"/>
      <c r="L12" s="346"/>
      <c r="M12" s="208">
        <v>2.4500000000000002</v>
      </c>
    </row>
    <row r="13" spans="1:15" ht="30" customHeight="1">
      <c r="D13" s="204">
        <v>5436</v>
      </c>
      <c r="E13" s="204" t="s">
        <v>2037</v>
      </c>
      <c r="F13" s="180">
        <f t="shared" si="0"/>
        <v>2.1000000000000001E-2</v>
      </c>
      <c r="G13" s="207">
        <v>21</v>
      </c>
      <c r="H13" s="207">
        <f t="shared" si="1"/>
        <v>69.3</v>
      </c>
      <c r="I13" s="346" t="s">
        <v>2037</v>
      </c>
      <c r="J13" s="346"/>
      <c r="K13" s="346"/>
      <c r="L13" s="346"/>
      <c r="M13" s="208">
        <v>3.3</v>
      </c>
    </row>
    <row r="14" spans="1:15" ht="30" customHeight="1">
      <c r="E14" s="204" t="s">
        <v>2099</v>
      </c>
      <c r="F14" s="180">
        <f t="shared" si="0"/>
        <v>0</v>
      </c>
      <c r="G14" s="207">
        <v>0</v>
      </c>
      <c r="H14" s="207">
        <f t="shared" si="1"/>
        <v>0</v>
      </c>
      <c r="I14" s="346" t="s">
        <v>2099</v>
      </c>
      <c r="J14" s="346"/>
      <c r="K14" s="346"/>
      <c r="L14" s="346"/>
      <c r="M14" s="208">
        <v>19.2</v>
      </c>
    </row>
    <row r="15" spans="1:15" ht="30" customHeight="1">
      <c r="D15" s="204" t="s">
        <v>698</v>
      </c>
      <c r="E15" s="204" t="s">
        <v>2100</v>
      </c>
      <c r="F15" s="180">
        <f t="shared" si="0"/>
        <v>1.2999999999999999E-2</v>
      </c>
      <c r="G15" s="207">
        <v>13</v>
      </c>
      <c r="H15" s="207">
        <f t="shared" si="1"/>
        <v>191.1</v>
      </c>
      <c r="I15" s="345" t="s">
        <v>2100</v>
      </c>
      <c r="J15" s="345"/>
      <c r="K15" s="345"/>
      <c r="L15" s="345"/>
      <c r="M15" s="209">
        <v>14.7</v>
      </c>
    </row>
    <row r="16" spans="1:15" ht="30" customHeight="1" thickBot="1">
      <c r="D16" s="255" t="s">
        <v>1705</v>
      </c>
      <c r="E16" s="204" t="s">
        <v>2138</v>
      </c>
      <c r="F16" s="180">
        <f t="shared" si="0"/>
        <v>1.0500000000000001E-2</v>
      </c>
      <c r="G16" s="207">
        <v>10.5</v>
      </c>
      <c r="H16" s="207">
        <f t="shared" si="1"/>
        <v>203.7</v>
      </c>
      <c r="I16" s="345" t="s">
        <v>2101</v>
      </c>
      <c r="J16" s="345"/>
      <c r="K16" s="345"/>
      <c r="L16" s="345"/>
      <c r="M16" s="209">
        <v>19.399999999999999</v>
      </c>
    </row>
    <row r="17" spans="7:13" ht="30" customHeight="1">
      <c r="G17" s="352" t="s">
        <v>2094</v>
      </c>
      <c r="H17" s="352"/>
      <c r="I17" s="349" t="s">
        <v>2102</v>
      </c>
      <c r="J17" s="350"/>
      <c r="K17" s="350"/>
      <c r="L17" s="350"/>
      <c r="M17" s="358">
        <v>238</v>
      </c>
    </row>
    <row r="18" spans="7:13" ht="30" customHeight="1">
      <c r="G18" s="352"/>
      <c r="H18" s="352"/>
      <c r="I18" s="351"/>
      <c r="J18" s="352"/>
      <c r="K18" s="352"/>
      <c r="L18" s="352"/>
      <c r="M18" s="356"/>
    </row>
    <row r="19" spans="7:13" ht="30" customHeight="1" thickBot="1">
      <c r="G19" s="352"/>
      <c r="H19" s="352"/>
      <c r="I19" s="353"/>
      <c r="J19" s="354"/>
      <c r="K19" s="354"/>
      <c r="L19" s="354"/>
      <c r="M19" s="357"/>
    </row>
    <row r="20" spans="7:13" ht="30" customHeight="1">
      <c r="G20" s="352"/>
      <c r="H20" s="352"/>
      <c r="I20" s="349" t="s">
        <v>2103</v>
      </c>
      <c r="J20" s="350"/>
      <c r="K20" s="350"/>
      <c r="L20" s="350"/>
      <c r="M20" s="355">
        <v>234.9</v>
      </c>
    </row>
    <row r="21" spans="7:13" ht="30" customHeight="1">
      <c r="G21" s="352"/>
      <c r="H21" s="352"/>
      <c r="I21" s="351"/>
      <c r="J21" s="352"/>
      <c r="K21" s="352"/>
      <c r="L21" s="352"/>
      <c r="M21" s="356"/>
    </row>
    <row r="22" spans="7:13" ht="30" customHeight="1" thickBot="1">
      <c r="G22" s="352"/>
      <c r="H22" s="352"/>
      <c r="I22" s="353"/>
      <c r="J22" s="354"/>
      <c r="K22" s="354"/>
      <c r="L22" s="354"/>
      <c r="M22" s="357"/>
    </row>
    <row r="23" spans="7:13" ht="30" customHeight="1" thickBot="1">
      <c r="G23" s="352"/>
      <c r="H23" s="352"/>
      <c r="I23" s="359" t="s">
        <v>2104</v>
      </c>
      <c r="J23" s="359"/>
      <c r="K23" s="359"/>
      <c r="L23" s="359"/>
      <c r="M23" s="210">
        <f>M17-M20</f>
        <v>3.0999999999999943</v>
      </c>
    </row>
    <row r="24" spans="7:13" ht="30" customHeight="1">
      <c r="G24" s="347">
        <f>SUM(H4:H16)</f>
        <v>2358.7407993984416</v>
      </c>
      <c r="H24" s="348"/>
      <c r="I24" s="349" t="s">
        <v>2105</v>
      </c>
      <c r="J24" s="350"/>
      <c r="K24" s="350"/>
      <c r="L24" s="350"/>
      <c r="M24" s="355">
        <f>SUM(M4:M16)</f>
        <v>234.64000000000001</v>
      </c>
    </row>
    <row r="25" spans="7:13" ht="30" customHeight="1">
      <c r="G25" s="347"/>
      <c r="H25" s="348"/>
      <c r="I25" s="351"/>
      <c r="J25" s="352"/>
      <c r="K25" s="352"/>
      <c r="L25" s="352"/>
      <c r="M25" s="356"/>
    </row>
    <row r="26" spans="7:13" ht="30" customHeight="1" thickBot="1">
      <c r="G26" s="347"/>
      <c r="H26" s="348"/>
      <c r="I26" s="353"/>
      <c r="J26" s="354"/>
      <c r="K26" s="354"/>
      <c r="L26" s="354"/>
      <c r="M26" s="357"/>
    </row>
  </sheetData>
  <mergeCells count="28">
    <mergeCell ref="G24:H26"/>
    <mergeCell ref="I24:L26"/>
    <mergeCell ref="M24:M26"/>
    <mergeCell ref="I16:L16"/>
    <mergeCell ref="G17:H23"/>
    <mergeCell ref="I17:L19"/>
    <mergeCell ref="M17:M19"/>
    <mergeCell ref="I20:L22"/>
    <mergeCell ref="M20:M22"/>
    <mergeCell ref="I23:L23"/>
    <mergeCell ref="I15:L15"/>
    <mergeCell ref="I4:L4"/>
    <mergeCell ref="I5:L5"/>
    <mergeCell ref="I6:L6"/>
    <mergeCell ref="I7:L7"/>
    <mergeCell ref="I8:L8"/>
    <mergeCell ref="I9:L9"/>
    <mergeCell ref="I10:L10"/>
    <mergeCell ref="I11:L11"/>
    <mergeCell ref="I12:L12"/>
    <mergeCell ref="I13:L13"/>
    <mergeCell ref="I14:L14"/>
    <mergeCell ref="G1:G3"/>
    <mergeCell ref="H1:H3"/>
    <mergeCell ref="I1:I2"/>
    <mergeCell ref="J1:K1"/>
    <mergeCell ref="J2:K2"/>
    <mergeCell ref="I3:L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 filterMode="1"/>
  <dimension ref="A1:AB648"/>
  <sheetViews>
    <sheetView workbookViewId="0">
      <selection activeCell="C306" sqref="C306"/>
    </sheetView>
  </sheetViews>
  <sheetFormatPr defaultColWidth="12.54296875" defaultRowHeight="13"/>
  <cols>
    <col min="1" max="1" width="29.453125" style="36" bestFit="1" customWidth="1"/>
    <col min="2" max="2" width="63.1796875" style="36" bestFit="1" customWidth="1"/>
    <col min="3" max="3" width="63.1796875" style="36" customWidth="1"/>
    <col min="4" max="4" width="35" style="36" bestFit="1" customWidth="1"/>
    <col min="5" max="5" width="22.54296875" style="36" bestFit="1" customWidth="1"/>
    <col min="6" max="6" width="13.453125" style="36" bestFit="1" customWidth="1"/>
    <col min="7" max="7" width="23.453125" style="83" bestFit="1" customWidth="1"/>
    <col min="8" max="8" width="24" style="36" bestFit="1" customWidth="1"/>
    <col min="9" max="9" width="29" style="36" customWidth="1"/>
    <col min="10" max="10" width="19" style="36" customWidth="1"/>
    <col min="11" max="11" width="9.54296875" style="36" bestFit="1" customWidth="1"/>
    <col min="12" max="12" width="6.1796875" style="36" customWidth="1"/>
    <col min="13" max="13" width="28.54296875" style="36" customWidth="1"/>
    <col min="14" max="16" width="5.1796875" style="36" customWidth="1"/>
    <col min="17" max="16384" width="12.54296875" style="36"/>
  </cols>
  <sheetData>
    <row r="1" spans="1:28" ht="15.75" customHeight="1">
      <c r="A1" s="31" t="s">
        <v>0</v>
      </c>
      <c r="B1" s="32" t="s">
        <v>1</v>
      </c>
      <c r="C1" s="32"/>
      <c r="D1" s="32" t="s">
        <v>2</v>
      </c>
      <c r="E1" s="2" t="s">
        <v>3</v>
      </c>
      <c r="F1" s="33" t="s">
        <v>4</v>
      </c>
      <c r="G1" s="81" t="s">
        <v>5</v>
      </c>
      <c r="H1" s="34" t="s">
        <v>6</v>
      </c>
      <c r="I1" s="3"/>
      <c r="J1" s="3"/>
      <c r="K1" s="3"/>
      <c r="L1" s="3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 ht="14" hidden="1">
      <c r="A2" s="37">
        <v>4550</v>
      </c>
      <c r="B2" s="37" t="s">
        <v>206</v>
      </c>
      <c r="C2" s="37">
        <f ca="1">SUMIF('Finished Recipe'!H:R,'مسحوبات المواد الخام'!A2,'Finished Recipe'!R:R)</f>
        <v>0</v>
      </c>
      <c r="D2" s="37">
        <v>0.16</v>
      </c>
      <c r="E2" s="37" t="s">
        <v>11</v>
      </c>
      <c r="F2" s="38" t="s">
        <v>13</v>
      </c>
      <c r="G2" s="42">
        <v>1</v>
      </c>
      <c r="H2" s="40">
        <f>D2/G2</f>
        <v>0.16</v>
      </c>
      <c r="I2" s="35"/>
      <c r="J2" s="35"/>
      <c r="K2" s="35"/>
      <c r="L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 spans="1:28" ht="14" hidden="1">
      <c r="A3" s="37">
        <v>4552</v>
      </c>
      <c r="B3" s="37" t="s">
        <v>27</v>
      </c>
      <c r="C3" s="37">
        <f ca="1">SUMIF('Finished Recipe'!H:R,'مسحوبات المواد الخام'!A3,'Finished Recipe'!R:R)</f>
        <v>0</v>
      </c>
      <c r="D3" s="37">
        <v>4</v>
      </c>
      <c r="E3" s="37" t="s">
        <v>8</v>
      </c>
      <c r="F3" s="38" t="s">
        <v>13</v>
      </c>
      <c r="G3" s="42">
        <v>5000</v>
      </c>
      <c r="H3" s="40">
        <f t="shared" ref="H3:H66" si="0">D3/G3</f>
        <v>8.0000000000000004E-4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 spans="1:28" ht="14" hidden="1">
      <c r="A4" s="37">
        <v>4553</v>
      </c>
      <c r="B4" s="37" t="s">
        <v>199</v>
      </c>
      <c r="C4" s="37">
        <f ca="1">SUMIF('Finished Recipe'!H:R,'مسحوبات المواد الخام'!A4,'Finished Recipe'!R:R)</f>
        <v>0</v>
      </c>
      <c r="D4" s="37">
        <v>0.42</v>
      </c>
      <c r="E4" s="37" t="s">
        <v>15</v>
      </c>
      <c r="F4" s="38" t="s">
        <v>13</v>
      </c>
      <c r="G4" s="42">
        <v>1000</v>
      </c>
      <c r="H4" s="40">
        <f t="shared" si="0"/>
        <v>4.1999999999999996E-4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1:28" ht="14" hidden="1">
      <c r="A5" s="37">
        <v>4559</v>
      </c>
      <c r="B5" s="37" t="s">
        <v>69</v>
      </c>
      <c r="C5" s="37">
        <f ca="1">SUMIF('Finished Recipe'!H:R,'مسحوبات المواد الخام'!A5,'Finished Recipe'!R:R)</f>
        <v>0</v>
      </c>
      <c r="D5" s="37">
        <v>4</v>
      </c>
      <c r="E5" s="37" t="s">
        <v>8</v>
      </c>
      <c r="F5" s="38" t="s">
        <v>13</v>
      </c>
      <c r="G5" s="42">
        <v>1000</v>
      </c>
      <c r="H5" s="40">
        <f t="shared" si="0"/>
        <v>4.0000000000000001E-3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1:28" ht="14" hidden="1">
      <c r="A6" s="37">
        <v>4560</v>
      </c>
      <c r="B6" s="37" t="s">
        <v>109</v>
      </c>
      <c r="C6" s="37">
        <f ca="1">SUMIF('Finished Recipe'!H:R,'مسحوبات المواد الخام'!A6,'Finished Recipe'!R:R)</f>
        <v>0</v>
      </c>
      <c r="D6" s="37">
        <v>11.363636363636363</v>
      </c>
      <c r="E6" s="37" t="s">
        <v>8</v>
      </c>
      <c r="F6" s="38" t="s">
        <v>13</v>
      </c>
      <c r="G6" s="42">
        <v>1000</v>
      </c>
      <c r="H6" s="40">
        <f t="shared" si="0"/>
        <v>1.1363636363636364E-2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 spans="1:28" ht="14" hidden="1">
      <c r="A7" s="37">
        <v>4561</v>
      </c>
      <c r="B7" s="37" t="s">
        <v>183</v>
      </c>
      <c r="C7" s="37">
        <f ca="1">SUMIF('Finished Recipe'!H:R,'مسحوبات المواد الخام'!A7,'Finished Recipe'!R:R)</f>
        <v>0</v>
      </c>
      <c r="D7" s="37">
        <v>4</v>
      </c>
      <c r="E7" s="37" t="s">
        <v>8</v>
      </c>
      <c r="F7" s="38" t="s">
        <v>13</v>
      </c>
      <c r="G7" s="42">
        <v>1500</v>
      </c>
      <c r="H7" s="40">
        <f t="shared" si="0"/>
        <v>2.6666666666666666E-3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spans="1:28" ht="14" hidden="1">
      <c r="A8" s="37">
        <v>4562</v>
      </c>
      <c r="B8" s="37" t="s">
        <v>255</v>
      </c>
      <c r="C8" s="37">
        <f ca="1">SUMIF('Finished Recipe'!H:R,'مسحوبات المواد الخام'!A8,'Finished Recipe'!R:R)</f>
        <v>0</v>
      </c>
      <c r="D8" s="37">
        <v>19.545000000000002</v>
      </c>
      <c r="E8" s="37" t="s">
        <v>11</v>
      </c>
      <c r="F8" s="38" t="s">
        <v>13</v>
      </c>
      <c r="G8" s="42">
        <v>288</v>
      </c>
      <c r="H8" s="40">
        <f t="shared" si="0"/>
        <v>6.7864583333333339E-2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pans="1:28" ht="14" hidden="1">
      <c r="A9" s="37">
        <v>4564</v>
      </c>
      <c r="B9" s="37" t="s">
        <v>211</v>
      </c>
      <c r="C9" s="37">
        <f ca="1">SUMIF('Finished Recipe'!H:R,'مسحوبات المواد الخام'!A9,'Finished Recipe'!R:R)</f>
        <v>0</v>
      </c>
      <c r="D9" s="37">
        <v>26.666666666666664</v>
      </c>
      <c r="E9" s="37" t="s">
        <v>8</v>
      </c>
      <c r="F9" s="38" t="s">
        <v>13</v>
      </c>
      <c r="G9" s="42">
        <v>3000</v>
      </c>
      <c r="H9" s="40">
        <f t="shared" si="0"/>
        <v>8.8888888888888889E-3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 spans="1:28" ht="14" hidden="1">
      <c r="A10" s="37">
        <v>4565</v>
      </c>
      <c r="B10" s="37" t="s">
        <v>110</v>
      </c>
      <c r="C10" s="37">
        <f ca="1">SUMIF('Finished Recipe'!H:R,'مسحوبات المواد الخام'!A10,'Finished Recipe'!R:R)</f>
        <v>0</v>
      </c>
      <c r="D10" s="37">
        <v>50.908999999999999</v>
      </c>
      <c r="E10" s="37" t="s">
        <v>8</v>
      </c>
      <c r="F10" s="38" t="s">
        <v>13</v>
      </c>
      <c r="G10" s="42">
        <v>16000</v>
      </c>
      <c r="H10" s="40">
        <f t="shared" si="0"/>
        <v>3.1818124999999997E-3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 spans="1:28" ht="14" hidden="1">
      <c r="A11" s="37">
        <v>4566</v>
      </c>
      <c r="B11" s="37" t="s">
        <v>210</v>
      </c>
      <c r="C11" s="37">
        <f ca="1">SUMIF('Finished Recipe'!H:R,'مسحوبات المواد الخام'!A11,'Finished Recipe'!R:R)</f>
        <v>0</v>
      </c>
      <c r="D11" s="37">
        <v>18.26923076923077</v>
      </c>
      <c r="E11" s="37" t="s">
        <v>8</v>
      </c>
      <c r="F11" s="38" t="s">
        <v>13</v>
      </c>
      <c r="G11" s="42">
        <v>2500</v>
      </c>
      <c r="H11" s="40">
        <f t="shared" si="0"/>
        <v>7.3076923076923084E-3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spans="1:28" ht="14" hidden="1">
      <c r="A12" s="37">
        <v>4623</v>
      </c>
      <c r="B12" s="37" t="s">
        <v>12</v>
      </c>
      <c r="C12" s="37">
        <f ca="1">SUMIF('Finished Recipe'!H:R,'مسحوبات المواد الخام'!A12,'Finished Recipe'!R:R)</f>
        <v>0</v>
      </c>
      <c r="D12" s="37">
        <v>20.192</v>
      </c>
      <c r="E12" s="37" t="s">
        <v>8</v>
      </c>
      <c r="F12" s="38" t="s">
        <v>13</v>
      </c>
      <c r="G12" s="42">
        <v>8000</v>
      </c>
      <c r="H12" s="40">
        <f t="shared" si="0"/>
        <v>2.5240000000000002E-3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spans="1:28" ht="14" hidden="1">
      <c r="A13" s="37">
        <v>4624</v>
      </c>
      <c r="B13" s="37" t="s">
        <v>57</v>
      </c>
      <c r="C13" s="37">
        <f ca="1">SUMIF('Finished Recipe'!H:R,'مسحوبات المواد الخام'!A13,'Finished Recipe'!R:R)</f>
        <v>0</v>
      </c>
      <c r="D13" s="37">
        <v>10</v>
      </c>
      <c r="E13" s="37" t="s">
        <v>8</v>
      </c>
      <c r="F13" s="38" t="s">
        <v>13</v>
      </c>
      <c r="G13" s="42">
        <v>19040</v>
      </c>
      <c r="H13" s="40">
        <f t="shared" si="0"/>
        <v>5.2521008403361342E-4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 ht="14" hidden="1">
      <c r="A14" s="37">
        <v>4791</v>
      </c>
      <c r="B14" s="37" t="s">
        <v>32</v>
      </c>
      <c r="C14" s="37">
        <f ca="1">SUMIF('Finished Recipe'!H:R,'مسحوبات المواد الخام'!A14,'Finished Recipe'!R:R)</f>
        <v>0</v>
      </c>
      <c r="D14" s="37">
        <v>8.3330000000000002</v>
      </c>
      <c r="E14" s="37" t="s">
        <v>8</v>
      </c>
      <c r="F14" s="38" t="s">
        <v>13</v>
      </c>
      <c r="G14" s="42">
        <v>1000</v>
      </c>
      <c r="H14" s="40">
        <f t="shared" si="0"/>
        <v>8.3330000000000001E-3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 spans="1:28" ht="14" hidden="1">
      <c r="A15" s="37">
        <v>4935</v>
      </c>
      <c r="B15" s="37" t="s">
        <v>61</v>
      </c>
      <c r="C15" s="37">
        <f ca="1">SUMIF('Finished Recipe'!H:R,'مسحوبات المواد الخام'!A15,'Finished Recipe'!R:R)</f>
        <v>0</v>
      </c>
      <c r="D15" s="37">
        <v>2.75</v>
      </c>
      <c r="E15" s="37" t="s">
        <v>8</v>
      </c>
      <c r="F15" s="38" t="s">
        <v>13</v>
      </c>
      <c r="G15" s="42">
        <v>1000</v>
      </c>
      <c r="H15" s="40">
        <f t="shared" si="0"/>
        <v>2.7499999999999998E-3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 spans="1:28" ht="14" hidden="1">
      <c r="A16" s="37">
        <v>4388</v>
      </c>
      <c r="B16" s="37" t="s">
        <v>273</v>
      </c>
      <c r="C16" s="37">
        <f ca="1">SUMIF('Finished Recipe'!H:R,'مسحوبات المواد الخام'!A16,'Finished Recipe'!R:R)</f>
        <v>0</v>
      </c>
      <c r="D16" s="37">
        <v>6.4655172413793105</v>
      </c>
      <c r="E16" s="37" t="s">
        <v>8</v>
      </c>
      <c r="F16" s="38" t="s">
        <v>274</v>
      </c>
      <c r="G16" s="42">
        <v>10</v>
      </c>
      <c r="H16" s="40">
        <f t="shared" si="0"/>
        <v>0.64655172413793105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 spans="1:28" ht="14" hidden="1">
      <c r="A17" s="37">
        <v>5388</v>
      </c>
      <c r="B17" s="37" t="s">
        <v>319</v>
      </c>
      <c r="C17" s="37">
        <f ca="1">SUMIF('Finished Recipe'!H:R,'مسحوبات المواد الخام'!A17,'Finished Recipe'!R:R)</f>
        <v>0</v>
      </c>
      <c r="D17" s="37">
        <v>2.7160000000000002</v>
      </c>
      <c r="E17" s="37" t="s">
        <v>11</v>
      </c>
      <c r="F17" s="38" t="s">
        <v>274</v>
      </c>
      <c r="G17" s="42">
        <v>1</v>
      </c>
      <c r="H17" s="40">
        <f t="shared" si="0"/>
        <v>2.7160000000000002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 spans="1:28" ht="14" hidden="1">
      <c r="A18" s="37">
        <v>4264</v>
      </c>
      <c r="B18" s="37" t="s">
        <v>193</v>
      </c>
      <c r="C18" s="37">
        <f ca="1">SUMIF('Finished Recipe'!H:R,'مسحوبات المواد الخام'!A18,'Finished Recipe'!R:R)</f>
        <v>0</v>
      </c>
      <c r="D18" s="37">
        <v>9.1948275862068982E-2</v>
      </c>
      <c r="E18" s="37" t="s">
        <v>11</v>
      </c>
      <c r="F18" s="38" t="s">
        <v>168</v>
      </c>
      <c r="G18" s="42">
        <v>1</v>
      </c>
      <c r="H18" s="40">
        <f t="shared" si="0"/>
        <v>9.1948275862068982E-2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 spans="1:28" ht="14" hidden="1">
      <c r="A19" s="37">
        <v>4265</v>
      </c>
      <c r="B19" s="37" t="s">
        <v>172</v>
      </c>
      <c r="C19" s="37">
        <f ca="1">SUMIF('Finished Recipe'!H:R,'مسحوبات المواد الخام'!A19,'Finished Recipe'!R:R)</f>
        <v>0</v>
      </c>
      <c r="D19" s="37">
        <v>4.9034482758620691E-2</v>
      </c>
      <c r="E19" s="37" t="s">
        <v>11</v>
      </c>
      <c r="F19" s="38" t="s">
        <v>168</v>
      </c>
      <c r="G19" s="42">
        <v>1</v>
      </c>
      <c r="H19" s="40">
        <f t="shared" si="0"/>
        <v>4.9034482758620691E-2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 spans="1:28" ht="14" hidden="1">
      <c r="A20" s="37">
        <v>4266</v>
      </c>
      <c r="B20" s="37" t="s">
        <v>196</v>
      </c>
      <c r="C20" s="37">
        <f ca="1">SUMIF('Finished Recipe'!H:R,'مسحوبات المواد الخام'!A20,'Finished Recipe'!R:R)</f>
        <v>0</v>
      </c>
      <c r="D20" s="37">
        <v>6.3224137931034485E-2</v>
      </c>
      <c r="E20" s="37" t="s">
        <v>11</v>
      </c>
      <c r="F20" s="38" t="s">
        <v>168</v>
      </c>
      <c r="G20" s="42">
        <v>1</v>
      </c>
      <c r="H20" s="40">
        <f t="shared" si="0"/>
        <v>6.3224137931034485E-2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 spans="1:28" ht="14" hidden="1">
      <c r="A21" s="37">
        <v>4267</v>
      </c>
      <c r="B21" s="37" t="s">
        <v>176</v>
      </c>
      <c r="C21" s="37">
        <f ca="1">SUMIF('Finished Recipe'!H:R,'مسحوبات المواد الخام'!A21,'Finished Recipe'!R:R)</f>
        <v>0</v>
      </c>
      <c r="D21" s="37">
        <v>14.224137931034484</v>
      </c>
      <c r="E21" s="37" t="s">
        <v>11</v>
      </c>
      <c r="F21" s="38" t="s">
        <v>168</v>
      </c>
      <c r="G21" s="42">
        <v>50</v>
      </c>
      <c r="H21" s="40">
        <f t="shared" si="0"/>
        <v>0.28448275862068967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 spans="1:28" ht="14" hidden="1">
      <c r="A22" s="37">
        <v>4268</v>
      </c>
      <c r="B22" s="37" t="s">
        <v>177</v>
      </c>
      <c r="C22" s="37">
        <f ca="1">SUMIF('Finished Recipe'!H:R,'مسحوبات المواد الخام'!A22,'Finished Recipe'!R:R)</f>
        <v>0</v>
      </c>
      <c r="D22" s="37">
        <v>16.810344827586206</v>
      </c>
      <c r="E22" s="37" t="s">
        <v>11</v>
      </c>
      <c r="F22" s="38" t="s">
        <v>168</v>
      </c>
      <c r="G22" s="42">
        <v>50</v>
      </c>
      <c r="H22" s="40">
        <f t="shared" si="0"/>
        <v>0.33620689655172414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 spans="1:28" ht="14" hidden="1">
      <c r="A23" s="37">
        <v>4269</v>
      </c>
      <c r="B23" s="37" t="s">
        <v>178</v>
      </c>
      <c r="C23" s="37">
        <f ca="1">SUMIF('Finished Recipe'!H:R,'مسحوبات المواد الخام'!A23,'Finished Recipe'!R:R)</f>
        <v>0</v>
      </c>
      <c r="D23" s="37">
        <v>18.53448275862069</v>
      </c>
      <c r="E23" s="37" t="s">
        <v>11</v>
      </c>
      <c r="F23" s="38" t="s">
        <v>168</v>
      </c>
      <c r="G23" s="42">
        <v>50</v>
      </c>
      <c r="H23" s="40">
        <f t="shared" si="0"/>
        <v>0.37068965517241381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1:28" ht="14" hidden="1">
      <c r="A24" s="37">
        <v>4274</v>
      </c>
      <c r="B24" s="37" t="s">
        <v>208</v>
      </c>
      <c r="C24" s="37">
        <f ca="1">SUMIF('Finished Recipe'!H:R,'مسحوبات المواد الخام'!A24,'Finished Recipe'!R:R)</f>
        <v>0</v>
      </c>
      <c r="D24" s="37">
        <v>25</v>
      </c>
      <c r="E24" s="37" t="s">
        <v>11</v>
      </c>
      <c r="F24" s="38" t="s">
        <v>168</v>
      </c>
      <c r="G24" s="42">
        <v>100</v>
      </c>
      <c r="H24" s="40">
        <f t="shared" si="0"/>
        <v>0.25</v>
      </c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1:28" ht="14" hidden="1">
      <c r="A25" s="37">
        <v>4275</v>
      </c>
      <c r="B25" s="37" t="s">
        <v>209</v>
      </c>
      <c r="C25" s="37">
        <f ca="1">SUMIF('Finished Recipe'!H:R,'مسحوبات المواد الخام'!A25,'Finished Recipe'!R:R)</f>
        <v>0</v>
      </c>
      <c r="D25" s="37">
        <v>29.31034482758621</v>
      </c>
      <c r="E25" s="37" t="s">
        <v>11</v>
      </c>
      <c r="F25" s="38" t="s">
        <v>168</v>
      </c>
      <c r="G25" s="42">
        <v>100</v>
      </c>
      <c r="H25" s="40">
        <f t="shared" si="0"/>
        <v>0.2931034482758621</v>
      </c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1:28" ht="14" hidden="1">
      <c r="A26" s="37">
        <v>4277</v>
      </c>
      <c r="B26" s="37" t="s">
        <v>184</v>
      </c>
      <c r="C26" s="37">
        <f ca="1">SUMIF('Finished Recipe'!H:R,'مسحوبات المواد الخام'!A26,'Finished Recipe'!R:R)</f>
        <v>0</v>
      </c>
      <c r="D26" s="37">
        <v>5.6034482758620694</v>
      </c>
      <c r="E26" s="37" t="s">
        <v>11</v>
      </c>
      <c r="F26" s="38" t="s">
        <v>168</v>
      </c>
      <c r="G26" s="42">
        <v>50</v>
      </c>
      <c r="H26" s="40">
        <f t="shared" si="0"/>
        <v>0.11206896551724138</v>
      </c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1:28" ht="14" hidden="1">
      <c r="A27" s="37">
        <v>4279</v>
      </c>
      <c r="B27" s="37" t="s">
        <v>195</v>
      </c>
      <c r="C27" s="37">
        <f ca="1">SUMIF('Finished Recipe'!H:R,'مسحوبات المواد الخام'!A27,'Finished Recipe'!R:R)</f>
        <v>0</v>
      </c>
      <c r="D27" s="37">
        <v>14.224137931034484</v>
      </c>
      <c r="E27" s="37" t="s">
        <v>11</v>
      </c>
      <c r="F27" s="38" t="s">
        <v>168</v>
      </c>
      <c r="G27" s="42">
        <v>200</v>
      </c>
      <c r="H27" s="40">
        <f t="shared" si="0"/>
        <v>7.1120689655172417E-2</v>
      </c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1:28" ht="14" hidden="1">
      <c r="A28" s="37">
        <v>4280</v>
      </c>
      <c r="B28" s="37" t="s">
        <v>171</v>
      </c>
      <c r="C28" s="37">
        <f ca="1">SUMIF('Finished Recipe'!H:R,'مسحوبات المواد الخام'!A28,'Finished Recipe'!R:R)</f>
        <v>0</v>
      </c>
      <c r="D28" s="37">
        <v>22.413793103448278</v>
      </c>
      <c r="E28" s="37" t="s">
        <v>11</v>
      </c>
      <c r="F28" s="38" t="s">
        <v>168</v>
      </c>
      <c r="G28" s="42">
        <v>200</v>
      </c>
      <c r="H28" s="40">
        <f t="shared" si="0"/>
        <v>0.11206896551724138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1:28" ht="14" hidden="1">
      <c r="A29" s="37">
        <v>4282</v>
      </c>
      <c r="B29" s="37" t="s">
        <v>207</v>
      </c>
      <c r="C29" s="37">
        <f ca="1">SUMIF('Finished Recipe'!H:R,'مسحوبات المواد الخام'!A29,'Finished Recipe'!R:R)</f>
        <v>0</v>
      </c>
      <c r="D29" s="37">
        <v>17.241379310344829</v>
      </c>
      <c r="E29" s="37" t="s">
        <v>11</v>
      </c>
      <c r="F29" s="38" t="s">
        <v>168</v>
      </c>
      <c r="G29" s="42">
        <v>200</v>
      </c>
      <c r="H29" s="40">
        <f t="shared" si="0"/>
        <v>8.6206896551724144E-2</v>
      </c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1:28" ht="14" hidden="1">
      <c r="A30" s="37">
        <v>4285</v>
      </c>
      <c r="B30" s="37" t="s">
        <v>169</v>
      </c>
      <c r="C30" s="37">
        <f ca="1">SUMIF('Finished Recipe'!H:R,'مسحوبات المواد الخام'!A30,'Finished Recipe'!R:R)</f>
        <v>0</v>
      </c>
      <c r="D30" s="37">
        <v>19.827586206896552</v>
      </c>
      <c r="E30" s="37" t="s">
        <v>11</v>
      </c>
      <c r="F30" s="38" t="s">
        <v>168</v>
      </c>
      <c r="G30" s="42">
        <v>1000</v>
      </c>
      <c r="H30" s="40">
        <f t="shared" si="0"/>
        <v>1.9827586206896553E-2</v>
      </c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1:28" ht="14" hidden="1">
      <c r="A31" s="37">
        <v>4289</v>
      </c>
      <c r="B31" s="37" t="s">
        <v>219</v>
      </c>
      <c r="C31" s="37">
        <f ca="1">SUMIF('Finished Recipe'!H:R,'مسحوبات المواد الخام'!A31,'Finished Recipe'!R:R)</f>
        <v>0</v>
      </c>
      <c r="D31" s="37">
        <v>17.241379310344829</v>
      </c>
      <c r="E31" s="37" t="s">
        <v>11</v>
      </c>
      <c r="F31" s="38" t="s">
        <v>168</v>
      </c>
      <c r="G31" s="42">
        <v>2000</v>
      </c>
      <c r="H31" s="40">
        <f t="shared" si="0"/>
        <v>8.6206896551724154E-3</v>
      </c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1:28" ht="14" hidden="1">
      <c r="A32" s="37">
        <v>4290</v>
      </c>
      <c r="B32" s="37" t="s">
        <v>174</v>
      </c>
      <c r="C32" s="37">
        <f ca="1">SUMIF('Finished Recipe'!H:R,'مسحوبات المواد الخام'!A32,'Finished Recipe'!R:R)</f>
        <v>0</v>
      </c>
      <c r="D32" s="37">
        <v>30.172413793103452</v>
      </c>
      <c r="E32" s="37" t="s">
        <v>11</v>
      </c>
      <c r="F32" s="38" t="s">
        <v>168</v>
      </c>
      <c r="G32" s="42">
        <v>500</v>
      </c>
      <c r="H32" s="40">
        <f t="shared" si="0"/>
        <v>6.0344827586206906E-2</v>
      </c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1:28" ht="14" hidden="1">
      <c r="A33" s="37">
        <v>4298</v>
      </c>
      <c r="B33" s="37" t="s">
        <v>180</v>
      </c>
      <c r="C33" s="37">
        <f ca="1">SUMIF('Finished Recipe'!H:R,'مسحوبات المواد الخام'!A33,'Finished Recipe'!R:R)</f>
        <v>0</v>
      </c>
      <c r="D33" s="37">
        <v>3.2327586206896552</v>
      </c>
      <c r="E33" s="37" t="s">
        <v>11</v>
      </c>
      <c r="F33" s="38" t="s">
        <v>168</v>
      </c>
      <c r="G33" s="42">
        <v>100</v>
      </c>
      <c r="H33" s="40">
        <f t="shared" si="0"/>
        <v>3.2327586206896554E-2</v>
      </c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1:28" ht="14" hidden="1">
      <c r="A34" s="37">
        <v>4309</v>
      </c>
      <c r="B34" s="37" t="s">
        <v>192</v>
      </c>
      <c r="C34" s="37">
        <f ca="1">SUMIF('Finished Recipe'!H:R,'مسحوبات المواد الخام'!A34,'Finished Recipe'!R:R)</f>
        <v>0</v>
      </c>
      <c r="D34" s="37">
        <v>1.3793103448275863</v>
      </c>
      <c r="E34" s="37" t="s">
        <v>11</v>
      </c>
      <c r="F34" s="38" t="s">
        <v>168</v>
      </c>
      <c r="G34" s="42">
        <v>25</v>
      </c>
      <c r="H34" s="40">
        <f t="shared" si="0"/>
        <v>5.5172413793103454E-2</v>
      </c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1:28" ht="14" hidden="1">
      <c r="A35" s="37">
        <v>4323</v>
      </c>
      <c r="B35" s="37" t="s">
        <v>188</v>
      </c>
      <c r="C35" s="37">
        <f ca="1">SUMIF('Finished Recipe'!H:R,'مسحوبات المواد الخام'!A35,'Finished Recipe'!R:R)</f>
        <v>0</v>
      </c>
      <c r="D35" s="37">
        <v>6.0344827586206904</v>
      </c>
      <c r="E35" s="37" t="s">
        <v>8</v>
      </c>
      <c r="F35" s="38" t="s">
        <v>168</v>
      </c>
      <c r="G35" s="42">
        <v>2000</v>
      </c>
      <c r="H35" s="40">
        <f t="shared" si="0"/>
        <v>3.0172413793103452E-3</v>
      </c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1:28" ht="14" hidden="1">
      <c r="A36" s="37">
        <v>4329</v>
      </c>
      <c r="B36" s="37" t="s">
        <v>197</v>
      </c>
      <c r="C36" s="37">
        <f ca="1">SUMIF('Finished Recipe'!H:R,'مسحوبات المواد الخام'!A36,'Finished Recipe'!R:R)</f>
        <v>0</v>
      </c>
      <c r="D36" s="37">
        <v>21.551724137931036</v>
      </c>
      <c r="E36" s="37" t="s">
        <v>11</v>
      </c>
      <c r="F36" s="38" t="s">
        <v>168</v>
      </c>
      <c r="G36" s="42">
        <v>500</v>
      </c>
      <c r="H36" s="40">
        <f t="shared" si="0"/>
        <v>4.3103448275862072E-2</v>
      </c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1:28" ht="14" hidden="1">
      <c r="A37" s="37">
        <v>4346</v>
      </c>
      <c r="B37" s="37" t="s">
        <v>189</v>
      </c>
      <c r="C37" s="37">
        <f ca="1">SUMIF('Finished Recipe'!H:R,'مسحوبات المواد الخام'!A37,'Finished Recipe'!R:R)</f>
        <v>0</v>
      </c>
      <c r="D37" s="37">
        <v>12.931034482758621</v>
      </c>
      <c r="E37" s="37" t="s">
        <v>11</v>
      </c>
      <c r="F37" s="38" t="s">
        <v>168</v>
      </c>
      <c r="G37" s="42">
        <v>150</v>
      </c>
      <c r="H37" s="40">
        <f t="shared" si="0"/>
        <v>8.6206896551724144E-2</v>
      </c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1:28" ht="14" hidden="1">
      <c r="A38" s="37">
        <v>4347</v>
      </c>
      <c r="B38" s="37" t="s">
        <v>190</v>
      </c>
      <c r="C38" s="37">
        <f ca="1">SUMIF('Finished Recipe'!H:R,'مسحوبات المواد الخام'!A38,'Finished Recipe'!R:R)</f>
        <v>0</v>
      </c>
      <c r="D38" s="37">
        <v>8.6206896551724146</v>
      </c>
      <c r="E38" s="37" t="s">
        <v>11</v>
      </c>
      <c r="F38" s="38" t="s">
        <v>168</v>
      </c>
      <c r="G38" s="42">
        <v>50</v>
      </c>
      <c r="H38" s="40">
        <f t="shared" si="0"/>
        <v>0.17241379310344829</v>
      </c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1:28" ht="14" hidden="1">
      <c r="A39" s="37">
        <v>4348</v>
      </c>
      <c r="B39" s="37" t="s">
        <v>191</v>
      </c>
      <c r="C39" s="37">
        <f ca="1">SUMIF('Finished Recipe'!H:R,'مسحوبات المواد الخام'!A39,'Finished Recipe'!R:R)</f>
        <v>0</v>
      </c>
      <c r="D39" s="37">
        <v>12.068960000000001</v>
      </c>
      <c r="E39" s="37" t="s">
        <v>11</v>
      </c>
      <c r="F39" s="38" t="s">
        <v>168</v>
      </c>
      <c r="G39" s="42">
        <v>50</v>
      </c>
      <c r="H39" s="40">
        <f t="shared" si="0"/>
        <v>0.24137920000000002</v>
      </c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1:28" ht="14" hidden="1">
      <c r="A40" s="37">
        <v>4350</v>
      </c>
      <c r="B40" s="37" t="s">
        <v>179</v>
      </c>
      <c r="C40" s="37">
        <f ca="1">SUMIF('Finished Recipe'!H:R,'مسحوبات المواد الخام'!A40,'Finished Recipe'!R:R)</f>
        <v>0</v>
      </c>
      <c r="D40" s="37">
        <v>3.0172413793103452</v>
      </c>
      <c r="E40" s="37" t="s">
        <v>11</v>
      </c>
      <c r="F40" s="38" t="s">
        <v>168</v>
      </c>
      <c r="G40" s="42">
        <v>100</v>
      </c>
      <c r="H40" s="40">
        <f t="shared" si="0"/>
        <v>3.0172413793103453E-2</v>
      </c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1:28" ht="14" hidden="1">
      <c r="A41" s="37">
        <v>4351</v>
      </c>
      <c r="B41" s="37" t="s">
        <v>186</v>
      </c>
      <c r="C41" s="37">
        <f ca="1">SUMIF('Finished Recipe'!H:R,'مسحوبات المواد الخام'!A41,'Finished Recipe'!R:R)</f>
        <v>0</v>
      </c>
      <c r="D41" s="37">
        <v>3.8793103448275863</v>
      </c>
      <c r="E41" s="37" t="s">
        <v>11</v>
      </c>
      <c r="F41" s="38" t="s">
        <v>168</v>
      </c>
      <c r="G41" s="42">
        <v>100</v>
      </c>
      <c r="H41" s="40">
        <f t="shared" si="0"/>
        <v>3.8793103448275863E-2</v>
      </c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1:28" ht="14" hidden="1">
      <c r="A42" s="37">
        <v>4354</v>
      </c>
      <c r="B42" s="37" t="s">
        <v>200</v>
      </c>
      <c r="C42" s="37">
        <f ca="1">SUMIF('Finished Recipe'!H:R,'مسحوبات المواد الخام'!A42,'Finished Recipe'!R:R)</f>
        <v>0</v>
      </c>
      <c r="D42" s="37">
        <v>3.8793103448275863</v>
      </c>
      <c r="E42" s="37" t="s">
        <v>11</v>
      </c>
      <c r="F42" s="38" t="s">
        <v>168</v>
      </c>
      <c r="G42" s="42">
        <v>20</v>
      </c>
      <c r="H42" s="40">
        <f t="shared" si="0"/>
        <v>0.19396551724137931</v>
      </c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spans="1:28" ht="14" hidden="1">
      <c r="A43" s="37">
        <v>4412</v>
      </c>
      <c r="B43" s="37" t="s">
        <v>264</v>
      </c>
      <c r="C43" s="37">
        <f ca="1">SUMIF('Finished Recipe'!H:R,'مسحوبات المواد الخام'!A43,'Finished Recipe'!R:R)</f>
        <v>0</v>
      </c>
      <c r="D43" s="37">
        <v>7.7590000000000003</v>
      </c>
      <c r="E43" s="37" t="s">
        <v>11</v>
      </c>
      <c r="F43" s="38" t="s">
        <v>168</v>
      </c>
      <c r="G43" s="42">
        <v>100</v>
      </c>
      <c r="H43" s="40">
        <f t="shared" si="0"/>
        <v>7.7590000000000006E-2</v>
      </c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1:28" ht="14" hidden="1">
      <c r="A44" s="37">
        <v>4425</v>
      </c>
      <c r="B44" s="37" t="s">
        <v>170</v>
      </c>
      <c r="C44" s="37">
        <f ca="1">SUMIF('Finished Recipe'!H:R,'مسحوبات المواد الخام'!A44,'Finished Recipe'!R:R)</f>
        <v>0</v>
      </c>
      <c r="D44" s="37">
        <v>5.0000000000000001E-3</v>
      </c>
      <c r="E44" s="37" t="s">
        <v>11</v>
      </c>
      <c r="F44" s="38" t="s">
        <v>168</v>
      </c>
      <c r="G44" s="42">
        <v>1</v>
      </c>
      <c r="H44" s="40">
        <f t="shared" si="0"/>
        <v>5.0000000000000001E-3</v>
      </c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1:28" ht="14" hidden="1">
      <c r="A45" s="37">
        <v>4806</v>
      </c>
      <c r="B45" s="37" t="s">
        <v>263</v>
      </c>
      <c r="C45" s="37">
        <f ca="1">SUMIF('Finished Recipe'!H:R,'مسحوبات المواد الخام'!A45,'Finished Recipe'!R:R)</f>
        <v>0</v>
      </c>
      <c r="D45" s="37">
        <v>10.344827586206897</v>
      </c>
      <c r="E45" s="37" t="s">
        <v>11</v>
      </c>
      <c r="F45" s="38" t="s">
        <v>168</v>
      </c>
      <c r="G45" s="42">
        <v>25</v>
      </c>
      <c r="H45" s="40">
        <f t="shared" si="0"/>
        <v>0.41379310344827586</v>
      </c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1:28" ht="14" hidden="1">
      <c r="A46" s="37">
        <v>4930</v>
      </c>
      <c r="B46" s="37" t="s">
        <v>277</v>
      </c>
      <c r="C46" s="37">
        <f ca="1">SUMIF('Finished Recipe'!H:R,'مسحوبات المواد الخام'!A46,'Finished Recipe'!R:R)</f>
        <v>0</v>
      </c>
      <c r="D46" s="37">
        <v>41.379310344827587</v>
      </c>
      <c r="E46" s="37" t="s">
        <v>11</v>
      </c>
      <c r="F46" s="38" t="s">
        <v>168</v>
      </c>
      <c r="G46" s="42">
        <v>150</v>
      </c>
      <c r="H46" s="40">
        <f t="shared" si="0"/>
        <v>0.27586206896551724</v>
      </c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spans="1:28" ht="14" hidden="1">
      <c r="A47" s="37">
        <v>5265</v>
      </c>
      <c r="B47" s="37" t="s">
        <v>393</v>
      </c>
      <c r="C47" s="37">
        <f ca="1">SUMIF('Finished Recipe'!H:R,'مسحوبات المواد الخام'!A47,'Finished Recipe'!R:R)</f>
        <v>0</v>
      </c>
      <c r="D47" s="37">
        <v>7.3275862068965525</v>
      </c>
      <c r="E47" s="37" t="s">
        <v>11</v>
      </c>
      <c r="F47" s="38" t="s">
        <v>168</v>
      </c>
      <c r="G47" s="42">
        <v>90</v>
      </c>
      <c r="H47" s="40">
        <f t="shared" si="0"/>
        <v>8.1417624521072804E-2</v>
      </c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spans="1:28" ht="14" hidden="1">
      <c r="A48" s="37">
        <v>5266</v>
      </c>
      <c r="B48" s="37" t="s">
        <v>342</v>
      </c>
      <c r="C48" s="37">
        <f ca="1">SUMIF('Finished Recipe'!H:R,'مسحوبات المواد الخام'!A48,'Finished Recipe'!R:R)</f>
        <v>0</v>
      </c>
      <c r="D48" s="37">
        <v>51.724137931034484</v>
      </c>
      <c r="E48" s="37" t="s">
        <v>11</v>
      </c>
      <c r="F48" s="38" t="s">
        <v>168</v>
      </c>
      <c r="G48" s="42">
        <v>94</v>
      </c>
      <c r="H48" s="40">
        <f t="shared" si="0"/>
        <v>0.5502567865003668</v>
      </c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1:28" ht="14" hidden="1">
      <c r="A49" s="37">
        <v>5268</v>
      </c>
      <c r="B49" s="37" t="s">
        <v>323</v>
      </c>
      <c r="C49" s="37">
        <f ca="1">SUMIF('Finished Recipe'!H:R,'مسحوبات المواد الخام'!A49,'Finished Recipe'!R:R)</f>
        <v>0</v>
      </c>
      <c r="D49" s="37">
        <v>8.1896551724137936</v>
      </c>
      <c r="E49" s="37" t="s">
        <v>11</v>
      </c>
      <c r="F49" s="38" t="s">
        <v>168</v>
      </c>
      <c r="G49" s="42">
        <v>200</v>
      </c>
      <c r="H49" s="40">
        <f t="shared" si="0"/>
        <v>4.0948275862068971E-2</v>
      </c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1:28" ht="14" hidden="1">
      <c r="A50" s="37">
        <v>5300</v>
      </c>
      <c r="B50" s="37" t="s">
        <v>396</v>
      </c>
      <c r="C50" s="37">
        <f ca="1">SUMIF('Finished Recipe'!H:R,'مسحوبات المواد الخام'!A50,'Finished Recipe'!R:R)</f>
        <v>0</v>
      </c>
      <c r="D50" s="37">
        <v>7.3275862068965525</v>
      </c>
      <c r="E50" s="37" t="s">
        <v>11</v>
      </c>
      <c r="F50" s="38" t="s">
        <v>168</v>
      </c>
      <c r="G50" s="42">
        <v>250</v>
      </c>
      <c r="H50" s="40">
        <f t="shared" si="0"/>
        <v>2.931034482758621E-2</v>
      </c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1:28" ht="14" hidden="1">
      <c r="A51" s="37">
        <v>5382</v>
      </c>
      <c r="B51" s="37" t="s">
        <v>337</v>
      </c>
      <c r="C51" s="37">
        <f ca="1">SUMIF('Finished Recipe'!H:R,'مسحوبات المواد الخام'!A51,'Finished Recipe'!R:R)</f>
        <v>0</v>
      </c>
      <c r="D51" s="37">
        <v>5.6034482758620694</v>
      </c>
      <c r="E51" s="37" t="s">
        <v>8</v>
      </c>
      <c r="F51" s="38" t="s">
        <v>168</v>
      </c>
      <c r="G51" s="42">
        <v>1</v>
      </c>
      <c r="H51" s="40">
        <f t="shared" si="0"/>
        <v>5.6034482758620694</v>
      </c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1:28" ht="14" hidden="1">
      <c r="A52" s="37">
        <v>5383</v>
      </c>
      <c r="B52" s="37" t="s">
        <v>339</v>
      </c>
      <c r="C52" s="37">
        <f ca="1">SUMIF('Finished Recipe'!H:R,'مسحوبات المواد الخام'!A52,'Finished Recipe'!R:R)</f>
        <v>0</v>
      </c>
      <c r="D52" s="37">
        <v>4.3103448275862073</v>
      </c>
      <c r="E52" s="37" t="s">
        <v>11</v>
      </c>
      <c r="F52" s="38" t="s">
        <v>168</v>
      </c>
      <c r="G52" s="42">
        <v>400</v>
      </c>
      <c r="H52" s="40">
        <f t="shared" si="0"/>
        <v>1.0775862068965518E-2</v>
      </c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1:28" ht="14" hidden="1">
      <c r="A53" s="37">
        <v>5391</v>
      </c>
      <c r="B53" s="37" t="s">
        <v>322</v>
      </c>
      <c r="C53" s="37">
        <f ca="1">SUMIF('Finished Recipe'!H:R,'مسحوبات المواد الخام'!A53,'Finished Recipe'!R:R)</f>
        <v>0</v>
      </c>
      <c r="D53" s="37">
        <v>1.167</v>
      </c>
      <c r="E53" s="37" t="s">
        <v>11</v>
      </c>
      <c r="F53" s="38" t="s">
        <v>168</v>
      </c>
      <c r="G53" s="42">
        <v>1</v>
      </c>
      <c r="H53" s="40">
        <f t="shared" si="0"/>
        <v>1.167</v>
      </c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1:28" ht="14" hidden="1">
      <c r="A54" s="37">
        <v>5404</v>
      </c>
      <c r="B54" s="37" t="s">
        <v>335</v>
      </c>
      <c r="C54" s="37">
        <f ca="1">SUMIF('Finished Recipe'!H:R,'مسحوبات المواد الخام'!A54,'Finished Recipe'!R:R)</f>
        <v>0</v>
      </c>
      <c r="D54" s="37">
        <v>18.53448275862069</v>
      </c>
      <c r="E54" s="37" t="s">
        <v>11</v>
      </c>
      <c r="F54" s="38" t="s">
        <v>168</v>
      </c>
      <c r="G54" s="42">
        <v>50</v>
      </c>
      <c r="H54" s="40">
        <f t="shared" si="0"/>
        <v>0.37068965517241381</v>
      </c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1:28" ht="14" hidden="1">
      <c r="A55" s="37">
        <v>5424</v>
      </c>
      <c r="B55" s="37" t="s">
        <v>175</v>
      </c>
      <c r="C55" s="37">
        <f ca="1">SUMIF('Finished Recipe'!H:R,'مسحوبات المواد الخام'!A55,'Finished Recipe'!R:R)</f>
        <v>0</v>
      </c>
      <c r="D55" s="37">
        <v>34.482758620689658</v>
      </c>
      <c r="E55" s="37" t="s">
        <v>11</v>
      </c>
      <c r="F55" s="38" t="s">
        <v>168</v>
      </c>
      <c r="G55" s="42">
        <v>300</v>
      </c>
      <c r="H55" s="40">
        <f t="shared" si="0"/>
        <v>0.1149425287356322</v>
      </c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1:28" ht="14" hidden="1">
      <c r="A56" s="37">
        <v>5427</v>
      </c>
      <c r="B56" s="37" t="s">
        <v>394</v>
      </c>
      <c r="C56" s="37">
        <f ca="1">SUMIF('Finished Recipe'!H:R,'مسحوبات المواد الخام'!A56,'Finished Recipe'!R:R)</f>
        <v>0</v>
      </c>
      <c r="D56" s="37">
        <v>16.379310344827587</v>
      </c>
      <c r="E56" s="37" t="s">
        <v>8</v>
      </c>
      <c r="F56" s="38" t="s">
        <v>168</v>
      </c>
      <c r="G56" s="42">
        <v>12000</v>
      </c>
      <c r="H56" s="40">
        <f t="shared" si="0"/>
        <v>1.3649425287356322E-3</v>
      </c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1:28" ht="14" hidden="1">
      <c r="A57" s="37">
        <v>4021</v>
      </c>
      <c r="B57" s="37" t="s">
        <v>147</v>
      </c>
      <c r="C57" s="37">
        <f ca="1">SUMIF('Finished Recipe'!H:R,'مسحوبات المواد الخام'!A57,'Finished Recipe'!R:R)</f>
        <v>0</v>
      </c>
      <c r="D57" s="37">
        <v>37.930999999999997</v>
      </c>
      <c r="E57" s="37" t="s">
        <v>11</v>
      </c>
      <c r="F57" s="38" t="s">
        <v>17</v>
      </c>
      <c r="G57" s="42">
        <v>1152</v>
      </c>
      <c r="H57" s="40">
        <f t="shared" si="0"/>
        <v>3.2926215277777775E-2</v>
      </c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spans="1:28" ht="14" hidden="1">
      <c r="A58" s="37">
        <v>4022</v>
      </c>
      <c r="B58" s="37" t="s">
        <v>19</v>
      </c>
      <c r="C58" s="37">
        <f ca="1">SUMIF('Finished Recipe'!H:R,'مسحوبات المواد الخام'!A58,'Finished Recipe'!R:R)</f>
        <v>0</v>
      </c>
      <c r="D58" s="37">
        <v>28.232758620689658</v>
      </c>
      <c r="E58" s="37" t="s">
        <v>8</v>
      </c>
      <c r="F58" s="38" t="s">
        <v>17</v>
      </c>
      <c r="G58" s="42">
        <v>6000</v>
      </c>
      <c r="H58" s="40">
        <f t="shared" si="0"/>
        <v>4.7054597701149427E-3</v>
      </c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 spans="1:28" ht="14" hidden="1">
      <c r="A59" s="37">
        <v>4152</v>
      </c>
      <c r="B59" s="37" t="s">
        <v>16</v>
      </c>
      <c r="C59" s="37">
        <f ca="1">SUMIF('Finished Recipe'!H:R,'مسحوبات المواد الخام'!A59,'Finished Recipe'!R:R)</f>
        <v>0</v>
      </c>
      <c r="D59" s="37">
        <v>2.3039999999999998</v>
      </c>
      <c r="E59" s="37" t="s">
        <v>8</v>
      </c>
      <c r="F59" s="38" t="s">
        <v>17</v>
      </c>
      <c r="G59" s="42">
        <v>13500</v>
      </c>
      <c r="H59" s="40">
        <f t="shared" si="0"/>
        <v>1.7066666666666665E-4</v>
      </c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 spans="1:28" ht="14" hidden="1">
      <c r="A60" s="37">
        <v>4189</v>
      </c>
      <c r="B60" s="37" t="s">
        <v>153</v>
      </c>
      <c r="C60" s="37">
        <f ca="1">SUMIF('Finished Recipe'!H:R,'مسحوبات المواد الخام'!A60,'Finished Recipe'!R:R)</f>
        <v>0</v>
      </c>
      <c r="D60" s="37">
        <v>1.94</v>
      </c>
      <c r="E60" s="37" t="s">
        <v>8</v>
      </c>
      <c r="F60" s="38" t="s">
        <v>17</v>
      </c>
      <c r="G60" s="42">
        <v>1000</v>
      </c>
      <c r="H60" s="40">
        <f t="shared" si="0"/>
        <v>1.9399999999999999E-3</v>
      </c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 spans="1:28" ht="14" hidden="1">
      <c r="A61" s="37">
        <v>4191</v>
      </c>
      <c r="B61" s="37" t="s">
        <v>155</v>
      </c>
      <c r="C61" s="37">
        <f ca="1">SUMIF('Finished Recipe'!H:R,'مسحوبات المواد الخام'!A61,'Finished Recipe'!R:R)</f>
        <v>0</v>
      </c>
      <c r="D61" s="37">
        <v>6.0339999999999998</v>
      </c>
      <c r="E61" s="37" t="s">
        <v>8</v>
      </c>
      <c r="F61" s="38" t="s">
        <v>17</v>
      </c>
      <c r="G61" s="42">
        <v>1000</v>
      </c>
      <c r="H61" s="40">
        <f t="shared" si="0"/>
        <v>6.0339999999999994E-3</v>
      </c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1:28" ht="14" hidden="1">
      <c r="A62" s="37">
        <v>4193</v>
      </c>
      <c r="B62" s="37" t="s">
        <v>158</v>
      </c>
      <c r="C62" s="37">
        <f ca="1">SUMIF('Finished Recipe'!H:R,'مسحوبات المواد الخام'!A62,'Finished Recipe'!R:R)</f>
        <v>0</v>
      </c>
      <c r="D62" s="37">
        <v>3.2330000000000001</v>
      </c>
      <c r="E62" s="37" t="s">
        <v>8</v>
      </c>
      <c r="F62" s="38" t="s">
        <v>17</v>
      </c>
      <c r="G62" s="42">
        <v>1000</v>
      </c>
      <c r="H62" s="40">
        <f t="shared" si="0"/>
        <v>3.2330000000000002E-3</v>
      </c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 spans="1:28" ht="14" hidden="1">
      <c r="A63" s="37">
        <v>4198</v>
      </c>
      <c r="B63" s="37" t="s">
        <v>163</v>
      </c>
      <c r="C63" s="37">
        <f ca="1">SUMIF('Finished Recipe'!H:R,'مسحوبات المواد الخام'!A63,'Finished Recipe'!R:R)</f>
        <v>0</v>
      </c>
      <c r="D63" s="37">
        <v>3.0169999999999999</v>
      </c>
      <c r="E63" s="37" t="s">
        <v>8</v>
      </c>
      <c r="F63" s="38" t="s">
        <v>17</v>
      </c>
      <c r="G63" s="42">
        <v>1000</v>
      </c>
      <c r="H63" s="40">
        <f t="shared" si="0"/>
        <v>3.0169999999999997E-3</v>
      </c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 spans="1:28" ht="14" hidden="1">
      <c r="A64" s="37">
        <v>4204</v>
      </c>
      <c r="B64" s="37" t="s">
        <v>18</v>
      </c>
      <c r="C64" s="37">
        <f ca="1">SUMIF('Finished Recipe'!H:R,'مسحوبات المواد الخام'!A64,'Finished Recipe'!R:R)</f>
        <v>0</v>
      </c>
      <c r="D64" s="37">
        <v>6.8970000000000002</v>
      </c>
      <c r="E64" s="37" t="s">
        <v>8</v>
      </c>
      <c r="F64" s="38" t="s">
        <v>17</v>
      </c>
      <c r="G64" s="42">
        <v>1000</v>
      </c>
      <c r="H64" s="40">
        <f t="shared" si="0"/>
        <v>6.8970000000000004E-3</v>
      </c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 spans="1:28" ht="14" hidden="1">
      <c r="A65" s="37">
        <v>4205</v>
      </c>
      <c r="B65" s="37" t="s">
        <v>150</v>
      </c>
      <c r="C65" s="37">
        <f ca="1">SUMIF('Finished Recipe'!H:R,'مسحوبات المواد الخام'!A65,'Finished Recipe'!R:R)</f>
        <v>0</v>
      </c>
      <c r="D65" s="37">
        <v>6.4660000000000002</v>
      </c>
      <c r="E65" s="37" t="s">
        <v>8</v>
      </c>
      <c r="F65" s="38" t="s">
        <v>17</v>
      </c>
      <c r="G65" s="42">
        <v>1000</v>
      </c>
      <c r="H65" s="40">
        <f t="shared" si="0"/>
        <v>6.4660000000000004E-3</v>
      </c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 spans="1:28" ht="14" hidden="1">
      <c r="A66" s="37">
        <v>4211</v>
      </c>
      <c r="B66" s="37" t="s">
        <v>66</v>
      </c>
      <c r="C66" s="37">
        <f ca="1">SUMIF('Finished Recipe'!H:R,'مسحوبات المواد الخام'!A66,'Finished Recipe'!R:R)</f>
        <v>0</v>
      </c>
      <c r="D66" s="37">
        <v>1.5089999999999999</v>
      </c>
      <c r="E66" s="37" t="s">
        <v>8</v>
      </c>
      <c r="F66" s="38" t="s">
        <v>17</v>
      </c>
      <c r="G66" s="42">
        <v>1000</v>
      </c>
      <c r="H66" s="40">
        <f t="shared" si="0"/>
        <v>1.5089999999999999E-3</v>
      </c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1:28" ht="14" hidden="1">
      <c r="A67" s="37">
        <v>4212</v>
      </c>
      <c r="B67" s="37" t="s">
        <v>159</v>
      </c>
      <c r="C67" s="37">
        <f ca="1">SUMIF('Finished Recipe'!H:R,'مسحوبات المواد الخام'!A67,'Finished Recipe'!R:R)</f>
        <v>0</v>
      </c>
      <c r="D67" s="37">
        <v>1.5089999999999999</v>
      </c>
      <c r="E67" s="37" t="s">
        <v>8</v>
      </c>
      <c r="F67" s="38" t="s">
        <v>17</v>
      </c>
      <c r="G67" s="42">
        <v>1000</v>
      </c>
      <c r="H67" s="40">
        <f t="shared" ref="H67:H130" si="1">D67/G67</f>
        <v>1.5089999999999999E-3</v>
      </c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 spans="1:28" ht="14" hidden="1">
      <c r="A68" s="37">
        <v>4213</v>
      </c>
      <c r="B68" s="37" t="s">
        <v>154</v>
      </c>
      <c r="C68" s="37">
        <f ca="1">SUMIF('Finished Recipe'!H:R,'مسحوبات المواد الخام'!A68,'Finished Recipe'!R:R)</f>
        <v>0</v>
      </c>
      <c r="D68" s="37">
        <v>2.069</v>
      </c>
      <c r="E68" s="37" t="s">
        <v>8</v>
      </c>
      <c r="F68" s="38" t="s">
        <v>17</v>
      </c>
      <c r="G68" s="42">
        <v>1000</v>
      </c>
      <c r="H68" s="40">
        <f t="shared" si="1"/>
        <v>2.0690000000000001E-3</v>
      </c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 spans="1:28" ht="14" hidden="1">
      <c r="A69" s="37">
        <v>4214</v>
      </c>
      <c r="B69" s="37" t="s">
        <v>52</v>
      </c>
      <c r="C69" s="37">
        <f ca="1">SUMIF('Finished Recipe'!H:R,'مسحوبات المواد الخام'!A69,'Finished Recipe'!R:R)</f>
        <v>0</v>
      </c>
      <c r="D69" s="37">
        <v>2.802</v>
      </c>
      <c r="E69" s="37" t="s">
        <v>8</v>
      </c>
      <c r="F69" s="38" t="s">
        <v>17</v>
      </c>
      <c r="G69" s="42">
        <v>1000</v>
      </c>
      <c r="H69" s="40">
        <f t="shared" si="1"/>
        <v>2.8020000000000002E-3</v>
      </c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 spans="1:28" ht="14" hidden="1">
      <c r="A70" s="37">
        <v>4215</v>
      </c>
      <c r="B70" s="37" t="s">
        <v>137</v>
      </c>
      <c r="C70" s="37">
        <f ca="1">SUMIF('Finished Recipe'!H:R,'مسحوبات المواد الخام'!A70,'Finished Recipe'!R:R)</f>
        <v>0</v>
      </c>
      <c r="D70" s="37">
        <v>1.5089999999999999</v>
      </c>
      <c r="E70" s="37" t="s">
        <v>8</v>
      </c>
      <c r="F70" s="38" t="s">
        <v>17</v>
      </c>
      <c r="G70" s="42">
        <v>1000</v>
      </c>
      <c r="H70" s="40">
        <f t="shared" si="1"/>
        <v>1.5089999999999999E-3</v>
      </c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1:28" ht="14" hidden="1">
      <c r="A71" s="37">
        <v>4218</v>
      </c>
      <c r="B71" s="37" t="s">
        <v>51</v>
      </c>
      <c r="C71" s="37">
        <f ca="1">SUMIF('Finished Recipe'!H:R,'مسحوبات المواد الخام'!A71,'Finished Recipe'!R:R)</f>
        <v>0</v>
      </c>
      <c r="D71" s="37">
        <v>3.0169999999999999</v>
      </c>
      <c r="E71" s="37" t="s">
        <v>8</v>
      </c>
      <c r="F71" s="38" t="s">
        <v>17</v>
      </c>
      <c r="G71" s="42">
        <v>1000</v>
      </c>
      <c r="H71" s="40">
        <f t="shared" si="1"/>
        <v>3.0169999999999997E-3</v>
      </c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 spans="1:28" ht="14" hidden="1">
      <c r="A72" s="37">
        <v>4221</v>
      </c>
      <c r="B72" s="37" t="s">
        <v>162</v>
      </c>
      <c r="C72" s="37">
        <f ca="1">SUMIF('Finished Recipe'!H:R,'مسحوبات المواد الخام'!A72,'Finished Recipe'!R:R)</f>
        <v>0</v>
      </c>
      <c r="D72" s="37">
        <v>5.6029999999999998</v>
      </c>
      <c r="E72" s="37" t="s">
        <v>8</v>
      </c>
      <c r="F72" s="38" t="s">
        <v>17</v>
      </c>
      <c r="G72" s="42">
        <v>1000</v>
      </c>
      <c r="H72" s="40">
        <f t="shared" si="1"/>
        <v>5.6029999999999995E-3</v>
      </c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 spans="1:28" ht="14" hidden="1">
      <c r="A73" s="37">
        <v>4222</v>
      </c>
      <c r="B73" s="37" t="s">
        <v>90</v>
      </c>
      <c r="C73" s="37">
        <f ca="1">SUMIF('Finished Recipe'!H:R,'مسحوبات المواد الخام'!A73,'Finished Recipe'!R:R)</f>
        <v>0</v>
      </c>
      <c r="D73" s="37">
        <v>3.2330000000000001</v>
      </c>
      <c r="E73" s="37" t="s">
        <v>8</v>
      </c>
      <c r="F73" s="38" t="s">
        <v>17</v>
      </c>
      <c r="G73" s="42">
        <v>1000</v>
      </c>
      <c r="H73" s="40">
        <f t="shared" si="1"/>
        <v>3.2330000000000002E-3</v>
      </c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 spans="1:28" ht="14" hidden="1">
      <c r="A74" s="37">
        <v>4223</v>
      </c>
      <c r="B74" s="37" t="s">
        <v>138</v>
      </c>
      <c r="C74" s="37">
        <f ca="1">SUMIF('Finished Recipe'!H:R,'مسحوبات المواد الخام'!A74,'Finished Recipe'!R:R)</f>
        <v>0</v>
      </c>
      <c r="D74" s="37">
        <v>2.2410000000000001</v>
      </c>
      <c r="E74" s="37" t="s">
        <v>8</v>
      </c>
      <c r="F74" s="38" t="s">
        <v>17</v>
      </c>
      <c r="G74" s="42">
        <v>1000</v>
      </c>
      <c r="H74" s="40">
        <f t="shared" si="1"/>
        <v>2.2409999999999999E-3</v>
      </c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 spans="1:28" ht="14" hidden="1">
      <c r="A75" s="37">
        <v>4224</v>
      </c>
      <c r="B75" s="37" t="s">
        <v>94</v>
      </c>
      <c r="C75" s="37">
        <f ca="1">SUMIF('Finished Recipe'!H:R,'مسحوبات المواد الخام'!A75,'Finished Recipe'!R:R)</f>
        <v>0</v>
      </c>
      <c r="D75" s="37">
        <v>4.3099999999999996</v>
      </c>
      <c r="E75" s="37" t="s">
        <v>8</v>
      </c>
      <c r="F75" s="38" t="s">
        <v>17</v>
      </c>
      <c r="G75" s="42">
        <v>1000</v>
      </c>
      <c r="H75" s="40">
        <f t="shared" si="1"/>
        <v>4.3099999999999996E-3</v>
      </c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 spans="1:28" ht="14" hidden="1">
      <c r="A76" s="37">
        <v>4230</v>
      </c>
      <c r="B76" s="37" t="s">
        <v>85</v>
      </c>
      <c r="C76" s="37">
        <f ca="1">SUMIF('Finished Recipe'!H:R,'مسحوبات المواد الخام'!A76,'Finished Recipe'!R:R)</f>
        <v>0</v>
      </c>
      <c r="D76" s="37">
        <v>0.86199999999999999</v>
      </c>
      <c r="E76" s="37" t="s">
        <v>8</v>
      </c>
      <c r="F76" s="38" t="s">
        <v>17</v>
      </c>
      <c r="G76" s="42">
        <v>1000</v>
      </c>
      <c r="H76" s="40">
        <f t="shared" si="1"/>
        <v>8.6200000000000003E-4</v>
      </c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 spans="1:28" ht="14" hidden="1">
      <c r="A77" s="37">
        <v>4231</v>
      </c>
      <c r="B77" s="37" t="s">
        <v>151</v>
      </c>
      <c r="C77" s="37">
        <f ca="1">SUMIF('Finished Recipe'!H:R,'مسحوبات المواد الخام'!A77,'Finished Recipe'!R:R)</f>
        <v>0</v>
      </c>
      <c r="D77" s="37">
        <v>10.345000000000001</v>
      </c>
      <c r="E77" s="37" t="s">
        <v>8</v>
      </c>
      <c r="F77" s="38" t="s">
        <v>17</v>
      </c>
      <c r="G77" s="42">
        <v>1000</v>
      </c>
      <c r="H77" s="40">
        <f t="shared" si="1"/>
        <v>1.0345E-2</v>
      </c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 spans="1:28" ht="14" hidden="1">
      <c r="A78" s="37">
        <v>4232</v>
      </c>
      <c r="B78" s="37" t="s">
        <v>156</v>
      </c>
      <c r="C78" s="37">
        <f ca="1">SUMIF('Finished Recipe'!H:R,'مسحوبات المواد الخام'!A78,'Finished Recipe'!R:R)</f>
        <v>0</v>
      </c>
      <c r="D78" s="37">
        <v>10.345000000000001</v>
      </c>
      <c r="E78" s="37" t="s">
        <v>8</v>
      </c>
      <c r="F78" s="38" t="s">
        <v>17</v>
      </c>
      <c r="G78" s="42">
        <v>1000</v>
      </c>
      <c r="H78" s="40">
        <f t="shared" si="1"/>
        <v>1.0345E-2</v>
      </c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 spans="1:28" ht="14" hidden="1">
      <c r="A79" s="37">
        <v>4233</v>
      </c>
      <c r="B79" s="37" t="s">
        <v>53</v>
      </c>
      <c r="C79" s="37">
        <f ca="1">SUMIF('Finished Recipe'!H:R,'مسحوبات المواد الخام'!A79,'Finished Recipe'!R:R)</f>
        <v>0</v>
      </c>
      <c r="D79" s="37">
        <v>19.827586206896552</v>
      </c>
      <c r="E79" s="37" t="s">
        <v>8</v>
      </c>
      <c r="F79" s="38" t="s">
        <v>17</v>
      </c>
      <c r="G79" s="42">
        <v>1000</v>
      </c>
      <c r="H79" s="40">
        <f t="shared" si="1"/>
        <v>1.9827586206896553E-2</v>
      </c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 spans="1:28" ht="14" hidden="1">
      <c r="A80" s="37">
        <v>4234</v>
      </c>
      <c r="B80" s="37" t="s">
        <v>160</v>
      </c>
      <c r="C80" s="37">
        <f ca="1">SUMIF('Finished Recipe'!H:R,'مسحوبات المواد الخام'!A80,'Finished Recipe'!R:R)</f>
        <v>0</v>
      </c>
      <c r="D80" s="37">
        <v>19.827586206896552</v>
      </c>
      <c r="E80" s="37" t="s">
        <v>8</v>
      </c>
      <c r="F80" s="38" t="s">
        <v>17</v>
      </c>
      <c r="G80" s="42">
        <v>1000</v>
      </c>
      <c r="H80" s="40">
        <f t="shared" si="1"/>
        <v>1.9827586206896553E-2</v>
      </c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 spans="1:28" ht="14" hidden="1">
      <c r="A81" s="37">
        <v>4235</v>
      </c>
      <c r="B81" s="37" t="s">
        <v>152</v>
      </c>
      <c r="C81" s="37">
        <f ca="1">SUMIF('Finished Recipe'!H:R,'مسحوبات المواد الخام'!A81,'Finished Recipe'!R:R)</f>
        <v>0</v>
      </c>
      <c r="D81" s="37">
        <v>2.802</v>
      </c>
      <c r="E81" s="37" t="s">
        <v>8</v>
      </c>
      <c r="F81" s="38" t="s">
        <v>17</v>
      </c>
      <c r="G81" s="42">
        <v>1000</v>
      </c>
      <c r="H81" s="40">
        <f t="shared" si="1"/>
        <v>2.8020000000000002E-3</v>
      </c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 spans="1:28" ht="14" hidden="1">
      <c r="A82" s="37">
        <v>4236</v>
      </c>
      <c r="B82" s="37" t="s">
        <v>127</v>
      </c>
      <c r="C82" s="37">
        <f ca="1">SUMIF('Finished Recipe'!H:R,'مسحوبات المواد الخام'!A82,'Finished Recipe'!R:R)</f>
        <v>0</v>
      </c>
      <c r="D82" s="37">
        <v>2.1549999999999998</v>
      </c>
      <c r="E82" s="37" t="s">
        <v>8</v>
      </c>
      <c r="F82" s="38" t="s">
        <v>17</v>
      </c>
      <c r="G82" s="42">
        <v>1000</v>
      </c>
      <c r="H82" s="40">
        <f t="shared" si="1"/>
        <v>2.1549999999999998E-3</v>
      </c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 spans="1:28" ht="14" hidden="1">
      <c r="A83" s="37">
        <v>4237</v>
      </c>
      <c r="B83" s="37" t="s">
        <v>91</v>
      </c>
      <c r="C83" s="37">
        <f ca="1">SUMIF('Finished Recipe'!H:R,'مسحوبات المواد الخام'!A83,'Finished Recipe'!R:R)</f>
        <v>0</v>
      </c>
      <c r="D83" s="37">
        <v>2.1549999999999998</v>
      </c>
      <c r="E83" s="37" t="s">
        <v>8</v>
      </c>
      <c r="F83" s="38" t="s">
        <v>17</v>
      </c>
      <c r="G83" s="42">
        <v>1000</v>
      </c>
      <c r="H83" s="40">
        <f t="shared" si="1"/>
        <v>2.1549999999999998E-3</v>
      </c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 spans="1:28" ht="14" hidden="1">
      <c r="A84" s="37">
        <v>4240</v>
      </c>
      <c r="B84" s="37" t="s">
        <v>136</v>
      </c>
      <c r="C84" s="37">
        <f ca="1">SUMIF('Finished Recipe'!H:R,'مسحوبات المواد الخام'!A84,'Finished Recipe'!R:R)</f>
        <v>0</v>
      </c>
      <c r="D84" s="37">
        <v>1.94</v>
      </c>
      <c r="E84" s="37" t="s">
        <v>8</v>
      </c>
      <c r="F84" s="38" t="s">
        <v>17</v>
      </c>
      <c r="G84" s="42">
        <v>1000</v>
      </c>
      <c r="H84" s="40">
        <f t="shared" si="1"/>
        <v>1.9399999999999999E-3</v>
      </c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 spans="1:28" ht="14" hidden="1">
      <c r="A85" s="37">
        <v>4241</v>
      </c>
      <c r="B85" s="37" t="s">
        <v>59</v>
      </c>
      <c r="C85" s="37">
        <f ca="1">SUMIF('Finished Recipe'!H:R,'مسحوبات المواد الخام'!A85,'Finished Recipe'!R:R)</f>
        <v>0</v>
      </c>
      <c r="D85" s="37">
        <v>3.879</v>
      </c>
      <c r="E85" s="37" t="s">
        <v>8</v>
      </c>
      <c r="F85" s="38" t="s">
        <v>17</v>
      </c>
      <c r="G85" s="42">
        <v>1000</v>
      </c>
      <c r="H85" s="40">
        <f t="shared" si="1"/>
        <v>3.8790000000000001E-3</v>
      </c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 spans="1:28" ht="14" hidden="1">
      <c r="A86" s="37">
        <v>4245</v>
      </c>
      <c r="B86" s="37" t="s">
        <v>213</v>
      </c>
      <c r="C86" s="37">
        <f ca="1">SUMIF('Finished Recipe'!H:R,'مسحوبات المواد الخام'!A86,'Finished Recipe'!R:R)</f>
        <v>0</v>
      </c>
      <c r="D86" s="37">
        <v>6.8970000000000002</v>
      </c>
      <c r="E86" s="37" t="s">
        <v>8</v>
      </c>
      <c r="F86" s="38" t="s">
        <v>17</v>
      </c>
      <c r="G86" s="42">
        <v>1000</v>
      </c>
      <c r="H86" s="40">
        <f t="shared" si="1"/>
        <v>6.8970000000000004E-3</v>
      </c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 spans="1:28" ht="14" hidden="1">
      <c r="A87" s="37">
        <v>4250</v>
      </c>
      <c r="B87" s="37" t="s">
        <v>245</v>
      </c>
      <c r="C87" s="37">
        <f ca="1">SUMIF('Finished Recipe'!H:R,'مسحوبات المواد الخام'!A87,'Finished Recipe'!R:R)</f>
        <v>0</v>
      </c>
      <c r="D87" s="37">
        <v>3.879</v>
      </c>
      <c r="E87" s="37" t="s">
        <v>8</v>
      </c>
      <c r="F87" s="38" t="s">
        <v>17</v>
      </c>
      <c r="G87" s="42">
        <v>1000</v>
      </c>
      <c r="H87" s="40">
        <f t="shared" si="1"/>
        <v>3.8790000000000001E-3</v>
      </c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 spans="1:28" ht="14" hidden="1">
      <c r="A88" s="37">
        <v>4254</v>
      </c>
      <c r="B88" s="37" t="s">
        <v>54</v>
      </c>
      <c r="C88" s="37">
        <f ca="1">SUMIF('Finished Recipe'!H:R,'مسحوبات المواد الخام'!A88,'Finished Recipe'!R:R)</f>
        <v>0</v>
      </c>
      <c r="D88" s="37">
        <v>2.5859999999999999</v>
      </c>
      <c r="E88" s="37" t="s">
        <v>8</v>
      </c>
      <c r="F88" s="38" t="s">
        <v>17</v>
      </c>
      <c r="G88" s="42">
        <v>1000</v>
      </c>
      <c r="H88" s="40">
        <f t="shared" si="1"/>
        <v>2.5859999999999998E-3</v>
      </c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 spans="1:28" ht="14" hidden="1">
      <c r="A89" s="37">
        <v>5037</v>
      </c>
      <c r="B89" s="37" t="s">
        <v>67</v>
      </c>
      <c r="C89" s="37">
        <f ca="1">SUMIF('Finished Recipe'!H:R,'مسحوبات المواد الخام'!A89,'Finished Recipe'!R:R)</f>
        <v>0</v>
      </c>
      <c r="D89" s="37">
        <v>17.241</v>
      </c>
      <c r="E89" s="37" t="s">
        <v>8</v>
      </c>
      <c r="F89" s="38" t="s">
        <v>17</v>
      </c>
      <c r="G89" s="42">
        <v>1000</v>
      </c>
      <c r="H89" s="40">
        <f t="shared" si="1"/>
        <v>1.7240999999999999E-2</v>
      </c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 spans="1:28" ht="14" hidden="1">
      <c r="A90" s="37">
        <v>5374</v>
      </c>
      <c r="B90" s="37" t="s">
        <v>282</v>
      </c>
      <c r="C90" s="37">
        <f ca="1">SUMIF('Finished Recipe'!H:R,'مسحوبات المواد الخام'!A90,'Finished Recipe'!R:R)</f>
        <v>0</v>
      </c>
      <c r="D90" s="37">
        <v>5.1719999999999997</v>
      </c>
      <c r="E90" s="37" t="s">
        <v>8</v>
      </c>
      <c r="F90" s="38" t="s">
        <v>17</v>
      </c>
      <c r="G90" s="42">
        <v>1000</v>
      </c>
      <c r="H90" s="40">
        <f t="shared" si="1"/>
        <v>5.1719999999999995E-3</v>
      </c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 spans="1:28" ht="14" hidden="1">
      <c r="A91" s="37">
        <v>5381</v>
      </c>
      <c r="B91" s="37" t="s">
        <v>336</v>
      </c>
      <c r="C91" s="37">
        <f ca="1">SUMIF('Finished Recipe'!H:R,'مسحوبات المواد الخام'!A91,'Finished Recipe'!R:R)</f>
        <v>0</v>
      </c>
      <c r="D91" s="37">
        <v>5.3879999999999999</v>
      </c>
      <c r="E91" s="37" t="s">
        <v>8</v>
      </c>
      <c r="F91" s="38" t="s">
        <v>17</v>
      </c>
      <c r="G91" s="42">
        <v>1000</v>
      </c>
      <c r="H91" s="40">
        <f t="shared" si="1"/>
        <v>5.3879999999999996E-3</v>
      </c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 spans="1:28" ht="14" hidden="1">
      <c r="A92" s="37">
        <v>4115</v>
      </c>
      <c r="B92" s="37" t="s">
        <v>187</v>
      </c>
      <c r="C92" s="37">
        <f ca="1">SUMIF('Finished Recipe'!H:R,'مسحوبات المواد الخام'!A92,'Finished Recipe'!R:R)</f>
        <v>0</v>
      </c>
      <c r="D92" s="37">
        <v>0.1</v>
      </c>
      <c r="E92" s="37" t="s">
        <v>11</v>
      </c>
      <c r="F92" s="38" t="s">
        <v>25</v>
      </c>
      <c r="G92" s="42">
        <v>1</v>
      </c>
      <c r="H92" s="40">
        <f t="shared" si="1"/>
        <v>0.1</v>
      </c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 spans="1:28" ht="14" hidden="1">
      <c r="A93" s="37">
        <v>4991</v>
      </c>
      <c r="B93" s="37" t="s">
        <v>24</v>
      </c>
      <c r="C93" s="37">
        <f ca="1">SUMIF('Finished Recipe'!H:R,'مسحوبات المواد الخام'!A93,'Finished Recipe'!R:R)</f>
        <v>0</v>
      </c>
      <c r="D93" s="37">
        <v>0.32</v>
      </c>
      <c r="E93" s="37" t="s">
        <v>8</v>
      </c>
      <c r="F93" s="38" t="s">
        <v>25</v>
      </c>
      <c r="G93" s="42">
        <v>1000</v>
      </c>
      <c r="H93" s="40">
        <f t="shared" si="1"/>
        <v>3.2000000000000003E-4</v>
      </c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 spans="1:28" ht="14" hidden="1">
      <c r="A94" s="37">
        <v>5045</v>
      </c>
      <c r="B94" s="37" t="s">
        <v>272</v>
      </c>
      <c r="C94" s="37">
        <f ca="1">SUMIF('Finished Recipe'!H:R,'مسحوبات المواد الخام'!A94,'Finished Recipe'!R:R)</f>
        <v>0</v>
      </c>
      <c r="D94" s="37">
        <v>0.17499999999999999</v>
      </c>
      <c r="E94" s="37" t="s">
        <v>11</v>
      </c>
      <c r="F94" s="38" t="s">
        <v>25</v>
      </c>
      <c r="G94" s="42">
        <v>1</v>
      </c>
      <c r="H94" s="40">
        <f t="shared" si="1"/>
        <v>0.17499999999999999</v>
      </c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 spans="1:28" ht="14" hidden="1">
      <c r="A95" s="37">
        <v>4217</v>
      </c>
      <c r="B95" s="37" t="s">
        <v>182</v>
      </c>
      <c r="C95" s="37">
        <f ca="1">SUMIF('Finished Recipe'!H:R,'مسحوبات المواد الخام'!A95,'Finished Recipe'!R:R)</f>
        <v>0</v>
      </c>
      <c r="D95" s="37">
        <v>2.206</v>
      </c>
      <c r="E95" s="37" t="s">
        <v>8</v>
      </c>
      <c r="F95" s="38" t="s">
        <v>9</v>
      </c>
      <c r="G95" s="42">
        <v>1000</v>
      </c>
      <c r="H95" s="40">
        <f t="shared" si="1"/>
        <v>2.2060000000000001E-3</v>
      </c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 spans="1:28" ht="14" hidden="1">
      <c r="A96" s="37">
        <v>4493</v>
      </c>
      <c r="B96" s="37" t="s">
        <v>98</v>
      </c>
      <c r="C96" s="37">
        <f ca="1">SUMIF('Finished Recipe'!H:R,'مسحوبات المواد الخام'!A96,'Finished Recipe'!R:R)</f>
        <v>0</v>
      </c>
      <c r="D96" s="37">
        <v>0.56999999999999995</v>
      </c>
      <c r="E96" s="37" t="s">
        <v>8</v>
      </c>
      <c r="F96" s="38" t="s">
        <v>9</v>
      </c>
      <c r="G96" s="42">
        <v>1000</v>
      </c>
      <c r="H96" s="40">
        <f t="shared" si="1"/>
        <v>5.6999999999999998E-4</v>
      </c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 spans="1:28" ht="14" hidden="1">
      <c r="A97" s="37">
        <v>4494</v>
      </c>
      <c r="B97" s="37" t="s">
        <v>60</v>
      </c>
      <c r="C97" s="37">
        <f ca="1">SUMIF('Finished Recipe'!H:R,'مسحوبات المواد الخام'!A97,'Finished Recipe'!R:R)</f>
        <v>0</v>
      </c>
      <c r="D97" s="37">
        <v>0.65</v>
      </c>
      <c r="E97" s="37" t="s">
        <v>8</v>
      </c>
      <c r="F97" s="38" t="s">
        <v>9</v>
      </c>
      <c r="G97" s="42">
        <v>1000</v>
      </c>
      <c r="H97" s="40">
        <f t="shared" si="1"/>
        <v>6.4999999999999997E-4</v>
      </c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 spans="1:28" ht="14" hidden="1">
      <c r="A98" s="37">
        <v>4496</v>
      </c>
      <c r="B98" s="37" t="s">
        <v>241</v>
      </c>
      <c r="C98" s="37">
        <f ca="1">SUMIF('Finished Recipe'!H:R,'مسحوبات المواد الخام'!A98,'Finished Recipe'!R:R)</f>
        <v>0</v>
      </c>
      <c r="D98" s="37">
        <v>1.25</v>
      </c>
      <c r="E98" s="37" t="s">
        <v>8</v>
      </c>
      <c r="F98" s="38" t="s">
        <v>9</v>
      </c>
      <c r="G98" s="42">
        <v>1000</v>
      </c>
      <c r="H98" s="40">
        <f t="shared" si="1"/>
        <v>1.25E-3</v>
      </c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 spans="1:28" ht="14" hidden="1">
      <c r="A99" s="37">
        <v>4497</v>
      </c>
      <c r="B99" s="37" t="s">
        <v>45</v>
      </c>
      <c r="C99" s="37">
        <f ca="1">SUMIF('Finished Recipe'!H:R,'مسحوبات المواد الخام'!A99,'Finished Recipe'!R:R)</f>
        <v>0</v>
      </c>
      <c r="D99" s="37">
        <v>0.53</v>
      </c>
      <c r="E99" s="37" t="s">
        <v>8</v>
      </c>
      <c r="F99" s="38" t="s">
        <v>9</v>
      </c>
      <c r="G99" s="42">
        <v>1000</v>
      </c>
      <c r="H99" s="40">
        <f t="shared" si="1"/>
        <v>5.2999999999999998E-4</v>
      </c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 spans="1:28" ht="14" hidden="1">
      <c r="A100" s="37">
        <v>4499</v>
      </c>
      <c r="B100" s="37" t="s">
        <v>28</v>
      </c>
      <c r="C100" s="37">
        <f ca="1">SUMIF('Finished Recipe'!H:R,'مسحوبات المواد الخام'!A100,'Finished Recipe'!R:R)</f>
        <v>0</v>
      </c>
      <c r="D100" s="37">
        <v>0.7</v>
      </c>
      <c r="E100" s="37" t="s">
        <v>8</v>
      </c>
      <c r="F100" s="38" t="s">
        <v>9</v>
      </c>
      <c r="G100" s="42">
        <v>1000</v>
      </c>
      <c r="H100" s="40">
        <f t="shared" si="1"/>
        <v>6.9999999999999999E-4</v>
      </c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 spans="1:28" ht="14" hidden="1">
      <c r="A101" s="37">
        <v>4500</v>
      </c>
      <c r="B101" s="37" t="s">
        <v>68</v>
      </c>
      <c r="C101" s="37">
        <f ca="1">SUMIF('Finished Recipe'!H:R,'مسحوبات المواد الخام'!A101,'Finished Recipe'!R:R)</f>
        <v>0</v>
      </c>
      <c r="D101" s="37">
        <v>0.78</v>
      </c>
      <c r="E101" s="37" t="s">
        <v>8</v>
      </c>
      <c r="F101" s="38" t="s">
        <v>9</v>
      </c>
      <c r="G101" s="42">
        <v>1000</v>
      </c>
      <c r="H101" s="40">
        <f t="shared" si="1"/>
        <v>7.7999999999999999E-4</v>
      </c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 spans="1:28" ht="14" hidden="1">
      <c r="A102" s="37">
        <v>4501</v>
      </c>
      <c r="B102" s="37" t="s">
        <v>58</v>
      </c>
      <c r="C102" s="37">
        <f ca="1">SUMIF('Finished Recipe'!H:R,'مسحوبات المواد الخام'!A102,'Finished Recipe'!R:R)</f>
        <v>0</v>
      </c>
      <c r="D102" s="37">
        <v>1.8</v>
      </c>
      <c r="E102" s="37" t="s">
        <v>8</v>
      </c>
      <c r="F102" s="38" t="s">
        <v>9</v>
      </c>
      <c r="G102" s="42">
        <v>1000</v>
      </c>
      <c r="H102" s="40">
        <f t="shared" si="1"/>
        <v>1.8E-3</v>
      </c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 spans="1:28" ht="14" hidden="1">
      <c r="A103" s="37">
        <v>4503</v>
      </c>
      <c r="B103" s="37" t="s">
        <v>34</v>
      </c>
      <c r="C103" s="37">
        <f ca="1">SUMIF('Finished Recipe'!H:R,'مسحوبات المواد الخام'!A103,'Finished Recipe'!R:R)</f>
        <v>0</v>
      </c>
      <c r="D103" s="37">
        <v>0.3</v>
      </c>
      <c r="E103" s="37" t="s">
        <v>8</v>
      </c>
      <c r="F103" s="38" t="s">
        <v>9</v>
      </c>
      <c r="G103" s="42">
        <v>1000</v>
      </c>
      <c r="H103" s="40">
        <f t="shared" si="1"/>
        <v>2.9999999999999997E-4</v>
      </c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 spans="1:28" ht="14" hidden="1">
      <c r="A104" s="37">
        <v>4504</v>
      </c>
      <c r="B104" s="37" t="s">
        <v>135</v>
      </c>
      <c r="C104" s="37">
        <f ca="1">SUMIF('Finished Recipe'!H:R,'مسحوبات المواد الخام'!A104,'Finished Recipe'!R:R)</f>
        <v>0</v>
      </c>
      <c r="D104" s="37">
        <v>0.38</v>
      </c>
      <c r="E104" s="37" t="s">
        <v>8</v>
      </c>
      <c r="F104" s="38" t="s">
        <v>9</v>
      </c>
      <c r="G104" s="42">
        <v>1000</v>
      </c>
      <c r="H104" s="40">
        <f t="shared" si="1"/>
        <v>3.8000000000000002E-4</v>
      </c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 spans="1:28" ht="14" hidden="1">
      <c r="A105" s="37">
        <v>4505</v>
      </c>
      <c r="B105" s="37" t="s">
        <v>7</v>
      </c>
      <c r="C105" s="37">
        <f ca="1">SUMIF('Finished Recipe'!H:R,'مسحوبات المواد الخام'!A105,'Finished Recipe'!R:R)</f>
        <v>0</v>
      </c>
      <c r="D105" s="37">
        <v>3.5</v>
      </c>
      <c r="E105" s="37" t="s">
        <v>8</v>
      </c>
      <c r="F105" s="38" t="s">
        <v>9</v>
      </c>
      <c r="G105" s="42">
        <v>1000</v>
      </c>
      <c r="H105" s="40">
        <f t="shared" si="1"/>
        <v>3.5000000000000001E-3</v>
      </c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 spans="1:28" ht="14" hidden="1">
      <c r="A106" s="37">
        <v>4508</v>
      </c>
      <c r="B106" s="37" t="s">
        <v>102</v>
      </c>
      <c r="C106" s="37">
        <f ca="1">SUMIF('Finished Recipe'!H:R,'مسحوبات المواد الخام'!A106,'Finished Recipe'!R:R)</f>
        <v>0</v>
      </c>
      <c r="D106" s="37">
        <v>0.35</v>
      </c>
      <c r="E106" s="37" t="s">
        <v>8</v>
      </c>
      <c r="F106" s="38" t="s">
        <v>9</v>
      </c>
      <c r="G106" s="42">
        <v>1000</v>
      </c>
      <c r="H106" s="40">
        <f t="shared" si="1"/>
        <v>3.5E-4</v>
      </c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 spans="1:28" ht="14" hidden="1">
      <c r="A107" s="37">
        <v>4509</v>
      </c>
      <c r="B107" s="37" t="s">
        <v>104</v>
      </c>
      <c r="C107" s="37">
        <f ca="1">SUMIF('Finished Recipe'!H:R,'مسحوبات المواد الخام'!A107,'Finished Recipe'!R:R)</f>
        <v>0</v>
      </c>
      <c r="D107" s="37">
        <v>0.65</v>
      </c>
      <c r="E107" s="37" t="s">
        <v>8</v>
      </c>
      <c r="F107" s="38" t="s">
        <v>9</v>
      </c>
      <c r="G107" s="42">
        <v>1000</v>
      </c>
      <c r="H107" s="40">
        <f t="shared" si="1"/>
        <v>6.4999999999999997E-4</v>
      </c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 spans="1:28" ht="14" hidden="1">
      <c r="A108" s="37">
        <v>4513</v>
      </c>
      <c r="B108" s="37" t="s">
        <v>50</v>
      </c>
      <c r="C108" s="37">
        <f ca="1">SUMIF('Finished Recipe'!H:R,'مسحوبات المواد الخام'!A108,'Finished Recipe'!R:R)</f>
        <v>0</v>
      </c>
      <c r="D108" s="37">
        <v>1.1000000000000001</v>
      </c>
      <c r="E108" s="37" t="s">
        <v>8</v>
      </c>
      <c r="F108" s="38" t="s">
        <v>9</v>
      </c>
      <c r="G108" s="42">
        <v>1000</v>
      </c>
      <c r="H108" s="40">
        <f t="shared" si="1"/>
        <v>1.1000000000000001E-3</v>
      </c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 spans="1:28" ht="14" hidden="1">
      <c r="A109" s="37">
        <v>4515</v>
      </c>
      <c r="B109" s="37" t="s">
        <v>55</v>
      </c>
      <c r="C109" s="37">
        <f ca="1">SUMIF('Finished Recipe'!H:R,'مسحوبات المواد الخام'!A109,'Finished Recipe'!R:R)</f>
        <v>0</v>
      </c>
      <c r="D109" s="37">
        <v>5.9999999999999991</v>
      </c>
      <c r="E109" s="37" t="s">
        <v>8</v>
      </c>
      <c r="F109" s="38" t="s">
        <v>9</v>
      </c>
      <c r="G109" s="42">
        <v>1000</v>
      </c>
      <c r="H109" s="40">
        <f t="shared" si="1"/>
        <v>5.9999999999999993E-3</v>
      </c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 spans="1:28" ht="14" hidden="1">
      <c r="A110" s="37">
        <v>4516</v>
      </c>
      <c r="B110" s="37" t="s">
        <v>41</v>
      </c>
      <c r="C110" s="37">
        <f ca="1">SUMIF('Finished Recipe'!H:R,'مسحوبات المواد الخام'!A110,'Finished Recipe'!R:R)</f>
        <v>0</v>
      </c>
      <c r="D110" s="37">
        <v>1.875</v>
      </c>
      <c r="E110" s="37" t="s">
        <v>8</v>
      </c>
      <c r="F110" s="38" t="s">
        <v>9</v>
      </c>
      <c r="G110" s="42">
        <v>1000</v>
      </c>
      <c r="H110" s="40">
        <f t="shared" si="1"/>
        <v>1.8749999999999999E-3</v>
      </c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 spans="1:28" ht="14" hidden="1">
      <c r="A111" s="37">
        <v>4517</v>
      </c>
      <c r="B111" s="37" t="s">
        <v>95</v>
      </c>
      <c r="C111" s="37">
        <f ca="1">SUMIF('Finished Recipe'!H:R,'مسحوبات المواد الخام'!A111,'Finished Recipe'!R:R)</f>
        <v>0</v>
      </c>
      <c r="D111" s="37">
        <v>0.5</v>
      </c>
      <c r="E111" s="37" t="s">
        <v>8</v>
      </c>
      <c r="F111" s="38" t="s">
        <v>9</v>
      </c>
      <c r="G111" s="42">
        <v>1000</v>
      </c>
      <c r="H111" s="40">
        <f t="shared" si="1"/>
        <v>5.0000000000000001E-4</v>
      </c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 spans="1:28" ht="14" hidden="1">
      <c r="A112" s="37">
        <v>4518</v>
      </c>
      <c r="B112" s="37" t="s">
        <v>107</v>
      </c>
      <c r="C112" s="37">
        <f ca="1">SUMIF('Finished Recipe'!H:R,'مسحوبات المواد الخام'!A112,'Finished Recipe'!R:R)</f>
        <v>0</v>
      </c>
      <c r="D112" s="37">
        <v>0.75</v>
      </c>
      <c r="E112" s="37" t="s">
        <v>8</v>
      </c>
      <c r="F112" s="38" t="s">
        <v>9</v>
      </c>
      <c r="G112" s="42">
        <v>1000</v>
      </c>
      <c r="H112" s="40">
        <f t="shared" si="1"/>
        <v>7.5000000000000002E-4</v>
      </c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 spans="1:28" ht="14" hidden="1">
      <c r="A113" s="37">
        <v>4520</v>
      </c>
      <c r="B113" s="37" t="s">
        <v>96</v>
      </c>
      <c r="C113" s="37">
        <f ca="1">SUMIF('Finished Recipe'!H:R,'مسحوبات المواد الخام'!A113,'Finished Recipe'!R:R)</f>
        <v>0</v>
      </c>
      <c r="D113" s="37">
        <v>1.2222222222222223</v>
      </c>
      <c r="E113" s="37" t="s">
        <v>8</v>
      </c>
      <c r="F113" s="38" t="s">
        <v>9</v>
      </c>
      <c r="G113" s="42">
        <v>1000</v>
      </c>
      <c r="H113" s="40">
        <f t="shared" si="1"/>
        <v>1.2222222222222224E-3</v>
      </c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 spans="1:28" ht="14" hidden="1">
      <c r="A114" s="37">
        <v>4521</v>
      </c>
      <c r="B114" s="37" t="s">
        <v>251</v>
      </c>
      <c r="C114" s="37">
        <f ca="1">SUMIF('Finished Recipe'!H:R,'مسحوبات المواد الخام'!A114,'Finished Recipe'!R:R)</f>
        <v>0</v>
      </c>
      <c r="D114" s="37">
        <v>8</v>
      </c>
      <c r="E114" s="37" t="s">
        <v>8</v>
      </c>
      <c r="F114" s="38" t="s">
        <v>9</v>
      </c>
      <c r="G114" s="42">
        <v>1000</v>
      </c>
      <c r="H114" s="40">
        <f t="shared" si="1"/>
        <v>8.0000000000000002E-3</v>
      </c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 spans="1:28" ht="14" hidden="1">
      <c r="A115" s="37">
        <v>4522</v>
      </c>
      <c r="B115" s="37" t="s">
        <v>86</v>
      </c>
      <c r="C115" s="37">
        <f ca="1">SUMIF('Finished Recipe'!H:R,'مسحوبات المواد الخام'!A115,'Finished Recipe'!R:R)</f>
        <v>0</v>
      </c>
      <c r="D115" s="37">
        <v>1.75</v>
      </c>
      <c r="E115" s="37" t="s">
        <v>8</v>
      </c>
      <c r="F115" s="38" t="s">
        <v>9</v>
      </c>
      <c r="G115" s="42">
        <v>1000</v>
      </c>
      <c r="H115" s="40">
        <f t="shared" si="1"/>
        <v>1.75E-3</v>
      </c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 spans="1:28" ht="14" hidden="1">
      <c r="A116" s="37">
        <v>4523</v>
      </c>
      <c r="B116" s="37" t="s">
        <v>201</v>
      </c>
      <c r="C116" s="37">
        <f ca="1">SUMIF('Finished Recipe'!H:R,'مسحوبات المواد الخام'!A116,'Finished Recipe'!R:R)</f>
        <v>0</v>
      </c>
      <c r="D116" s="37">
        <v>3</v>
      </c>
      <c r="E116" s="37" t="s">
        <v>8</v>
      </c>
      <c r="F116" s="38" t="s">
        <v>9</v>
      </c>
      <c r="G116" s="42">
        <v>1000</v>
      </c>
      <c r="H116" s="40">
        <f t="shared" si="1"/>
        <v>3.0000000000000001E-3</v>
      </c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 spans="1:28" ht="14" hidden="1">
      <c r="A117" s="37">
        <v>4524</v>
      </c>
      <c r="B117" s="37" t="s">
        <v>203</v>
      </c>
      <c r="C117" s="37">
        <f ca="1">SUMIF('Finished Recipe'!H:R,'مسحوبات المواد الخام'!A117,'Finished Recipe'!R:R)</f>
        <v>0</v>
      </c>
      <c r="D117" s="37">
        <v>0.7</v>
      </c>
      <c r="E117" s="37" t="s">
        <v>8</v>
      </c>
      <c r="F117" s="38" t="s">
        <v>9</v>
      </c>
      <c r="G117" s="42">
        <v>1000</v>
      </c>
      <c r="H117" s="40">
        <f t="shared" si="1"/>
        <v>6.9999999999999999E-4</v>
      </c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 spans="1:28" ht="14" hidden="1">
      <c r="A118" s="37">
        <v>4525</v>
      </c>
      <c r="B118" s="37" t="s">
        <v>218</v>
      </c>
      <c r="C118" s="37">
        <f ca="1">SUMIF('Finished Recipe'!H:R,'مسحوبات المواد الخام'!A118,'Finished Recipe'!R:R)</f>
        <v>0</v>
      </c>
      <c r="D118" s="37">
        <v>1</v>
      </c>
      <c r="E118" s="37" t="s">
        <v>8</v>
      </c>
      <c r="F118" s="38" t="s">
        <v>9</v>
      </c>
      <c r="G118" s="42">
        <v>1000</v>
      </c>
      <c r="H118" s="40">
        <f t="shared" si="1"/>
        <v>1E-3</v>
      </c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 spans="1:28" ht="14" hidden="1">
      <c r="A119" s="37">
        <v>4526</v>
      </c>
      <c r="B119" s="37" t="s">
        <v>225</v>
      </c>
      <c r="C119" s="37">
        <f ca="1">SUMIF('Finished Recipe'!H:R,'مسحوبات المواد الخام'!A119,'Finished Recipe'!R:R)</f>
        <v>0</v>
      </c>
      <c r="D119" s="37">
        <v>2.25</v>
      </c>
      <c r="E119" s="37" t="s">
        <v>8</v>
      </c>
      <c r="F119" s="38" t="s">
        <v>9</v>
      </c>
      <c r="G119" s="42">
        <v>1000</v>
      </c>
      <c r="H119" s="40">
        <f t="shared" si="1"/>
        <v>2.2499999999999998E-3</v>
      </c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</row>
    <row r="120" spans="1:28" ht="14" hidden="1">
      <c r="A120" s="37">
        <v>4529</v>
      </c>
      <c r="B120" s="37" t="s">
        <v>232</v>
      </c>
      <c r="C120" s="37">
        <f ca="1">SUMIF('Finished Recipe'!H:R,'مسحوبات المواد الخام'!A120,'Finished Recipe'!R:R)</f>
        <v>0</v>
      </c>
      <c r="D120" s="37">
        <v>1.35</v>
      </c>
      <c r="E120" s="37" t="s">
        <v>8</v>
      </c>
      <c r="F120" s="38" t="s">
        <v>9</v>
      </c>
      <c r="G120" s="42">
        <v>1000</v>
      </c>
      <c r="H120" s="40">
        <f t="shared" si="1"/>
        <v>1.3500000000000001E-3</v>
      </c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</row>
    <row r="121" spans="1:28" ht="14" hidden="1">
      <c r="A121" s="37">
        <v>4530</v>
      </c>
      <c r="B121" s="37" t="s">
        <v>254</v>
      </c>
      <c r="C121" s="37">
        <f ca="1">SUMIF('Finished Recipe'!H:R,'مسحوبات المواد الخام'!A121,'Finished Recipe'!R:R)</f>
        <v>0</v>
      </c>
      <c r="D121" s="37">
        <v>2.75</v>
      </c>
      <c r="E121" s="37" t="s">
        <v>8</v>
      </c>
      <c r="F121" s="38" t="s">
        <v>9</v>
      </c>
      <c r="G121" s="42">
        <v>1000</v>
      </c>
      <c r="H121" s="40">
        <f t="shared" si="1"/>
        <v>2.7499999999999998E-3</v>
      </c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</row>
    <row r="122" spans="1:28" ht="14" hidden="1">
      <c r="A122" s="37">
        <v>4531</v>
      </c>
      <c r="B122" s="37" t="s">
        <v>120</v>
      </c>
      <c r="C122" s="37">
        <f ca="1">SUMIF('Finished Recipe'!H:R,'مسحوبات المواد الخام'!A122,'Finished Recipe'!R:R)</f>
        <v>0</v>
      </c>
      <c r="D122" s="37">
        <v>3.5</v>
      </c>
      <c r="E122" s="37" t="s">
        <v>8</v>
      </c>
      <c r="F122" s="38" t="s">
        <v>9</v>
      </c>
      <c r="G122" s="42">
        <v>1000</v>
      </c>
      <c r="H122" s="40">
        <f t="shared" si="1"/>
        <v>3.5000000000000001E-3</v>
      </c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</row>
    <row r="123" spans="1:28" ht="14" hidden="1">
      <c r="A123" s="37">
        <v>4540</v>
      </c>
      <c r="B123" s="37" t="s">
        <v>143</v>
      </c>
      <c r="C123" s="37">
        <f ca="1">SUMIF('Finished Recipe'!H:R,'مسحوبات المواد الخام'!A123,'Finished Recipe'!R:R)</f>
        <v>0</v>
      </c>
      <c r="D123" s="37">
        <v>10</v>
      </c>
      <c r="E123" s="37" t="s">
        <v>8</v>
      </c>
      <c r="F123" s="38" t="s">
        <v>9</v>
      </c>
      <c r="G123" s="42">
        <v>1000</v>
      </c>
      <c r="H123" s="40">
        <f t="shared" si="1"/>
        <v>0.01</v>
      </c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</row>
    <row r="124" spans="1:28" ht="14" hidden="1">
      <c r="A124" s="37">
        <v>4542</v>
      </c>
      <c r="B124" s="37" t="s">
        <v>119</v>
      </c>
      <c r="C124" s="37">
        <f ca="1">SUMIF('Finished Recipe'!H:R,'مسحوبات المواد الخام'!A124,'Finished Recipe'!R:R)</f>
        <v>0</v>
      </c>
      <c r="D124" s="37">
        <v>4.5</v>
      </c>
      <c r="E124" s="37" t="s">
        <v>8</v>
      </c>
      <c r="F124" s="38" t="s">
        <v>9</v>
      </c>
      <c r="G124" s="42">
        <v>1000</v>
      </c>
      <c r="H124" s="40">
        <f t="shared" si="1"/>
        <v>4.4999999999999997E-3</v>
      </c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</row>
    <row r="125" spans="1:28" ht="14" hidden="1">
      <c r="A125" s="37">
        <v>4544</v>
      </c>
      <c r="B125" s="37" t="s">
        <v>31</v>
      </c>
      <c r="C125" s="37">
        <f ca="1">SUMIF('Finished Recipe'!H:R,'مسحوبات المواد الخام'!A125,'Finished Recipe'!R:R)</f>
        <v>0</v>
      </c>
      <c r="D125" s="37">
        <v>1</v>
      </c>
      <c r="E125" s="37" t="s">
        <v>11</v>
      </c>
      <c r="F125" s="38" t="s">
        <v>9</v>
      </c>
      <c r="G125" s="42">
        <v>1000</v>
      </c>
      <c r="H125" s="40">
        <f t="shared" si="1"/>
        <v>1E-3</v>
      </c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</row>
    <row r="126" spans="1:28" ht="14" hidden="1">
      <c r="A126" s="37">
        <v>4545</v>
      </c>
      <c r="B126" s="37" t="s">
        <v>97</v>
      </c>
      <c r="C126" s="37">
        <f ca="1">SUMIF('Finished Recipe'!H:R,'مسحوبات المواد الخام'!A126,'Finished Recipe'!R:R)</f>
        <v>0</v>
      </c>
      <c r="D126" s="37">
        <v>1</v>
      </c>
      <c r="E126" s="37" t="s">
        <v>8</v>
      </c>
      <c r="F126" s="38" t="s">
        <v>9</v>
      </c>
      <c r="G126" s="42">
        <v>1000</v>
      </c>
      <c r="H126" s="40">
        <f t="shared" si="1"/>
        <v>1E-3</v>
      </c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</row>
    <row r="127" spans="1:28" ht="14" hidden="1">
      <c r="A127" s="37">
        <v>4546</v>
      </c>
      <c r="B127" s="37" t="s">
        <v>10</v>
      </c>
      <c r="C127" s="37">
        <f ca="1">SUMIF('Finished Recipe'!H:R,'مسحوبات المواد الخام'!A127,'Finished Recipe'!R:R)</f>
        <v>0</v>
      </c>
      <c r="D127" s="37">
        <v>1</v>
      </c>
      <c r="E127" s="37" t="s">
        <v>11</v>
      </c>
      <c r="F127" s="38" t="s">
        <v>9</v>
      </c>
      <c r="G127" s="42">
        <v>1000</v>
      </c>
      <c r="H127" s="40">
        <f t="shared" si="1"/>
        <v>1E-3</v>
      </c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</row>
    <row r="128" spans="1:28" ht="14" hidden="1">
      <c r="A128" s="37">
        <v>4547</v>
      </c>
      <c r="B128" s="37" t="s">
        <v>33</v>
      </c>
      <c r="C128" s="37">
        <f ca="1">SUMIF('Finished Recipe'!H:R,'مسحوبات المواد الخام'!A128,'Finished Recipe'!R:R)</f>
        <v>0</v>
      </c>
      <c r="D128" s="37">
        <v>1</v>
      </c>
      <c r="E128" s="37" t="s">
        <v>11</v>
      </c>
      <c r="F128" s="38" t="s">
        <v>9</v>
      </c>
      <c r="G128" s="42">
        <v>1000</v>
      </c>
      <c r="H128" s="40">
        <f t="shared" si="1"/>
        <v>1E-3</v>
      </c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</row>
    <row r="129" spans="1:28" ht="14" hidden="1">
      <c r="A129" s="37">
        <v>4548</v>
      </c>
      <c r="B129" s="37" t="s">
        <v>125</v>
      </c>
      <c r="C129" s="37">
        <f ca="1">SUMIF('Finished Recipe'!H:R,'مسحوبات المواد الخام'!A129,'Finished Recipe'!R:R)</f>
        <v>0</v>
      </c>
      <c r="D129" s="37">
        <v>7.5</v>
      </c>
      <c r="E129" s="37" t="s">
        <v>8</v>
      </c>
      <c r="F129" s="38" t="s">
        <v>9</v>
      </c>
      <c r="G129" s="42">
        <v>1000</v>
      </c>
      <c r="H129" s="40">
        <f t="shared" si="1"/>
        <v>7.4999999999999997E-3</v>
      </c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</row>
    <row r="130" spans="1:28" ht="14" hidden="1">
      <c r="A130" s="37">
        <v>4549</v>
      </c>
      <c r="B130" s="37" t="s">
        <v>132</v>
      </c>
      <c r="C130" s="37">
        <f ca="1">SUMIF('Finished Recipe'!H:R,'مسحوبات المواد الخام'!A130,'Finished Recipe'!R:R)</f>
        <v>0</v>
      </c>
      <c r="D130" s="37">
        <v>1</v>
      </c>
      <c r="E130" s="37" t="s">
        <v>8</v>
      </c>
      <c r="F130" s="38" t="s">
        <v>9</v>
      </c>
      <c r="G130" s="42">
        <v>1000</v>
      </c>
      <c r="H130" s="40">
        <f t="shared" si="1"/>
        <v>1E-3</v>
      </c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</row>
    <row r="131" spans="1:28" ht="14" hidden="1">
      <c r="A131" s="37">
        <v>4573</v>
      </c>
      <c r="B131" s="37" t="s">
        <v>14</v>
      </c>
      <c r="C131" s="37">
        <f ca="1">SUMIF('Finished Recipe'!H:R,'مسحوبات المواد الخام'!A131,'Finished Recipe'!R:R)</f>
        <v>0</v>
      </c>
      <c r="D131" s="37">
        <v>6.5000000000000009</v>
      </c>
      <c r="E131" s="37" t="s">
        <v>15</v>
      </c>
      <c r="F131" s="38" t="s">
        <v>9</v>
      </c>
      <c r="G131" s="42">
        <v>2500</v>
      </c>
      <c r="H131" s="40">
        <f t="shared" ref="H131:H194" si="2">D131/G131</f>
        <v>2.6000000000000003E-3</v>
      </c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</row>
    <row r="132" spans="1:28" ht="14" hidden="1">
      <c r="A132" s="37">
        <v>4574</v>
      </c>
      <c r="B132" s="37" t="s">
        <v>106</v>
      </c>
      <c r="C132" s="37">
        <f ca="1">SUMIF('Finished Recipe'!H:R,'مسحوبات المواد الخام'!A132,'Finished Recipe'!R:R)</f>
        <v>0</v>
      </c>
      <c r="D132" s="37">
        <v>5</v>
      </c>
      <c r="E132" s="37" t="s">
        <v>15</v>
      </c>
      <c r="F132" s="38" t="s">
        <v>9</v>
      </c>
      <c r="G132" s="42">
        <v>2500</v>
      </c>
      <c r="H132" s="40">
        <f t="shared" si="2"/>
        <v>2E-3</v>
      </c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</row>
    <row r="133" spans="1:28" ht="14" hidden="1">
      <c r="A133" s="37">
        <v>4890</v>
      </c>
      <c r="B133" s="37" t="s">
        <v>240</v>
      </c>
      <c r="C133" s="37">
        <f ca="1">SUMIF('Finished Recipe'!H:R,'مسحوبات المواد الخام'!A133,'Finished Recipe'!R:R)</f>
        <v>0</v>
      </c>
      <c r="D133" s="37">
        <v>1.25</v>
      </c>
      <c r="E133" s="37" t="s">
        <v>8</v>
      </c>
      <c r="F133" s="38" t="s">
        <v>9</v>
      </c>
      <c r="G133" s="42">
        <v>1000</v>
      </c>
      <c r="H133" s="40">
        <f t="shared" si="2"/>
        <v>1.25E-3</v>
      </c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</row>
    <row r="134" spans="1:28" ht="14" hidden="1">
      <c r="A134" s="37">
        <v>5281</v>
      </c>
      <c r="B134" s="37" t="s">
        <v>44</v>
      </c>
      <c r="C134" s="37">
        <f ca="1">SUMIF('Finished Recipe'!H:R,'مسحوبات المواد الخام'!A134,'Finished Recipe'!R:R)</f>
        <v>0</v>
      </c>
      <c r="D134" s="37">
        <v>0.65</v>
      </c>
      <c r="E134" s="37" t="s">
        <v>8</v>
      </c>
      <c r="F134" s="38" t="s">
        <v>9</v>
      </c>
      <c r="G134" s="42">
        <v>1000</v>
      </c>
      <c r="H134" s="40">
        <f t="shared" si="2"/>
        <v>6.4999999999999997E-4</v>
      </c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</row>
    <row r="135" spans="1:28" ht="14" hidden="1">
      <c r="A135" s="37">
        <v>5290</v>
      </c>
      <c r="B135" s="37" t="s">
        <v>345</v>
      </c>
      <c r="C135" s="37">
        <f ca="1">SUMIF('Finished Recipe'!H:R,'مسحوبات المواد الخام'!A135,'Finished Recipe'!R:R)</f>
        <v>0</v>
      </c>
      <c r="D135" s="37">
        <v>1.5</v>
      </c>
      <c r="E135" s="37" t="s">
        <v>8</v>
      </c>
      <c r="F135" s="38" t="s">
        <v>9</v>
      </c>
      <c r="G135" s="42">
        <v>1000</v>
      </c>
      <c r="H135" s="40">
        <f t="shared" si="2"/>
        <v>1.5E-3</v>
      </c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</row>
    <row r="136" spans="1:28" ht="14" hidden="1">
      <c r="A136" s="37">
        <v>4058</v>
      </c>
      <c r="B136" s="37" t="s">
        <v>204</v>
      </c>
      <c r="C136" s="37">
        <f ca="1">SUMIF('Finished Recipe'!H:R,'مسحوبات المواد الخام'!A136,'Finished Recipe'!R:R)</f>
        <v>0</v>
      </c>
      <c r="D136" s="37">
        <v>5.4809999999999999</v>
      </c>
      <c r="E136" s="37" t="s">
        <v>15</v>
      </c>
      <c r="F136" s="38" t="s">
        <v>36</v>
      </c>
      <c r="G136" s="42">
        <v>500</v>
      </c>
      <c r="H136" s="40">
        <f t="shared" si="2"/>
        <v>1.0962E-2</v>
      </c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</row>
    <row r="137" spans="1:28" ht="14" hidden="1">
      <c r="A137" s="37">
        <v>4159</v>
      </c>
      <c r="B137" s="37" t="s">
        <v>37</v>
      </c>
      <c r="C137" s="37">
        <f ca="1">SUMIF('Finished Recipe'!H:R,'مسحوبات المواد الخام'!A137,'Finished Recipe'!R:R)</f>
        <v>0</v>
      </c>
      <c r="D137" s="37">
        <v>120</v>
      </c>
      <c r="E137" s="37" t="s">
        <v>8</v>
      </c>
      <c r="F137" s="38" t="s">
        <v>36</v>
      </c>
      <c r="G137" s="42">
        <v>16000</v>
      </c>
      <c r="H137" s="40">
        <f t="shared" si="2"/>
        <v>7.4999999999999997E-3</v>
      </c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</row>
    <row r="138" spans="1:28" ht="14" hidden="1">
      <c r="A138" s="37">
        <v>4160</v>
      </c>
      <c r="B138" s="37" t="s">
        <v>35</v>
      </c>
      <c r="C138" s="37">
        <f ca="1">SUMIF('Finished Recipe'!H:R,'مسحوبات المواد الخام'!A138,'Finished Recipe'!R:R)</f>
        <v>0</v>
      </c>
      <c r="D138" s="37">
        <v>24.518999999999998</v>
      </c>
      <c r="E138" s="37" t="s">
        <v>15</v>
      </c>
      <c r="F138" s="38" t="s">
        <v>36</v>
      </c>
      <c r="G138" s="42">
        <v>18000</v>
      </c>
      <c r="H138" s="40">
        <f t="shared" si="2"/>
        <v>1.3621666666666665E-3</v>
      </c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</row>
    <row r="139" spans="1:28" ht="14" hidden="1">
      <c r="A139" s="37">
        <v>4163</v>
      </c>
      <c r="B139" s="37" t="s">
        <v>146</v>
      </c>
      <c r="C139" s="37">
        <f ca="1">SUMIF('Finished Recipe'!H:R,'مسحوبات المواد الخام'!A139,'Finished Recipe'!R:R)</f>
        <v>0</v>
      </c>
      <c r="D139" s="37">
        <v>28.846</v>
      </c>
      <c r="E139" s="37" t="s">
        <v>8</v>
      </c>
      <c r="F139" s="38" t="s">
        <v>36</v>
      </c>
      <c r="G139" s="42">
        <v>15000</v>
      </c>
      <c r="H139" s="40">
        <f t="shared" si="2"/>
        <v>1.9230666666666667E-3</v>
      </c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</row>
    <row r="140" spans="1:28" ht="14" hidden="1">
      <c r="A140" s="37">
        <v>4023</v>
      </c>
      <c r="B140" s="37" t="s">
        <v>134</v>
      </c>
      <c r="C140" s="37">
        <f ca="1">SUMIF('Finished Recipe'!H:R,'مسحوبات المواد الخام'!A140,'Finished Recipe'!R:R)</f>
        <v>0</v>
      </c>
      <c r="D140" s="37">
        <v>0.96153846153846145</v>
      </c>
      <c r="E140" s="37" t="s">
        <v>8</v>
      </c>
      <c r="F140" s="38" t="s">
        <v>21</v>
      </c>
      <c r="G140" s="42">
        <v>43</v>
      </c>
      <c r="H140" s="40">
        <f t="shared" si="2"/>
        <v>2.2361359570661894E-2</v>
      </c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</row>
    <row r="141" spans="1:28" ht="14" hidden="1">
      <c r="A141" s="37">
        <v>4633</v>
      </c>
      <c r="B141" s="37" t="s">
        <v>72</v>
      </c>
      <c r="C141" s="37">
        <f ca="1">SUMIF('Finished Recipe'!H:R,'مسحوبات المواد الخام'!A141,'Finished Recipe'!R:R)</f>
        <v>0</v>
      </c>
      <c r="D141" s="37">
        <v>2.0673076923076921</v>
      </c>
      <c r="E141" s="37" t="s">
        <v>8</v>
      </c>
      <c r="F141" s="38" t="s">
        <v>21</v>
      </c>
      <c r="G141" s="42">
        <v>500</v>
      </c>
      <c r="H141" s="40">
        <f t="shared" si="2"/>
        <v>4.1346153846153842E-3</v>
      </c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 spans="1:28" ht="14" hidden="1">
      <c r="A142" s="37">
        <v>4657</v>
      </c>
      <c r="B142" s="37" t="s">
        <v>363</v>
      </c>
      <c r="C142" s="37">
        <f ca="1">SUMIF('Finished Recipe'!H:R,'مسحوبات المواد الخام'!A142,'Finished Recipe'!R:R)</f>
        <v>0</v>
      </c>
      <c r="D142" s="37">
        <v>4</v>
      </c>
      <c r="E142" s="37" t="s">
        <v>8</v>
      </c>
      <c r="F142" s="38" t="s">
        <v>21</v>
      </c>
      <c r="G142" s="42">
        <v>1000</v>
      </c>
      <c r="H142" s="40">
        <f t="shared" si="2"/>
        <v>4.0000000000000001E-3</v>
      </c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</row>
    <row r="143" spans="1:28" ht="14" hidden="1">
      <c r="A143" s="37">
        <v>4658</v>
      </c>
      <c r="B143" s="37" t="s">
        <v>362</v>
      </c>
      <c r="C143" s="37">
        <f ca="1">SUMIF('Finished Recipe'!H:R,'مسحوبات المواد الخام'!A143,'Finished Recipe'!R:R)</f>
        <v>0</v>
      </c>
      <c r="D143" s="37">
        <v>4.25</v>
      </c>
      <c r="E143" s="37" t="s">
        <v>8</v>
      </c>
      <c r="F143" s="38" t="s">
        <v>21</v>
      </c>
      <c r="G143" s="42">
        <v>1000</v>
      </c>
      <c r="H143" s="40">
        <f t="shared" si="2"/>
        <v>4.2500000000000003E-3</v>
      </c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</row>
    <row r="144" spans="1:28" ht="14" hidden="1">
      <c r="A144" s="37">
        <v>5379</v>
      </c>
      <c r="B144" s="37" t="s">
        <v>338</v>
      </c>
      <c r="C144" s="37">
        <f ca="1">SUMIF('Finished Recipe'!H:R,'مسحوبات المواد الخام'!A144,'Finished Recipe'!R:R)</f>
        <v>0</v>
      </c>
      <c r="D144" s="37">
        <v>3</v>
      </c>
      <c r="E144" s="37" t="s">
        <v>8</v>
      </c>
      <c r="F144" s="38" t="s">
        <v>21</v>
      </c>
      <c r="G144" s="42">
        <v>1000</v>
      </c>
      <c r="H144" s="40">
        <f t="shared" si="2"/>
        <v>3.0000000000000001E-3</v>
      </c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</row>
    <row r="145" spans="1:28" ht="14" hidden="1">
      <c r="A145" s="37">
        <v>5385</v>
      </c>
      <c r="B145" s="37" t="s">
        <v>341</v>
      </c>
      <c r="C145" s="37">
        <f ca="1">SUMIF('Finished Recipe'!H:R,'مسحوبات المواد الخام'!A145,'Finished Recipe'!R:R)</f>
        <v>0</v>
      </c>
      <c r="D145" s="37">
        <v>4.25</v>
      </c>
      <c r="E145" s="37" t="s">
        <v>8</v>
      </c>
      <c r="F145" s="38" t="s">
        <v>21</v>
      </c>
      <c r="G145" s="42">
        <v>1000</v>
      </c>
      <c r="H145" s="40">
        <f t="shared" si="2"/>
        <v>4.2500000000000003E-3</v>
      </c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</row>
    <row r="146" spans="1:28" ht="14" hidden="1">
      <c r="A146" s="37">
        <v>4001</v>
      </c>
      <c r="B146" s="37" t="s">
        <v>101</v>
      </c>
      <c r="C146" s="37">
        <f ca="1">SUMIF('Finished Recipe'!H:R,'مسحوبات المواد الخام'!A146,'Finished Recipe'!R:R)</f>
        <v>0</v>
      </c>
      <c r="D146" s="37">
        <v>2.371</v>
      </c>
      <c r="E146" s="37" t="s">
        <v>15</v>
      </c>
      <c r="F146" s="38" t="s">
        <v>23</v>
      </c>
      <c r="G146" s="42">
        <v>20000</v>
      </c>
      <c r="H146" s="40">
        <f t="shared" si="2"/>
        <v>1.1854999999999999E-4</v>
      </c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</row>
    <row r="147" spans="1:28" ht="14" hidden="1">
      <c r="A147" s="37">
        <v>4002</v>
      </c>
      <c r="B147" s="37" t="s">
        <v>100</v>
      </c>
      <c r="C147" s="37">
        <f ca="1">SUMIF('Finished Recipe'!H:R,'مسحوبات المواد الخام'!A147,'Finished Recipe'!R:R)</f>
        <v>0</v>
      </c>
      <c r="D147" s="37">
        <v>4.3099999999999996</v>
      </c>
      <c r="E147" s="37" t="s">
        <v>15</v>
      </c>
      <c r="F147" s="38" t="s">
        <v>23</v>
      </c>
      <c r="G147" s="42">
        <v>14800</v>
      </c>
      <c r="H147" s="40">
        <f t="shared" si="2"/>
        <v>2.9121621621621617E-4</v>
      </c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</row>
    <row r="148" spans="1:28" ht="14" hidden="1">
      <c r="A148" s="37">
        <v>4004</v>
      </c>
      <c r="B148" s="37" t="s">
        <v>105</v>
      </c>
      <c r="C148" s="37">
        <f ca="1">SUMIF('Finished Recipe'!H:R,'مسحوبات المواد الخام'!A148,'Finished Recipe'!R:R)</f>
        <v>0</v>
      </c>
      <c r="D148" s="37">
        <v>37.069000000000003</v>
      </c>
      <c r="E148" s="37" t="s">
        <v>8</v>
      </c>
      <c r="F148" s="38" t="s">
        <v>23</v>
      </c>
      <c r="G148" s="42">
        <v>15120</v>
      </c>
      <c r="H148" s="40">
        <f t="shared" si="2"/>
        <v>2.4516534391534391E-3</v>
      </c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</row>
    <row r="149" spans="1:28" ht="14" hidden="1">
      <c r="A149" s="37">
        <v>4005</v>
      </c>
      <c r="B149" s="37" t="s">
        <v>122</v>
      </c>
      <c r="C149" s="37">
        <f ca="1">SUMIF('Finished Recipe'!H:R,'مسحوبات المواد الخام'!A149,'Finished Recipe'!R:R)</f>
        <v>0</v>
      </c>
      <c r="D149" s="37">
        <v>24.137931034482762</v>
      </c>
      <c r="E149" s="37" t="s">
        <v>8</v>
      </c>
      <c r="F149" s="38" t="s">
        <v>23</v>
      </c>
      <c r="G149" s="42">
        <v>11920</v>
      </c>
      <c r="H149" s="40">
        <f t="shared" si="2"/>
        <v>2.0249942143022452E-3</v>
      </c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</row>
    <row r="150" spans="1:28" ht="14" hidden="1">
      <c r="A150" s="37">
        <v>4006</v>
      </c>
      <c r="B150" s="37" t="s">
        <v>22</v>
      </c>
      <c r="C150" s="37">
        <f ca="1">SUMIF('Finished Recipe'!H:R,'مسحوبات المواد الخام'!A150,'Finished Recipe'!R:R)</f>
        <v>0</v>
      </c>
      <c r="D150" s="37">
        <v>56.033999999999999</v>
      </c>
      <c r="E150" s="37" t="s">
        <v>8</v>
      </c>
      <c r="F150" s="38" t="s">
        <v>23</v>
      </c>
      <c r="G150" s="42">
        <v>20000</v>
      </c>
      <c r="H150" s="40">
        <f t="shared" si="2"/>
        <v>2.8016999999999999E-3</v>
      </c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</row>
    <row r="151" spans="1:28" ht="14" hidden="1">
      <c r="A151" s="37">
        <v>4008</v>
      </c>
      <c r="B151" s="37" t="s">
        <v>38</v>
      </c>
      <c r="C151" s="37">
        <f ca="1">SUMIF('Finished Recipe'!H:R,'مسحوبات المواد الخام'!A151,'Finished Recipe'!R:R)</f>
        <v>0</v>
      </c>
      <c r="D151" s="37">
        <v>46.552</v>
      </c>
      <c r="E151" s="37" t="s">
        <v>15</v>
      </c>
      <c r="F151" s="38" t="s">
        <v>23</v>
      </c>
      <c r="G151" s="42">
        <v>15160</v>
      </c>
      <c r="H151" s="40">
        <f t="shared" si="2"/>
        <v>3.0707124010554091E-3</v>
      </c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</row>
    <row r="152" spans="1:28" ht="14" hidden="1">
      <c r="A152" s="37">
        <v>4009</v>
      </c>
      <c r="B152" s="37" t="s">
        <v>74</v>
      </c>
      <c r="C152" s="37">
        <f ca="1">SUMIF('Finished Recipe'!H:R,'مسحوبات المواد الخام'!A152,'Finished Recipe'!R:R)</f>
        <v>0</v>
      </c>
      <c r="D152" s="37">
        <v>48.276000000000003</v>
      </c>
      <c r="E152" s="37" t="s">
        <v>8</v>
      </c>
      <c r="F152" s="38" t="s">
        <v>23</v>
      </c>
      <c r="G152" s="42">
        <v>18000</v>
      </c>
      <c r="H152" s="40">
        <f t="shared" si="2"/>
        <v>2.6820000000000004E-3</v>
      </c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 spans="1:28" ht="14" hidden="1">
      <c r="A153" s="37">
        <v>4010</v>
      </c>
      <c r="B153" s="37" t="s">
        <v>173</v>
      </c>
      <c r="C153" s="37">
        <f ca="1">SUMIF('Finished Recipe'!H:R,'مسحوبات المواد الخام'!A153,'Finished Recipe'!R:R)</f>
        <v>0</v>
      </c>
      <c r="D153" s="37">
        <v>12.5</v>
      </c>
      <c r="E153" s="37" t="s">
        <v>8</v>
      </c>
      <c r="F153" s="38" t="s">
        <v>23</v>
      </c>
      <c r="G153" s="42">
        <v>20000</v>
      </c>
      <c r="H153" s="40">
        <f t="shared" si="2"/>
        <v>6.2500000000000001E-4</v>
      </c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</row>
    <row r="154" spans="1:28" ht="14" hidden="1">
      <c r="A154" s="37">
        <v>4011</v>
      </c>
      <c r="B154" s="37" t="s">
        <v>115</v>
      </c>
      <c r="C154" s="37">
        <f ca="1">SUMIF('Finished Recipe'!H:R,'مسحوبات المواد الخام'!A154,'Finished Recipe'!R:R)</f>
        <v>0</v>
      </c>
      <c r="D154" s="37">
        <v>13.793103448275863</v>
      </c>
      <c r="E154" s="37" t="s">
        <v>8</v>
      </c>
      <c r="F154" s="38" t="s">
        <v>23</v>
      </c>
      <c r="G154" s="42">
        <v>20000</v>
      </c>
      <c r="H154" s="40">
        <f t="shared" si="2"/>
        <v>6.8965517241379316E-4</v>
      </c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</row>
    <row r="155" spans="1:28" ht="14" hidden="1">
      <c r="A155" s="37">
        <v>4014</v>
      </c>
      <c r="B155" s="37" t="s">
        <v>76</v>
      </c>
      <c r="C155" s="37">
        <f ca="1">SUMIF('Finished Recipe'!H:R,'مسحوبات المواد الخام'!A155,'Finished Recipe'!R:R)</f>
        <v>0</v>
      </c>
      <c r="D155" s="37">
        <v>9.048</v>
      </c>
      <c r="E155" s="37" t="s">
        <v>8</v>
      </c>
      <c r="F155" s="38" t="s">
        <v>23</v>
      </c>
      <c r="G155" s="42">
        <v>1800</v>
      </c>
      <c r="H155" s="40">
        <f t="shared" si="2"/>
        <v>5.0266666666666663E-3</v>
      </c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</row>
    <row r="156" spans="1:28" ht="14" hidden="1">
      <c r="A156" s="37">
        <v>4016</v>
      </c>
      <c r="B156" s="37" t="s">
        <v>89</v>
      </c>
      <c r="C156" s="37">
        <f ca="1">SUMIF('Finished Recipe'!H:R,'مسحوبات المواد الخام'!A156,'Finished Recipe'!R:R)</f>
        <v>0</v>
      </c>
      <c r="D156" s="37">
        <v>4.9127999999999998</v>
      </c>
      <c r="E156" s="37" t="s">
        <v>8</v>
      </c>
      <c r="F156" s="38" t="s">
        <v>23</v>
      </c>
      <c r="G156" s="42">
        <v>3600</v>
      </c>
      <c r="H156" s="40">
        <f t="shared" si="2"/>
        <v>1.3646666666666666E-3</v>
      </c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 spans="1:28" ht="14" hidden="1">
      <c r="A157" s="37">
        <v>4019</v>
      </c>
      <c r="B157" s="37" t="s">
        <v>202</v>
      </c>
      <c r="C157" s="37">
        <f ca="1">SUMIF('Finished Recipe'!H:R,'مسحوبات المواد الخام'!A157,'Finished Recipe'!R:R)</f>
        <v>0</v>
      </c>
      <c r="D157" s="37">
        <v>4.7409999999999997</v>
      </c>
      <c r="E157" s="37" t="s">
        <v>8</v>
      </c>
      <c r="F157" s="38" t="s">
        <v>23</v>
      </c>
      <c r="G157" s="42">
        <v>1000</v>
      </c>
      <c r="H157" s="40">
        <f t="shared" si="2"/>
        <v>4.7409999999999996E-3</v>
      </c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</row>
    <row r="158" spans="1:28" ht="14" hidden="1">
      <c r="A158" s="37">
        <v>4030</v>
      </c>
      <c r="B158" s="37" t="s">
        <v>75</v>
      </c>
      <c r="C158" s="37">
        <f ca="1">SUMIF('Finished Recipe'!H:R,'مسحوبات المواد الخام'!A158,'Finished Recipe'!R:R)</f>
        <v>0</v>
      </c>
      <c r="D158" s="37">
        <v>7.3272000000000004</v>
      </c>
      <c r="E158" s="37" t="s">
        <v>8</v>
      </c>
      <c r="F158" s="38" t="s">
        <v>23</v>
      </c>
      <c r="G158" s="42">
        <v>4944</v>
      </c>
      <c r="H158" s="40">
        <f t="shared" si="2"/>
        <v>1.4820388349514565E-3</v>
      </c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 spans="1:28" ht="14" hidden="1">
      <c r="A159" s="37">
        <v>4034</v>
      </c>
      <c r="B159" s="37" t="s">
        <v>103</v>
      </c>
      <c r="C159" s="37">
        <f ca="1">SUMIF('Finished Recipe'!H:R,'مسحوبات المواد الخام'!A159,'Finished Recipe'!R:R)</f>
        <v>0</v>
      </c>
      <c r="D159" s="37">
        <v>21.551724137931036</v>
      </c>
      <c r="E159" s="37" t="s">
        <v>8</v>
      </c>
      <c r="F159" s="38" t="s">
        <v>23</v>
      </c>
      <c r="G159" s="42">
        <v>8160</v>
      </c>
      <c r="H159" s="40">
        <f t="shared" si="2"/>
        <v>2.6411426639621365E-3</v>
      </c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</row>
    <row r="160" spans="1:28" ht="14" hidden="1">
      <c r="A160" s="37">
        <v>4036</v>
      </c>
      <c r="B160" s="37" t="s">
        <v>116</v>
      </c>
      <c r="C160" s="37">
        <f ca="1">SUMIF('Finished Recipe'!H:R,'مسحوبات المواد الخام'!A160,'Finished Recipe'!R:R)</f>
        <v>0</v>
      </c>
      <c r="D160" s="37">
        <v>41.379310344827587</v>
      </c>
      <c r="E160" s="37" t="s">
        <v>15</v>
      </c>
      <c r="F160" s="38" t="s">
        <v>23</v>
      </c>
      <c r="G160" s="42">
        <v>8880</v>
      </c>
      <c r="H160" s="40">
        <f t="shared" si="2"/>
        <v>4.6598322460391431E-3</v>
      </c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</row>
    <row r="161" spans="1:28" ht="14" hidden="1">
      <c r="A161" s="37">
        <v>4042</v>
      </c>
      <c r="B161" s="37" t="s">
        <v>124</v>
      </c>
      <c r="C161" s="37">
        <f ca="1">SUMIF('Finished Recipe'!H:R,'مسحوبات المواد الخام'!A161,'Finished Recipe'!R:R)</f>
        <v>0</v>
      </c>
      <c r="D161" s="37">
        <v>3.6640000000000001</v>
      </c>
      <c r="E161" s="37" t="s">
        <v>8</v>
      </c>
      <c r="F161" s="38" t="s">
        <v>23</v>
      </c>
      <c r="G161" s="42">
        <v>2000</v>
      </c>
      <c r="H161" s="40">
        <f t="shared" si="2"/>
        <v>1.8320000000000001E-3</v>
      </c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</row>
    <row r="162" spans="1:28" ht="14" hidden="1">
      <c r="A162" s="37">
        <v>4044</v>
      </c>
      <c r="B162" s="37" t="s">
        <v>118</v>
      </c>
      <c r="C162" s="37">
        <f ca="1">SUMIF('Finished Recipe'!H:R,'مسحوبات المواد الخام'!A162,'Finished Recipe'!R:R)</f>
        <v>0</v>
      </c>
      <c r="D162" s="37">
        <v>2.802</v>
      </c>
      <c r="E162" s="37" t="s">
        <v>8</v>
      </c>
      <c r="F162" s="38" t="s">
        <v>23</v>
      </c>
      <c r="G162" s="42">
        <v>350</v>
      </c>
      <c r="H162" s="40">
        <f t="shared" si="2"/>
        <v>8.0057142857142861E-3</v>
      </c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</row>
    <row r="163" spans="1:28" ht="14" hidden="1">
      <c r="A163" s="37">
        <v>4045</v>
      </c>
      <c r="B163" s="37" t="s">
        <v>40</v>
      </c>
      <c r="C163" s="37">
        <f ca="1">SUMIF('Finished Recipe'!H:R,'مسحوبات المواد الخام'!A163,'Finished Recipe'!R:R)</f>
        <v>0</v>
      </c>
      <c r="D163" s="37">
        <v>10.784000000000001</v>
      </c>
      <c r="E163" s="37" t="s">
        <v>8</v>
      </c>
      <c r="F163" s="38" t="s">
        <v>23</v>
      </c>
      <c r="G163" s="42">
        <v>8250</v>
      </c>
      <c r="H163" s="40">
        <f t="shared" si="2"/>
        <v>1.3071515151515153E-3</v>
      </c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</row>
    <row r="164" spans="1:28" ht="14" hidden="1">
      <c r="A164" s="37">
        <v>4054</v>
      </c>
      <c r="B164" s="37" t="s">
        <v>257</v>
      </c>
      <c r="C164" s="37">
        <f ca="1">SUMIF('Finished Recipe'!H:R,'مسحوبات المواد الخام'!A164,'Finished Recipe'!R:R)</f>
        <v>0</v>
      </c>
      <c r="D164" s="37">
        <v>18.103448275862071</v>
      </c>
      <c r="E164" s="37" t="s">
        <v>8</v>
      </c>
      <c r="F164" s="38" t="s">
        <v>23</v>
      </c>
      <c r="G164" s="42">
        <v>3600</v>
      </c>
      <c r="H164" s="40">
        <f t="shared" si="2"/>
        <v>5.0287356321839088E-3</v>
      </c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</row>
    <row r="165" spans="1:28" ht="14" hidden="1">
      <c r="A165" s="37">
        <v>4056</v>
      </c>
      <c r="B165" s="37" t="s">
        <v>43</v>
      </c>
      <c r="C165" s="37">
        <f ca="1">SUMIF('Finished Recipe'!H:R,'مسحوبات المواد الخام'!A165,'Finished Recipe'!R:R)</f>
        <v>0</v>
      </c>
      <c r="D165" s="37">
        <v>4.3099999999999996</v>
      </c>
      <c r="E165" s="37" t="s">
        <v>8</v>
      </c>
      <c r="F165" s="38" t="s">
        <v>23</v>
      </c>
      <c r="G165" s="42">
        <v>700</v>
      </c>
      <c r="H165" s="40">
        <f t="shared" si="2"/>
        <v>6.1571428571428567E-3</v>
      </c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</row>
    <row r="166" spans="1:28" ht="14" hidden="1">
      <c r="A166" s="37">
        <v>4063</v>
      </c>
      <c r="B166" s="37" t="s">
        <v>123</v>
      </c>
      <c r="C166" s="37">
        <f ca="1">SUMIF('Finished Recipe'!H:R,'مسحوبات المواد الخام'!A166,'Finished Recipe'!R:R)</f>
        <v>0</v>
      </c>
      <c r="D166" s="37">
        <v>33.621000000000002</v>
      </c>
      <c r="E166" s="37" t="s">
        <v>15</v>
      </c>
      <c r="F166" s="38" t="s">
        <v>23</v>
      </c>
      <c r="G166" s="42">
        <v>6000</v>
      </c>
      <c r="H166" s="40">
        <f t="shared" si="2"/>
        <v>5.6035E-3</v>
      </c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</row>
    <row r="167" spans="1:28" ht="14" hidden="1">
      <c r="A167" s="37">
        <v>4065</v>
      </c>
      <c r="B167" s="37" t="s">
        <v>236</v>
      </c>
      <c r="C167" s="37">
        <f ca="1">SUMIF('Finished Recipe'!H:R,'مسحوبات المواد الخام'!A167,'Finished Recipe'!R:R)</f>
        <v>0</v>
      </c>
      <c r="D167" s="37">
        <v>1.9216</v>
      </c>
      <c r="E167" s="37" t="s">
        <v>15</v>
      </c>
      <c r="F167" s="38" t="s">
        <v>23</v>
      </c>
      <c r="G167" s="42">
        <v>600</v>
      </c>
      <c r="H167" s="40">
        <f t="shared" si="2"/>
        <v>3.2026666666666666E-3</v>
      </c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</row>
    <row r="168" spans="1:28" ht="14" hidden="1">
      <c r="A168" s="37">
        <v>4071</v>
      </c>
      <c r="B168" s="37" t="s">
        <v>114</v>
      </c>
      <c r="C168" s="37">
        <f ca="1">SUMIF('Finished Recipe'!H:R,'مسحوبات المواد الخام'!A168,'Finished Recipe'!R:R)</f>
        <v>0</v>
      </c>
      <c r="D168" s="37">
        <v>8.4049999999999994</v>
      </c>
      <c r="E168" s="37" t="s">
        <v>8</v>
      </c>
      <c r="F168" s="38" t="s">
        <v>23</v>
      </c>
      <c r="G168" s="42">
        <v>7200</v>
      </c>
      <c r="H168" s="40">
        <f t="shared" si="2"/>
        <v>1.167361111111111E-3</v>
      </c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</row>
    <row r="169" spans="1:28" ht="14" hidden="1">
      <c r="A169" s="37">
        <v>4074</v>
      </c>
      <c r="B169" s="37" t="s">
        <v>112</v>
      </c>
      <c r="C169" s="37">
        <f ca="1">SUMIF('Finished Recipe'!H:R,'مسحوبات المواد الخام'!A169,'Finished Recipe'!R:R)</f>
        <v>0</v>
      </c>
      <c r="D169" s="37">
        <v>5.4761904761904763</v>
      </c>
      <c r="E169" s="37" t="s">
        <v>8</v>
      </c>
      <c r="F169" s="38" t="s">
        <v>23</v>
      </c>
      <c r="G169" s="42">
        <v>3600</v>
      </c>
      <c r="H169" s="40">
        <f t="shared" si="2"/>
        <v>1.5211640211640213E-3</v>
      </c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</row>
    <row r="170" spans="1:28" ht="14" hidden="1">
      <c r="A170" s="37">
        <v>4077</v>
      </c>
      <c r="B170" s="37" t="s">
        <v>121</v>
      </c>
      <c r="C170" s="37">
        <f ca="1">SUMIF('Finished Recipe'!H:R,'مسحوبات المواد الخام'!A170,'Finished Recipe'!R:R)</f>
        <v>0</v>
      </c>
      <c r="D170" s="37">
        <v>18.966000000000001</v>
      </c>
      <c r="E170" s="37" t="s">
        <v>8</v>
      </c>
      <c r="F170" s="38" t="s">
        <v>23</v>
      </c>
      <c r="G170" s="42">
        <v>15000</v>
      </c>
      <c r="H170" s="40">
        <f t="shared" si="2"/>
        <v>1.2644000000000002E-3</v>
      </c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</row>
    <row r="171" spans="1:28" ht="14" hidden="1">
      <c r="A171" s="37">
        <v>4081</v>
      </c>
      <c r="B171" s="37" t="s">
        <v>130</v>
      </c>
      <c r="C171" s="37">
        <f ca="1">SUMIF('Finished Recipe'!H:R,'مسحوبات المواد الخام'!A171,'Finished Recipe'!R:R)</f>
        <v>0</v>
      </c>
      <c r="D171" s="37">
        <v>27.586206896551726</v>
      </c>
      <c r="E171" s="37" t="s">
        <v>8</v>
      </c>
      <c r="F171" s="38" t="s">
        <v>23</v>
      </c>
      <c r="G171" s="42">
        <v>10896</v>
      </c>
      <c r="H171" s="40">
        <f t="shared" si="2"/>
        <v>2.5317737606967445E-3</v>
      </c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</row>
    <row r="172" spans="1:28" ht="14" hidden="1">
      <c r="A172" s="37">
        <v>4082</v>
      </c>
      <c r="B172" s="37" t="s">
        <v>141</v>
      </c>
      <c r="C172" s="37">
        <f ca="1">SUMIF('Finished Recipe'!H:R,'مسحوبات المواد الخام'!A172,'Finished Recipe'!R:R)</f>
        <v>0</v>
      </c>
      <c r="D172" s="37">
        <v>4.7413793103448283</v>
      </c>
      <c r="E172" s="37" t="s">
        <v>8</v>
      </c>
      <c r="F172" s="38" t="s">
        <v>23</v>
      </c>
      <c r="G172" s="42">
        <v>907</v>
      </c>
      <c r="H172" s="40">
        <f t="shared" si="2"/>
        <v>5.2275405847241763E-3</v>
      </c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</row>
    <row r="173" spans="1:28" ht="14" hidden="1">
      <c r="A173" s="37">
        <v>4088</v>
      </c>
      <c r="B173" s="37" t="s">
        <v>80</v>
      </c>
      <c r="C173" s="37">
        <f ca="1">SUMIF('Finished Recipe'!H:R,'مسحوبات المواد الخام'!A173,'Finished Recipe'!R:R)</f>
        <v>0</v>
      </c>
      <c r="D173" s="37">
        <v>12.068965517241381</v>
      </c>
      <c r="E173" s="37" t="s">
        <v>15</v>
      </c>
      <c r="F173" s="38" t="s">
        <v>23</v>
      </c>
      <c r="G173" s="42">
        <v>5000</v>
      </c>
      <c r="H173" s="40">
        <f t="shared" si="2"/>
        <v>2.413793103448276E-3</v>
      </c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</row>
    <row r="174" spans="1:28" ht="14" hidden="1">
      <c r="A174" s="37">
        <v>4100</v>
      </c>
      <c r="B174" s="37" t="s">
        <v>149</v>
      </c>
      <c r="C174" s="37">
        <f ca="1">SUMIF('Finished Recipe'!H:R,'مسحوبات المواد الخام'!A174,'Finished Recipe'!R:R)</f>
        <v>0</v>
      </c>
      <c r="D174" s="37">
        <v>6.4290000000000003</v>
      </c>
      <c r="E174" s="37" t="s">
        <v>8</v>
      </c>
      <c r="F174" s="38" t="s">
        <v>23</v>
      </c>
      <c r="G174" s="42">
        <v>7200</v>
      </c>
      <c r="H174" s="40">
        <f t="shared" si="2"/>
        <v>8.9291666666666675E-4</v>
      </c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</row>
    <row r="175" spans="1:28" ht="14" hidden="1">
      <c r="A175" s="37">
        <v>4101</v>
      </c>
      <c r="B175" s="37" t="s">
        <v>113</v>
      </c>
      <c r="C175" s="37">
        <f ca="1">SUMIF('Finished Recipe'!H:R,'مسحوبات المواد الخام'!A175,'Finished Recipe'!R:R)</f>
        <v>0</v>
      </c>
      <c r="D175" s="37">
        <v>23.62</v>
      </c>
      <c r="E175" s="37" t="s">
        <v>8</v>
      </c>
      <c r="F175" s="38" t="s">
        <v>23</v>
      </c>
      <c r="G175" s="42">
        <v>10000</v>
      </c>
      <c r="H175" s="40">
        <f t="shared" si="2"/>
        <v>2.362E-3</v>
      </c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</row>
    <row r="176" spans="1:28" ht="14" hidden="1">
      <c r="A176" s="37">
        <v>4102</v>
      </c>
      <c r="B176" s="37" t="s">
        <v>242</v>
      </c>
      <c r="C176" s="37">
        <f ca="1">SUMIF('Finished Recipe'!H:R,'مسحوبات المواد الخام'!A176,'Finished Recipe'!R:R)</f>
        <v>0</v>
      </c>
      <c r="D176" s="37">
        <v>17.14</v>
      </c>
      <c r="E176" s="37" t="s">
        <v>8</v>
      </c>
      <c r="F176" s="38" t="s">
        <v>23</v>
      </c>
      <c r="G176" s="42">
        <v>10000</v>
      </c>
      <c r="H176" s="40">
        <f t="shared" si="2"/>
        <v>1.714E-3</v>
      </c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</row>
    <row r="177" spans="1:28" ht="14" hidden="1">
      <c r="A177" s="37">
        <v>4110</v>
      </c>
      <c r="B177" s="37" t="s">
        <v>48</v>
      </c>
      <c r="C177" s="37">
        <f ca="1">SUMIF('Finished Recipe'!H:R,'مسحوبات المواد الخام'!A177,'Finished Recipe'!R:R)</f>
        <v>0</v>
      </c>
      <c r="D177" s="37">
        <v>60</v>
      </c>
      <c r="E177" s="37" t="s">
        <v>8</v>
      </c>
      <c r="F177" s="38" t="s">
        <v>23</v>
      </c>
      <c r="G177" s="42">
        <v>12000</v>
      </c>
      <c r="H177" s="40">
        <f t="shared" si="2"/>
        <v>5.0000000000000001E-3</v>
      </c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</row>
    <row r="178" spans="1:28" ht="14" hidden="1">
      <c r="A178" s="37">
        <v>4113</v>
      </c>
      <c r="B178" s="37" t="s">
        <v>65</v>
      </c>
      <c r="C178" s="37">
        <f ca="1">SUMIF('Finished Recipe'!H:R,'مسحوبات المواد الخام'!A178,'Finished Recipe'!R:R)</f>
        <v>0</v>
      </c>
      <c r="D178" s="37">
        <v>1.121</v>
      </c>
      <c r="E178" s="37" t="s">
        <v>8</v>
      </c>
      <c r="F178" s="38" t="s">
        <v>23</v>
      </c>
      <c r="G178" s="42">
        <v>450</v>
      </c>
      <c r="H178" s="40">
        <f t="shared" si="2"/>
        <v>2.491111111111111E-3</v>
      </c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</row>
    <row r="179" spans="1:28" ht="14" hidden="1">
      <c r="A179" s="37">
        <v>4126</v>
      </c>
      <c r="B179" s="37" t="s">
        <v>233</v>
      </c>
      <c r="C179" s="37">
        <f ca="1">SUMIF('Finished Recipe'!H:R,'مسحوبات المواد الخام'!A179,'Finished Recipe'!R:R)</f>
        <v>0</v>
      </c>
      <c r="D179" s="37">
        <v>5.6029999999999998</v>
      </c>
      <c r="E179" s="37" t="s">
        <v>15</v>
      </c>
      <c r="F179" s="38" t="s">
        <v>23</v>
      </c>
      <c r="G179" s="42">
        <v>1000</v>
      </c>
      <c r="H179" s="40">
        <f t="shared" si="2"/>
        <v>5.6029999999999995E-3</v>
      </c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</row>
    <row r="180" spans="1:28" ht="14" hidden="1">
      <c r="A180" s="37">
        <v>4127</v>
      </c>
      <c r="B180" s="37" t="s">
        <v>226</v>
      </c>
      <c r="C180" s="37">
        <f ca="1">SUMIF('Finished Recipe'!H:R,'مسحوبات المواد الخام'!A180,'Finished Recipe'!R:R)</f>
        <v>0</v>
      </c>
      <c r="D180" s="37">
        <v>5.602586206896552</v>
      </c>
      <c r="E180" s="37" t="s">
        <v>15</v>
      </c>
      <c r="F180" s="38" t="s">
        <v>23</v>
      </c>
      <c r="G180" s="42">
        <v>1000</v>
      </c>
      <c r="H180" s="40">
        <f t="shared" si="2"/>
        <v>5.6025862068965517E-3</v>
      </c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</row>
    <row r="181" spans="1:28" ht="14" hidden="1">
      <c r="A181" s="37">
        <v>4130</v>
      </c>
      <c r="B181" s="37" t="s">
        <v>223</v>
      </c>
      <c r="C181" s="37">
        <f ca="1">SUMIF('Finished Recipe'!H:R,'مسحوبات المواد الخام'!A181,'Finished Recipe'!R:R)</f>
        <v>0</v>
      </c>
      <c r="D181" s="37">
        <v>8.6206896551724146</v>
      </c>
      <c r="E181" s="37" t="s">
        <v>15</v>
      </c>
      <c r="F181" s="38" t="s">
        <v>23</v>
      </c>
      <c r="G181" s="42">
        <v>1000</v>
      </c>
      <c r="H181" s="40">
        <f t="shared" si="2"/>
        <v>8.6206896551724154E-3</v>
      </c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</row>
    <row r="182" spans="1:28" ht="14" hidden="1">
      <c r="A182" s="37">
        <v>4131</v>
      </c>
      <c r="B182" s="37" t="s">
        <v>224</v>
      </c>
      <c r="C182" s="37">
        <f ca="1">SUMIF('Finished Recipe'!H:R,'مسحوبات المواد الخام'!A182,'Finished Recipe'!R:R)</f>
        <v>0</v>
      </c>
      <c r="D182" s="37">
        <v>8.6206896551724146</v>
      </c>
      <c r="E182" s="37" t="s">
        <v>15</v>
      </c>
      <c r="F182" s="38" t="s">
        <v>23</v>
      </c>
      <c r="G182" s="42">
        <v>1000</v>
      </c>
      <c r="H182" s="40">
        <f t="shared" si="2"/>
        <v>8.6206896551724154E-3</v>
      </c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</row>
    <row r="183" spans="1:28" ht="14" hidden="1">
      <c r="A183" s="37">
        <v>4132</v>
      </c>
      <c r="B183" s="37" t="s">
        <v>126</v>
      </c>
      <c r="C183" s="37">
        <f ca="1">SUMIF('Finished Recipe'!H:R,'مسحوبات المواد الخام'!A183,'Finished Recipe'!R:R)</f>
        <v>0</v>
      </c>
      <c r="D183" s="37">
        <v>1.1666666666666667</v>
      </c>
      <c r="E183" s="37" t="s">
        <v>8</v>
      </c>
      <c r="F183" s="38" t="s">
        <v>23</v>
      </c>
      <c r="G183" s="42">
        <v>3000</v>
      </c>
      <c r="H183" s="40">
        <f t="shared" si="2"/>
        <v>3.8888888888888892E-4</v>
      </c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</row>
    <row r="184" spans="1:28" ht="14" hidden="1">
      <c r="A184" s="37">
        <v>4133</v>
      </c>
      <c r="B184" s="37" t="s">
        <v>145</v>
      </c>
      <c r="C184" s="37">
        <f ca="1">SUMIF('Finished Recipe'!H:R,'مسحوبات المواد الخام'!A184,'Finished Recipe'!R:R)</f>
        <v>0</v>
      </c>
      <c r="D184" s="37">
        <v>1.1000000000000001</v>
      </c>
      <c r="E184" s="37" t="s">
        <v>8</v>
      </c>
      <c r="F184" s="38" t="s">
        <v>23</v>
      </c>
      <c r="G184" s="42">
        <v>1000</v>
      </c>
      <c r="H184" s="40">
        <f t="shared" si="2"/>
        <v>1.1000000000000001E-3</v>
      </c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</row>
    <row r="185" spans="1:28" ht="14" hidden="1">
      <c r="A185" s="37">
        <v>4135</v>
      </c>
      <c r="B185" s="37" t="s">
        <v>166</v>
      </c>
      <c r="C185" s="37">
        <f ca="1">SUMIF('Finished Recipe'!H:R,'مسحوبات المواد الخام'!A185,'Finished Recipe'!R:R)</f>
        <v>0</v>
      </c>
      <c r="D185" s="37">
        <v>12.25</v>
      </c>
      <c r="E185" s="37" t="s">
        <v>8</v>
      </c>
      <c r="F185" s="38" t="s">
        <v>23</v>
      </c>
      <c r="G185" s="42">
        <v>10000</v>
      </c>
      <c r="H185" s="40">
        <f t="shared" si="2"/>
        <v>1.225E-3</v>
      </c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</row>
    <row r="186" spans="1:28" ht="14" hidden="1">
      <c r="A186" s="37">
        <v>4137</v>
      </c>
      <c r="B186" s="37" t="s">
        <v>216</v>
      </c>
      <c r="C186" s="37">
        <f ca="1">SUMIF('Finished Recipe'!H:R,'مسحوبات المواد الخام'!A186,'Finished Recipe'!R:R)</f>
        <v>0</v>
      </c>
      <c r="D186" s="37">
        <v>21.568999999999999</v>
      </c>
      <c r="E186" s="37" t="s">
        <v>8</v>
      </c>
      <c r="F186" s="38" t="s">
        <v>23</v>
      </c>
      <c r="G186" s="42">
        <v>10000</v>
      </c>
      <c r="H186" s="40">
        <f t="shared" si="2"/>
        <v>2.1568999999999998E-3</v>
      </c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</row>
    <row r="187" spans="1:28" ht="14" hidden="1">
      <c r="A187" s="37">
        <v>4139</v>
      </c>
      <c r="B187" s="37" t="s">
        <v>133</v>
      </c>
      <c r="C187" s="37">
        <f ca="1">SUMIF('Finished Recipe'!H:R,'مسحوبات المواد الخام'!A187,'Finished Recipe'!R:R)</f>
        <v>0</v>
      </c>
      <c r="D187" s="37">
        <v>14.215999999999999</v>
      </c>
      <c r="E187" s="37" t="s">
        <v>8</v>
      </c>
      <c r="F187" s="38" t="s">
        <v>23</v>
      </c>
      <c r="G187" s="42">
        <v>25000</v>
      </c>
      <c r="H187" s="40">
        <f t="shared" si="2"/>
        <v>5.6863999999999992E-4</v>
      </c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</row>
    <row r="188" spans="1:28" ht="14" hidden="1">
      <c r="A188" s="37">
        <v>4142</v>
      </c>
      <c r="B188" s="37" t="s">
        <v>88</v>
      </c>
      <c r="C188" s="37">
        <f ca="1">SUMIF('Finished Recipe'!H:R,'مسحوبات المواد الخام'!A188,'Finished Recipe'!R:R)</f>
        <v>0</v>
      </c>
      <c r="D188" s="37">
        <v>1</v>
      </c>
      <c r="E188" s="37" t="s">
        <v>8</v>
      </c>
      <c r="F188" s="38" t="s">
        <v>23</v>
      </c>
      <c r="G188" s="42">
        <v>1000</v>
      </c>
      <c r="H188" s="40">
        <f t="shared" si="2"/>
        <v>1E-3</v>
      </c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</row>
    <row r="189" spans="1:28" ht="14" hidden="1">
      <c r="A189" s="37">
        <v>4143</v>
      </c>
      <c r="B189" s="37" t="s">
        <v>84</v>
      </c>
      <c r="C189" s="37">
        <f ca="1">SUMIF('Finished Recipe'!H:R,'مسحوبات المواد الخام'!A189,'Finished Recipe'!R:R)</f>
        <v>0</v>
      </c>
      <c r="D189" s="37">
        <v>31</v>
      </c>
      <c r="E189" s="37" t="s">
        <v>8</v>
      </c>
      <c r="F189" s="38" t="s">
        <v>23</v>
      </c>
      <c r="G189" s="42">
        <v>25000</v>
      </c>
      <c r="H189" s="40">
        <f t="shared" si="2"/>
        <v>1.24E-3</v>
      </c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</row>
    <row r="190" spans="1:28" ht="14" hidden="1">
      <c r="A190" s="37">
        <v>4144</v>
      </c>
      <c r="B190" s="37" t="s">
        <v>87</v>
      </c>
      <c r="C190" s="37">
        <f ca="1">SUMIF('Finished Recipe'!H:R,'مسحوبات المواد الخام'!A190,'Finished Recipe'!R:R)</f>
        <v>0</v>
      </c>
      <c r="D190" s="37">
        <v>45.259</v>
      </c>
      <c r="E190" s="37" t="s">
        <v>8</v>
      </c>
      <c r="F190" s="38" t="s">
        <v>23</v>
      </c>
      <c r="G190" s="42">
        <v>10000</v>
      </c>
      <c r="H190" s="40">
        <f t="shared" si="2"/>
        <v>4.5259000000000002E-3</v>
      </c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</row>
    <row r="191" spans="1:28" ht="14" hidden="1">
      <c r="A191" s="37">
        <v>4145</v>
      </c>
      <c r="B191" s="37" t="s">
        <v>99</v>
      </c>
      <c r="C191" s="37">
        <f ca="1">SUMIF('Finished Recipe'!H:R,'مسحوبات المواد الخام'!A191,'Finished Recipe'!R:R)</f>
        <v>0</v>
      </c>
      <c r="D191" s="37">
        <v>11.638</v>
      </c>
      <c r="E191" s="37" t="s">
        <v>8</v>
      </c>
      <c r="F191" s="38" t="s">
        <v>23</v>
      </c>
      <c r="G191" s="42">
        <v>25000</v>
      </c>
      <c r="H191" s="40">
        <f t="shared" si="2"/>
        <v>4.6551999999999997E-4</v>
      </c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</row>
    <row r="192" spans="1:28" ht="14" hidden="1">
      <c r="A192" s="37">
        <v>4146</v>
      </c>
      <c r="B192" s="37" t="s">
        <v>46</v>
      </c>
      <c r="C192" s="37">
        <f ca="1">SUMIF('Finished Recipe'!H:R,'مسحوبات المواد الخام'!A192,'Finished Recipe'!R:R)</f>
        <v>0</v>
      </c>
      <c r="D192" s="37">
        <v>16</v>
      </c>
      <c r="E192" s="37" t="s">
        <v>8</v>
      </c>
      <c r="F192" s="38" t="s">
        <v>23</v>
      </c>
      <c r="G192" s="42">
        <v>50000</v>
      </c>
      <c r="H192" s="86">
        <f>D192/G192</f>
        <v>3.2000000000000003E-4</v>
      </c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</row>
    <row r="193" spans="1:28" ht="14" hidden="1">
      <c r="A193" s="37">
        <v>4148</v>
      </c>
      <c r="B193" s="37" t="s">
        <v>198</v>
      </c>
      <c r="C193" s="37">
        <f ca="1">SUMIF('Finished Recipe'!H:R,'مسحوبات المواد الخام'!A193,'Finished Recipe'!R:R)</f>
        <v>0</v>
      </c>
      <c r="D193" s="37">
        <v>3</v>
      </c>
      <c r="E193" s="37" t="s">
        <v>8</v>
      </c>
      <c r="F193" s="38" t="s">
        <v>23</v>
      </c>
      <c r="G193" s="42">
        <v>1000</v>
      </c>
      <c r="H193" s="40">
        <f t="shared" si="2"/>
        <v>3.0000000000000001E-3</v>
      </c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</row>
    <row r="194" spans="1:28" ht="14" hidden="1">
      <c r="A194" s="37">
        <v>4149</v>
      </c>
      <c r="B194" s="37" t="s">
        <v>29</v>
      </c>
      <c r="C194" s="37">
        <f ca="1">SUMIF('Finished Recipe'!H:R,'مسحوبات المواد الخام'!A194,'Finished Recipe'!R:R)</f>
        <v>0</v>
      </c>
      <c r="D194" s="37">
        <v>70.689655172413794</v>
      </c>
      <c r="E194" s="37" t="s">
        <v>8</v>
      </c>
      <c r="F194" s="38" t="s">
        <v>23</v>
      </c>
      <c r="G194" s="42">
        <v>11340</v>
      </c>
      <c r="H194" s="40">
        <f t="shared" si="2"/>
        <v>6.233655658943015E-3</v>
      </c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</row>
    <row r="195" spans="1:28" ht="14" hidden="1">
      <c r="A195" s="37">
        <v>4150</v>
      </c>
      <c r="B195" s="37" t="s">
        <v>30</v>
      </c>
      <c r="C195" s="37">
        <f ca="1">SUMIF('Finished Recipe'!H:R,'مسحوبات المواد الخام'!A195,'Finished Recipe'!R:R)</f>
        <v>0</v>
      </c>
      <c r="D195" s="37">
        <v>70.689655172413794</v>
      </c>
      <c r="E195" s="37" t="s">
        <v>8</v>
      </c>
      <c r="F195" s="38" t="s">
        <v>23</v>
      </c>
      <c r="G195" s="42">
        <v>11340</v>
      </c>
      <c r="H195" s="40">
        <f t="shared" ref="H195:H258" si="3">D195/G195</f>
        <v>6.233655658943015E-3</v>
      </c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</row>
    <row r="196" spans="1:28" ht="14" hidden="1">
      <c r="A196" s="37">
        <v>4151</v>
      </c>
      <c r="B196" s="37" t="s">
        <v>157</v>
      </c>
      <c r="C196" s="37">
        <f ca="1">SUMIF('Finished Recipe'!H:R,'مسحوبات المواد الخام'!A196,'Finished Recipe'!R:R)</f>
        <v>0</v>
      </c>
      <c r="D196" s="37">
        <v>30.172413793103452</v>
      </c>
      <c r="E196" s="37" t="s">
        <v>8</v>
      </c>
      <c r="F196" s="38" t="s">
        <v>23</v>
      </c>
      <c r="G196" s="42">
        <v>10000</v>
      </c>
      <c r="H196" s="40">
        <f t="shared" si="3"/>
        <v>3.0172413793103452E-3</v>
      </c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</row>
    <row r="197" spans="1:28" ht="14" hidden="1">
      <c r="A197" s="37">
        <v>4153</v>
      </c>
      <c r="B197" s="37" t="s">
        <v>64</v>
      </c>
      <c r="C197" s="37">
        <f ca="1">SUMIF('Finished Recipe'!H:R,'مسحوبات المواد الخام'!A197,'Finished Recipe'!R:R)</f>
        <v>0</v>
      </c>
      <c r="D197" s="37">
        <v>5.25</v>
      </c>
      <c r="E197" s="37" t="s">
        <v>8</v>
      </c>
      <c r="F197" s="38" t="s">
        <v>23</v>
      </c>
      <c r="G197" s="42">
        <v>10000</v>
      </c>
      <c r="H197" s="40">
        <f t="shared" si="3"/>
        <v>5.2499999999999997E-4</v>
      </c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</row>
    <row r="198" spans="1:28" ht="14" hidden="1">
      <c r="A198" s="37">
        <v>4156</v>
      </c>
      <c r="B198" s="37" t="s">
        <v>214</v>
      </c>
      <c r="C198" s="37">
        <f ca="1">SUMIF('Finished Recipe'!H:R,'مسحوبات المواد الخام'!A198,'Finished Recipe'!R:R)</f>
        <v>0</v>
      </c>
      <c r="D198" s="37">
        <v>32.5</v>
      </c>
      <c r="E198" s="37" t="s">
        <v>11</v>
      </c>
      <c r="F198" s="38" t="s">
        <v>23</v>
      </c>
      <c r="G198" s="42">
        <v>1000</v>
      </c>
      <c r="H198" s="40">
        <f t="shared" si="3"/>
        <v>3.2500000000000001E-2</v>
      </c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</row>
    <row r="199" spans="1:28" ht="14" hidden="1">
      <c r="A199" s="37">
        <v>4166</v>
      </c>
      <c r="B199" s="37" t="s">
        <v>26</v>
      </c>
      <c r="C199" s="37">
        <f ca="1">SUMIF('Finished Recipe'!H:R,'مسحوبات المواد الخام'!A199,'Finished Recipe'!R:R)</f>
        <v>0</v>
      </c>
      <c r="D199" s="37">
        <v>36.19047619047619</v>
      </c>
      <c r="E199" s="37" t="s">
        <v>8</v>
      </c>
      <c r="F199" s="38" t="s">
        <v>23</v>
      </c>
      <c r="G199" s="42">
        <v>18000</v>
      </c>
      <c r="H199" s="40">
        <f t="shared" si="3"/>
        <v>2.0105820105820104E-3</v>
      </c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</row>
    <row r="200" spans="1:28" ht="14" hidden="1">
      <c r="A200" s="37">
        <v>4168</v>
      </c>
      <c r="B200" s="37" t="s">
        <v>246</v>
      </c>
      <c r="C200" s="37">
        <f ca="1">SUMIF('Finished Recipe'!H:R,'مسحوبات المواد الخام'!A200,'Finished Recipe'!R:R)</f>
        <v>0</v>
      </c>
      <c r="D200" s="37">
        <v>3.298</v>
      </c>
      <c r="E200" s="37" t="s">
        <v>11</v>
      </c>
      <c r="F200" s="38" t="s">
        <v>23</v>
      </c>
      <c r="G200" s="42">
        <v>24</v>
      </c>
      <c r="H200" s="40">
        <f t="shared" si="3"/>
        <v>0.13741666666666666</v>
      </c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</row>
    <row r="201" spans="1:28" ht="14" hidden="1">
      <c r="A201" s="37">
        <v>4169</v>
      </c>
      <c r="B201" s="37" t="s">
        <v>247</v>
      </c>
      <c r="C201" s="37">
        <f ca="1">SUMIF('Finished Recipe'!H:R,'مسحوبات المواد الخام'!A201,'Finished Recipe'!R:R)</f>
        <v>0</v>
      </c>
      <c r="D201" s="37">
        <v>1.0780000000000001</v>
      </c>
      <c r="E201" s="37" t="s">
        <v>11</v>
      </c>
      <c r="F201" s="38" t="s">
        <v>23</v>
      </c>
      <c r="G201" s="42">
        <v>12</v>
      </c>
      <c r="H201" s="40">
        <f t="shared" si="3"/>
        <v>8.9833333333333334E-2</v>
      </c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</row>
    <row r="202" spans="1:28" ht="14" hidden="1">
      <c r="A202" s="37">
        <v>4175</v>
      </c>
      <c r="B202" s="37" t="s">
        <v>128</v>
      </c>
      <c r="C202" s="37">
        <f ca="1">SUMIF('Finished Recipe'!H:R,'مسحوبات المواد الخام'!A202,'Finished Recipe'!R:R)</f>
        <v>0</v>
      </c>
      <c r="D202" s="37">
        <v>3.2330000000000001</v>
      </c>
      <c r="E202" s="37" t="s">
        <v>8</v>
      </c>
      <c r="F202" s="38" t="s">
        <v>23</v>
      </c>
      <c r="G202" s="42">
        <v>250</v>
      </c>
      <c r="H202" s="40">
        <f t="shared" si="3"/>
        <v>1.2932000000000001E-2</v>
      </c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</row>
    <row r="203" spans="1:28" ht="14" hidden="1">
      <c r="A203" s="37">
        <v>4177</v>
      </c>
      <c r="B203" s="37" t="s">
        <v>231</v>
      </c>
      <c r="C203" s="37">
        <f ca="1">SUMIF('Finished Recipe'!H:R,'مسحوبات المواد الخام'!A203,'Finished Recipe'!R:R)</f>
        <v>0</v>
      </c>
      <c r="D203" s="37">
        <v>13.794</v>
      </c>
      <c r="E203" s="37" t="s">
        <v>8</v>
      </c>
      <c r="F203" s="38" t="s">
        <v>23</v>
      </c>
      <c r="G203" s="42">
        <v>1000</v>
      </c>
      <c r="H203" s="40">
        <f t="shared" si="3"/>
        <v>1.3794000000000001E-2</v>
      </c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</row>
    <row r="204" spans="1:28" ht="14" hidden="1">
      <c r="A204" s="37">
        <v>4180</v>
      </c>
      <c r="B204" s="37" t="s">
        <v>230</v>
      </c>
      <c r="C204" s="37">
        <f ca="1">SUMIF('Finished Recipe'!H:R,'مسحوبات المواد الخام'!A204,'Finished Recipe'!R:R)</f>
        <v>0</v>
      </c>
      <c r="D204" s="37">
        <v>1.9</v>
      </c>
      <c r="E204" s="37" t="s">
        <v>11</v>
      </c>
      <c r="F204" s="38" t="s">
        <v>23</v>
      </c>
      <c r="G204" s="42">
        <v>100</v>
      </c>
      <c r="H204" s="40">
        <f t="shared" si="3"/>
        <v>1.9E-2</v>
      </c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</row>
    <row r="205" spans="1:28" ht="14" hidden="1">
      <c r="A205" s="37">
        <v>4202</v>
      </c>
      <c r="B205" s="37" t="s">
        <v>77</v>
      </c>
      <c r="C205" s="37">
        <f ca="1">SUMIF('Finished Recipe'!H:R,'مسحوبات المواد الخام'!A205,'Finished Recipe'!R:R)</f>
        <v>0</v>
      </c>
      <c r="D205" s="37">
        <v>13.793100000000001</v>
      </c>
      <c r="E205" s="37" t="s">
        <v>15</v>
      </c>
      <c r="F205" s="38" t="s">
        <v>23</v>
      </c>
      <c r="G205" s="42">
        <v>1000</v>
      </c>
      <c r="H205" s="40">
        <f t="shared" si="3"/>
        <v>1.3793100000000001E-2</v>
      </c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</row>
    <row r="206" spans="1:28" ht="14" hidden="1">
      <c r="A206" s="37">
        <v>4206</v>
      </c>
      <c r="B206" s="37" t="s">
        <v>144</v>
      </c>
      <c r="C206" s="37">
        <f ca="1">SUMIF('Finished Recipe'!H:R,'مسحوبات المواد الخام'!A206,'Finished Recipe'!R:R)</f>
        <v>0</v>
      </c>
      <c r="D206" s="37">
        <v>3.0169999999999999</v>
      </c>
      <c r="E206" s="37" t="s">
        <v>8</v>
      </c>
      <c r="F206" s="38" t="s">
        <v>23</v>
      </c>
      <c r="G206" s="42">
        <v>1000</v>
      </c>
      <c r="H206" s="40">
        <f t="shared" si="3"/>
        <v>3.0169999999999997E-3</v>
      </c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</row>
    <row r="207" spans="1:28" ht="14" hidden="1">
      <c r="A207" s="37">
        <v>4207</v>
      </c>
      <c r="B207" s="37" t="s">
        <v>252</v>
      </c>
      <c r="C207" s="37">
        <f ca="1">SUMIF('Finished Recipe'!H:R,'مسحوبات المواد الخام'!A207,'Finished Recipe'!R:R)</f>
        <v>0</v>
      </c>
      <c r="D207" s="37">
        <v>0.64700000000000002</v>
      </c>
      <c r="E207" s="37" t="s">
        <v>8</v>
      </c>
      <c r="F207" s="38" t="s">
        <v>23</v>
      </c>
      <c r="G207" s="42">
        <v>1000</v>
      </c>
      <c r="H207" s="40">
        <f t="shared" si="3"/>
        <v>6.4700000000000001E-4</v>
      </c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</row>
    <row r="208" spans="1:28" ht="14" hidden="1">
      <c r="A208" s="37">
        <v>4208</v>
      </c>
      <c r="B208" s="37" t="s">
        <v>259</v>
      </c>
      <c r="C208" s="37">
        <f ca="1">SUMIF('Finished Recipe'!H:R,'مسحوبات المواد الخام'!A208,'Finished Recipe'!R:R)</f>
        <v>0</v>
      </c>
      <c r="D208" s="37">
        <v>3.6539999999999999</v>
      </c>
      <c r="E208" s="37" t="s">
        <v>8</v>
      </c>
      <c r="F208" s="38" t="s">
        <v>23</v>
      </c>
      <c r="G208" s="42">
        <v>1000</v>
      </c>
      <c r="H208" s="40">
        <f t="shared" si="3"/>
        <v>3.6540000000000001E-3</v>
      </c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</row>
    <row r="209" spans="1:28" ht="14" hidden="1">
      <c r="A209" s="37">
        <v>4216</v>
      </c>
      <c r="B209" s="37" t="s">
        <v>111</v>
      </c>
      <c r="C209" s="37">
        <f ca="1">SUMIF('Finished Recipe'!H:R,'مسحوبات المواد الخام'!A209,'Finished Recipe'!R:R)</f>
        <v>0</v>
      </c>
      <c r="D209" s="37">
        <v>7.843</v>
      </c>
      <c r="E209" s="37" t="s">
        <v>8</v>
      </c>
      <c r="F209" s="38" t="s">
        <v>23</v>
      </c>
      <c r="G209" s="42">
        <v>1000</v>
      </c>
      <c r="H209" s="40">
        <f t="shared" si="3"/>
        <v>7.8429999999999993E-3</v>
      </c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</row>
    <row r="210" spans="1:28" ht="14" hidden="1">
      <c r="A210" s="37">
        <v>4219</v>
      </c>
      <c r="B210" s="37" t="s">
        <v>139</v>
      </c>
      <c r="C210" s="37">
        <f ca="1">SUMIF('Finished Recipe'!H:R,'مسحوبات المواد الخام'!A210,'Finished Recipe'!R:R)</f>
        <v>0</v>
      </c>
      <c r="D210" s="37">
        <v>2.5859999999999999</v>
      </c>
      <c r="E210" s="37" t="s">
        <v>8</v>
      </c>
      <c r="F210" s="38" t="s">
        <v>23</v>
      </c>
      <c r="G210" s="42">
        <v>1000</v>
      </c>
      <c r="H210" s="40">
        <f t="shared" si="3"/>
        <v>2.5859999999999998E-3</v>
      </c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</row>
    <row r="211" spans="1:28" ht="14" hidden="1">
      <c r="A211" s="37">
        <v>4220</v>
      </c>
      <c r="B211" s="37" t="s">
        <v>62</v>
      </c>
      <c r="C211" s="37">
        <f ca="1">SUMIF('Finished Recipe'!H:R,'مسحوبات المواد الخام'!A211,'Finished Recipe'!R:R)</f>
        <v>0</v>
      </c>
      <c r="D211" s="37">
        <v>2.1549999999999998</v>
      </c>
      <c r="E211" s="37" t="s">
        <v>8</v>
      </c>
      <c r="F211" s="38" t="s">
        <v>23</v>
      </c>
      <c r="G211" s="42">
        <v>1000</v>
      </c>
      <c r="H211" s="40">
        <f t="shared" si="3"/>
        <v>2.1549999999999998E-3</v>
      </c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</row>
    <row r="212" spans="1:28" ht="14" hidden="1">
      <c r="A212" s="37">
        <v>4225</v>
      </c>
      <c r="B212" s="37" t="s">
        <v>70</v>
      </c>
      <c r="C212" s="37">
        <f ca="1">SUMIF('Finished Recipe'!H:R,'مسحوبات المواد الخام'!A212,'Finished Recipe'!R:R)</f>
        <v>0</v>
      </c>
      <c r="D212" s="37">
        <v>2.2730000000000001</v>
      </c>
      <c r="E212" s="37" t="s">
        <v>8</v>
      </c>
      <c r="F212" s="38" t="s">
        <v>23</v>
      </c>
      <c r="G212" s="42">
        <v>1000</v>
      </c>
      <c r="H212" s="40">
        <f t="shared" si="3"/>
        <v>2.2730000000000003E-3</v>
      </c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</row>
    <row r="213" spans="1:28" ht="14" hidden="1">
      <c r="A213" s="37">
        <v>4228</v>
      </c>
      <c r="B213" s="37" t="s">
        <v>265</v>
      </c>
      <c r="C213" s="37">
        <f ca="1">SUMIF('Finished Recipe'!H:R,'مسحوبات المواد الخام'!A213,'Finished Recipe'!R:R)</f>
        <v>0</v>
      </c>
      <c r="D213" s="37">
        <v>1.466</v>
      </c>
      <c r="E213" s="37" t="s">
        <v>8</v>
      </c>
      <c r="F213" s="38" t="s">
        <v>23</v>
      </c>
      <c r="G213" s="42">
        <v>1000</v>
      </c>
      <c r="H213" s="40">
        <f t="shared" si="3"/>
        <v>1.4660000000000001E-3</v>
      </c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</row>
    <row r="214" spans="1:28" ht="14" hidden="1">
      <c r="A214" s="37">
        <v>4248</v>
      </c>
      <c r="B214" s="37" t="s">
        <v>221</v>
      </c>
      <c r="C214" s="37">
        <f ca="1">SUMIF('Finished Recipe'!H:R,'مسحوبات المواد الخام'!A214,'Finished Recipe'!R:R)</f>
        <v>0</v>
      </c>
      <c r="D214" s="37">
        <v>15.948</v>
      </c>
      <c r="E214" s="37" t="s">
        <v>8</v>
      </c>
      <c r="F214" s="38" t="s">
        <v>23</v>
      </c>
      <c r="G214" s="42">
        <v>1000</v>
      </c>
      <c r="H214" s="40">
        <f t="shared" si="3"/>
        <v>1.5948E-2</v>
      </c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</row>
    <row r="215" spans="1:28" ht="14" hidden="1">
      <c r="A215" s="37">
        <v>4483</v>
      </c>
      <c r="B215" s="37" t="s">
        <v>185</v>
      </c>
      <c r="C215" s="37">
        <f ca="1">SUMIF('Finished Recipe'!H:R,'مسحوبات المواد الخام'!A215,'Finished Recipe'!R:R)</f>
        <v>0</v>
      </c>
      <c r="D215" s="37">
        <v>0.65</v>
      </c>
      <c r="E215" s="37" t="s">
        <v>8</v>
      </c>
      <c r="F215" s="38" t="s">
        <v>23</v>
      </c>
      <c r="G215" s="42">
        <v>1000</v>
      </c>
      <c r="H215" s="40">
        <f t="shared" si="3"/>
        <v>6.4999999999999997E-4</v>
      </c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</row>
    <row r="216" spans="1:28" ht="14" hidden="1">
      <c r="A216" s="37">
        <v>4487</v>
      </c>
      <c r="B216" s="37" t="s">
        <v>63</v>
      </c>
      <c r="C216" s="37">
        <f ca="1">SUMIF('Finished Recipe'!H:R,'مسحوبات المواد الخام'!A216,'Finished Recipe'!R:R)</f>
        <v>0</v>
      </c>
      <c r="D216" s="37">
        <v>2.3330000000000002</v>
      </c>
      <c r="E216" s="37" t="s">
        <v>8</v>
      </c>
      <c r="F216" s="38" t="s">
        <v>23</v>
      </c>
      <c r="G216" s="42">
        <v>1000</v>
      </c>
      <c r="H216" s="40">
        <f t="shared" si="3"/>
        <v>2.333E-3</v>
      </c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</row>
    <row r="217" spans="1:28" ht="14" hidden="1">
      <c r="A217" s="37">
        <v>4490</v>
      </c>
      <c r="B217" s="37" t="s">
        <v>92</v>
      </c>
      <c r="C217" s="37">
        <f ca="1">SUMIF('Finished Recipe'!H:R,'مسحوبات المواد الخام'!A217,'Finished Recipe'!R:R)</f>
        <v>0</v>
      </c>
      <c r="D217" s="37">
        <v>1</v>
      </c>
      <c r="E217" s="37" t="s">
        <v>8</v>
      </c>
      <c r="F217" s="38" t="s">
        <v>23</v>
      </c>
      <c r="G217" s="42">
        <v>1000</v>
      </c>
      <c r="H217" s="40">
        <f t="shared" si="3"/>
        <v>1E-3</v>
      </c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</row>
    <row r="218" spans="1:28" ht="14" hidden="1">
      <c r="A218" s="37">
        <v>4554</v>
      </c>
      <c r="B218" s="37" t="s">
        <v>78</v>
      </c>
      <c r="C218" s="37">
        <f ca="1">SUMIF('Finished Recipe'!H:R,'مسحوبات المواد الخام'!A218,'Finished Recipe'!R:R)</f>
        <v>0</v>
      </c>
      <c r="D218" s="37">
        <v>0.8</v>
      </c>
      <c r="E218" s="37" t="s">
        <v>15</v>
      </c>
      <c r="F218" s="38" t="s">
        <v>23</v>
      </c>
      <c r="G218" s="42">
        <v>1000</v>
      </c>
      <c r="H218" s="40">
        <f t="shared" si="3"/>
        <v>8.0000000000000004E-4</v>
      </c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</row>
    <row r="219" spans="1:28" ht="14" hidden="1">
      <c r="A219" s="37">
        <v>4556</v>
      </c>
      <c r="B219" s="37" t="s">
        <v>56</v>
      </c>
      <c r="C219" s="37">
        <f ca="1">SUMIF('Finished Recipe'!H:R,'مسحوبات المواد الخام'!A219,'Finished Recipe'!R:R)</f>
        <v>0</v>
      </c>
      <c r="D219" s="37">
        <v>26.724</v>
      </c>
      <c r="E219" s="37" t="s">
        <v>15</v>
      </c>
      <c r="F219" s="38" t="s">
        <v>23</v>
      </c>
      <c r="G219" s="42">
        <v>12000</v>
      </c>
      <c r="H219" s="40">
        <f t="shared" si="3"/>
        <v>2.2269999999999998E-3</v>
      </c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</row>
    <row r="220" spans="1:28" ht="14" hidden="1">
      <c r="A220" s="37">
        <v>4567</v>
      </c>
      <c r="B220" s="37" t="s">
        <v>47</v>
      </c>
      <c r="C220" s="37">
        <f ca="1">SUMIF('Finished Recipe'!H:R,'مسحوبات المواد الخام'!A220,'Finished Recipe'!R:R)</f>
        <v>0</v>
      </c>
      <c r="D220" s="37">
        <v>17.574257425742573</v>
      </c>
      <c r="E220" s="37" t="s">
        <v>11</v>
      </c>
      <c r="F220" s="38" t="s">
        <v>23</v>
      </c>
      <c r="G220" s="42">
        <v>180</v>
      </c>
      <c r="H220" s="40">
        <f t="shared" si="3"/>
        <v>9.7634763476347627E-2</v>
      </c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</row>
    <row r="221" spans="1:28" ht="14" hidden="1">
      <c r="A221" s="37">
        <v>4636</v>
      </c>
      <c r="B221" s="37" t="s">
        <v>140</v>
      </c>
      <c r="C221" s="37">
        <f ca="1">SUMIF('Finished Recipe'!H:R,'مسحوبات المواد الخام'!A221,'Finished Recipe'!R:R)</f>
        <v>0</v>
      </c>
      <c r="D221" s="37">
        <v>0.68899999999999995</v>
      </c>
      <c r="E221" s="37" t="s">
        <v>8</v>
      </c>
      <c r="F221" s="38" t="s">
        <v>23</v>
      </c>
      <c r="G221" s="42">
        <v>1000</v>
      </c>
      <c r="H221" s="40">
        <f t="shared" si="3"/>
        <v>6.8899999999999994E-4</v>
      </c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</row>
    <row r="222" spans="1:28" ht="14" hidden="1">
      <c r="A222" s="37">
        <v>4639</v>
      </c>
      <c r="B222" s="37" t="s">
        <v>131</v>
      </c>
      <c r="C222" s="37">
        <f ca="1">SUMIF('Finished Recipe'!H:R,'مسحوبات المواد الخام'!A222,'Finished Recipe'!R:R)</f>
        <v>0</v>
      </c>
      <c r="D222" s="37">
        <v>5.9909999999999997</v>
      </c>
      <c r="E222" s="37" t="s">
        <v>8</v>
      </c>
      <c r="F222" s="38" t="s">
        <v>23</v>
      </c>
      <c r="G222" s="42">
        <v>8000</v>
      </c>
      <c r="H222" s="40">
        <f t="shared" si="3"/>
        <v>7.4887499999999997E-4</v>
      </c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</row>
    <row r="223" spans="1:28" ht="14" hidden="1">
      <c r="A223" s="37">
        <v>4640</v>
      </c>
      <c r="B223" s="37" t="s">
        <v>165</v>
      </c>
      <c r="C223" s="37">
        <f ca="1">SUMIF('Finished Recipe'!H:R,'مسحوبات المواد الخام'!A223,'Finished Recipe'!R:R)</f>
        <v>0</v>
      </c>
      <c r="D223" s="37">
        <v>25.861999999999998</v>
      </c>
      <c r="E223" s="37" t="s">
        <v>8</v>
      </c>
      <c r="F223" s="38" t="s">
        <v>23</v>
      </c>
      <c r="G223" s="42">
        <v>8000</v>
      </c>
      <c r="H223" s="40">
        <f t="shared" si="3"/>
        <v>3.2327499999999999E-3</v>
      </c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</row>
    <row r="224" spans="1:28" ht="14" hidden="1">
      <c r="A224" s="37">
        <v>4643</v>
      </c>
      <c r="B224" s="37" t="s">
        <v>243</v>
      </c>
      <c r="C224" s="37">
        <f ca="1">SUMIF('Finished Recipe'!H:R,'مسحوبات المواد الخام'!A224,'Finished Recipe'!R:R)</f>
        <v>0</v>
      </c>
      <c r="D224" s="37">
        <v>12.5</v>
      </c>
      <c r="E224" s="37" t="s">
        <v>8</v>
      </c>
      <c r="F224" s="38" t="s">
        <v>23</v>
      </c>
      <c r="G224" s="42">
        <v>8000</v>
      </c>
      <c r="H224" s="40">
        <f t="shared" si="3"/>
        <v>1.5625000000000001E-3</v>
      </c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</row>
    <row r="225" spans="1:28" ht="14" hidden="1">
      <c r="A225" s="37">
        <v>4644</v>
      </c>
      <c r="B225" s="37" t="s">
        <v>161</v>
      </c>
      <c r="C225" s="37">
        <f ca="1">SUMIF('Finished Recipe'!H:R,'مسحوبات المواد الخام'!A225,'Finished Recipe'!R:R)</f>
        <v>0</v>
      </c>
      <c r="D225" s="37">
        <v>10.5</v>
      </c>
      <c r="E225" s="37" t="s">
        <v>8</v>
      </c>
      <c r="F225" s="38" t="s">
        <v>23</v>
      </c>
      <c r="G225" s="42">
        <v>8000</v>
      </c>
      <c r="H225" s="40">
        <f t="shared" si="3"/>
        <v>1.3125000000000001E-3</v>
      </c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</row>
    <row r="226" spans="1:28" ht="14" hidden="1">
      <c r="A226" s="37">
        <v>4645</v>
      </c>
      <c r="B226" s="37" t="s">
        <v>164</v>
      </c>
      <c r="C226" s="37">
        <f ca="1">SUMIF('Finished Recipe'!H:R,'مسحوبات المواد الخام'!A226,'Finished Recipe'!R:R)</f>
        <v>0</v>
      </c>
      <c r="D226" s="37">
        <v>8.6206896551724146</v>
      </c>
      <c r="E226" s="37" t="s">
        <v>8</v>
      </c>
      <c r="F226" s="38" t="s">
        <v>23</v>
      </c>
      <c r="G226" s="42">
        <v>8000</v>
      </c>
      <c r="H226" s="40">
        <f t="shared" si="3"/>
        <v>1.0775862068965519E-3</v>
      </c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</row>
    <row r="227" spans="1:28" ht="14" hidden="1">
      <c r="A227" s="37">
        <v>4646</v>
      </c>
      <c r="B227" s="37" t="s">
        <v>222</v>
      </c>
      <c r="C227" s="37">
        <f ca="1">SUMIF('Finished Recipe'!H:R,'مسحوبات المواد الخام'!A227,'Finished Recipe'!R:R)</f>
        <v>0</v>
      </c>
      <c r="D227" s="37">
        <v>1.3793103448275863</v>
      </c>
      <c r="E227" s="37" t="s">
        <v>8</v>
      </c>
      <c r="F227" s="38" t="s">
        <v>23</v>
      </c>
      <c r="G227" s="42">
        <v>400</v>
      </c>
      <c r="H227" s="40">
        <f t="shared" si="3"/>
        <v>3.4482758620689659E-3</v>
      </c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</row>
    <row r="228" spans="1:28" ht="14" hidden="1">
      <c r="A228" s="37">
        <v>4753</v>
      </c>
      <c r="B228" s="37" t="s">
        <v>117</v>
      </c>
      <c r="C228" s="37">
        <f ca="1">SUMIF('Finished Recipe'!H:R,'مسحوبات المواد الخام'!A228,'Finished Recipe'!R:R)</f>
        <v>0</v>
      </c>
      <c r="D228" s="37">
        <v>1.9827586206896552</v>
      </c>
      <c r="E228" s="37" t="s">
        <v>8</v>
      </c>
      <c r="F228" s="38" t="s">
        <v>23</v>
      </c>
      <c r="G228" s="42">
        <v>1000</v>
      </c>
      <c r="H228" s="40">
        <f t="shared" si="3"/>
        <v>1.9827586206896553E-3</v>
      </c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</row>
    <row r="229" spans="1:28" ht="14" hidden="1">
      <c r="A229" s="37">
        <v>4795</v>
      </c>
      <c r="B229" s="37" t="s">
        <v>93</v>
      </c>
      <c r="C229" s="37">
        <f ca="1">SUMIF('Finished Recipe'!H:R,'مسحوبات المواد الخام'!A229,'Finished Recipe'!R:R)</f>
        <v>0</v>
      </c>
      <c r="D229" s="37">
        <v>31.033999999999999</v>
      </c>
      <c r="E229" s="37" t="s">
        <v>8</v>
      </c>
      <c r="F229" s="38" t="s">
        <v>23</v>
      </c>
      <c r="G229" s="42">
        <v>8640</v>
      </c>
      <c r="H229" s="40">
        <f t="shared" si="3"/>
        <v>3.5918981481481479E-3</v>
      </c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</row>
    <row r="230" spans="1:28" ht="14" hidden="1">
      <c r="A230" s="37">
        <v>4798</v>
      </c>
      <c r="B230" s="37" t="s">
        <v>228</v>
      </c>
      <c r="C230" s="37">
        <f ca="1">SUMIF('Finished Recipe'!H:R,'مسحوبات المواد الخام'!A230,'Finished Recipe'!R:R)</f>
        <v>0</v>
      </c>
      <c r="D230" s="37">
        <v>1.0780000000000001</v>
      </c>
      <c r="E230" s="37" t="s">
        <v>8</v>
      </c>
      <c r="F230" s="38" t="s">
        <v>23</v>
      </c>
      <c r="G230" s="42">
        <v>395</v>
      </c>
      <c r="H230" s="40">
        <f t="shared" si="3"/>
        <v>2.7291139240506329E-3</v>
      </c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</row>
    <row r="231" spans="1:28" ht="14" hidden="1">
      <c r="A231" s="37">
        <v>4801</v>
      </c>
      <c r="B231" s="37" t="s">
        <v>253</v>
      </c>
      <c r="C231" s="37">
        <f ca="1">SUMIF('Finished Recipe'!H:R,'مسحوبات المواد الخام'!A231,'Finished Recipe'!R:R)</f>
        <v>0</v>
      </c>
      <c r="D231" s="37">
        <v>1.121</v>
      </c>
      <c r="E231" s="37" t="s">
        <v>8</v>
      </c>
      <c r="F231" s="38" t="s">
        <v>23</v>
      </c>
      <c r="G231" s="42">
        <v>450</v>
      </c>
      <c r="H231" s="40">
        <f t="shared" si="3"/>
        <v>2.491111111111111E-3</v>
      </c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</row>
    <row r="232" spans="1:28" ht="14" hidden="1">
      <c r="A232" s="37">
        <v>4866</v>
      </c>
      <c r="B232" s="37" t="s">
        <v>194</v>
      </c>
      <c r="C232" s="37">
        <f ca="1">SUMIF('Finished Recipe'!H:R,'مسحوبات المواد الخام'!A232,'Finished Recipe'!R:R)</f>
        <v>0</v>
      </c>
      <c r="D232" s="37">
        <v>1</v>
      </c>
      <c r="E232" s="37" t="s">
        <v>8</v>
      </c>
      <c r="F232" s="38" t="s">
        <v>23</v>
      </c>
      <c r="G232" s="42">
        <v>1000</v>
      </c>
      <c r="H232" s="40">
        <f t="shared" si="3"/>
        <v>1E-3</v>
      </c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</row>
    <row r="233" spans="1:28" ht="14" hidden="1">
      <c r="A233" s="37">
        <v>4870</v>
      </c>
      <c r="B233" s="37" t="s">
        <v>261</v>
      </c>
      <c r="C233" s="37">
        <f ca="1">SUMIF('Finished Recipe'!H:R,'مسحوبات المواد الخام'!A233,'Finished Recipe'!R:R)</f>
        <v>0</v>
      </c>
      <c r="D233" s="37">
        <v>28.017241379310345</v>
      </c>
      <c r="E233" s="37" t="s">
        <v>8</v>
      </c>
      <c r="F233" s="38" t="s">
        <v>23</v>
      </c>
      <c r="G233" s="42">
        <v>11580</v>
      </c>
      <c r="H233" s="40">
        <f t="shared" si="3"/>
        <v>2.4194508963135014E-3</v>
      </c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</row>
    <row r="234" spans="1:28" ht="14" hidden="1">
      <c r="A234" s="37">
        <v>5119</v>
      </c>
      <c r="B234" s="37" t="s">
        <v>275</v>
      </c>
      <c r="C234" s="37">
        <f ca="1">SUMIF('Finished Recipe'!H:R,'مسحوبات المواد الخام'!A234,'Finished Recipe'!R:R)</f>
        <v>0</v>
      </c>
      <c r="D234" s="37">
        <v>0.4</v>
      </c>
      <c r="E234" s="37" t="s">
        <v>11</v>
      </c>
      <c r="F234" s="38" t="s">
        <v>23</v>
      </c>
      <c r="G234" s="42">
        <v>1</v>
      </c>
      <c r="H234" s="40">
        <f t="shared" si="3"/>
        <v>0.4</v>
      </c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</row>
    <row r="235" spans="1:28" ht="14" hidden="1">
      <c r="A235" s="37">
        <v>5165</v>
      </c>
      <c r="B235" s="37" t="s">
        <v>269</v>
      </c>
      <c r="C235" s="37">
        <f ca="1">SUMIF('Finished Recipe'!H:R,'مسحوبات المواد الخام'!A235,'Finished Recipe'!R:R)</f>
        <v>0</v>
      </c>
      <c r="D235" s="37">
        <v>0.32</v>
      </c>
      <c r="E235" s="37" t="s">
        <v>11</v>
      </c>
      <c r="F235" s="38" t="s">
        <v>23</v>
      </c>
      <c r="G235" s="42">
        <v>1</v>
      </c>
      <c r="H235" s="40">
        <f t="shared" si="3"/>
        <v>0.32</v>
      </c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</row>
    <row r="236" spans="1:28" ht="14" hidden="1">
      <c r="A236" s="37">
        <v>5196</v>
      </c>
      <c r="B236" s="37" t="s">
        <v>271</v>
      </c>
      <c r="C236" s="37">
        <f ca="1">SUMIF('Finished Recipe'!H:R,'مسحوبات المواد الخام'!A236,'Finished Recipe'!R:R)</f>
        <v>0</v>
      </c>
      <c r="D236" s="37">
        <v>0.2</v>
      </c>
      <c r="E236" s="37" t="s">
        <v>11</v>
      </c>
      <c r="F236" s="38" t="s">
        <v>23</v>
      </c>
      <c r="G236" s="42">
        <v>1</v>
      </c>
      <c r="H236" s="40">
        <f t="shared" si="3"/>
        <v>0.2</v>
      </c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</row>
    <row r="237" spans="1:28" ht="14" hidden="1">
      <c r="A237" s="37">
        <v>5197</v>
      </c>
      <c r="B237" s="37" t="s">
        <v>270</v>
      </c>
      <c r="C237" s="37">
        <f ca="1">SUMIF('Finished Recipe'!H:R,'مسحوبات المواد الخام'!A237,'Finished Recipe'!R:R)</f>
        <v>0</v>
      </c>
      <c r="D237" s="37">
        <v>0.39200000000000002</v>
      </c>
      <c r="E237" s="37" t="s">
        <v>11</v>
      </c>
      <c r="F237" s="38" t="s">
        <v>23</v>
      </c>
      <c r="G237" s="42">
        <v>1</v>
      </c>
      <c r="H237" s="40">
        <f t="shared" si="3"/>
        <v>0.39200000000000002</v>
      </c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</row>
    <row r="238" spans="1:28" ht="14" hidden="1">
      <c r="A238" s="37">
        <v>5203</v>
      </c>
      <c r="B238" s="37" t="s">
        <v>268</v>
      </c>
      <c r="C238" s="37">
        <f ca="1">SUMIF('Finished Recipe'!H:R,'مسحوبات المواد الخام'!A238,'Finished Recipe'!R:R)</f>
        <v>0</v>
      </c>
      <c r="D238" s="37">
        <v>0.39200000000000002</v>
      </c>
      <c r="E238" s="37" t="s">
        <v>11</v>
      </c>
      <c r="F238" s="38" t="s">
        <v>23</v>
      </c>
      <c r="G238" s="42">
        <v>1</v>
      </c>
      <c r="H238" s="40">
        <f t="shared" si="3"/>
        <v>0.39200000000000002</v>
      </c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</row>
    <row r="239" spans="1:28" ht="14" hidden="1">
      <c r="A239" s="37">
        <v>5256</v>
      </c>
      <c r="B239" s="37" t="s">
        <v>330</v>
      </c>
      <c r="C239" s="37">
        <f ca="1">SUMIF('Finished Recipe'!H:R,'مسحوبات المواد الخام'!A239,'Finished Recipe'!R:R)</f>
        <v>0</v>
      </c>
      <c r="D239" s="37">
        <v>11.206896551724139</v>
      </c>
      <c r="E239" s="37" t="s">
        <v>8</v>
      </c>
      <c r="F239" s="38" t="s">
        <v>23</v>
      </c>
      <c r="G239" s="42">
        <v>10000</v>
      </c>
      <c r="H239" s="40">
        <f t="shared" si="3"/>
        <v>1.120689655172414E-3</v>
      </c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</row>
    <row r="240" spans="1:28" ht="14" hidden="1">
      <c r="A240" s="37">
        <v>5304</v>
      </c>
      <c r="B240" s="37" t="s">
        <v>346</v>
      </c>
      <c r="C240" s="37">
        <f ca="1">SUMIF('Finished Recipe'!H:R,'مسحوبات المواد الخام'!A240,'Finished Recipe'!R:R)</f>
        <v>0</v>
      </c>
      <c r="D240" s="37">
        <v>0.65</v>
      </c>
      <c r="E240" s="37" t="s">
        <v>8</v>
      </c>
      <c r="F240" s="38" t="s">
        <v>23</v>
      </c>
      <c r="G240" s="42">
        <v>1000</v>
      </c>
      <c r="H240" s="40">
        <f t="shared" si="3"/>
        <v>6.4999999999999997E-4</v>
      </c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</row>
    <row r="241" spans="1:28" ht="14" hidden="1">
      <c r="A241" s="37">
        <v>5325</v>
      </c>
      <c r="B241" s="37" t="s">
        <v>332</v>
      </c>
      <c r="C241" s="37">
        <f ca="1">SUMIF('Finished Recipe'!H:R,'مسحوبات المواد الخام'!A241,'Finished Recipe'!R:R)</f>
        <v>0</v>
      </c>
      <c r="D241" s="37">
        <v>1.6</v>
      </c>
      <c r="E241" s="37" t="s">
        <v>11</v>
      </c>
      <c r="F241" s="38" t="s">
        <v>23</v>
      </c>
      <c r="G241" s="42">
        <v>1</v>
      </c>
      <c r="H241" s="40">
        <f t="shared" si="3"/>
        <v>1.6</v>
      </c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</row>
    <row r="242" spans="1:28" ht="14" hidden="1">
      <c r="A242" s="37">
        <v>5376</v>
      </c>
      <c r="B242" s="37" t="s">
        <v>308</v>
      </c>
      <c r="C242" s="37">
        <f ca="1">SUMIF('Finished Recipe'!H:R,'مسحوبات المواد الخام'!A242,'Finished Recipe'!R:R)</f>
        <v>0</v>
      </c>
      <c r="D242" s="37">
        <v>8.1818181818181817</v>
      </c>
      <c r="E242" s="37" t="s">
        <v>8</v>
      </c>
      <c r="F242" s="38" t="s">
        <v>23</v>
      </c>
      <c r="G242" s="42">
        <v>1000</v>
      </c>
      <c r="H242" s="40">
        <f t="shared" si="3"/>
        <v>8.1818181818181825E-3</v>
      </c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</row>
    <row r="243" spans="1:28" ht="14" hidden="1">
      <c r="A243" s="37">
        <v>5384</v>
      </c>
      <c r="B243" s="37" t="s">
        <v>340</v>
      </c>
      <c r="C243" s="37">
        <f ca="1">SUMIF('Finished Recipe'!H:R,'مسحوبات المواد الخام'!A243,'Finished Recipe'!R:R)</f>
        <v>0</v>
      </c>
      <c r="D243" s="37">
        <v>18.095238095238095</v>
      </c>
      <c r="E243" s="37" t="s">
        <v>8</v>
      </c>
      <c r="F243" s="38" t="s">
        <v>23</v>
      </c>
      <c r="G243" s="42">
        <v>10000</v>
      </c>
      <c r="H243" s="40">
        <f t="shared" si="3"/>
        <v>1.8095238095238095E-3</v>
      </c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</row>
    <row r="244" spans="1:28" ht="14" hidden="1">
      <c r="A244" s="37">
        <v>5410</v>
      </c>
      <c r="B244" s="37" t="s">
        <v>317</v>
      </c>
      <c r="C244" s="37">
        <f ca="1">SUMIF('Finished Recipe'!H:R,'مسحوبات المواد الخام'!A244,'Finished Recipe'!R:R)</f>
        <v>0</v>
      </c>
      <c r="D244" s="37">
        <v>1.0775862068965518</v>
      </c>
      <c r="E244" s="37" t="s">
        <v>8</v>
      </c>
      <c r="F244" s="38" t="s">
        <v>23</v>
      </c>
      <c r="G244" s="42">
        <v>350</v>
      </c>
      <c r="H244" s="40">
        <f t="shared" si="3"/>
        <v>3.0788177339901479E-3</v>
      </c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</row>
    <row r="245" spans="1:28" ht="14" hidden="1">
      <c r="A245" s="37">
        <v>5425</v>
      </c>
      <c r="B245" s="37" t="s">
        <v>315</v>
      </c>
      <c r="C245" s="37">
        <f ca="1">SUMIF('Finished Recipe'!H:R,'مسحوبات المواد الخام'!A245,'Finished Recipe'!R:R)</f>
        <v>0</v>
      </c>
      <c r="D245" s="37">
        <v>5.25</v>
      </c>
      <c r="E245" s="37" t="s">
        <v>8</v>
      </c>
      <c r="F245" s="38" t="s">
        <v>23</v>
      </c>
      <c r="G245" s="42">
        <v>10000</v>
      </c>
      <c r="H245" s="40">
        <f t="shared" si="3"/>
        <v>5.2499999999999997E-4</v>
      </c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</row>
    <row r="246" spans="1:28" ht="14" hidden="1">
      <c r="A246" s="37">
        <v>5428</v>
      </c>
      <c r="B246" s="37" t="s">
        <v>349</v>
      </c>
      <c r="C246" s="37">
        <f ca="1">SUMIF('Finished Recipe'!H:R,'مسحوبات المواد الخام'!A246,'Finished Recipe'!R:R)</f>
        <v>0</v>
      </c>
      <c r="D246" s="37">
        <v>23</v>
      </c>
      <c r="E246" s="37" t="s">
        <v>8</v>
      </c>
      <c r="F246" s="38" t="s">
        <v>23</v>
      </c>
      <c r="G246" s="42">
        <v>25000</v>
      </c>
      <c r="H246" s="40">
        <f t="shared" si="3"/>
        <v>9.2000000000000003E-4</v>
      </c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</row>
    <row r="247" spans="1:28" ht="14" hidden="1">
      <c r="A247" s="37">
        <v>4092</v>
      </c>
      <c r="B247" s="37" t="s">
        <v>238</v>
      </c>
      <c r="C247" s="37">
        <f ca="1">SUMIF('Finished Recipe'!H:R,'مسحوبات المواد الخام'!A247,'Finished Recipe'!R:R)</f>
        <v>0</v>
      </c>
      <c r="D247" s="37">
        <v>2.5859999999999999</v>
      </c>
      <c r="E247" s="37" t="s">
        <v>8</v>
      </c>
      <c r="F247" s="38" t="s">
        <v>13</v>
      </c>
      <c r="G247" s="42">
        <v>400</v>
      </c>
      <c r="H247" s="40">
        <f t="shared" si="3"/>
        <v>6.4649999999999994E-3</v>
      </c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</row>
    <row r="248" spans="1:28" ht="14" hidden="1">
      <c r="A248" s="37">
        <v>3</v>
      </c>
      <c r="B248" s="37" t="s">
        <v>278</v>
      </c>
      <c r="C248" s="37">
        <f ca="1">SUMIF('Finished Recipe'!H:R,'مسحوبات المواد الخام'!A248,'Finished Recipe'!R:R)</f>
        <v>0</v>
      </c>
      <c r="D248" s="37">
        <v>0</v>
      </c>
      <c r="E248" s="37" t="s">
        <v>15</v>
      </c>
      <c r="F248" s="38" t="s">
        <v>274</v>
      </c>
      <c r="G248" s="42">
        <v>1000</v>
      </c>
      <c r="H248" s="40">
        <f t="shared" si="3"/>
        <v>0</v>
      </c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</row>
    <row r="249" spans="1:28" ht="14" hidden="1">
      <c r="A249" s="37">
        <v>5387</v>
      </c>
      <c r="B249" s="37" t="s">
        <v>318</v>
      </c>
      <c r="C249" s="37">
        <f ca="1">SUMIF('Finished Recipe'!H:R,'مسحوبات المواد الخام'!A249,'Finished Recipe'!R:R)</f>
        <v>0</v>
      </c>
      <c r="D249" s="37">
        <v>1.5</v>
      </c>
      <c r="E249" s="37" t="s">
        <v>11</v>
      </c>
      <c r="F249" s="38" t="s">
        <v>274</v>
      </c>
      <c r="G249" s="42">
        <v>1</v>
      </c>
      <c r="H249" s="40">
        <f t="shared" si="3"/>
        <v>1.5</v>
      </c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</row>
    <row r="250" spans="1:28" ht="14" hidden="1">
      <c r="A250" s="37">
        <v>5389</v>
      </c>
      <c r="B250" s="37" t="s">
        <v>320</v>
      </c>
      <c r="C250" s="37">
        <f ca="1">SUMIF('Finished Recipe'!H:R,'مسحوبات المواد الخام'!A250,'Finished Recipe'!R:R)</f>
        <v>0</v>
      </c>
      <c r="D250" s="37">
        <v>8</v>
      </c>
      <c r="E250" s="37" t="s">
        <v>8</v>
      </c>
      <c r="F250" s="38" t="s">
        <v>274</v>
      </c>
      <c r="G250" s="42">
        <v>1000</v>
      </c>
      <c r="H250" s="40">
        <f t="shared" si="3"/>
        <v>8.0000000000000002E-3</v>
      </c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</row>
    <row r="251" spans="1:28" ht="14" hidden="1">
      <c r="A251" s="37">
        <v>5390</v>
      </c>
      <c r="B251" s="37" t="s">
        <v>321</v>
      </c>
      <c r="C251" s="37">
        <f ca="1">SUMIF('Finished Recipe'!H:R,'مسحوبات المواد الخام'!A251,'Finished Recipe'!R:R)</f>
        <v>0</v>
      </c>
      <c r="D251" s="37">
        <v>2</v>
      </c>
      <c r="E251" s="37" t="s">
        <v>11</v>
      </c>
      <c r="F251" s="38" t="s">
        <v>274</v>
      </c>
      <c r="G251" s="42">
        <v>1</v>
      </c>
      <c r="H251" s="40">
        <f t="shared" si="3"/>
        <v>2</v>
      </c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</row>
    <row r="252" spans="1:28" ht="14" hidden="1">
      <c r="A252" s="37">
        <v>4284</v>
      </c>
      <c r="B252" s="37" t="s">
        <v>167</v>
      </c>
      <c r="C252" s="37">
        <f ca="1">SUMIF('Finished Recipe'!H:R,'مسحوبات المواد الخام'!A252,'Finished Recipe'!R:R)</f>
        <v>0</v>
      </c>
      <c r="D252" s="37">
        <v>6.7000000000000004E-2</v>
      </c>
      <c r="E252" s="37" t="s">
        <v>11</v>
      </c>
      <c r="F252" s="38" t="s">
        <v>168</v>
      </c>
      <c r="G252" s="42">
        <v>1</v>
      </c>
      <c r="H252" s="40">
        <f t="shared" si="3"/>
        <v>6.7000000000000004E-2</v>
      </c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</row>
    <row r="253" spans="1:28" ht="14" hidden="1">
      <c r="A253" s="37">
        <v>4311</v>
      </c>
      <c r="B253" s="37" t="s">
        <v>181</v>
      </c>
      <c r="C253" s="37">
        <f ca="1">SUMIF('Finished Recipe'!H:R,'مسحوبات المواد الخام'!A253,'Finished Recipe'!R:R)</f>
        <v>0</v>
      </c>
      <c r="D253" s="37">
        <v>1.75</v>
      </c>
      <c r="E253" s="37" t="s">
        <v>11</v>
      </c>
      <c r="F253" s="38" t="s">
        <v>168</v>
      </c>
      <c r="G253" s="42">
        <v>1000</v>
      </c>
      <c r="H253" s="40">
        <f t="shared" si="3"/>
        <v>1.75E-3</v>
      </c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</row>
    <row r="254" spans="1:28" ht="14" hidden="1">
      <c r="A254" s="37">
        <v>4416</v>
      </c>
      <c r="B254" s="37" t="s">
        <v>217</v>
      </c>
      <c r="C254" s="37">
        <f ca="1">SUMIF('Finished Recipe'!H:R,'مسحوبات المواد الخام'!A254,'Finished Recipe'!R:R)</f>
        <v>0</v>
      </c>
      <c r="D254" s="37">
        <v>1.45</v>
      </c>
      <c r="E254" s="37" t="s">
        <v>11</v>
      </c>
      <c r="F254" s="38" t="s">
        <v>168</v>
      </c>
      <c r="G254" s="42">
        <v>1</v>
      </c>
      <c r="H254" s="40">
        <f t="shared" si="3"/>
        <v>1.45</v>
      </c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</row>
    <row r="255" spans="1:28" ht="14" hidden="1">
      <c r="A255" s="37">
        <v>5252</v>
      </c>
      <c r="B255" s="37" t="s">
        <v>276</v>
      </c>
      <c r="C255" s="37">
        <f ca="1">SUMIF('Finished Recipe'!H:R,'مسحوبات المواد الخام'!A255,'Finished Recipe'!R:R)</f>
        <v>0</v>
      </c>
      <c r="D255" s="37">
        <v>0.14000000000000001</v>
      </c>
      <c r="E255" s="37" t="s">
        <v>11</v>
      </c>
      <c r="F255" s="38" t="s">
        <v>168</v>
      </c>
      <c r="G255" s="42">
        <v>1</v>
      </c>
      <c r="H255" s="40">
        <f t="shared" si="3"/>
        <v>0.14000000000000001</v>
      </c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</row>
    <row r="256" spans="1:28" ht="14" hidden="1">
      <c r="A256" s="37">
        <v>5274</v>
      </c>
      <c r="B256" s="37" t="s">
        <v>279</v>
      </c>
      <c r="C256" s="37">
        <f ca="1">SUMIF('Finished Recipe'!H:R,'مسحوبات المواد الخام'!A256,'Finished Recipe'!R:R)</f>
        <v>0</v>
      </c>
      <c r="D256" s="37">
        <v>7.3</v>
      </c>
      <c r="E256" s="37" t="s">
        <v>8</v>
      </c>
      <c r="F256" s="38" t="s">
        <v>168</v>
      </c>
      <c r="G256" s="42">
        <v>4000</v>
      </c>
      <c r="H256" s="40">
        <f t="shared" si="3"/>
        <v>1.825E-3</v>
      </c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</row>
    <row r="257" spans="1:28" ht="14" hidden="1">
      <c r="A257" s="37">
        <v>5301</v>
      </c>
      <c r="B257" s="37" t="s">
        <v>395</v>
      </c>
      <c r="C257" s="37">
        <f ca="1">SUMIF('Finished Recipe'!H:R,'مسحوبات المواد الخام'!A257,'Finished Recipe'!R:R)</f>
        <v>0</v>
      </c>
      <c r="D257" s="37">
        <v>2.1999999999999999E-2</v>
      </c>
      <c r="E257" s="37" t="s">
        <v>11</v>
      </c>
      <c r="F257" s="38" t="s">
        <v>168</v>
      </c>
      <c r="G257" s="42">
        <v>1</v>
      </c>
      <c r="H257" s="40">
        <f t="shared" si="3"/>
        <v>2.1999999999999999E-2</v>
      </c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</row>
    <row r="258" spans="1:28" ht="14" hidden="1">
      <c r="A258" s="37">
        <v>5331</v>
      </c>
      <c r="B258" s="37" t="s">
        <v>343</v>
      </c>
      <c r="C258" s="37">
        <f ca="1">SUMIF('Finished Recipe'!H:R,'مسحوبات المواد الخام'!A258,'Finished Recipe'!R:R)</f>
        <v>0</v>
      </c>
      <c r="D258" s="37">
        <v>0.13</v>
      </c>
      <c r="E258" s="37" t="s">
        <v>11</v>
      </c>
      <c r="F258" s="38" t="s">
        <v>168</v>
      </c>
      <c r="G258" s="42">
        <v>1</v>
      </c>
      <c r="H258" s="40">
        <f t="shared" si="3"/>
        <v>0.13</v>
      </c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</row>
    <row r="259" spans="1:28" ht="14" hidden="1">
      <c r="A259" s="37">
        <v>5338</v>
      </c>
      <c r="B259" s="37" t="s">
        <v>344</v>
      </c>
      <c r="C259" s="37">
        <f ca="1">SUMIF('Finished Recipe'!H:R,'مسحوبات المواد الخام'!A259,'Finished Recipe'!R:R)</f>
        <v>0</v>
      </c>
      <c r="D259" s="37">
        <v>0.35</v>
      </c>
      <c r="E259" s="37" t="s">
        <v>11</v>
      </c>
      <c r="F259" s="38" t="s">
        <v>168</v>
      </c>
      <c r="G259" s="42">
        <v>1</v>
      </c>
      <c r="H259" s="40">
        <f t="shared" ref="H259:H322" si="4">D259/G259</f>
        <v>0.35</v>
      </c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</row>
    <row r="260" spans="1:28" ht="14" hidden="1">
      <c r="A260" s="37">
        <v>5372</v>
      </c>
      <c r="B260" s="37" t="s">
        <v>280</v>
      </c>
      <c r="C260" s="37">
        <f ca="1">SUMIF('Finished Recipe'!H:R,'مسحوبات المواد الخام'!A260,'Finished Recipe'!R:R)</f>
        <v>0</v>
      </c>
      <c r="D260" s="37">
        <v>1.15E-2</v>
      </c>
      <c r="E260" s="37" t="s">
        <v>11</v>
      </c>
      <c r="F260" s="38" t="s">
        <v>168</v>
      </c>
      <c r="G260" s="42">
        <v>1</v>
      </c>
      <c r="H260" s="40">
        <f t="shared" si="4"/>
        <v>1.15E-2</v>
      </c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</row>
    <row r="261" spans="1:28" ht="14" hidden="1">
      <c r="A261" s="37">
        <v>5378</v>
      </c>
      <c r="B261" s="37" t="s">
        <v>327</v>
      </c>
      <c r="C261" s="37">
        <f ca="1">SUMIF('Finished Recipe'!H:R,'مسحوبات المواد الخام'!A261,'Finished Recipe'!R:R)</f>
        <v>0</v>
      </c>
      <c r="D261" s="37">
        <v>2.75</v>
      </c>
      <c r="E261" s="37" t="s">
        <v>8</v>
      </c>
      <c r="F261" s="38" t="s">
        <v>168</v>
      </c>
      <c r="G261" s="42">
        <v>1000</v>
      </c>
      <c r="H261" s="40">
        <f t="shared" si="4"/>
        <v>2.7499999999999998E-3</v>
      </c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</row>
    <row r="262" spans="1:28" ht="14" hidden="1">
      <c r="A262" s="37">
        <v>4203</v>
      </c>
      <c r="B262" s="37" t="s">
        <v>142</v>
      </c>
      <c r="C262" s="37">
        <f ca="1">SUMIF('Finished Recipe'!H:R,'مسحوبات المواد الخام'!A262,'Finished Recipe'!R:R)</f>
        <v>0</v>
      </c>
      <c r="D262" s="37">
        <v>10.345000000000001</v>
      </c>
      <c r="E262" s="37" t="s">
        <v>8</v>
      </c>
      <c r="F262" s="38" t="s">
        <v>17</v>
      </c>
      <c r="G262" s="42">
        <v>1000</v>
      </c>
      <c r="H262" s="40">
        <f t="shared" si="4"/>
        <v>1.0345E-2</v>
      </c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</row>
    <row r="263" spans="1:28" ht="14" hidden="1">
      <c r="A263" s="37">
        <v>4238</v>
      </c>
      <c r="B263" s="37" t="s">
        <v>244</v>
      </c>
      <c r="C263" s="37">
        <f ca="1">SUMIF('Finished Recipe'!H:R,'مسحوبات المواد الخام'!A263,'Finished Recipe'!R:R)</f>
        <v>0</v>
      </c>
      <c r="D263" s="37">
        <v>6.8970000000000002</v>
      </c>
      <c r="E263" s="37" t="s">
        <v>8</v>
      </c>
      <c r="F263" s="38" t="s">
        <v>17</v>
      </c>
      <c r="G263" s="42">
        <v>1000</v>
      </c>
      <c r="H263" s="40">
        <f t="shared" si="4"/>
        <v>6.8970000000000004E-3</v>
      </c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</row>
    <row r="264" spans="1:28" ht="14" hidden="1">
      <c r="A264" s="37">
        <v>4249</v>
      </c>
      <c r="B264" s="37" t="s">
        <v>148</v>
      </c>
      <c r="C264" s="37">
        <f ca="1">SUMIF('Finished Recipe'!H:R,'مسحوبات المواد الخام'!A264,'Finished Recipe'!R:R)</f>
        <v>0</v>
      </c>
      <c r="D264" s="37">
        <v>10.344799999999999</v>
      </c>
      <c r="E264" s="37" t="s">
        <v>8</v>
      </c>
      <c r="F264" s="38" t="s">
        <v>17</v>
      </c>
      <c r="G264" s="42">
        <v>1000</v>
      </c>
      <c r="H264" s="40">
        <f t="shared" si="4"/>
        <v>1.0344799999999999E-2</v>
      </c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</row>
    <row r="265" spans="1:28" ht="14" hidden="1">
      <c r="A265" s="37">
        <v>4256</v>
      </c>
      <c r="B265" s="37" t="s">
        <v>212</v>
      </c>
      <c r="C265" s="37">
        <f ca="1">SUMIF('Finished Recipe'!H:R,'مسحوبات المواد الخام'!A265,'Finished Recipe'!R:R)</f>
        <v>0</v>
      </c>
      <c r="D265" s="37">
        <v>1.25</v>
      </c>
      <c r="E265" s="37" t="s">
        <v>8</v>
      </c>
      <c r="F265" s="38" t="s">
        <v>17</v>
      </c>
      <c r="G265" s="42">
        <v>1000</v>
      </c>
      <c r="H265" s="40">
        <f t="shared" si="4"/>
        <v>1.25E-3</v>
      </c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</row>
    <row r="266" spans="1:28" ht="14" hidden="1">
      <c r="A266" s="37">
        <v>5087</v>
      </c>
      <c r="B266" s="37" t="s">
        <v>392</v>
      </c>
      <c r="C266" s="37">
        <f ca="1">SUMIF('Finished Recipe'!H:R,'مسحوبات المواد الخام'!A266,'Finished Recipe'!R:R)</f>
        <v>0</v>
      </c>
      <c r="D266" s="37">
        <v>1.4710000000000001</v>
      </c>
      <c r="E266" s="37" t="s">
        <v>8</v>
      </c>
      <c r="F266" s="38" t="s">
        <v>17</v>
      </c>
      <c r="G266" s="42">
        <v>1000</v>
      </c>
      <c r="H266" s="40">
        <f t="shared" si="4"/>
        <v>1.4710000000000001E-3</v>
      </c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</row>
    <row r="267" spans="1:28" ht="14" hidden="1">
      <c r="A267" s="37">
        <v>4787</v>
      </c>
      <c r="B267" s="37" t="s">
        <v>108</v>
      </c>
      <c r="C267" s="37">
        <f ca="1">SUMIF('Finished Recipe'!H:R,'مسحوبات المواد الخام'!A267,'Finished Recipe'!R:R)</f>
        <v>0</v>
      </c>
      <c r="D267" s="37">
        <v>0.90900000000000003</v>
      </c>
      <c r="E267" s="37" t="s">
        <v>8</v>
      </c>
      <c r="F267" s="38" t="s">
        <v>25</v>
      </c>
      <c r="G267" s="42">
        <v>600</v>
      </c>
      <c r="H267" s="40">
        <f t="shared" si="4"/>
        <v>1.5150000000000001E-3</v>
      </c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</row>
    <row r="268" spans="1:28" ht="14" hidden="1">
      <c r="A268" s="37">
        <v>4491</v>
      </c>
      <c r="B268" s="37" t="s">
        <v>39</v>
      </c>
      <c r="C268" s="37">
        <f ca="1">SUMIF('Finished Recipe'!H:R,'مسحوبات المواد الخام'!A268,'Finished Recipe'!R:R)</f>
        <v>0</v>
      </c>
      <c r="D268" s="37">
        <v>0.45</v>
      </c>
      <c r="E268" s="37" t="s">
        <v>8</v>
      </c>
      <c r="F268" s="38" t="s">
        <v>9</v>
      </c>
      <c r="G268" s="42">
        <v>1000</v>
      </c>
      <c r="H268" s="40">
        <f t="shared" si="4"/>
        <v>4.4999999999999999E-4</v>
      </c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</row>
    <row r="269" spans="1:28" ht="14" hidden="1">
      <c r="A269" s="37">
        <v>4519</v>
      </c>
      <c r="B269" s="37" t="s">
        <v>49</v>
      </c>
      <c r="C269" s="37">
        <f ca="1">SUMIF('Finished Recipe'!H:R,'مسحوبات المواد الخام'!A269,'Finished Recipe'!R:R)</f>
        <v>0</v>
      </c>
      <c r="D269" s="37">
        <v>4</v>
      </c>
      <c r="E269" s="37" t="s">
        <v>8</v>
      </c>
      <c r="F269" s="38" t="s">
        <v>9</v>
      </c>
      <c r="G269" s="42">
        <v>1000</v>
      </c>
      <c r="H269" s="40">
        <f t="shared" si="4"/>
        <v>4.0000000000000001E-3</v>
      </c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</row>
    <row r="270" spans="1:28" ht="14" hidden="1">
      <c r="A270" s="37">
        <v>4543</v>
      </c>
      <c r="B270" s="37" t="s">
        <v>220</v>
      </c>
      <c r="C270" s="37">
        <f ca="1">SUMIF('Finished Recipe'!H:R,'مسحوبات المواد الخام'!A270,'Finished Recipe'!R:R)</f>
        <v>0</v>
      </c>
      <c r="D270" s="37">
        <v>3.5</v>
      </c>
      <c r="E270" s="37" t="s">
        <v>8</v>
      </c>
      <c r="F270" s="38" t="s">
        <v>9</v>
      </c>
      <c r="G270" s="42">
        <v>1000</v>
      </c>
      <c r="H270" s="40">
        <f t="shared" si="4"/>
        <v>3.5000000000000001E-3</v>
      </c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</row>
    <row r="271" spans="1:28" ht="14" hidden="1">
      <c r="A271" s="37">
        <v>4978</v>
      </c>
      <c r="B271" s="37" t="s">
        <v>256</v>
      </c>
      <c r="C271" s="37">
        <f ca="1">SUMIF('Finished Recipe'!H:R,'مسحوبات المواد الخام'!A271,'Finished Recipe'!R:R)</f>
        <v>0</v>
      </c>
      <c r="D271" s="37">
        <v>2.5</v>
      </c>
      <c r="E271" s="37" t="s">
        <v>8</v>
      </c>
      <c r="F271" s="38" t="s">
        <v>9</v>
      </c>
      <c r="G271" s="42">
        <v>1000</v>
      </c>
      <c r="H271" s="40">
        <f t="shared" si="4"/>
        <v>2.5000000000000001E-3</v>
      </c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</row>
    <row r="272" spans="1:28" ht="14" hidden="1">
      <c r="A272" s="37">
        <v>5226</v>
      </c>
      <c r="B272" s="37" t="s">
        <v>229</v>
      </c>
      <c r="C272" s="37">
        <f ca="1">SUMIF('Finished Recipe'!H:R,'مسحوبات المواد الخام'!A272,'Finished Recipe'!R:R)</f>
        <v>0</v>
      </c>
      <c r="D272" s="37">
        <v>5.6034499999999996</v>
      </c>
      <c r="E272" s="37" t="s">
        <v>15</v>
      </c>
      <c r="F272" s="38" t="s">
        <v>9</v>
      </c>
      <c r="G272" s="42">
        <v>2500</v>
      </c>
      <c r="H272" s="40">
        <f t="shared" si="4"/>
        <v>2.2413799999999998E-3</v>
      </c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</row>
    <row r="273" spans="1:28" ht="14" hidden="1">
      <c r="A273" s="37">
        <v>4577</v>
      </c>
      <c r="B273" s="37" t="s">
        <v>368</v>
      </c>
      <c r="C273" s="37">
        <f ca="1">SUMIF('Finished Recipe'!H:R,'مسحوبات المواد الخام'!A273,'Finished Recipe'!R:R)</f>
        <v>0</v>
      </c>
      <c r="D273" s="37">
        <v>2.2799999999999998</v>
      </c>
      <c r="E273" s="37" t="s">
        <v>11</v>
      </c>
      <c r="F273" s="38" t="s">
        <v>284</v>
      </c>
      <c r="G273" s="42">
        <v>1</v>
      </c>
      <c r="H273" s="40">
        <f t="shared" si="4"/>
        <v>2.2799999999999998</v>
      </c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</row>
    <row r="274" spans="1:28" ht="14" hidden="1">
      <c r="A274" s="37">
        <v>4579</v>
      </c>
      <c r="B274" s="37" t="s">
        <v>367</v>
      </c>
      <c r="C274" s="37">
        <f ca="1">SUMIF('Finished Recipe'!H:R,'مسحوبات المواد الخام'!A274,'Finished Recipe'!R:R)</f>
        <v>0</v>
      </c>
      <c r="D274" s="37">
        <v>4.4000000000000004</v>
      </c>
      <c r="E274" s="37" t="s">
        <v>8</v>
      </c>
      <c r="F274" s="38" t="s">
        <v>284</v>
      </c>
      <c r="G274" s="42">
        <v>1000</v>
      </c>
      <c r="H274" s="40">
        <f t="shared" si="4"/>
        <v>4.4000000000000003E-3</v>
      </c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</row>
    <row r="275" spans="1:28" ht="14" hidden="1">
      <c r="A275" s="37">
        <v>4583</v>
      </c>
      <c r="B275" s="37" t="s">
        <v>369</v>
      </c>
      <c r="C275" s="37">
        <f ca="1">SUMIF('Finished Recipe'!H:R,'مسحوبات المواد الخام'!A275,'Finished Recipe'!R:R)</f>
        <v>0</v>
      </c>
      <c r="D275" s="37">
        <v>2.0369999999999999</v>
      </c>
      <c r="E275" s="37" t="s">
        <v>8</v>
      </c>
      <c r="F275" s="38" t="s">
        <v>284</v>
      </c>
      <c r="G275" s="42">
        <v>1000</v>
      </c>
      <c r="H275" s="40">
        <f t="shared" si="4"/>
        <v>2.0369999999999997E-3</v>
      </c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</row>
    <row r="276" spans="1:28" ht="14" hidden="1">
      <c r="A276" s="37">
        <v>4584</v>
      </c>
      <c r="B276" s="37" t="s">
        <v>366</v>
      </c>
      <c r="C276" s="37">
        <f ca="1">SUMIF('Finished Recipe'!H:R,'مسحوبات المواد الخام'!A276,'Finished Recipe'!R:R)</f>
        <v>0</v>
      </c>
      <c r="D276" s="37">
        <v>1.4550000000000001</v>
      </c>
      <c r="E276" s="37" t="s">
        <v>8</v>
      </c>
      <c r="F276" s="38" t="s">
        <v>284</v>
      </c>
      <c r="G276" s="42">
        <v>1000</v>
      </c>
      <c r="H276" s="40">
        <f t="shared" si="4"/>
        <v>1.4550000000000001E-3</v>
      </c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</row>
    <row r="277" spans="1:28" ht="14" hidden="1">
      <c r="A277" s="37">
        <v>4622</v>
      </c>
      <c r="B277" s="37" t="s">
        <v>370</v>
      </c>
      <c r="C277" s="37">
        <f ca="1">SUMIF('Finished Recipe'!H:R,'مسحوبات المواد الخام'!A277,'Finished Recipe'!R:R)</f>
        <v>0</v>
      </c>
      <c r="D277" s="37">
        <v>3</v>
      </c>
      <c r="E277" s="37" t="s">
        <v>8</v>
      </c>
      <c r="F277" s="38" t="s">
        <v>284</v>
      </c>
      <c r="G277" s="42">
        <v>1000</v>
      </c>
      <c r="H277" s="40">
        <f t="shared" si="4"/>
        <v>3.0000000000000001E-3</v>
      </c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</row>
    <row r="278" spans="1:28" ht="14" hidden="1">
      <c r="A278" s="37">
        <v>5285</v>
      </c>
      <c r="B278" s="37" t="s">
        <v>328</v>
      </c>
      <c r="C278" s="37">
        <f ca="1">SUMIF('Finished Recipe'!H:R,'مسحوبات المواد الخام'!A278,'Finished Recipe'!R:R)</f>
        <v>0</v>
      </c>
      <c r="D278" s="37">
        <v>2.2000000000000002</v>
      </c>
      <c r="E278" s="37" t="s">
        <v>8</v>
      </c>
      <c r="F278" s="38" t="s">
        <v>284</v>
      </c>
      <c r="G278" s="42">
        <v>1000</v>
      </c>
      <c r="H278" s="40">
        <f t="shared" si="4"/>
        <v>2.2000000000000001E-3</v>
      </c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</row>
    <row r="279" spans="1:28" ht="14" hidden="1">
      <c r="A279" s="37">
        <v>5288</v>
      </c>
      <c r="B279" s="37" t="s">
        <v>428</v>
      </c>
      <c r="C279" s="37">
        <f ca="1">SUMIF('Finished Recipe'!H:R,'مسحوبات المواد الخام'!A279,'Finished Recipe'!R:R)</f>
        <v>0</v>
      </c>
      <c r="D279" s="40">
        <v>1.746</v>
      </c>
      <c r="E279" s="37" t="s">
        <v>8</v>
      </c>
      <c r="F279" s="38" t="s">
        <v>284</v>
      </c>
      <c r="G279" s="42">
        <v>1000</v>
      </c>
      <c r="H279" s="40">
        <f t="shared" si="4"/>
        <v>1.7459999999999999E-3</v>
      </c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</row>
    <row r="280" spans="1:28" ht="14" hidden="1">
      <c r="A280" s="37">
        <v>5289</v>
      </c>
      <c r="B280" s="37" t="s">
        <v>429</v>
      </c>
      <c r="C280" s="37">
        <f ca="1">SUMIF('Finished Recipe'!H:R,'مسحوبات المواد الخام'!A280,'Finished Recipe'!R:R)</f>
        <v>0</v>
      </c>
      <c r="D280" s="40">
        <v>1.6</v>
      </c>
      <c r="E280" s="37" t="s">
        <v>8</v>
      </c>
      <c r="F280" s="38" t="s">
        <v>284</v>
      </c>
      <c r="G280" s="42">
        <v>1000</v>
      </c>
      <c r="H280" s="40">
        <f t="shared" si="4"/>
        <v>1.6000000000000001E-3</v>
      </c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</row>
    <row r="281" spans="1:28" ht="14" hidden="1">
      <c r="A281" s="37">
        <v>5310</v>
      </c>
      <c r="B281" s="37" t="s">
        <v>304</v>
      </c>
      <c r="C281" s="37">
        <f ca="1">SUMIF('Finished Recipe'!H:R,'مسحوبات المواد الخام'!A281,'Finished Recipe'!R:R)</f>
        <v>0</v>
      </c>
      <c r="D281" s="37">
        <v>1.65</v>
      </c>
      <c r="E281" s="37" t="s">
        <v>8</v>
      </c>
      <c r="F281" s="38" t="s">
        <v>284</v>
      </c>
      <c r="G281" s="42">
        <v>1000</v>
      </c>
      <c r="H281" s="40">
        <f t="shared" si="4"/>
        <v>1.65E-3</v>
      </c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</row>
    <row r="282" spans="1:28" ht="14" hidden="1">
      <c r="A282" s="37">
        <v>5326</v>
      </c>
      <c r="B282" s="37" t="s">
        <v>283</v>
      </c>
      <c r="C282" s="37">
        <f ca="1">SUMIF('Finished Recipe'!H:R,'مسحوبات المواد الخام'!A282,'Finished Recipe'!R:R)</f>
        <v>0</v>
      </c>
      <c r="D282" s="37">
        <v>2.5</v>
      </c>
      <c r="E282" s="37" t="s">
        <v>8</v>
      </c>
      <c r="F282" s="38" t="s">
        <v>284</v>
      </c>
      <c r="G282" s="42">
        <v>1000</v>
      </c>
      <c r="H282" s="40">
        <f t="shared" si="4"/>
        <v>2.5000000000000001E-3</v>
      </c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</row>
    <row r="283" spans="1:28" ht="14" hidden="1">
      <c r="A283" s="37">
        <v>5386</v>
      </c>
      <c r="B283" s="37" t="s">
        <v>291</v>
      </c>
      <c r="C283" s="37">
        <f ca="1">SUMIF('Finished Recipe'!H:R,'مسحوبات المواد الخام'!A283,'Finished Recipe'!R:R)</f>
        <v>0</v>
      </c>
      <c r="D283" s="37">
        <v>4.4000000000000004</v>
      </c>
      <c r="E283" s="37" t="s">
        <v>8</v>
      </c>
      <c r="F283" s="38" t="s">
        <v>284</v>
      </c>
      <c r="G283" s="42">
        <v>1000</v>
      </c>
      <c r="H283" s="40">
        <f t="shared" si="4"/>
        <v>4.4000000000000003E-3</v>
      </c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</row>
    <row r="284" spans="1:28" ht="14" hidden="1">
      <c r="A284" s="37">
        <v>5409</v>
      </c>
      <c r="B284" s="37" t="s">
        <v>285</v>
      </c>
      <c r="C284" s="37">
        <f ca="1">SUMIF('Finished Recipe'!H:R,'مسحوبات المواد الخام'!A284,'Finished Recipe'!R:R)</f>
        <v>0</v>
      </c>
      <c r="D284" s="37">
        <v>4</v>
      </c>
      <c r="E284" s="37" t="s">
        <v>8</v>
      </c>
      <c r="F284" s="38" t="s">
        <v>284</v>
      </c>
      <c r="G284" s="42">
        <v>1000</v>
      </c>
      <c r="H284" s="40">
        <f t="shared" si="4"/>
        <v>4.0000000000000001E-3</v>
      </c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</row>
    <row r="285" spans="1:28" ht="14" hidden="1">
      <c r="A285" s="37">
        <v>5426</v>
      </c>
      <c r="B285" s="37" t="s">
        <v>334</v>
      </c>
      <c r="C285" s="37">
        <f ca="1">SUMIF('Finished Recipe'!H:R,'مسحوبات المواد الخام'!A285,'Finished Recipe'!R:R)</f>
        <v>0</v>
      </c>
      <c r="D285" s="37">
        <v>2</v>
      </c>
      <c r="E285" s="37" t="s">
        <v>11</v>
      </c>
      <c r="F285" s="38" t="s">
        <v>284</v>
      </c>
      <c r="G285" s="42">
        <v>1</v>
      </c>
      <c r="H285" s="40">
        <f t="shared" si="4"/>
        <v>2</v>
      </c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</row>
    <row r="286" spans="1:28" ht="14" hidden="1">
      <c r="A286" s="37">
        <v>50004</v>
      </c>
      <c r="B286" s="37" t="s">
        <v>302</v>
      </c>
      <c r="C286" s="37">
        <f ca="1">SUMIF('Finished Recipe'!H:R,'مسحوبات المواد الخام'!A286,'Finished Recipe'!R:R)</f>
        <v>0</v>
      </c>
      <c r="D286" s="37">
        <v>2.5</v>
      </c>
      <c r="E286" s="37" t="s">
        <v>8</v>
      </c>
      <c r="F286" s="38" t="s">
        <v>284</v>
      </c>
      <c r="G286" s="42">
        <v>1000</v>
      </c>
      <c r="H286" s="40">
        <f t="shared" si="4"/>
        <v>2.5000000000000001E-3</v>
      </c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</row>
    <row r="287" spans="1:28" ht="15.5" hidden="1">
      <c r="A287" s="41">
        <v>50005</v>
      </c>
      <c r="B287" s="41" t="s">
        <v>303</v>
      </c>
      <c r="C287" s="37">
        <f ca="1">SUMIF('Finished Recipe'!H:R,'مسحوبات المواد الخام'!A287,'Finished Recipe'!R:R)</f>
        <v>0</v>
      </c>
      <c r="D287" s="41">
        <v>5.7</v>
      </c>
      <c r="E287" s="37" t="s">
        <v>8</v>
      </c>
      <c r="F287" s="38" t="s">
        <v>284</v>
      </c>
      <c r="G287" s="42">
        <v>1000</v>
      </c>
      <c r="H287" s="40">
        <f t="shared" si="4"/>
        <v>5.7000000000000002E-3</v>
      </c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</row>
    <row r="288" spans="1:28" ht="15.5" hidden="1">
      <c r="A288" s="41">
        <v>979</v>
      </c>
      <c r="B288" s="41" t="s">
        <v>381</v>
      </c>
      <c r="C288" s="37">
        <f ca="1">SUMIF('Finished Recipe'!H:R,'مسحوبات المواد الخام'!A288,'Finished Recipe'!R:R)</f>
        <v>0</v>
      </c>
      <c r="D288" s="41">
        <v>16.5</v>
      </c>
      <c r="E288" s="37" t="s">
        <v>8</v>
      </c>
      <c r="F288" s="38" t="s">
        <v>21</v>
      </c>
      <c r="G288" s="42">
        <v>1000</v>
      </c>
      <c r="H288" s="40">
        <f t="shared" si="4"/>
        <v>1.6500000000000001E-2</v>
      </c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</row>
    <row r="289" spans="1:28" ht="14" hidden="1">
      <c r="A289" s="47">
        <v>1082</v>
      </c>
      <c r="B289" s="47" t="s">
        <v>361</v>
      </c>
      <c r="C289" s="37">
        <f ca="1">SUMIF('Finished Recipe'!H:R,'مسحوبات المواد الخام'!A289,'Finished Recipe'!R:R)</f>
        <v>0</v>
      </c>
      <c r="D289" s="65">
        <v>7</v>
      </c>
      <c r="E289" s="47" t="s">
        <v>8</v>
      </c>
      <c r="F289" s="38" t="s">
        <v>21</v>
      </c>
      <c r="G289" s="42">
        <v>1000</v>
      </c>
      <c r="H289" s="40">
        <f t="shared" si="4"/>
        <v>7.0000000000000001E-3</v>
      </c>
      <c r="I289" s="35"/>
      <c r="J289" s="35"/>
      <c r="K289" s="43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</row>
    <row r="290" spans="1:28" ht="15.5" hidden="1">
      <c r="A290" s="67">
        <v>4585</v>
      </c>
      <c r="B290" s="67" t="s">
        <v>356</v>
      </c>
      <c r="C290" s="37">
        <f ca="1">SUMIF('Finished Recipe'!H:R,'مسحوبات المواد الخام'!A290,'Finished Recipe'!R:R)</f>
        <v>0</v>
      </c>
      <c r="D290" s="67">
        <v>11</v>
      </c>
      <c r="E290" s="51" t="s">
        <v>8</v>
      </c>
      <c r="F290" s="64" t="s">
        <v>21</v>
      </c>
      <c r="G290" s="42">
        <v>1000</v>
      </c>
      <c r="H290" s="40">
        <f t="shared" si="4"/>
        <v>1.0999999999999999E-2</v>
      </c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</row>
    <row r="291" spans="1:28" ht="15.5" hidden="1">
      <c r="A291" s="67">
        <v>4586</v>
      </c>
      <c r="B291" s="67" t="s">
        <v>358</v>
      </c>
      <c r="C291" s="37">
        <f ca="1">SUMIF('Finished Recipe'!H:R,'مسحوبات المواد الخام'!A291,'Finished Recipe'!R:R)</f>
        <v>0</v>
      </c>
      <c r="D291" s="67">
        <v>14.5</v>
      </c>
      <c r="E291" s="51" t="s">
        <v>8</v>
      </c>
      <c r="F291" s="64" t="s">
        <v>21</v>
      </c>
      <c r="G291" s="42">
        <v>1000</v>
      </c>
      <c r="H291" s="40">
        <f t="shared" si="4"/>
        <v>1.4500000000000001E-2</v>
      </c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</row>
    <row r="292" spans="1:28" ht="14" hidden="1">
      <c r="A292" s="51">
        <v>4587</v>
      </c>
      <c r="B292" s="51" t="s">
        <v>359</v>
      </c>
      <c r="C292" s="37">
        <f ca="1">SUMIF('Finished Recipe'!H:R,'مسحوبات المواد الخام'!A292,'Finished Recipe'!R:R)</f>
        <v>0</v>
      </c>
      <c r="D292" s="52">
        <v>14</v>
      </c>
      <c r="E292" s="51" t="s">
        <v>8</v>
      </c>
      <c r="F292" s="64" t="s">
        <v>21</v>
      </c>
      <c r="G292" s="42">
        <v>1000</v>
      </c>
      <c r="H292" s="40">
        <f t="shared" si="4"/>
        <v>1.4E-2</v>
      </c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</row>
    <row r="293" spans="1:28" ht="15.5" hidden="1">
      <c r="A293" s="67">
        <v>4594</v>
      </c>
      <c r="B293" s="67" t="s">
        <v>360</v>
      </c>
      <c r="C293" s="37">
        <f ca="1">SUMIF('Finished Recipe'!H:R,'مسحوبات المواد الخام'!A293,'Finished Recipe'!R:R)</f>
        <v>0</v>
      </c>
      <c r="D293" s="67">
        <v>9</v>
      </c>
      <c r="E293" s="51" t="s">
        <v>8</v>
      </c>
      <c r="F293" s="64" t="s">
        <v>21</v>
      </c>
      <c r="G293" s="42">
        <v>1000</v>
      </c>
      <c r="H293" s="40">
        <f t="shared" si="4"/>
        <v>8.9999999999999993E-3</v>
      </c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</row>
    <row r="294" spans="1:28" ht="14" hidden="1">
      <c r="A294" s="51">
        <v>4598</v>
      </c>
      <c r="B294" s="55" t="s">
        <v>373</v>
      </c>
      <c r="C294" s="37">
        <f ca="1">SUMIF('Finished Recipe'!H:R,'مسحوبات المواد الخام'!A294,'Finished Recipe'!R:R)</f>
        <v>0</v>
      </c>
      <c r="D294" s="52">
        <v>4.5</v>
      </c>
      <c r="E294" s="51" t="s">
        <v>8</v>
      </c>
      <c r="F294" s="64" t="s">
        <v>21</v>
      </c>
      <c r="G294" s="42">
        <v>1000</v>
      </c>
      <c r="H294" s="40">
        <f t="shared" si="4"/>
        <v>4.4999999999999997E-3</v>
      </c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</row>
    <row r="295" spans="1:28" ht="14" hidden="1">
      <c r="A295" s="51">
        <v>4601</v>
      </c>
      <c r="B295" s="51" t="s">
        <v>383</v>
      </c>
      <c r="C295" s="37">
        <f ca="1">SUMIF('Finished Recipe'!H:R,'مسحوبات المواد الخام'!A295,'Finished Recipe'!R:R)</f>
        <v>0</v>
      </c>
      <c r="D295" s="51">
        <v>1.5745000000000002</v>
      </c>
      <c r="E295" s="51" t="s">
        <v>8</v>
      </c>
      <c r="F295" s="64" t="s">
        <v>21</v>
      </c>
      <c r="G295" s="42">
        <v>1000</v>
      </c>
      <c r="H295" s="40">
        <f t="shared" si="4"/>
        <v>1.5745000000000002E-3</v>
      </c>
      <c r="I295" s="35"/>
      <c r="J295" s="35"/>
      <c r="K295" s="43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</row>
    <row r="296" spans="1:28" ht="14" hidden="1">
      <c r="A296" s="51">
        <v>4602</v>
      </c>
      <c r="B296" s="51" t="s">
        <v>357</v>
      </c>
      <c r="C296" s="37">
        <f ca="1">SUMIF('Finished Recipe'!H:R,'مسحوبات المواد الخام'!A296,'Finished Recipe'!R:R)</f>
        <v>0</v>
      </c>
      <c r="D296" s="51">
        <v>0</v>
      </c>
      <c r="E296" s="51" t="s">
        <v>8</v>
      </c>
      <c r="F296" s="64" t="s">
        <v>21</v>
      </c>
      <c r="G296" s="42">
        <v>1000</v>
      </c>
      <c r="H296" s="40">
        <f t="shared" si="4"/>
        <v>0</v>
      </c>
      <c r="I296" s="35"/>
      <c r="J296" s="35"/>
      <c r="K296" s="43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</row>
    <row r="297" spans="1:28" ht="15.5" hidden="1">
      <c r="A297" s="67">
        <v>4605</v>
      </c>
      <c r="B297" s="67" t="s">
        <v>352</v>
      </c>
      <c r="C297" s="37">
        <f ca="1">SUMIF('Finished Recipe'!H:R,'مسحوبات المواد الخام'!A297,'Finished Recipe'!R:R)</f>
        <v>0</v>
      </c>
      <c r="D297" s="67">
        <v>12</v>
      </c>
      <c r="E297" s="51" t="s">
        <v>8</v>
      </c>
      <c r="F297" s="64" t="s">
        <v>21</v>
      </c>
      <c r="G297" s="42">
        <v>1000</v>
      </c>
      <c r="H297" s="40">
        <f t="shared" si="4"/>
        <v>1.2E-2</v>
      </c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</row>
    <row r="298" spans="1:28" ht="15.5" hidden="1">
      <c r="A298" s="67">
        <v>4606</v>
      </c>
      <c r="B298" s="67" t="s">
        <v>386</v>
      </c>
      <c r="C298" s="37">
        <f ca="1">SUMIF('Finished Recipe'!H:R,'مسحوبات المواد الخام'!A298,'Finished Recipe'!R:R)</f>
        <v>0</v>
      </c>
      <c r="D298" s="67">
        <v>7.25</v>
      </c>
      <c r="E298" s="51" t="s">
        <v>8</v>
      </c>
      <c r="F298" s="64" t="s">
        <v>21</v>
      </c>
      <c r="G298" s="42">
        <v>1000</v>
      </c>
      <c r="H298" s="40">
        <f t="shared" si="4"/>
        <v>7.2500000000000004E-3</v>
      </c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</row>
    <row r="299" spans="1:28" ht="15.5" hidden="1">
      <c r="A299" s="51">
        <v>4608</v>
      </c>
      <c r="B299" s="55" t="s">
        <v>375</v>
      </c>
      <c r="C299" s="37">
        <f ca="1">SUMIF('Finished Recipe'!H:R,'مسحوبات المواد الخام'!A299,'Finished Recipe'!R:R)</f>
        <v>0</v>
      </c>
      <c r="D299" s="52">
        <v>12.640386956521738</v>
      </c>
      <c r="E299" s="51" t="s">
        <v>8</v>
      </c>
      <c r="F299" s="64" t="s">
        <v>21</v>
      </c>
      <c r="G299" s="42">
        <v>1000</v>
      </c>
      <c r="H299" s="40">
        <f t="shared" si="4"/>
        <v>1.2640386956521739E-2</v>
      </c>
      <c r="I299" s="35"/>
      <c r="J299" s="35"/>
      <c r="K299" s="45"/>
      <c r="L299" s="46"/>
      <c r="M299" s="45"/>
      <c r="N299" s="45"/>
      <c r="O299" s="5"/>
      <c r="P299" s="4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</row>
    <row r="300" spans="1:28" ht="15.5" hidden="1">
      <c r="A300" s="67">
        <v>4614</v>
      </c>
      <c r="B300" s="67" t="s">
        <v>378</v>
      </c>
      <c r="C300" s="37">
        <f ca="1">SUMIF('Finished Recipe'!H:R,'مسحوبات المواد الخام'!A300,'Finished Recipe'!R:R)</f>
        <v>0</v>
      </c>
      <c r="D300" s="67">
        <v>10</v>
      </c>
      <c r="E300" s="51" t="s">
        <v>8</v>
      </c>
      <c r="F300" s="64" t="s">
        <v>21</v>
      </c>
      <c r="G300" s="42">
        <v>1000</v>
      </c>
      <c r="H300" s="40">
        <f t="shared" si="4"/>
        <v>0.01</v>
      </c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</row>
    <row r="301" spans="1:28" ht="15.5" hidden="1">
      <c r="A301" s="67">
        <v>4634</v>
      </c>
      <c r="B301" s="67" t="s">
        <v>73</v>
      </c>
      <c r="C301" s="37">
        <f ca="1">SUMIF('Finished Recipe'!H:R,'مسحوبات المواد الخام'!A301,'Finished Recipe'!R:R)</f>
        <v>0</v>
      </c>
      <c r="D301" s="67">
        <v>7.5960000000000001</v>
      </c>
      <c r="E301" s="51" t="s">
        <v>8</v>
      </c>
      <c r="F301" s="64" t="s">
        <v>21</v>
      </c>
      <c r="G301" s="42">
        <v>1000</v>
      </c>
      <c r="H301" s="40">
        <f t="shared" si="4"/>
        <v>7.5960000000000003E-3</v>
      </c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</row>
    <row r="302" spans="1:28" ht="15.5" hidden="1">
      <c r="A302" s="67">
        <v>4754</v>
      </c>
      <c r="B302" s="67" t="s">
        <v>355</v>
      </c>
      <c r="C302" s="37">
        <f ca="1">SUMIF('Finished Recipe'!H:R,'مسحوبات المواد الخام'!A302,'Finished Recipe'!R:R)</f>
        <v>0</v>
      </c>
      <c r="D302" s="67">
        <v>6</v>
      </c>
      <c r="E302" s="51" t="s">
        <v>8</v>
      </c>
      <c r="F302" s="64" t="s">
        <v>21</v>
      </c>
      <c r="G302" s="42">
        <v>1000</v>
      </c>
      <c r="H302" s="40">
        <f t="shared" si="4"/>
        <v>6.0000000000000001E-3</v>
      </c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</row>
    <row r="303" spans="1:28" ht="15.5" hidden="1">
      <c r="A303" s="67">
        <v>4762</v>
      </c>
      <c r="B303" s="67" t="s">
        <v>354</v>
      </c>
      <c r="C303" s="37">
        <f ca="1">SUMIF('Finished Recipe'!H:R,'مسحوبات المواد الخام'!A303,'Finished Recipe'!R:R)</f>
        <v>0</v>
      </c>
      <c r="D303" s="67">
        <v>5.8239999999999998</v>
      </c>
      <c r="E303" s="51" t="s">
        <v>8</v>
      </c>
      <c r="F303" s="64" t="s">
        <v>21</v>
      </c>
      <c r="G303" s="42">
        <v>1000</v>
      </c>
      <c r="H303" s="40">
        <f t="shared" si="4"/>
        <v>5.8240000000000002E-3</v>
      </c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</row>
    <row r="304" spans="1:28" ht="15.5" hidden="1">
      <c r="A304" s="67">
        <v>4764</v>
      </c>
      <c r="B304" s="67" t="s">
        <v>353</v>
      </c>
      <c r="C304" s="37">
        <f ca="1">SUMIF('Finished Recipe'!H:R,'مسحوبات المواد الخام'!A304,'Finished Recipe'!R:R)</f>
        <v>0</v>
      </c>
      <c r="D304" s="67">
        <v>5.8239999999999998</v>
      </c>
      <c r="E304" s="51" t="s">
        <v>8</v>
      </c>
      <c r="F304" s="64" t="s">
        <v>21</v>
      </c>
      <c r="G304" s="42">
        <v>1000</v>
      </c>
      <c r="H304" s="40">
        <f t="shared" si="4"/>
        <v>5.8240000000000002E-3</v>
      </c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</row>
    <row r="305" spans="1:28" ht="14" hidden="1">
      <c r="A305" s="51">
        <v>4943</v>
      </c>
      <c r="B305" s="51" t="s">
        <v>351</v>
      </c>
      <c r="C305" s="37">
        <f ca="1">SUMIF('Finished Recipe'!H:R,'مسحوبات المواد الخام'!A305,'Finished Recipe'!R:R)</f>
        <v>0</v>
      </c>
      <c r="D305" s="52">
        <v>9.5</v>
      </c>
      <c r="E305" s="51" t="s">
        <v>8</v>
      </c>
      <c r="F305" s="64" t="s">
        <v>21</v>
      </c>
      <c r="G305" s="42">
        <v>1000</v>
      </c>
      <c r="H305" s="40">
        <f t="shared" si="4"/>
        <v>9.4999999999999998E-3</v>
      </c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</row>
    <row r="306" spans="1:28" ht="15.5">
      <c r="A306" s="67">
        <v>5066</v>
      </c>
      <c r="B306" s="67" t="s">
        <v>365</v>
      </c>
      <c r="C306" s="37">
        <f ca="1">SUMIF('Finished Recipe'!H:R,'مسحوبات المواد الخام'!A306,'Finished Recipe'!R:R)</f>
        <v>0</v>
      </c>
      <c r="D306" s="67">
        <v>1.25</v>
      </c>
      <c r="E306" s="51" t="s">
        <v>11</v>
      </c>
      <c r="F306" s="64" t="s">
        <v>21</v>
      </c>
      <c r="G306" s="42">
        <v>1</v>
      </c>
      <c r="H306" s="40">
        <f t="shared" si="4"/>
        <v>1.25</v>
      </c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</row>
    <row r="307" spans="1:28" ht="15.5" hidden="1">
      <c r="A307" s="67">
        <v>5077</v>
      </c>
      <c r="B307" s="67" t="s">
        <v>20</v>
      </c>
      <c r="C307" s="37">
        <f ca="1">SUMIF('Finished Recipe'!H:R,'مسحوبات المواد الخام'!A307,'Finished Recipe'!R:R)</f>
        <v>0</v>
      </c>
      <c r="D307" s="67">
        <v>2.4173</v>
      </c>
      <c r="E307" s="51" t="s">
        <v>8</v>
      </c>
      <c r="F307" s="64" t="s">
        <v>21</v>
      </c>
      <c r="G307" s="42">
        <v>1000</v>
      </c>
      <c r="H307" s="40">
        <f t="shared" si="4"/>
        <v>2.4172999999999998E-3</v>
      </c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</row>
    <row r="308" spans="1:28" ht="15.5" hidden="1">
      <c r="A308" s="67">
        <v>5261</v>
      </c>
      <c r="B308" s="67" t="s">
        <v>397</v>
      </c>
      <c r="C308" s="37">
        <f ca="1">SUMIF('Finished Recipe'!H:R,'مسحوبات المواد الخام'!A308,'Finished Recipe'!R:R)</f>
        <v>0</v>
      </c>
      <c r="D308" s="67">
        <v>2.6</v>
      </c>
      <c r="E308" s="51" t="s">
        <v>8</v>
      </c>
      <c r="F308" s="64" t="s">
        <v>21</v>
      </c>
      <c r="G308" s="42">
        <v>1000</v>
      </c>
      <c r="H308" s="40">
        <f t="shared" si="4"/>
        <v>2.5999999999999999E-3</v>
      </c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</row>
    <row r="309" spans="1:28" ht="15.5" hidden="1">
      <c r="A309" s="67">
        <v>5315</v>
      </c>
      <c r="B309" s="68" t="s">
        <v>331</v>
      </c>
      <c r="C309" s="37">
        <f ca="1">SUMIF('Finished Recipe'!H:R,'مسحوبات المواد الخام'!A309,'Finished Recipe'!R:R)</f>
        <v>0</v>
      </c>
      <c r="D309" s="69">
        <v>10.220000000000001</v>
      </c>
      <c r="E309" s="51" t="s">
        <v>8</v>
      </c>
      <c r="F309" s="64" t="s">
        <v>21</v>
      </c>
      <c r="G309" s="42">
        <v>1000</v>
      </c>
      <c r="H309" s="40">
        <f t="shared" si="4"/>
        <v>1.022E-2</v>
      </c>
      <c r="I309" s="35"/>
      <c r="J309" s="35"/>
      <c r="K309" s="43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</row>
    <row r="310" spans="1:28" ht="15.5" hidden="1">
      <c r="A310" s="67">
        <v>5317</v>
      </c>
      <c r="B310" s="67" t="s">
        <v>305</v>
      </c>
      <c r="C310" s="37">
        <f ca="1">SUMIF('Finished Recipe'!H:R,'مسحوبات المواد الخام'!A310,'Finished Recipe'!R:R)</f>
        <v>0</v>
      </c>
      <c r="D310" s="67">
        <v>4</v>
      </c>
      <c r="E310" s="51" t="s">
        <v>11</v>
      </c>
      <c r="F310" s="64" t="s">
        <v>21</v>
      </c>
      <c r="G310" s="42">
        <v>1</v>
      </c>
      <c r="H310" s="40">
        <f t="shared" si="4"/>
        <v>4</v>
      </c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</row>
    <row r="311" spans="1:28" ht="15.5" hidden="1">
      <c r="A311" s="67">
        <v>5318</v>
      </c>
      <c r="B311" s="67" t="s">
        <v>324</v>
      </c>
      <c r="C311" s="37">
        <f ca="1">SUMIF('Finished Recipe'!H:R,'مسحوبات المواد الخام'!A311,'Finished Recipe'!R:R)</f>
        <v>0</v>
      </c>
      <c r="D311" s="67">
        <v>4.5</v>
      </c>
      <c r="E311" s="51" t="s">
        <v>11</v>
      </c>
      <c r="F311" s="64" t="s">
        <v>21</v>
      </c>
      <c r="G311" s="42">
        <v>1</v>
      </c>
      <c r="H311" s="40">
        <f t="shared" si="4"/>
        <v>4.5</v>
      </c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</row>
    <row r="312" spans="1:28" ht="15.5" hidden="1">
      <c r="A312" s="67">
        <v>5340</v>
      </c>
      <c r="B312" s="67" t="s">
        <v>307</v>
      </c>
      <c r="C312" s="37">
        <f ca="1">SUMIF('Finished Recipe'!H:R,'مسحوبات المواد الخام'!A312,'Finished Recipe'!R:R)</f>
        <v>0</v>
      </c>
      <c r="D312" s="67">
        <v>2.5</v>
      </c>
      <c r="E312" s="51" t="s">
        <v>11</v>
      </c>
      <c r="F312" s="64" t="s">
        <v>21</v>
      </c>
      <c r="G312" s="42">
        <v>1</v>
      </c>
      <c r="H312" s="40">
        <f t="shared" si="4"/>
        <v>2.5</v>
      </c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</row>
    <row r="313" spans="1:28" ht="15.5" hidden="1">
      <c r="A313" s="67">
        <v>5342</v>
      </c>
      <c r="B313" s="68" t="s">
        <v>309</v>
      </c>
      <c r="C313" s="37">
        <f ca="1">SUMIF('Finished Recipe'!H:R,'مسحوبات المواد الخام'!A313,'Finished Recipe'!R:R)</f>
        <v>0</v>
      </c>
      <c r="D313" s="52">
        <v>0.35</v>
      </c>
      <c r="E313" s="51" t="s">
        <v>11</v>
      </c>
      <c r="F313" s="64" t="s">
        <v>21</v>
      </c>
      <c r="G313" s="42">
        <v>1</v>
      </c>
      <c r="H313" s="40">
        <f t="shared" si="4"/>
        <v>0.35</v>
      </c>
      <c r="I313" s="35"/>
      <c r="J313" s="35"/>
      <c r="K313" s="43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</row>
    <row r="314" spans="1:28" ht="15.5" hidden="1">
      <c r="A314" s="67">
        <v>5343</v>
      </c>
      <c r="B314" s="67" t="s">
        <v>310</v>
      </c>
      <c r="C314" s="37">
        <f ca="1">SUMIF('Finished Recipe'!H:R,'مسحوبات المواد الخام'!A314,'Finished Recipe'!R:R)</f>
        <v>0</v>
      </c>
      <c r="D314" s="67">
        <v>4.5</v>
      </c>
      <c r="E314" s="51" t="s">
        <v>11</v>
      </c>
      <c r="F314" s="64" t="s">
        <v>21</v>
      </c>
      <c r="G314" s="42">
        <v>1</v>
      </c>
      <c r="H314" s="40">
        <f t="shared" si="4"/>
        <v>4.5</v>
      </c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</row>
    <row r="315" spans="1:28" ht="15.5" hidden="1">
      <c r="A315" s="67">
        <v>5346</v>
      </c>
      <c r="B315" s="67" t="s">
        <v>295</v>
      </c>
      <c r="C315" s="37">
        <f ca="1">SUMIF('Finished Recipe'!H:R,'مسحوبات المواد الخام'!A315,'Finished Recipe'!R:R)</f>
        <v>0</v>
      </c>
      <c r="D315" s="67">
        <v>9.75</v>
      </c>
      <c r="E315" s="51" t="s">
        <v>8</v>
      </c>
      <c r="F315" s="64" t="s">
        <v>21</v>
      </c>
      <c r="G315" s="42">
        <v>1000</v>
      </c>
      <c r="H315" s="40">
        <f t="shared" si="4"/>
        <v>9.75E-3</v>
      </c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</row>
    <row r="316" spans="1:28" ht="15.5" hidden="1">
      <c r="A316" s="67">
        <v>5347</v>
      </c>
      <c r="B316" s="67" t="s">
        <v>294</v>
      </c>
      <c r="C316" s="37">
        <f ca="1">SUMIF('Finished Recipe'!H:R,'مسحوبات المواد الخام'!A316,'Finished Recipe'!R:R)</f>
        <v>0</v>
      </c>
      <c r="D316" s="67">
        <v>11.1</v>
      </c>
      <c r="E316" s="51" t="s">
        <v>8</v>
      </c>
      <c r="F316" s="64" t="s">
        <v>21</v>
      </c>
      <c r="G316" s="42">
        <v>1000</v>
      </c>
      <c r="H316" s="40">
        <f t="shared" si="4"/>
        <v>1.11E-2</v>
      </c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</row>
    <row r="317" spans="1:28" ht="15.5" hidden="1">
      <c r="A317" s="67">
        <v>5373</v>
      </c>
      <c r="B317" s="67" t="s">
        <v>281</v>
      </c>
      <c r="C317" s="37">
        <f ca="1">SUMIF('Finished Recipe'!H:R,'مسحوبات المواد الخام'!A317,'Finished Recipe'!R:R)</f>
        <v>0</v>
      </c>
      <c r="D317" s="70">
        <v>5.8033807035317189</v>
      </c>
      <c r="E317" s="51" t="s">
        <v>8</v>
      </c>
      <c r="F317" s="64" t="s">
        <v>21</v>
      </c>
      <c r="G317" s="42">
        <v>1000</v>
      </c>
      <c r="H317" s="40">
        <f t="shared" si="4"/>
        <v>5.8033807035317185E-3</v>
      </c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</row>
    <row r="318" spans="1:28" ht="15.5" hidden="1">
      <c r="A318" s="67">
        <v>5375</v>
      </c>
      <c r="B318" s="67" t="s">
        <v>329</v>
      </c>
      <c r="C318" s="37">
        <f ca="1">SUMIF('Finished Recipe'!H:R,'مسحوبات المواد الخام'!A318,'Finished Recipe'!R:R)</f>
        <v>0</v>
      </c>
      <c r="D318" s="70">
        <v>7</v>
      </c>
      <c r="E318" s="51" t="s">
        <v>8</v>
      </c>
      <c r="F318" s="64" t="s">
        <v>21</v>
      </c>
      <c r="G318" s="42">
        <v>1000</v>
      </c>
      <c r="H318" s="40">
        <f t="shared" si="4"/>
        <v>7.0000000000000001E-3</v>
      </c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</row>
    <row r="319" spans="1:28" ht="15.5" hidden="1">
      <c r="A319" s="67">
        <v>5392</v>
      </c>
      <c r="B319" s="67" t="s">
        <v>286</v>
      </c>
      <c r="C319" s="37">
        <f ca="1">SUMIF('Finished Recipe'!H:R,'مسحوبات المواد الخام'!A319,'Finished Recipe'!R:R)</f>
        <v>0</v>
      </c>
      <c r="D319" s="71">
        <v>11.32909090909091</v>
      </c>
      <c r="E319" s="51" t="s">
        <v>8</v>
      </c>
      <c r="F319" s="64" t="s">
        <v>21</v>
      </c>
      <c r="G319" s="42">
        <v>1000</v>
      </c>
      <c r="H319" s="40">
        <f t="shared" si="4"/>
        <v>1.132909090909091E-2</v>
      </c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</row>
    <row r="320" spans="1:28" ht="15.5" hidden="1">
      <c r="A320" s="67">
        <v>5393</v>
      </c>
      <c r="B320" s="67" t="s">
        <v>287</v>
      </c>
      <c r="C320" s="37">
        <f ca="1">SUMIF('Finished Recipe'!H:R,'مسحوبات المواد الخام'!A320,'Finished Recipe'!R:R)</f>
        <v>0</v>
      </c>
      <c r="D320" s="70">
        <v>11.18608695652174</v>
      </c>
      <c r="E320" s="51" t="s">
        <v>8</v>
      </c>
      <c r="F320" s="64" t="s">
        <v>21</v>
      </c>
      <c r="G320" s="42">
        <v>1000</v>
      </c>
      <c r="H320" s="40">
        <f t="shared" si="4"/>
        <v>1.118608695652174E-2</v>
      </c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</row>
    <row r="321" spans="1:28" ht="15.5" hidden="1">
      <c r="A321" s="67">
        <v>5394</v>
      </c>
      <c r="B321" s="72" t="s">
        <v>288</v>
      </c>
      <c r="C321" s="37">
        <f ca="1">SUMIF('Finished Recipe'!H:R,'مسحوبات المواد الخام'!A321,'Finished Recipe'!R:R)</f>
        <v>0</v>
      </c>
      <c r="D321" s="69">
        <v>11.20575</v>
      </c>
      <c r="E321" s="51" t="s">
        <v>8</v>
      </c>
      <c r="F321" s="64" t="s">
        <v>21</v>
      </c>
      <c r="G321" s="42">
        <v>1000</v>
      </c>
      <c r="H321" s="40">
        <f t="shared" si="4"/>
        <v>1.120575E-2</v>
      </c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</row>
    <row r="322" spans="1:28" ht="15.5" hidden="1">
      <c r="A322" s="67">
        <v>5395</v>
      </c>
      <c r="B322" s="72" t="s">
        <v>296</v>
      </c>
      <c r="C322" s="37">
        <f ca="1">SUMIF('Finished Recipe'!H:R,'مسحوبات المواد الخام'!A322,'Finished Recipe'!R:R)</f>
        <v>0</v>
      </c>
      <c r="D322" s="69">
        <v>9</v>
      </c>
      <c r="E322" s="51" t="s">
        <v>8</v>
      </c>
      <c r="F322" s="64" t="s">
        <v>21</v>
      </c>
      <c r="G322" s="42">
        <v>1000</v>
      </c>
      <c r="H322" s="40">
        <f t="shared" si="4"/>
        <v>8.9999999999999993E-3</v>
      </c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</row>
    <row r="323" spans="1:28" ht="15.5" hidden="1">
      <c r="A323" s="67">
        <v>5396</v>
      </c>
      <c r="B323" s="67" t="s">
        <v>297</v>
      </c>
      <c r="C323" s="37">
        <f ca="1">SUMIF('Finished Recipe'!H:R,'مسحوبات المواد الخام'!A323,'Finished Recipe'!R:R)</f>
        <v>0</v>
      </c>
      <c r="D323" s="70">
        <v>10</v>
      </c>
      <c r="E323" s="51" t="s">
        <v>8</v>
      </c>
      <c r="F323" s="64" t="s">
        <v>21</v>
      </c>
      <c r="G323" s="42">
        <v>1000</v>
      </c>
      <c r="H323" s="40">
        <f t="shared" ref="H323:H386" si="5">D323/G323</f>
        <v>0.01</v>
      </c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</row>
    <row r="324" spans="1:28" ht="15.5" hidden="1">
      <c r="A324" s="67">
        <v>5397</v>
      </c>
      <c r="B324" s="67" t="s">
        <v>298</v>
      </c>
      <c r="C324" s="37">
        <f ca="1">SUMIF('Finished Recipe'!H:R,'مسحوبات المواد الخام'!A324,'Finished Recipe'!R:R)</f>
        <v>0</v>
      </c>
      <c r="D324" s="67">
        <v>7</v>
      </c>
      <c r="E324" s="51" t="s">
        <v>8</v>
      </c>
      <c r="F324" s="64" t="s">
        <v>21</v>
      </c>
      <c r="G324" s="42">
        <v>1000</v>
      </c>
      <c r="H324" s="40">
        <f t="shared" si="5"/>
        <v>7.0000000000000001E-3</v>
      </c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</row>
    <row r="325" spans="1:28" ht="15.5" hidden="1">
      <c r="A325" s="67">
        <v>5398</v>
      </c>
      <c r="B325" s="68" t="s">
        <v>299</v>
      </c>
      <c r="C325" s="37">
        <f ca="1">SUMIF('Finished Recipe'!H:R,'مسحوبات المواد الخام'!A325,'Finished Recipe'!R:R)</f>
        <v>0</v>
      </c>
      <c r="D325" s="51">
        <v>11</v>
      </c>
      <c r="E325" s="51" t="s">
        <v>8</v>
      </c>
      <c r="F325" s="64" t="s">
        <v>21</v>
      </c>
      <c r="G325" s="42">
        <v>1000</v>
      </c>
      <c r="H325" s="40">
        <f t="shared" si="5"/>
        <v>1.0999999999999999E-2</v>
      </c>
      <c r="I325" s="35"/>
      <c r="J325" s="35"/>
      <c r="K325" s="43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</row>
    <row r="326" spans="1:28" ht="15.5" hidden="1">
      <c r="A326" s="67">
        <v>5399</v>
      </c>
      <c r="B326" s="67" t="s">
        <v>300</v>
      </c>
      <c r="C326" s="37">
        <f ca="1">SUMIF('Finished Recipe'!H:R,'مسحوبات المواد الخام'!A326,'Finished Recipe'!R:R)</f>
        <v>0</v>
      </c>
      <c r="D326" s="67">
        <v>10</v>
      </c>
      <c r="E326" s="51" t="s">
        <v>8</v>
      </c>
      <c r="F326" s="64" t="s">
        <v>21</v>
      </c>
      <c r="G326" s="42">
        <v>1000</v>
      </c>
      <c r="H326" s="40">
        <f t="shared" si="5"/>
        <v>0.01</v>
      </c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</row>
    <row r="327" spans="1:28" ht="15.5" hidden="1">
      <c r="A327" s="67">
        <v>5400</v>
      </c>
      <c r="B327" s="67" t="s">
        <v>301</v>
      </c>
      <c r="C327" s="37">
        <f ca="1">SUMIF('Finished Recipe'!H:R,'مسحوبات المواد الخام'!A327,'Finished Recipe'!R:R)</f>
        <v>0</v>
      </c>
      <c r="D327" s="67">
        <v>9</v>
      </c>
      <c r="E327" s="51" t="s">
        <v>8</v>
      </c>
      <c r="F327" s="64" t="s">
        <v>21</v>
      </c>
      <c r="G327" s="42">
        <v>1000</v>
      </c>
      <c r="H327" s="40">
        <f t="shared" si="5"/>
        <v>8.9999999999999993E-3</v>
      </c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</row>
    <row r="328" spans="1:28" ht="15.5" hidden="1">
      <c r="A328" s="67">
        <v>5401</v>
      </c>
      <c r="B328" s="67" t="s">
        <v>1943</v>
      </c>
      <c r="C328" s="37">
        <f ca="1">SUMIF('Finished Recipe'!H:R,'مسحوبات المواد الخام'!A328,'Finished Recipe'!R:R)</f>
        <v>0</v>
      </c>
      <c r="D328" s="67">
        <v>11</v>
      </c>
      <c r="E328" s="51" t="s">
        <v>8</v>
      </c>
      <c r="F328" s="64" t="s">
        <v>21</v>
      </c>
      <c r="G328" s="42">
        <v>1000</v>
      </c>
      <c r="H328" s="40">
        <f t="shared" si="5"/>
        <v>1.0999999999999999E-2</v>
      </c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</row>
    <row r="329" spans="1:28" ht="15.5" hidden="1">
      <c r="A329" s="67">
        <v>5403</v>
      </c>
      <c r="B329" s="67" t="s">
        <v>333</v>
      </c>
      <c r="C329" s="37">
        <f ca="1">SUMIF('Finished Recipe'!H:R,'مسحوبات المواد الخام'!A329,'Finished Recipe'!R:R)</f>
        <v>0</v>
      </c>
      <c r="D329" s="67">
        <v>9.5</v>
      </c>
      <c r="E329" s="51" t="s">
        <v>8</v>
      </c>
      <c r="F329" s="64" t="s">
        <v>21</v>
      </c>
      <c r="G329" s="42">
        <v>1000</v>
      </c>
      <c r="H329" s="40">
        <f t="shared" si="5"/>
        <v>9.4999999999999998E-3</v>
      </c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</row>
    <row r="330" spans="1:28" ht="15.5" hidden="1">
      <c r="A330" s="67">
        <v>5405</v>
      </c>
      <c r="B330" s="67" t="s">
        <v>306</v>
      </c>
      <c r="C330" s="37">
        <f ca="1">SUMIF('Finished Recipe'!H:R,'مسحوبات المواد الخام'!A330,'Finished Recipe'!R:R)</f>
        <v>0</v>
      </c>
      <c r="D330" s="67">
        <v>3.5</v>
      </c>
      <c r="E330" s="51" t="s">
        <v>8</v>
      </c>
      <c r="F330" s="64" t="s">
        <v>21</v>
      </c>
      <c r="G330" s="42">
        <v>1000</v>
      </c>
      <c r="H330" s="40">
        <f t="shared" si="5"/>
        <v>3.5000000000000001E-3</v>
      </c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</row>
    <row r="331" spans="1:28" ht="14" hidden="1">
      <c r="A331" s="68">
        <v>5407</v>
      </c>
      <c r="B331" s="51" t="s">
        <v>479</v>
      </c>
      <c r="C331" s="37">
        <f ca="1">SUMIF('Finished Recipe'!H:R,'مسحوبات المواد الخام'!A331,'Finished Recipe'!R:R)</f>
        <v>0</v>
      </c>
      <c r="D331" s="69">
        <v>2.5</v>
      </c>
      <c r="E331" s="51" t="s">
        <v>8</v>
      </c>
      <c r="F331" s="64" t="s">
        <v>21</v>
      </c>
      <c r="G331" s="42">
        <v>1000</v>
      </c>
      <c r="H331" s="40">
        <f t="shared" si="5"/>
        <v>2.5000000000000001E-3</v>
      </c>
      <c r="I331" s="35"/>
      <c r="J331" s="35"/>
      <c r="K331" s="43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</row>
    <row r="332" spans="1:28" ht="15.5" hidden="1">
      <c r="A332" s="67">
        <v>5429</v>
      </c>
      <c r="B332" s="67" t="s">
        <v>350</v>
      </c>
      <c r="C332" s="37">
        <f ca="1">SUMIF('Finished Recipe'!H:R,'مسحوبات المواد الخام'!A332,'Finished Recipe'!R:R)</f>
        <v>0</v>
      </c>
      <c r="D332" s="51">
        <v>7.5</v>
      </c>
      <c r="E332" s="51" t="s">
        <v>8</v>
      </c>
      <c r="F332" s="64" t="s">
        <v>21</v>
      </c>
      <c r="G332" s="42">
        <v>1000</v>
      </c>
      <c r="H332" s="40">
        <f t="shared" si="5"/>
        <v>7.4999999999999997E-3</v>
      </c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</row>
    <row r="333" spans="1:28" ht="15.5" hidden="1">
      <c r="A333" s="67">
        <v>5430</v>
      </c>
      <c r="B333" s="67" t="s">
        <v>371</v>
      </c>
      <c r="C333" s="37">
        <f ca="1">SUMIF('Finished Recipe'!H:R,'مسحوبات المواد الخام'!A333,'Finished Recipe'!R:R)</f>
        <v>0</v>
      </c>
      <c r="D333" s="51">
        <v>1.5</v>
      </c>
      <c r="E333" s="51" t="s">
        <v>8</v>
      </c>
      <c r="F333" s="64" t="s">
        <v>21</v>
      </c>
      <c r="G333" s="42">
        <v>1000</v>
      </c>
      <c r="H333" s="40">
        <f t="shared" si="5"/>
        <v>1.5E-3</v>
      </c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</row>
    <row r="334" spans="1:28" ht="14" hidden="1">
      <c r="A334" s="68">
        <v>5431</v>
      </c>
      <c r="B334" s="51" t="s">
        <v>372</v>
      </c>
      <c r="C334" s="37">
        <f ca="1">SUMIF('Finished Recipe'!H:R,'مسحوبات المواد الخام'!A334,'Finished Recipe'!R:R)</f>
        <v>0</v>
      </c>
      <c r="D334" s="69">
        <v>11.055000000000001</v>
      </c>
      <c r="E334" s="51" t="s">
        <v>8</v>
      </c>
      <c r="F334" s="64" t="s">
        <v>21</v>
      </c>
      <c r="G334" s="42">
        <v>1000</v>
      </c>
      <c r="H334" s="40">
        <f t="shared" si="5"/>
        <v>1.1055000000000002E-2</v>
      </c>
      <c r="I334" s="35"/>
      <c r="J334" s="35"/>
      <c r="K334" s="43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</row>
    <row r="335" spans="1:28" ht="15.5" hidden="1">
      <c r="A335" s="67">
        <v>5432</v>
      </c>
      <c r="B335" s="67" t="s">
        <v>374</v>
      </c>
      <c r="C335" s="37">
        <f ca="1">SUMIF('Finished Recipe'!H:R,'مسحوبات المواد الخام'!A335,'Finished Recipe'!R:R)</f>
        <v>0</v>
      </c>
      <c r="D335" s="67">
        <v>5.8239999999999998</v>
      </c>
      <c r="E335" s="51" t="s">
        <v>8</v>
      </c>
      <c r="F335" s="64" t="s">
        <v>21</v>
      </c>
      <c r="G335" s="42">
        <v>1000</v>
      </c>
      <c r="H335" s="40">
        <f t="shared" si="5"/>
        <v>5.8240000000000002E-3</v>
      </c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</row>
    <row r="336" spans="1:28" ht="14" hidden="1">
      <c r="A336" s="68">
        <v>5433</v>
      </c>
      <c r="B336" s="51" t="s">
        <v>376</v>
      </c>
      <c r="C336" s="37">
        <f ca="1">SUMIF('Finished Recipe'!H:R,'مسحوبات المواد الخام'!A336,'Finished Recipe'!R:R)</f>
        <v>0</v>
      </c>
      <c r="D336" s="51">
        <v>9.25</v>
      </c>
      <c r="E336" s="51" t="s">
        <v>8</v>
      </c>
      <c r="F336" s="64" t="s">
        <v>21</v>
      </c>
      <c r="G336" s="42">
        <v>1000</v>
      </c>
      <c r="H336" s="40">
        <f t="shared" si="5"/>
        <v>9.2499999999999995E-3</v>
      </c>
      <c r="I336" s="35"/>
      <c r="J336" s="35"/>
      <c r="K336" s="43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</row>
    <row r="337" spans="1:28" ht="14" hidden="1">
      <c r="A337" s="68">
        <v>5434</v>
      </c>
      <c r="B337" s="51" t="s">
        <v>377</v>
      </c>
      <c r="C337" s="37">
        <f ca="1">SUMIF('Finished Recipe'!H:R,'مسحوبات المواد الخام'!A337,'Finished Recipe'!R:R)</f>
        <v>0</v>
      </c>
      <c r="D337" s="51">
        <v>9.25</v>
      </c>
      <c r="E337" s="51" t="s">
        <v>8</v>
      </c>
      <c r="F337" s="64" t="s">
        <v>21</v>
      </c>
      <c r="G337" s="42">
        <v>1000</v>
      </c>
      <c r="H337" s="40">
        <f t="shared" si="5"/>
        <v>9.2499999999999995E-3</v>
      </c>
      <c r="I337" s="35"/>
      <c r="J337" s="35"/>
      <c r="K337" s="43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</row>
    <row r="338" spans="1:28" ht="15.5" hidden="1">
      <c r="A338" s="67">
        <v>5435</v>
      </c>
      <c r="B338" s="67" t="s">
        <v>379</v>
      </c>
      <c r="C338" s="37">
        <f ca="1">SUMIF('Finished Recipe'!H:R,'مسحوبات المواد الخام'!A338,'Finished Recipe'!R:R)</f>
        <v>0</v>
      </c>
      <c r="D338" s="51">
        <v>9.5</v>
      </c>
      <c r="E338" s="51" t="s">
        <v>8</v>
      </c>
      <c r="F338" s="64" t="s">
        <v>21</v>
      </c>
      <c r="G338" s="42">
        <v>1000</v>
      </c>
      <c r="H338" s="40">
        <f t="shared" si="5"/>
        <v>9.4999999999999998E-3</v>
      </c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</row>
    <row r="339" spans="1:28" ht="15.5" hidden="1">
      <c r="A339" s="67">
        <v>5436</v>
      </c>
      <c r="B339" s="67" t="s">
        <v>380</v>
      </c>
      <c r="C339" s="37">
        <f ca="1">SUMIF('Finished Recipe'!H:R,'مسحوبات المواد الخام'!A339,'Finished Recipe'!R:R)</f>
        <v>0</v>
      </c>
      <c r="D339" s="67">
        <v>19.767999999999997</v>
      </c>
      <c r="E339" s="51" t="s">
        <v>8</v>
      </c>
      <c r="F339" s="64" t="s">
        <v>21</v>
      </c>
      <c r="G339" s="42">
        <v>1000</v>
      </c>
      <c r="H339" s="40">
        <f t="shared" si="5"/>
        <v>1.9767999999999997E-2</v>
      </c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</row>
    <row r="340" spans="1:28" ht="14" hidden="1">
      <c r="A340" s="68">
        <v>5437</v>
      </c>
      <c r="B340" s="51" t="s">
        <v>382</v>
      </c>
      <c r="C340" s="37">
        <f ca="1">SUMIF('Finished Recipe'!H:R,'مسحوبات المواد الخام'!A340,'Finished Recipe'!R:R)</f>
        <v>0</v>
      </c>
      <c r="D340" s="69">
        <v>1</v>
      </c>
      <c r="E340" s="51" t="s">
        <v>8</v>
      </c>
      <c r="F340" s="64" t="s">
        <v>21</v>
      </c>
      <c r="G340" s="42">
        <v>1000</v>
      </c>
      <c r="H340" s="40">
        <f t="shared" si="5"/>
        <v>1E-3</v>
      </c>
      <c r="I340" s="35"/>
      <c r="J340" s="35"/>
      <c r="K340" s="43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</row>
    <row r="341" spans="1:28" ht="15.5" hidden="1">
      <c r="A341" s="68">
        <v>5438</v>
      </c>
      <c r="B341" s="51" t="s">
        <v>384</v>
      </c>
      <c r="C341" s="37">
        <f ca="1">SUMIF('Finished Recipe'!H:R,'مسحوبات المواد الخام'!A341,'Finished Recipe'!R:R)</f>
        <v>0</v>
      </c>
      <c r="D341" s="67">
        <v>5.8239999999999998</v>
      </c>
      <c r="E341" s="51" t="s">
        <v>8</v>
      </c>
      <c r="F341" s="64" t="s">
        <v>21</v>
      </c>
      <c r="G341" s="42">
        <v>1000</v>
      </c>
      <c r="H341" s="40">
        <f t="shared" si="5"/>
        <v>5.8240000000000002E-3</v>
      </c>
      <c r="I341" s="35"/>
      <c r="J341" s="35"/>
      <c r="K341" s="43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</row>
    <row r="342" spans="1:28" ht="15.5" hidden="1">
      <c r="A342" s="67">
        <v>5439</v>
      </c>
      <c r="B342" s="67" t="s">
        <v>385</v>
      </c>
      <c r="C342" s="37">
        <f ca="1">SUMIF('Finished Recipe'!H:R,'مسحوبات المواد الخام'!A342,'Finished Recipe'!R:R)</f>
        <v>0</v>
      </c>
      <c r="D342" s="67">
        <v>9.5</v>
      </c>
      <c r="E342" s="51" t="s">
        <v>8</v>
      </c>
      <c r="F342" s="64" t="s">
        <v>21</v>
      </c>
      <c r="G342" s="42">
        <v>1000</v>
      </c>
      <c r="H342" s="40">
        <f t="shared" si="5"/>
        <v>9.4999999999999998E-3</v>
      </c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</row>
    <row r="343" spans="1:28" ht="15.5" hidden="1">
      <c r="A343" s="67">
        <v>5440</v>
      </c>
      <c r="B343" s="67" t="s">
        <v>387</v>
      </c>
      <c r="C343" s="37">
        <f ca="1">SUMIF('Finished Recipe'!H:R,'مسحوبات المواد الخام'!A343,'Finished Recipe'!R:R)</f>
        <v>0</v>
      </c>
      <c r="D343" s="67">
        <v>4.2433333333333341</v>
      </c>
      <c r="E343" s="51" t="s">
        <v>8</v>
      </c>
      <c r="F343" s="64" t="s">
        <v>21</v>
      </c>
      <c r="G343" s="42">
        <v>1000</v>
      </c>
      <c r="H343" s="40">
        <f t="shared" si="5"/>
        <v>4.2433333333333342E-3</v>
      </c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</row>
    <row r="344" spans="1:28" ht="15.5" hidden="1">
      <c r="A344" s="67">
        <v>5441</v>
      </c>
      <c r="B344" s="67" t="s">
        <v>388</v>
      </c>
      <c r="C344" s="37">
        <f ca="1">SUMIF('Finished Recipe'!H:R,'مسحوبات المواد الخام'!A344,'Finished Recipe'!R:R)</f>
        <v>0</v>
      </c>
      <c r="D344" s="67">
        <v>17.738250000000001</v>
      </c>
      <c r="E344" s="51" t="s">
        <v>8</v>
      </c>
      <c r="F344" s="64" t="s">
        <v>21</v>
      </c>
      <c r="G344" s="42">
        <v>1000</v>
      </c>
      <c r="H344" s="40">
        <f t="shared" si="5"/>
        <v>1.7738250000000001E-2</v>
      </c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</row>
    <row r="345" spans="1:28" ht="15.5" hidden="1">
      <c r="A345" s="67">
        <v>5442</v>
      </c>
      <c r="B345" s="51" t="s">
        <v>389</v>
      </c>
      <c r="C345" s="37">
        <f ca="1">SUMIF('Finished Recipe'!H:R,'مسحوبات المواد الخام'!A345,'Finished Recipe'!R:R)</f>
        <v>0</v>
      </c>
      <c r="D345" s="51">
        <v>11.055000000000001</v>
      </c>
      <c r="E345" s="51" t="s">
        <v>8</v>
      </c>
      <c r="F345" s="64" t="s">
        <v>21</v>
      </c>
      <c r="G345" s="42">
        <v>1000</v>
      </c>
      <c r="H345" s="40">
        <f t="shared" si="5"/>
        <v>1.1055000000000002E-2</v>
      </c>
      <c r="I345" s="35"/>
      <c r="J345" s="35"/>
      <c r="K345" s="43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</row>
    <row r="346" spans="1:28" ht="15.5" hidden="1">
      <c r="A346" s="67">
        <v>5443</v>
      </c>
      <c r="B346" s="67" t="s">
        <v>390</v>
      </c>
      <c r="C346" s="37">
        <f ca="1">SUMIF('Finished Recipe'!H:R,'مسحوبات المواد الخام'!A346,'Finished Recipe'!R:R)</f>
        <v>0</v>
      </c>
      <c r="D346" s="51">
        <v>0</v>
      </c>
      <c r="E346" s="51" t="s">
        <v>8</v>
      </c>
      <c r="F346" s="64" t="s">
        <v>21</v>
      </c>
      <c r="G346" s="42">
        <v>1000</v>
      </c>
      <c r="H346" s="40">
        <f t="shared" si="5"/>
        <v>0</v>
      </c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</row>
    <row r="347" spans="1:28" ht="15.5" hidden="1">
      <c r="A347" s="67">
        <v>5446</v>
      </c>
      <c r="B347" s="67" t="s">
        <v>1938</v>
      </c>
      <c r="C347" s="37">
        <f ca="1">SUMIF('Finished Recipe'!H:R,'مسحوبات المواد الخام'!A347,'Finished Recipe'!R:R)</f>
        <v>0</v>
      </c>
      <c r="D347" s="51">
        <v>11.380050000000001</v>
      </c>
      <c r="E347" s="51" t="s">
        <v>8</v>
      </c>
      <c r="F347" s="64" t="s">
        <v>21</v>
      </c>
      <c r="G347" s="42">
        <v>1000</v>
      </c>
      <c r="H347" s="40">
        <f t="shared" si="5"/>
        <v>1.1380050000000001E-2</v>
      </c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</row>
    <row r="348" spans="1:28" ht="15.5" hidden="1">
      <c r="A348" s="67">
        <v>1221</v>
      </c>
      <c r="B348" s="67" t="s">
        <v>364</v>
      </c>
      <c r="C348" s="37">
        <f ca="1">SUMIF('Finished Recipe'!H:R,'مسحوبات المواد الخام'!A348,'Finished Recipe'!R:R)</f>
        <v>0</v>
      </c>
      <c r="D348" s="51">
        <v>0</v>
      </c>
      <c r="E348" s="51" t="s">
        <v>8</v>
      </c>
      <c r="F348" s="64" t="s">
        <v>23</v>
      </c>
      <c r="G348" s="42">
        <v>1000</v>
      </c>
      <c r="H348" s="40">
        <f t="shared" si="5"/>
        <v>0</v>
      </c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</row>
    <row r="349" spans="1:28" ht="15.5" hidden="1">
      <c r="A349" s="67">
        <v>4018</v>
      </c>
      <c r="B349" s="67" t="s">
        <v>239</v>
      </c>
      <c r="C349" s="37">
        <f ca="1">SUMIF('Finished Recipe'!H:R,'مسحوبات المواد الخام'!A349,'Finished Recipe'!R:R)</f>
        <v>0</v>
      </c>
      <c r="D349" s="51">
        <v>0.77600000000000002</v>
      </c>
      <c r="E349" s="51" t="s">
        <v>15</v>
      </c>
      <c r="F349" s="64" t="s">
        <v>23</v>
      </c>
      <c r="G349" s="42">
        <v>1000</v>
      </c>
      <c r="H349" s="40">
        <f t="shared" si="5"/>
        <v>7.76E-4</v>
      </c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</row>
    <row r="350" spans="1:28" ht="15.5" hidden="1">
      <c r="A350" s="67">
        <v>4020</v>
      </c>
      <c r="B350" s="67" t="s">
        <v>81</v>
      </c>
      <c r="C350" s="37">
        <f ca="1">SUMIF('Finished Recipe'!H:R,'مسحوبات المواد الخام'!A350,'Finished Recipe'!R:R)</f>
        <v>0</v>
      </c>
      <c r="D350" s="51">
        <v>2.15</v>
      </c>
      <c r="E350" s="51" t="s">
        <v>8</v>
      </c>
      <c r="F350" s="64" t="s">
        <v>23</v>
      </c>
      <c r="G350" s="42">
        <v>453</v>
      </c>
      <c r="H350" s="40">
        <f t="shared" si="5"/>
        <v>4.7461368653421631E-3</v>
      </c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</row>
    <row r="351" spans="1:28" ht="15.5" hidden="1">
      <c r="A351" s="67">
        <v>4032</v>
      </c>
      <c r="B351" s="67" t="s">
        <v>262</v>
      </c>
      <c r="C351" s="37">
        <f ca="1">SUMIF('Finished Recipe'!H:R,'مسحوبات المواد الخام'!A351,'Finished Recipe'!R:R)</f>
        <v>0</v>
      </c>
      <c r="D351" s="51">
        <v>0.51100000000000001</v>
      </c>
      <c r="E351" s="51" t="s">
        <v>8</v>
      </c>
      <c r="F351" s="64" t="s">
        <v>23</v>
      </c>
      <c r="G351" s="42">
        <v>400</v>
      </c>
      <c r="H351" s="40">
        <f t="shared" si="5"/>
        <v>1.2775E-3</v>
      </c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</row>
    <row r="352" spans="1:28" ht="15.5" hidden="1">
      <c r="A352" s="67">
        <v>4059</v>
      </c>
      <c r="B352" s="67" t="s">
        <v>205</v>
      </c>
      <c r="C352" s="37">
        <f ca="1">SUMIF('Finished Recipe'!H:R,'مسحوبات المواد الخام'!A352,'Finished Recipe'!R:R)</f>
        <v>0</v>
      </c>
      <c r="D352" s="51">
        <v>2.8740000000000001</v>
      </c>
      <c r="E352" s="51" t="s">
        <v>15</v>
      </c>
      <c r="F352" s="64" t="s">
        <v>23</v>
      </c>
      <c r="G352" s="42">
        <v>600</v>
      </c>
      <c r="H352" s="40">
        <f t="shared" si="5"/>
        <v>4.79E-3</v>
      </c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</row>
    <row r="353" spans="1:28" ht="15.5" hidden="1">
      <c r="A353" s="67">
        <v>4078</v>
      </c>
      <c r="B353" s="51" t="s">
        <v>42</v>
      </c>
      <c r="C353" s="37">
        <f ca="1">SUMIF('Finished Recipe'!H:R,'مسحوبات المواد الخام'!A353,'Finished Recipe'!R:R)</f>
        <v>0</v>
      </c>
      <c r="D353" s="51">
        <v>3.1609099999999999</v>
      </c>
      <c r="E353" s="51" t="s">
        <v>8</v>
      </c>
      <c r="F353" s="64" t="s">
        <v>23</v>
      </c>
      <c r="G353" s="42">
        <v>2500</v>
      </c>
      <c r="H353" s="40">
        <f t="shared" si="5"/>
        <v>1.264364E-3</v>
      </c>
      <c r="I353" s="35"/>
      <c r="J353" s="35"/>
      <c r="K353" s="43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</row>
    <row r="354" spans="1:28" ht="15.5" hidden="1">
      <c r="A354" s="67">
        <v>4079</v>
      </c>
      <c r="B354" s="67" t="s">
        <v>71</v>
      </c>
      <c r="C354" s="37">
        <f ca="1">SUMIF('Finished Recipe'!H:R,'مسحوبات المواد الخام'!A354,'Finished Recipe'!R:R)</f>
        <v>0</v>
      </c>
      <c r="D354" s="67">
        <v>5.7471199999999998</v>
      </c>
      <c r="E354" s="51" t="s">
        <v>8</v>
      </c>
      <c r="F354" s="64" t="s">
        <v>23</v>
      </c>
      <c r="G354" s="42">
        <v>4100</v>
      </c>
      <c r="H354" s="40">
        <f t="shared" si="5"/>
        <v>1.4017365853658537E-3</v>
      </c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</row>
    <row r="355" spans="1:28" ht="15.5" hidden="1">
      <c r="A355" s="67">
        <v>4085</v>
      </c>
      <c r="B355" s="51" t="s">
        <v>79</v>
      </c>
      <c r="C355" s="37">
        <f ca="1">SUMIF('Finished Recipe'!H:R,'مسحوبات المواد الخام'!A355,'Finished Recipe'!R:R)</f>
        <v>0</v>
      </c>
      <c r="D355" s="51">
        <v>0.35919000000000001</v>
      </c>
      <c r="E355" s="51" t="s">
        <v>8</v>
      </c>
      <c r="F355" s="64" t="s">
        <v>23</v>
      </c>
      <c r="G355" s="42">
        <v>71</v>
      </c>
      <c r="H355" s="40">
        <f t="shared" si="5"/>
        <v>5.0590140845070426E-3</v>
      </c>
      <c r="I355" s="35"/>
      <c r="J355" s="35"/>
      <c r="K355" s="43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</row>
    <row r="356" spans="1:28" ht="15.5" hidden="1">
      <c r="A356" s="67">
        <v>4093</v>
      </c>
      <c r="B356" s="67" t="s">
        <v>237</v>
      </c>
      <c r="C356" s="37">
        <f ca="1">SUMIF('Finished Recipe'!H:R,'مسحوبات المواد الخام'!A356,'Finished Recipe'!R:R)</f>
        <v>0</v>
      </c>
      <c r="D356" s="67">
        <v>3.6640000000000001</v>
      </c>
      <c r="E356" s="51" t="s">
        <v>8</v>
      </c>
      <c r="F356" s="64" t="s">
        <v>23</v>
      </c>
      <c r="G356" s="42">
        <v>1000</v>
      </c>
      <c r="H356" s="40">
        <f t="shared" si="5"/>
        <v>3.6640000000000002E-3</v>
      </c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</row>
    <row r="357" spans="1:28" ht="15.5" hidden="1">
      <c r="A357" s="67">
        <v>4171</v>
      </c>
      <c r="B357" s="51" t="s">
        <v>234</v>
      </c>
      <c r="C357" s="37">
        <f ca="1">SUMIF('Finished Recipe'!H:R,'مسحوبات المواد الخام'!A357,'Finished Recipe'!R:R)</f>
        <v>0</v>
      </c>
      <c r="D357" s="51">
        <v>0.57471000000000005</v>
      </c>
      <c r="E357" s="51" t="s">
        <v>15</v>
      </c>
      <c r="F357" s="64" t="s">
        <v>23</v>
      </c>
      <c r="G357" s="42">
        <v>200</v>
      </c>
      <c r="H357" s="40">
        <f t="shared" si="5"/>
        <v>2.8735500000000003E-3</v>
      </c>
      <c r="I357" s="35"/>
      <c r="J357" s="35"/>
      <c r="K357" s="43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</row>
    <row r="358" spans="1:28" ht="15.5" hidden="1">
      <c r="A358" s="67">
        <v>4172</v>
      </c>
      <c r="B358" s="51" t="s">
        <v>248</v>
      </c>
      <c r="C358" s="37">
        <f ca="1">SUMIF('Finished Recipe'!H:R,'مسحوبات المواد الخام'!A358,'Finished Recipe'!R:R)</f>
        <v>0</v>
      </c>
      <c r="D358" s="51">
        <v>0.52083000000000002</v>
      </c>
      <c r="E358" s="51" t="s">
        <v>15</v>
      </c>
      <c r="F358" s="64" t="s">
        <v>23</v>
      </c>
      <c r="G358" s="42">
        <v>355</v>
      </c>
      <c r="H358" s="40">
        <f t="shared" si="5"/>
        <v>1.4671267605633803E-3</v>
      </c>
      <c r="I358" s="35"/>
      <c r="J358" s="35"/>
      <c r="K358" s="43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</row>
    <row r="359" spans="1:28" ht="15.5" hidden="1">
      <c r="A359" s="67">
        <v>4181</v>
      </c>
      <c r="B359" s="67" t="s">
        <v>235</v>
      </c>
      <c r="C359" s="37">
        <f ca="1">SUMIF('Finished Recipe'!H:R,'مسحوبات المواد الخام'!A359,'Finished Recipe'!R:R)</f>
        <v>0</v>
      </c>
      <c r="D359" s="67">
        <v>2.0257999999999998</v>
      </c>
      <c r="E359" s="51" t="s">
        <v>8</v>
      </c>
      <c r="F359" s="64" t="s">
        <v>23</v>
      </c>
      <c r="G359" s="42">
        <v>100</v>
      </c>
      <c r="H359" s="40">
        <f t="shared" si="5"/>
        <v>2.0257999999999998E-2</v>
      </c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</row>
    <row r="360" spans="1:28" ht="15.5" hidden="1">
      <c r="A360" s="67">
        <v>4210</v>
      </c>
      <c r="B360" s="51" t="s">
        <v>227</v>
      </c>
      <c r="C360" s="37">
        <f ca="1">SUMIF('Finished Recipe'!H:R,'مسحوبات المواد الخام'!A360,'Finished Recipe'!R:R)</f>
        <v>0</v>
      </c>
      <c r="D360" s="69">
        <v>3.4481999999999999</v>
      </c>
      <c r="E360" s="51" t="s">
        <v>8</v>
      </c>
      <c r="F360" s="64" t="s">
        <v>23</v>
      </c>
      <c r="G360" s="42">
        <v>1000</v>
      </c>
      <c r="H360" s="40">
        <f t="shared" si="5"/>
        <v>3.4481999999999998E-3</v>
      </c>
      <c r="I360" s="35"/>
      <c r="J360" s="35"/>
      <c r="K360" s="43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</row>
    <row r="361" spans="1:28" ht="15.5" hidden="1">
      <c r="A361" s="67">
        <v>4251</v>
      </c>
      <c r="B361" s="51" t="s">
        <v>129</v>
      </c>
      <c r="C361" s="37">
        <f ca="1">SUMIF('Finished Recipe'!H:R,'مسحوبات المواد الخام'!A361,'Finished Recipe'!R:R)</f>
        <v>0</v>
      </c>
      <c r="D361" s="69">
        <v>3.448</v>
      </c>
      <c r="E361" s="51" t="s">
        <v>8</v>
      </c>
      <c r="F361" s="64" t="s">
        <v>23</v>
      </c>
      <c r="G361" s="42">
        <v>1000</v>
      </c>
      <c r="H361" s="40">
        <f t="shared" si="5"/>
        <v>3.4480000000000001E-3</v>
      </c>
      <c r="I361" s="35"/>
      <c r="J361" s="35"/>
      <c r="K361" s="43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</row>
    <row r="362" spans="1:28" ht="15.5" hidden="1">
      <c r="A362" s="67">
        <v>4253</v>
      </c>
      <c r="B362" s="67" t="s">
        <v>249</v>
      </c>
      <c r="C362" s="37">
        <f ca="1">SUMIF('Finished Recipe'!H:R,'مسحوبات المواد الخام'!A362,'Finished Recipe'!R:R)</f>
        <v>0</v>
      </c>
      <c r="D362" s="67">
        <v>5.1719999999999997</v>
      </c>
      <c r="E362" s="51" t="s">
        <v>8</v>
      </c>
      <c r="F362" s="64" t="s">
        <v>23</v>
      </c>
      <c r="G362" s="42">
        <v>1000</v>
      </c>
      <c r="H362" s="40">
        <f t="shared" si="5"/>
        <v>5.1719999999999995E-3</v>
      </c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</row>
    <row r="363" spans="1:28" ht="15.5" hidden="1">
      <c r="A363" s="67">
        <v>4255</v>
      </c>
      <c r="B363" s="67" t="s">
        <v>260</v>
      </c>
      <c r="C363" s="37">
        <f ca="1">SUMIF('Finished Recipe'!H:R,'مسحوبات المواد الخام'!A363,'Finished Recipe'!R:R)</f>
        <v>0</v>
      </c>
      <c r="D363" s="51">
        <v>6</v>
      </c>
      <c r="E363" s="51" t="s">
        <v>8</v>
      </c>
      <c r="F363" s="64" t="s">
        <v>23</v>
      </c>
      <c r="G363" s="42">
        <v>1000</v>
      </c>
      <c r="H363" s="40">
        <f t="shared" si="5"/>
        <v>6.0000000000000001E-3</v>
      </c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</row>
    <row r="364" spans="1:28" ht="15.5" hidden="1">
      <c r="A364" s="67">
        <v>4572</v>
      </c>
      <c r="B364" s="67" t="s">
        <v>82</v>
      </c>
      <c r="C364" s="37">
        <f ca="1">SUMIF('Finished Recipe'!H:R,'مسحوبات المواد الخام'!A364,'Finished Recipe'!R:R)</f>
        <v>0</v>
      </c>
      <c r="D364" s="67">
        <v>16.809999999999999</v>
      </c>
      <c r="E364" s="51" t="s">
        <v>8</v>
      </c>
      <c r="F364" s="64" t="s">
        <v>23</v>
      </c>
      <c r="G364" s="42">
        <v>5000</v>
      </c>
      <c r="H364" s="40">
        <f t="shared" si="5"/>
        <v>3.3619999999999995E-3</v>
      </c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</row>
    <row r="365" spans="1:28" ht="15.5" hidden="1">
      <c r="A365" s="67">
        <v>4784</v>
      </c>
      <c r="B365" s="67" t="s">
        <v>215</v>
      </c>
      <c r="C365" s="37">
        <f ca="1">SUMIF('Finished Recipe'!H:R,'مسحوبات المواد الخام'!A365,'Finished Recipe'!R:R)</f>
        <v>0</v>
      </c>
      <c r="D365" s="67">
        <v>0.83799999999999997</v>
      </c>
      <c r="E365" s="51" t="s">
        <v>8</v>
      </c>
      <c r="F365" s="64" t="s">
        <v>23</v>
      </c>
      <c r="G365" s="42">
        <v>1000</v>
      </c>
      <c r="H365" s="40">
        <f t="shared" si="5"/>
        <v>8.3799999999999999E-4</v>
      </c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</row>
    <row r="366" spans="1:28" ht="15.5" hidden="1">
      <c r="A366" s="67">
        <v>4797</v>
      </c>
      <c r="B366" s="67" t="s">
        <v>250</v>
      </c>
      <c r="C366" s="37">
        <f ca="1">SUMIF('Finished Recipe'!H:R,'مسحوبات المواد الخام'!A366,'Finished Recipe'!R:R)</f>
        <v>0</v>
      </c>
      <c r="D366" s="67">
        <v>9.4830000000000005</v>
      </c>
      <c r="E366" s="51" t="s">
        <v>8</v>
      </c>
      <c r="F366" s="64" t="s">
        <v>23</v>
      </c>
      <c r="G366" s="42">
        <v>500</v>
      </c>
      <c r="H366" s="40">
        <f t="shared" si="5"/>
        <v>1.8966E-2</v>
      </c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</row>
    <row r="367" spans="1:28" ht="15.5" hidden="1">
      <c r="A367" s="67">
        <v>4805</v>
      </c>
      <c r="B367" s="67" t="s">
        <v>83</v>
      </c>
      <c r="C367" s="37">
        <f ca="1">SUMIF('Finished Recipe'!H:R,'مسحوبات المواد الخام'!A367,'Finished Recipe'!R:R)</f>
        <v>0</v>
      </c>
      <c r="D367" s="67">
        <v>5.6029999999999998</v>
      </c>
      <c r="E367" s="51" t="s">
        <v>8</v>
      </c>
      <c r="F367" s="64" t="s">
        <v>23</v>
      </c>
      <c r="G367" s="42">
        <v>190</v>
      </c>
      <c r="H367" s="40">
        <f t="shared" si="5"/>
        <v>2.9489473684210524E-2</v>
      </c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</row>
    <row r="368" spans="1:28" ht="15.5" hidden="1">
      <c r="A368" s="67">
        <v>4880</v>
      </c>
      <c r="B368" s="67" t="s">
        <v>266</v>
      </c>
      <c r="C368" s="37">
        <f ca="1">SUMIF('Finished Recipe'!H:R,'مسحوبات المواد الخام'!A368,'Finished Recipe'!R:R)</f>
        <v>0</v>
      </c>
      <c r="D368" s="51">
        <v>6.0350000000000001</v>
      </c>
      <c r="E368" s="51" t="s">
        <v>15</v>
      </c>
      <c r="F368" s="64" t="s">
        <v>23</v>
      </c>
      <c r="G368" s="42">
        <v>3780</v>
      </c>
      <c r="H368" s="40">
        <f t="shared" si="5"/>
        <v>1.5965608465608465E-3</v>
      </c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</row>
    <row r="369" spans="1:28" ht="15.5" hidden="1">
      <c r="A369" s="67">
        <v>4937</v>
      </c>
      <c r="B369" s="67" t="s">
        <v>258</v>
      </c>
      <c r="C369" s="37">
        <f ca="1">SUMIF('Finished Recipe'!H:R,'مسحوبات المواد الخام'!A369,'Finished Recipe'!R:R)</f>
        <v>0</v>
      </c>
      <c r="D369" s="51">
        <v>1</v>
      </c>
      <c r="E369" s="51" t="s">
        <v>8</v>
      </c>
      <c r="F369" s="64" t="s">
        <v>23</v>
      </c>
      <c r="G369" s="42">
        <v>38</v>
      </c>
      <c r="H369" s="40">
        <f t="shared" si="5"/>
        <v>2.6315789473684209E-2</v>
      </c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</row>
    <row r="370" spans="1:28" ht="15.5" hidden="1">
      <c r="A370" s="67">
        <v>5035</v>
      </c>
      <c r="B370" s="67" t="s">
        <v>267</v>
      </c>
      <c r="C370" s="37">
        <f ca="1">SUMIF('Finished Recipe'!H:R,'مسحوبات المواد الخام'!A370,'Finished Recipe'!R:R)</f>
        <v>0</v>
      </c>
      <c r="D370" s="67">
        <v>0.14000000000000001</v>
      </c>
      <c r="E370" s="51" t="s">
        <v>11</v>
      </c>
      <c r="F370" s="64" t="s">
        <v>23</v>
      </c>
      <c r="G370" s="42">
        <v>1</v>
      </c>
      <c r="H370" s="40">
        <f t="shared" si="5"/>
        <v>0.14000000000000001</v>
      </c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</row>
    <row r="371" spans="1:28" ht="15.5" hidden="1">
      <c r="A371" s="67">
        <v>5306</v>
      </c>
      <c r="B371" s="67" t="s">
        <v>440</v>
      </c>
      <c r="C371" s="37">
        <f ca="1">SUMIF('Finished Recipe'!H:R,'مسحوبات المواد الخام'!A371,'Finished Recipe'!R:R)</f>
        <v>0</v>
      </c>
      <c r="D371" s="51">
        <v>0.158</v>
      </c>
      <c r="E371" s="51" t="s">
        <v>11</v>
      </c>
      <c r="F371" s="64" t="s">
        <v>23</v>
      </c>
      <c r="G371" s="42">
        <v>1</v>
      </c>
      <c r="H371" s="40">
        <f t="shared" si="5"/>
        <v>0.158</v>
      </c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</row>
    <row r="372" spans="1:28" ht="15.5" hidden="1">
      <c r="A372" s="67">
        <v>5307</v>
      </c>
      <c r="B372" s="67" t="s">
        <v>441</v>
      </c>
      <c r="C372" s="37">
        <f ca="1">SUMIF('Finished Recipe'!H:R,'مسحوبات المواد الخام'!A372,'Finished Recipe'!R:R)</f>
        <v>0</v>
      </c>
      <c r="D372" s="67">
        <v>0.158</v>
      </c>
      <c r="E372" s="51" t="s">
        <v>11</v>
      </c>
      <c r="F372" s="64" t="s">
        <v>23</v>
      </c>
      <c r="G372" s="42">
        <v>1</v>
      </c>
      <c r="H372" s="40">
        <f t="shared" si="5"/>
        <v>0.158</v>
      </c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</row>
    <row r="373" spans="1:28" ht="15.5" hidden="1">
      <c r="A373" s="67">
        <v>5308</v>
      </c>
      <c r="B373" s="67" t="s">
        <v>442</v>
      </c>
      <c r="C373" s="37">
        <f ca="1">SUMIF('Finished Recipe'!H:R,'مسحوبات المواد الخام'!A373,'Finished Recipe'!R:R)</f>
        <v>0</v>
      </c>
      <c r="D373" s="67">
        <v>0.158</v>
      </c>
      <c r="E373" s="51" t="s">
        <v>11</v>
      </c>
      <c r="F373" s="64" t="s">
        <v>23</v>
      </c>
      <c r="G373" s="42">
        <v>1</v>
      </c>
      <c r="H373" s="40">
        <f t="shared" si="5"/>
        <v>0.158</v>
      </c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</row>
    <row r="374" spans="1:28" ht="15.5" hidden="1">
      <c r="A374" s="67">
        <v>5309</v>
      </c>
      <c r="B374" s="67" t="s">
        <v>443</v>
      </c>
      <c r="C374" s="37">
        <f ca="1">SUMIF('Finished Recipe'!H:R,'مسحوبات المواد الخام'!A374,'Finished Recipe'!R:R)</f>
        <v>0</v>
      </c>
      <c r="D374" s="67">
        <v>0.158</v>
      </c>
      <c r="E374" s="51" t="s">
        <v>11</v>
      </c>
      <c r="F374" s="64" t="s">
        <v>23</v>
      </c>
      <c r="G374" s="42">
        <v>1</v>
      </c>
      <c r="H374" s="40">
        <f t="shared" si="5"/>
        <v>0.158</v>
      </c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</row>
    <row r="375" spans="1:28" ht="15.5" hidden="1">
      <c r="A375" s="67">
        <v>5377</v>
      </c>
      <c r="B375" s="67" t="s">
        <v>316</v>
      </c>
      <c r="C375" s="37">
        <f ca="1">SUMIF('Finished Recipe'!H:R,'مسحوبات المواد الخام'!A375,'Finished Recipe'!R:R)</f>
        <v>0</v>
      </c>
      <c r="D375" s="67">
        <v>1.8</v>
      </c>
      <c r="E375" s="51" t="s">
        <v>8</v>
      </c>
      <c r="F375" s="64" t="s">
        <v>23</v>
      </c>
      <c r="G375" s="42">
        <v>1000</v>
      </c>
      <c r="H375" s="40">
        <f t="shared" si="5"/>
        <v>1.8E-3</v>
      </c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</row>
    <row r="376" spans="1:28" ht="15.5" hidden="1">
      <c r="A376" s="67">
        <v>5444</v>
      </c>
      <c r="B376" s="67" t="s">
        <v>391</v>
      </c>
      <c r="C376" s="37">
        <f ca="1">SUMIF('Finished Recipe'!H:R,'مسحوبات المواد الخام'!A376,'Finished Recipe'!R:R)</f>
        <v>0</v>
      </c>
      <c r="D376" s="67">
        <v>1.1499999999999999</v>
      </c>
      <c r="E376" s="51" t="s">
        <v>8</v>
      </c>
      <c r="F376" s="64" t="s">
        <v>23</v>
      </c>
      <c r="G376" s="42">
        <v>400</v>
      </c>
      <c r="H376" s="40">
        <f t="shared" si="5"/>
        <v>2.875E-3</v>
      </c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</row>
    <row r="377" spans="1:28" ht="15.5" hidden="1">
      <c r="A377" s="67">
        <v>5445</v>
      </c>
      <c r="B377" s="67" t="s">
        <v>398</v>
      </c>
      <c r="C377" s="37">
        <f ca="1">SUMIF('Finished Recipe'!H:R,'مسحوبات المواد الخام'!A377,'Finished Recipe'!R:R)</f>
        <v>0</v>
      </c>
      <c r="D377" s="67">
        <v>2.7</v>
      </c>
      <c r="E377" s="51" t="s">
        <v>8</v>
      </c>
      <c r="F377" s="64" t="s">
        <v>23</v>
      </c>
      <c r="G377" s="42">
        <v>800</v>
      </c>
      <c r="H377" s="40">
        <f t="shared" si="5"/>
        <v>3.3750000000000004E-3</v>
      </c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</row>
    <row r="378" spans="1:28" ht="15.5" hidden="1">
      <c r="A378" s="67">
        <v>5254</v>
      </c>
      <c r="B378" s="67" t="s">
        <v>411</v>
      </c>
      <c r="C378" s="37">
        <f ca="1">SUMIF('Finished Recipe'!H:R,'مسحوبات المواد الخام'!A378,'Finished Recipe'!R:R)</f>
        <v>0</v>
      </c>
      <c r="D378" s="67">
        <v>10.345000000000001</v>
      </c>
      <c r="E378" s="51" t="s">
        <v>8</v>
      </c>
      <c r="F378" s="64"/>
      <c r="G378" s="42">
        <v>1000</v>
      </c>
      <c r="H378" s="40">
        <f t="shared" si="5"/>
        <v>1.0345E-2</v>
      </c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</row>
    <row r="379" spans="1:28" ht="15.5" hidden="1">
      <c r="A379" s="67">
        <v>5255</v>
      </c>
      <c r="B379" s="51" t="s">
        <v>412</v>
      </c>
      <c r="C379" s="37">
        <f ca="1">SUMIF('Finished Recipe'!H:R,'مسحوبات المواد الخام'!A379,'Finished Recipe'!R:R)</f>
        <v>0</v>
      </c>
      <c r="D379" s="51">
        <v>25</v>
      </c>
      <c r="E379" s="51" t="s">
        <v>15</v>
      </c>
      <c r="F379" s="64"/>
      <c r="G379" s="42">
        <v>18000</v>
      </c>
      <c r="H379" s="40">
        <f t="shared" si="5"/>
        <v>1.3888888888888889E-3</v>
      </c>
      <c r="I379" s="35"/>
      <c r="J379" s="35"/>
      <c r="K379" s="43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</row>
    <row r="380" spans="1:28" ht="15.5" hidden="1">
      <c r="A380" s="67">
        <v>5257</v>
      </c>
      <c r="B380" s="51" t="s">
        <v>413</v>
      </c>
      <c r="C380" s="37">
        <f ca="1">SUMIF('Finished Recipe'!H:R,'مسحوبات المواد الخام'!A380,'Finished Recipe'!R:R)</f>
        <v>0</v>
      </c>
      <c r="D380" s="69">
        <v>5.1719999999999997</v>
      </c>
      <c r="E380" s="51" t="s">
        <v>8</v>
      </c>
      <c r="F380" s="64"/>
      <c r="G380" s="42">
        <v>1000</v>
      </c>
      <c r="H380" s="40">
        <f t="shared" si="5"/>
        <v>5.1719999999999995E-3</v>
      </c>
      <c r="I380" s="35"/>
      <c r="J380" s="35"/>
      <c r="K380" s="43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</row>
    <row r="381" spans="1:28" ht="15.5" hidden="1">
      <c r="A381" s="67">
        <v>5260</v>
      </c>
      <c r="B381" s="51" t="s">
        <v>414</v>
      </c>
      <c r="C381" s="37">
        <f ca="1">SUMIF('Finished Recipe'!H:R,'مسحوبات المواد الخام'!A381,'Finished Recipe'!R:R)</f>
        <v>0</v>
      </c>
      <c r="D381" s="69">
        <v>7</v>
      </c>
      <c r="E381" s="51" t="s">
        <v>8</v>
      </c>
      <c r="F381" s="64"/>
      <c r="G381" s="42">
        <v>1000</v>
      </c>
      <c r="H381" s="40">
        <f t="shared" si="5"/>
        <v>7.0000000000000001E-3</v>
      </c>
      <c r="I381" s="35"/>
      <c r="J381" s="35"/>
      <c r="K381" s="43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</row>
    <row r="382" spans="1:28" ht="15.5" hidden="1">
      <c r="A382" s="67">
        <v>5264</v>
      </c>
      <c r="B382" s="51" t="s">
        <v>415</v>
      </c>
      <c r="C382" s="37">
        <f ca="1">SUMIF('Finished Recipe'!H:R,'مسحوبات المواد الخام'!A382,'Finished Recipe'!R:R)</f>
        <v>0</v>
      </c>
      <c r="D382" s="69">
        <v>4.55</v>
      </c>
      <c r="E382" s="51" t="s">
        <v>11</v>
      </c>
      <c r="F382" s="64"/>
      <c r="G382" s="42">
        <v>1</v>
      </c>
      <c r="H382" s="40">
        <f t="shared" si="5"/>
        <v>4.55</v>
      </c>
      <c r="I382" s="35"/>
      <c r="J382" s="35"/>
      <c r="K382" s="43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</row>
    <row r="383" spans="1:28" ht="15.5" hidden="1">
      <c r="A383" s="67">
        <v>5269</v>
      </c>
      <c r="B383" s="51" t="s">
        <v>416</v>
      </c>
      <c r="C383" s="37">
        <f ca="1">SUMIF('Finished Recipe'!H:R,'مسحوبات المواد الخام'!A383,'Finished Recipe'!R:R)</f>
        <v>0</v>
      </c>
      <c r="D383" s="69">
        <v>0.45</v>
      </c>
      <c r="E383" s="51" t="s">
        <v>11</v>
      </c>
      <c r="F383" s="64"/>
      <c r="G383" s="42">
        <v>1</v>
      </c>
      <c r="H383" s="40">
        <f t="shared" si="5"/>
        <v>0.45</v>
      </c>
      <c r="I383" s="35"/>
      <c r="J383" s="35"/>
      <c r="K383" s="43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</row>
    <row r="384" spans="1:28" ht="15.5" hidden="1">
      <c r="A384" s="67">
        <v>5270</v>
      </c>
      <c r="B384" s="51" t="s">
        <v>417</v>
      </c>
      <c r="C384" s="37">
        <f ca="1">SUMIF('Finished Recipe'!H:R,'مسحوبات المواد الخام'!A384,'Finished Recipe'!R:R)</f>
        <v>0</v>
      </c>
      <c r="D384" s="69">
        <v>0.5</v>
      </c>
      <c r="E384" s="51" t="s">
        <v>11</v>
      </c>
      <c r="F384" s="64"/>
      <c r="G384" s="42">
        <v>1</v>
      </c>
      <c r="H384" s="40">
        <f t="shared" si="5"/>
        <v>0.5</v>
      </c>
      <c r="I384" s="35"/>
      <c r="J384" s="35"/>
      <c r="K384" s="43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</row>
    <row r="385" spans="1:28" ht="15.5" hidden="1">
      <c r="A385" s="67">
        <v>5276</v>
      </c>
      <c r="B385" s="51" t="s">
        <v>418</v>
      </c>
      <c r="C385" s="37">
        <f ca="1">SUMIF('Finished Recipe'!H:R,'مسحوبات المواد الخام'!A385,'Finished Recipe'!R:R)</f>
        <v>0</v>
      </c>
      <c r="D385" s="69">
        <v>2.75</v>
      </c>
      <c r="E385" s="51" t="s">
        <v>8</v>
      </c>
      <c r="F385" s="64"/>
      <c r="G385" s="42">
        <v>1000</v>
      </c>
      <c r="H385" s="40">
        <f t="shared" si="5"/>
        <v>2.7499999999999998E-3</v>
      </c>
      <c r="I385" s="35"/>
      <c r="J385" s="35"/>
      <c r="K385" s="43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</row>
    <row r="386" spans="1:28" ht="15.5" hidden="1">
      <c r="A386" s="67">
        <v>5277</v>
      </c>
      <c r="B386" s="51" t="s">
        <v>419</v>
      </c>
      <c r="C386" s="37">
        <f ca="1">SUMIF('Finished Recipe'!H:R,'مسحوبات المواد الخام'!A386,'Finished Recipe'!R:R)</f>
        <v>0</v>
      </c>
      <c r="D386" s="69">
        <v>1.65</v>
      </c>
      <c r="E386" s="51" t="s">
        <v>8</v>
      </c>
      <c r="F386" s="64"/>
      <c r="G386" s="42">
        <v>1000</v>
      </c>
      <c r="H386" s="40">
        <f t="shared" si="5"/>
        <v>1.65E-3</v>
      </c>
      <c r="I386" s="35"/>
      <c r="J386" s="35"/>
      <c r="K386" s="43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</row>
    <row r="387" spans="1:28" ht="15.5" hidden="1">
      <c r="A387" s="67">
        <v>5278</v>
      </c>
      <c r="B387" s="51" t="s">
        <v>420</v>
      </c>
      <c r="C387" s="37">
        <f ca="1">SUMIF('Finished Recipe'!H:R,'مسحوبات المواد الخام'!A387,'Finished Recipe'!R:R)</f>
        <v>0</v>
      </c>
      <c r="D387" s="69">
        <v>2.3E-2</v>
      </c>
      <c r="E387" s="51" t="s">
        <v>11</v>
      </c>
      <c r="F387" s="64"/>
      <c r="G387" s="42">
        <v>1</v>
      </c>
      <c r="H387" s="40">
        <f t="shared" ref="H387:H442" si="6">D387/G387</f>
        <v>2.3E-2</v>
      </c>
      <c r="I387" s="35"/>
      <c r="J387" s="35"/>
      <c r="K387" s="43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</row>
    <row r="388" spans="1:28" ht="15.5" hidden="1">
      <c r="A388" s="67">
        <v>5279</v>
      </c>
      <c r="B388" s="51" t="s">
        <v>421</v>
      </c>
      <c r="C388" s="37">
        <f ca="1">SUMIF('Finished Recipe'!H:R,'مسحوبات المواد الخام'!A388,'Finished Recipe'!R:R)</f>
        <v>0</v>
      </c>
      <c r="D388" s="69">
        <v>1.65</v>
      </c>
      <c r="E388" s="51" t="s">
        <v>8</v>
      </c>
      <c r="F388" s="64"/>
      <c r="G388" s="42">
        <v>1000</v>
      </c>
      <c r="H388" s="40">
        <f t="shared" si="6"/>
        <v>1.65E-3</v>
      </c>
      <c r="I388" s="35"/>
      <c r="J388" s="35"/>
      <c r="K388" s="43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</row>
    <row r="389" spans="1:28" ht="15.5" hidden="1">
      <c r="A389" s="67">
        <v>5280</v>
      </c>
      <c r="B389" s="51" t="s">
        <v>422</v>
      </c>
      <c r="C389" s="37">
        <f ca="1">SUMIF('Finished Recipe'!H:R,'مسحوبات المواد الخام'!A389,'Finished Recipe'!R:R)</f>
        <v>0</v>
      </c>
      <c r="D389" s="51">
        <v>2.5000000000000001E-2</v>
      </c>
      <c r="E389" s="51" t="s">
        <v>11</v>
      </c>
      <c r="F389" s="64"/>
      <c r="G389" s="42">
        <v>1</v>
      </c>
      <c r="H389" s="40">
        <f t="shared" si="6"/>
        <v>2.5000000000000001E-2</v>
      </c>
      <c r="I389" s="35"/>
      <c r="J389" s="35"/>
      <c r="K389" s="43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</row>
    <row r="390" spans="1:28" ht="15.5" hidden="1">
      <c r="A390" s="67">
        <v>5282</v>
      </c>
      <c r="B390" s="51" t="s">
        <v>424</v>
      </c>
      <c r="C390" s="37">
        <f ca="1">SUMIF('Finished Recipe'!H:R,'مسحوبات المواد الخام'!A390,'Finished Recipe'!R:R)</f>
        <v>0</v>
      </c>
      <c r="D390" s="69">
        <v>0.9</v>
      </c>
      <c r="E390" s="51" t="s">
        <v>8</v>
      </c>
      <c r="F390" s="64"/>
      <c r="G390" s="42">
        <v>1000</v>
      </c>
      <c r="H390" s="40">
        <f t="shared" si="6"/>
        <v>8.9999999999999998E-4</v>
      </c>
      <c r="I390" s="35"/>
      <c r="J390" s="35"/>
      <c r="K390" s="43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</row>
    <row r="391" spans="1:28" ht="15.5" hidden="1">
      <c r="A391" s="67">
        <v>5283</v>
      </c>
      <c r="B391" s="51" t="s">
        <v>425</v>
      </c>
      <c r="C391" s="37">
        <f ca="1">SUMIF('Finished Recipe'!H:R,'مسحوبات المواد الخام'!A391,'Finished Recipe'!R:R)</f>
        <v>0</v>
      </c>
      <c r="D391" s="69">
        <v>0.65</v>
      </c>
      <c r="E391" s="51" t="s">
        <v>8</v>
      </c>
      <c r="F391" s="64"/>
      <c r="G391" s="42">
        <v>1000</v>
      </c>
      <c r="H391" s="40">
        <f t="shared" si="6"/>
        <v>6.4999999999999997E-4</v>
      </c>
      <c r="I391" s="35"/>
      <c r="J391" s="35"/>
      <c r="K391" s="43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</row>
    <row r="392" spans="1:28" ht="15.5" hidden="1">
      <c r="A392" s="67">
        <v>5284</v>
      </c>
      <c r="B392" s="51" t="s">
        <v>426</v>
      </c>
      <c r="C392" s="37">
        <f ca="1">SUMIF('Finished Recipe'!H:R,'مسحوبات المواد الخام'!A392,'Finished Recipe'!R:R)</f>
        <v>0</v>
      </c>
      <c r="D392" s="69">
        <v>4</v>
      </c>
      <c r="E392" s="51" t="s">
        <v>8</v>
      </c>
      <c r="F392" s="64"/>
      <c r="G392" s="42">
        <v>1000</v>
      </c>
      <c r="H392" s="40">
        <f t="shared" si="6"/>
        <v>4.0000000000000001E-3</v>
      </c>
      <c r="I392" s="35"/>
      <c r="J392" s="35"/>
      <c r="K392" s="43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</row>
    <row r="393" spans="1:28" ht="15.5" hidden="1">
      <c r="A393" s="67">
        <v>5287</v>
      </c>
      <c r="B393" s="51" t="s">
        <v>427</v>
      </c>
      <c r="C393" s="37">
        <f ca="1">SUMIF('Finished Recipe'!H:R,'مسحوبات المواد الخام'!A393,'Finished Recipe'!R:R)</f>
        <v>0</v>
      </c>
      <c r="D393" s="51">
        <v>6.2370000000000001</v>
      </c>
      <c r="E393" s="51" t="s">
        <v>8</v>
      </c>
      <c r="F393" s="64"/>
      <c r="G393" s="42">
        <v>1000</v>
      </c>
      <c r="H393" s="40">
        <f t="shared" si="6"/>
        <v>6.2370000000000004E-3</v>
      </c>
      <c r="I393" s="35"/>
      <c r="J393" s="35"/>
      <c r="K393" s="43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</row>
    <row r="394" spans="1:28" ht="15.5" hidden="1">
      <c r="A394" s="67">
        <v>5291</v>
      </c>
      <c r="B394" s="51" t="s">
        <v>430</v>
      </c>
      <c r="C394" s="37">
        <f ca="1">SUMIF('Finished Recipe'!H:R,'مسحوبات المواد الخام'!A394,'Finished Recipe'!R:R)</f>
        <v>0</v>
      </c>
      <c r="D394" s="51">
        <v>2.2559999999999998</v>
      </c>
      <c r="E394" s="51" t="s">
        <v>8</v>
      </c>
      <c r="F394" s="64"/>
      <c r="G394" s="42">
        <v>1000</v>
      </c>
      <c r="H394" s="40">
        <f t="shared" si="6"/>
        <v>2.2559999999999998E-3</v>
      </c>
      <c r="I394" s="35"/>
      <c r="J394" s="35"/>
      <c r="K394" s="43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</row>
    <row r="395" spans="1:28" ht="15.5" hidden="1">
      <c r="A395" s="67">
        <v>5292</v>
      </c>
      <c r="B395" s="51" t="s">
        <v>431</v>
      </c>
      <c r="C395" s="37">
        <f ca="1">SUMIF('Finished Recipe'!H:R,'مسحوبات المواد الخام'!A395,'Finished Recipe'!R:R)</f>
        <v>0</v>
      </c>
      <c r="D395" s="69">
        <v>4.085</v>
      </c>
      <c r="E395" s="51" t="s">
        <v>8</v>
      </c>
      <c r="F395" s="64"/>
      <c r="G395" s="42">
        <v>1000</v>
      </c>
      <c r="H395" s="40">
        <f t="shared" si="6"/>
        <v>4.0850000000000001E-3</v>
      </c>
      <c r="I395" s="35"/>
      <c r="J395" s="35"/>
      <c r="K395" s="43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</row>
    <row r="396" spans="1:28" ht="15.5" hidden="1">
      <c r="A396" s="67">
        <v>5293</v>
      </c>
      <c r="B396" s="51" t="s">
        <v>432</v>
      </c>
      <c r="C396" s="37">
        <f ca="1">SUMIF('Finished Recipe'!H:R,'مسحوبات المواد الخام'!A396,'Finished Recipe'!R:R)</f>
        <v>0</v>
      </c>
      <c r="D396" s="51">
        <v>0.68</v>
      </c>
      <c r="E396" s="51" t="s">
        <v>8</v>
      </c>
      <c r="F396" s="64"/>
      <c r="G396" s="42">
        <v>1000</v>
      </c>
      <c r="H396" s="40">
        <f t="shared" si="6"/>
        <v>6.8000000000000005E-4</v>
      </c>
      <c r="I396" s="35"/>
      <c r="J396" s="35"/>
      <c r="K396" s="43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</row>
    <row r="397" spans="1:28" ht="15.5" hidden="1">
      <c r="A397" s="67">
        <v>5294</v>
      </c>
      <c r="B397" s="51" t="s">
        <v>433</v>
      </c>
      <c r="C397" s="37">
        <f ca="1">SUMIF('Finished Recipe'!H:R,'مسحوبات المواد الخام'!A397,'Finished Recipe'!R:R)</f>
        <v>0</v>
      </c>
      <c r="D397" s="51">
        <v>1.724</v>
      </c>
      <c r="E397" s="51" t="s">
        <v>11</v>
      </c>
      <c r="F397" s="64"/>
      <c r="G397" s="42">
        <v>1</v>
      </c>
      <c r="H397" s="40">
        <f t="shared" si="6"/>
        <v>1.724</v>
      </c>
      <c r="I397" s="35"/>
      <c r="J397" s="35"/>
      <c r="K397" s="43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</row>
    <row r="398" spans="1:28" ht="15.5" hidden="1">
      <c r="A398" s="67">
        <v>5295</v>
      </c>
      <c r="B398" s="51" t="s">
        <v>434</v>
      </c>
      <c r="C398" s="37">
        <f ca="1">SUMIF('Finished Recipe'!H:R,'مسحوبات المواد الخام'!A398,'Finished Recipe'!R:R)</f>
        <v>0</v>
      </c>
      <c r="D398" s="69">
        <v>1.5089999999999999</v>
      </c>
      <c r="E398" s="51" t="s">
        <v>11</v>
      </c>
      <c r="F398" s="64"/>
      <c r="G398" s="42">
        <v>1</v>
      </c>
      <c r="H398" s="40">
        <f t="shared" si="6"/>
        <v>1.5089999999999999</v>
      </c>
      <c r="I398" s="35"/>
      <c r="J398" s="35"/>
      <c r="K398" s="43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</row>
    <row r="399" spans="1:28" ht="15.5" hidden="1">
      <c r="A399" s="67">
        <v>5298</v>
      </c>
      <c r="B399" s="51" t="s">
        <v>435</v>
      </c>
      <c r="C399" s="37">
        <f ca="1">SUMIF('Finished Recipe'!H:R,'مسحوبات المواد الخام'!A399,'Finished Recipe'!R:R)</f>
        <v>0</v>
      </c>
      <c r="D399" s="69">
        <v>7</v>
      </c>
      <c r="E399" s="51" t="s">
        <v>8</v>
      </c>
      <c r="F399" s="64"/>
      <c r="G399" s="42">
        <v>1000</v>
      </c>
      <c r="H399" s="40">
        <f t="shared" si="6"/>
        <v>7.0000000000000001E-3</v>
      </c>
      <c r="I399" s="35"/>
      <c r="J399" s="35"/>
      <c r="K399" s="43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</row>
    <row r="400" spans="1:28" ht="15.5" hidden="1">
      <c r="A400" s="67">
        <v>5299</v>
      </c>
      <c r="B400" s="51" t="s">
        <v>436</v>
      </c>
      <c r="C400" s="37">
        <f ca="1">SUMIF('Finished Recipe'!H:R,'مسحوبات المواد الخام'!A400,'Finished Recipe'!R:R)</f>
        <v>0</v>
      </c>
      <c r="D400" s="69">
        <v>5.2999999999999999E-2</v>
      </c>
      <c r="E400" s="51" t="s">
        <v>11</v>
      </c>
      <c r="F400" s="64"/>
      <c r="G400" s="42">
        <v>1</v>
      </c>
      <c r="H400" s="40">
        <f t="shared" si="6"/>
        <v>5.2999999999999999E-2</v>
      </c>
      <c r="I400" s="35"/>
      <c r="J400" s="35"/>
      <c r="K400" s="43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</row>
    <row r="401" spans="1:28" ht="15.5" hidden="1">
      <c r="A401" s="67">
        <v>5302</v>
      </c>
      <c r="B401" s="51" t="s">
        <v>437</v>
      </c>
      <c r="C401" s="37">
        <f ca="1">SUMIF('Finished Recipe'!H:R,'مسحوبات المواد الخام'!A401,'Finished Recipe'!R:R)</f>
        <v>0</v>
      </c>
      <c r="D401" s="69">
        <v>5.5E-2</v>
      </c>
      <c r="E401" s="51" t="s">
        <v>11</v>
      </c>
      <c r="F401" s="64"/>
      <c r="G401" s="42">
        <v>1</v>
      </c>
      <c r="H401" s="40">
        <f t="shared" si="6"/>
        <v>5.5E-2</v>
      </c>
      <c r="I401" s="35"/>
      <c r="J401" s="35"/>
      <c r="K401" s="43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</row>
    <row r="402" spans="1:28" ht="15.5" hidden="1">
      <c r="A402" s="67">
        <v>5303</v>
      </c>
      <c r="B402" s="51" t="s">
        <v>438</v>
      </c>
      <c r="C402" s="37">
        <f ca="1">SUMIF('Finished Recipe'!H:R,'مسحوبات المواد الخام'!A402,'Finished Recipe'!R:R)</f>
        <v>0</v>
      </c>
      <c r="D402" s="69">
        <v>13</v>
      </c>
      <c r="E402" s="51" t="s">
        <v>8</v>
      </c>
      <c r="F402" s="64"/>
      <c r="G402" s="42">
        <v>1000</v>
      </c>
      <c r="H402" s="40">
        <f t="shared" si="6"/>
        <v>1.2999999999999999E-2</v>
      </c>
      <c r="I402" s="35"/>
      <c r="J402" s="35"/>
      <c r="K402" s="43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</row>
    <row r="403" spans="1:28" ht="15.5" hidden="1">
      <c r="A403" s="67">
        <v>5305</v>
      </c>
      <c r="B403" s="51" t="s">
        <v>439</v>
      </c>
      <c r="C403" s="37">
        <f ca="1">SUMIF('Finished Recipe'!H:R,'مسحوبات المواد الخام'!A403,'Finished Recipe'!R:R)</f>
        <v>0</v>
      </c>
      <c r="D403" s="69">
        <v>5.6029999999999998</v>
      </c>
      <c r="E403" s="51" t="s">
        <v>11</v>
      </c>
      <c r="F403" s="64"/>
      <c r="G403" s="42">
        <v>1</v>
      </c>
      <c r="H403" s="40">
        <f t="shared" si="6"/>
        <v>5.6029999999999998</v>
      </c>
      <c r="I403" s="35"/>
      <c r="J403" s="35"/>
      <c r="K403" s="43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</row>
    <row r="404" spans="1:28" ht="15.5" hidden="1">
      <c r="A404" s="67">
        <v>5313</v>
      </c>
      <c r="B404" s="51" t="s">
        <v>444</v>
      </c>
      <c r="C404" s="37">
        <f ca="1">SUMIF('Finished Recipe'!H:R,'مسحوبات المواد الخام'!A404,'Finished Recipe'!R:R)</f>
        <v>0</v>
      </c>
      <c r="D404" s="69">
        <v>0</v>
      </c>
      <c r="E404" s="51" t="s">
        <v>8</v>
      </c>
      <c r="F404" s="64"/>
      <c r="G404" s="42">
        <v>1000</v>
      </c>
      <c r="H404" s="40">
        <f t="shared" si="6"/>
        <v>0</v>
      </c>
      <c r="I404" s="35"/>
      <c r="J404" s="35"/>
      <c r="K404" s="43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</row>
    <row r="405" spans="1:28" ht="15.5" hidden="1">
      <c r="A405" s="67">
        <v>5314</v>
      </c>
      <c r="B405" s="51" t="s">
        <v>445</v>
      </c>
      <c r="C405" s="37">
        <f ca="1">SUMIF('Finished Recipe'!H:R,'مسحوبات المواد الخام'!A405,'Finished Recipe'!R:R)</f>
        <v>0</v>
      </c>
      <c r="D405" s="69">
        <v>0</v>
      </c>
      <c r="E405" s="51" t="s">
        <v>8</v>
      </c>
      <c r="F405" s="64"/>
      <c r="G405" s="42">
        <v>1000</v>
      </c>
      <c r="H405" s="40">
        <f t="shared" si="6"/>
        <v>0</v>
      </c>
      <c r="I405" s="35"/>
      <c r="J405" s="35"/>
      <c r="K405" s="43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</row>
    <row r="406" spans="1:28" ht="15.5" hidden="1">
      <c r="A406" s="67">
        <v>5316</v>
      </c>
      <c r="B406" s="51" t="s">
        <v>446</v>
      </c>
      <c r="C406" s="37">
        <f ca="1">SUMIF('Finished Recipe'!H:R,'مسحوبات المواد الخام'!A406,'Finished Recipe'!R:R)</f>
        <v>0</v>
      </c>
      <c r="D406" s="69">
        <v>0</v>
      </c>
      <c r="E406" s="51" t="s">
        <v>8</v>
      </c>
      <c r="F406" s="64"/>
      <c r="G406" s="42">
        <v>1000</v>
      </c>
      <c r="H406" s="40">
        <f t="shared" si="6"/>
        <v>0</v>
      </c>
      <c r="I406" s="35"/>
      <c r="J406" s="35"/>
      <c r="K406" s="43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</row>
    <row r="407" spans="1:28" ht="15.5" hidden="1">
      <c r="A407" s="67">
        <v>5320</v>
      </c>
      <c r="B407" s="51" t="s">
        <v>447</v>
      </c>
      <c r="C407" s="37">
        <f ca="1">SUMIF('Finished Recipe'!H:R,'مسحوبات المواد الخام'!A407,'Finished Recipe'!R:R)</f>
        <v>0</v>
      </c>
      <c r="D407" s="69"/>
      <c r="E407" s="51" t="s">
        <v>8</v>
      </c>
      <c r="F407" s="64"/>
      <c r="G407" s="42">
        <v>1000</v>
      </c>
      <c r="H407" s="40">
        <f t="shared" si="6"/>
        <v>0</v>
      </c>
      <c r="I407" s="35"/>
      <c r="J407" s="35"/>
      <c r="K407" s="43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</row>
    <row r="408" spans="1:28" ht="15.5" hidden="1">
      <c r="A408" s="67">
        <v>5321</v>
      </c>
      <c r="B408" s="51" t="s">
        <v>448</v>
      </c>
      <c r="C408" s="37">
        <f ca="1">SUMIF('Finished Recipe'!H:R,'مسحوبات المواد الخام'!A408,'Finished Recipe'!R:R)</f>
        <v>0</v>
      </c>
      <c r="D408" s="69">
        <v>6.25</v>
      </c>
      <c r="E408" s="51" t="s">
        <v>8</v>
      </c>
      <c r="F408" s="64"/>
      <c r="G408" s="42">
        <v>1000</v>
      </c>
      <c r="H408" s="40">
        <f t="shared" si="6"/>
        <v>6.2500000000000003E-3</v>
      </c>
      <c r="I408" s="35"/>
      <c r="J408" s="35"/>
      <c r="K408" s="43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</row>
    <row r="409" spans="1:28" ht="15.5" hidden="1">
      <c r="A409" s="67">
        <v>5327</v>
      </c>
      <c r="B409" s="51" t="s">
        <v>449</v>
      </c>
      <c r="C409" s="37">
        <f ca="1">SUMIF('Finished Recipe'!H:R,'مسحوبات المواد الخام'!A409,'Finished Recipe'!R:R)</f>
        <v>0</v>
      </c>
      <c r="D409" s="51">
        <v>4</v>
      </c>
      <c r="E409" s="51" t="s">
        <v>8</v>
      </c>
      <c r="F409" s="64"/>
      <c r="G409" s="42">
        <v>1000</v>
      </c>
      <c r="H409" s="40">
        <f t="shared" si="6"/>
        <v>4.0000000000000001E-3</v>
      </c>
      <c r="I409" s="35"/>
      <c r="J409" s="35"/>
      <c r="K409" s="43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</row>
    <row r="410" spans="1:28" ht="15.5" hidden="1">
      <c r="A410" s="67">
        <v>5329</v>
      </c>
      <c r="B410" s="51" t="s">
        <v>450</v>
      </c>
      <c r="C410" s="37">
        <f ca="1">SUMIF('Finished Recipe'!H:R,'مسحوبات المواد الخام'!A410,'Finished Recipe'!R:R)</f>
        <v>0</v>
      </c>
      <c r="D410" s="69">
        <v>1.65</v>
      </c>
      <c r="E410" s="51" t="s">
        <v>11</v>
      </c>
      <c r="F410" s="64"/>
      <c r="G410" s="42">
        <v>1</v>
      </c>
      <c r="H410" s="40">
        <f t="shared" si="6"/>
        <v>1.65</v>
      </c>
      <c r="I410" s="35"/>
      <c r="J410" s="35"/>
      <c r="K410" s="43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</row>
    <row r="411" spans="1:28" ht="15.5" hidden="1">
      <c r="A411" s="67">
        <v>5330</v>
      </c>
      <c r="B411" s="67" t="s">
        <v>451</v>
      </c>
      <c r="C411" s="37">
        <f ca="1">SUMIF('Finished Recipe'!H:R,'مسحوبات المواد الخام'!A411,'Finished Recipe'!R:R)</f>
        <v>0</v>
      </c>
      <c r="D411" s="67">
        <v>7.8E-2</v>
      </c>
      <c r="E411" s="51" t="s">
        <v>11</v>
      </c>
      <c r="F411" s="64"/>
      <c r="G411" s="42">
        <v>1</v>
      </c>
      <c r="H411" s="40">
        <f t="shared" si="6"/>
        <v>7.8E-2</v>
      </c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</row>
    <row r="412" spans="1:28" ht="15.5" hidden="1">
      <c r="A412" s="67">
        <v>5332</v>
      </c>
      <c r="B412" s="67" t="s">
        <v>452</v>
      </c>
      <c r="C412" s="37">
        <f ca="1">SUMIF('Finished Recipe'!H:R,'مسحوبات المواد الخام'!A412,'Finished Recipe'!R:R)</f>
        <v>0</v>
      </c>
      <c r="D412" s="67"/>
      <c r="E412" s="51" t="s">
        <v>8</v>
      </c>
      <c r="F412" s="64"/>
      <c r="G412" s="42">
        <v>1000</v>
      </c>
      <c r="H412" s="40">
        <f t="shared" si="6"/>
        <v>0</v>
      </c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</row>
    <row r="413" spans="1:28" ht="15.5" hidden="1">
      <c r="A413" s="67">
        <v>5333</v>
      </c>
      <c r="B413" s="67" t="s">
        <v>453</v>
      </c>
      <c r="C413" s="37">
        <f ca="1">SUMIF('Finished Recipe'!H:R,'مسحوبات المواد الخام'!A413,'Finished Recipe'!R:R)</f>
        <v>0</v>
      </c>
      <c r="D413" s="51"/>
      <c r="E413" s="51" t="s">
        <v>8</v>
      </c>
      <c r="F413" s="64"/>
      <c r="G413" s="42">
        <v>1000</v>
      </c>
      <c r="H413" s="40">
        <f t="shared" si="6"/>
        <v>0</v>
      </c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</row>
    <row r="414" spans="1:28" ht="15.5" hidden="1">
      <c r="A414" s="67">
        <v>5334</v>
      </c>
      <c r="B414" s="51" t="s">
        <v>454</v>
      </c>
      <c r="C414" s="37">
        <f ca="1">SUMIF('Finished Recipe'!H:R,'مسحوبات المواد الخام'!A414,'Finished Recipe'!R:R)</f>
        <v>0</v>
      </c>
      <c r="D414" s="69"/>
      <c r="E414" s="51" t="s">
        <v>8</v>
      </c>
      <c r="F414" s="64"/>
      <c r="G414" s="42">
        <v>1000</v>
      </c>
      <c r="H414" s="40">
        <f t="shared" si="6"/>
        <v>0</v>
      </c>
      <c r="I414" s="35"/>
      <c r="J414" s="35"/>
      <c r="K414" s="43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</row>
    <row r="415" spans="1:28" ht="15.5" hidden="1">
      <c r="A415" s="67">
        <v>5335</v>
      </c>
      <c r="B415" s="51" t="s">
        <v>455</v>
      </c>
      <c r="C415" s="37">
        <f ca="1">SUMIF('Finished Recipe'!H:R,'مسحوبات المواد الخام'!A415,'Finished Recipe'!R:R)</f>
        <v>0</v>
      </c>
      <c r="D415" s="69"/>
      <c r="E415" s="51" t="s">
        <v>8</v>
      </c>
      <c r="F415" s="64"/>
      <c r="G415" s="42">
        <v>1000</v>
      </c>
      <c r="H415" s="40">
        <f t="shared" si="6"/>
        <v>0</v>
      </c>
      <c r="I415" s="35"/>
      <c r="J415" s="35"/>
      <c r="K415" s="43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</row>
    <row r="416" spans="1:28" ht="15.5" hidden="1">
      <c r="A416" s="67">
        <v>5336</v>
      </c>
      <c r="B416" s="51" t="s">
        <v>456</v>
      </c>
      <c r="C416" s="37">
        <f ca="1">SUMIF('Finished Recipe'!H:R,'مسحوبات المواد الخام'!A416,'Finished Recipe'!R:R)</f>
        <v>0</v>
      </c>
      <c r="D416" s="52"/>
      <c r="E416" s="51" t="s">
        <v>8</v>
      </c>
      <c r="F416" s="64"/>
      <c r="G416" s="42">
        <v>1000</v>
      </c>
      <c r="H416" s="40">
        <f t="shared" si="6"/>
        <v>0</v>
      </c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</row>
    <row r="417" spans="1:28" ht="15.5" hidden="1">
      <c r="A417" s="67">
        <v>5337</v>
      </c>
      <c r="B417" s="51" t="s">
        <v>457</v>
      </c>
      <c r="C417" s="37">
        <f ca="1">SUMIF('Finished Recipe'!H:R,'مسحوبات المواد الخام'!A417,'Finished Recipe'!R:R)</f>
        <v>0</v>
      </c>
      <c r="D417" s="52"/>
      <c r="E417" s="51" t="s">
        <v>8</v>
      </c>
      <c r="F417" s="64"/>
      <c r="G417" s="42">
        <v>1000</v>
      </c>
      <c r="H417" s="40">
        <f t="shared" si="6"/>
        <v>0</v>
      </c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</row>
    <row r="418" spans="1:28" ht="15.5" hidden="1">
      <c r="A418" s="67">
        <v>5339</v>
      </c>
      <c r="B418" s="51" t="s">
        <v>458</v>
      </c>
      <c r="C418" s="37">
        <f ca="1">SUMIF('Finished Recipe'!H:R,'مسحوبات المواد الخام'!A418,'Finished Recipe'!R:R)</f>
        <v>0</v>
      </c>
      <c r="D418" s="52">
        <v>1.5</v>
      </c>
      <c r="E418" s="51" t="s">
        <v>11</v>
      </c>
      <c r="F418" s="64"/>
      <c r="G418" s="42">
        <v>1</v>
      </c>
      <c r="H418" s="40">
        <f t="shared" si="6"/>
        <v>1.5</v>
      </c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</row>
    <row r="419" spans="1:28" ht="15.5" hidden="1">
      <c r="A419" s="67">
        <v>5341</v>
      </c>
      <c r="B419" s="51" t="s">
        <v>459</v>
      </c>
      <c r="C419" s="37">
        <f ca="1">SUMIF('Finished Recipe'!H:R,'مسحوبات المواد الخام'!A419,'Finished Recipe'!R:R)</f>
        <v>0</v>
      </c>
      <c r="D419" s="52">
        <v>1.5</v>
      </c>
      <c r="E419" s="51" t="s">
        <v>11</v>
      </c>
      <c r="F419" s="64"/>
      <c r="G419" s="42">
        <v>1</v>
      </c>
      <c r="H419" s="40">
        <f t="shared" si="6"/>
        <v>1.5</v>
      </c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</row>
    <row r="420" spans="1:28" ht="15.5" hidden="1">
      <c r="A420" s="67">
        <v>5344</v>
      </c>
      <c r="B420" s="55" t="s">
        <v>460</v>
      </c>
      <c r="C420" s="37">
        <f ca="1">SUMIF('Finished Recipe'!H:R,'مسحوبات المواد الخام'!A420,'Finished Recipe'!R:R)</f>
        <v>0</v>
      </c>
      <c r="D420" s="52">
        <v>2</v>
      </c>
      <c r="E420" s="51" t="s">
        <v>8</v>
      </c>
      <c r="F420" s="64"/>
      <c r="G420" s="42">
        <v>1000</v>
      </c>
      <c r="H420" s="40">
        <f t="shared" si="6"/>
        <v>2E-3</v>
      </c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</row>
    <row r="421" spans="1:28" ht="15.5" hidden="1">
      <c r="A421" s="67">
        <v>5348</v>
      </c>
      <c r="B421" s="51" t="s">
        <v>461</v>
      </c>
      <c r="C421" s="37">
        <f ca="1">SUMIF('Finished Recipe'!H:R,'مسحوبات المواد الخام'!A421,'Finished Recipe'!R:R)</f>
        <v>0</v>
      </c>
      <c r="D421" s="69">
        <v>11.5</v>
      </c>
      <c r="E421" s="51" t="s">
        <v>8</v>
      </c>
      <c r="F421" s="64"/>
      <c r="G421" s="42">
        <v>1000</v>
      </c>
      <c r="H421" s="40">
        <f t="shared" si="6"/>
        <v>1.15E-2</v>
      </c>
      <c r="I421" s="35"/>
      <c r="J421" s="35"/>
      <c r="K421" s="43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</row>
    <row r="422" spans="1:28" ht="15.5" hidden="1">
      <c r="A422" s="67">
        <v>5349</v>
      </c>
      <c r="B422" s="51" t="s">
        <v>462</v>
      </c>
      <c r="C422" s="37">
        <f ca="1">SUMIF('Finished Recipe'!H:R,'مسحوبات المواد الخام'!A422,'Finished Recipe'!R:R)</f>
        <v>0</v>
      </c>
      <c r="D422" s="51">
        <v>11.108333333333334</v>
      </c>
      <c r="E422" s="51" t="s">
        <v>8</v>
      </c>
      <c r="F422" s="64"/>
      <c r="G422" s="42">
        <v>1000</v>
      </c>
      <c r="H422" s="40">
        <f t="shared" si="6"/>
        <v>1.1108333333333335E-2</v>
      </c>
      <c r="I422" s="35"/>
      <c r="J422" s="35"/>
      <c r="K422" s="43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</row>
    <row r="423" spans="1:28" ht="15.5" hidden="1">
      <c r="A423" s="67">
        <v>5350</v>
      </c>
      <c r="B423" s="51" t="s">
        <v>463</v>
      </c>
      <c r="C423" s="37">
        <f ca="1">SUMIF('Finished Recipe'!H:R,'مسحوبات المواد الخام'!A423,'Finished Recipe'!R:R)</f>
        <v>0</v>
      </c>
      <c r="D423" s="52">
        <v>2</v>
      </c>
      <c r="E423" s="51" t="s">
        <v>11</v>
      </c>
      <c r="F423" s="64"/>
      <c r="G423" s="42">
        <v>1</v>
      </c>
      <c r="H423" s="40">
        <f t="shared" si="6"/>
        <v>2</v>
      </c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</row>
    <row r="424" spans="1:28" ht="15.5" hidden="1">
      <c r="A424" s="67">
        <v>5351</v>
      </c>
      <c r="B424" s="51" t="s">
        <v>464</v>
      </c>
      <c r="C424" s="37">
        <f ca="1">SUMIF('Finished Recipe'!H:R,'مسحوبات المواد الخام'!A424,'Finished Recipe'!R:R)</f>
        <v>0</v>
      </c>
      <c r="D424" s="52">
        <v>5.6</v>
      </c>
      <c r="E424" s="51" t="s">
        <v>8</v>
      </c>
      <c r="F424" s="64"/>
      <c r="G424" s="42">
        <v>1000</v>
      </c>
      <c r="H424" s="40">
        <f t="shared" si="6"/>
        <v>5.5999999999999999E-3</v>
      </c>
      <c r="I424" s="35"/>
      <c r="J424" s="35"/>
      <c r="K424" s="43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</row>
    <row r="425" spans="1:28" ht="15.5" hidden="1">
      <c r="A425" s="67">
        <v>5354</v>
      </c>
      <c r="B425" s="51" t="s">
        <v>465</v>
      </c>
      <c r="C425" s="37">
        <f ca="1">SUMIF('Finished Recipe'!H:R,'مسحوبات المواد الخام'!A425,'Finished Recipe'!R:R)</f>
        <v>0</v>
      </c>
      <c r="D425" s="52">
        <v>0.158</v>
      </c>
      <c r="E425" s="51" t="s">
        <v>8</v>
      </c>
      <c r="F425" s="64"/>
      <c r="G425" s="42">
        <v>1</v>
      </c>
      <c r="H425" s="40">
        <f t="shared" si="6"/>
        <v>0.158</v>
      </c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</row>
    <row r="426" spans="1:28" ht="15.5" hidden="1">
      <c r="A426" s="67">
        <v>5355</v>
      </c>
      <c r="B426" s="51" t="s">
        <v>466</v>
      </c>
      <c r="C426" s="37">
        <f ca="1">SUMIF('Finished Recipe'!H:R,'مسحوبات المواد الخام'!A426,'Finished Recipe'!R:R)</f>
        <v>0</v>
      </c>
      <c r="D426" s="51">
        <v>5.1719999999999997</v>
      </c>
      <c r="E426" s="51" t="s">
        <v>8</v>
      </c>
      <c r="F426" s="64"/>
      <c r="G426" s="42">
        <v>1000</v>
      </c>
      <c r="H426" s="40">
        <f t="shared" si="6"/>
        <v>5.1719999999999995E-3</v>
      </c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</row>
    <row r="427" spans="1:28" ht="15.5" hidden="1">
      <c r="A427" s="67">
        <v>5358</v>
      </c>
      <c r="B427" s="51" t="s">
        <v>467</v>
      </c>
      <c r="C427" s="37">
        <f ca="1">SUMIF('Finished Recipe'!H:R,'مسحوبات المواد الخام'!A427,'Finished Recipe'!R:R)</f>
        <v>0</v>
      </c>
      <c r="D427" s="51"/>
      <c r="E427" s="51" t="s">
        <v>8</v>
      </c>
      <c r="F427" s="64"/>
      <c r="G427" s="42">
        <v>1000</v>
      </c>
      <c r="H427" s="40">
        <f t="shared" si="6"/>
        <v>0</v>
      </c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</row>
    <row r="428" spans="1:28" ht="15.5" hidden="1">
      <c r="A428" s="67">
        <v>5359</v>
      </c>
      <c r="B428" s="51" t="s">
        <v>468</v>
      </c>
      <c r="C428" s="37">
        <f ca="1">SUMIF('Finished Recipe'!H:R,'مسحوبات المواد الخام'!A428,'Finished Recipe'!R:R)</f>
        <v>0</v>
      </c>
      <c r="D428" s="51"/>
      <c r="E428" s="51" t="s">
        <v>8</v>
      </c>
      <c r="F428" s="64"/>
      <c r="G428" s="42">
        <v>1000</v>
      </c>
      <c r="H428" s="40">
        <f t="shared" si="6"/>
        <v>0</v>
      </c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</row>
    <row r="429" spans="1:28" ht="15.5" hidden="1">
      <c r="A429" s="67">
        <v>5360</v>
      </c>
      <c r="B429" s="51" t="s">
        <v>469</v>
      </c>
      <c r="C429" s="37">
        <f ca="1">SUMIF('Finished Recipe'!H:R,'مسحوبات المواد الخام'!A429,'Finished Recipe'!R:R)</f>
        <v>0</v>
      </c>
      <c r="D429" s="51">
        <v>5.6</v>
      </c>
      <c r="E429" s="51" t="s">
        <v>8</v>
      </c>
      <c r="F429" s="64"/>
      <c r="G429" s="42">
        <v>1000</v>
      </c>
      <c r="H429" s="40">
        <f t="shared" si="6"/>
        <v>5.5999999999999999E-3</v>
      </c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</row>
    <row r="430" spans="1:28" ht="15.5" hidden="1">
      <c r="A430" s="67">
        <v>5361</v>
      </c>
      <c r="B430" s="51" t="s">
        <v>470</v>
      </c>
      <c r="C430" s="37">
        <f ca="1">SUMIF('Finished Recipe'!H:R,'مسحوبات المواد الخام'!A430,'Finished Recipe'!R:R)</f>
        <v>0</v>
      </c>
      <c r="D430" s="51"/>
      <c r="E430" s="51" t="s">
        <v>8</v>
      </c>
      <c r="F430" s="64"/>
      <c r="G430" s="42">
        <v>1000</v>
      </c>
      <c r="H430" s="40">
        <f t="shared" si="6"/>
        <v>0</v>
      </c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</row>
    <row r="431" spans="1:28" ht="15.5" hidden="1">
      <c r="A431" s="67">
        <v>5362</v>
      </c>
      <c r="B431" s="51" t="s">
        <v>471</v>
      </c>
      <c r="C431" s="37">
        <f ca="1">SUMIF('Finished Recipe'!H:R,'مسحوبات المواد الخام'!A431,'Finished Recipe'!R:R)</f>
        <v>0</v>
      </c>
      <c r="D431" s="51">
        <v>4.5999999999999996</v>
      </c>
      <c r="E431" s="51" t="s">
        <v>8</v>
      </c>
      <c r="F431" s="64"/>
      <c r="G431" s="42">
        <v>1000</v>
      </c>
      <c r="H431" s="40">
        <f t="shared" si="6"/>
        <v>4.5999999999999999E-3</v>
      </c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</row>
    <row r="432" spans="1:28" ht="15.5" hidden="1">
      <c r="A432" s="67">
        <v>5363</v>
      </c>
      <c r="B432" s="51" t="s">
        <v>472</v>
      </c>
      <c r="C432" s="37">
        <f ca="1">SUMIF('Finished Recipe'!H:R,'مسحوبات المواد الخام'!A432,'Finished Recipe'!R:R)</f>
        <v>0</v>
      </c>
      <c r="D432" s="51">
        <v>10.5</v>
      </c>
      <c r="E432" s="51" t="s">
        <v>8</v>
      </c>
      <c r="F432" s="64"/>
      <c r="G432" s="42">
        <v>1000</v>
      </c>
      <c r="H432" s="40">
        <f t="shared" si="6"/>
        <v>1.0500000000000001E-2</v>
      </c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</row>
    <row r="433" spans="1:28" ht="15.5" hidden="1">
      <c r="A433" s="67">
        <v>5364</v>
      </c>
      <c r="B433" s="51" t="s">
        <v>473</v>
      </c>
      <c r="C433" s="37">
        <f ca="1">SUMIF('Finished Recipe'!H:R,'مسحوبات المواد الخام'!A433,'Finished Recipe'!R:R)</f>
        <v>0</v>
      </c>
      <c r="D433" s="51">
        <v>0.155</v>
      </c>
      <c r="E433" s="51" t="s">
        <v>11</v>
      </c>
      <c r="F433" s="64"/>
      <c r="G433" s="42">
        <v>1</v>
      </c>
      <c r="H433" s="40">
        <f t="shared" si="6"/>
        <v>0.155</v>
      </c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</row>
    <row r="434" spans="1:28" ht="15.5" hidden="1">
      <c r="A434" s="67">
        <v>5365</v>
      </c>
      <c r="B434" s="51" t="s">
        <v>474</v>
      </c>
      <c r="C434" s="37">
        <f ca="1">SUMIF('Finished Recipe'!H:R,'مسحوبات المواد الخام'!A434,'Finished Recipe'!R:R)</f>
        <v>0</v>
      </c>
      <c r="D434" s="51">
        <v>0.16400000000000001</v>
      </c>
      <c r="E434" s="51" t="s">
        <v>11</v>
      </c>
      <c r="F434" s="64"/>
      <c r="G434" s="42">
        <v>1</v>
      </c>
      <c r="H434" s="40">
        <f t="shared" si="6"/>
        <v>0.16400000000000001</v>
      </c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</row>
    <row r="435" spans="1:28" ht="15.5" hidden="1">
      <c r="A435" s="67">
        <v>5366</v>
      </c>
      <c r="B435" s="51" t="s">
        <v>475</v>
      </c>
      <c r="C435" s="37">
        <f ca="1">SUMIF('Finished Recipe'!H:R,'مسحوبات المواد الخام'!A435,'Finished Recipe'!R:R)</f>
        <v>0</v>
      </c>
      <c r="D435" s="51">
        <v>2.7160000000000002</v>
      </c>
      <c r="E435" s="51" t="s">
        <v>11</v>
      </c>
      <c r="F435" s="64"/>
      <c r="G435" s="42">
        <v>1</v>
      </c>
      <c r="H435" s="40">
        <f t="shared" si="6"/>
        <v>2.7160000000000002</v>
      </c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</row>
    <row r="436" spans="1:28" ht="15.5" hidden="1">
      <c r="A436" s="67">
        <v>5367</v>
      </c>
      <c r="B436" s="51" t="s">
        <v>476</v>
      </c>
      <c r="C436" s="37">
        <f ca="1">SUMIF('Finished Recipe'!H:R,'مسحوبات المواد الخام'!A436,'Finished Recipe'!R:R)</f>
        <v>0</v>
      </c>
      <c r="D436" s="51">
        <v>4.0949999999999998</v>
      </c>
      <c r="E436" s="51" t="s">
        <v>11</v>
      </c>
      <c r="F436" s="64"/>
      <c r="G436" s="42">
        <v>1</v>
      </c>
      <c r="H436" s="40">
        <f t="shared" si="6"/>
        <v>4.0949999999999998</v>
      </c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</row>
    <row r="437" spans="1:28" ht="15.5" hidden="1">
      <c r="A437" s="67">
        <v>5370</v>
      </c>
      <c r="B437" s="51" t="s">
        <v>477</v>
      </c>
      <c r="C437" s="37">
        <f ca="1">SUMIF('Finished Recipe'!H:R,'مسحوبات المواد الخام'!A437,'Finished Recipe'!R:R)</f>
        <v>0</v>
      </c>
      <c r="D437" s="51">
        <v>2.5</v>
      </c>
      <c r="E437" s="51" t="s">
        <v>8</v>
      </c>
      <c r="F437" s="64"/>
      <c r="G437" s="42">
        <v>1000</v>
      </c>
      <c r="H437" s="40">
        <f t="shared" si="6"/>
        <v>2.5000000000000001E-3</v>
      </c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</row>
    <row r="438" spans="1:28" ht="15.5" hidden="1">
      <c r="A438" s="67">
        <v>5406</v>
      </c>
      <c r="B438" s="51" t="s">
        <v>478</v>
      </c>
      <c r="C438" s="37">
        <f ca="1">SUMIF('Finished Recipe'!H:R,'مسحوبات المواد الخام'!A438,'Finished Recipe'!R:R)</f>
        <v>0</v>
      </c>
      <c r="D438" s="51">
        <v>7.5</v>
      </c>
      <c r="E438" s="51" t="s">
        <v>11</v>
      </c>
      <c r="F438" s="64"/>
      <c r="G438" s="42">
        <v>100</v>
      </c>
      <c r="H438" s="40">
        <f t="shared" si="6"/>
        <v>7.4999999999999997E-2</v>
      </c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</row>
    <row r="439" spans="1:28" ht="15.5" hidden="1">
      <c r="A439" s="67">
        <v>5415</v>
      </c>
      <c r="B439" s="51" t="s">
        <v>1896</v>
      </c>
      <c r="C439" s="37">
        <f ca="1">SUMIF('Finished Recipe'!H:R,'مسحوبات المواد الخام'!A439,'Finished Recipe'!R:R)</f>
        <v>0</v>
      </c>
      <c r="D439" s="51">
        <v>0.35</v>
      </c>
      <c r="E439" s="51" t="s">
        <v>11</v>
      </c>
      <c r="F439" s="64"/>
      <c r="G439" s="42">
        <v>1</v>
      </c>
      <c r="H439" s="40">
        <f t="shared" si="6"/>
        <v>0.35</v>
      </c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</row>
    <row r="440" spans="1:28" ht="15.5" hidden="1">
      <c r="A440" s="67">
        <v>5416</v>
      </c>
      <c r="B440" s="51" t="s">
        <v>1906</v>
      </c>
      <c r="C440" s="37">
        <f ca="1">SUMIF('Finished Recipe'!H:R,'مسحوبات المواد الخام'!A440,'Finished Recipe'!R:R)</f>
        <v>0</v>
      </c>
      <c r="D440" s="52">
        <v>2.1</v>
      </c>
      <c r="E440" s="51" t="s">
        <v>8</v>
      </c>
      <c r="F440" s="64"/>
      <c r="G440" s="42">
        <v>1000</v>
      </c>
      <c r="H440" s="40">
        <f t="shared" si="6"/>
        <v>2.1000000000000003E-3</v>
      </c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</row>
    <row r="441" spans="1:28" ht="15.5" hidden="1">
      <c r="A441" s="67">
        <v>5417</v>
      </c>
      <c r="B441" s="51" t="s">
        <v>1907</v>
      </c>
      <c r="C441" s="37">
        <f ca="1">SUMIF('Finished Recipe'!H:R,'مسحوبات المواد الخام'!A441,'Finished Recipe'!R:R)</f>
        <v>0</v>
      </c>
      <c r="D441" s="52">
        <v>12</v>
      </c>
      <c r="E441" s="51" t="s">
        <v>8</v>
      </c>
      <c r="F441" s="64"/>
      <c r="G441" s="42">
        <v>1000</v>
      </c>
      <c r="H441" s="40">
        <f t="shared" si="6"/>
        <v>1.2E-2</v>
      </c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</row>
    <row r="442" spans="1:28" ht="15.5" hidden="1">
      <c r="A442" s="67">
        <v>5418</v>
      </c>
      <c r="B442" s="51" t="s">
        <v>1909</v>
      </c>
      <c r="C442" s="37">
        <f ca="1">SUMIF('Finished Recipe'!H:R,'مسحوبات المواد الخام'!A442,'Finished Recipe'!R:R)</f>
        <v>0</v>
      </c>
      <c r="D442" s="69">
        <v>1.3</v>
      </c>
      <c r="E442" s="51" t="s">
        <v>8</v>
      </c>
      <c r="F442" s="64"/>
      <c r="G442" s="42">
        <v>1000</v>
      </c>
      <c r="H442" s="40">
        <f t="shared" si="6"/>
        <v>1.2999999999999999E-3</v>
      </c>
      <c r="I442" s="35"/>
      <c r="J442" s="35"/>
      <c r="K442" s="43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</row>
    <row r="443" spans="1:28" ht="14" hidden="1">
      <c r="A443" s="49"/>
      <c r="B443" s="49"/>
      <c r="C443" s="37">
        <f ca="1">SUMIF('Finished Recipe'!H:R,'مسحوبات المواد الخام'!A443,'Finished Recipe'!R:R)</f>
        <v>0</v>
      </c>
      <c r="D443" s="66"/>
      <c r="E443" s="49"/>
      <c r="F443" s="38"/>
      <c r="G443" s="42"/>
      <c r="H443" s="39"/>
      <c r="I443" s="35"/>
      <c r="J443" s="35"/>
      <c r="K443" s="43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</row>
    <row r="444" spans="1:28" ht="14" hidden="1">
      <c r="A444" s="73" t="s">
        <v>480</v>
      </c>
      <c r="B444" s="73" t="s">
        <v>481</v>
      </c>
      <c r="C444" s="37">
        <f ca="1">SUMIF('Finished Recipe'!H:R,'مسحوبات المواد الخام'!A444,'Finished Recipe'!R:R)</f>
        <v>0</v>
      </c>
      <c r="D444" s="74" t="s">
        <v>482</v>
      </c>
      <c r="E444" s="73" t="s">
        <v>483</v>
      </c>
      <c r="F444" s="75" t="s">
        <v>4</v>
      </c>
      <c r="G444" s="74" t="s">
        <v>484</v>
      </c>
      <c r="H444" s="76" t="s">
        <v>6</v>
      </c>
      <c r="I444" s="35"/>
      <c r="J444" s="35"/>
      <c r="K444" s="43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</row>
    <row r="445" spans="1:28" ht="14" hidden="1">
      <c r="A445" s="37" t="s">
        <v>534</v>
      </c>
      <c r="B445" s="37" t="s">
        <v>535</v>
      </c>
      <c r="C445" s="37">
        <f ca="1">SUMIF('Finished Recipe'!H:R,'مسحوبات المواد الخام'!A445,'Finished Recipe'!R:R)</f>
        <v>0</v>
      </c>
      <c r="D445" s="40">
        <f>SUMIF('Semi Finished Recipe'!B:B,'RM &amp; SF'!B363,'Semi Finished Recipe'!L:L)</f>
        <v>0.66564092227821048</v>
      </c>
      <c r="E445" s="37" t="s">
        <v>8</v>
      </c>
      <c r="F445" s="38" t="s">
        <v>487</v>
      </c>
      <c r="G445" s="42">
        <v>1000</v>
      </c>
      <c r="H445" s="84">
        <f>D445/G445</f>
        <v>6.6564092227821051E-4</v>
      </c>
      <c r="I445" s="80"/>
      <c r="J445" s="35"/>
      <c r="K445" s="56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</row>
    <row r="446" spans="1:28" ht="14" hidden="1">
      <c r="A446" s="37" t="s">
        <v>576</v>
      </c>
      <c r="B446" s="37" t="s">
        <v>577</v>
      </c>
      <c r="C446" s="37">
        <f ca="1">SUMIF('Finished Recipe'!H:R,'مسحوبات المواد الخام'!A446,'Finished Recipe'!R:R)</f>
        <v>0</v>
      </c>
      <c r="D446" s="40">
        <f>SUMIF('Semi Finished Recipe'!B:B,'RM &amp; SF'!B364,'Semi Finished Recipe'!L:L)</f>
        <v>1.3608476190476189</v>
      </c>
      <c r="E446" s="37" t="s">
        <v>8</v>
      </c>
      <c r="F446" s="38" t="s">
        <v>487</v>
      </c>
      <c r="G446" s="42">
        <v>1000</v>
      </c>
      <c r="H446" s="84">
        <f t="shared" ref="H446:H509" si="7">D446/G446</f>
        <v>1.3608476190476188E-3</v>
      </c>
      <c r="I446" s="35"/>
      <c r="J446" s="35"/>
      <c r="K446" s="56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</row>
    <row r="447" spans="1:28" ht="14" hidden="1">
      <c r="A447" s="37" t="s">
        <v>682</v>
      </c>
      <c r="B447" s="37" t="s">
        <v>683</v>
      </c>
      <c r="C447" s="37">
        <f ca="1">SUMIF('Finished Recipe'!H:R,'مسحوبات المواد الخام'!A447,'Finished Recipe'!R:R)</f>
        <v>0</v>
      </c>
      <c r="D447" s="40">
        <f>SUMIF('Semi Finished Recipe'!B:B,'RM &amp; SF'!#REF!,'Semi Finished Recipe'!L:L)</f>
        <v>0</v>
      </c>
      <c r="E447" s="37" t="s">
        <v>11</v>
      </c>
      <c r="F447" s="38" t="s">
        <v>487</v>
      </c>
      <c r="G447" s="42">
        <v>1</v>
      </c>
      <c r="H447" s="84">
        <f t="shared" si="7"/>
        <v>0</v>
      </c>
      <c r="I447" s="35"/>
      <c r="J447" s="35"/>
      <c r="K447" s="56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</row>
    <row r="448" spans="1:28" ht="14" hidden="1">
      <c r="A448" s="37" t="s">
        <v>684</v>
      </c>
      <c r="B448" s="37" t="s">
        <v>685</v>
      </c>
      <c r="C448" s="37">
        <f ca="1">SUMIF('Finished Recipe'!H:R,'مسحوبات المواد الخام'!A448,'Finished Recipe'!R:R)</f>
        <v>0</v>
      </c>
      <c r="D448" s="40">
        <f>SUMIF('Semi Finished Recipe'!B:B,'RM &amp; SF'!B365,'Semi Finished Recipe'!L:L)</f>
        <v>0.1167055</v>
      </c>
      <c r="E448" s="37" t="s">
        <v>11</v>
      </c>
      <c r="F448" s="38" t="s">
        <v>487</v>
      </c>
      <c r="G448" s="42">
        <v>1</v>
      </c>
      <c r="H448" s="84">
        <f t="shared" si="7"/>
        <v>0.1167055</v>
      </c>
      <c r="I448" s="35"/>
      <c r="J448" s="35"/>
      <c r="K448" s="56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</row>
    <row r="449" spans="1:28" ht="14" hidden="1">
      <c r="A449" s="37" t="s">
        <v>686</v>
      </c>
      <c r="B449" s="37" t="s">
        <v>687</v>
      </c>
      <c r="C449" s="37">
        <f ca="1">SUMIF('Finished Recipe'!H:R,'مسحوبات المواد الخام'!A449,'Finished Recipe'!R:R)</f>
        <v>0</v>
      </c>
      <c r="D449" s="40">
        <f>SUMIF('Semi Finished Recipe'!B:B,'RM &amp; SF'!B366,'Semi Finished Recipe'!L:L)</f>
        <v>0.22020393333333332</v>
      </c>
      <c r="E449" s="37" t="s">
        <v>11</v>
      </c>
      <c r="F449" s="38" t="s">
        <v>487</v>
      </c>
      <c r="G449" s="42">
        <v>1</v>
      </c>
      <c r="H449" s="84">
        <f t="shared" si="7"/>
        <v>0.22020393333333332</v>
      </c>
      <c r="I449" s="35"/>
      <c r="J449" s="35"/>
      <c r="K449" s="56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</row>
    <row r="450" spans="1:28" ht="14" hidden="1">
      <c r="A450" s="37" t="s">
        <v>512</v>
      </c>
      <c r="B450" s="37" t="s">
        <v>513</v>
      </c>
      <c r="C450" s="37">
        <f ca="1">SUMIF('Finished Recipe'!H:R,'مسحوبات المواد الخام'!A450,'Finished Recipe'!R:R)</f>
        <v>0</v>
      </c>
      <c r="D450" s="40">
        <f>SUMIF('Semi Finished Recipe'!B:B,'RM &amp; SF'!B367,'Semi Finished Recipe'!L:L)</f>
        <v>0.75544490740740744</v>
      </c>
      <c r="E450" s="37" t="s">
        <v>8</v>
      </c>
      <c r="F450" s="38" t="s">
        <v>487</v>
      </c>
      <c r="G450" s="42">
        <v>1000</v>
      </c>
      <c r="H450" s="84">
        <f t="shared" si="7"/>
        <v>7.5544490740740743E-4</v>
      </c>
      <c r="I450" s="35"/>
      <c r="J450" s="35"/>
      <c r="K450" s="56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</row>
    <row r="451" spans="1:28" ht="14" hidden="1">
      <c r="A451" s="37" t="s">
        <v>490</v>
      </c>
      <c r="B451" s="37" t="s">
        <v>491</v>
      </c>
      <c r="C451" s="37">
        <f ca="1">SUMIF('Finished Recipe'!H:R,'مسحوبات المواد الخام'!A451,'Finished Recipe'!R:R)</f>
        <v>0</v>
      </c>
      <c r="D451" s="40">
        <f>SUMIF('Semi Finished Recipe'!B:B,'RM &amp; SF'!B368,'Semi Finished Recipe'!L:L)</f>
        <v>0.22857142857142859</v>
      </c>
      <c r="E451" s="37" t="s">
        <v>8</v>
      </c>
      <c r="F451" s="38" t="s">
        <v>487</v>
      </c>
      <c r="G451" s="42">
        <v>1000</v>
      </c>
      <c r="H451" s="84">
        <f t="shared" si="7"/>
        <v>2.2857142857142859E-4</v>
      </c>
      <c r="I451" s="35"/>
      <c r="J451" s="35"/>
      <c r="K451" s="56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</row>
    <row r="452" spans="1:28" ht="14" hidden="1">
      <c r="A452" s="37" t="s">
        <v>530</v>
      </c>
      <c r="B452" s="37" t="s">
        <v>531</v>
      </c>
      <c r="C452" s="37">
        <f ca="1">SUMIF('Finished Recipe'!H:R,'مسحوبات المواد الخام'!A452,'Finished Recipe'!R:R)</f>
        <v>0</v>
      </c>
      <c r="D452" s="40">
        <f>SUMIF('Semi Finished Recipe'!B:B,'RM &amp; SF'!B369,'Semi Finished Recipe'!L:L)</f>
        <v>0.18806451612903227</v>
      </c>
      <c r="E452" s="37" t="s">
        <v>8</v>
      </c>
      <c r="F452" s="38" t="s">
        <v>487</v>
      </c>
      <c r="G452" s="42">
        <v>1000</v>
      </c>
      <c r="H452" s="84">
        <f t="shared" si="7"/>
        <v>1.8806451612903227E-4</v>
      </c>
      <c r="I452" s="35"/>
      <c r="J452" s="35"/>
      <c r="K452" s="56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</row>
    <row r="453" spans="1:28" ht="14" hidden="1">
      <c r="A453" s="37" t="s">
        <v>644</v>
      </c>
      <c r="B453" s="37" t="s">
        <v>645</v>
      </c>
      <c r="C453" s="37">
        <f ca="1">SUMIF('Finished Recipe'!H:R,'مسحوبات المواد الخام'!A453,'Finished Recipe'!R:R)</f>
        <v>0</v>
      </c>
      <c r="D453" s="40">
        <f>SUMIF('Semi Finished Recipe'!B:B,'RM &amp; SF'!B370,'Semi Finished Recipe'!L:L)</f>
        <v>3.2061107692307687</v>
      </c>
      <c r="E453" s="37" t="s">
        <v>8</v>
      </c>
      <c r="F453" s="38" t="s">
        <v>487</v>
      </c>
      <c r="G453" s="42">
        <v>1000</v>
      </c>
      <c r="H453" s="84">
        <f t="shared" si="7"/>
        <v>3.2061107692307688E-3</v>
      </c>
      <c r="I453" s="35"/>
      <c r="J453" s="35"/>
      <c r="K453" s="56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</row>
    <row r="454" spans="1:28" ht="14" hidden="1">
      <c r="A454" s="37" t="s">
        <v>498</v>
      </c>
      <c r="B454" s="37" t="s">
        <v>499</v>
      </c>
      <c r="C454" s="37">
        <f ca="1">SUMIF('Finished Recipe'!H:R,'مسحوبات المواد الخام'!A454,'Finished Recipe'!R:R)</f>
        <v>0</v>
      </c>
      <c r="D454" s="40">
        <f>SUMIF('Semi Finished Recipe'!B:B,'RM &amp; SF'!B371,'Semi Finished Recipe'!L:L)</f>
        <v>0.46599809721501473</v>
      </c>
      <c r="E454" s="37" t="s">
        <v>8</v>
      </c>
      <c r="F454" s="38" t="s">
        <v>487</v>
      </c>
      <c r="G454" s="42">
        <v>1000</v>
      </c>
      <c r="H454" s="84">
        <f t="shared" si="7"/>
        <v>4.659980972150147E-4</v>
      </c>
      <c r="I454" s="85">
        <f>D454/G454</f>
        <v>4.659980972150147E-4</v>
      </c>
      <c r="J454" s="35"/>
      <c r="K454" s="56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</row>
    <row r="455" spans="1:28" ht="14" hidden="1">
      <c r="A455" s="47" t="s">
        <v>502</v>
      </c>
      <c r="B455" s="47" t="s">
        <v>503</v>
      </c>
      <c r="C455" s="37">
        <f ca="1">SUMIF('Finished Recipe'!H:R,'مسحوبات المواد الخام'!A455,'Finished Recipe'!R:R)</f>
        <v>0</v>
      </c>
      <c r="D455" s="40">
        <f>SUMIF('Semi Finished Recipe'!B:B,'RM &amp; SF'!B372,'Semi Finished Recipe'!L:L)</f>
        <v>0.54607491582491574</v>
      </c>
      <c r="E455" s="47" t="s">
        <v>8</v>
      </c>
      <c r="F455" s="48" t="s">
        <v>487</v>
      </c>
      <c r="G455" s="65">
        <v>1000</v>
      </c>
      <c r="H455" s="84">
        <f t="shared" si="7"/>
        <v>5.460749158249157E-4</v>
      </c>
      <c r="I455" s="35"/>
      <c r="J455" s="35"/>
      <c r="K455" s="56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</row>
    <row r="456" spans="1:28" ht="14" hidden="1">
      <c r="A456" s="51" t="s">
        <v>500</v>
      </c>
      <c r="B456" s="51" t="s">
        <v>501</v>
      </c>
      <c r="C456" s="37">
        <f ca="1">SUMIF('Finished Recipe'!H:R,'مسحوبات المواد الخام'!A456,'Finished Recipe'!R:R)</f>
        <v>0</v>
      </c>
      <c r="D456" s="40">
        <f>SUMIF('Semi Finished Recipe'!B:B,'RM &amp; SF'!B373,'Semi Finished Recipe'!L:L)</f>
        <v>1.6693376153846156</v>
      </c>
      <c r="E456" s="51" t="s">
        <v>8</v>
      </c>
      <c r="F456" s="53" t="s">
        <v>487</v>
      </c>
      <c r="G456" s="69">
        <v>300</v>
      </c>
      <c r="H456" s="84">
        <f t="shared" si="7"/>
        <v>5.5644587179487183E-3</v>
      </c>
      <c r="I456" s="35"/>
      <c r="J456" s="35"/>
      <c r="K456" s="56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</row>
    <row r="457" spans="1:28" ht="14" hidden="1">
      <c r="A457" s="51" t="s">
        <v>496</v>
      </c>
      <c r="B457" s="51" t="s">
        <v>497</v>
      </c>
      <c r="C457" s="37">
        <f ca="1">SUMIF('Finished Recipe'!H:R,'مسحوبات المواد الخام'!A457,'Finished Recipe'!R:R)</f>
        <v>0</v>
      </c>
      <c r="D457" s="40">
        <f>SUMIF('Semi Finished Recipe'!B:B,'RM &amp; SF'!B374,'Semi Finished Recipe'!L:L)</f>
        <v>2.7137341772151897</v>
      </c>
      <c r="E457" s="51" t="s">
        <v>8</v>
      </c>
      <c r="F457" s="53" t="s">
        <v>487</v>
      </c>
      <c r="G457" s="69">
        <v>1000</v>
      </c>
      <c r="H457" s="84">
        <f t="shared" si="7"/>
        <v>2.7137341772151898E-3</v>
      </c>
      <c r="I457" s="35"/>
      <c r="J457" s="35"/>
      <c r="K457" s="56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</row>
    <row r="458" spans="1:28" ht="14" hidden="1">
      <c r="A458" s="51" t="s">
        <v>694</v>
      </c>
      <c r="B458" s="51" t="s">
        <v>695</v>
      </c>
      <c r="C458" s="37">
        <f ca="1">SUMIF('Finished Recipe'!H:R,'مسحوبات المواد الخام'!A458,'Finished Recipe'!R:R)</f>
        <v>0</v>
      </c>
      <c r="D458" s="40">
        <f>SUMIF('Semi Finished Recipe'!B:B,'RM &amp; SF'!B375,'Semi Finished Recipe'!L:L)</f>
        <v>11.615493158849016</v>
      </c>
      <c r="E458" s="51" t="s">
        <v>8</v>
      </c>
      <c r="F458" s="53" t="s">
        <v>487</v>
      </c>
      <c r="G458" s="69">
        <v>1000</v>
      </c>
      <c r="H458" s="84">
        <f t="shared" si="7"/>
        <v>1.1615493158849017E-2</v>
      </c>
      <c r="I458" s="35"/>
      <c r="J458" s="35"/>
      <c r="K458" s="56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</row>
    <row r="459" spans="1:28" ht="14" hidden="1">
      <c r="A459" s="62" t="s">
        <v>532</v>
      </c>
      <c r="B459" s="62" t="s">
        <v>533</v>
      </c>
      <c r="C459" s="37">
        <f ca="1">SUMIF('Finished Recipe'!H:R,'مسحوبات المواد الخام'!A459,'Finished Recipe'!R:R)</f>
        <v>0</v>
      </c>
      <c r="D459" s="40">
        <f>SUMIF('Semi Finished Recipe'!B:B,'RM &amp; SF'!B376,'Semi Finished Recipe'!L:L)</f>
        <v>3.8874234320164849</v>
      </c>
      <c r="E459" s="51" t="s">
        <v>8</v>
      </c>
      <c r="F459" s="53" t="s">
        <v>487</v>
      </c>
      <c r="G459" s="69">
        <v>1000</v>
      </c>
      <c r="H459" s="84">
        <f t="shared" si="7"/>
        <v>3.8874234320164847E-3</v>
      </c>
      <c r="I459" s="35"/>
      <c r="J459" s="35"/>
      <c r="K459" s="56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</row>
    <row r="460" spans="1:28" ht="14" hidden="1">
      <c r="A460" s="62" t="s">
        <v>698</v>
      </c>
      <c r="B460" s="62" t="s">
        <v>699</v>
      </c>
      <c r="C460" s="37">
        <f ca="1">SUMIF('Finished Recipe'!H:R,'مسحوبات المواد الخام'!A460,'Finished Recipe'!R:R)</f>
        <v>0</v>
      </c>
      <c r="D460" s="40">
        <f>SUMIF('Semi Finished Recipe'!B:B,'RM &amp; SF'!B377,'Semi Finished Recipe'!L:L)</f>
        <v>14.053846153846155</v>
      </c>
      <c r="E460" s="51" t="s">
        <v>8</v>
      </c>
      <c r="F460" s="53" t="s">
        <v>487</v>
      </c>
      <c r="G460" s="69">
        <v>1000</v>
      </c>
      <c r="H460" s="84">
        <f t="shared" si="7"/>
        <v>1.4053846153846155E-2</v>
      </c>
      <c r="I460" s="35"/>
      <c r="J460" s="35"/>
      <c r="K460" s="56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</row>
    <row r="461" spans="1:28" ht="14" hidden="1">
      <c r="A461" s="49" t="s">
        <v>700</v>
      </c>
      <c r="B461" s="49" t="s">
        <v>701</v>
      </c>
      <c r="C461" s="37">
        <f ca="1">SUMIF('Finished Recipe'!H:R,'مسحوبات المواد الخام'!A461,'Finished Recipe'!R:R)</f>
        <v>0</v>
      </c>
      <c r="D461" s="40">
        <f>SUMIF('Semi Finished Recipe'!B:B,'RM &amp; SF'!B378,'Semi Finished Recipe'!L:L)</f>
        <v>4.8670005252525246E-2</v>
      </c>
      <c r="E461" s="49" t="s">
        <v>11</v>
      </c>
      <c r="F461" s="50" t="s">
        <v>487</v>
      </c>
      <c r="G461" s="66">
        <v>1</v>
      </c>
      <c r="H461" s="84">
        <f t="shared" si="7"/>
        <v>4.8670005252525246E-2</v>
      </c>
      <c r="I461" s="35"/>
      <c r="J461" s="35"/>
      <c r="K461" s="56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</row>
    <row r="462" spans="1:28" ht="14" hidden="1">
      <c r="A462" s="37" t="s">
        <v>702</v>
      </c>
      <c r="B462" s="37" t="s">
        <v>703</v>
      </c>
      <c r="C462" s="37">
        <f ca="1">SUMIF('Finished Recipe'!H:R,'مسحوبات المواد الخام'!A462,'Finished Recipe'!R:R)</f>
        <v>0</v>
      </c>
      <c r="D462" s="40">
        <f>SUMIF('Semi Finished Recipe'!B:B,'RM &amp; SF'!B379,'Semi Finished Recipe'!L:L)</f>
        <v>5.4594689919691346</v>
      </c>
      <c r="E462" s="37" t="s">
        <v>11</v>
      </c>
      <c r="F462" s="38" t="s">
        <v>487</v>
      </c>
      <c r="G462" s="42">
        <v>1</v>
      </c>
      <c r="H462" s="84">
        <f t="shared" si="7"/>
        <v>5.4594689919691346</v>
      </c>
      <c r="I462" s="35"/>
      <c r="J462" s="35"/>
      <c r="K462" s="56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</row>
    <row r="463" spans="1:28" ht="14" hidden="1">
      <c r="A463" s="37" t="s">
        <v>704</v>
      </c>
      <c r="B463" s="37" t="s">
        <v>705</v>
      </c>
      <c r="C463" s="37">
        <f ca="1">SUMIF('Finished Recipe'!H:R,'مسحوبات المواد الخام'!A463,'Finished Recipe'!R:R)</f>
        <v>0</v>
      </c>
      <c r="D463" s="40">
        <f>SUMIF('Semi Finished Recipe'!B:B,'RM &amp; SF'!B380,'Semi Finished Recipe'!L:L)</f>
        <v>1.4565673684210527</v>
      </c>
      <c r="E463" s="37" t="s">
        <v>8</v>
      </c>
      <c r="F463" s="38" t="s">
        <v>487</v>
      </c>
      <c r="G463" s="42">
        <v>1000</v>
      </c>
      <c r="H463" s="84">
        <f t="shared" si="7"/>
        <v>1.4565673684210528E-3</v>
      </c>
      <c r="I463" s="35"/>
      <c r="J463" s="35"/>
      <c r="K463" s="56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</row>
    <row r="464" spans="1:28" ht="14" hidden="1">
      <c r="A464" s="37" t="s">
        <v>706</v>
      </c>
      <c r="B464" s="37" t="s">
        <v>707</v>
      </c>
      <c r="C464" s="37">
        <f ca="1">SUMIF('Finished Recipe'!H:R,'مسحوبات المواد الخام'!A464,'Finished Recipe'!R:R)</f>
        <v>0</v>
      </c>
      <c r="D464" s="40">
        <f>SUMIF('Semi Finished Recipe'!B:B,'RM &amp; SF'!B381,'Semi Finished Recipe'!L:L)</f>
        <v>4.1352327586206892</v>
      </c>
      <c r="E464" s="37" t="s">
        <v>8</v>
      </c>
      <c r="F464" s="38" t="s">
        <v>487</v>
      </c>
      <c r="G464" s="42">
        <v>1000</v>
      </c>
      <c r="H464" s="84">
        <f t="shared" si="7"/>
        <v>4.1352327586206888E-3</v>
      </c>
      <c r="I464" s="35"/>
      <c r="J464" s="35"/>
      <c r="K464" s="56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</row>
    <row r="465" spans="1:28" ht="14" hidden="1">
      <c r="A465" s="37" t="s">
        <v>708</v>
      </c>
      <c r="B465" s="37" t="s">
        <v>709</v>
      </c>
      <c r="C465" s="37">
        <f ca="1">SUMIF('Finished Recipe'!H:R,'مسحوبات المواد الخام'!A465,'Finished Recipe'!R:R)</f>
        <v>0</v>
      </c>
      <c r="D465" s="40">
        <f>SUMIF('Semi Finished Recipe'!B:B,'RM &amp; SF'!B382,'Semi Finished Recipe'!L:L)</f>
        <v>0.33269616161616161</v>
      </c>
      <c r="E465" s="37" t="s">
        <v>8</v>
      </c>
      <c r="F465" s="38" t="s">
        <v>487</v>
      </c>
      <c r="G465" s="42">
        <v>1000</v>
      </c>
      <c r="H465" s="84">
        <f t="shared" si="7"/>
        <v>3.3269616161616159E-4</v>
      </c>
      <c r="I465" s="35"/>
      <c r="J465" s="35"/>
      <c r="K465" s="56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</row>
    <row r="466" spans="1:28" ht="14" hidden="1">
      <c r="A466" s="37" t="s">
        <v>710</v>
      </c>
      <c r="B466" s="37" t="s">
        <v>711</v>
      </c>
      <c r="C466" s="37">
        <f ca="1">SUMIF('Finished Recipe'!H:R,'مسحوبات المواد الخام'!A466,'Finished Recipe'!R:R)</f>
        <v>0</v>
      </c>
      <c r="D466" s="40">
        <f>SUMIF('Semi Finished Recipe'!B:B,'RM &amp; SF'!B383,'Semi Finished Recipe'!L:L)</f>
        <v>3.6676666666666669</v>
      </c>
      <c r="E466" s="37" t="s">
        <v>8</v>
      </c>
      <c r="F466" s="38" t="s">
        <v>487</v>
      </c>
      <c r="G466" s="42">
        <v>1000</v>
      </c>
      <c r="H466" s="84">
        <f t="shared" si="7"/>
        <v>3.6676666666666667E-3</v>
      </c>
      <c r="I466" s="35"/>
      <c r="J466" s="35"/>
      <c r="K466" s="56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</row>
    <row r="467" spans="1:28" ht="14" hidden="1">
      <c r="A467" s="37" t="s">
        <v>712</v>
      </c>
      <c r="B467" s="37" t="s">
        <v>713</v>
      </c>
      <c r="C467" s="37">
        <f ca="1">SUMIF('Finished Recipe'!H:R,'مسحوبات المواد الخام'!A467,'Finished Recipe'!R:R)</f>
        <v>0</v>
      </c>
      <c r="D467" s="40">
        <f>SUMIF('Semi Finished Recipe'!B:B,'RM &amp; SF'!B384,'Semi Finished Recipe'!L:L)</f>
        <v>4.9192738095238102</v>
      </c>
      <c r="E467" s="37" t="s">
        <v>8</v>
      </c>
      <c r="F467" s="38" t="s">
        <v>487</v>
      </c>
      <c r="G467" s="42">
        <v>1000</v>
      </c>
      <c r="H467" s="84">
        <f t="shared" si="7"/>
        <v>4.91927380952381E-3</v>
      </c>
      <c r="I467" s="35"/>
      <c r="J467" s="35"/>
      <c r="K467" s="56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</row>
    <row r="468" spans="1:28" ht="14" hidden="1">
      <c r="A468" s="37" t="s">
        <v>714</v>
      </c>
      <c r="B468" s="37" t="s">
        <v>715</v>
      </c>
      <c r="C468" s="37">
        <f ca="1">SUMIF('Finished Recipe'!H:R,'مسحوبات المواد الخام'!A468,'Finished Recipe'!R:R)</f>
        <v>0</v>
      </c>
      <c r="D468" s="40">
        <f>SUMIF('Semi Finished Recipe'!B:B,'RM &amp; SF'!B385,'Semi Finished Recipe'!L:L)</f>
        <v>3.234</v>
      </c>
      <c r="E468" s="37" t="s">
        <v>8</v>
      </c>
      <c r="F468" s="38" t="s">
        <v>487</v>
      </c>
      <c r="G468" s="42">
        <v>1000</v>
      </c>
      <c r="H468" s="84">
        <f t="shared" si="7"/>
        <v>3.2339999999999999E-3</v>
      </c>
      <c r="I468" s="35"/>
      <c r="J468" s="35"/>
      <c r="K468" s="56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</row>
    <row r="469" spans="1:28" ht="14" hidden="1">
      <c r="A469" s="37" t="s">
        <v>716</v>
      </c>
      <c r="B469" s="37" t="s">
        <v>717</v>
      </c>
      <c r="C469" s="37">
        <f ca="1">SUMIF('Finished Recipe'!H:R,'مسحوبات المواد الخام'!A469,'Finished Recipe'!R:R)</f>
        <v>0</v>
      </c>
      <c r="D469" s="40">
        <f>SUMIF('Semi Finished Recipe'!B:B,'RM &amp; SF'!B386,'Semi Finished Recipe'!L:L)</f>
        <v>4.295609075670499</v>
      </c>
      <c r="E469" s="37" t="s">
        <v>8</v>
      </c>
      <c r="F469" s="38" t="s">
        <v>487</v>
      </c>
      <c r="G469" s="42">
        <v>1000</v>
      </c>
      <c r="H469" s="84">
        <f t="shared" si="7"/>
        <v>4.2956090756704991E-3</v>
      </c>
      <c r="I469" s="35"/>
      <c r="J469" s="35"/>
      <c r="K469" s="56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</row>
    <row r="470" spans="1:28" ht="14" hidden="1">
      <c r="A470" s="37" t="s">
        <v>718</v>
      </c>
      <c r="B470" s="44" t="s">
        <v>719</v>
      </c>
      <c r="C470" s="37">
        <f ca="1">SUMIF('Finished Recipe'!H:R,'مسحوبات المواد الخام'!A470,'Finished Recipe'!R:R)</f>
        <v>0</v>
      </c>
      <c r="D470" s="40">
        <f>SUMIF('Semi Finished Recipe'!B:B,'RM &amp; SF'!B387,'Semi Finished Recipe'!L:L)</f>
        <v>2.5816251162790702</v>
      </c>
      <c r="E470" s="37" t="s">
        <v>8</v>
      </c>
      <c r="F470" s="38" t="s">
        <v>487</v>
      </c>
      <c r="G470" s="42">
        <v>1000</v>
      </c>
      <c r="H470" s="84">
        <f t="shared" si="7"/>
        <v>2.5816251162790703E-3</v>
      </c>
      <c r="I470" s="35"/>
      <c r="J470" s="35"/>
      <c r="K470" s="56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</row>
    <row r="471" spans="1:28" ht="14" hidden="1">
      <c r="A471" s="37" t="s">
        <v>720</v>
      </c>
      <c r="B471" s="44" t="s">
        <v>721</v>
      </c>
      <c r="C471" s="37">
        <f ca="1">SUMIF('Finished Recipe'!H:R,'مسحوبات المواد الخام'!A471,'Finished Recipe'!R:R)</f>
        <v>0</v>
      </c>
      <c r="D471" s="40">
        <f>SUMIF('Semi Finished Recipe'!B:B,'RM &amp; SF'!B388,'Semi Finished Recipe'!L:L)</f>
        <v>0.38807146464646464</v>
      </c>
      <c r="E471" s="37" t="s">
        <v>8</v>
      </c>
      <c r="F471" s="38" t="s">
        <v>487</v>
      </c>
      <c r="G471" s="42">
        <v>1000</v>
      </c>
      <c r="H471" s="84">
        <f t="shared" si="7"/>
        <v>3.8807146464646462E-4</v>
      </c>
      <c r="I471" s="35"/>
      <c r="J471" s="35"/>
      <c r="K471" s="56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</row>
    <row r="472" spans="1:28" ht="14" hidden="1">
      <c r="A472" s="37" t="s">
        <v>722</v>
      </c>
      <c r="B472" s="44" t="s">
        <v>723</v>
      </c>
      <c r="C472" s="37">
        <f ca="1">SUMIF('Finished Recipe'!H:R,'مسحوبات المواد الخام'!A472,'Finished Recipe'!R:R)</f>
        <v>0</v>
      </c>
      <c r="D472" s="40">
        <f>SUMIF('Semi Finished Recipe'!B:B,'RM &amp; SF'!B389,'Semi Finished Recipe'!L:L)</f>
        <v>2.7279832687338508</v>
      </c>
      <c r="E472" s="37" t="s">
        <v>8</v>
      </c>
      <c r="F472" s="38" t="s">
        <v>487</v>
      </c>
      <c r="G472" s="42">
        <v>1000</v>
      </c>
      <c r="H472" s="84">
        <f t="shared" si="7"/>
        <v>2.7279832687338509E-3</v>
      </c>
      <c r="I472" s="35"/>
      <c r="J472" s="35"/>
      <c r="K472" s="56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</row>
    <row r="473" spans="1:28" ht="14" hidden="1">
      <c r="A473" s="37" t="s">
        <v>724</v>
      </c>
      <c r="B473" s="44" t="s">
        <v>725</v>
      </c>
      <c r="C473" s="37">
        <f ca="1">SUMIF('Finished Recipe'!H:R,'مسحوبات المواد الخام'!A473,'Finished Recipe'!R:R)</f>
        <v>0</v>
      </c>
      <c r="D473" s="40">
        <f>SUMIF('Semi Finished Recipe'!B:B,'RM &amp; SF'!B390,'Semi Finished Recipe'!L:L)</f>
        <v>0.90277388888888899</v>
      </c>
      <c r="E473" s="37" t="s">
        <v>11</v>
      </c>
      <c r="F473" s="38" t="s">
        <v>487</v>
      </c>
      <c r="G473" s="42">
        <v>1</v>
      </c>
      <c r="H473" s="84">
        <f t="shared" si="7"/>
        <v>0.90277388888888899</v>
      </c>
      <c r="I473" s="35"/>
      <c r="J473" s="35"/>
      <c r="K473" s="56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</row>
    <row r="474" spans="1:28" ht="14" hidden="1">
      <c r="A474" s="37" t="s">
        <v>726</v>
      </c>
      <c r="B474" s="44" t="s">
        <v>727</v>
      </c>
      <c r="C474" s="37">
        <f ca="1">SUMIF('Finished Recipe'!H:R,'مسحوبات المواد الخام'!A474,'Finished Recipe'!R:R)</f>
        <v>0</v>
      </c>
      <c r="D474" s="40">
        <f>SUMIF('Semi Finished Recipe'!B:B,'RM &amp; SF'!B391,'Semi Finished Recipe'!L:L)</f>
        <v>1.73637100456621</v>
      </c>
      <c r="E474" s="37" t="s">
        <v>8</v>
      </c>
      <c r="F474" s="38" t="s">
        <v>487</v>
      </c>
      <c r="G474" s="42">
        <v>1000</v>
      </c>
      <c r="H474" s="84">
        <f t="shared" si="7"/>
        <v>1.73637100456621E-3</v>
      </c>
      <c r="I474" s="35"/>
      <c r="J474" s="35"/>
      <c r="K474" s="56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</row>
    <row r="475" spans="1:28" ht="14" hidden="1">
      <c r="A475" s="37" t="s">
        <v>728</v>
      </c>
      <c r="B475" s="44" t="s">
        <v>729</v>
      </c>
      <c r="C475" s="37">
        <f ca="1">SUMIF('Finished Recipe'!H:R,'مسحوبات المواد الخام'!A475,'Finished Recipe'!R:R)</f>
        <v>0</v>
      </c>
      <c r="D475" s="40">
        <f>SUMIF('Semi Finished Recipe'!B:B,'RM &amp; SF'!B392,'Semi Finished Recipe'!L:L)</f>
        <v>0.70263884369068819</v>
      </c>
      <c r="E475" s="37" t="s">
        <v>8</v>
      </c>
      <c r="F475" s="38" t="s">
        <v>487</v>
      </c>
      <c r="G475" s="42">
        <v>1000</v>
      </c>
      <c r="H475" s="84">
        <f t="shared" si="7"/>
        <v>7.0263884369068817E-4</v>
      </c>
      <c r="I475" s="35"/>
      <c r="J475" s="35"/>
      <c r="K475" s="56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</row>
    <row r="476" spans="1:28" ht="14" hidden="1">
      <c r="A476" s="37" t="s">
        <v>730</v>
      </c>
      <c r="B476" s="44" t="s">
        <v>731</v>
      </c>
      <c r="C476" s="37">
        <f ca="1">SUMIF('Finished Recipe'!H:R,'مسحوبات المواد الخام'!A476,'Finished Recipe'!R:R)</f>
        <v>0</v>
      </c>
      <c r="D476" s="40">
        <f>SUMIF('Semi Finished Recipe'!B:B,'RM &amp; SF'!B393,'Semi Finished Recipe'!L:L)</f>
        <v>0.43221253476702504</v>
      </c>
      <c r="E476" s="37" t="s">
        <v>11</v>
      </c>
      <c r="F476" s="38" t="s">
        <v>487</v>
      </c>
      <c r="G476" s="42">
        <v>1</v>
      </c>
      <c r="H476" s="84">
        <f t="shared" si="7"/>
        <v>0.43221253476702504</v>
      </c>
      <c r="I476" s="35"/>
      <c r="J476" s="35"/>
      <c r="K476" s="56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</row>
    <row r="477" spans="1:28" ht="14" hidden="1">
      <c r="A477" s="37" t="s">
        <v>732</v>
      </c>
      <c r="B477" s="44" t="s">
        <v>733</v>
      </c>
      <c r="C477" s="37">
        <f ca="1">SUMIF('Finished Recipe'!H:R,'مسحوبات المواد الخام'!A477,'Finished Recipe'!R:R)</f>
        <v>0</v>
      </c>
      <c r="D477" s="40">
        <f>SUMIF('Semi Finished Recipe'!B:B,'RM &amp; SF'!B394,'Semi Finished Recipe'!L:L)</f>
        <v>2.2632774193548379</v>
      </c>
      <c r="E477" s="37" t="s">
        <v>8</v>
      </c>
      <c r="F477" s="38" t="s">
        <v>487</v>
      </c>
      <c r="G477" s="42">
        <v>1000</v>
      </c>
      <c r="H477" s="84">
        <f t="shared" si="7"/>
        <v>2.2632774193548379E-3</v>
      </c>
      <c r="I477" s="35"/>
      <c r="J477" s="35"/>
      <c r="K477" s="56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</row>
    <row r="478" spans="1:28" ht="14" hidden="1">
      <c r="A478" s="37" t="s">
        <v>734</v>
      </c>
      <c r="B478" s="44" t="s">
        <v>735</v>
      </c>
      <c r="C478" s="37">
        <f ca="1">SUMIF('Finished Recipe'!H:R,'مسحوبات المواد الخام'!A478,'Finished Recipe'!R:R)</f>
        <v>0</v>
      </c>
      <c r="D478" s="40">
        <f>SUMIF('Semi Finished Recipe'!B:B,'RM &amp; SF'!B395,'Semi Finished Recipe'!L:L)</f>
        <v>2.9227303784037559</v>
      </c>
      <c r="E478" s="37" t="s">
        <v>11</v>
      </c>
      <c r="F478" s="38" t="s">
        <v>487</v>
      </c>
      <c r="G478" s="42">
        <v>1</v>
      </c>
      <c r="H478" s="84">
        <f t="shared" si="7"/>
        <v>2.9227303784037559</v>
      </c>
      <c r="I478" s="35"/>
      <c r="J478" s="35"/>
      <c r="K478" s="56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</row>
    <row r="479" spans="1:28" ht="14" hidden="1">
      <c r="A479" s="37" t="s">
        <v>736</v>
      </c>
      <c r="B479" s="44" t="s">
        <v>737</v>
      </c>
      <c r="C479" s="37">
        <f ca="1">SUMIF('Finished Recipe'!H:R,'مسحوبات المواد الخام'!A479,'Finished Recipe'!R:R)</f>
        <v>0</v>
      </c>
      <c r="D479" s="40">
        <f>SUMIF('Semi Finished Recipe'!B:B,'RM &amp; SF'!B396,'Semi Finished Recipe'!L:L)</f>
        <v>6.0256666666666681E-2</v>
      </c>
      <c r="E479" s="37" t="s">
        <v>11</v>
      </c>
      <c r="F479" s="38" t="s">
        <v>487</v>
      </c>
      <c r="G479" s="42">
        <v>1</v>
      </c>
      <c r="H479" s="84">
        <f t="shared" si="7"/>
        <v>6.0256666666666681E-2</v>
      </c>
      <c r="I479" s="35"/>
      <c r="J479" s="35"/>
      <c r="K479" s="56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</row>
    <row r="480" spans="1:28" ht="14" hidden="1">
      <c r="A480" s="37" t="s">
        <v>738</v>
      </c>
      <c r="B480" s="44" t="s">
        <v>739</v>
      </c>
      <c r="C480" s="37">
        <f ca="1">SUMIF('Finished Recipe'!H:R,'مسحوبات المواد الخام'!A480,'Finished Recipe'!R:R)</f>
        <v>0</v>
      </c>
      <c r="D480" s="40">
        <f>SUMIF('Semi Finished Recipe'!B:B,'RM &amp; SF'!B397,'Semi Finished Recipe'!L:L)</f>
        <v>3.990566666666667</v>
      </c>
      <c r="E480" s="37" t="s">
        <v>8</v>
      </c>
      <c r="F480" s="38" t="s">
        <v>487</v>
      </c>
      <c r="G480" s="42">
        <v>1000</v>
      </c>
      <c r="H480" s="84">
        <f t="shared" si="7"/>
        <v>3.9905666666666673E-3</v>
      </c>
      <c r="I480" s="35"/>
      <c r="J480" s="35"/>
      <c r="K480" s="56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</row>
    <row r="481" spans="1:28" ht="14" hidden="1">
      <c r="A481" s="37" t="s">
        <v>740</v>
      </c>
      <c r="B481" s="44" t="s">
        <v>741</v>
      </c>
      <c r="C481" s="37">
        <f ca="1">SUMIF('Finished Recipe'!H:R,'مسحوبات المواد الخام'!A481,'Finished Recipe'!R:R)</f>
        <v>0</v>
      </c>
      <c r="D481" s="40">
        <f>SUMIF('Semi Finished Recipe'!B:B,'RM &amp; SF'!B398,'Semi Finished Recipe'!L:L)</f>
        <v>0.375</v>
      </c>
      <c r="E481" s="37" t="s">
        <v>8</v>
      </c>
      <c r="F481" s="38" t="s">
        <v>487</v>
      </c>
      <c r="G481" s="42">
        <v>1000</v>
      </c>
      <c r="H481" s="84">
        <f t="shared" si="7"/>
        <v>3.7500000000000001E-4</v>
      </c>
      <c r="I481" s="35"/>
      <c r="J481" s="35"/>
      <c r="K481" s="56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</row>
    <row r="482" spans="1:28" ht="14" hidden="1">
      <c r="A482" s="37" t="s">
        <v>742</v>
      </c>
      <c r="B482" s="44" t="s">
        <v>743</v>
      </c>
      <c r="C482" s="37">
        <f ca="1">SUMIF('Finished Recipe'!H:R,'مسحوبات المواد الخام'!A482,'Finished Recipe'!R:R)</f>
        <v>0</v>
      </c>
      <c r="D482" s="40">
        <f>SUMIF('Semi Finished Recipe'!B:B,'RM &amp; SF'!B399,'Semi Finished Recipe'!L:L)</f>
        <v>13.886910799999999</v>
      </c>
      <c r="E482" s="37" t="s">
        <v>8</v>
      </c>
      <c r="F482" s="38" t="s">
        <v>487</v>
      </c>
      <c r="G482" s="42">
        <v>1000</v>
      </c>
      <c r="H482" s="84">
        <f t="shared" si="7"/>
        <v>1.3886910799999999E-2</v>
      </c>
      <c r="I482" s="35"/>
      <c r="J482" s="35"/>
      <c r="K482" s="56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</row>
    <row r="483" spans="1:28" ht="14" hidden="1">
      <c r="A483" s="37" t="s">
        <v>744</v>
      </c>
      <c r="B483" s="44" t="s">
        <v>745</v>
      </c>
      <c r="C483" s="37">
        <f ca="1">SUMIF('Finished Recipe'!H:R,'مسحوبات المواد الخام'!A483,'Finished Recipe'!R:R)</f>
        <v>0</v>
      </c>
      <c r="D483" s="40">
        <f>SUMIF('Semi Finished Recipe'!B:B,'RM &amp; SF'!B400,'Semi Finished Recipe'!L:L)</f>
        <v>3.3899999999999997</v>
      </c>
      <c r="E483" s="37" t="s">
        <v>8</v>
      </c>
      <c r="F483" s="38" t="s">
        <v>487</v>
      </c>
      <c r="G483" s="42">
        <v>1000</v>
      </c>
      <c r="H483" s="84">
        <f t="shared" si="7"/>
        <v>3.3899999999999998E-3</v>
      </c>
      <c r="I483" s="35"/>
      <c r="J483" s="35"/>
      <c r="K483" s="56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</row>
    <row r="484" spans="1:28" ht="14" hidden="1">
      <c r="A484" s="37" t="s">
        <v>746</v>
      </c>
      <c r="B484" s="44" t="s">
        <v>747</v>
      </c>
      <c r="C484" s="37">
        <f ca="1">SUMIF('Finished Recipe'!H:R,'مسحوبات المواد الخام'!A484,'Finished Recipe'!R:R)</f>
        <v>0</v>
      </c>
      <c r="D484" s="40">
        <f>SUMIF('Semi Finished Recipe'!B:B,'RM &amp; SF'!B401,'Semi Finished Recipe'!L:L)</f>
        <v>12.916885874910252</v>
      </c>
      <c r="E484" s="37" t="s">
        <v>8</v>
      </c>
      <c r="F484" s="38" t="s">
        <v>487</v>
      </c>
      <c r="G484" s="42">
        <v>1000</v>
      </c>
      <c r="H484" s="84">
        <f t="shared" si="7"/>
        <v>1.2916885874910251E-2</v>
      </c>
      <c r="I484" s="35"/>
      <c r="J484" s="35"/>
      <c r="K484" s="56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</row>
    <row r="485" spans="1:28" ht="14" hidden="1">
      <c r="A485" s="37" t="s">
        <v>748</v>
      </c>
      <c r="B485" s="44" t="s">
        <v>749</v>
      </c>
      <c r="C485" s="37">
        <f ca="1">SUMIF('Finished Recipe'!H:R,'مسحوبات المواد الخام'!A485,'Finished Recipe'!R:R)</f>
        <v>0</v>
      </c>
      <c r="D485" s="40">
        <f>SUMIF('Semi Finished Recipe'!B:B,'RM &amp; SF'!B402,'Semi Finished Recipe'!L:L)</f>
        <v>0.68960777777777782</v>
      </c>
      <c r="E485" s="37" t="s">
        <v>8</v>
      </c>
      <c r="F485" s="38" t="s">
        <v>487</v>
      </c>
      <c r="G485" s="42">
        <v>1000</v>
      </c>
      <c r="H485" s="84">
        <f t="shared" si="7"/>
        <v>6.896077777777778E-4</v>
      </c>
      <c r="I485" s="35"/>
      <c r="J485" s="35"/>
      <c r="K485" s="56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</row>
    <row r="486" spans="1:28" ht="14" hidden="1">
      <c r="A486" s="37" t="s">
        <v>750</v>
      </c>
      <c r="B486" s="44" t="s">
        <v>751</v>
      </c>
      <c r="C486" s="37">
        <f ca="1">SUMIF('Finished Recipe'!H:R,'مسحوبات المواد الخام'!A486,'Finished Recipe'!R:R)</f>
        <v>0</v>
      </c>
      <c r="D486" s="40">
        <f>SUMIF('Semi Finished Recipe'!B:B,'RM &amp; SF'!B403,'Semi Finished Recipe'!L:L)</f>
        <v>2.3206110769230768</v>
      </c>
      <c r="E486" s="37" t="s">
        <v>11</v>
      </c>
      <c r="F486" s="38" t="s">
        <v>487</v>
      </c>
      <c r="G486" s="42">
        <v>1</v>
      </c>
      <c r="H486" s="84">
        <f t="shared" si="7"/>
        <v>2.3206110769230768</v>
      </c>
      <c r="I486" s="35"/>
      <c r="J486" s="35"/>
      <c r="K486" s="56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</row>
    <row r="487" spans="1:28" ht="14" hidden="1">
      <c r="A487" s="37" t="s">
        <v>752</v>
      </c>
      <c r="B487" s="44" t="s">
        <v>753</v>
      </c>
      <c r="C487" s="37">
        <f ca="1">SUMIF('Finished Recipe'!H:R,'مسحوبات المواد الخام'!A487,'Finished Recipe'!R:R)</f>
        <v>0</v>
      </c>
      <c r="D487" s="40">
        <f>SUMIF('Semi Finished Recipe'!B:B,'RM &amp; SF'!B404,'Semi Finished Recipe'!L:L)</f>
        <v>4.7089713333333343</v>
      </c>
      <c r="E487" s="37" t="s">
        <v>8</v>
      </c>
      <c r="F487" s="38" t="s">
        <v>487</v>
      </c>
      <c r="G487" s="42">
        <v>1000</v>
      </c>
      <c r="H487" s="84">
        <f t="shared" si="7"/>
        <v>4.7089713333333342E-3</v>
      </c>
      <c r="I487" s="35"/>
      <c r="J487" s="35"/>
      <c r="K487" s="56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</row>
    <row r="488" spans="1:28" ht="14" hidden="1">
      <c r="A488" s="37" t="s">
        <v>754</v>
      </c>
      <c r="B488" s="37" t="s">
        <v>755</v>
      </c>
      <c r="C488" s="37">
        <f ca="1">SUMIF('Finished Recipe'!H:R,'مسحوبات المواد الخام'!A488,'Finished Recipe'!R:R)</f>
        <v>0</v>
      </c>
      <c r="D488" s="40">
        <f>SUMIF('Semi Finished Recipe'!B:B,'RM &amp; SF'!B405,'Semi Finished Recipe'!L:L)</f>
        <v>8.3318833087257165</v>
      </c>
      <c r="E488" s="37" t="s">
        <v>11</v>
      </c>
      <c r="F488" s="38" t="s">
        <v>487</v>
      </c>
      <c r="G488" s="42">
        <v>1</v>
      </c>
      <c r="H488" s="84">
        <f t="shared" si="7"/>
        <v>8.3318833087257165</v>
      </c>
      <c r="I488" s="35"/>
      <c r="J488" s="35"/>
      <c r="K488" s="56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</row>
    <row r="489" spans="1:28" ht="14" hidden="1">
      <c r="A489" s="37" t="s">
        <v>756</v>
      </c>
      <c r="B489" s="37" t="s">
        <v>757</v>
      </c>
      <c r="C489" s="37">
        <f ca="1">SUMIF('Finished Recipe'!H:R,'مسحوبات المواد الخام'!A489,'Finished Recipe'!R:R)</f>
        <v>0</v>
      </c>
      <c r="D489" s="40">
        <f>SUMIF('Semi Finished Recipe'!B:B,'RM &amp; SF'!B406,'Semi Finished Recipe'!L:L)</f>
        <v>0.34595777777777781</v>
      </c>
      <c r="E489" s="37" t="s">
        <v>11</v>
      </c>
      <c r="F489" s="38" t="s">
        <v>487</v>
      </c>
      <c r="G489" s="42">
        <v>1</v>
      </c>
      <c r="H489" s="84">
        <f t="shared" si="7"/>
        <v>0.34595777777777781</v>
      </c>
      <c r="I489" s="35"/>
      <c r="J489" s="35"/>
      <c r="K489" s="56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</row>
    <row r="490" spans="1:28" ht="14" hidden="1">
      <c r="A490" s="37" t="s">
        <v>758</v>
      </c>
      <c r="B490" s="37" t="s">
        <v>759</v>
      </c>
      <c r="C490" s="37">
        <f ca="1">SUMIF('Finished Recipe'!H:R,'مسحوبات المواد الخام'!A490,'Finished Recipe'!R:R)</f>
        <v>0</v>
      </c>
      <c r="D490" s="40">
        <f>SUMIF('Semi Finished Recipe'!B:B,'RM &amp; SF'!B407,'Semi Finished Recipe'!L:L)</f>
        <v>2.2669666666666664</v>
      </c>
      <c r="E490" s="37" t="s">
        <v>8</v>
      </c>
      <c r="F490" s="38" t="s">
        <v>487</v>
      </c>
      <c r="G490" s="42">
        <v>1000</v>
      </c>
      <c r="H490" s="84">
        <f t="shared" si="7"/>
        <v>2.2669666666666663E-3</v>
      </c>
      <c r="I490" s="35"/>
      <c r="J490" s="35"/>
      <c r="K490" s="56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</row>
    <row r="491" spans="1:28" ht="14" hidden="1">
      <c r="A491" s="37" t="s">
        <v>760</v>
      </c>
      <c r="B491" s="37" t="s">
        <v>761</v>
      </c>
      <c r="C491" s="37">
        <f ca="1">SUMIF('Finished Recipe'!H:R,'مسحوبات المواد الخام'!A491,'Finished Recipe'!R:R)</f>
        <v>0</v>
      </c>
      <c r="D491" s="40">
        <f>SUMIF('Semi Finished Recipe'!B:B,'RM &amp; SF'!B408,'Semi Finished Recipe'!L:L)</f>
        <v>4.6747002155172419</v>
      </c>
      <c r="E491" s="37" t="s">
        <v>8</v>
      </c>
      <c r="F491" s="38" t="s">
        <v>487</v>
      </c>
      <c r="G491" s="42">
        <v>1000</v>
      </c>
      <c r="H491" s="84">
        <f t="shared" si="7"/>
        <v>4.6747002155172416E-3</v>
      </c>
      <c r="I491" s="35"/>
      <c r="J491" s="35"/>
      <c r="K491" s="56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</row>
    <row r="492" spans="1:28" ht="14" hidden="1">
      <c r="A492" s="61" t="s">
        <v>762</v>
      </c>
      <c r="B492" s="61" t="s">
        <v>763</v>
      </c>
      <c r="C492" s="37">
        <f ca="1">SUMIF('Finished Recipe'!H:R,'مسحوبات المواد الخام'!A492,'Finished Recipe'!R:R)</f>
        <v>0</v>
      </c>
      <c r="D492" s="40">
        <f>SUMIF('Semi Finished Recipe'!B:B,'RM &amp; SF'!B409,'Semi Finished Recipe'!L:L)</f>
        <v>3.9603970000000004</v>
      </c>
      <c r="E492" s="37" t="s">
        <v>8</v>
      </c>
      <c r="F492" s="38" t="s">
        <v>487</v>
      </c>
      <c r="G492" s="42">
        <v>1000</v>
      </c>
      <c r="H492" s="84">
        <f t="shared" si="7"/>
        <v>3.960397E-3</v>
      </c>
      <c r="I492" s="35"/>
      <c r="J492" s="35"/>
      <c r="K492" s="56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</row>
    <row r="493" spans="1:28" ht="14" hidden="1">
      <c r="A493" s="37" t="s">
        <v>764</v>
      </c>
      <c r="B493" s="44" t="s">
        <v>765</v>
      </c>
      <c r="C493" s="37">
        <f ca="1">SUMIF('Finished Recipe'!H:R,'مسحوبات المواد الخام'!A493,'Finished Recipe'!R:R)</f>
        <v>0</v>
      </c>
      <c r="D493" s="40">
        <f>SUMIF('Semi Finished Recipe'!B:B,'RM &amp; SF'!B410,'Semi Finished Recipe'!L:L)</f>
        <v>1.8102439024390247</v>
      </c>
      <c r="E493" s="37" t="s">
        <v>8</v>
      </c>
      <c r="F493" s="38" t="s">
        <v>487</v>
      </c>
      <c r="G493" s="42">
        <v>1000</v>
      </c>
      <c r="H493" s="84">
        <f t="shared" si="7"/>
        <v>1.8102439024390246E-3</v>
      </c>
      <c r="I493" s="35"/>
      <c r="J493" s="35"/>
      <c r="K493" s="56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</row>
    <row r="494" spans="1:28" ht="14" hidden="1">
      <c r="A494" s="37" t="s">
        <v>766</v>
      </c>
      <c r="B494" s="44" t="s">
        <v>767</v>
      </c>
      <c r="C494" s="37">
        <f ca="1">SUMIF('Finished Recipe'!H:R,'مسحوبات المواد الخام'!A494,'Finished Recipe'!R:R)</f>
        <v>0</v>
      </c>
      <c r="D494" s="40">
        <f>SUMIF('Semi Finished Recipe'!B:B,'RM &amp; SF'!B411,'Semi Finished Recipe'!L:L)</f>
        <v>1.9567508771929827</v>
      </c>
      <c r="E494" s="37" t="s">
        <v>8</v>
      </c>
      <c r="F494" s="38" t="s">
        <v>487</v>
      </c>
      <c r="G494" s="42">
        <v>1000</v>
      </c>
      <c r="H494" s="84">
        <f t="shared" si="7"/>
        <v>1.9567508771929825E-3</v>
      </c>
      <c r="I494" s="35"/>
      <c r="J494" s="35"/>
      <c r="K494" s="56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</row>
    <row r="495" spans="1:28" ht="14" hidden="1">
      <c r="A495" s="37" t="s">
        <v>768</v>
      </c>
      <c r="B495" s="44" t="s">
        <v>769</v>
      </c>
      <c r="C495" s="37">
        <f ca="1">SUMIF('Finished Recipe'!H:R,'مسحوبات المواد الخام'!A495,'Finished Recipe'!R:R)</f>
        <v>0</v>
      </c>
      <c r="D495" s="40">
        <f>SUMIF('Semi Finished Recipe'!B:B,'RM &amp; SF'!B412,'Semi Finished Recipe'!L:L)</f>
        <v>0.26400000000000001</v>
      </c>
      <c r="E495" s="37" t="s">
        <v>8</v>
      </c>
      <c r="F495" s="38" t="s">
        <v>487</v>
      </c>
      <c r="G495" s="42">
        <v>1000</v>
      </c>
      <c r="H495" s="84">
        <f t="shared" si="7"/>
        <v>2.6400000000000002E-4</v>
      </c>
      <c r="I495" s="35"/>
      <c r="J495" s="35"/>
      <c r="K495" s="56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</row>
    <row r="496" spans="1:28" ht="14" hidden="1">
      <c r="A496" s="37" t="s">
        <v>770</v>
      </c>
      <c r="B496" s="44" t="s">
        <v>771</v>
      </c>
      <c r="C496" s="37">
        <f ca="1">SUMIF('Finished Recipe'!H:R,'مسحوبات المواد الخام'!A496,'Finished Recipe'!R:R)</f>
        <v>0</v>
      </c>
      <c r="D496" s="40">
        <f>SUMIF('Semi Finished Recipe'!B:B,'RM &amp; SF'!B413,'Semi Finished Recipe'!L:L)</f>
        <v>3.758961666666667</v>
      </c>
      <c r="E496" s="37" t="s">
        <v>8</v>
      </c>
      <c r="F496" s="38" t="s">
        <v>487</v>
      </c>
      <c r="G496" s="42">
        <v>1000</v>
      </c>
      <c r="H496" s="84">
        <f t="shared" si="7"/>
        <v>3.7589616666666671E-3</v>
      </c>
      <c r="I496" s="35"/>
      <c r="J496" s="35"/>
      <c r="K496" s="56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</row>
    <row r="497" spans="1:28" ht="14" hidden="1">
      <c r="A497" s="37" t="s">
        <v>772</v>
      </c>
      <c r="B497" s="44" t="s">
        <v>773</v>
      </c>
      <c r="C497" s="37">
        <f ca="1">SUMIF('Finished Recipe'!H:R,'مسحوبات المواد الخام'!A497,'Finished Recipe'!R:R)</f>
        <v>0</v>
      </c>
      <c r="D497" s="40">
        <f>SUMIF('Semi Finished Recipe'!B:B,'RM &amp; SF'!B414,'Semi Finished Recipe'!L:L)</f>
        <v>0.89002551020408172</v>
      </c>
      <c r="E497" s="37" t="s">
        <v>8</v>
      </c>
      <c r="F497" s="38" t="s">
        <v>487</v>
      </c>
      <c r="G497" s="42">
        <v>1000</v>
      </c>
      <c r="H497" s="84">
        <f t="shared" si="7"/>
        <v>8.9002551020408169E-4</v>
      </c>
      <c r="I497" s="35"/>
      <c r="J497" s="35"/>
      <c r="K497" s="56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</row>
    <row r="498" spans="1:28" ht="14" hidden="1">
      <c r="A498" s="37" t="s">
        <v>774</v>
      </c>
      <c r="B498" s="44" t="s">
        <v>775</v>
      </c>
      <c r="C498" s="37">
        <f ca="1">SUMIF('Finished Recipe'!H:R,'مسحوبات المواد الخام'!A498,'Finished Recipe'!R:R)</f>
        <v>0</v>
      </c>
      <c r="D498" s="40">
        <f>SUMIF('Semi Finished Recipe'!B:B,'RM &amp; SF'!B415,'Semi Finished Recipe'!L:L)</f>
        <v>0.90050237795747234</v>
      </c>
      <c r="E498" s="37" t="s">
        <v>8</v>
      </c>
      <c r="F498" s="38" t="s">
        <v>487</v>
      </c>
      <c r="G498" s="42">
        <v>1000</v>
      </c>
      <c r="H498" s="84">
        <f t="shared" si="7"/>
        <v>9.0050237795747236E-4</v>
      </c>
      <c r="I498" s="35"/>
      <c r="J498" s="35"/>
      <c r="K498" s="56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</row>
    <row r="499" spans="1:28" ht="14" hidden="1">
      <c r="A499" s="37" t="s">
        <v>776</v>
      </c>
      <c r="B499" s="44" t="s">
        <v>777</v>
      </c>
      <c r="C499" s="37">
        <f ca="1">SUMIF('Finished Recipe'!H:R,'مسحوبات المواد الخام'!A499,'Finished Recipe'!R:R)</f>
        <v>0</v>
      </c>
      <c r="D499" s="40">
        <f>SUMIF('Semi Finished Recipe'!B:B,'RM &amp; SF'!B416,'Semi Finished Recipe'!L:L)</f>
        <v>1.1954596400000002</v>
      </c>
      <c r="E499" s="37" t="s">
        <v>8</v>
      </c>
      <c r="F499" s="38" t="s">
        <v>487</v>
      </c>
      <c r="G499" s="42">
        <v>1000</v>
      </c>
      <c r="H499" s="84">
        <f t="shared" si="7"/>
        <v>1.1954596400000001E-3</v>
      </c>
      <c r="I499" s="35"/>
      <c r="J499" s="35"/>
      <c r="K499" s="56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</row>
    <row r="500" spans="1:28" ht="14" hidden="1">
      <c r="A500" s="37" t="s">
        <v>778</v>
      </c>
      <c r="B500" s="44" t="s">
        <v>779</v>
      </c>
      <c r="C500" s="37">
        <f ca="1">SUMIF('Finished Recipe'!H:R,'مسحوبات المواد الخام'!A500,'Finished Recipe'!R:R)</f>
        <v>0</v>
      </c>
      <c r="D500" s="40">
        <f>SUMIF('Semi Finished Recipe'!B:B,'RM &amp; SF'!B417,'Semi Finished Recipe'!L:L)</f>
        <v>0.4578856190476191</v>
      </c>
      <c r="E500" s="37" t="s">
        <v>8</v>
      </c>
      <c r="F500" s="38" t="s">
        <v>487</v>
      </c>
      <c r="G500" s="42">
        <v>1000</v>
      </c>
      <c r="H500" s="84">
        <f t="shared" si="7"/>
        <v>4.578856190476191E-4</v>
      </c>
      <c r="I500" s="35"/>
      <c r="J500" s="35"/>
      <c r="K500" s="56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</row>
    <row r="501" spans="1:28" ht="14" hidden="1">
      <c r="A501" s="37" t="s">
        <v>780</v>
      </c>
      <c r="B501" s="37" t="s">
        <v>781</v>
      </c>
      <c r="C501" s="37">
        <f ca="1">SUMIF('Finished Recipe'!H:R,'مسحوبات المواد الخام'!A501,'Finished Recipe'!R:R)</f>
        <v>0</v>
      </c>
      <c r="D501" s="40">
        <f>SUMIF('Semi Finished Recipe'!B:B,'RM &amp; SF'!B418,'Semi Finished Recipe'!L:L)</f>
        <v>2.8622461333333327</v>
      </c>
      <c r="E501" s="37" t="s">
        <v>8</v>
      </c>
      <c r="F501" s="38" t="s">
        <v>487</v>
      </c>
      <c r="G501" s="42">
        <v>1000</v>
      </c>
      <c r="H501" s="84">
        <f t="shared" si="7"/>
        <v>2.8622461333333328E-3</v>
      </c>
      <c r="I501" s="35"/>
      <c r="J501" s="35"/>
      <c r="K501" s="56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</row>
    <row r="502" spans="1:28" ht="14" hidden="1">
      <c r="A502" s="37" t="s">
        <v>782</v>
      </c>
      <c r="B502" s="37" t="s">
        <v>783</v>
      </c>
      <c r="C502" s="37">
        <f ca="1">SUMIF('Finished Recipe'!H:R,'مسحوبات المواد الخام'!A502,'Finished Recipe'!R:R)</f>
        <v>0</v>
      </c>
      <c r="D502" s="40">
        <f>SUMIF('Semi Finished Recipe'!B:B,'RM &amp; SF'!B419,'Semi Finished Recipe'!L:L)</f>
        <v>0.90071444444444448</v>
      </c>
      <c r="E502" s="37" t="s">
        <v>8</v>
      </c>
      <c r="F502" s="38" t="s">
        <v>487</v>
      </c>
      <c r="G502" s="42">
        <v>1000</v>
      </c>
      <c r="H502" s="84">
        <f t="shared" si="7"/>
        <v>9.0071444444444451E-4</v>
      </c>
      <c r="I502" s="35"/>
      <c r="J502" s="35"/>
      <c r="K502" s="56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</row>
    <row r="503" spans="1:28" ht="14" hidden="1">
      <c r="A503" s="37" t="s">
        <v>784</v>
      </c>
      <c r="B503" s="37" t="s">
        <v>785</v>
      </c>
      <c r="C503" s="37">
        <f ca="1">SUMIF('Finished Recipe'!H:R,'مسحوبات المواد الخام'!A503,'Finished Recipe'!R:R)</f>
        <v>0</v>
      </c>
      <c r="D503" s="40">
        <f>SUMIF('Semi Finished Recipe'!B:B,'RM &amp; SF'!#REF!,'Semi Finished Recipe'!L:L)</f>
        <v>0</v>
      </c>
      <c r="E503" s="37" t="s">
        <v>8</v>
      </c>
      <c r="F503" s="38" t="s">
        <v>487</v>
      </c>
      <c r="G503" s="42">
        <v>1000</v>
      </c>
      <c r="H503" s="84">
        <f t="shared" si="7"/>
        <v>0</v>
      </c>
      <c r="I503" s="35"/>
      <c r="J503" s="35"/>
      <c r="K503" s="56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</row>
    <row r="504" spans="1:28" ht="14" hidden="1">
      <c r="A504" s="37" t="s">
        <v>786</v>
      </c>
      <c r="B504" s="44" t="s">
        <v>787</v>
      </c>
      <c r="C504" s="37">
        <f ca="1">SUMIF('Finished Recipe'!H:R,'مسحوبات المواد الخام'!A504,'Finished Recipe'!R:R)</f>
        <v>0</v>
      </c>
      <c r="D504" s="40">
        <f>SUMIF('Semi Finished Recipe'!B:B,'RM &amp; SF'!#REF!,'Semi Finished Recipe'!L:L)</f>
        <v>0</v>
      </c>
      <c r="E504" s="37" t="s">
        <v>8</v>
      </c>
      <c r="F504" s="38" t="s">
        <v>487</v>
      </c>
      <c r="G504" s="42">
        <v>1000</v>
      </c>
      <c r="H504" s="84">
        <f t="shared" si="7"/>
        <v>0</v>
      </c>
      <c r="I504" s="35"/>
      <c r="J504" s="35"/>
      <c r="K504" s="56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</row>
    <row r="505" spans="1:28" ht="14" hidden="1">
      <c r="A505" s="37" t="s">
        <v>788</v>
      </c>
      <c r="B505" s="44" t="s">
        <v>789</v>
      </c>
      <c r="C505" s="37">
        <f ca="1">SUMIF('Finished Recipe'!H:R,'مسحوبات المواد الخام'!A505,'Finished Recipe'!R:R)</f>
        <v>0</v>
      </c>
      <c r="D505" s="40">
        <f>SUMIF('Semi Finished Recipe'!B:B,'RM &amp; SF'!#REF!,'Semi Finished Recipe'!L:L)</f>
        <v>0</v>
      </c>
      <c r="E505" s="37" t="s">
        <v>11</v>
      </c>
      <c r="F505" s="38" t="s">
        <v>487</v>
      </c>
      <c r="G505" s="42">
        <v>1</v>
      </c>
      <c r="H505" s="84">
        <f t="shared" si="7"/>
        <v>0</v>
      </c>
      <c r="I505" s="35"/>
      <c r="J505" s="35"/>
      <c r="K505" s="56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</row>
    <row r="506" spans="1:28" ht="14" hidden="1">
      <c r="A506" s="37" t="s">
        <v>790</v>
      </c>
      <c r="B506" s="44" t="s">
        <v>791</v>
      </c>
      <c r="C506" s="37">
        <f ca="1">SUMIF('Finished Recipe'!H:R,'مسحوبات المواد الخام'!A506,'Finished Recipe'!R:R)</f>
        <v>0</v>
      </c>
      <c r="D506" s="40">
        <f>SUMIF('Semi Finished Recipe'!B:B,'RM &amp; SF'!B420,'Semi Finished Recipe'!L:L)</f>
        <v>1.4296315789473684</v>
      </c>
      <c r="E506" s="37" t="s">
        <v>8</v>
      </c>
      <c r="F506" s="38" t="s">
        <v>487</v>
      </c>
      <c r="G506" s="42">
        <v>1000</v>
      </c>
      <c r="H506" s="84">
        <f t="shared" si="7"/>
        <v>1.4296315789473683E-3</v>
      </c>
      <c r="I506" s="35"/>
      <c r="J506" s="35"/>
      <c r="K506" s="56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</row>
    <row r="507" spans="1:28" ht="14" hidden="1">
      <c r="A507" s="37" t="s">
        <v>792</v>
      </c>
      <c r="B507" s="44" t="s">
        <v>793</v>
      </c>
      <c r="C507" s="37">
        <f ca="1">SUMIF('Finished Recipe'!H:R,'مسحوبات المواد الخام'!A507,'Finished Recipe'!R:R)</f>
        <v>0</v>
      </c>
      <c r="D507" s="40">
        <f>SUMIF('Semi Finished Recipe'!B:B,'RM &amp; SF'!B421,'Semi Finished Recipe'!L:L)</f>
        <v>0.92786683218390797</v>
      </c>
      <c r="E507" s="37" t="s">
        <v>8</v>
      </c>
      <c r="F507" s="38" t="s">
        <v>487</v>
      </c>
      <c r="G507" s="42">
        <v>1000</v>
      </c>
      <c r="H507" s="84">
        <f t="shared" si="7"/>
        <v>9.27866832183908E-4</v>
      </c>
      <c r="I507" s="35"/>
      <c r="J507" s="35"/>
      <c r="K507" s="56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</row>
    <row r="508" spans="1:28" ht="14" hidden="1">
      <c r="A508" s="37" t="s">
        <v>794</v>
      </c>
      <c r="B508" s="44" t="s">
        <v>795</v>
      </c>
      <c r="C508" s="37">
        <f ca="1">SUMIF('Finished Recipe'!H:R,'مسحوبات المواد الخام'!A508,'Finished Recipe'!R:R)</f>
        <v>0</v>
      </c>
      <c r="D508" s="40">
        <f>SUMIF('Semi Finished Recipe'!B:B,'RM &amp; SF'!B422,'Semi Finished Recipe'!L:L)</f>
        <v>1.9606966908849017</v>
      </c>
      <c r="E508" s="37" t="s">
        <v>11</v>
      </c>
      <c r="F508" s="38" t="s">
        <v>487</v>
      </c>
      <c r="G508" s="42">
        <v>1</v>
      </c>
      <c r="H508" s="84">
        <f t="shared" si="7"/>
        <v>1.9606966908849017</v>
      </c>
      <c r="I508" s="35"/>
      <c r="J508" s="35"/>
      <c r="K508" s="56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</row>
    <row r="509" spans="1:28" ht="14" hidden="1">
      <c r="A509" s="37" t="s">
        <v>796</v>
      </c>
      <c r="B509" s="44" t="s">
        <v>797</v>
      </c>
      <c r="C509" s="37">
        <f ca="1">SUMIF('Finished Recipe'!H:R,'مسحوبات المواد الخام'!A509,'Finished Recipe'!R:R)</f>
        <v>0</v>
      </c>
      <c r="D509" s="40">
        <f>SUMIF('Semi Finished Recipe'!B:B,'RM &amp; SF'!B423,'Semi Finished Recipe'!L:L)</f>
        <v>0.81314491666666655</v>
      </c>
      <c r="E509" s="37" t="s">
        <v>8</v>
      </c>
      <c r="F509" s="38" t="s">
        <v>487</v>
      </c>
      <c r="G509" s="42">
        <v>1000</v>
      </c>
      <c r="H509" s="84">
        <f t="shared" si="7"/>
        <v>8.1314491666666653E-4</v>
      </c>
      <c r="I509" s="35"/>
      <c r="J509" s="35"/>
      <c r="K509" s="56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</row>
    <row r="510" spans="1:28" ht="14" hidden="1">
      <c r="A510" s="37" t="s">
        <v>798</v>
      </c>
      <c r="B510" s="44"/>
      <c r="C510" s="37">
        <f ca="1">SUMIF('Finished Recipe'!H:R,'مسحوبات المواد الخام'!A510,'Finished Recipe'!R:R)</f>
        <v>0</v>
      </c>
      <c r="D510" s="40">
        <f>SUMIF('Semi Finished Recipe'!B:B,'RM &amp; SF'!B424,'Semi Finished Recipe'!L:L)</f>
        <v>3.2840802125553341</v>
      </c>
      <c r="E510" s="37" t="s">
        <v>8</v>
      </c>
      <c r="F510" s="38" t="s">
        <v>487</v>
      </c>
      <c r="G510" s="42">
        <v>1000</v>
      </c>
      <c r="H510" s="84">
        <f t="shared" ref="H510:H573" si="8">D510/G510</f>
        <v>3.284080212555334E-3</v>
      </c>
      <c r="I510" s="35"/>
      <c r="J510" s="35"/>
      <c r="K510" s="56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</row>
    <row r="511" spans="1:28" ht="14" hidden="1">
      <c r="A511" s="37" t="s">
        <v>800</v>
      </c>
      <c r="B511" s="44"/>
      <c r="C511" s="37">
        <f ca="1">SUMIF('Finished Recipe'!H:R,'مسحوبات المواد الخام'!A511,'Finished Recipe'!R:R)</f>
        <v>0</v>
      </c>
      <c r="D511" s="40">
        <f>SUMIF('Semi Finished Recipe'!B:B,'RM &amp; SF'!#REF!,'Semi Finished Recipe'!L:L)</f>
        <v>0</v>
      </c>
      <c r="E511" s="37" t="s">
        <v>8</v>
      </c>
      <c r="F511" s="38" t="s">
        <v>487</v>
      </c>
      <c r="G511" s="42">
        <v>1000</v>
      </c>
      <c r="H511" s="84">
        <f t="shared" si="8"/>
        <v>0</v>
      </c>
      <c r="I511" s="35"/>
      <c r="J511" s="35"/>
      <c r="K511" s="56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</row>
    <row r="512" spans="1:28" ht="14" hidden="1">
      <c r="A512" s="37" t="s">
        <v>1903</v>
      </c>
      <c r="B512" s="44" t="s">
        <v>1904</v>
      </c>
      <c r="C512" s="37">
        <f ca="1">SUMIF('Finished Recipe'!H:R,'مسحوبات المواد الخام'!A512,'Finished Recipe'!R:R)</f>
        <v>0</v>
      </c>
      <c r="D512" s="40">
        <f>SUMIF('Semi Finished Recipe'!B:B,'RM &amp; SF'!B425,'Semi Finished Recipe'!L:L)</f>
        <v>1.4172727272727272</v>
      </c>
      <c r="E512" s="37" t="s">
        <v>8</v>
      </c>
      <c r="F512" s="38" t="s">
        <v>487</v>
      </c>
      <c r="G512" s="42">
        <v>1000</v>
      </c>
      <c r="H512" s="84">
        <f t="shared" si="8"/>
        <v>1.4172727272727273E-3</v>
      </c>
      <c r="I512" s="35"/>
      <c r="J512" s="35"/>
      <c r="K512" s="56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</row>
    <row r="513" spans="1:28" ht="14" hidden="1">
      <c r="A513" s="37" t="s">
        <v>1905</v>
      </c>
      <c r="B513" s="44" t="s">
        <v>1901</v>
      </c>
      <c r="C513" s="37">
        <f ca="1">SUMIF('Finished Recipe'!H:R,'مسحوبات المواد الخام'!A513,'Finished Recipe'!R:R)</f>
        <v>0</v>
      </c>
      <c r="D513" s="40">
        <f>SUMIF('Semi Finished Recipe'!B:B,'RM &amp; SF'!B426,'Semi Finished Recipe'!L:L)</f>
        <v>2.6476479954954959</v>
      </c>
      <c r="E513" s="37" t="s">
        <v>1876</v>
      </c>
      <c r="F513" s="38" t="s">
        <v>487</v>
      </c>
      <c r="G513" s="42">
        <v>1</v>
      </c>
      <c r="H513" s="84">
        <f t="shared" si="8"/>
        <v>2.6476479954954959</v>
      </c>
      <c r="I513" s="35"/>
      <c r="J513" s="35"/>
      <c r="K513" s="56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</row>
    <row r="514" spans="1:28" ht="14" hidden="1">
      <c r="A514" s="37" t="s">
        <v>1908</v>
      </c>
      <c r="B514" s="44" t="s">
        <v>1910</v>
      </c>
      <c r="C514" s="37">
        <f ca="1">SUMIF('Finished Recipe'!H:R,'مسحوبات المواد الخام'!A514,'Finished Recipe'!R:R)</f>
        <v>0</v>
      </c>
      <c r="D514" s="40">
        <f>SUMIF('Semi Finished Recipe'!B:B,'RM &amp; SF'!B427,'Semi Finished Recipe'!L:L)</f>
        <v>0.70473887387387379</v>
      </c>
      <c r="E514" s="37" t="s">
        <v>8</v>
      </c>
      <c r="F514" s="38" t="s">
        <v>487</v>
      </c>
      <c r="G514" s="42">
        <v>1000</v>
      </c>
      <c r="H514" s="84">
        <f t="shared" si="8"/>
        <v>7.0473887387387376E-4</v>
      </c>
      <c r="I514" s="35"/>
      <c r="J514" s="35"/>
      <c r="K514" s="56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</row>
    <row r="515" spans="1:28" ht="14" hidden="1">
      <c r="A515" s="37" t="s">
        <v>674</v>
      </c>
      <c r="B515" s="37" t="s">
        <v>675</v>
      </c>
      <c r="C515" s="37">
        <f ca="1">SUMIF('Finished Recipe'!H:R,'مسحوبات المواد الخام'!A515,'Finished Recipe'!R:R)</f>
        <v>0</v>
      </c>
      <c r="D515" s="40">
        <f>SUMIF('Semi Finished Recipe'!B:B,'RM &amp; SF'!#REF!,'Semi Finished Recipe'!L:L)</f>
        <v>0</v>
      </c>
      <c r="E515" s="37" t="s">
        <v>676</v>
      </c>
      <c r="F515" s="38" t="s">
        <v>487</v>
      </c>
      <c r="G515" s="42">
        <v>1</v>
      </c>
      <c r="H515" s="84">
        <f t="shared" si="8"/>
        <v>0</v>
      </c>
      <c r="I515" s="35"/>
      <c r="J515" s="35"/>
      <c r="K515" s="56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</row>
    <row r="516" spans="1:28" ht="14" hidden="1">
      <c r="A516" s="37" t="s">
        <v>492</v>
      </c>
      <c r="B516" s="37" t="s">
        <v>493</v>
      </c>
      <c r="C516" s="37">
        <f ca="1">SUMIF('Finished Recipe'!H:R,'مسحوبات المواد الخام'!A516,'Finished Recipe'!R:R)</f>
        <v>0</v>
      </c>
      <c r="D516" s="40">
        <f>SUMIF('Semi Finished Recipe'!B:B,'RM &amp; SF'!B428,'Semi Finished Recipe'!L:L)</f>
        <v>3.3316857762056666E-2</v>
      </c>
      <c r="E516" s="37" t="s">
        <v>11</v>
      </c>
      <c r="F516" s="38" t="s">
        <v>487</v>
      </c>
      <c r="G516" s="42">
        <v>1</v>
      </c>
      <c r="H516" s="84">
        <f t="shared" si="8"/>
        <v>3.3316857762056666E-2</v>
      </c>
      <c r="I516" s="35"/>
      <c r="J516" s="35"/>
      <c r="K516" s="56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</row>
    <row r="517" spans="1:28" ht="14" hidden="1">
      <c r="A517" s="37" t="s">
        <v>522</v>
      </c>
      <c r="B517" s="37" t="s">
        <v>523</v>
      </c>
      <c r="C517" s="37">
        <f ca="1">SUMIF('Finished Recipe'!H:R,'مسحوبات المواد الخام'!A517,'Finished Recipe'!R:R)</f>
        <v>0</v>
      </c>
      <c r="D517" s="40">
        <f>SUMIF('Semi Finished Recipe'!B:B,'RM &amp; SF'!#REF!,'Semi Finished Recipe'!L:L)</f>
        <v>0</v>
      </c>
      <c r="E517" s="37" t="s">
        <v>8</v>
      </c>
      <c r="F517" s="38" t="s">
        <v>487</v>
      </c>
      <c r="G517" s="42">
        <v>1000</v>
      </c>
      <c r="H517" s="84">
        <f t="shared" si="8"/>
        <v>0</v>
      </c>
      <c r="I517" s="35"/>
      <c r="J517" s="35"/>
      <c r="K517" s="56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</row>
    <row r="518" spans="1:28" ht="14" hidden="1">
      <c r="A518" s="37" t="s">
        <v>526</v>
      </c>
      <c r="B518" s="37" t="s">
        <v>527</v>
      </c>
      <c r="C518" s="37">
        <f ca="1">SUMIF('Finished Recipe'!H:R,'مسحوبات المواد الخام'!A518,'Finished Recipe'!R:R)</f>
        <v>0</v>
      </c>
      <c r="D518" s="40">
        <f>SUMIF('Semi Finished Recipe'!B:B,'RM &amp; SF'!B429,'Semi Finished Recipe'!L:L)</f>
        <v>1.6448625429553263</v>
      </c>
      <c r="E518" s="37" t="s">
        <v>8</v>
      </c>
      <c r="F518" s="38" t="s">
        <v>487</v>
      </c>
      <c r="G518" s="42">
        <v>1000</v>
      </c>
      <c r="H518" s="84">
        <f t="shared" si="8"/>
        <v>1.6448625429553263E-3</v>
      </c>
      <c r="I518" s="35"/>
      <c r="J518" s="35"/>
      <c r="K518" s="56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</row>
    <row r="519" spans="1:28" ht="14" hidden="1">
      <c r="A519" s="37" t="s">
        <v>508</v>
      </c>
      <c r="B519" s="37" t="s">
        <v>509</v>
      </c>
      <c r="C519" s="37">
        <f ca="1">SUMIF('Finished Recipe'!H:R,'مسحوبات المواد الخام'!A519,'Finished Recipe'!R:R)</f>
        <v>0</v>
      </c>
      <c r="D519" s="40">
        <f>SUMIF('Semi Finished Recipe'!B:B,'RM &amp; SF'!B430,'Semi Finished Recipe'!L:L)</f>
        <v>3.6895654761904764</v>
      </c>
      <c r="E519" s="37" t="s">
        <v>8</v>
      </c>
      <c r="F519" s="38" t="s">
        <v>487</v>
      </c>
      <c r="G519" s="42">
        <v>1000</v>
      </c>
      <c r="H519" s="84">
        <f t="shared" si="8"/>
        <v>3.6895654761904765E-3</v>
      </c>
      <c r="I519" s="35"/>
      <c r="J519" s="35"/>
      <c r="K519" s="56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</row>
    <row r="520" spans="1:28" ht="14" hidden="1">
      <c r="A520" s="37" t="s">
        <v>510</v>
      </c>
      <c r="B520" s="37" t="s">
        <v>511</v>
      </c>
      <c r="C520" s="37">
        <f ca="1">SUMIF('Finished Recipe'!H:R,'مسحوبات المواد الخام'!A520,'Finished Recipe'!R:R)</f>
        <v>0</v>
      </c>
      <c r="D520" s="40">
        <f>SUMIF('Semi Finished Recipe'!B:B,'RM &amp; SF'!B431,'Semi Finished Recipe'!L:L)</f>
        <v>0.92055550264550257</v>
      </c>
      <c r="E520" s="37" t="s">
        <v>8</v>
      </c>
      <c r="F520" s="38" t="s">
        <v>487</v>
      </c>
      <c r="G520" s="42">
        <v>1000</v>
      </c>
      <c r="H520" s="84">
        <f t="shared" si="8"/>
        <v>9.2055550264550257E-4</v>
      </c>
      <c r="I520" s="35"/>
      <c r="J520" s="35"/>
      <c r="K520" s="56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</row>
    <row r="521" spans="1:28" ht="14" hidden="1">
      <c r="A521" s="37" t="s">
        <v>538</v>
      </c>
      <c r="B521" s="37" t="s">
        <v>539</v>
      </c>
      <c r="C521" s="37">
        <f ca="1">SUMIF('Finished Recipe'!H:R,'مسحوبات المواد الخام'!A521,'Finished Recipe'!R:R)</f>
        <v>0</v>
      </c>
      <c r="D521" s="40">
        <f>SUMIF('Semi Finished Recipe'!B:B,'RM &amp; SF'!B432,'Semi Finished Recipe'!L:L)</f>
        <v>3.5399982955314506</v>
      </c>
      <c r="E521" s="37" t="s">
        <v>11</v>
      </c>
      <c r="F521" s="38" t="s">
        <v>487</v>
      </c>
      <c r="G521" s="42">
        <v>1</v>
      </c>
      <c r="H521" s="84">
        <f t="shared" si="8"/>
        <v>3.5399982955314506</v>
      </c>
      <c r="I521" s="35"/>
      <c r="J521" s="35"/>
      <c r="K521" s="56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</row>
    <row r="522" spans="1:28" ht="14" hidden="1">
      <c r="A522" s="37" t="s">
        <v>540</v>
      </c>
      <c r="B522" s="37" t="s">
        <v>541</v>
      </c>
      <c r="C522" s="37">
        <f ca="1">SUMIF('Finished Recipe'!H:R,'مسحوبات المواد الخام'!A522,'Finished Recipe'!R:R)</f>
        <v>0</v>
      </c>
      <c r="D522" s="40">
        <f>SUMIF('Semi Finished Recipe'!B:B,'RM &amp; SF'!B433,'Semi Finished Recipe'!L:L)</f>
        <v>0.79700000000000004</v>
      </c>
      <c r="E522" s="37" t="s">
        <v>8</v>
      </c>
      <c r="F522" s="38" t="s">
        <v>487</v>
      </c>
      <c r="G522" s="42">
        <v>1000</v>
      </c>
      <c r="H522" s="84">
        <f t="shared" si="8"/>
        <v>7.9700000000000007E-4</v>
      </c>
      <c r="I522" s="35"/>
      <c r="J522" s="35"/>
      <c r="K522" s="56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</row>
    <row r="523" spans="1:28" ht="14" hidden="1">
      <c r="A523" s="37" t="s">
        <v>584</v>
      </c>
      <c r="B523" s="37" t="s">
        <v>585</v>
      </c>
      <c r="C523" s="37">
        <f ca="1">SUMIF('Finished Recipe'!H:R,'مسحوبات المواد الخام'!A523,'Finished Recipe'!R:R)</f>
        <v>0</v>
      </c>
      <c r="D523" s="40">
        <f>SUMIF('Semi Finished Recipe'!B:B,'RM &amp; SF'!B434,'Semi Finished Recipe'!L:L)</f>
        <v>0.49428737588652483</v>
      </c>
      <c r="E523" s="38" t="s">
        <v>8</v>
      </c>
      <c r="F523" s="38" t="s">
        <v>487</v>
      </c>
      <c r="G523" s="42">
        <v>1000</v>
      </c>
      <c r="H523" s="84">
        <f t="shared" si="8"/>
        <v>4.9428737588652486E-4</v>
      </c>
      <c r="I523" s="35"/>
      <c r="J523" s="35"/>
      <c r="K523" s="56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</row>
    <row r="524" spans="1:28" ht="14" hidden="1">
      <c r="A524" s="37" t="s">
        <v>554</v>
      </c>
      <c r="B524" s="37" t="s">
        <v>555</v>
      </c>
      <c r="C524" s="37">
        <f ca="1">SUMIF('Finished Recipe'!H:R,'مسحوبات المواد الخام'!A524,'Finished Recipe'!R:R)</f>
        <v>0</v>
      </c>
      <c r="D524" s="40">
        <f>SUMIF('Semi Finished Recipe'!B:B,'RM &amp; SF'!B435,'Semi Finished Recipe'!L:L)</f>
        <v>0.49271573151695752</v>
      </c>
      <c r="E524" s="37" t="s">
        <v>8</v>
      </c>
      <c r="F524" s="38" t="s">
        <v>487</v>
      </c>
      <c r="G524" s="42">
        <v>1000</v>
      </c>
      <c r="H524" s="84">
        <f t="shared" si="8"/>
        <v>4.9271573151695748E-4</v>
      </c>
      <c r="I524" s="35"/>
      <c r="J524" s="35"/>
      <c r="K524" s="56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</row>
    <row r="525" spans="1:28" ht="14" hidden="1">
      <c r="A525" s="37" t="s">
        <v>558</v>
      </c>
      <c r="B525" s="37" t="s">
        <v>559</v>
      </c>
      <c r="C525" s="37">
        <f ca="1">SUMIF('Finished Recipe'!H:R,'مسحوبات المواد الخام'!A525,'Finished Recipe'!R:R)</f>
        <v>0</v>
      </c>
      <c r="D525" s="40">
        <f>SUMIF('Semi Finished Recipe'!B:B,'RM &amp; SF'!B436,'Semi Finished Recipe'!L:L)</f>
        <v>0.63725786356821579</v>
      </c>
      <c r="E525" s="37" t="s">
        <v>8</v>
      </c>
      <c r="F525" s="38" t="s">
        <v>487</v>
      </c>
      <c r="G525" s="42">
        <v>1000</v>
      </c>
      <c r="H525" s="84">
        <f t="shared" si="8"/>
        <v>6.3725786356821576E-4</v>
      </c>
      <c r="I525" s="35"/>
      <c r="J525" s="35"/>
      <c r="K525" s="56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</row>
    <row r="526" spans="1:28" ht="14" hidden="1">
      <c r="A526" s="37" t="s">
        <v>550</v>
      </c>
      <c r="B526" s="37" t="s">
        <v>551</v>
      </c>
      <c r="C526" s="37">
        <f ca="1">SUMIF('Finished Recipe'!H:R,'مسحوبات المواد الخام'!A526,'Finished Recipe'!R:R)</f>
        <v>0</v>
      </c>
      <c r="D526" s="40">
        <f>SUMIF('Semi Finished Recipe'!B:B,'RM &amp; SF'!B437,'Semi Finished Recipe'!L:L)</f>
        <v>0.49216375000000001</v>
      </c>
      <c r="E526" s="37" t="s">
        <v>8</v>
      </c>
      <c r="F526" s="38" t="s">
        <v>487</v>
      </c>
      <c r="G526" s="42">
        <v>1000</v>
      </c>
      <c r="H526" s="84">
        <f t="shared" si="8"/>
        <v>4.9216375000000004E-4</v>
      </c>
      <c r="I526" s="35"/>
      <c r="J526" s="35"/>
      <c r="K526" s="56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</row>
    <row r="527" spans="1:28" ht="14" hidden="1">
      <c r="A527" s="37" t="s">
        <v>548</v>
      </c>
      <c r="B527" s="37" t="s">
        <v>549</v>
      </c>
      <c r="C527" s="37">
        <f ca="1">SUMIF('Finished Recipe'!H:R,'مسحوبات المواد الخام'!A527,'Finished Recipe'!R:R)</f>
        <v>0</v>
      </c>
      <c r="D527" s="40">
        <f>SUMIF('Semi Finished Recipe'!B:B,'RM &amp; SF'!B438,'Semi Finished Recipe'!L:L)</f>
        <v>0.41596433333333332</v>
      </c>
      <c r="E527" s="37" t="s">
        <v>8</v>
      </c>
      <c r="F527" s="38" t="s">
        <v>487</v>
      </c>
      <c r="G527" s="42">
        <v>1000</v>
      </c>
      <c r="H527" s="84">
        <f t="shared" si="8"/>
        <v>4.1596433333333332E-4</v>
      </c>
      <c r="I527" s="35"/>
      <c r="J527" s="35"/>
      <c r="K527" s="56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</row>
    <row r="528" spans="1:28" ht="14" hidden="1">
      <c r="A528" s="37" t="s">
        <v>594</v>
      </c>
      <c r="B528" s="37" t="s">
        <v>595</v>
      </c>
      <c r="C528" s="37">
        <f ca="1">SUMIF('Finished Recipe'!H:R,'مسحوبات المواد الخام'!A528,'Finished Recipe'!R:R)</f>
        <v>0</v>
      </c>
      <c r="D528" s="40">
        <f>SUMIF('Semi Finished Recipe'!B:B,'RM &amp; SF'!B439,'Semi Finished Recipe'!L:L)</f>
        <v>0.44997460919540233</v>
      </c>
      <c r="E528" s="37" t="s">
        <v>8</v>
      </c>
      <c r="F528" s="38" t="s">
        <v>487</v>
      </c>
      <c r="G528" s="42">
        <v>1000</v>
      </c>
      <c r="H528" s="84">
        <f t="shared" si="8"/>
        <v>4.4997460919540231E-4</v>
      </c>
      <c r="I528" s="35"/>
      <c r="J528" s="35"/>
      <c r="K528" s="56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</row>
    <row r="529" spans="1:28" ht="14" hidden="1">
      <c r="A529" s="37" t="s">
        <v>590</v>
      </c>
      <c r="B529" s="37" t="s">
        <v>591</v>
      </c>
      <c r="C529" s="37">
        <f ca="1">SUMIF('Finished Recipe'!H:R,'مسحوبات المواد الخام'!A529,'Finished Recipe'!R:R)</f>
        <v>0</v>
      </c>
      <c r="D529" s="40">
        <f>SUMIF('Semi Finished Recipe'!B:B,'RM &amp; SF'!B440,'Semi Finished Recipe'!L:L)</f>
        <v>0.51539514056513402</v>
      </c>
      <c r="E529" s="37" t="s">
        <v>8</v>
      </c>
      <c r="F529" s="38" t="s">
        <v>487</v>
      </c>
      <c r="G529" s="42">
        <v>1000</v>
      </c>
      <c r="H529" s="84">
        <f t="shared" si="8"/>
        <v>5.1539514056513406E-4</v>
      </c>
      <c r="I529" s="35"/>
      <c r="J529" s="35"/>
      <c r="K529" s="56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</row>
    <row r="530" spans="1:28" ht="14" hidden="1">
      <c r="A530" s="37" t="s">
        <v>542</v>
      </c>
      <c r="B530" s="37" t="s">
        <v>543</v>
      </c>
      <c r="C530" s="37">
        <f ca="1">SUMIF('Finished Recipe'!H:R,'مسحوبات المواد الخام'!A530,'Finished Recipe'!R:R)</f>
        <v>0</v>
      </c>
      <c r="D530" s="40">
        <f>SUMIF('Semi Finished Recipe'!B:B,'RM &amp; SF'!B441,'Semi Finished Recipe'!L:L)</f>
        <v>0.52538680076628352</v>
      </c>
      <c r="E530" s="37" t="s">
        <v>8</v>
      </c>
      <c r="F530" s="38" t="s">
        <v>487</v>
      </c>
      <c r="G530" s="42">
        <v>1000</v>
      </c>
      <c r="H530" s="84">
        <f t="shared" si="8"/>
        <v>5.2538680076628355E-4</v>
      </c>
      <c r="I530" s="35"/>
      <c r="J530" s="35"/>
      <c r="K530" s="56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</row>
    <row r="531" spans="1:28" ht="14" hidden="1">
      <c r="A531" s="37" t="s">
        <v>588</v>
      </c>
      <c r="B531" s="37" t="s">
        <v>589</v>
      </c>
      <c r="C531" s="37">
        <f ca="1">SUMIF('Finished Recipe'!H:R,'مسحوبات المواد الخام'!A531,'Finished Recipe'!R:R)</f>
        <v>0</v>
      </c>
      <c r="D531" s="40">
        <f>SUMIF('Semi Finished Recipe'!B:B,'RM &amp; SF'!B442,'Semi Finished Recipe'!L:L)</f>
        <v>0.72941979444444438</v>
      </c>
      <c r="E531" s="37" t="s">
        <v>8</v>
      </c>
      <c r="F531" s="38" t="s">
        <v>487</v>
      </c>
      <c r="G531" s="42">
        <v>1000</v>
      </c>
      <c r="H531" s="84">
        <f t="shared" si="8"/>
        <v>7.294197944444444E-4</v>
      </c>
      <c r="I531" s="35"/>
      <c r="J531" s="35"/>
      <c r="K531" s="56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</row>
    <row r="532" spans="1:28" ht="14" hidden="1">
      <c r="A532" s="37" t="s">
        <v>560</v>
      </c>
      <c r="B532" s="37" t="s">
        <v>561</v>
      </c>
      <c r="C532" s="37">
        <f ca="1">SUMIF('Finished Recipe'!H:R,'مسحوبات المواد الخام'!A532,'Finished Recipe'!R:R)</f>
        <v>0</v>
      </c>
      <c r="D532" s="40">
        <f>SUMIF('Semi Finished Recipe'!B:B,'RM &amp; SF'!B443,'Semi Finished Recipe'!L:L)</f>
        <v>1.2345483193277309</v>
      </c>
      <c r="E532" s="37" t="s">
        <v>8</v>
      </c>
      <c r="F532" s="38" t="s">
        <v>487</v>
      </c>
      <c r="G532" s="42">
        <v>1000</v>
      </c>
      <c r="H532" s="84">
        <f t="shared" si="8"/>
        <v>1.2345483193277309E-3</v>
      </c>
      <c r="I532" s="35"/>
      <c r="J532" s="35"/>
      <c r="K532" s="56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</row>
    <row r="533" spans="1:28" ht="14" hidden="1">
      <c r="A533" s="37" t="s">
        <v>582</v>
      </c>
      <c r="B533" s="37" t="s">
        <v>583</v>
      </c>
      <c r="C533" s="37">
        <f ca="1">SUMIF('Finished Recipe'!H:R,'مسحوبات المواد الخام'!A533,'Finished Recipe'!R:R)</f>
        <v>0</v>
      </c>
      <c r="D533" s="40">
        <f>SUMIF('Semi Finished Recipe'!B:B,'RM &amp; SF'!B444,'Semi Finished Recipe'!L:L)</f>
        <v>0.20666065869244635</v>
      </c>
      <c r="E533" s="37" t="s">
        <v>8</v>
      </c>
      <c r="F533" s="38" t="s">
        <v>487</v>
      </c>
      <c r="G533" s="42">
        <v>1000</v>
      </c>
      <c r="H533" s="84">
        <f t="shared" si="8"/>
        <v>2.0666065869244635E-4</v>
      </c>
      <c r="I533" s="35"/>
      <c r="J533" s="35"/>
      <c r="K533" s="56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</row>
    <row r="534" spans="1:28" ht="14" hidden="1">
      <c r="A534" s="37" t="s">
        <v>580</v>
      </c>
      <c r="B534" s="37" t="s">
        <v>581</v>
      </c>
      <c r="C534" s="37">
        <f ca="1">SUMIF('Finished Recipe'!H:R,'مسحوبات المواد الخام'!A534,'Finished Recipe'!R:R)</f>
        <v>0</v>
      </c>
      <c r="D534" s="40">
        <f>SUMIF('Semi Finished Recipe'!B:B,'RM &amp; SF'!B445,'Semi Finished Recipe'!L:L)</f>
        <v>1.0841676434676435</v>
      </c>
      <c r="E534" s="37" t="s">
        <v>8</v>
      </c>
      <c r="F534" s="38" t="s">
        <v>487</v>
      </c>
      <c r="G534" s="42">
        <v>1000</v>
      </c>
      <c r="H534" s="84">
        <f t="shared" si="8"/>
        <v>1.0841676434676436E-3</v>
      </c>
      <c r="I534" s="35"/>
      <c r="J534" s="35"/>
      <c r="K534" s="56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</row>
    <row r="535" spans="1:28" ht="14" hidden="1">
      <c r="A535" s="37" t="s">
        <v>592</v>
      </c>
      <c r="B535" s="37" t="s">
        <v>593</v>
      </c>
      <c r="C535" s="37">
        <f ca="1">SUMIF('Finished Recipe'!H:R,'مسحوبات المواد الخام'!A535,'Finished Recipe'!R:R)</f>
        <v>0</v>
      </c>
      <c r="D535" s="40">
        <f>SUMIF('Semi Finished Recipe'!B:B,'RM &amp; SF'!B446,'Semi Finished Recipe'!L:L)</f>
        <v>2.2926478666666674</v>
      </c>
      <c r="E535" s="37" t="s">
        <v>8</v>
      </c>
      <c r="F535" s="38" t="s">
        <v>487</v>
      </c>
      <c r="G535" s="42">
        <v>1000</v>
      </c>
      <c r="H535" s="84">
        <f t="shared" si="8"/>
        <v>2.2926478666666673E-3</v>
      </c>
      <c r="I535" s="35"/>
      <c r="J535" s="35"/>
      <c r="K535" s="56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</row>
    <row r="536" spans="1:28" ht="14" hidden="1">
      <c r="A536" s="37" t="s">
        <v>546</v>
      </c>
      <c r="B536" s="37" t="s">
        <v>547</v>
      </c>
      <c r="C536" s="37">
        <f ca="1">SUMIF('Finished Recipe'!H:R,'مسحوبات المواد الخام'!A536,'Finished Recipe'!R:R)</f>
        <v>0</v>
      </c>
      <c r="D536" s="40">
        <f>SUMIF('Semi Finished Recipe'!B:B,'RM &amp; SF'!B447,'Semi Finished Recipe'!L:L)</f>
        <v>2.5579763748357967</v>
      </c>
      <c r="E536" s="37" t="s">
        <v>8</v>
      </c>
      <c r="F536" s="38" t="s">
        <v>487</v>
      </c>
      <c r="G536" s="42">
        <v>1000</v>
      </c>
      <c r="H536" s="84">
        <f t="shared" si="8"/>
        <v>2.5579763748357965E-3</v>
      </c>
      <c r="I536" s="35"/>
      <c r="J536" s="35"/>
      <c r="K536" s="56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</row>
    <row r="537" spans="1:28" ht="14" hidden="1">
      <c r="A537" s="37" t="s">
        <v>602</v>
      </c>
      <c r="B537" s="37" t="s">
        <v>603</v>
      </c>
      <c r="C537" s="37">
        <f ca="1">SUMIF('Finished Recipe'!H:R,'مسحوبات المواد الخام'!A537,'Finished Recipe'!R:R)</f>
        <v>0</v>
      </c>
      <c r="D537" s="40">
        <f>SUMIF('Semi Finished Recipe'!B:B,'RM &amp; SF'!B448,'Semi Finished Recipe'!L:L)</f>
        <v>0.44593620738566886</v>
      </c>
      <c r="E537" s="37" t="s">
        <v>8</v>
      </c>
      <c r="F537" s="38" t="s">
        <v>487</v>
      </c>
      <c r="G537" s="42">
        <v>1000</v>
      </c>
      <c r="H537" s="84">
        <f t="shared" si="8"/>
        <v>4.4593620738566888E-4</v>
      </c>
      <c r="I537" s="35"/>
      <c r="J537" s="35"/>
      <c r="K537" s="56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</row>
    <row r="538" spans="1:28" ht="14" hidden="1">
      <c r="A538" s="37" t="s">
        <v>596</v>
      </c>
      <c r="B538" s="37" t="s">
        <v>597</v>
      </c>
      <c r="C538" s="37">
        <f ca="1">SUMIF('Finished Recipe'!H:R,'مسحوبات المواد الخام'!A538,'Finished Recipe'!R:R)</f>
        <v>0</v>
      </c>
      <c r="D538" s="40">
        <f>SUMIF('Semi Finished Recipe'!B:B,'RM &amp; SF'!B449,'Semi Finished Recipe'!L:L)</f>
        <v>0.57013461538461552</v>
      </c>
      <c r="E538" s="37" t="s">
        <v>8</v>
      </c>
      <c r="F538" s="38" t="s">
        <v>487</v>
      </c>
      <c r="G538" s="42">
        <v>1000</v>
      </c>
      <c r="H538" s="84">
        <f t="shared" si="8"/>
        <v>5.7013461538461547E-4</v>
      </c>
      <c r="I538" s="35"/>
      <c r="J538" s="35"/>
      <c r="K538" s="56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</row>
    <row r="539" spans="1:28" ht="14" hidden="1">
      <c r="A539" s="37" t="s">
        <v>600</v>
      </c>
      <c r="B539" s="37" t="s">
        <v>601</v>
      </c>
      <c r="C539" s="37">
        <f ca="1">SUMIF('Finished Recipe'!H:R,'مسحوبات المواد الخام'!A539,'Finished Recipe'!R:R)</f>
        <v>0</v>
      </c>
      <c r="D539" s="40">
        <f>SUMIF('Semi Finished Recipe'!B:B,'RM &amp; SF'!B450,'Semi Finished Recipe'!L:L)</f>
        <v>2.9747529761904761</v>
      </c>
      <c r="E539" s="37" t="s">
        <v>8</v>
      </c>
      <c r="F539" s="38" t="s">
        <v>487</v>
      </c>
      <c r="G539" s="42">
        <v>1000</v>
      </c>
      <c r="H539" s="84">
        <f t="shared" si="8"/>
        <v>2.9747529761904759E-3</v>
      </c>
      <c r="I539" s="35"/>
      <c r="J539" s="35"/>
      <c r="K539" s="56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</row>
    <row r="540" spans="1:28" ht="14" hidden="1">
      <c r="A540" s="37" t="s">
        <v>608</v>
      </c>
      <c r="B540" s="37" t="s">
        <v>609</v>
      </c>
      <c r="C540" s="37">
        <f ca="1">SUMIF('Finished Recipe'!H:R,'مسحوبات المواد الخام'!A540,'Finished Recipe'!R:R)</f>
        <v>0</v>
      </c>
      <c r="D540" s="40">
        <f>SUMIF('Semi Finished Recipe'!B:B,'RM &amp; SF'!B451,'Semi Finished Recipe'!L:L)</f>
        <v>3.7467734386446891</v>
      </c>
      <c r="E540" s="37" t="s">
        <v>8</v>
      </c>
      <c r="F540" s="38" t="s">
        <v>487</v>
      </c>
      <c r="G540" s="42">
        <v>1000</v>
      </c>
      <c r="H540" s="84">
        <f t="shared" si="8"/>
        <v>3.7467734386446893E-3</v>
      </c>
      <c r="I540" s="35"/>
      <c r="J540" s="35"/>
      <c r="K540" s="56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</row>
    <row r="541" spans="1:28" ht="14" hidden="1">
      <c r="A541" s="37" t="s">
        <v>488</v>
      </c>
      <c r="B541" s="37" t="s">
        <v>489</v>
      </c>
      <c r="C541" s="37">
        <f ca="1">SUMIF('Finished Recipe'!H:R,'مسحوبات المواد الخام'!A541,'Finished Recipe'!R:R)</f>
        <v>0</v>
      </c>
      <c r="D541" s="40">
        <f>SUMIF('Semi Finished Recipe'!B:B,'RM &amp; SF'!B452,'Semi Finished Recipe'!L:L)</f>
        <v>1.3232918279569892</v>
      </c>
      <c r="E541" s="37" t="s">
        <v>8</v>
      </c>
      <c r="F541" s="38" t="s">
        <v>487</v>
      </c>
      <c r="G541" s="42">
        <v>1000</v>
      </c>
      <c r="H541" s="84">
        <f t="shared" si="8"/>
        <v>1.3232918279569891E-3</v>
      </c>
      <c r="I541" s="35"/>
      <c r="J541" s="35"/>
      <c r="K541" s="56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</row>
    <row r="542" spans="1:28" ht="14" hidden="1">
      <c r="A542" s="61" t="s">
        <v>494</v>
      </c>
      <c r="B542" s="61" t="s">
        <v>495</v>
      </c>
      <c r="C542" s="37">
        <f ca="1">SUMIF('Finished Recipe'!H:R,'مسحوبات المواد الخام'!A542,'Finished Recipe'!R:R)</f>
        <v>0</v>
      </c>
      <c r="D542" s="40">
        <f>SUMIF('Semi Finished Recipe'!B:B,'RM &amp; SF'!B453,'Semi Finished Recipe'!L:L)</f>
        <v>7.2070000000000007</v>
      </c>
      <c r="E542" s="37" t="s">
        <v>8</v>
      </c>
      <c r="F542" s="38" t="s">
        <v>487</v>
      </c>
      <c r="G542" s="42">
        <v>1000</v>
      </c>
      <c r="H542" s="84">
        <f t="shared" si="8"/>
        <v>7.2070000000000007E-3</v>
      </c>
      <c r="I542" s="35"/>
      <c r="J542" s="35"/>
      <c r="K542" s="56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</row>
    <row r="543" spans="1:28" ht="14" hidden="1">
      <c r="A543" s="37" t="s">
        <v>518</v>
      </c>
      <c r="B543" s="37" t="s">
        <v>519</v>
      </c>
      <c r="C543" s="37">
        <f ca="1">SUMIF('Finished Recipe'!H:R,'مسحوبات المواد الخام'!A543,'Finished Recipe'!R:R)</f>
        <v>0</v>
      </c>
      <c r="D543" s="40">
        <f>SUMIF('Semi Finished Recipe'!B:B,'RM &amp; SF'!B454,'Semi Finished Recipe'!L:L)</f>
        <v>3.8209876190476186</v>
      </c>
      <c r="E543" s="37" t="s">
        <v>8</v>
      </c>
      <c r="F543" s="38" t="s">
        <v>487</v>
      </c>
      <c r="G543" s="42">
        <v>1000</v>
      </c>
      <c r="H543" s="84">
        <f t="shared" si="8"/>
        <v>3.8209876190476188E-3</v>
      </c>
      <c r="I543" s="35"/>
      <c r="J543" s="35"/>
      <c r="K543" s="56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</row>
    <row r="544" spans="1:28" ht="14" hidden="1">
      <c r="A544" s="37" t="s">
        <v>556</v>
      </c>
      <c r="B544" s="37" t="s">
        <v>557</v>
      </c>
      <c r="C544" s="37">
        <f ca="1">SUMIF('Finished Recipe'!H:R,'مسحوبات المواد الخام'!A544,'Finished Recipe'!R:R)</f>
        <v>0</v>
      </c>
      <c r="D544" s="40">
        <f>SUMIF('Semi Finished Recipe'!B:B,'RM &amp; SF'!B455,'Semi Finished Recipe'!L:L)</f>
        <v>6.1482819047619062</v>
      </c>
      <c r="E544" s="37" t="s">
        <v>8</v>
      </c>
      <c r="F544" s="38" t="s">
        <v>487</v>
      </c>
      <c r="G544" s="42">
        <v>1000</v>
      </c>
      <c r="H544" s="84">
        <f t="shared" si="8"/>
        <v>6.1482819047619063E-3</v>
      </c>
      <c r="I544" s="35"/>
      <c r="J544" s="35"/>
      <c r="K544" s="56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</row>
    <row r="545" spans="1:28" ht="14" hidden="1">
      <c r="A545" s="37" t="s">
        <v>586</v>
      </c>
      <c r="B545" s="37" t="s">
        <v>587</v>
      </c>
      <c r="C545" s="37">
        <f ca="1">SUMIF('Finished Recipe'!H:R,'مسحوبات المواد الخام'!A545,'Finished Recipe'!R:R)</f>
        <v>0</v>
      </c>
      <c r="D545" s="40">
        <f>SUMIF('Semi Finished Recipe'!B:B,'RM &amp; SF'!B456,'Semi Finished Recipe'!L:L)</f>
        <v>0.32143523705263155</v>
      </c>
      <c r="E545" s="37" t="s">
        <v>11</v>
      </c>
      <c r="F545" s="38" t="s">
        <v>487</v>
      </c>
      <c r="G545" s="42">
        <v>1</v>
      </c>
      <c r="H545" s="84">
        <f t="shared" si="8"/>
        <v>0.32143523705263155</v>
      </c>
      <c r="I545" s="35"/>
      <c r="J545" s="35"/>
      <c r="K545" s="56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</row>
    <row r="546" spans="1:28" ht="14" hidden="1">
      <c r="A546" s="37" t="s">
        <v>572</v>
      </c>
      <c r="B546" s="37" t="s">
        <v>573</v>
      </c>
      <c r="C546" s="37">
        <f ca="1">SUMIF('Finished Recipe'!H:R,'مسحوبات المواد الخام'!A546,'Finished Recipe'!R:R)</f>
        <v>0</v>
      </c>
      <c r="D546" s="40">
        <f>SUMIF('Semi Finished Recipe'!B:B,'RM &amp; SF'!B457,'Semi Finished Recipe'!L:L)</f>
        <v>0.50639403004883443</v>
      </c>
      <c r="E546" s="37" t="s">
        <v>11</v>
      </c>
      <c r="F546" s="38" t="s">
        <v>487</v>
      </c>
      <c r="G546" s="42">
        <v>1</v>
      </c>
      <c r="H546" s="84">
        <f t="shared" si="8"/>
        <v>0.50639403004883443</v>
      </c>
      <c r="I546" s="35"/>
      <c r="J546" s="35"/>
      <c r="K546" s="56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</row>
    <row r="547" spans="1:28" ht="14" hidden="1">
      <c r="A547" s="37" t="s">
        <v>578</v>
      </c>
      <c r="B547" s="37" t="s">
        <v>579</v>
      </c>
      <c r="C547" s="37">
        <f ca="1">SUMIF('Finished Recipe'!H:R,'مسحوبات المواد الخام'!A547,'Finished Recipe'!R:R)</f>
        <v>0</v>
      </c>
      <c r="D547" s="40">
        <f>SUMIF('Semi Finished Recipe'!B:B,'RM &amp; SF'!B458,'Semi Finished Recipe'!L:L)</f>
        <v>6.0440000000000001E-2</v>
      </c>
      <c r="E547" s="37" t="s">
        <v>11</v>
      </c>
      <c r="F547" s="38" t="s">
        <v>487</v>
      </c>
      <c r="G547" s="42">
        <v>1</v>
      </c>
      <c r="H547" s="84">
        <f t="shared" si="8"/>
        <v>6.0440000000000001E-2</v>
      </c>
      <c r="I547" s="35"/>
      <c r="J547" s="35"/>
      <c r="K547" s="56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</row>
    <row r="548" spans="1:28" ht="14" hidden="1">
      <c r="A548" s="37" t="s">
        <v>524</v>
      </c>
      <c r="B548" s="37" t="s">
        <v>525</v>
      </c>
      <c r="C548" s="37">
        <f ca="1">SUMIF('Finished Recipe'!H:R,'مسحوبات المواد الخام'!A548,'Finished Recipe'!R:R)</f>
        <v>0</v>
      </c>
      <c r="D548" s="40">
        <f>SUMIF('Semi Finished Recipe'!B:B,'RM &amp; SF'!B459,'Semi Finished Recipe'!L:L)</f>
        <v>2.7033888888888886</v>
      </c>
      <c r="E548" s="37" t="s">
        <v>8</v>
      </c>
      <c r="F548" s="38" t="s">
        <v>487</v>
      </c>
      <c r="G548" s="42">
        <v>1000</v>
      </c>
      <c r="H548" s="84">
        <f t="shared" si="8"/>
        <v>2.7033888888888884E-3</v>
      </c>
      <c r="I548" s="35"/>
      <c r="J548" s="35"/>
      <c r="K548" s="56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</row>
    <row r="549" spans="1:28" ht="14" hidden="1">
      <c r="A549" s="37" t="s">
        <v>606</v>
      </c>
      <c r="B549" s="37" t="s">
        <v>607</v>
      </c>
      <c r="C549" s="37">
        <f ca="1">SUMIF('Finished Recipe'!H:R,'مسحوبات المواد الخام'!A549,'Finished Recipe'!R:R)</f>
        <v>0</v>
      </c>
      <c r="D549" s="40">
        <f>SUMIF('Semi Finished Recipe'!B:B,'RM &amp; SF'!B460,'Semi Finished Recipe'!L:L)</f>
        <v>0.33828979999999997</v>
      </c>
      <c r="E549" s="37" t="s">
        <v>11</v>
      </c>
      <c r="F549" s="38" t="s">
        <v>487</v>
      </c>
      <c r="G549" s="42">
        <v>1</v>
      </c>
      <c r="H549" s="84">
        <f t="shared" si="8"/>
        <v>0.33828979999999997</v>
      </c>
      <c r="I549" s="35"/>
      <c r="J549" s="35"/>
      <c r="K549" s="56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</row>
    <row r="550" spans="1:28" ht="14" hidden="1">
      <c r="A550" s="37" t="s">
        <v>598</v>
      </c>
      <c r="B550" s="37" t="s">
        <v>599</v>
      </c>
      <c r="C550" s="37">
        <f ca="1">SUMIF('Finished Recipe'!H:R,'مسحوبات المواد الخام'!A550,'Finished Recipe'!R:R)</f>
        <v>0</v>
      </c>
      <c r="D550" s="40">
        <f>SUMIF('Semi Finished Recipe'!B:B,'RM &amp; SF'!B461,'Semi Finished Recipe'!L:L)</f>
        <v>1.1675619256756755</v>
      </c>
      <c r="E550" s="37" t="s">
        <v>8</v>
      </c>
      <c r="F550" s="38" t="s">
        <v>487</v>
      </c>
      <c r="G550" s="42">
        <v>1000</v>
      </c>
      <c r="H550" s="84">
        <f t="shared" si="8"/>
        <v>1.1675619256756756E-3</v>
      </c>
      <c r="I550" s="35"/>
      <c r="J550" s="35"/>
      <c r="K550" s="56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</row>
    <row r="551" spans="1:28" ht="14" hidden="1">
      <c r="A551" s="37" t="s">
        <v>696</v>
      </c>
      <c r="B551" s="37" t="s">
        <v>697</v>
      </c>
      <c r="C551" s="37">
        <f ca="1">SUMIF('Finished Recipe'!H:R,'مسحوبات المواد الخام'!A551,'Finished Recipe'!R:R)</f>
        <v>0</v>
      </c>
      <c r="D551" s="40">
        <f>SUMIF('Semi Finished Recipe'!B:B,'RM &amp; SF'!B462,'Semi Finished Recipe'!L:L)</f>
        <v>0.40283955555555556</v>
      </c>
      <c r="E551" s="37" t="s">
        <v>8</v>
      </c>
      <c r="F551" s="38" t="s">
        <v>487</v>
      </c>
      <c r="G551" s="42">
        <v>1000</v>
      </c>
      <c r="H551" s="84">
        <f t="shared" si="8"/>
        <v>4.0283955555555555E-4</v>
      </c>
      <c r="I551" s="35"/>
      <c r="J551" s="35"/>
      <c r="K551" s="56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</row>
    <row r="552" spans="1:28" ht="14" hidden="1">
      <c r="A552" s="37" t="s">
        <v>485</v>
      </c>
      <c r="B552" s="37" t="s">
        <v>486</v>
      </c>
      <c r="C552" s="37">
        <f ca="1">SUMIF('Finished Recipe'!H:R,'مسحوبات المواد الخام'!A552,'Finished Recipe'!R:R)</f>
        <v>0</v>
      </c>
      <c r="D552" s="40">
        <f>SUMIF('Semi Finished Recipe'!B:B,'RM &amp; SF'!B463,'Semi Finished Recipe'!L:L)</f>
        <v>6.7141943181818178</v>
      </c>
      <c r="E552" s="37" t="s">
        <v>8</v>
      </c>
      <c r="F552" s="38" t="s">
        <v>487</v>
      </c>
      <c r="G552" s="42">
        <v>1000</v>
      </c>
      <c r="H552" s="84">
        <f t="shared" si="8"/>
        <v>6.7141943181818174E-3</v>
      </c>
      <c r="I552" s="35"/>
      <c r="J552" s="35"/>
      <c r="K552" s="56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</row>
    <row r="553" spans="1:28" ht="14" hidden="1">
      <c r="A553" s="37" t="s">
        <v>516</v>
      </c>
      <c r="B553" s="37" t="s">
        <v>517</v>
      </c>
      <c r="C553" s="37">
        <f ca="1">SUMIF('Finished Recipe'!H:R,'مسحوبات المواد الخام'!A553,'Finished Recipe'!R:R)</f>
        <v>0</v>
      </c>
      <c r="D553" s="40">
        <f>SUMIF('Semi Finished Recipe'!B:B,'RM &amp; SF'!B464,'Semi Finished Recipe'!L:L)</f>
        <v>0.59126169844020793</v>
      </c>
      <c r="E553" s="37" t="s">
        <v>8</v>
      </c>
      <c r="F553" s="38" t="s">
        <v>487</v>
      </c>
      <c r="G553" s="42">
        <v>1000</v>
      </c>
      <c r="H553" s="84">
        <f t="shared" si="8"/>
        <v>5.9126169844020795E-4</v>
      </c>
      <c r="I553" s="35"/>
      <c r="J553" s="35"/>
      <c r="K553" s="56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</row>
    <row r="554" spans="1:28" ht="14" hidden="1">
      <c r="A554" s="37" t="s">
        <v>568</v>
      </c>
      <c r="B554" s="37" t="s">
        <v>569</v>
      </c>
      <c r="C554" s="37">
        <f ca="1">SUMIF('Finished Recipe'!H:R,'مسحوبات المواد الخام'!A554,'Finished Recipe'!R:R)</f>
        <v>0</v>
      </c>
      <c r="D554" s="40">
        <f>SUMIF('Semi Finished Recipe'!B:B,'RM &amp; SF'!B465,'Semi Finished Recipe'!L:L)</f>
        <v>0.6428704741052631</v>
      </c>
      <c r="E554" s="37" t="s">
        <v>11</v>
      </c>
      <c r="F554" s="38" t="s">
        <v>487</v>
      </c>
      <c r="G554" s="42">
        <v>1</v>
      </c>
      <c r="H554" s="84">
        <f t="shared" si="8"/>
        <v>0.6428704741052631</v>
      </c>
      <c r="I554" s="35"/>
      <c r="J554" s="35"/>
      <c r="K554" s="56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</row>
    <row r="555" spans="1:28" ht="14" hidden="1">
      <c r="A555" s="37" t="s">
        <v>544</v>
      </c>
      <c r="B555" s="37" t="s">
        <v>545</v>
      </c>
      <c r="C555" s="37">
        <f ca="1">SUMIF('Finished Recipe'!H:R,'مسحوبات المواد الخام'!A555,'Finished Recipe'!R:R)</f>
        <v>0</v>
      </c>
      <c r="D555" s="40">
        <f>SUMIF('Semi Finished Recipe'!B:B,'RM &amp; SF'!B466,'Semi Finished Recipe'!L:L)</f>
        <v>3.0853324000000004</v>
      </c>
      <c r="E555" s="37" t="s">
        <v>11</v>
      </c>
      <c r="F555" s="38" t="s">
        <v>487</v>
      </c>
      <c r="G555" s="42">
        <v>1</v>
      </c>
      <c r="H555" s="84">
        <f t="shared" si="8"/>
        <v>3.0853324000000004</v>
      </c>
      <c r="I555" s="35"/>
      <c r="J555" s="35"/>
      <c r="K555" s="56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</row>
    <row r="556" spans="1:28" ht="14" hidden="1">
      <c r="A556" s="37" t="s">
        <v>612</v>
      </c>
      <c r="B556" s="37" t="s">
        <v>613</v>
      </c>
      <c r="C556" s="37">
        <f ca="1">SUMIF('Finished Recipe'!H:R,'مسحوبات المواد الخام'!A556,'Finished Recipe'!R:R)</f>
        <v>0</v>
      </c>
      <c r="D556" s="40">
        <f>SUMIF('Semi Finished Recipe'!B:B,'RM &amp; SF'!B467,'Semi Finished Recipe'!L:L)</f>
        <v>1.7064283333333332</v>
      </c>
      <c r="E556" s="37" t="s">
        <v>8</v>
      </c>
      <c r="F556" s="38" t="s">
        <v>487</v>
      </c>
      <c r="G556" s="42">
        <v>1000</v>
      </c>
      <c r="H556" s="84">
        <f t="shared" si="8"/>
        <v>1.7064283333333332E-3</v>
      </c>
      <c r="I556" s="35"/>
      <c r="J556" s="35"/>
      <c r="K556" s="56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</row>
    <row r="557" spans="1:28" ht="14" hidden="1">
      <c r="A557" s="37" t="s">
        <v>618</v>
      </c>
      <c r="B557" s="37" t="s">
        <v>619</v>
      </c>
      <c r="C557" s="37">
        <f ca="1">SUMIF('Finished Recipe'!H:R,'مسحوبات المواد الخام'!A557,'Finished Recipe'!R:R)</f>
        <v>0</v>
      </c>
      <c r="D557" s="40">
        <f>SUMIF('Semi Finished Recipe'!B:B,'RM &amp; SF'!B468,'Semi Finished Recipe'!L:L)</f>
        <v>3.8421415770609313</v>
      </c>
      <c r="E557" s="37" t="s">
        <v>8</v>
      </c>
      <c r="F557" s="38" t="s">
        <v>487</v>
      </c>
      <c r="G557" s="42">
        <v>1000</v>
      </c>
      <c r="H557" s="84">
        <f t="shared" si="8"/>
        <v>3.8421415770609315E-3</v>
      </c>
      <c r="I557" s="35"/>
      <c r="J557" s="35"/>
      <c r="K557" s="56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</row>
    <row r="558" spans="1:28" ht="14" hidden="1">
      <c r="A558" s="61" t="s">
        <v>616</v>
      </c>
      <c r="B558" s="61" t="s">
        <v>617</v>
      </c>
      <c r="C558" s="37">
        <f ca="1">SUMIF('Finished Recipe'!H:R,'مسحوبات المواد الخام'!A558,'Finished Recipe'!R:R)</f>
        <v>0</v>
      </c>
      <c r="D558" s="40">
        <f>SUMIF('Semi Finished Recipe'!B:B,'RM &amp; SF'!B469,'Semi Finished Recipe'!L:L)</f>
        <v>2.4490697731887043</v>
      </c>
      <c r="E558" s="37" t="s">
        <v>8</v>
      </c>
      <c r="F558" s="38" t="s">
        <v>487</v>
      </c>
      <c r="G558" s="42">
        <v>1000</v>
      </c>
      <c r="H558" s="84">
        <f t="shared" si="8"/>
        <v>2.4490697731887044E-3</v>
      </c>
      <c r="I558" s="35"/>
      <c r="J558" s="35"/>
      <c r="K558" s="56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</row>
    <row r="559" spans="1:28" ht="14" hidden="1">
      <c r="A559" s="37" t="s">
        <v>614</v>
      </c>
      <c r="B559" s="37" t="s">
        <v>615</v>
      </c>
      <c r="C559" s="37">
        <f ca="1">SUMIF('Finished Recipe'!H:R,'مسحوبات المواد الخام'!A559,'Finished Recipe'!R:R)</f>
        <v>0</v>
      </c>
      <c r="D559" s="40">
        <f>SUMIF('Semi Finished Recipe'!B:B,'RM &amp; SF'!B470,'Semi Finished Recipe'!L:L)</f>
        <v>1.0260018390804599</v>
      </c>
      <c r="E559" s="37" t="s">
        <v>8</v>
      </c>
      <c r="F559" s="38" t="s">
        <v>487</v>
      </c>
      <c r="G559" s="42">
        <v>1000</v>
      </c>
      <c r="H559" s="84">
        <f t="shared" si="8"/>
        <v>1.02600183908046E-3</v>
      </c>
      <c r="I559" s="35"/>
      <c r="J559" s="35"/>
      <c r="K559" s="56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</row>
    <row r="560" spans="1:28" ht="14" hidden="1">
      <c r="A560" s="37" t="s">
        <v>622</v>
      </c>
      <c r="B560" s="37" t="s">
        <v>623</v>
      </c>
      <c r="C560" s="37">
        <f ca="1">SUMIF('Finished Recipe'!H:R,'مسحوبات المواد الخام'!A560,'Finished Recipe'!R:R)</f>
        <v>0</v>
      </c>
      <c r="D560" s="40">
        <f>SUMIF('Semi Finished Recipe'!B:B,'RM &amp; SF'!B471,'Semi Finished Recipe'!L:L)</f>
        <v>1.2594586666666669</v>
      </c>
      <c r="E560" s="37" t="s">
        <v>8</v>
      </c>
      <c r="F560" s="38" t="s">
        <v>487</v>
      </c>
      <c r="G560" s="42">
        <v>1000</v>
      </c>
      <c r="H560" s="84">
        <f t="shared" si="8"/>
        <v>1.2594586666666669E-3</v>
      </c>
      <c r="I560" s="35"/>
      <c r="J560" s="35"/>
      <c r="K560" s="56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</row>
    <row r="561" spans="1:28" ht="14" hidden="1">
      <c r="A561" s="37" t="s">
        <v>620</v>
      </c>
      <c r="B561" s="37" t="s">
        <v>621</v>
      </c>
      <c r="C561" s="37">
        <f ca="1">SUMIF('Finished Recipe'!H:R,'مسحوبات المواد الخام'!A561,'Finished Recipe'!R:R)</f>
        <v>0</v>
      </c>
      <c r="D561" s="40">
        <f>SUMIF('Semi Finished Recipe'!B:B,'RM &amp; SF'!B472,'Semi Finished Recipe'!L:L)</f>
        <v>3.3372241333333337</v>
      </c>
      <c r="E561" s="37" t="s">
        <v>11</v>
      </c>
      <c r="F561" s="38" t="s">
        <v>487</v>
      </c>
      <c r="G561" s="42">
        <v>1</v>
      </c>
      <c r="H561" s="84">
        <f t="shared" si="8"/>
        <v>3.3372241333333337</v>
      </c>
      <c r="I561" s="35"/>
      <c r="J561" s="35"/>
      <c r="K561" s="56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</row>
    <row r="562" spans="1:28" ht="14" hidden="1">
      <c r="A562" s="37" t="s">
        <v>626</v>
      </c>
      <c r="B562" s="37" t="s">
        <v>627</v>
      </c>
      <c r="C562" s="37">
        <f ca="1">SUMIF('Finished Recipe'!H:R,'مسحوبات المواد الخام'!A562,'Finished Recipe'!R:R)</f>
        <v>0</v>
      </c>
      <c r="D562" s="40">
        <f>SUMIF('Semi Finished Recipe'!B:B,'RM &amp; SF'!B473,'Semi Finished Recipe'!L:L)</f>
        <v>4.7416855555555561E-2</v>
      </c>
      <c r="E562" s="37" t="s">
        <v>11</v>
      </c>
      <c r="F562" s="38" t="s">
        <v>487</v>
      </c>
      <c r="G562" s="42">
        <v>1</v>
      </c>
      <c r="H562" s="84">
        <f t="shared" si="8"/>
        <v>4.7416855555555561E-2</v>
      </c>
      <c r="I562" s="35"/>
      <c r="J562" s="35"/>
      <c r="K562" s="56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</row>
    <row r="563" spans="1:28" ht="14" hidden="1">
      <c r="A563" s="37" t="s">
        <v>624</v>
      </c>
      <c r="B563" s="37" t="s">
        <v>625</v>
      </c>
      <c r="C563" s="37">
        <f ca="1">SUMIF('Finished Recipe'!H:R,'مسحوبات المواد الخام'!A563,'Finished Recipe'!R:R)</f>
        <v>0</v>
      </c>
      <c r="D563" s="40">
        <f>SUMIF('Semi Finished Recipe'!B:B,'RM &amp; SF'!B474,'Semi Finished Recipe'!L:L)</f>
        <v>0.53099652777777784</v>
      </c>
      <c r="E563" s="37" t="s">
        <v>8</v>
      </c>
      <c r="F563" s="38" t="s">
        <v>487</v>
      </c>
      <c r="G563" s="42">
        <v>1000</v>
      </c>
      <c r="H563" s="84">
        <f t="shared" si="8"/>
        <v>5.309965277777778E-4</v>
      </c>
      <c r="I563" s="35"/>
      <c r="J563" s="35"/>
      <c r="K563" s="56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</row>
    <row r="564" spans="1:28" ht="14" hidden="1">
      <c r="A564" s="37" t="s">
        <v>648</v>
      </c>
      <c r="B564" s="37" t="s">
        <v>649</v>
      </c>
      <c r="C564" s="37">
        <f ca="1">SUMIF('Finished Recipe'!H:R,'مسحوبات المواد الخام'!A564,'Finished Recipe'!R:R)</f>
        <v>0</v>
      </c>
      <c r="D564" s="40">
        <f>SUMIF('Semi Finished Recipe'!B:B,'RM &amp; SF'!B475,'Semi Finished Recipe'!L:L)</f>
        <v>0.15104950793650793</v>
      </c>
      <c r="E564" s="37" t="s">
        <v>8</v>
      </c>
      <c r="F564" s="38" t="s">
        <v>487</v>
      </c>
      <c r="G564" s="42">
        <v>1000</v>
      </c>
      <c r="H564" s="84">
        <f t="shared" si="8"/>
        <v>1.5104950793650793E-4</v>
      </c>
      <c r="I564" s="35"/>
      <c r="J564" s="35"/>
      <c r="K564" s="56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</row>
    <row r="565" spans="1:28" ht="14" hidden="1">
      <c r="A565" s="37" t="s">
        <v>630</v>
      </c>
      <c r="B565" s="37" t="s">
        <v>631</v>
      </c>
      <c r="C565" s="37">
        <f ca="1">SUMIF('Finished Recipe'!H:R,'مسحوبات المواد الخام'!A565,'Finished Recipe'!R:R)</f>
        <v>0</v>
      </c>
      <c r="D565" s="40">
        <f>SUMIF('Semi Finished Recipe'!B:B,'RM &amp; SF'!B476,'Semi Finished Recipe'!L:L)</f>
        <v>0.25886999999999999</v>
      </c>
      <c r="E565" s="37" t="s">
        <v>8</v>
      </c>
      <c r="F565" s="38" t="s">
        <v>487</v>
      </c>
      <c r="G565" s="42">
        <v>1000</v>
      </c>
      <c r="H565" s="84">
        <f t="shared" si="8"/>
        <v>2.5886999999999997E-4</v>
      </c>
      <c r="I565" s="35"/>
      <c r="J565" s="35"/>
      <c r="K565" s="56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</row>
    <row r="566" spans="1:28" ht="14" hidden="1">
      <c r="A566" s="37" t="s">
        <v>634</v>
      </c>
      <c r="B566" s="37" t="s">
        <v>635</v>
      </c>
      <c r="C566" s="37">
        <f ca="1">SUMIF('Finished Recipe'!H:R,'مسحوبات المواد الخام'!A566,'Finished Recipe'!R:R)</f>
        <v>0</v>
      </c>
      <c r="D566" s="40">
        <f>SUMIF('Semi Finished Recipe'!B:B,'RM &amp; SF'!B477,'Semi Finished Recipe'!L:L)</f>
        <v>1.1818589655172416</v>
      </c>
      <c r="E566" s="37" t="s">
        <v>8</v>
      </c>
      <c r="F566" s="38" t="s">
        <v>487</v>
      </c>
      <c r="G566" s="42">
        <v>1000</v>
      </c>
      <c r="H566" s="84">
        <f t="shared" si="8"/>
        <v>1.1818589655172415E-3</v>
      </c>
      <c r="I566" s="35"/>
      <c r="J566" s="35"/>
      <c r="K566" s="56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</row>
    <row r="567" spans="1:28" ht="14" hidden="1">
      <c r="A567" s="37" t="s">
        <v>632</v>
      </c>
      <c r="B567" s="37" t="s">
        <v>633</v>
      </c>
      <c r="C567" s="37">
        <f ca="1">SUMIF('Finished Recipe'!H:R,'مسحوبات المواد الخام'!A567,'Finished Recipe'!R:R)</f>
        <v>0</v>
      </c>
      <c r="D567" s="40">
        <f>SUMIF('Semi Finished Recipe'!B:B,'RM &amp; SF'!B478,'Semi Finished Recipe'!L:L)</f>
        <v>0.13420769885057474</v>
      </c>
      <c r="E567" s="37" t="s">
        <v>8</v>
      </c>
      <c r="F567" s="38" t="s">
        <v>487</v>
      </c>
      <c r="G567" s="42">
        <v>1000</v>
      </c>
      <c r="H567" s="84">
        <f t="shared" si="8"/>
        <v>1.3420769885057472E-4</v>
      </c>
      <c r="I567" s="35"/>
      <c r="J567" s="35"/>
      <c r="K567" s="56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</row>
    <row r="568" spans="1:28" ht="14" hidden="1">
      <c r="A568" s="61" t="s">
        <v>610</v>
      </c>
      <c r="B568" s="61" t="s">
        <v>611</v>
      </c>
      <c r="C568" s="37">
        <f ca="1">SUMIF('Finished Recipe'!H:R,'مسحوبات المواد الخام'!A568,'Finished Recipe'!R:R)</f>
        <v>0</v>
      </c>
      <c r="D568" s="40">
        <f>SUMIF('Semi Finished Recipe'!B:B,'RM &amp; SF'!B479,'Semi Finished Recipe'!L:L)</f>
        <v>6.0066783033033033</v>
      </c>
      <c r="E568" s="37" t="s">
        <v>8</v>
      </c>
      <c r="F568" s="38" t="s">
        <v>487</v>
      </c>
      <c r="G568" s="42">
        <v>1000</v>
      </c>
      <c r="H568" s="84">
        <f t="shared" si="8"/>
        <v>6.0066783033033031E-3</v>
      </c>
      <c r="I568" s="35"/>
      <c r="J568" s="35"/>
      <c r="K568" s="56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</row>
    <row r="569" spans="1:28" ht="14" hidden="1">
      <c r="A569" s="37" t="s">
        <v>636</v>
      </c>
      <c r="B569" s="37" t="s">
        <v>637</v>
      </c>
      <c r="C569" s="37">
        <f ca="1">SUMIF('Finished Recipe'!H:R,'مسحوبات المواد الخام'!A569,'Finished Recipe'!R:R)</f>
        <v>0</v>
      </c>
      <c r="D569" s="40">
        <f>SUMIF('Semi Finished Recipe'!B:B,'RM &amp; SF'!B480,'Semi Finished Recipe'!L:L)</f>
        <v>1.0115232451499119</v>
      </c>
      <c r="E569" s="37" t="s">
        <v>8</v>
      </c>
      <c r="F569" s="38" t="s">
        <v>487</v>
      </c>
      <c r="G569" s="42">
        <v>1000</v>
      </c>
      <c r="H569" s="84">
        <f t="shared" si="8"/>
        <v>1.0115232451499119E-3</v>
      </c>
      <c r="I569" s="35"/>
      <c r="J569" s="35"/>
      <c r="K569" s="56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</row>
    <row r="570" spans="1:28" ht="14" hidden="1">
      <c r="A570" s="37" t="s">
        <v>562</v>
      </c>
      <c r="B570" s="37" t="s">
        <v>563</v>
      </c>
      <c r="C570" s="37">
        <f ca="1">SUMIF('Finished Recipe'!H:R,'مسحوبات المواد الخام'!A570,'Finished Recipe'!R:R)</f>
        <v>0</v>
      </c>
      <c r="D570" s="40">
        <f>SUMIF('Semi Finished Recipe'!B:B,'RM &amp; SF'!#REF!,'Semi Finished Recipe'!L:L)</f>
        <v>0</v>
      </c>
      <c r="E570" s="37" t="s">
        <v>8</v>
      </c>
      <c r="F570" s="38" t="s">
        <v>487</v>
      </c>
      <c r="G570" s="42">
        <v>1000</v>
      </c>
      <c r="H570" s="84">
        <f t="shared" si="8"/>
        <v>0</v>
      </c>
      <c r="I570" s="35"/>
      <c r="J570" s="35"/>
      <c r="K570" s="56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</row>
    <row r="571" spans="1:28" ht="14" hidden="1">
      <c r="A571" s="37" t="s">
        <v>552</v>
      </c>
      <c r="B571" s="37" t="s">
        <v>553</v>
      </c>
      <c r="C571" s="37">
        <f ca="1">SUMIF('Finished Recipe'!H:R,'مسحوبات المواد الخام'!A571,'Finished Recipe'!R:R)</f>
        <v>0</v>
      </c>
      <c r="D571" s="40">
        <f>SUMIF('Semi Finished Recipe'!B:B,'RM &amp; SF'!B481,'Semi Finished Recipe'!L:L)</f>
        <v>0.59114973451327435</v>
      </c>
      <c r="E571" s="37" t="s">
        <v>8</v>
      </c>
      <c r="F571" s="38" t="s">
        <v>487</v>
      </c>
      <c r="G571" s="42">
        <v>1000</v>
      </c>
      <c r="H571" s="84">
        <f t="shared" si="8"/>
        <v>5.9114973451327433E-4</v>
      </c>
      <c r="I571" s="35"/>
      <c r="J571" s="35"/>
      <c r="K571" s="56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</row>
    <row r="572" spans="1:28" ht="14" hidden="1">
      <c r="A572" s="37" t="s">
        <v>650</v>
      </c>
      <c r="B572" s="37" t="s">
        <v>651</v>
      </c>
      <c r="C572" s="37">
        <f ca="1">SUMIF('Finished Recipe'!H:R,'مسحوبات المواد الخام'!A572,'Finished Recipe'!R:R)</f>
        <v>0</v>
      </c>
      <c r="D572" s="40">
        <f>SUMIF('Semi Finished Recipe'!B:B,'RM &amp; SF'!B482,'Semi Finished Recipe'!L:L)</f>
        <v>2.5620571388888891</v>
      </c>
      <c r="E572" s="37" t="s">
        <v>8</v>
      </c>
      <c r="F572" s="38" t="s">
        <v>487</v>
      </c>
      <c r="G572" s="42">
        <v>1000</v>
      </c>
      <c r="H572" s="84">
        <f t="shared" si="8"/>
        <v>2.5620571388888891E-3</v>
      </c>
      <c r="I572" s="35"/>
      <c r="J572" s="35"/>
      <c r="K572" s="56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</row>
    <row r="573" spans="1:28" ht="14" hidden="1">
      <c r="A573" s="37" t="s">
        <v>642</v>
      </c>
      <c r="B573" s="37" t="s">
        <v>643</v>
      </c>
      <c r="C573" s="37">
        <f ca="1">SUMIF('Finished Recipe'!H:R,'مسحوبات المواد الخام'!A573,'Finished Recipe'!R:R)</f>
        <v>0</v>
      </c>
      <c r="D573" s="40">
        <f>SUMIF('Semi Finished Recipe'!B:B,'RM &amp; SF'!B483,'Semi Finished Recipe'!L:L)</f>
        <v>1.0772736857971477</v>
      </c>
      <c r="E573" s="37" t="s">
        <v>11</v>
      </c>
      <c r="F573" s="38" t="s">
        <v>487</v>
      </c>
      <c r="G573" s="42">
        <v>1</v>
      </c>
      <c r="H573" s="84">
        <f t="shared" si="8"/>
        <v>1.0772736857971477</v>
      </c>
      <c r="I573" s="35"/>
      <c r="J573" s="35"/>
      <c r="K573" s="56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</row>
    <row r="574" spans="1:28" ht="14" hidden="1">
      <c r="A574" s="37" t="s">
        <v>646</v>
      </c>
      <c r="B574" s="37" t="s">
        <v>647</v>
      </c>
      <c r="C574" s="37">
        <f ca="1">SUMIF('Finished Recipe'!H:R,'مسحوبات المواد الخام'!A574,'Finished Recipe'!R:R)</f>
        <v>0</v>
      </c>
      <c r="D574" s="40">
        <f>SUMIF('Semi Finished Recipe'!B:B,'RM &amp; SF'!#REF!,'Semi Finished Recipe'!L:L)</f>
        <v>0</v>
      </c>
      <c r="E574" s="37" t="s">
        <v>8</v>
      </c>
      <c r="F574" s="38" t="s">
        <v>487</v>
      </c>
      <c r="G574" s="42">
        <v>1000</v>
      </c>
      <c r="H574" s="84">
        <f t="shared" ref="H574:H620" si="9">D574/G574</f>
        <v>0</v>
      </c>
      <c r="I574" s="35"/>
      <c r="J574" s="35"/>
      <c r="K574" s="56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</row>
    <row r="575" spans="1:28" ht="14" hidden="1">
      <c r="A575" s="37" t="s">
        <v>678</v>
      </c>
      <c r="B575" s="37" t="s">
        <v>679</v>
      </c>
      <c r="C575" s="37">
        <f ca="1">SUMIF('Finished Recipe'!H:R,'مسحوبات المواد الخام'!A575,'Finished Recipe'!R:R)</f>
        <v>0</v>
      </c>
      <c r="D575" s="40">
        <f>SUMIF('Semi Finished Recipe'!B:B,'RM &amp; SF'!B484,'Semi Finished Recipe'!L:L)</f>
        <v>3.513536666666667</v>
      </c>
      <c r="E575" s="37" t="s">
        <v>8</v>
      </c>
      <c r="F575" s="38" t="s">
        <v>487</v>
      </c>
      <c r="G575" s="42">
        <v>1000</v>
      </c>
      <c r="H575" s="84">
        <f t="shared" si="9"/>
        <v>3.513536666666667E-3</v>
      </c>
      <c r="I575" s="35"/>
      <c r="J575" s="35"/>
      <c r="K575" s="56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</row>
    <row r="576" spans="1:28" ht="14" hidden="1">
      <c r="A576" s="37" t="s">
        <v>680</v>
      </c>
      <c r="B576" s="37" t="s">
        <v>681</v>
      </c>
      <c r="C576" s="37">
        <f ca="1">SUMIF('Finished Recipe'!H:R,'مسحوبات المواد الخام'!A576,'Finished Recipe'!R:R)</f>
        <v>0</v>
      </c>
      <c r="D576" s="40">
        <f>SUMIF('Semi Finished Recipe'!B:B,'RM &amp; SF'!#REF!,'Semi Finished Recipe'!L:L)</f>
        <v>0</v>
      </c>
      <c r="E576" s="37" t="s">
        <v>8</v>
      </c>
      <c r="F576" s="38" t="s">
        <v>487</v>
      </c>
      <c r="G576" s="42">
        <v>1000</v>
      </c>
      <c r="H576" s="84">
        <f t="shared" si="9"/>
        <v>0</v>
      </c>
      <c r="I576" s="35"/>
      <c r="J576" s="35"/>
      <c r="K576" s="56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</row>
    <row r="577" spans="1:28" ht="14" hidden="1">
      <c r="A577" s="37" t="s">
        <v>566</v>
      </c>
      <c r="B577" s="37" t="s">
        <v>567</v>
      </c>
      <c r="C577" s="37">
        <f ca="1">SUMIF('Finished Recipe'!H:R,'مسحوبات المواد الخام'!A577,'Finished Recipe'!R:R)</f>
        <v>0</v>
      </c>
      <c r="D577" s="40">
        <f>SUMIF('Semi Finished Recipe'!B:B,'RM &amp; SF'!B485,'Semi Finished Recipe'!L:L)</f>
        <v>1.0121557958994094</v>
      </c>
      <c r="E577" s="37" t="s">
        <v>8</v>
      </c>
      <c r="F577" s="38" t="s">
        <v>487</v>
      </c>
      <c r="G577" s="42">
        <v>1000</v>
      </c>
      <c r="H577" s="84">
        <f t="shared" si="9"/>
        <v>1.0121557958994094E-3</v>
      </c>
      <c r="I577" s="35"/>
      <c r="J577" s="35"/>
      <c r="K577" s="56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</row>
    <row r="578" spans="1:28" ht="14" hidden="1">
      <c r="A578" s="37" t="s">
        <v>574</v>
      </c>
      <c r="B578" s="37" t="s">
        <v>575</v>
      </c>
      <c r="C578" s="37">
        <f ca="1">SUMIF('Finished Recipe'!H:R,'مسحوبات المواد الخام'!A578,'Finished Recipe'!R:R)</f>
        <v>0</v>
      </c>
      <c r="D578" s="40">
        <f>SUMIF('Semi Finished Recipe'!B:B,'RM &amp; SF'!B486,'Semi Finished Recipe'!L:L)</f>
        <v>1.134660048763497</v>
      </c>
      <c r="E578" s="37" t="s">
        <v>8</v>
      </c>
      <c r="F578" s="38" t="s">
        <v>487</v>
      </c>
      <c r="G578" s="42">
        <v>1000</v>
      </c>
      <c r="H578" s="84">
        <f t="shared" si="9"/>
        <v>1.1346600487634969E-3</v>
      </c>
      <c r="I578" s="35"/>
      <c r="J578" s="35"/>
      <c r="K578" s="56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</row>
    <row r="579" spans="1:28" ht="14" hidden="1">
      <c r="A579" s="37" t="s">
        <v>520</v>
      </c>
      <c r="B579" s="37" t="s">
        <v>521</v>
      </c>
      <c r="C579" s="37">
        <f ca="1">SUMIF('Finished Recipe'!H:R,'مسحوبات المواد الخام'!A579,'Finished Recipe'!R:R)</f>
        <v>0</v>
      </c>
      <c r="D579" s="40">
        <f>SUMIF('Semi Finished Recipe'!B:B,'RM &amp; SF'!#REF!,'Semi Finished Recipe'!L:L)</f>
        <v>0</v>
      </c>
      <c r="E579" s="37" t="s">
        <v>8</v>
      </c>
      <c r="F579" s="38" t="s">
        <v>487</v>
      </c>
      <c r="G579" s="42">
        <v>1000</v>
      </c>
      <c r="H579" s="84">
        <f t="shared" si="9"/>
        <v>0</v>
      </c>
      <c r="I579" s="35"/>
      <c r="J579" s="35"/>
      <c r="K579" s="56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</row>
    <row r="580" spans="1:28" ht="14" hidden="1">
      <c r="A580" s="37" t="s">
        <v>638</v>
      </c>
      <c r="B580" s="37" t="s">
        <v>639</v>
      </c>
      <c r="C580" s="37">
        <f ca="1">SUMIF('Finished Recipe'!H:R,'مسحوبات المواد الخام'!A580,'Finished Recipe'!R:R)</f>
        <v>0</v>
      </c>
      <c r="D580" s="40">
        <f>SUMIF('Semi Finished Recipe'!B:B,'RM &amp; SF'!B487,'Semi Finished Recipe'!L:L)</f>
        <v>2.278025656565656</v>
      </c>
      <c r="E580" s="37" t="s">
        <v>8</v>
      </c>
      <c r="F580" s="38" t="s">
        <v>487</v>
      </c>
      <c r="G580" s="42">
        <v>1000</v>
      </c>
      <c r="H580" s="84">
        <f t="shared" si="9"/>
        <v>2.2780256565656559E-3</v>
      </c>
      <c r="I580" s="35"/>
      <c r="J580" s="35"/>
      <c r="K580" s="56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</row>
    <row r="581" spans="1:28" ht="14" hidden="1">
      <c r="A581" s="37" t="s">
        <v>690</v>
      </c>
      <c r="B581" s="37" t="s">
        <v>691</v>
      </c>
      <c r="C581" s="37">
        <f ca="1">SUMIF('Finished Recipe'!H:R,'مسحوبات المواد الخام'!A581,'Finished Recipe'!R:R)</f>
        <v>0</v>
      </c>
      <c r="D581" s="40">
        <f>SUMIF('Semi Finished Recipe'!B:B,'RM &amp; SF'!B488,'Semi Finished Recipe'!L:L)</f>
        <v>0.20580553846153843</v>
      </c>
      <c r="E581" s="37" t="s">
        <v>11</v>
      </c>
      <c r="F581" s="38" t="s">
        <v>487</v>
      </c>
      <c r="G581" s="42">
        <v>1</v>
      </c>
      <c r="H581" s="84">
        <f t="shared" si="9"/>
        <v>0.20580553846153843</v>
      </c>
      <c r="I581" s="35"/>
      <c r="J581" s="35"/>
      <c r="K581" s="56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</row>
    <row r="582" spans="1:28" ht="14" hidden="1">
      <c r="A582" s="37" t="s">
        <v>692</v>
      </c>
      <c r="B582" s="37" t="s">
        <v>693</v>
      </c>
      <c r="C582" s="37">
        <f ca="1">SUMIF('Finished Recipe'!H:R,'مسحوبات المواد الخام'!A582,'Finished Recipe'!R:R)</f>
        <v>0</v>
      </c>
      <c r="D582" s="40">
        <f>SUMIF('Semi Finished Recipe'!B:B,'RM &amp; SF'!B489,'Semi Finished Recipe'!L:L)</f>
        <v>9.8091661538461536E-2</v>
      </c>
      <c r="E582" s="37" t="s">
        <v>11</v>
      </c>
      <c r="F582" s="38" t="s">
        <v>487</v>
      </c>
      <c r="G582" s="42">
        <v>1</v>
      </c>
      <c r="H582" s="84">
        <f t="shared" si="9"/>
        <v>9.8091661538461536E-2</v>
      </c>
      <c r="I582" s="35"/>
      <c r="J582" s="35"/>
      <c r="K582" s="56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</row>
    <row r="583" spans="1:28" ht="14" hidden="1">
      <c r="A583" s="37" t="s">
        <v>688</v>
      </c>
      <c r="B583" s="37" t="s">
        <v>689</v>
      </c>
      <c r="C583" s="37">
        <f ca="1">SUMIF('Finished Recipe'!H:R,'مسحوبات المواد الخام'!A583,'Finished Recipe'!R:R)</f>
        <v>0</v>
      </c>
      <c r="D583" s="40">
        <f>SUMIF('Semi Finished Recipe'!B:B,'RM &amp; SF'!B490,'Semi Finished Recipe'!L:L)</f>
        <v>6.7135997560149097E-2</v>
      </c>
      <c r="E583" s="37" t="s">
        <v>11</v>
      </c>
      <c r="F583" s="38" t="s">
        <v>487</v>
      </c>
      <c r="G583" s="42">
        <v>1</v>
      </c>
      <c r="H583" s="84">
        <f t="shared" si="9"/>
        <v>6.7135997560149097E-2</v>
      </c>
      <c r="I583" s="35"/>
      <c r="J583" s="35"/>
      <c r="K583" s="56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</row>
    <row r="584" spans="1:28" ht="14" hidden="1">
      <c r="A584" s="37" t="s">
        <v>652</v>
      </c>
      <c r="B584" s="37" t="s">
        <v>653</v>
      </c>
      <c r="C584" s="37">
        <f ca="1">SUMIF('Finished Recipe'!H:R,'مسحوبات المواد الخام'!A584,'Finished Recipe'!R:R)</f>
        <v>0</v>
      </c>
      <c r="D584" s="40">
        <f>SUMIF('Semi Finished Recipe'!B:B,'RM &amp; SF'!B491,'Semi Finished Recipe'!L:L)</f>
        <v>1.7522965258215966</v>
      </c>
      <c r="E584" s="37" t="s">
        <v>8</v>
      </c>
      <c r="F584" s="38" t="s">
        <v>487</v>
      </c>
      <c r="G584" s="42">
        <v>1000</v>
      </c>
      <c r="H584" s="84">
        <f t="shared" si="9"/>
        <v>1.7522965258215965E-3</v>
      </c>
      <c r="I584" s="35"/>
      <c r="J584" s="35"/>
      <c r="K584" s="56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</row>
    <row r="585" spans="1:28" ht="14" hidden="1">
      <c r="A585" s="37" t="s">
        <v>654</v>
      </c>
      <c r="B585" s="37" t="s">
        <v>655</v>
      </c>
      <c r="C585" s="37">
        <f ca="1">SUMIF('Finished Recipe'!H:R,'مسحوبات المواد الخام'!A585,'Finished Recipe'!R:R)</f>
        <v>0</v>
      </c>
      <c r="D585" s="40">
        <f>SUMIF('Semi Finished Recipe'!B:B,'RM &amp; SF'!B492,'Semi Finished Recipe'!L:L)</f>
        <v>2.4714499999999995</v>
      </c>
      <c r="E585" s="37" t="s">
        <v>8</v>
      </c>
      <c r="F585" s="38" t="s">
        <v>487</v>
      </c>
      <c r="G585" s="42">
        <v>1000</v>
      </c>
      <c r="H585" s="84">
        <f t="shared" si="9"/>
        <v>2.4714499999999996E-3</v>
      </c>
      <c r="I585" s="35"/>
      <c r="J585" s="35"/>
      <c r="K585" s="56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</row>
    <row r="586" spans="1:28" ht="14" hidden="1">
      <c r="A586" s="37" t="s">
        <v>656</v>
      </c>
      <c r="B586" s="37" t="s">
        <v>657</v>
      </c>
      <c r="C586" s="37">
        <f ca="1">SUMIF('Finished Recipe'!H:R,'مسحوبات المواد الخام'!A586,'Finished Recipe'!R:R)</f>
        <v>0</v>
      </c>
      <c r="D586" s="40">
        <f>SUMIF('Semi Finished Recipe'!B:B,'RM &amp; SF'!B493,'Semi Finished Recipe'!L:L)</f>
        <v>3.0904043091284059</v>
      </c>
      <c r="E586" s="37" t="s">
        <v>8</v>
      </c>
      <c r="F586" s="38" t="s">
        <v>487</v>
      </c>
      <c r="G586" s="42">
        <v>1000</v>
      </c>
      <c r="H586" s="84">
        <f t="shared" si="9"/>
        <v>3.0904043091284058E-3</v>
      </c>
      <c r="I586" s="35"/>
      <c r="J586" s="35"/>
      <c r="K586" s="56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</row>
    <row r="587" spans="1:28" ht="14" hidden="1">
      <c r="A587" s="37" t="s">
        <v>658</v>
      </c>
      <c r="B587" s="37" t="s">
        <v>659</v>
      </c>
      <c r="C587" s="37">
        <f ca="1">SUMIF('Finished Recipe'!H:R,'مسحوبات المواد الخام'!A587,'Finished Recipe'!R:R)</f>
        <v>0</v>
      </c>
      <c r="D587" s="40">
        <f>SUMIF('Semi Finished Recipe'!B:B,'RM &amp; SF'!B494,'Semi Finished Recipe'!L:L)</f>
        <v>0.75754716981132086</v>
      </c>
      <c r="E587" s="37" t="s">
        <v>8</v>
      </c>
      <c r="F587" s="38" t="s">
        <v>487</v>
      </c>
      <c r="G587" s="42">
        <v>1000</v>
      </c>
      <c r="H587" s="84">
        <f t="shared" si="9"/>
        <v>7.5754716981132084E-4</v>
      </c>
      <c r="I587" s="35"/>
      <c r="J587" s="35"/>
      <c r="K587" s="56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</row>
    <row r="588" spans="1:28" ht="14" hidden="1">
      <c r="A588" s="37" t="s">
        <v>660</v>
      </c>
      <c r="B588" s="37" t="s">
        <v>661</v>
      </c>
      <c r="C588" s="37">
        <f ca="1">SUMIF('Finished Recipe'!H:R,'مسحوبات المواد الخام'!A588,'Finished Recipe'!R:R)</f>
        <v>0</v>
      </c>
      <c r="D588" s="40">
        <f>SUMIF('Semi Finished Recipe'!B:B,'RM &amp; SF'!B495,'Semi Finished Recipe'!L:L)</f>
        <v>0.63</v>
      </c>
      <c r="E588" s="37" t="s">
        <v>8</v>
      </c>
      <c r="F588" s="38" t="s">
        <v>487</v>
      </c>
      <c r="G588" s="42">
        <v>1000</v>
      </c>
      <c r="H588" s="84">
        <f t="shared" si="9"/>
        <v>6.3000000000000003E-4</v>
      </c>
      <c r="I588" s="35"/>
      <c r="J588" s="35"/>
      <c r="K588" s="56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</row>
    <row r="589" spans="1:28" ht="14" hidden="1">
      <c r="A589" s="37" t="s">
        <v>662</v>
      </c>
      <c r="B589" s="37" t="s">
        <v>663</v>
      </c>
      <c r="C589" s="37">
        <f ca="1">SUMIF('Finished Recipe'!H:R,'مسحوبات المواد الخام'!A589,'Finished Recipe'!R:R)</f>
        <v>0</v>
      </c>
      <c r="D589" s="40">
        <f>SUMIF('Semi Finished Recipe'!B:B,'RM &amp; SF'!#REF!,'Semi Finished Recipe'!L:L)</f>
        <v>0</v>
      </c>
      <c r="E589" s="37" t="s">
        <v>8</v>
      </c>
      <c r="F589" s="38" t="s">
        <v>487</v>
      </c>
      <c r="G589" s="42">
        <v>1000</v>
      </c>
      <c r="H589" s="84">
        <f t="shared" si="9"/>
        <v>0</v>
      </c>
      <c r="I589" s="35"/>
      <c r="J589" s="35"/>
      <c r="K589" s="56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</row>
    <row r="590" spans="1:28" ht="14" hidden="1">
      <c r="A590" s="37" t="s">
        <v>664</v>
      </c>
      <c r="B590" s="37" t="s">
        <v>665</v>
      </c>
      <c r="C590" s="37">
        <f ca="1">SUMIF('Finished Recipe'!H:R,'مسحوبات المواد الخام'!A590,'Finished Recipe'!R:R)</f>
        <v>0</v>
      </c>
      <c r="D590" s="40">
        <f>SUMIF('Semi Finished Recipe'!B:B,'RM &amp; SF'!B496,'Semi Finished Recipe'!L:L)</f>
        <v>0.19595000000000001</v>
      </c>
      <c r="E590" s="37" t="s">
        <v>8</v>
      </c>
      <c r="F590" s="38" t="s">
        <v>487</v>
      </c>
      <c r="G590" s="42">
        <v>1000</v>
      </c>
      <c r="H590" s="84">
        <f t="shared" si="9"/>
        <v>1.9595000000000002E-4</v>
      </c>
      <c r="I590" s="35"/>
      <c r="J590" s="35"/>
      <c r="K590" s="56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</row>
    <row r="591" spans="1:28" ht="14" hidden="1">
      <c r="A591" s="37" t="s">
        <v>666</v>
      </c>
      <c r="B591" s="37" t="s">
        <v>667</v>
      </c>
      <c r="C591" s="37">
        <f ca="1">SUMIF('Finished Recipe'!H:R,'مسحوبات المواد الخام'!A591,'Finished Recipe'!R:R)</f>
        <v>0</v>
      </c>
      <c r="D591" s="40">
        <f>SUMIF('Semi Finished Recipe'!B:B,'RM &amp; SF'!B497,'Semi Finished Recipe'!L:L)</f>
        <v>2.5407000000000002</v>
      </c>
      <c r="E591" s="37" t="s">
        <v>8</v>
      </c>
      <c r="F591" s="38" t="s">
        <v>487</v>
      </c>
      <c r="G591" s="42">
        <v>1000</v>
      </c>
      <c r="H591" s="84">
        <f t="shared" si="9"/>
        <v>2.5407000000000003E-3</v>
      </c>
      <c r="I591" s="35"/>
      <c r="J591" s="35"/>
      <c r="K591" s="56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</row>
    <row r="592" spans="1:28" ht="14" hidden="1">
      <c r="A592" s="37" t="s">
        <v>668</v>
      </c>
      <c r="B592" s="37" t="s">
        <v>669</v>
      </c>
      <c r="C592" s="37">
        <f ca="1">SUMIF('Finished Recipe'!H:R,'مسحوبات المواد الخام'!A592,'Finished Recipe'!R:R)</f>
        <v>0</v>
      </c>
      <c r="D592" s="40">
        <f>SUMIF('Semi Finished Recipe'!B:B,'RM &amp; SF'!B498,'Semi Finished Recipe'!L:L)</f>
        <v>4.594785388888889</v>
      </c>
      <c r="E592" s="37" t="s">
        <v>8</v>
      </c>
      <c r="F592" s="38" t="s">
        <v>487</v>
      </c>
      <c r="G592" s="42">
        <v>1000</v>
      </c>
      <c r="H592" s="84">
        <f t="shared" si="9"/>
        <v>4.5947853888888886E-3</v>
      </c>
      <c r="I592" s="35"/>
      <c r="J592" s="35"/>
      <c r="K592" s="56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</row>
    <row r="593" spans="1:28" ht="14" hidden="1">
      <c r="A593" s="37" t="s">
        <v>670</v>
      </c>
      <c r="B593" s="37" t="s">
        <v>671</v>
      </c>
      <c r="C593" s="37">
        <f ca="1">SUMIF('Finished Recipe'!H:R,'مسحوبات المواد الخام'!A593,'Finished Recipe'!R:R)</f>
        <v>0</v>
      </c>
      <c r="D593" s="40">
        <f>SUMIF('Semi Finished Recipe'!B:B,'RM &amp; SF'!B499,'Semi Finished Recipe'!L:L)</f>
        <v>1.563035</v>
      </c>
      <c r="E593" s="37" t="s">
        <v>8</v>
      </c>
      <c r="F593" s="38" t="s">
        <v>487</v>
      </c>
      <c r="G593" s="42">
        <v>1000</v>
      </c>
      <c r="H593" s="84">
        <f t="shared" si="9"/>
        <v>1.5630349999999999E-3</v>
      </c>
      <c r="I593" s="35"/>
      <c r="J593" s="35"/>
      <c r="K593" s="56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</row>
    <row r="594" spans="1:28" ht="14" hidden="1">
      <c r="A594" s="37" t="s">
        <v>672</v>
      </c>
      <c r="B594" s="37" t="s">
        <v>673</v>
      </c>
      <c r="C594" s="37">
        <f ca="1">SUMIF('Finished Recipe'!H:R,'مسحوبات المواد الخام'!A594,'Finished Recipe'!R:R)</f>
        <v>0</v>
      </c>
      <c r="D594" s="40">
        <f>SUMIF('Semi Finished Recipe'!B:B,'RM &amp; SF'!B500,'Semi Finished Recipe'!L:L)</f>
        <v>1.4632210966810966</v>
      </c>
      <c r="E594" s="37" t="s">
        <v>8</v>
      </c>
      <c r="F594" s="38" t="s">
        <v>487</v>
      </c>
      <c r="G594" s="42">
        <v>1000</v>
      </c>
      <c r="H594" s="84">
        <f t="shared" si="9"/>
        <v>1.4632210966810965E-3</v>
      </c>
      <c r="I594" s="35"/>
      <c r="J594" s="35"/>
      <c r="K594" s="56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</row>
    <row r="595" spans="1:28" ht="15.5" hidden="1">
      <c r="A595" s="37" t="s">
        <v>628</v>
      </c>
      <c r="B595" s="41" t="s">
        <v>629</v>
      </c>
      <c r="C595" s="37">
        <f ca="1">SUMIF('Finished Recipe'!H:R,'مسحوبات المواد الخام'!A595,'Finished Recipe'!R:R)</f>
        <v>0</v>
      </c>
      <c r="D595" s="40">
        <f>SUMIF('Semi Finished Recipe'!B:B,'RM &amp; SF'!B501,'Semi Finished Recipe'!L:L)</f>
        <v>0.90929360980239737</v>
      </c>
      <c r="E595" s="37" t="s">
        <v>8</v>
      </c>
      <c r="F595" s="38" t="s">
        <v>487</v>
      </c>
      <c r="G595" s="42">
        <v>1000</v>
      </c>
      <c r="H595" s="84">
        <f t="shared" si="9"/>
        <v>9.0929360980239742E-4</v>
      </c>
      <c r="I595" s="35"/>
      <c r="J595" s="35"/>
      <c r="K595" s="56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</row>
    <row r="596" spans="1:28" ht="14" hidden="1">
      <c r="A596" s="37" t="s">
        <v>564</v>
      </c>
      <c r="B596" s="37" t="s">
        <v>565</v>
      </c>
      <c r="C596" s="37">
        <f ca="1">SUMIF('Finished Recipe'!H:R,'مسحوبات المواد الخام'!A596,'Finished Recipe'!R:R)</f>
        <v>0</v>
      </c>
      <c r="D596" s="40">
        <f>SUMIF('Semi Finished Recipe'!B:B,'RM &amp; SF'!#REF!,'Semi Finished Recipe'!L:L)</f>
        <v>0</v>
      </c>
      <c r="E596" s="37" t="s">
        <v>8</v>
      </c>
      <c r="F596" s="38" t="s">
        <v>487</v>
      </c>
      <c r="G596" s="42">
        <v>1000</v>
      </c>
      <c r="H596" s="84">
        <f t="shared" si="9"/>
        <v>0</v>
      </c>
      <c r="I596" s="35"/>
      <c r="J596" s="35"/>
      <c r="K596" s="56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</row>
    <row r="597" spans="1:28" ht="14" hidden="1">
      <c r="A597" s="37" t="s">
        <v>514</v>
      </c>
      <c r="B597" s="37" t="s">
        <v>515</v>
      </c>
      <c r="C597" s="37">
        <f ca="1">SUMIF('Finished Recipe'!H:R,'مسحوبات المواد الخام'!A597,'Finished Recipe'!R:R)</f>
        <v>0</v>
      </c>
      <c r="D597" s="40">
        <f>SUMIF('Semi Finished Recipe'!B:B,'RM &amp; SF'!B502,'Semi Finished Recipe'!L:L)</f>
        <v>0.87110666895055389</v>
      </c>
      <c r="E597" s="37" t="s">
        <v>8</v>
      </c>
      <c r="F597" s="38" t="s">
        <v>487</v>
      </c>
      <c r="G597" s="42">
        <v>1000</v>
      </c>
      <c r="H597" s="84">
        <f t="shared" si="9"/>
        <v>8.7110666895055388E-4</v>
      </c>
      <c r="I597" s="35"/>
      <c r="J597" s="35"/>
      <c r="K597" s="56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</row>
    <row r="598" spans="1:28" ht="14" hidden="1">
      <c r="A598" s="37" t="s">
        <v>570</v>
      </c>
      <c r="B598" s="37" t="s">
        <v>571</v>
      </c>
      <c r="C598" s="37">
        <f ca="1">SUMIF('Finished Recipe'!H:R,'مسحوبات المواد الخام'!A598,'Finished Recipe'!R:R)</f>
        <v>0</v>
      </c>
      <c r="D598" s="40">
        <f>SUMIF('Semi Finished Recipe'!B:B,'RM &amp; SF'!B503,'Semi Finished Recipe'!L:L)</f>
        <v>0.93877101247799521</v>
      </c>
      <c r="E598" s="37" t="s">
        <v>8</v>
      </c>
      <c r="F598" s="38" t="s">
        <v>487</v>
      </c>
      <c r="G598" s="42">
        <v>1000</v>
      </c>
      <c r="H598" s="84">
        <f t="shared" si="9"/>
        <v>9.3877101247799523E-4</v>
      </c>
      <c r="I598" s="35"/>
      <c r="J598" s="35"/>
      <c r="K598" s="56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</row>
    <row r="599" spans="1:28" ht="14" hidden="1">
      <c r="A599" s="37" t="s">
        <v>640</v>
      </c>
      <c r="B599" s="37" t="s">
        <v>641</v>
      </c>
      <c r="C599" s="37">
        <f ca="1">SUMIF('Finished Recipe'!H:R,'مسحوبات المواد الخام'!A599,'Finished Recipe'!R:R)</f>
        <v>0</v>
      </c>
      <c r="D599" s="40">
        <f>SUMIF('Semi Finished Recipe'!B:B,'RM &amp; SF'!B504,'Semi Finished Recipe'!L:L)</f>
        <v>0.29605135530167526</v>
      </c>
      <c r="E599" s="37" t="s">
        <v>11</v>
      </c>
      <c r="F599" s="38" t="s">
        <v>487</v>
      </c>
      <c r="G599" s="42">
        <v>1</v>
      </c>
      <c r="H599" s="84">
        <f t="shared" si="9"/>
        <v>0.29605135530167526</v>
      </c>
      <c r="I599" s="35"/>
      <c r="J599" s="35"/>
      <c r="K599" s="56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</row>
    <row r="600" spans="1:28" ht="14" hidden="1">
      <c r="A600" s="61" t="s">
        <v>528</v>
      </c>
      <c r="B600" s="61" t="s">
        <v>529</v>
      </c>
      <c r="C600" s="37">
        <f ca="1">SUMIF('Finished Recipe'!H:R,'مسحوبات المواد الخام'!A600,'Finished Recipe'!R:R)</f>
        <v>0</v>
      </c>
      <c r="D600" s="40">
        <f>SUMIF('Semi Finished Recipe'!B:B,'RM &amp; SF'!B505,'Semi Finished Recipe'!L:L)</f>
        <v>20.415146666666665</v>
      </c>
      <c r="E600" s="37" t="s">
        <v>8</v>
      </c>
      <c r="F600" s="38" t="s">
        <v>487</v>
      </c>
      <c r="G600" s="42">
        <v>1000</v>
      </c>
      <c r="H600" s="84">
        <f t="shared" si="9"/>
        <v>2.0415146666666665E-2</v>
      </c>
      <c r="I600" s="35"/>
      <c r="J600" s="35"/>
      <c r="K600" s="56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</row>
    <row r="601" spans="1:28" ht="14" hidden="1">
      <c r="A601" s="61" t="s">
        <v>536</v>
      </c>
      <c r="B601" s="61" t="s">
        <v>537</v>
      </c>
      <c r="C601" s="37">
        <f ca="1">SUMIF('Finished Recipe'!H:R,'مسحوبات المواد الخام'!A601,'Finished Recipe'!R:R)</f>
        <v>0</v>
      </c>
      <c r="D601" s="40">
        <f>SUMIF('Semi Finished Recipe'!B:B,'RM &amp; SF'!B506,'Semi Finished Recipe'!L:L)</f>
        <v>11.636090242685134</v>
      </c>
      <c r="E601" s="37" t="s">
        <v>8</v>
      </c>
      <c r="F601" s="38" t="s">
        <v>487</v>
      </c>
      <c r="G601" s="42">
        <v>1000</v>
      </c>
      <c r="H601" s="84">
        <f t="shared" si="9"/>
        <v>1.1636090242685134E-2</v>
      </c>
      <c r="I601" s="35"/>
      <c r="J601" s="35"/>
      <c r="K601" s="56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</row>
    <row r="602" spans="1:28" ht="14" hidden="1">
      <c r="A602" s="37" t="s">
        <v>504</v>
      </c>
      <c r="B602" s="37" t="s">
        <v>505</v>
      </c>
      <c r="C602" s="37">
        <f ca="1">SUMIF('Finished Recipe'!H:R,'مسحوبات المواد الخام'!A602,'Finished Recipe'!R:R)</f>
        <v>0</v>
      </c>
      <c r="D602" s="40">
        <f>SUMIF('Semi Finished Recipe'!B:B,'RM &amp; SF'!B507,'Semi Finished Recipe'!L:L)</f>
        <v>5.666775058438712</v>
      </c>
      <c r="E602" s="37" t="s">
        <v>8</v>
      </c>
      <c r="F602" s="38" t="s">
        <v>487</v>
      </c>
      <c r="G602" s="42">
        <v>1000</v>
      </c>
      <c r="H602" s="84">
        <f t="shared" si="9"/>
        <v>5.666775058438712E-3</v>
      </c>
      <c r="I602" s="35"/>
      <c r="J602" s="35"/>
      <c r="K602" s="56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</row>
    <row r="603" spans="1:28" ht="14" hidden="1">
      <c r="A603" s="37" t="s">
        <v>604</v>
      </c>
      <c r="B603" s="37" t="s">
        <v>605</v>
      </c>
      <c r="C603" s="37">
        <f ca="1">SUMIF('Finished Recipe'!H:R,'مسحوبات المواد الخام'!A603,'Finished Recipe'!R:R)</f>
        <v>0</v>
      </c>
      <c r="D603" s="40">
        <f>SUMIF('Semi Finished Recipe'!B:B,'RM &amp; SF'!B508,'Semi Finished Recipe'!L:L)</f>
        <v>2.7389557329462995</v>
      </c>
      <c r="E603" s="37" t="s">
        <v>8</v>
      </c>
      <c r="F603" s="38" t="s">
        <v>487</v>
      </c>
      <c r="G603" s="42">
        <v>1000</v>
      </c>
      <c r="H603" s="84">
        <f t="shared" si="9"/>
        <v>2.7389557329462995E-3</v>
      </c>
      <c r="I603" s="35"/>
      <c r="J603" s="35"/>
      <c r="K603" s="56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</row>
    <row r="604" spans="1:28" ht="14" hidden="1">
      <c r="A604" s="37" t="s">
        <v>506</v>
      </c>
      <c r="B604" s="37" t="s">
        <v>507</v>
      </c>
      <c r="C604" s="37">
        <f ca="1">SUMIF('Finished Recipe'!H:R,'مسحوبات المواد الخام'!A604,'Finished Recipe'!R:R)</f>
        <v>0</v>
      </c>
      <c r="D604" s="40">
        <f>SUMIF('Semi Finished Recipe'!B:B,'RM &amp; SF'!B509,'Semi Finished Recipe'!L:L)</f>
        <v>4.6721213030918278</v>
      </c>
      <c r="E604" s="37" t="s">
        <v>8</v>
      </c>
      <c r="F604" s="38" t="s">
        <v>487</v>
      </c>
      <c r="G604" s="42">
        <v>1000</v>
      </c>
      <c r="H604" s="84">
        <f t="shared" si="9"/>
        <v>4.6721213030918281E-3</v>
      </c>
      <c r="I604" s="35"/>
      <c r="J604" s="35"/>
      <c r="K604" s="56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</row>
    <row r="605" spans="1:28" ht="14" hidden="1">
      <c r="A605" s="47">
        <v>1210</v>
      </c>
      <c r="B605" s="47" t="s">
        <v>1911</v>
      </c>
      <c r="C605" s="37">
        <f ca="1">SUMIF('Finished Recipe'!H:R,'مسحوبات المواد الخام'!A605,'Finished Recipe'!R:R)</f>
        <v>0</v>
      </c>
      <c r="D605" s="40">
        <v>6</v>
      </c>
      <c r="E605" s="47" t="s">
        <v>8</v>
      </c>
      <c r="F605" s="48"/>
      <c r="G605" s="65">
        <v>1000</v>
      </c>
      <c r="H605" s="84">
        <f t="shared" si="9"/>
        <v>6.0000000000000001E-3</v>
      </c>
      <c r="I605" s="35"/>
      <c r="J605" s="35"/>
      <c r="K605" s="56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</row>
    <row r="606" spans="1:28" ht="14" hidden="1">
      <c r="A606" s="60" t="s">
        <v>289</v>
      </c>
      <c r="B606" s="51" t="s">
        <v>290</v>
      </c>
      <c r="C606" s="37">
        <f ca="1">SUMIF('Finished Recipe'!H:R,'مسحوبات المواد الخام'!A606,'Finished Recipe'!R:R)</f>
        <v>0</v>
      </c>
      <c r="D606" s="40">
        <f>SUMIF('Semi Finished Recipe'!B:B,'RM &amp; SF'!#REF!,'Semi Finished Recipe'!L:L)</f>
        <v>0</v>
      </c>
      <c r="E606" s="51" t="s">
        <v>11</v>
      </c>
      <c r="F606" s="53" t="s">
        <v>168</v>
      </c>
      <c r="G606" s="69">
        <v>250</v>
      </c>
      <c r="H606" s="84">
        <f t="shared" si="9"/>
        <v>0</v>
      </c>
      <c r="I606" s="35"/>
      <c r="J606" s="35"/>
      <c r="K606" s="56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</row>
    <row r="607" spans="1:28" ht="14" hidden="1">
      <c r="A607" s="59" t="s">
        <v>292</v>
      </c>
      <c r="B607" s="49" t="s">
        <v>293</v>
      </c>
      <c r="C607" s="37">
        <f ca="1">SUMIF('Finished Recipe'!H:R,'مسحوبات المواد الخام'!A607,'Finished Recipe'!R:R)</f>
        <v>0</v>
      </c>
      <c r="D607" s="40">
        <f>SUMIF('Semi Finished Recipe'!B:B,'RM &amp; SF'!B511,'Semi Finished Recipe'!L:L)</f>
        <v>0</v>
      </c>
      <c r="E607" s="49" t="s">
        <v>11</v>
      </c>
      <c r="F607" s="50" t="s">
        <v>168</v>
      </c>
      <c r="G607" s="66">
        <v>1</v>
      </c>
      <c r="H607" s="84">
        <f t="shared" si="9"/>
        <v>0</v>
      </c>
      <c r="I607" s="35"/>
      <c r="J607" s="35"/>
      <c r="K607" s="56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</row>
    <row r="608" spans="1:28" ht="14" hidden="1">
      <c r="A608" s="44" t="s">
        <v>311</v>
      </c>
      <c r="B608" s="37" t="s">
        <v>312</v>
      </c>
      <c r="C608" s="37">
        <f ca="1">SUMIF('Finished Recipe'!H:R,'مسحوبات المواد الخام'!A608,'Finished Recipe'!R:R)</f>
        <v>0</v>
      </c>
      <c r="D608" s="40">
        <f>SUMIF('Semi Finished Recipe'!B:B,'RM &amp; SF'!B512,'Semi Finished Recipe'!L:L)</f>
        <v>0</v>
      </c>
      <c r="E608" s="37" t="s">
        <v>11</v>
      </c>
      <c r="F608" s="38" t="s">
        <v>21</v>
      </c>
      <c r="G608" s="42">
        <v>1</v>
      </c>
      <c r="H608" s="84">
        <f t="shared" si="9"/>
        <v>0</v>
      </c>
      <c r="I608" s="35"/>
      <c r="J608" s="35"/>
      <c r="K608" s="56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</row>
    <row r="609" spans="1:28" ht="14" hidden="1">
      <c r="A609" s="44" t="s">
        <v>313</v>
      </c>
      <c r="B609" s="37" t="s">
        <v>314</v>
      </c>
      <c r="C609" s="37">
        <f ca="1">SUMIF('Finished Recipe'!H:R,'مسحوبات المواد الخام'!A609,'Finished Recipe'!R:R)</f>
        <v>0</v>
      </c>
      <c r="D609" s="40">
        <f>SUMIF('Semi Finished Recipe'!B:B,'RM &amp; SF'!B513,'Semi Finished Recipe'!L:L)</f>
        <v>0</v>
      </c>
      <c r="E609" s="37" t="s">
        <v>11</v>
      </c>
      <c r="F609" s="38" t="s">
        <v>21</v>
      </c>
      <c r="G609" s="42">
        <v>1</v>
      </c>
      <c r="H609" s="84">
        <f t="shared" si="9"/>
        <v>0</v>
      </c>
      <c r="I609" s="35"/>
      <c r="J609" s="35"/>
      <c r="K609" s="56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</row>
    <row r="610" spans="1:28" ht="14" hidden="1">
      <c r="A610" s="44" t="s">
        <v>325</v>
      </c>
      <c r="B610" s="37" t="s">
        <v>326</v>
      </c>
      <c r="C610" s="37">
        <f ca="1">SUMIF('Finished Recipe'!H:R,'مسحوبات المواد الخام'!A610,'Finished Recipe'!R:R)</f>
        <v>0</v>
      </c>
      <c r="D610" s="40">
        <f>SUMIF('Semi Finished Recipe'!B:B,'RM &amp; SF'!B514,'Semi Finished Recipe'!L:L)</f>
        <v>0</v>
      </c>
      <c r="E610" s="37" t="s">
        <v>8</v>
      </c>
      <c r="F610" s="38" t="s">
        <v>21</v>
      </c>
      <c r="G610" s="42">
        <v>1000</v>
      </c>
      <c r="H610" s="84">
        <f t="shared" si="9"/>
        <v>0</v>
      </c>
      <c r="I610" s="35"/>
      <c r="J610" s="35"/>
      <c r="K610" s="56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</row>
    <row r="611" spans="1:28" ht="14" hidden="1">
      <c r="A611" s="44" t="s">
        <v>347</v>
      </c>
      <c r="B611" s="37" t="s">
        <v>348</v>
      </c>
      <c r="C611" s="37">
        <f ca="1">SUMIF('Finished Recipe'!H:R,'مسحوبات المواد الخام'!A611,'Finished Recipe'!R:R)</f>
        <v>0</v>
      </c>
      <c r="D611" s="40">
        <v>8</v>
      </c>
      <c r="E611" s="37" t="s">
        <v>8</v>
      </c>
      <c r="F611" s="38" t="s">
        <v>9</v>
      </c>
      <c r="G611" s="42">
        <v>1000</v>
      </c>
      <c r="H611" s="84">
        <f t="shared" si="9"/>
        <v>8.0000000000000002E-3</v>
      </c>
      <c r="I611" s="35"/>
      <c r="J611" s="35"/>
      <c r="K611" s="56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</row>
    <row r="612" spans="1:28" ht="14" hidden="1">
      <c r="A612" s="44" t="s">
        <v>399</v>
      </c>
      <c r="B612" s="37" t="s">
        <v>400</v>
      </c>
      <c r="C612" s="37">
        <f ca="1">SUMIF('Finished Recipe'!H:R,'مسحوبات المواد الخام'!A612,'Finished Recipe'!R:R)</f>
        <v>0</v>
      </c>
      <c r="D612" s="40">
        <f>SUMIF('Semi Finished Recipe'!B:B,'RM &amp; SF'!#REF!,'Semi Finished Recipe'!L:L)</f>
        <v>0</v>
      </c>
      <c r="E612" s="37" t="s">
        <v>8</v>
      </c>
      <c r="F612" s="38"/>
      <c r="G612" s="42">
        <v>1000</v>
      </c>
      <c r="H612" s="84">
        <f t="shared" si="9"/>
        <v>0</v>
      </c>
      <c r="I612" s="35"/>
      <c r="J612" s="35"/>
      <c r="K612" s="56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</row>
    <row r="613" spans="1:28" ht="14" hidden="1">
      <c r="A613" s="37" t="s">
        <v>401</v>
      </c>
      <c r="B613" s="37" t="s">
        <v>402</v>
      </c>
      <c r="C613" s="37">
        <f ca="1">SUMIF('Finished Recipe'!H:R,'مسحوبات المواد الخام'!A613,'Finished Recipe'!R:R)</f>
        <v>0</v>
      </c>
      <c r="D613" s="40">
        <f>SUMIF('Semi Finished Recipe'!B:B,'RM &amp; SF'!B516,'Semi Finished Recipe'!L:L)</f>
        <v>0</v>
      </c>
      <c r="E613" s="37" t="s">
        <v>8</v>
      </c>
      <c r="F613" s="38"/>
      <c r="G613" s="42">
        <v>1000</v>
      </c>
      <c r="H613" s="84">
        <f t="shared" si="9"/>
        <v>0</v>
      </c>
      <c r="I613" s="35"/>
      <c r="J613" s="35"/>
      <c r="K613" s="56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</row>
    <row r="614" spans="1:28" ht="14" hidden="1">
      <c r="A614" s="37" t="s">
        <v>403</v>
      </c>
      <c r="B614" s="44" t="s">
        <v>404</v>
      </c>
      <c r="C614" s="37">
        <f ca="1">SUMIF('Finished Recipe'!H:R,'مسحوبات المواد الخام'!A614,'Finished Recipe'!R:R)</f>
        <v>0</v>
      </c>
      <c r="D614" s="40">
        <f>SUMIF('Semi Finished Recipe'!B:B,'RM &amp; SF'!B517,'Semi Finished Recipe'!L:L)</f>
        <v>0</v>
      </c>
      <c r="E614" s="37" t="s">
        <v>8</v>
      </c>
      <c r="F614" s="38"/>
      <c r="G614" s="42">
        <v>1000</v>
      </c>
      <c r="H614" s="84">
        <f t="shared" si="9"/>
        <v>0</v>
      </c>
      <c r="I614" s="35"/>
      <c r="J614" s="35"/>
      <c r="K614" s="56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</row>
    <row r="615" spans="1:28" ht="14" hidden="1">
      <c r="A615" s="37" t="s">
        <v>405</v>
      </c>
      <c r="B615" s="37" t="s">
        <v>406</v>
      </c>
      <c r="C615" s="37">
        <f ca="1">SUMIF('Finished Recipe'!H:R,'مسحوبات المواد الخام'!A615,'Finished Recipe'!R:R)</f>
        <v>0</v>
      </c>
      <c r="D615" s="40">
        <f>SUMIF('Semi Finished Recipe'!B:B,'RM &amp; SF'!B518,'Semi Finished Recipe'!L:L)</f>
        <v>0</v>
      </c>
      <c r="E615" s="37" t="s">
        <v>8</v>
      </c>
      <c r="F615" s="38"/>
      <c r="G615" s="42">
        <v>1000</v>
      </c>
      <c r="H615" s="84">
        <f t="shared" si="9"/>
        <v>0</v>
      </c>
      <c r="I615" s="35"/>
      <c r="J615" s="35"/>
      <c r="K615" s="56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</row>
    <row r="616" spans="1:28" ht="14" hidden="1">
      <c r="A616" s="51" t="s">
        <v>407</v>
      </c>
      <c r="B616" s="51" t="s">
        <v>408</v>
      </c>
      <c r="C616" s="37">
        <f ca="1">SUMIF('Finished Recipe'!H:R,'مسحوبات المواد الخام'!A616,'Finished Recipe'!R:R)</f>
        <v>0</v>
      </c>
      <c r="D616" s="40">
        <f>SUMIF('Semi Finished Recipe'!B:B,'RM &amp; SF'!#REF!,'Semi Finished Recipe'!L:L)</f>
        <v>0</v>
      </c>
      <c r="E616" s="37" t="s">
        <v>8</v>
      </c>
      <c r="F616" s="53"/>
      <c r="G616" s="69">
        <v>1000</v>
      </c>
      <c r="H616" s="84">
        <f t="shared" si="9"/>
        <v>0</v>
      </c>
      <c r="I616" s="35"/>
      <c r="J616" s="35"/>
      <c r="K616" s="56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</row>
    <row r="617" spans="1:28" ht="14" hidden="1">
      <c r="A617" s="51" t="s">
        <v>409</v>
      </c>
      <c r="B617" s="51" t="s">
        <v>410</v>
      </c>
      <c r="C617" s="37">
        <f ca="1">SUMIF('Finished Recipe'!H:R,'مسحوبات المواد الخام'!A617,'Finished Recipe'!R:R)</f>
        <v>0</v>
      </c>
      <c r="D617" s="40">
        <f>SUMIF('Semi Finished Recipe'!B:B,'RM &amp; SF'!B519,'Semi Finished Recipe'!L:L)</f>
        <v>0</v>
      </c>
      <c r="E617" s="37" t="s">
        <v>8</v>
      </c>
      <c r="F617" s="53"/>
      <c r="G617" s="69">
        <v>1000</v>
      </c>
      <c r="H617" s="84">
        <f t="shared" si="9"/>
        <v>0</v>
      </c>
      <c r="I617" s="35"/>
      <c r="J617" s="35"/>
      <c r="K617" s="56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</row>
    <row r="618" spans="1:28" ht="14" hidden="1">
      <c r="A618" s="51" t="s">
        <v>1945</v>
      </c>
      <c r="B618" s="55" t="s">
        <v>1944</v>
      </c>
      <c r="C618" s="37">
        <f ca="1">SUMIF('Finished Recipe'!H:R,'مسحوبات المواد الخام'!A618,'Finished Recipe'!R:R)</f>
        <v>0</v>
      </c>
      <c r="D618" s="40">
        <f>SUMIF('Semi Finished Recipe'!B:B,'RM &amp; SF'!B520,'Semi Finished Recipe'!L:L)</f>
        <v>5.078645511484595</v>
      </c>
      <c r="E618" s="37" t="s">
        <v>8</v>
      </c>
      <c r="F618" s="53"/>
      <c r="G618" s="69">
        <v>1000</v>
      </c>
      <c r="H618" s="84">
        <f t="shared" si="9"/>
        <v>5.0786455114845948E-3</v>
      </c>
      <c r="I618" s="35"/>
      <c r="J618" s="35"/>
      <c r="K618" s="56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</row>
    <row r="619" spans="1:28" ht="14" hidden="1">
      <c r="A619" s="68" t="s">
        <v>1948</v>
      </c>
      <c r="B619" s="68" t="s">
        <v>1947</v>
      </c>
      <c r="C619" s="37">
        <f ca="1">SUMIF('Finished Recipe'!H:R,'مسحوبات المواد الخام'!A619,'Finished Recipe'!R:R)</f>
        <v>0</v>
      </c>
      <c r="D619" s="40">
        <f>SUMIF('Semi Finished Recipe'!B:B,'RM &amp; SF'!B521,'Semi Finished Recipe'!L:L)</f>
        <v>0.9</v>
      </c>
      <c r="E619" s="37" t="s">
        <v>8</v>
      </c>
      <c r="F619" s="53"/>
      <c r="G619" s="69">
        <v>1000</v>
      </c>
      <c r="H619" s="84">
        <f t="shared" si="9"/>
        <v>8.9999999999999998E-4</v>
      </c>
      <c r="I619" s="35"/>
      <c r="J619" s="35"/>
      <c r="K619" s="56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</row>
    <row r="620" spans="1:28" ht="14" hidden="1">
      <c r="A620" s="68" t="s">
        <v>1949</v>
      </c>
      <c r="B620" s="72" t="s">
        <v>1950</v>
      </c>
      <c r="C620" s="37">
        <f ca="1">SUMIF('Finished Recipe'!H:R,'مسحوبات المواد الخام'!A620,'Finished Recipe'!R:R)</f>
        <v>0</v>
      </c>
      <c r="D620" s="40">
        <f>SUMIF('Semi Finished Recipe'!B:B,'RM &amp; SF'!B522,'Semi Finished Recipe'!L:L)</f>
        <v>6.8189551999999996</v>
      </c>
      <c r="E620" s="51"/>
      <c r="F620" s="53"/>
      <c r="G620" s="69">
        <v>1000</v>
      </c>
      <c r="H620" s="84">
        <f t="shared" si="9"/>
        <v>6.8189551999999999E-3</v>
      </c>
      <c r="I620" s="35"/>
      <c r="J620" s="35"/>
      <c r="K620" s="56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</row>
    <row r="621" spans="1:28" ht="14" hidden="1">
      <c r="A621" s="4" t="s">
        <v>578</v>
      </c>
      <c r="B621" s="55"/>
      <c r="C621" s="37">
        <f ca="1">SUMIF('Finished Recipe'!H:R,'مسحوبات المواد الخام'!A621,'Finished Recipe'!R:R)</f>
        <v>0</v>
      </c>
      <c r="D621" s="52"/>
      <c r="E621" s="51"/>
      <c r="F621" s="53"/>
      <c r="G621" s="69"/>
      <c r="H621" s="54"/>
      <c r="I621" s="35"/>
      <c r="J621" s="35"/>
      <c r="K621" s="56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</row>
    <row r="622" spans="1:28" ht="14" hidden="1">
      <c r="A622" s="4"/>
      <c r="B622" s="43"/>
      <c r="C622" s="43"/>
      <c r="D622" s="56"/>
      <c r="E622" s="35"/>
      <c r="F622" s="57"/>
      <c r="G622" s="82"/>
      <c r="H622" s="58"/>
      <c r="I622" s="35"/>
      <c r="J622" s="35"/>
      <c r="K622" s="56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</row>
    <row r="623" spans="1:28" ht="14" hidden="1">
      <c r="A623" s="35"/>
      <c r="B623" s="43"/>
      <c r="C623" s="43"/>
      <c r="D623" s="56"/>
      <c r="E623" s="35"/>
      <c r="F623" s="57"/>
      <c r="G623" s="82"/>
      <c r="H623" s="58"/>
      <c r="I623" s="35"/>
      <c r="J623" s="35"/>
      <c r="K623" s="56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</row>
    <row r="624" spans="1:28" ht="14" hidden="1">
      <c r="A624" s="35"/>
      <c r="B624" s="43"/>
      <c r="C624" s="43"/>
      <c r="D624" s="56"/>
      <c r="E624" s="35"/>
      <c r="F624" s="57"/>
      <c r="G624" s="82"/>
      <c r="H624" s="58"/>
      <c r="I624" s="35"/>
      <c r="J624" s="35"/>
      <c r="K624" s="56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</row>
    <row r="625" spans="1:28" ht="14" hidden="1">
      <c r="A625" s="35"/>
      <c r="B625" s="43"/>
      <c r="C625" s="43"/>
      <c r="D625" s="56"/>
      <c r="E625" s="35"/>
      <c r="F625" s="57"/>
      <c r="G625" s="82"/>
      <c r="H625" s="58"/>
      <c r="I625" s="35"/>
      <c r="J625" s="35"/>
      <c r="K625" s="56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</row>
    <row r="626" spans="1:28" ht="14" hidden="1">
      <c r="A626" s="35"/>
      <c r="B626" s="43"/>
      <c r="C626" s="43"/>
      <c r="D626" s="56"/>
      <c r="E626" s="35"/>
      <c r="F626" s="57"/>
      <c r="G626" s="82"/>
      <c r="H626" s="58"/>
      <c r="I626" s="35"/>
      <c r="J626" s="35"/>
      <c r="K626" s="56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</row>
    <row r="627" spans="1:28" ht="14" hidden="1">
      <c r="A627" s="35"/>
      <c r="B627" s="43"/>
      <c r="C627" s="43"/>
      <c r="D627" s="56"/>
      <c r="E627" s="35"/>
      <c r="F627" s="57"/>
      <c r="G627" s="82"/>
      <c r="H627" s="58"/>
      <c r="I627" s="35"/>
      <c r="J627" s="35"/>
      <c r="K627" s="56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</row>
    <row r="628" spans="1:28" ht="14" hidden="1">
      <c r="A628" s="35"/>
      <c r="B628" s="43"/>
      <c r="C628" s="43"/>
      <c r="D628" s="56"/>
      <c r="E628" s="35"/>
      <c r="F628" s="57"/>
      <c r="G628" s="82"/>
      <c r="H628" s="58"/>
      <c r="I628" s="35"/>
      <c r="J628" s="35"/>
      <c r="K628" s="56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</row>
    <row r="629" spans="1:28" ht="14" hidden="1">
      <c r="A629" s="35"/>
      <c r="B629" s="43"/>
      <c r="C629" s="43"/>
      <c r="D629" s="56"/>
      <c r="E629" s="35"/>
      <c r="F629" s="57"/>
      <c r="G629" s="82"/>
      <c r="H629" s="58"/>
      <c r="I629" s="35"/>
      <c r="J629" s="35"/>
      <c r="K629" s="56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</row>
    <row r="630" spans="1:28" ht="14" hidden="1">
      <c r="A630" s="35"/>
      <c r="B630" s="43"/>
      <c r="C630" s="43"/>
      <c r="D630" s="56"/>
      <c r="E630" s="35"/>
      <c r="F630" s="57"/>
      <c r="G630" s="82"/>
      <c r="H630" s="58"/>
      <c r="I630" s="35"/>
      <c r="J630" s="35"/>
      <c r="K630" s="56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</row>
    <row r="631" spans="1:28" ht="14" hidden="1">
      <c r="A631" s="35"/>
      <c r="B631" s="43"/>
      <c r="C631" s="43"/>
      <c r="D631" s="56"/>
      <c r="E631" s="35"/>
      <c r="F631" s="57"/>
      <c r="G631" s="82"/>
      <c r="H631" s="58"/>
      <c r="I631" s="35"/>
      <c r="J631" s="35"/>
      <c r="K631" s="56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</row>
    <row r="632" spans="1:28" ht="14" hidden="1">
      <c r="A632" s="35"/>
      <c r="B632" s="43"/>
      <c r="C632" s="43"/>
      <c r="D632" s="56"/>
      <c r="E632" s="35"/>
      <c r="F632" s="57"/>
      <c r="G632" s="82"/>
      <c r="H632" s="58"/>
      <c r="I632" s="35"/>
      <c r="J632" s="35"/>
      <c r="K632" s="56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</row>
    <row r="633" spans="1:28" ht="14" hidden="1">
      <c r="A633" s="35"/>
      <c r="B633" s="43"/>
      <c r="C633" s="43"/>
      <c r="D633" s="56"/>
      <c r="E633" s="35"/>
      <c r="F633" s="57"/>
      <c r="G633" s="82"/>
      <c r="H633" s="58"/>
      <c r="I633" s="35"/>
      <c r="J633" s="35"/>
      <c r="K633" s="56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</row>
    <row r="634" spans="1:28" ht="14" hidden="1">
      <c r="A634" s="35"/>
      <c r="B634" s="43"/>
      <c r="C634" s="43"/>
      <c r="D634" s="56"/>
      <c r="E634" s="35"/>
      <c r="F634" s="57"/>
      <c r="G634" s="82"/>
      <c r="H634" s="58"/>
      <c r="I634" s="35"/>
      <c r="J634" s="35"/>
      <c r="K634" s="56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</row>
    <row r="635" spans="1:28" ht="14" hidden="1">
      <c r="A635" s="35"/>
      <c r="B635" s="43"/>
      <c r="C635" s="43"/>
      <c r="D635" s="56"/>
      <c r="E635" s="35"/>
      <c r="F635" s="57"/>
      <c r="G635" s="82"/>
      <c r="H635" s="58"/>
      <c r="I635" s="35"/>
      <c r="J635" s="35"/>
      <c r="K635" s="56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</row>
    <row r="636" spans="1:28" ht="14" hidden="1">
      <c r="A636" s="35"/>
      <c r="B636" s="43"/>
      <c r="C636" s="43"/>
      <c r="D636" s="56"/>
      <c r="E636" s="35"/>
      <c r="F636" s="57"/>
      <c r="G636" s="82"/>
      <c r="H636" s="58"/>
      <c r="I636" s="35"/>
      <c r="J636" s="35"/>
      <c r="K636" s="56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</row>
    <row r="637" spans="1:28" ht="14" hidden="1">
      <c r="A637" s="35"/>
      <c r="B637" s="43"/>
      <c r="C637" s="43"/>
      <c r="D637" s="56"/>
      <c r="E637" s="35"/>
      <c r="F637" s="57"/>
      <c r="G637" s="82"/>
      <c r="H637" s="58"/>
      <c r="I637" s="35"/>
      <c r="J637" s="35"/>
      <c r="K637" s="56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</row>
    <row r="638" spans="1:28" ht="14" hidden="1">
      <c r="A638" s="35"/>
      <c r="B638" s="43"/>
      <c r="C638" s="43"/>
      <c r="D638" s="56"/>
      <c r="E638" s="35"/>
      <c r="F638" s="57"/>
      <c r="G638" s="82"/>
      <c r="H638" s="58"/>
      <c r="I638" s="35"/>
      <c r="J638" s="35"/>
      <c r="K638" s="56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</row>
    <row r="639" spans="1:28" ht="14" hidden="1">
      <c r="A639" s="35"/>
      <c r="B639" s="43"/>
      <c r="C639" s="43"/>
      <c r="D639" s="56"/>
      <c r="E639" s="35"/>
      <c r="F639" s="57"/>
      <c r="G639" s="82"/>
      <c r="H639" s="58"/>
      <c r="I639" s="35"/>
      <c r="J639" s="35"/>
      <c r="K639" s="56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</row>
    <row r="640" spans="1:28" ht="14" hidden="1">
      <c r="A640" s="35"/>
      <c r="B640" s="43"/>
      <c r="C640" s="43"/>
      <c r="D640" s="56"/>
      <c r="E640" s="35"/>
      <c r="F640" s="57"/>
      <c r="G640" s="82"/>
      <c r="H640" s="58"/>
      <c r="I640" s="35"/>
      <c r="J640" s="35"/>
      <c r="K640" s="56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</row>
    <row r="641" spans="1:28" ht="14" hidden="1">
      <c r="A641" s="35"/>
      <c r="B641" s="43"/>
      <c r="C641" s="43"/>
      <c r="D641" s="56"/>
      <c r="E641" s="35"/>
      <c r="F641" s="57"/>
      <c r="G641" s="82"/>
      <c r="H641" s="58"/>
      <c r="I641" s="35"/>
      <c r="J641" s="35"/>
      <c r="K641" s="56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</row>
    <row r="642" spans="1:28" ht="14" hidden="1">
      <c r="A642" s="35"/>
      <c r="B642" s="43"/>
      <c r="C642" s="43"/>
      <c r="D642" s="56"/>
      <c r="E642" s="35"/>
      <c r="F642" s="57"/>
      <c r="G642" s="82"/>
      <c r="H642" s="58"/>
      <c r="I642" s="35"/>
      <c r="J642" s="35"/>
      <c r="K642" s="56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</row>
    <row r="643" spans="1:28" ht="14" hidden="1">
      <c r="A643" s="35"/>
      <c r="B643" s="43"/>
      <c r="C643" s="43"/>
      <c r="D643" s="56"/>
      <c r="E643" s="35"/>
      <c r="F643" s="57"/>
      <c r="G643" s="82"/>
      <c r="H643" s="58"/>
      <c r="I643" s="35"/>
      <c r="J643" s="35"/>
      <c r="K643" s="56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</row>
    <row r="644" spans="1:28" ht="14" hidden="1">
      <c r="A644" s="35"/>
      <c r="B644" s="43"/>
      <c r="C644" s="43"/>
      <c r="D644" s="56"/>
      <c r="E644" s="35"/>
      <c r="F644" s="57"/>
      <c r="G644" s="82"/>
      <c r="H644" s="58"/>
      <c r="I644" s="35"/>
      <c r="J644" s="35"/>
      <c r="K644" s="56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</row>
    <row r="645" spans="1:28" ht="14" hidden="1">
      <c r="A645" s="35"/>
      <c r="B645" s="43"/>
      <c r="C645" s="43"/>
      <c r="D645" s="56"/>
      <c r="E645" s="35"/>
      <c r="F645" s="57"/>
      <c r="G645" s="82"/>
      <c r="H645" s="58"/>
      <c r="I645" s="35"/>
      <c r="J645" s="35"/>
      <c r="K645" s="56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</row>
    <row r="646" spans="1:28" ht="14" hidden="1">
      <c r="A646" s="35"/>
      <c r="B646" s="43"/>
      <c r="C646" s="43"/>
      <c r="D646" s="56"/>
      <c r="E646" s="35"/>
      <c r="F646" s="57"/>
      <c r="G646" s="82"/>
      <c r="H646" s="58"/>
      <c r="I646" s="35"/>
      <c r="J646" s="35"/>
      <c r="K646" s="56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</row>
    <row r="647" spans="1:28" ht="14" hidden="1">
      <c r="A647" s="35"/>
      <c r="B647" s="43"/>
      <c r="C647" s="43"/>
      <c r="D647" s="56"/>
      <c r="E647" s="35"/>
      <c r="F647" s="57"/>
      <c r="G647" s="82"/>
      <c r="H647" s="58"/>
      <c r="I647" s="35"/>
      <c r="J647" s="35"/>
      <c r="K647" s="56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</row>
    <row r="648" spans="1:28" ht="14" hidden="1">
      <c r="A648" s="35"/>
      <c r="B648" s="43"/>
      <c r="C648" s="43"/>
      <c r="D648" s="56"/>
      <c r="E648" s="35"/>
      <c r="F648" s="57"/>
      <c r="G648" s="82"/>
      <c r="H648" s="58"/>
      <c r="I648" s="35"/>
      <c r="J648" s="35"/>
      <c r="K648" s="56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</row>
  </sheetData>
  <autoFilter ref="A1:AB648" xr:uid="{00000000-0001-0000-0600-000000000000}">
    <filterColumn colId="0">
      <filters>
        <filter val="5066"/>
      </filters>
    </filterColumn>
  </autoFilter>
  <conditionalFormatting sqref="A1:A620 A623:A1048576">
    <cfRule type="duplicateValues" dxfId="331" priority="2"/>
  </conditionalFormatting>
  <conditionalFormatting sqref="A619:A620">
    <cfRule type="duplicateValues" dxfId="330" priority="1"/>
  </conditionalFormatting>
  <conditionalFormatting sqref="A620 A1:A605 A607:A618 A623:A1048576">
    <cfRule type="duplicateValues" dxfId="329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rgb="FF00B050"/>
  </sheetPr>
  <dimension ref="A1:AB22"/>
  <sheetViews>
    <sheetView topLeftCell="N1" workbookViewId="0">
      <selection activeCell="AB9" sqref="AB9"/>
    </sheetView>
  </sheetViews>
  <sheetFormatPr defaultColWidth="10" defaultRowHeight="14"/>
  <cols>
    <col min="1" max="1" width="2" style="180" bestFit="1" customWidth="1"/>
    <col min="2" max="2" width="15.1796875" style="180" bestFit="1" customWidth="1"/>
    <col min="3" max="3" width="18" style="180" bestFit="1" customWidth="1"/>
    <col min="4" max="4" width="19.1796875" style="180" bestFit="1" customWidth="1"/>
    <col min="5" max="5" width="35.54296875" style="180" bestFit="1" customWidth="1"/>
    <col min="6" max="6" width="9" style="180" bestFit="1" customWidth="1"/>
    <col min="7" max="7" width="16.453125" style="180" bestFit="1" customWidth="1"/>
    <col min="8" max="8" width="0" style="180" hidden="1" customWidth="1"/>
    <col min="9" max="9" width="47.54296875" style="180" hidden="1" customWidth="1"/>
    <col min="10" max="10" width="0" style="180" hidden="1" customWidth="1"/>
    <col min="11" max="11" width="48.54296875" style="180" hidden="1" customWidth="1"/>
    <col min="12" max="12" width="10" style="180"/>
    <col min="13" max="13" width="48.54296875" style="180" bestFit="1" customWidth="1"/>
    <col min="14" max="14" width="10" style="180"/>
    <col min="15" max="15" width="10.54296875" style="180" bestFit="1" customWidth="1"/>
    <col min="16" max="16" width="14" style="180" bestFit="1" customWidth="1"/>
    <col min="17" max="16384" width="10" style="180"/>
  </cols>
  <sheetData>
    <row r="1" spans="1:28">
      <c r="A1" s="360" t="s">
        <v>2038</v>
      </c>
      <c r="B1" s="360"/>
      <c r="C1" s="360"/>
      <c r="D1" s="360"/>
      <c r="E1" s="360"/>
      <c r="F1" s="360"/>
      <c r="G1" s="360"/>
      <c r="O1" s="180" t="s">
        <v>2072</v>
      </c>
      <c r="P1" s="180" t="s">
        <v>2073</v>
      </c>
      <c r="Q1" s="180" t="s">
        <v>2074</v>
      </c>
      <c r="R1" s="180" t="s">
        <v>2075</v>
      </c>
    </row>
    <row r="2" spans="1:28">
      <c r="A2" s="360" t="s">
        <v>2039</v>
      </c>
      <c r="B2" s="360"/>
      <c r="C2" s="360"/>
      <c r="D2" s="360"/>
      <c r="E2" s="360"/>
      <c r="F2" s="360"/>
      <c r="G2" s="360"/>
      <c r="L2" s="180">
        <v>5321</v>
      </c>
      <c r="M2" s="180" t="s">
        <v>448</v>
      </c>
      <c r="N2" s="180">
        <v>1</v>
      </c>
      <c r="O2" s="180">
        <v>5373</v>
      </c>
      <c r="P2" s="180" t="s">
        <v>1974</v>
      </c>
      <c r="Q2" s="180">
        <v>7.4700000000000006</v>
      </c>
      <c r="R2" s="180">
        <f>Q2/1000</f>
        <v>7.4700000000000009E-3</v>
      </c>
      <c r="S2" s="180">
        <v>8.5</v>
      </c>
      <c r="T2" s="180">
        <v>7.6</v>
      </c>
    </row>
    <row r="3" spans="1:28">
      <c r="A3" s="181" t="s">
        <v>2040</v>
      </c>
      <c r="B3" s="181" t="s">
        <v>2041</v>
      </c>
      <c r="C3" s="181" t="s">
        <v>2042</v>
      </c>
      <c r="D3" s="181" t="s">
        <v>2043</v>
      </c>
      <c r="E3" s="181" t="s">
        <v>2044</v>
      </c>
      <c r="F3" s="181" t="s">
        <v>2045</v>
      </c>
      <c r="G3" s="181" t="s">
        <v>2046</v>
      </c>
      <c r="L3" s="180">
        <v>5337</v>
      </c>
      <c r="M3" s="180" t="s">
        <v>1973</v>
      </c>
      <c r="N3" s="180">
        <v>1</v>
      </c>
      <c r="O3" s="180">
        <v>5401</v>
      </c>
      <c r="P3" s="180" t="s">
        <v>1943</v>
      </c>
      <c r="Q3" s="180">
        <v>10.5</v>
      </c>
      <c r="R3" s="180">
        <f>Q3/1000</f>
        <v>1.0500000000000001E-2</v>
      </c>
    </row>
    <row r="4" spans="1:28">
      <c r="A4" s="182">
        <v>1</v>
      </c>
      <c r="B4" s="182" t="s">
        <v>2047</v>
      </c>
      <c r="C4" s="182" t="s">
        <v>2048</v>
      </c>
      <c r="D4" s="182" t="s">
        <v>2049</v>
      </c>
      <c r="E4" s="182" t="s">
        <v>2039</v>
      </c>
      <c r="F4" s="181">
        <v>5373</v>
      </c>
      <c r="G4" s="181" t="s">
        <v>1974</v>
      </c>
      <c r="H4" s="180">
        <v>5321</v>
      </c>
      <c r="I4" s="180" t="s">
        <v>448</v>
      </c>
      <c r="J4" s="180">
        <v>5337</v>
      </c>
      <c r="K4" s="180" t="s">
        <v>1973</v>
      </c>
      <c r="L4" s="180">
        <v>5360</v>
      </c>
      <c r="M4" s="180" t="s">
        <v>469</v>
      </c>
      <c r="N4" s="180">
        <v>1</v>
      </c>
      <c r="O4" s="180">
        <v>5398</v>
      </c>
      <c r="P4" s="180" t="s">
        <v>2071</v>
      </c>
      <c r="Q4" s="180">
        <v>14.5</v>
      </c>
      <c r="R4" s="180">
        <f>Q4/1000</f>
        <v>1.4500000000000001E-2</v>
      </c>
    </row>
    <row r="5" spans="1:28">
      <c r="A5" s="182">
        <v>2</v>
      </c>
      <c r="B5" s="182" t="s">
        <v>2050</v>
      </c>
      <c r="C5" s="182" t="s">
        <v>2051</v>
      </c>
      <c r="D5" s="182" t="s">
        <v>2049</v>
      </c>
      <c r="E5" s="182" t="s">
        <v>2039</v>
      </c>
      <c r="F5" s="181">
        <v>5373</v>
      </c>
      <c r="G5" s="181" t="s">
        <v>1974</v>
      </c>
      <c r="L5" s="180">
        <v>5351</v>
      </c>
      <c r="M5" s="180" t="s">
        <v>464</v>
      </c>
      <c r="N5" s="180">
        <v>1</v>
      </c>
    </row>
    <row r="6" spans="1:28">
      <c r="A6" s="182">
        <v>3</v>
      </c>
      <c r="B6" s="182" t="s">
        <v>2052</v>
      </c>
      <c r="C6" s="182" t="s">
        <v>2053</v>
      </c>
      <c r="D6" s="182" t="s">
        <v>2049</v>
      </c>
      <c r="E6" s="182" t="s">
        <v>2039</v>
      </c>
      <c r="F6" s="181">
        <v>5373</v>
      </c>
      <c r="G6" s="181" t="s">
        <v>1974</v>
      </c>
      <c r="L6" s="180">
        <v>5395</v>
      </c>
      <c r="M6" s="180" t="s">
        <v>296</v>
      </c>
      <c r="N6" s="180">
        <v>1</v>
      </c>
    </row>
    <row r="7" spans="1:28">
      <c r="A7" s="182">
        <v>4</v>
      </c>
      <c r="B7" s="182" t="s">
        <v>2054</v>
      </c>
      <c r="C7" s="183" t="s">
        <v>2055</v>
      </c>
      <c r="D7" s="182" t="s">
        <v>2049</v>
      </c>
      <c r="E7" s="182" t="s">
        <v>2039</v>
      </c>
      <c r="F7" s="181">
        <v>5373</v>
      </c>
      <c r="G7" s="181" t="s">
        <v>1974</v>
      </c>
      <c r="H7" s="180">
        <v>5360</v>
      </c>
      <c r="I7" s="180" t="s">
        <v>469</v>
      </c>
      <c r="L7" s="180">
        <v>5375</v>
      </c>
      <c r="M7" s="180" t="s">
        <v>329</v>
      </c>
      <c r="N7" s="180">
        <v>1</v>
      </c>
    </row>
    <row r="8" spans="1:28">
      <c r="A8" s="182">
        <v>5</v>
      </c>
      <c r="B8" s="182" t="s">
        <v>2056</v>
      </c>
      <c r="C8" s="182" t="s">
        <v>2057</v>
      </c>
      <c r="D8" s="182" t="s">
        <v>2049</v>
      </c>
      <c r="E8" s="182" t="s">
        <v>2039</v>
      </c>
      <c r="F8" s="181">
        <v>5373</v>
      </c>
      <c r="G8" s="181" t="s">
        <v>1974</v>
      </c>
      <c r="H8" s="180">
        <v>5351</v>
      </c>
      <c r="I8" s="180" t="s">
        <v>464</v>
      </c>
      <c r="L8" s="180">
        <v>5400</v>
      </c>
      <c r="M8" s="180" t="s">
        <v>301</v>
      </c>
      <c r="N8" s="180">
        <v>1</v>
      </c>
    </row>
    <row r="9" spans="1:28">
      <c r="A9" s="182">
        <v>6</v>
      </c>
      <c r="B9" s="182" t="s">
        <v>2058</v>
      </c>
      <c r="C9" s="182" t="s">
        <v>2059</v>
      </c>
      <c r="D9" s="182" t="s">
        <v>2049</v>
      </c>
      <c r="E9" s="182" t="s">
        <v>2039</v>
      </c>
      <c r="F9" s="181">
        <v>5373</v>
      </c>
      <c r="G9" s="181" t="s">
        <v>1974</v>
      </c>
      <c r="H9" s="180">
        <v>5395</v>
      </c>
      <c r="I9" s="180" t="s">
        <v>296</v>
      </c>
      <c r="J9" s="180">
        <v>5332</v>
      </c>
      <c r="K9" s="180" t="s">
        <v>1972</v>
      </c>
      <c r="L9" s="180">
        <v>5347</v>
      </c>
      <c r="M9" s="180" t="s">
        <v>294</v>
      </c>
      <c r="N9" s="180">
        <v>2</v>
      </c>
      <c r="P9" s="180">
        <v>1</v>
      </c>
      <c r="Q9" s="180">
        <v>9.25</v>
      </c>
      <c r="R9" s="180">
        <v>8.25</v>
      </c>
      <c r="S9" s="180">
        <v>9.25</v>
      </c>
      <c r="T9" s="180">
        <v>9.75</v>
      </c>
      <c r="U9" s="180">
        <v>9.25</v>
      </c>
      <c r="V9" s="180">
        <v>8.8000000000000007</v>
      </c>
      <c r="W9" s="180">
        <v>8.8000000000000007</v>
      </c>
      <c r="X9" s="180">
        <v>9.25</v>
      </c>
      <c r="Y9" s="180">
        <v>8.25</v>
      </c>
      <c r="Z9" s="180">
        <v>9.25</v>
      </c>
      <c r="AA9" s="180">
        <f>SUM(Q9:Z9)</f>
        <v>90.1</v>
      </c>
      <c r="AB9" s="180">
        <f>AA9/10</f>
        <v>9.01</v>
      </c>
    </row>
    <row r="10" spans="1:28">
      <c r="A10" s="182">
        <v>7</v>
      </c>
      <c r="B10" s="182" t="s">
        <v>329</v>
      </c>
      <c r="C10" s="182"/>
      <c r="D10" s="182" t="s">
        <v>2049</v>
      </c>
      <c r="E10" s="182" t="s">
        <v>2039</v>
      </c>
      <c r="F10" s="181">
        <v>5373</v>
      </c>
      <c r="G10" s="181" t="s">
        <v>1974</v>
      </c>
      <c r="H10" s="180">
        <v>5375</v>
      </c>
      <c r="I10" s="180" t="s">
        <v>329</v>
      </c>
      <c r="L10" s="180">
        <v>4585</v>
      </c>
      <c r="M10" s="180" t="s">
        <v>356</v>
      </c>
      <c r="N10" s="180">
        <v>2</v>
      </c>
      <c r="P10" s="180">
        <v>2</v>
      </c>
      <c r="Q10" s="180">
        <v>12.9</v>
      </c>
    </row>
    <row r="11" spans="1:28">
      <c r="A11" s="182">
        <v>8</v>
      </c>
      <c r="B11" s="182" t="s">
        <v>301</v>
      </c>
      <c r="C11" s="182"/>
      <c r="D11" s="182" t="s">
        <v>2049</v>
      </c>
      <c r="E11" s="182" t="s">
        <v>2039</v>
      </c>
      <c r="F11" s="181">
        <v>5373</v>
      </c>
      <c r="G11" s="181" t="s">
        <v>1974</v>
      </c>
      <c r="H11" s="180">
        <v>5400</v>
      </c>
      <c r="I11" s="180" t="s">
        <v>301</v>
      </c>
      <c r="L11" s="180">
        <v>4587</v>
      </c>
      <c r="M11" s="180" t="s">
        <v>359</v>
      </c>
      <c r="N11" s="180">
        <v>3</v>
      </c>
      <c r="P11" s="180">
        <v>3</v>
      </c>
    </row>
    <row r="12" spans="1:28">
      <c r="A12" s="361" t="s">
        <v>2060</v>
      </c>
      <c r="B12" s="361"/>
      <c r="C12" s="361"/>
      <c r="D12" s="361"/>
      <c r="E12" s="361"/>
      <c r="F12" s="361"/>
      <c r="G12" s="361"/>
      <c r="L12" s="180">
        <v>4586</v>
      </c>
      <c r="M12" s="180" t="s">
        <v>358</v>
      </c>
      <c r="N12" s="180">
        <v>3</v>
      </c>
    </row>
    <row r="13" spans="1:28">
      <c r="A13" s="182" t="s">
        <v>2040</v>
      </c>
      <c r="B13" s="182" t="s">
        <v>2041</v>
      </c>
      <c r="C13" s="182" t="s">
        <v>2042</v>
      </c>
      <c r="D13" s="182" t="s">
        <v>2043</v>
      </c>
      <c r="E13" s="182" t="s">
        <v>2044</v>
      </c>
      <c r="F13" s="181" t="s">
        <v>2045</v>
      </c>
      <c r="G13" s="181" t="s">
        <v>2046</v>
      </c>
      <c r="L13" s="180">
        <v>5398</v>
      </c>
      <c r="M13" s="180" t="s">
        <v>299</v>
      </c>
      <c r="N13" s="180">
        <v>3</v>
      </c>
    </row>
    <row r="14" spans="1:28">
      <c r="A14" s="182">
        <v>1</v>
      </c>
      <c r="B14" s="182" t="s">
        <v>2061</v>
      </c>
      <c r="C14" s="182" t="s">
        <v>2062</v>
      </c>
      <c r="D14" s="182" t="s">
        <v>2049</v>
      </c>
      <c r="E14" s="182" t="s">
        <v>2060</v>
      </c>
      <c r="F14" s="181">
        <v>5401</v>
      </c>
      <c r="G14" s="181" t="s">
        <v>1943</v>
      </c>
      <c r="H14" s="180">
        <v>5347</v>
      </c>
      <c r="I14" s="180" t="s">
        <v>294</v>
      </c>
      <c r="L14" s="180">
        <v>5441</v>
      </c>
      <c r="M14" s="180" t="s">
        <v>388</v>
      </c>
      <c r="N14" s="180">
        <v>3</v>
      </c>
    </row>
    <row r="15" spans="1:28">
      <c r="A15" s="182">
        <v>2</v>
      </c>
      <c r="B15" s="182" t="s">
        <v>2063</v>
      </c>
      <c r="C15" s="182" t="s">
        <v>2064</v>
      </c>
      <c r="D15" s="182" t="s">
        <v>2049</v>
      </c>
      <c r="E15" s="182" t="s">
        <v>2060</v>
      </c>
      <c r="F15" s="181">
        <v>5401</v>
      </c>
      <c r="G15" s="181" t="s">
        <v>1943</v>
      </c>
      <c r="L15" s="180">
        <v>5349</v>
      </c>
      <c r="M15" s="180" t="s">
        <v>462</v>
      </c>
      <c r="N15" s="180">
        <v>3</v>
      </c>
    </row>
    <row r="16" spans="1:28">
      <c r="A16" s="182">
        <v>3</v>
      </c>
      <c r="B16" s="182" t="s">
        <v>2065</v>
      </c>
      <c r="C16" s="182" t="s">
        <v>2066</v>
      </c>
      <c r="D16" s="182" t="s">
        <v>2049</v>
      </c>
      <c r="E16" s="182" t="s">
        <v>2060</v>
      </c>
      <c r="F16" s="181">
        <v>5401</v>
      </c>
      <c r="G16" s="181" t="s">
        <v>1943</v>
      </c>
      <c r="H16" s="180">
        <v>4585</v>
      </c>
      <c r="I16" s="180" t="s">
        <v>356</v>
      </c>
      <c r="L16" s="180">
        <v>5348</v>
      </c>
      <c r="M16" s="180" t="s">
        <v>461</v>
      </c>
      <c r="N16" s="180">
        <v>3</v>
      </c>
    </row>
    <row r="17" spans="1:14">
      <c r="A17" s="361" t="s">
        <v>2067</v>
      </c>
      <c r="B17" s="361"/>
      <c r="C17" s="361"/>
      <c r="D17" s="361"/>
      <c r="E17" s="361"/>
      <c r="F17" s="361"/>
      <c r="G17" s="361"/>
      <c r="L17" s="180">
        <v>5332</v>
      </c>
      <c r="M17" s="180" t="s">
        <v>1972</v>
      </c>
      <c r="N17" s="180">
        <v>1</v>
      </c>
    </row>
    <row r="18" spans="1:14">
      <c r="A18" s="182" t="s">
        <v>2040</v>
      </c>
      <c r="B18" s="182" t="s">
        <v>2041</v>
      </c>
      <c r="C18" s="182" t="s">
        <v>2042</v>
      </c>
      <c r="D18" s="182" t="s">
        <v>2043</v>
      </c>
      <c r="E18" s="182" t="s">
        <v>2044</v>
      </c>
      <c r="F18" s="181" t="s">
        <v>2045</v>
      </c>
      <c r="G18" s="181" t="s">
        <v>2046</v>
      </c>
      <c r="L18" s="180">
        <v>4594</v>
      </c>
      <c r="M18" s="180" t="s">
        <v>360</v>
      </c>
      <c r="N18" s="180">
        <v>1</v>
      </c>
    </row>
    <row r="19" spans="1:14">
      <c r="A19" s="182">
        <v>1</v>
      </c>
      <c r="B19" s="182" t="s">
        <v>2068</v>
      </c>
      <c r="C19" s="182" t="s">
        <v>2069</v>
      </c>
      <c r="D19" s="182" t="s">
        <v>2049</v>
      </c>
      <c r="E19" s="182" t="s">
        <v>2067</v>
      </c>
      <c r="F19" s="181">
        <v>5398</v>
      </c>
      <c r="G19" s="181" t="s">
        <v>2071</v>
      </c>
      <c r="H19" s="180">
        <v>4586</v>
      </c>
      <c r="I19" s="180" t="s">
        <v>358</v>
      </c>
      <c r="J19" s="180">
        <v>4587</v>
      </c>
      <c r="K19" s="180" t="s">
        <v>359</v>
      </c>
    </row>
    <row r="20" spans="1:14">
      <c r="A20" s="182">
        <v>2</v>
      </c>
      <c r="B20" s="182" t="s">
        <v>2019</v>
      </c>
      <c r="C20" s="182" t="s">
        <v>2070</v>
      </c>
      <c r="D20" s="182" t="s">
        <v>2049</v>
      </c>
      <c r="E20" s="182" t="s">
        <v>2067</v>
      </c>
      <c r="F20" s="181">
        <v>5398</v>
      </c>
      <c r="G20" s="181" t="s">
        <v>2071</v>
      </c>
      <c r="H20" s="180">
        <v>5398</v>
      </c>
      <c r="I20" s="180" t="s">
        <v>299</v>
      </c>
    </row>
    <row r="21" spans="1:14">
      <c r="A21" s="181"/>
      <c r="B21" s="181"/>
      <c r="C21" s="181"/>
      <c r="D21" s="181"/>
      <c r="E21" s="181"/>
      <c r="F21" s="181">
        <v>5398</v>
      </c>
      <c r="G21" s="181" t="s">
        <v>2071</v>
      </c>
      <c r="H21" s="180">
        <v>5441</v>
      </c>
      <c r="I21" s="180" t="s">
        <v>388</v>
      </c>
      <c r="J21" s="180">
        <v>5348</v>
      </c>
      <c r="K21" s="180" t="s">
        <v>461</v>
      </c>
    </row>
    <row r="22" spans="1:14">
      <c r="A22" s="181"/>
      <c r="B22" s="181"/>
      <c r="C22" s="181"/>
      <c r="D22" s="181"/>
      <c r="E22" s="181"/>
      <c r="F22" s="181"/>
      <c r="G22" s="181"/>
      <c r="H22" s="180">
        <v>5349</v>
      </c>
      <c r="I22" s="180" t="s">
        <v>462</v>
      </c>
    </row>
  </sheetData>
  <mergeCells count="4">
    <mergeCell ref="A1:G1"/>
    <mergeCell ref="A2:G2"/>
    <mergeCell ref="A12:G12"/>
    <mergeCell ref="A17:G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>
    <outlinePr summaryBelow="0" summaryRight="0"/>
  </sheetPr>
  <dimension ref="A1:AB1243"/>
  <sheetViews>
    <sheetView topLeftCell="E1" workbookViewId="0">
      <pane ySplit="1" topLeftCell="A1225" activePane="bottomLeft" state="frozen"/>
      <selection pane="bottomLeft" sqref="A1:L1242"/>
    </sheetView>
  </sheetViews>
  <sheetFormatPr defaultColWidth="12.54296875" defaultRowHeight="15.75" customHeight="1"/>
  <cols>
    <col min="1" max="1" width="12.54296875" style="88"/>
    <col min="2" max="2" width="19.54296875" style="88" bestFit="1" customWidth="1"/>
    <col min="3" max="3" width="20.453125" style="88" hidden="1" customWidth="1"/>
    <col min="4" max="4" width="24.54296875" style="88" bestFit="1" customWidth="1"/>
    <col min="5" max="5" width="24.54296875" style="88" customWidth="1"/>
    <col min="6" max="6" width="24.81640625" style="88" bestFit="1" customWidth="1"/>
    <col min="7" max="7" width="43.1796875" style="88" bestFit="1" customWidth="1"/>
    <col min="8" max="8" width="15.453125" style="88" bestFit="1" customWidth="1"/>
    <col min="9" max="9" width="9.1796875" style="88" bestFit="1" customWidth="1"/>
    <col min="10" max="10" width="15.1796875" style="88" bestFit="1" customWidth="1"/>
    <col min="11" max="11" width="18.1796875" style="88" bestFit="1" customWidth="1"/>
    <col min="12" max="12" width="15.81640625" style="88" bestFit="1" customWidth="1"/>
    <col min="13" max="13" width="19.54296875" style="88" bestFit="1" customWidth="1"/>
    <col min="14" max="14" width="4.54296875" style="88" bestFit="1" customWidth="1"/>
    <col min="15" max="15" width="30" style="88" bestFit="1" customWidth="1"/>
    <col min="16" max="16384" width="12.54296875" style="88"/>
  </cols>
  <sheetData>
    <row r="1" spans="1:28" ht="15.75" customHeight="1">
      <c r="A1" s="88" t="s">
        <v>3001</v>
      </c>
      <c r="B1" s="95" t="s">
        <v>802</v>
      </c>
      <c r="C1" s="95"/>
      <c r="D1" s="95" t="s">
        <v>803</v>
      </c>
      <c r="E1" s="95" t="s">
        <v>3001</v>
      </c>
      <c r="F1" s="96" t="s">
        <v>0</v>
      </c>
      <c r="G1" s="97" t="s">
        <v>1</v>
      </c>
      <c r="H1" s="98" t="s">
        <v>804</v>
      </c>
      <c r="I1" s="95" t="s">
        <v>805</v>
      </c>
      <c r="J1" s="99" t="s">
        <v>806</v>
      </c>
      <c r="K1" s="95" t="s">
        <v>807</v>
      </c>
      <c r="L1" s="100" t="s">
        <v>808</v>
      </c>
      <c r="M1" s="95" t="s">
        <v>809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</row>
    <row r="2" spans="1:28" ht="14">
      <c r="A2" s="88" t="s">
        <v>2333</v>
      </c>
      <c r="B2" s="219" t="s">
        <v>498</v>
      </c>
      <c r="C2" s="30"/>
      <c r="D2" s="30" t="str">
        <f>VLOOKUP(B2, 'RM &amp; SF'!B:C, 2, 0)</f>
        <v>عجين الصفيحة والمناقيش</v>
      </c>
      <c r="E2" s="30" t="s">
        <v>3058</v>
      </c>
      <c r="F2" s="110">
        <v>4146</v>
      </c>
      <c r="G2" s="30" t="str">
        <f>VLOOKUP(F2, 'RM &amp; SF'!B:C, 2, 0)</f>
        <v>طحين ابيض زهرة متعدد الاستخدامات*****</v>
      </c>
      <c r="H2" s="89">
        <v>9000</v>
      </c>
      <c r="I2" s="30" t="str">
        <f>VLOOKUP(F2, 'RM &amp; SF'!B:H, 4, 0)</f>
        <v>غم</v>
      </c>
      <c r="J2" s="90">
        <f t="shared" ref="J2:J7" si="0">H2/7.708</f>
        <v>1167.618059159315</v>
      </c>
      <c r="K2" s="91">
        <f>VLOOKUP(F2, 'RM &amp; SF'!B:H, 7, 0)</f>
        <v>3.2000000000000003E-4</v>
      </c>
      <c r="L2" s="92">
        <f t="shared" ref="L2:L65" si="1">K2*J2</f>
        <v>0.37363777893098082</v>
      </c>
      <c r="M2" s="30" t="s">
        <v>810</v>
      </c>
    </row>
    <row r="3" spans="1:28" ht="14">
      <c r="A3" s="88" t="s">
        <v>2333</v>
      </c>
      <c r="B3" s="219" t="s">
        <v>498</v>
      </c>
      <c r="C3" s="30"/>
      <c r="D3" s="30" t="str">
        <f>VLOOKUP(B3, 'RM &amp; SF'!B:C, 2, 0)</f>
        <v>عجين الصفيحة والمناقيش</v>
      </c>
      <c r="E3" s="30" t="s">
        <v>2284</v>
      </c>
      <c r="F3" s="110">
        <v>4153</v>
      </c>
      <c r="G3" s="30" t="str">
        <f>VLOOKUP(F3, 'RM &amp; SF'!B:C, 2, 0)</f>
        <v>سكر ابيض ناعم*****</v>
      </c>
      <c r="H3" s="89">
        <v>430</v>
      </c>
      <c r="I3" s="30" t="str">
        <f>VLOOKUP(F3, 'RM &amp; SF'!B:H, 4, 0)</f>
        <v>غم</v>
      </c>
      <c r="J3" s="90">
        <f t="shared" si="0"/>
        <v>55.786196159833935</v>
      </c>
      <c r="K3" s="91">
        <f>VLOOKUP(F3, 'RM &amp; SF'!B:H, 7, 0)</f>
        <v>5.2499999999999997E-4</v>
      </c>
      <c r="L3" s="92">
        <f t="shared" si="1"/>
        <v>2.9287752983912813E-2</v>
      </c>
      <c r="M3" s="30" t="s">
        <v>810</v>
      </c>
    </row>
    <row r="4" spans="1:28" ht="14">
      <c r="A4" s="88" t="s">
        <v>2333</v>
      </c>
      <c r="B4" s="219" t="s">
        <v>498</v>
      </c>
      <c r="C4" s="30"/>
      <c r="D4" s="30" t="str">
        <f>VLOOKUP(B4, 'RM &amp; SF'!B:C, 2, 0)</f>
        <v>عجين الصفيحة والمناقيش</v>
      </c>
      <c r="E4" s="30" t="s">
        <v>3058</v>
      </c>
      <c r="F4" s="110">
        <v>4014</v>
      </c>
      <c r="G4" s="30" t="str">
        <f>VLOOKUP(F4, 'RM &amp; SF'!B:C, 2, 0)</f>
        <v>حليب بودرة 1.800 كغ*****</v>
      </c>
      <c r="H4" s="89">
        <v>52</v>
      </c>
      <c r="I4" s="30" t="str">
        <f>VLOOKUP(F4, 'RM &amp; SF'!B:H, 4, 0)</f>
        <v>غم</v>
      </c>
      <c r="J4" s="90">
        <f t="shared" si="0"/>
        <v>6.7462376751427087</v>
      </c>
      <c r="K4" s="91">
        <f>VLOOKUP(F4, 'RM &amp; SF'!B:H, 7, 0)</f>
        <v>5.0266666666666663E-3</v>
      </c>
      <c r="L4" s="92">
        <f t="shared" si="1"/>
        <v>3.3911088047050682E-2</v>
      </c>
      <c r="M4" s="30" t="s">
        <v>810</v>
      </c>
    </row>
    <row r="5" spans="1:28" ht="14">
      <c r="A5" s="88" t="s">
        <v>2333</v>
      </c>
      <c r="B5" s="219" t="s">
        <v>498</v>
      </c>
      <c r="C5" s="30"/>
      <c r="D5" s="30" t="str">
        <f>VLOOKUP(B5, 'RM &amp; SF'!B:C, 2, 0)</f>
        <v>عجين الصفيحة والمناقيش</v>
      </c>
      <c r="E5" s="30" t="s">
        <v>3058</v>
      </c>
      <c r="F5" s="110">
        <v>4113</v>
      </c>
      <c r="G5" s="30" t="str">
        <f>VLOOKUP(F5, 'RM &amp; SF'!B:C, 2, 0)</f>
        <v>خميرة فورية 500 غم*****</v>
      </c>
      <c r="H5" s="89">
        <v>42</v>
      </c>
      <c r="I5" s="30" t="str">
        <f>VLOOKUP(F5, 'RM &amp; SF'!B:H, 4, 0)</f>
        <v>غم</v>
      </c>
      <c r="J5" s="90">
        <f t="shared" si="0"/>
        <v>5.4488842760768028</v>
      </c>
      <c r="K5" s="91">
        <f>VLOOKUP(F5, 'RM &amp; SF'!B:H, 7, 0)</f>
        <v>2.491111111111111E-3</v>
      </c>
      <c r="L5" s="92">
        <f t="shared" si="1"/>
        <v>1.3573776163293546E-2</v>
      </c>
      <c r="M5" s="30" t="s">
        <v>810</v>
      </c>
    </row>
    <row r="6" spans="1:28" ht="14">
      <c r="A6" s="88" t="s">
        <v>2333</v>
      </c>
      <c r="B6" s="219" t="s">
        <v>498</v>
      </c>
      <c r="C6" s="30"/>
      <c r="D6" s="30" t="str">
        <f>VLOOKUP(B6, 'RM &amp; SF'!B:C, 2, 0)</f>
        <v>عجين الصفيحة والمناقيش</v>
      </c>
      <c r="E6" s="30" t="s">
        <v>3058</v>
      </c>
      <c r="F6" s="110">
        <v>3</v>
      </c>
      <c r="G6" s="30" t="str">
        <f>VLOOKUP(F6, 'RM &amp; SF'!B:C, 2, 0)</f>
        <v>مياه حنفية</v>
      </c>
      <c r="H6" s="89">
        <v>6600</v>
      </c>
      <c r="I6" s="30" t="str">
        <f>VLOOKUP(F6, 'RM &amp; SF'!B:H, 4, 0)</f>
        <v>مل</v>
      </c>
      <c r="J6" s="90">
        <f t="shared" si="0"/>
        <v>856.25324338349765</v>
      </c>
      <c r="K6" s="91">
        <f>VLOOKUP(F6, 'RM &amp; SF'!B:H, 7, 0)</f>
        <v>0</v>
      </c>
      <c r="L6" s="92">
        <f t="shared" si="1"/>
        <v>0</v>
      </c>
      <c r="M6" s="30" t="s">
        <v>810</v>
      </c>
    </row>
    <row r="7" spans="1:28" ht="14">
      <c r="A7" s="88" t="s">
        <v>2333</v>
      </c>
      <c r="B7" s="219" t="s">
        <v>498</v>
      </c>
      <c r="C7" s="30"/>
      <c r="D7" s="30" t="str">
        <f>VLOOKUP(B7, 'RM &amp; SF'!B:C, 2, 0)</f>
        <v>عجين الصفيحة والمناقيش</v>
      </c>
      <c r="E7" s="30" t="s">
        <v>2260</v>
      </c>
      <c r="F7" s="110">
        <v>4160</v>
      </c>
      <c r="G7" s="30" t="str">
        <f>VLOOKUP(F7, 'RM &amp; SF'!B:C, 2, 0)</f>
        <v>زيت صويا 18 لتر*****</v>
      </c>
      <c r="H7" s="89">
        <v>90</v>
      </c>
      <c r="I7" s="30" t="str">
        <f>VLOOKUP(F7, 'RM &amp; SF'!B:H, 4, 0)</f>
        <v>مل</v>
      </c>
      <c r="J7" s="90">
        <f t="shared" si="0"/>
        <v>11.67618059159315</v>
      </c>
      <c r="K7" s="91">
        <f>VLOOKUP(F7, 'RM &amp; SF'!B:H, 7, 0)</f>
        <v>1.335E-3</v>
      </c>
      <c r="L7" s="92">
        <f t="shared" si="1"/>
        <v>1.5587701089776855E-2</v>
      </c>
      <c r="M7" s="30" t="s">
        <v>810</v>
      </c>
    </row>
    <row r="8" spans="1:28" ht="14">
      <c r="A8" s="88" t="s">
        <v>2334</v>
      </c>
      <c r="B8" s="219" t="s">
        <v>502</v>
      </c>
      <c r="C8" s="30"/>
      <c r="D8" s="30" t="str">
        <f>VLOOKUP(B8, 'RM &amp; SF'!B:C, 2, 0)</f>
        <v>عجين برك وعش البلبل</v>
      </c>
      <c r="E8" s="30" t="s">
        <v>3058</v>
      </c>
      <c r="F8" s="110">
        <v>4146</v>
      </c>
      <c r="G8" s="30" t="str">
        <f>VLOOKUP(F8, 'RM &amp; SF'!B:C, 2, 0)</f>
        <v>طحين ابيض زهرة متعدد الاستخدامات*****</v>
      </c>
      <c r="H8" s="89">
        <v>12000</v>
      </c>
      <c r="I8" s="30" t="str">
        <f>VLOOKUP(F8, 'RM &amp; SF'!B:H, 4, 0)</f>
        <v>غم</v>
      </c>
      <c r="J8" s="90">
        <f t="shared" ref="J8:J13" si="2">H8/19.8</f>
        <v>606.06060606060601</v>
      </c>
      <c r="K8" s="91">
        <f>VLOOKUP(F8, 'RM &amp; SF'!B:H, 7, 0)</f>
        <v>3.2000000000000003E-4</v>
      </c>
      <c r="L8" s="92">
        <f t="shared" si="1"/>
        <v>0.19393939393939394</v>
      </c>
      <c r="M8" s="30" t="s">
        <v>810</v>
      </c>
    </row>
    <row r="9" spans="1:28" ht="14">
      <c r="A9" s="88" t="s">
        <v>2334</v>
      </c>
      <c r="B9" s="219" t="s">
        <v>502</v>
      </c>
      <c r="C9" s="30"/>
      <c r="D9" s="30" t="str">
        <f>VLOOKUP(B9, 'RM &amp; SF'!B:C, 2, 0)</f>
        <v>عجين برك وعش البلبل</v>
      </c>
      <c r="E9" s="30" t="s">
        <v>2284</v>
      </c>
      <c r="F9" s="110">
        <v>4153</v>
      </c>
      <c r="G9" s="30" t="str">
        <f>VLOOKUP(F9, 'RM &amp; SF'!B:C, 2, 0)</f>
        <v>سكر ابيض ناعم*****</v>
      </c>
      <c r="H9" s="89">
        <v>1200</v>
      </c>
      <c r="I9" s="30" t="str">
        <f>VLOOKUP(F9, 'RM &amp; SF'!B:H, 4, 0)</f>
        <v>غم</v>
      </c>
      <c r="J9" s="90">
        <f t="shared" si="2"/>
        <v>60.606060606060602</v>
      </c>
      <c r="K9" s="91">
        <f>VLOOKUP(F9, 'RM &amp; SF'!B:H, 7, 0)</f>
        <v>5.2499999999999997E-4</v>
      </c>
      <c r="L9" s="92">
        <f t="shared" si="1"/>
        <v>3.1818181818181815E-2</v>
      </c>
      <c r="M9" s="30" t="s">
        <v>810</v>
      </c>
    </row>
    <row r="10" spans="1:28" ht="14">
      <c r="A10" s="88" t="s">
        <v>2334</v>
      </c>
      <c r="B10" s="219" t="s">
        <v>502</v>
      </c>
      <c r="C10" s="30"/>
      <c r="D10" s="30" t="str">
        <f>VLOOKUP(B10, 'RM &amp; SF'!B:C, 2, 0)</f>
        <v>عجين برك وعش البلبل</v>
      </c>
      <c r="E10" s="30" t="s">
        <v>3058</v>
      </c>
      <c r="F10" s="110">
        <v>3</v>
      </c>
      <c r="G10" s="30" t="str">
        <f>VLOOKUP(F10, 'RM &amp; SF'!B:C, 2, 0)</f>
        <v>مياه حنفية</v>
      </c>
      <c r="H10" s="89">
        <v>6890</v>
      </c>
      <c r="I10" s="30" t="str">
        <f>VLOOKUP(F10, 'RM &amp; SF'!B:H, 4, 0)</f>
        <v>مل</v>
      </c>
      <c r="J10" s="90">
        <f t="shared" si="2"/>
        <v>347.97979797979798</v>
      </c>
      <c r="K10" s="91">
        <f>VLOOKUP(F10, 'RM &amp; SF'!B:H, 7, 0)</f>
        <v>0</v>
      </c>
      <c r="L10" s="92">
        <f t="shared" si="1"/>
        <v>0</v>
      </c>
      <c r="M10" s="30" t="s">
        <v>810</v>
      </c>
    </row>
    <row r="11" spans="1:28" ht="14">
      <c r="A11" s="88" t="s">
        <v>2334</v>
      </c>
      <c r="B11" s="219" t="s">
        <v>502</v>
      </c>
      <c r="C11" s="30"/>
      <c r="D11" s="30" t="str">
        <f>VLOOKUP(B11, 'RM &amp; SF'!B:C, 2, 0)</f>
        <v>عجين برك وعش البلبل</v>
      </c>
      <c r="E11" s="30" t="s">
        <v>2260</v>
      </c>
      <c r="F11" s="110">
        <v>4160</v>
      </c>
      <c r="G11" s="30" t="str">
        <f>VLOOKUP(F11, 'RM &amp; SF'!B:C, 2, 0)</f>
        <v>زيت صويا 18 لتر*****</v>
      </c>
      <c r="H11" s="89">
        <v>250</v>
      </c>
      <c r="I11" s="30" t="str">
        <f>VLOOKUP(F11, 'RM &amp; SF'!B:H, 4, 0)</f>
        <v>مل</v>
      </c>
      <c r="J11" s="90">
        <f t="shared" si="2"/>
        <v>12.626262626262626</v>
      </c>
      <c r="K11" s="91">
        <f>VLOOKUP(F11, 'RM &amp; SF'!B:H, 7, 0)</f>
        <v>1.335E-3</v>
      </c>
      <c r="L11" s="92">
        <f t="shared" si="1"/>
        <v>1.6856060606060607E-2</v>
      </c>
      <c r="M11" s="30" t="s">
        <v>810</v>
      </c>
    </row>
    <row r="12" spans="1:28" ht="14">
      <c r="A12" s="88" t="s">
        <v>2334</v>
      </c>
      <c r="B12" s="219" t="s">
        <v>502</v>
      </c>
      <c r="C12" s="30"/>
      <c r="D12" s="30" t="str">
        <f>VLOOKUP(B12, 'RM &amp; SF'!B:C, 2, 0)</f>
        <v>عجين برك وعش البلبل</v>
      </c>
      <c r="E12" s="30" t="s">
        <v>2203</v>
      </c>
      <c r="F12" s="110">
        <v>4152</v>
      </c>
      <c r="G12" s="30" t="str">
        <f>VLOOKUP(F12, 'RM &amp; SF'!B:C, 2, 0)</f>
        <v>ملح طعام 750غم*****</v>
      </c>
      <c r="H12" s="89">
        <v>50</v>
      </c>
      <c r="I12" s="30" t="str">
        <f>VLOOKUP(F12, 'RM &amp; SF'!B:H, 4, 0)</f>
        <v>غم</v>
      </c>
      <c r="J12" s="90">
        <f t="shared" si="2"/>
        <v>2.5252525252525251</v>
      </c>
      <c r="K12" s="91">
        <f>VLOOKUP(F12, 'RM &amp; SF'!B:H, 7, 0)</f>
        <v>1.7066666666666665E-4</v>
      </c>
      <c r="L12" s="92">
        <f t="shared" si="1"/>
        <v>4.3097643097643088E-4</v>
      </c>
      <c r="M12" s="30" t="s">
        <v>810</v>
      </c>
    </row>
    <row r="13" spans="1:28" ht="14">
      <c r="A13" s="88" t="s">
        <v>2334</v>
      </c>
      <c r="B13" s="219" t="s">
        <v>502</v>
      </c>
      <c r="C13" s="30"/>
      <c r="D13" s="30" t="str">
        <f>VLOOKUP(B13, 'RM &amp; SF'!B:C, 2, 0)</f>
        <v>عجين برك وعش البلبل</v>
      </c>
      <c r="E13" s="30" t="s">
        <v>2177</v>
      </c>
      <c r="F13" s="110">
        <v>4566</v>
      </c>
      <c r="G13" s="30" t="str">
        <f>VLOOKUP(F13, 'RM &amp; SF'!B:C, 2, 0)</f>
        <v>زبدة صفائح 5*2 كغ*****</v>
      </c>
      <c r="H13" s="89">
        <v>3000</v>
      </c>
      <c r="I13" s="30" t="str">
        <f>VLOOKUP(F13, 'RM &amp; SF'!B:H, 4, 0)</f>
        <v>غم</v>
      </c>
      <c r="J13" s="90">
        <f t="shared" si="2"/>
        <v>151.5151515151515</v>
      </c>
      <c r="K13" s="91">
        <f>VLOOKUP(F13, 'RM &amp; SF'!B:H, 7, 0)</f>
        <v>2E-3</v>
      </c>
      <c r="L13" s="92">
        <f t="shared" si="1"/>
        <v>0.30303030303030298</v>
      </c>
      <c r="M13" s="30" t="s">
        <v>810</v>
      </c>
    </row>
    <row r="14" spans="1:28" ht="14">
      <c r="A14" s="88" t="s">
        <v>2454</v>
      </c>
      <c r="B14" s="219" t="s">
        <v>504</v>
      </c>
      <c r="C14" s="30"/>
      <c r="D14" s="30" t="str">
        <f>VLOOKUP(B14, 'RM &amp; SF'!B:C, 2, 0)</f>
        <v>لحمة الصفيحة بلبن المشغل</v>
      </c>
      <c r="E14" s="30" t="s">
        <v>3058</v>
      </c>
      <c r="F14" s="110">
        <v>5373</v>
      </c>
      <c r="G14" s="30" t="str">
        <f>VLOOKUP(F14, 'RM &amp; SF'!B:C, 2, 0)</f>
        <v>قطعيات عجل مشكلة</v>
      </c>
      <c r="H14" s="102">
        <v>185.18518518518499</v>
      </c>
      <c r="I14" s="30" t="str">
        <f>VLOOKUP(F14, 'RM &amp; SF'!B:H, 4, 0)</f>
        <v>غم</v>
      </c>
      <c r="J14" s="90">
        <f>(H14/1076)*1000</f>
        <v>172.1051906925511</v>
      </c>
      <c r="K14" s="91">
        <f>VLOOKUP(F14, 'RM &amp; SF'!B:H, 7, 0)</f>
        <v>9.0100000000000006E-3</v>
      </c>
      <c r="L14" s="92">
        <f t="shared" si="1"/>
        <v>1.5506677681398855</v>
      </c>
      <c r="M14" s="30" t="s">
        <v>810</v>
      </c>
    </row>
    <row r="15" spans="1:28" ht="14">
      <c r="A15" s="88" t="s">
        <v>2454</v>
      </c>
      <c r="B15" s="219" t="s">
        <v>504</v>
      </c>
      <c r="C15" s="30"/>
      <c r="D15" s="30" t="str">
        <f>VLOOKUP(B15, 'RM &amp; SF'!B:C, 2, 0)</f>
        <v>لحمة الصفيحة بلبن المشغل</v>
      </c>
      <c r="E15" s="30" t="s">
        <v>3058</v>
      </c>
      <c r="F15" s="110" t="s">
        <v>698</v>
      </c>
      <c r="G15" s="30" t="str">
        <f>VLOOKUP(F15, 'RM &amp; SF'!B:C, 2, 0)</f>
        <v>لحم قص مجروم</v>
      </c>
      <c r="H15" s="102">
        <v>277.77777777777777</v>
      </c>
      <c r="I15" s="30" t="str">
        <f>VLOOKUP(F15, 'RM &amp; SF'!B:H, 4, 0)</f>
        <v>غم</v>
      </c>
      <c r="J15" s="90">
        <f t="shared" ref="J15:J23" si="3">(H15/1076)*1000</f>
        <v>258.15778603882694</v>
      </c>
      <c r="K15" s="91">
        <f>VLOOKUP(F15, 'RM &amp; SF'!B:H, 7, 0)</f>
        <v>1.4053846153846155E-2</v>
      </c>
      <c r="L15" s="92">
        <f t="shared" si="1"/>
        <v>3.6281098084072063</v>
      </c>
      <c r="M15" s="30" t="s">
        <v>810</v>
      </c>
    </row>
    <row r="16" spans="1:28" ht="14">
      <c r="A16" s="88" t="s">
        <v>2454</v>
      </c>
      <c r="B16" s="219" t="s">
        <v>504</v>
      </c>
      <c r="C16" s="30"/>
      <c r="D16" s="30" t="str">
        <f>VLOOKUP(B16, 'RM &amp; SF'!B:C, 2, 0)</f>
        <v>لحمة الصفيحة بلبن المشغل</v>
      </c>
      <c r="E16" s="30" t="s">
        <v>2234</v>
      </c>
      <c r="F16" s="110">
        <v>4503</v>
      </c>
      <c r="G16" s="30" t="str">
        <f>VLOOKUP(F16, 'RM &amp; SF'!B:C, 2, 0)</f>
        <v>بصل ناشف دفش*****</v>
      </c>
      <c r="H16" s="102">
        <v>185.18518518518516</v>
      </c>
      <c r="I16" s="30" t="str">
        <f>VLOOKUP(F16, 'RM &amp; SF'!B:H, 4, 0)</f>
        <v>غم</v>
      </c>
      <c r="J16" s="90">
        <f t="shared" si="3"/>
        <v>172.10519069255125</v>
      </c>
      <c r="K16" s="91">
        <f>VLOOKUP(F16, 'RM &amp; SF'!B:H, 7, 0)</f>
        <v>2.5000000000000001E-4</v>
      </c>
      <c r="L16" s="92">
        <f t="shared" si="1"/>
        <v>4.3026297673137814E-2</v>
      </c>
      <c r="M16" s="30" t="s">
        <v>810</v>
      </c>
    </row>
    <row r="17" spans="1:14" ht="14">
      <c r="A17" s="88" t="s">
        <v>2454</v>
      </c>
      <c r="B17" s="219" t="s">
        <v>504</v>
      </c>
      <c r="C17" s="30"/>
      <c r="D17" s="30" t="str">
        <f>VLOOKUP(B17, 'RM &amp; SF'!B:C, 2, 0)</f>
        <v>لحمة الصفيحة بلبن المشغل</v>
      </c>
      <c r="E17" s="30" t="s">
        <v>2208</v>
      </c>
      <c r="F17" s="110">
        <v>4211</v>
      </c>
      <c r="G17" s="30" t="str">
        <f>VLOOKUP(F17, 'RM &amp; SF'!B:C, 2, 0)</f>
        <v>كزبرة ناعمة*****</v>
      </c>
      <c r="H17" s="102">
        <v>9.2592592592592595</v>
      </c>
      <c r="I17" s="30" t="str">
        <f>VLOOKUP(F17, 'RM &amp; SF'!B:H, 4, 0)</f>
        <v>غم</v>
      </c>
      <c r="J17" s="90">
        <f t="shared" si="3"/>
        <v>8.6052595346275655</v>
      </c>
      <c r="K17" s="91">
        <f>VLOOKUP(F17, 'RM &amp; SF'!B:H, 7, 0)</f>
        <v>1.5089999999999999E-3</v>
      </c>
      <c r="L17" s="92">
        <f t="shared" si="1"/>
        <v>1.2985336637752996E-2</v>
      </c>
      <c r="M17" s="30" t="s">
        <v>810</v>
      </c>
    </row>
    <row r="18" spans="1:14" ht="14">
      <c r="A18" s="88" t="s">
        <v>2454</v>
      </c>
      <c r="B18" s="219" t="s">
        <v>504</v>
      </c>
      <c r="C18" s="30"/>
      <c r="D18" s="30" t="str">
        <f>VLOOKUP(B18, 'RM &amp; SF'!B:C, 2, 0)</f>
        <v>لحمة الصفيحة بلبن المشغل</v>
      </c>
      <c r="E18" s="30" t="s">
        <v>2203</v>
      </c>
      <c r="F18" s="110">
        <v>4152</v>
      </c>
      <c r="G18" s="30" t="str">
        <f>VLOOKUP(F18, 'RM &amp; SF'!B:C, 2, 0)</f>
        <v>ملح طعام 750غم*****</v>
      </c>
      <c r="H18" s="102">
        <v>11.574074074074073</v>
      </c>
      <c r="I18" s="30" t="str">
        <f>VLOOKUP(F18, 'RM &amp; SF'!B:H, 4, 0)</f>
        <v>غم</v>
      </c>
      <c r="J18" s="90">
        <f t="shared" si="3"/>
        <v>10.756574418284453</v>
      </c>
      <c r="K18" s="91">
        <f>VLOOKUP(F18, 'RM &amp; SF'!B:H, 7, 0)</f>
        <v>1.7066666666666665E-4</v>
      </c>
      <c r="L18" s="92">
        <f t="shared" si="1"/>
        <v>1.8357887007205463E-3</v>
      </c>
      <c r="M18" s="30" t="s">
        <v>810</v>
      </c>
    </row>
    <row r="19" spans="1:14" ht="14">
      <c r="A19" s="88" t="s">
        <v>2454</v>
      </c>
      <c r="B19" s="219" t="s">
        <v>504</v>
      </c>
      <c r="C19" s="30"/>
      <c r="D19" s="30" t="str">
        <f>VLOOKUP(B19, 'RM &amp; SF'!B:C, 2, 0)</f>
        <v>لحمة الصفيحة بلبن المشغل</v>
      </c>
      <c r="E19" s="30" t="s">
        <v>2213</v>
      </c>
      <c r="F19" s="110">
        <v>4218</v>
      </c>
      <c r="G19" s="30" t="str">
        <f>VLOOKUP(F19, 'RM &amp; SF'!B:C, 2, 0)</f>
        <v>بهارات مشكلة*****</v>
      </c>
      <c r="H19" s="102">
        <v>23.148148148148145</v>
      </c>
      <c r="I19" s="30" t="str">
        <f>VLOOKUP(F19, 'RM &amp; SF'!B:H, 4, 0)</f>
        <v>غم</v>
      </c>
      <c r="J19" s="90">
        <f t="shared" si="3"/>
        <v>21.513148836568906</v>
      </c>
      <c r="K19" s="91">
        <f>VLOOKUP(F19, 'RM &amp; SF'!B:H, 7, 0)</f>
        <v>3.0169999999999997E-3</v>
      </c>
      <c r="L19" s="92">
        <f t="shared" si="1"/>
        <v>6.4905170039928378E-2</v>
      </c>
      <c r="M19" s="30" t="s">
        <v>810</v>
      </c>
    </row>
    <row r="20" spans="1:14" ht="14">
      <c r="A20" s="88" t="s">
        <v>2454</v>
      </c>
      <c r="B20" s="219" t="s">
        <v>504</v>
      </c>
      <c r="C20" s="30"/>
      <c r="D20" s="30" t="str">
        <f>VLOOKUP(B20, 'RM &amp; SF'!B:C, 2, 0)</f>
        <v>لحمة الصفيحة بلبن المشغل</v>
      </c>
      <c r="E20" s="30" t="s">
        <v>2265</v>
      </c>
      <c r="F20" s="110">
        <v>4006</v>
      </c>
      <c r="G20" s="30" t="str">
        <f>VLOOKUP(F20, 'RM &amp; SF'!B:C, 2, 0)</f>
        <v>دبس رمان 5 كغ (مادة أولية)*****</v>
      </c>
      <c r="H20" s="102">
        <v>46.296296296296291</v>
      </c>
      <c r="I20" s="30" t="str">
        <f>VLOOKUP(F20, 'RM &amp; SF'!B:H, 4, 0)</f>
        <v>غم</v>
      </c>
      <c r="J20" s="90">
        <f t="shared" si="3"/>
        <v>43.026297673137812</v>
      </c>
      <c r="K20" s="91">
        <f>VLOOKUP(F20, 'RM &amp; SF'!B:H, 7, 0)</f>
        <v>1.508E-3</v>
      </c>
      <c r="L20" s="92">
        <f t="shared" si="1"/>
        <v>6.4883656891091823E-2</v>
      </c>
      <c r="M20" s="30" t="s">
        <v>810</v>
      </c>
    </row>
    <row r="21" spans="1:14" ht="14">
      <c r="A21" s="88" t="s">
        <v>2454</v>
      </c>
      <c r="B21" s="219" t="s">
        <v>504</v>
      </c>
      <c r="C21" s="30"/>
      <c r="D21" s="30" t="str">
        <f>VLOOKUP(B21, 'RM &amp; SF'!B:C, 2, 0)</f>
        <v>لحمة الصفيحة بلبن المشغل</v>
      </c>
      <c r="E21" s="30" t="s">
        <v>2170</v>
      </c>
      <c r="F21" s="110">
        <v>4552</v>
      </c>
      <c r="G21" s="30" t="str">
        <f>VLOOKUP(F21, 'RM &amp; SF'!B:C, 2, 0)</f>
        <v>لبن رايب 5 كغ*****</v>
      </c>
      <c r="H21" s="102">
        <v>300.92592592592592</v>
      </c>
      <c r="I21" s="30" t="str">
        <f>VLOOKUP(F21, 'RM &amp; SF'!B:H, 4, 0)</f>
        <v>غم</v>
      </c>
      <c r="J21" s="90">
        <f t="shared" si="3"/>
        <v>279.67093487539586</v>
      </c>
      <c r="K21" s="91">
        <f>VLOOKUP(F21, 'RM &amp; SF'!B:H, 7, 0)</f>
        <v>8.0000000000000004E-4</v>
      </c>
      <c r="L21" s="92">
        <f t="shared" si="1"/>
        <v>0.2237367479003167</v>
      </c>
      <c r="M21" s="30" t="s">
        <v>810</v>
      </c>
    </row>
    <row r="22" spans="1:14" ht="14">
      <c r="A22" s="88" t="s">
        <v>2454</v>
      </c>
      <c r="B22" s="219" t="s">
        <v>504</v>
      </c>
      <c r="C22" s="30"/>
      <c r="D22" s="30" t="str">
        <f>VLOOKUP(B22, 'RM &amp; SF'!B:C, 2, 0)</f>
        <v>لحمة الصفيحة بلبن المشغل</v>
      </c>
      <c r="E22" s="30" t="s">
        <v>3058</v>
      </c>
      <c r="F22" s="110">
        <v>4166</v>
      </c>
      <c r="G22" s="30" t="str">
        <f>VLOOKUP(F22, 'RM &amp; SF'!B:C, 2, 0)</f>
        <v>طحينية 18 كغ*****</v>
      </c>
      <c r="H22" s="102">
        <v>37.037037037037038</v>
      </c>
      <c r="I22" s="30" t="str">
        <f>VLOOKUP(F22, 'RM &amp; SF'!B:H, 4, 0)</f>
        <v>غم</v>
      </c>
      <c r="J22" s="90">
        <f t="shared" si="3"/>
        <v>34.421038138510262</v>
      </c>
      <c r="K22" s="91">
        <f>VLOOKUP(F22, 'RM &amp; SF'!B:H, 7, 0)</f>
        <v>2.0105820105820104E-3</v>
      </c>
      <c r="L22" s="92">
        <f t="shared" si="1"/>
        <v>6.920632006684603E-2</v>
      </c>
      <c r="M22" s="30" t="s">
        <v>810</v>
      </c>
      <c r="N22" s="101" t="s">
        <v>811</v>
      </c>
    </row>
    <row r="23" spans="1:14" ht="14">
      <c r="A23" s="88" t="s">
        <v>2454</v>
      </c>
      <c r="B23" s="219" t="s">
        <v>504</v>
      </c>
      <c r="C23" s="30"/>
      <c r="D23" s="30" t="str">
        <f>VLOOKUP(B23, 'RM &amp; SF'!B:C, 2, 0)</f>
        <v>لحمة الصفيحة بلبن المشغل</v>
      </c>
      <c r="E23" s="30" t="s">
        <v>3058</v>
      </c>
      <c r="F23" s="110">
        <v>5037</v>
      </c>
      <c r="G23" s="30" t="str">
        <f>VLOOKUP(F23, 'RM &amp; SF'!B:C, 2, 0)</f>
        <v>عصفر ريش*****</v>
      </c>
      <c r="H23" s="102">
        <v>0.46296296296296291</v>
      </c>
      <c r="I23" s="30" t="str">
        <f>VLOOKUP(F23, 'RM &amp; SF'!B:H, 4, 0)</f>
        <v>غم</v>
      </c>
      <c r="J23" s="90">
        <f t="shared" si="3"/>
        <v>0.4302629767313782</v>
      </c>
      <c r="K23" s="91">
        <f>VLOOKUP(F23, 'RM &amp; SF'!B:H, 7, 0)</f>
        <v>1.7240999999999999E-2</v>
      </c>
      <c r="L23" s="92">
        <f t="shared" si="1"/>
        <v>7.4181639818256912E-3</v>
      </c>
      <c r="M23" s="30" t="s">
        <v>810</v>
      </c>
    </row>
    <row r="24" spans="1:14" ht="14">
      <c r="A24" s="88" t="s">
        <v>2335</v>
      </c>
      <c r="B24" s="219" t="s">
        <v>500</v>
      </c>
      <c r="C24" s="30"/>
      <c r="D24" s="30" t="str">
        <f>VLOOKUP(B24, 'RM &amp; SF'!B:C, 2, 0)</f>
        <v>لحمة مجرمشة</v>
      </c>
      <c r="E24" s="30" t="s">
        <v>3058</v>
      </c>
      <c r="F24" s="110" t="s">
        <v>698</v>
      </c>
      <c r="G24" s="30" t="str">
        <f>VLOOKUP(F24, 'RM &amp; SF'!B:C, 2, 0)</f>
        <v>لحم قص مجروم</v>
      </c>
      <c r="H24" s="89">
        <v>100</v>
      </c>
      <c r="I24" s="30" t="str">
        <f>VLOOKUP(F24, 'RM &amp; SF'!B:H, 4, 0)</f>
        <v>غم</v>
      </c>
      <c r="J24" s="90">
        <f t="shared" ref="J24:J30" si="4">H24/1</f>
        <v>100</v>
      </c>
      <c r="K24" s="91">
        <f>VLOOKUP(F24, 'RM &amp; SF'!B:H, 7, 0)</f>
        <v>1.4053846153846155E-2</v>
      </c>
      <c r="L24" s="92">
        <f t="shared" si="1"/>
        <v>1.4053846153846155</v>
      </c>
      <c r="M24" s="30" t="s">
        <v>810</v>
      </c>
    </row>
    <row r="25" spans="1:14" ht="14">
      <c r="A25" s="88" t="s">
        <v>2335</v>
      </c>
      <c r="B25" s="219" t="s">
        <v>500</v>
      </c>
      <c r="C25" s="30"/>
      <c r="D25" s="30" t="str">
        <f>VLOOKUP(B25, 'RM &amp; SF'!B:C, 2, 0)</f>
        <v>لحمة مجرمشة</v>
      </c>
      <c r="E25" s="30" t="s">
        <v>2309</v>
      </c>
      <c r="F25" s="110">
        <v>4491</v>
      </c>
      <c r="G25" s="30" t="str">
        <f>VLOOKUP(F25, 'RM &amp; SF'!B:C, 2, 0)</f>
        <v>بندورة جامدة*****</v>
      </c>
      <c r="H25" s="89">
        <v>75</v>
      </c>
      <c r="I25" s="30" t="str">
        <f>VLOOKUP(F25, 'RM &amp; SF'!B:H, 4, 0)</f>
        <v>غم</v>
      </c>
      <c r="J25" s="90">
        <f t="shared" si="4"/>
        <v>75</v>
      </c>
      <c r="K25" s="91">
        <f>VLOOKUP(F25, 'RM &amp; SF'!B:H, 7, 0)</f>
        <v>5.0000000000000001E-4</v>
      </c>
      <c r="L25" s="92">
        <f t="shared" si="1"/>
        <v>3.7499999999999999E-2</v>
      </c>
      <c r="M25" s="30" t="s">
        <v>810</v>
      </c>
    </row>
    <row r="26" spans="1:14" ht="14">
      <c r="A26" s="88" t="s">
        <v>2335</v>
      </c>
      <c r="B26" s="219" t="s">
        <v>500</v>
      </c>
      <c r="C26" s="30"/>
      <c r="D26" s="30" t="str">
        <f>VLOOKUP(B26, 'RM &amp; SF'!B:C, 2, 0)</f>
        <v>لحمة مجرمشة</v>
      </c>
      <c r="E26" s="30" t="s">
        <v>2234</v>
      </c>
      <c r="F26" s="110">
        <v>4503</v>
      </c>
      <c r="G26" s="30" t="str">
        <f>VLOOKUP(F26, 'RM &amp; SF'!B:C, 2, 0)</f>
        <v>بصل ناشف دفش*****</v>
      </c>
      <c r="H26" s="89">
        <v>65</v>
      </c>
      <c r="I26" s="30" t="str">
        <f>VLOOKUP(F26, 'RM &amp; SF'!B:H, 4, 0)</f>
        <v>غم</v>
      </c>
      <c r="J26" s="90">
        <f t="shared" si="4"/>
        <v>65</v>
      </c>
      <c r="K26" s="91">
        <f>VLOOKUP(F26, 'RM &amp; SF'!B:H, 7, 0)</f>
        <v>2.5000000000000001E-4</v>
      </c>
      <c r="L26" s="92">
        <f t="shared" si="1"/>
        <v>1.6250000000000001E-2</v>
      </c>
      <c r="M26" s="30" t="s">
        <v>810</v>
      </c>
    </row>
    <row r="27" spans="1:14" ht="14">
      <c r="A27" s="88" t="s">
        <v>2335</v>
      </c>
      <c r="B27" s="219" t="s">
        <v>500</v>
      </c>
      <c r="C27" s="30"/>
      <c r="D27" s="30" t="str">
        <f>VLOOKUP(B27, 'RM &amp; SF'!B:C, 2, 0)</f>
        <v>لحمة مجرمشة</v>
      </c>
      <c r="E27" s="30" t="s">
        <v>2232</v>
      </c>
      <c r="F27" s="110">
        <v>4500</v>
      </c>
      <c r="G27" s="30" t="str">
        <f>VLOOKUP(F27, 'RM &amp; SF'!B:C, 2, 0)</f>
        <v>فلفل حلو اخضر*****</v>
      </c>
      <c r="H27" s="89">
        <v>50</v>
      </c>
      <c r="I27" s="30" t="str">
        <f>VLOOKUP(F27, 'RM &amp; SF'!B:H, 4, 0)</f>
        <v>غم</v>
      </c>
      <c r="J27" s="90">
        <f t="shared" si="4"/>
        <v>50</v>
      </c>
      <c r="K27" s="91">
        <f>VLOOKUP(F27, 'RM &amp; SF'!B:H, 7, 0)</f>
        <v>7.7999999999999999E-4</v>
      </c>
      <c r="L27" s="92">
        <f t="shared" si="1"/>
        <v>3.9E-2</v>
      </c>
      <c r="M27" s="30" t="s">
        <v>810</v>
      </c>
    </row>
    <row r="28" spans="1:14" ht="14">
      <c r="A28" s="88" t="s">
        <v>2335</v>
      </c>
      <c r="B28" s="219" t="s">
        <v>500</v>
      </c>
      <c r="C28" s="30"/>
      <c r="D28" s="30" t="str">
        <f>VLOOKUP(B28, 'RM &amp; SF'!B:C, 2, 0)</f>
        <v>لحمة مجرمشة</v>
      </c>
      <c r="E28" s="30" t="s">
        <v>3058</v>
      </c>
      <c r="F28" s="110">
        <v>4598</v>
      </c>
      <c r="G28" s="30" t="str">
        <f>VLOOKUP(F28, 'RM &amp; SF'!B:C, 2, 0)</f>
        <v>لية خروف نية*****</v>
      </c>
      <c r="H28" s="89">
        <v>30</v>
      </c>
      <c r="I28" s="30" t="str">
        <f>VLOOKUP(F28, 'RM &amp; SF'!B:H, 4, 0)</f>
        <v>غم</v>
      </c>
      <c r="J28" s="90">
        <f t="shared" si="4"/>
        <v>30</v>
      </c>
      <c r="K28" s="91">
        <f>VLOOKUP(F28, 'RM &amp; SF'!B:H, 7, 0)</f>
        <v>5.0000000000000001E-3</v>
      </c>
      <c r="L28" s="92">
        <f t="shared" si="1"/>
        <v>0.15</v>
      </c>
      <c r="M28" s="30" t="s">
        <v>810</v>
      </c>
    </row>
    <row r="29" spans="1:14" ht="14">
      <c r="A29" s="88" t="s">
        <v>2335</v>
      </c>
      <c r="B29" s="219" t="s">
        <v>500</v>
      </c>
      <c r="C29" s="30"/>
      <c r="D29" s="30" t="str">
        <f>VLOOKUP(B29, 'RM &amp; SF'!B:C, 2, 0)</f>
        <v>لحمة مجرمشة</v>
      </c>
      <c r="E29" s="30" t="s">
        <v>2206</v>
      </c>
      <c r="F29" s="110">
        <v>4204</v>
      </c>
      <c r="G29" s="30" t="str">
        <f>VLOOKUP(F29, 'RM &amp; SF'!B:C, 2, 0)</f>
        <v>فلفل اسود ناعم*****</v>
      </c>
      <c r="H29" s="89">
        <v>3</v>
      </c>
      <c r="I29" s="30" t="str">
        <f>VLOOKUP(F29, 'RM &amp; SF'!B:H, 4, 0)</f>
        <v>غم</v>
      </c>
      <c r="J29" s="90">
        <f t="shared" si="4"/>
        <v>3</v>
      </c>
      <c r="K29" s="91">
        <f>VLOOKUP(F29, 'RM &amp; SF'!B:H, 7, 0)</f>
        <v>6.8970000000000004E-3</v>
      </c>
      <c r="L29" s="92">
        <f t="shared" si="1"/>
        <v>2.0691000000000001E-2</v>
      </c>
      <c r="M29" s="30" t="s">
        <v>810</v>
      </c>
    </row>
    <row r="30" spans="1:14" ht="14">
      <c r="A30" s="88" t="s">
        <v>2335</v>
      </c>
      <c r="B30" s="219" t="s">
        <v>500</v>
      </c>
      <c r="C30" s="30"/>
      <c r="D30" s="30" t="str">
        <f>VLOOKUP(B30, 'RM &amp; SF'!B:C, 2, 0)</f>
        <v>لحمة مجرمشة</v>
      </c>
      <c r="E30" s="30" t="s">
        <v>2203</v>
      </c>
      <c r="F30" s="110">
        <v>4152</v>
      </c>
      <c r="G30" s="30" t="str">
        <f>VLOOKUP(F30, 'RM &amp; SF'!B:C, 2, 0)</f>
        <v>ملح طعام 750غم*****</v>
      </c>
      <c r="H30" s="89">
        <v>3</v>
      </c>
      <c r="I30" s="30" t="str">
        <f>VLOOKUP(F30, 'RM &amp; SF'!B:H, 4, 0)</f>
        <v>غم</v>
      </c>
      <c r="J30" s="90">
        <f t="shared" si="4"/>
        <v>3</v>
      </c>
      <c r="K30" s="91">
        <f>VLOOKUP(F30, 'RM &amp; SF'!B:H, 7, 0)</f>
        <v>1.7066666666666665E-4</v>
      </c>
      <c r="L30" s="92">
        <f t="shared" si="1"/>
        <v>5.1199999999999998E-4</v>
      </c>
      <c r="M30" s="30" t="s">
        <v>810</v>
      </c>
    </row>
    <row r="31" spans="1:14" ht="14">
      <c r="A31" s="88" t="s">
        <v>2455</v>
      </c>
      <c r="B31" s="219" t="s">
        <v>604</v>
      </c>
      <c r="C31" s="30"/>
      <c r="D31" s="30" t="str">
        <f>VLOOKUP(B31, 'RM &amp; SF'!B:C, 2, 0)</f>
        <v xml:space="preserve">لحمة صفيحة ببندورة </v>
      </c>
      <c r="E31" s="30" t="s">
        <v>2317</v>
      </c>
      <c r="F31" s="110">
        <v>4601</v>
      </c>
      <c r="G31" s="30" t="str">
        <f>VLOOKUP(F31, 'RM &amp; SF'!B:C, 2, 0)</f>
        <v>نتر خروف*****</v>
      </c>
      <c r="H31" s="89">
        <v>400</v>
      </c>
      <c r="I31" s="30" t="str">
        <f>VLOOKUP(F31, 'RM &amp; SF'!B:H, 4, 0)</f>
        <v>غم</v>
      </c>
      <c r="J31" s="90">
        <f>H31/2.756</f>
        <v>145.1378809869376</v>
      </c>
      <c r="K31" s="91">
        <f>VLOOKUP(F31, 'RM &amp; SF'!B:H, 7, 0)</f>
        <v>3.0000000000000001E-3</v>
      </c>
      <c r="L31" s="92">
        <f t="shared" si="1"/>
        <v>0.43541364296081281</v>
      </c>
      <c r="M31" s="30" t="s">
        <v>810</v>
      </c>
    </row>
    <row r="32" spans="1:14" ht="14">
      <c r="A32" s="88" t="s">
        <v>2455</v>
      </c>
      <c r="B32" s="219" t="s">
        <v>604</v>
      </c>
      <c r="C32" s="30"/>
      <c r="D32" s="30" t="str">
        <f>VLOOKUP(B32, 'RM &amp; SF'!B:C, 2, 0)</f>
        <v xml:space="preserve">لحمة صفيحة ببندورة </v>
      </c>
      <c r="E32" s="30" t="s">
        <v>3058</v>
      </c>
      <c r="F32" s="110">
        <v>5373</v>
      </c>
      <c r="G32" s="30" t="str">
        <f>VLOOKUP(F32, 'RM &amp; SF'!B:C, 2, 0)</f>
        <v>قطعيات عجل مشكلة</v>
      </c>
      <c r="H32" s="89">
        <v>600</v>
      </c>
      <c r="I32" s="30" t="str">
        <f>VLOOKUP(F32, 'RM &amp; SF'!B:H, 4, 0)</f>
        <v>غم</v>
      </c>
      <c r="J32" s="90">
        <f t="shared" ref="J32:J40" si="5">H32/2.756</f>
        <v>217.7068214804064</v>
      </c>
      <c r="K32" s="91">
        <f>VLOOKUP(F32, 'RM &amp; SF'!B:H, 7, 0)</f>
        <v>9.0100000000000006E-3</v>
      </c>
      <c r="L32" s="92">
        <f t="shared" si="1"/>
        <v>1.9615384615384619</v>
      </c>
      <c r="M32" s="30" t="s">
        <v>810</v>
      </c>
    </row>
    <row r="33" spans="1:13" ht="14">
      <c r="A33" s="88" t="s">
        <v>2455</v>
      </c>
      <c r="B33" s="219" t="s">
        <v>604</v>
      </c>
      <c r="C33" s="30"/>
      <c r="D33" s="30" t="str">
        <f>VLOOKUP(B33, 'RM &amp; SF'!B:C, 2, 0)</f>
        <v xml:space="preserve">لحمة صفيحة ببندورة </v>
      </c>
      <c r="E33" s="30" t="s">
        <v>2309</v>
      </c>
      <c r="F33" s="110">
        <v>4491</v>
      </c>
      <c r="G33" s="30" t="str">
        <f>VLOOKUP(F33, 'RM &amp; SF'!B:C, 2, 0)</f>
        <v>بندورة جامدة*****</v>
      </c>
      <c r="H33" s="89">
        <v>1000</v>
      </c>
      <c r="I33" s="30" t="str">
        <f>VLOOKUP(F33, 'RM &amp; SF'!B:H, 4, 0)</f>
        <v>غم</v>
      </c>
      <c r="J33" s="90">
        <f t="shared" si="5"/>
        <v>362.84470246734401</v>
      </c>
      <c r="K33" s="91">
        <f>VLOOKUP(F33, 'RM &amp; SF'!B:H, 7, 0)</f>
        <v>5.0000000000000001E-4</v>
      </c>
      <c r="L33" s="92">
        <f t="shared" si="1"/>
        <v>0.18142235123367201</v>
      </c>
      <c r="M33" s="30" t="s">
        <v>810</v>
      </c>
    </row>
    <row r="34" spans="1:13" ht="14">
      <c r="A34" s="88" t="s">
        <v>2455</v>
      </c>
      <c r="B34" s="219" t="s">
        <v>604</v>
      </c>
      <c r="C34" s="30"/>
      <c r="D34" s="30" t="str">
        <f>VLOOKUP(B34, 'RM &amp; SF'!B:C, 2, 0)</f>
        <v xml:space="preserve">لحمة صفيحة ببندورة </v>
      </c>
      <c r="E34" s="30" t="s">
        <v>2234</v>
      </c>
      <c r="F34" s="110">
        <v>4503</v>
      </c>
      <c r="G34" s="30" t="str">
        <f>VLOOKUP(F34, 'RM &amp; SF'!B:C, 2, 0)</f>
        <v>بصل ناشف دفش*****</v>
      </c>
      <c r="H34" s="89">
        <v>500</v>
      </c>
      <c r="I34" s="30" t="str">
        <f>VLOOKUP(F34, 'RM &amp; SF'!B:H, 4, 0)</f>
        <v>غم</v>
      </c>
      <c r="J34" s="90">
        <f t="shared" si="5"/>
        <v>181.422351233672</v>
      </c>
      <c r="K34" s="91">
        <f>VLOOKUP(F34, 'RM &amp; SF'!B:H, 7, 0)</f>
        <v>2.5000000000000001E-4</v>
      </c>
      <c r="L34" s="92">
        <f t="shared" si="1"/>
        <v>4.5355587808418002E-2</v>
      </c>
      <c r="M34" s="30" t="s">
        <v>810</v>
      </c>
    </row>
    <row r="35" spans="1:13" ht="14">
      <c r="A35" s="88" t="s">
        <v>2455</v>
      </c>
      <c r="B35" s="219" t="s">
        <v>604</v>
      </c>
      <c r="C35" s="30"/>
      <c r="D35" s="30" t="str">
        <f>VLOOKUP(B35, 'RM &amp; SF'!B:C, 2, 0)</f>
        <v xml:space="preserve">لحمة صفيحة ببندورة </v>
      </c>
      <c r="E35" s="30" t="s">
        <v>2233</v>
      </c>
      <c r="F35" s="110">
        <v>4501</v>
      </c>
      <c r="G35" s="30" t="str">
        <f>VLOOKUP(F35, 'RM &amp; SF'!B:C, 2, 0)</f>
        <v>فلفل حلو احمر*****</v>
      </c>
      <c r="H35" s="89">
        <v>100</v>
      </c>
      <c r="I35" s="30" t="str">
        <f>VLOOKUP(F35, 'RM &amp; SF'!B:H, 4, 0)</f>
        <v>غم</v>
      </c>
      <c r="J35" s="90">
        <f t="shared" si="5"/>
        <v>36.284470246734401</v>
      </c>
      <c r="K35" s="91">
        <f>VLOOKUP(F35, 'RM &amp; SF'!B:H, 7, 0)</f>
        <v>7.5000000000000002E-4</v>
      </c>
      <c r="L35" s="92">
        <f t="shared" si="1"/>
        <v>2.72133526850508E-2</v>
      </c>
      <c r="M35" s="30" t="s">
        <v>810</v>
      </c>
    </row>
    <row r="36" spans="1:13" ht="14">
      <c r="A36" s="88" t="s">
        <v>2455</v>
      </c>
      <c r="B36" s="219" t="s">
        <v>604</v>
      </c>
      <c r="C36" s="30"/>
      <c r="D36" s="30" t="str">
        <f>VLOOKUP(B36, 'RM &amp; SF'!B:C, 2, 0)</f>
        <v xml:space="preserve">لحمة صفيحة ببندورة </v>
      </c>
      <c r="E36" s="30" t="s">
        <v>2265</v>
      </c>
      <c r="F36" s="110">
        <v>4006</v>
      </c>
      <c r="G36" s="30" t="str">
        <f>VLOOKUP(F36, 'RM &amp; SF'!B:C, 2, 0)</f>
        <v>دبس رمان 5 كغ (مادة أولية)*****</v>
      </c>
      <c r="H36" s="89">
        <v>100</v>
      </c>
      <c r="I36" s="30" t="str">
        <f>VLOOKUP(F36, 'RM &amp; SF'!B:H, 4, 0)</f>
        <v>غم</v>
      </c>
      <c r="J36" s="90">
        <f t="shared" si="5"/>
        <v>36.284470246734401</v>
      </c>
      <c r="K36" s="91">
        <f>VLOOKUP(F36, 'RM &amp; SF'!B:H, 7, 0)</f>
        <v>1.508E-3</v>
      </c>
      <c r="L36" s="92">
        <f t="shared" si="1"/>
        <v>5.4716981132075473E-2</v>
      </c>
      <c r="M36" s="30" t="s">
        <v>810</v>
      </c>
    </row>
    <row r="37" spans="1:13" ht="14">
      <c r="A37" s="88" t="s">
        <v>2455</v>
      </c>
      <c r="B37" s="219" t="s">
        <v>604</v>
      </c>
      <c r="C37" s="30"/>
      <c r="D37" s="30" t="str">
        <f>VLOOKUP(B37, 'RM &amp; SF'!B:C, 2, 0)</f>
        <v xml:space="preserve">لحمة صفيحة ببندورة </v>
      </c>
      <c r="E37" s="30" t="s">
        <v>2208</v>
      </c>
      <c r="F37" s="110">
        <v>4211</v>
      </c>
      <c r="G37" s="30" t="str">
        <f>VLOOKUP(F37, 'RM &amp; SF'!B:C, 2, 0)</f>
        <v>كزبرة ناعمة*****</v>
      </c>
      <c r="H37" s="89">
        <v>10</v>
      </c>
      <c r="I37" s="30" t="str">
        <f>VLOOKUP(F37, 'RM &amp; SF'!B:H, 4, 0)</f>
        <v>غم</v>
      </c>
      <c r="J37" s="90">
        <f t="shared" si="5"/>
        <v>3.6284470246734402</v>
      </c>
      <c r="K37" s="91">
        <f>VLOOKUP(F37, 'RM &amp; SF'!B:H, 7, 0)</f>
        <v>1.5089999999999999E-3</v>
      </c>
      <c r="L37" s="92">
        <f t="shared" si="1"/>
        <v>5.4753265602322208E-3</v>
      </c>
      <c r="M37" s="30" t="s">
        <v>810</v>
      </c>
    </row>
    <row r="38" spans="1:13" ht="14">
      <c r="A38" s="88" t="s">
        <v>2455</v>
      </c>
      <c r="B38" s="219" t="s">
        <v>604</v>
      </c>
      <c r="C38" s="30"/>
      <c r="D38" s="30" t="str">
        <f>VLOOKUP(B38, 'RM &amp; SF'!B:C, 2, 0)</f>
        <v xml:space="preserve">لحمة صفيحة ببندورة </v>
      </c>
      <c r="E38" s="30" t="s">
        <v>2213</v>
      </c>
      <c r="F38" s="110">
        <v>4218</v>
      </c>
      <c r="G38" s="30" t="str">
        <f>VLOOKUP(F38, 'RM &amp; SF'!B:C, 2, 0)</f>
        <v>بهارات مشكلة*****</v>
      </c>
      <c r="H38" s="89">
        <v>10</v>
      </c>
      <c r="I38" s="30" t="str">
        <f>VLOOKUP(F38, 'RM &amp; SF'!B:H, 4, 0)</f>
        <v>غم</v>
      </c>
      <c r="J38" s="90">
        <f t="shared" si="5"/>
        <v>3.6284470246734402</v>
      </c>
      <c r="K38" s="91">
        <f>VLOOKUP(F38, 'RM &amp; SF'!B:H, 7, 0)</f>
        <v>3.0169999999999997E-3</v>
      </c>
      <c r="L38" s="92">
        <f t="shared" si="1"/>
        <v>1.0947024673439767E-2</v>
      </c>
      <c r="M38" s="30" t="s">
        <v>810</v>
      </c>
    </row>
    <row r="39" spans="1:13" ht="14">
      <c r="A39" s="88" t="s">
        <v>2455</v>
      </c>
      <c r="B39" s="219" t="s">
        <v>604</v>
      </c>
      <c r="C39" s="30"/>
      <c r="D39" s="30" t="str">
        <f>VLOOKUP(B39, 'RM &amp; SF'!B:C, 2, 0)</f>
        <v xml:space="preserve">لحمة صفيحة ببندورة </v>
      </c>
      <c r="E39" s="30" t="s">
        <v>2206</v>
      </c>
      <c r="F39" s="110">
        <v>4204</v>
      </c>
      <c r="G39" s="30" t="str">
        <f>VLOOKUP(F39, 'RM &amp; SF'!B:C, 2, 0)</f>
        <v>فلفل اسود ناعم*****</v>
      </c>
      <c r="H39" s="89">
        <v>6</v>
      </c>
      <c r="I39" s="30" t="str">
        <f>VLOOKUP(F39, 'RM &amp; SF'!B:H, 4, 0)</f>
        <v>غم</v>
      </c>
      <c r="J39" s="90">
        <f t="shared" si="5"/>
        <v>2.1770682148040641</v>
      </c>
      <c r="K39" s="91">
        <f>VLOOKUP(F39, 'RM &amp; SF'!B:H, 7, 0)</f>
        <v>6.8970000000000004E-3</v>
      </c>
      <c r="L39" s="92">
        <f t="shared" si="1"/>
        <v>1.501523947750363E-2</v>
      </c>
      <c r="M39" s="30" t="s">
        <v>810</v>
      </c>
    </row>
    <row r="40" spans="1:13" ht="14">
      <c r="A40" s="88" t="s">
        <v>2455</v>
      </c>
      <c r="B40" s="219" t="s">
        <v>604</v>
      </c>
      <c r="C40" s="30"/>
      <c r="D40" s="30" t="str">
        <f>VLOOKUP(B40, 'RM &amp; SF'!B:C, 2, 0)</f>
        <v xml:space="preserve">لحمة صفيحة ببندورة </v>
      </c>
      <c r="E40" s="30" t="s">
        <v>2203</v>
      </c>
      <c r="F40" s="110">
        <v>4152</v>
      </c>
      <c r="G40" s="30" t="str">
        <f>VLOOKUP(F40, 'RM &amp; SF'!B:C, 2, 0)</f>
        <v>ملح طعام 750غم*****</v>
      </c>
      <c r="H40" s="89">
        <v>30</v>
      </c>
      <c r="I40" s="30" t="str">
        <f>VLOOKUP(F40, 'RM &amp; SF'!B:H, 4, 0)</f>
        <v>غم</v>
      </c>
      <c r="J40" s="90">
        <f t="shared" si="5"/>
        <v>10.885341074020321</v>
      </c>
      <c r="K40" s="91">
        <f>VLOOKUP(F40, 'RM &amp; SF'!B:H, 7, 0)</f>
        <v>1.7066666666666665E-4</v>
      </c>
      <c r="L40" s="92">
        <f t="shared" si="1"/>
        <v>1.8577648766328013E-3</v>
      </c>
      <c r="M40" s="30" t="s">
        <v>810</v>
      </c>
    </row>
    <row r="41" spans="1:13" ht="14">
      <c r="A41" s="88" t="s">
        <v>2336</v>
      </c>
      <c r="B41" s="219" t="s">
        <v>496</v>
      </c>
      <c r="C41" s="30"/>
      <c r="D41" s="30" t="str">
        <f>VLOOKUP(B41, 'RM &amp; SF'!B:C, 2, 0)</f>
        <v>لحمة عرايس</v>
      </c>
      <c r="E41" s="30" t="s">
        <v>3058</v>
      </c>
      <c r="F41" s="110">
        <v>5373</v>
      </c>
      <c r="G41" s="30" t="str">
        <f>VLOOKUP(F41, 'RM &amp; SF'!B:C, 2, 0)</f>
        <v>قطعيات عجل مشكلة</v>
      </c>
      <c r="H41" s="89">
        <v>600</v>
      </c>
      <c r="I41" s="30" t="str">
        <f>VLOOKUP(F41, 'RM &amp; SF'!B:H, 4, 0)</f>
        <v>غم</v>
      </c>
      <c r="J41" s="90">
        <f>H41/2.923</f>
        <v>205.26855969893944</v>
      </c>
      <c r="K41" s="91">
        <f>VLOOKUP(F41, 'RM &amp; SF'!B:H, 7, 0)</f>
        <v>9.0100000000000006E-3</v>
      </c>
      <c r="L41" s="92">
        <f t="shared" si="1"/>
        <v>1.8494697228874446</v>
      </c>
      <c r="M41" s="30" t="s">
        <v>810</v>
      </c>
    </row>
    <row r="42" spans="1:13" ht="14">
      <c r="A42" s="88" t="s">
        <v>2336</v>
      </c>
      <c r="B42" s="219" t="s">
        <v>496</v>
      </c>
      <c r="C42" s="30"/>
      <c r="D42" s="30" t="str">
        <f>VLOOKUP(B42, 'RM &amp; SF'!B:C, 2, 0)</f>
        <v>لحمة عرايس</v>
      </c>
      <c r="E42" s="30" t="s">
        <v>2317</v>
      </c>
      <c r="F42" s="110">
        <v>4601</v>
      </c>
      <c r="G42" s="30" t="str">
        <f>VLOOKUP(F42, 'RM &amp; SF'!B:C, 2, 0)</f>
        <v>نتر خروف*****</v>
      </c>
      <c r="H42" s="89">
        <v>500</v>
      </c>
      <c r="I42" s="30" t="str">
        <f>VLOOKUP(F42, 'RM &amp; SF'!B:H, 4, 0)</f>
        <v>غم</v>
      </c>
      <c r="J42" s="90">
        <f t="shared" ref="J42:J52" si="6">H42/2.923</f>
        <v>171.05713308244952</v>
      </c>
      <c r="K42" s="91">
        <f>VLOOKUP(F42, 'RM &amp; SF'!B:H, 7, 0)</f>
        <v>3.0000000000000001E-3</v>
      </c>
      <c r="L42" s="92">
        <f t="shared" si="1"/>
        <v>0.51317139924734856</v>
      </c>
      <c r="M42" s="30" t="s">
        <v>810</v>
      </c>
    </row>
    <row r="43" spans="1:13" ht="14">
      <c r="A43" s="88" t="s">
        <v>2336</v>
      </c>
      <c r="B43" s="219" t="s">
        <v>496</v>
      </c>
      <c r="C43" s="30"/>
      <c r="D43" s="30" t="str">
        <f>VLOOKUP(B43, 'RM &amp; SF'!B:C, 2, 0)</f>
        <v>لحمة عرايس</v>
      </c>
      <c r="E43" s="30" t="s">
        <v>2309</v>
      </c>
      <c r="F43" s="110">
        <v>4491</v>
      </c>
      <c r="G43" s="30" t="str">
        <f>VLOOKUP(F43, 'RM &amp; SF'!B:C, 2, 0)</f>
        <v>بندورة جامدة*****</v>
      </c>
      <c r="H43" s="89">
        <v>1000</v>
      </c>
      <c r="I43" s="30" t="str">
        <f>VLOOKUP(F43, 'RM &amp; SF'!B:H, 4, 0)</f>
        <v>غم</v>
      </c>
      <c r="J43" s="90">
        <f t="shared" si="6"/>
        <v>342.11426616489905</v>
      </c>
      <c r="K43" s="91">
        <f>VLOOKUP(F43, 'RM &amp; SF'!B:H, 7, 0)</f>
        <v>5.0000000000000001E-4</v>
      </c>
      <c r="L43" s="92">
        <f t="shared" si="1"/>
        <v>0.17105713308244952</v>
      </c>
      <c r="M43" s="30" t="s">
        <v>810</v>
      </c>
    </row>
    <row r="44" spans="1:13" ht="14">
      <c r="A44" s="88" t="s">
        <v>2336</v>
      </c>
      <c r="B44" s="219" t="s">
        <v>496</v>
      </c>
      <c r="C44" s="30"/>
      <c r="D44" s="30" t="str">
        <f>VLOOKUP(B44, 'RM &amp; SF'!B:C, 2, 0)</f>
        <v>لحمة عرايس</v>
      </c>
      <c r="E44" s="30" t="s">
        <v>2234</v>
      </c>
      <c r="F44" s="110">
        <v>4503</v>
      </c>
      <c r="G44" s="30" t="str">
        <f>VLOOKUP(F44, 'RM &amp; SF'!B:C, 2, 0)</f>
        <v>بصل ناشف دفش*****</v>
      </c>
      <c r="H44" s="89">
        <v>500</v>
      </c>
      <c r="I44" s="30" t="str">
        <f>VLOOKUP(F44, 'RM &amp; SF'!B:H, 4, 0)</f>
        <v>غم</v>
      </c>
      <c r="J44" s="90">
        <f t="shared" si="6"/>
        <v>171.05713308244952</v>
      </c>
      <c r="K44" s="91">
        <f>VLOOKUP(F44, 'RM &amp; SF'!B:H, 7, 0)</f>
        <v>2.5000000000000001E-4</v>
      </c>
      <c r="L44" s="92">
        <f t="shared" si="1"/>
        <v>4.276428327061238E-2</v>
      </c>
      <c r="M44" s="30" t="s">
        <v>810</v>
      </c>
    </row>
    <row r="45" spans="1:13" ht="14">
      <c r="A45" s="88" t="s">
        <v>2336</v>
      </c>
      <c r="B45" s="219" t="s">
        <v>496</v>
      </c>
      <c r="C45" s="30"/>
      <c r="D45" s="30" t="str">
        <f>VLOOKUP(B45, 'RM &amp; SF'!B:C, 2, 0)</f>
        <v>لحمة عرايس</v>
      </c>
      <c r="E45" s="30" t="s">
        <v>2232</v>
      </c>
      <c r="F45" s="110">
        <v>4500</v>
      </c>
      <c r="G45" s="30" t="str">
        <f>VLOOKUP(F45, 'RM &amp; SF'!B:C, 2, 0)</f>
        <v>فلفل حلو اخضر*****</v>
      </c>
      <c r="H45" s="89">
        <v>200</v>
      </c>
      <c r="I45" s="30" t="str">
        <f>VLOOKUP(F45, 'RM &amp; SF'!B:H, 4, 0)</f>
        <v>غم</v>
      </c>
      <c r="J45" s="90">
        <f t="shared" si="6"/>
        <v>68.422853232979818</v>
      </c>
      <c r="K45" s="91">
        <f>VLOOKUP(F45, 'RM &amp; SF'!B:H, 7, 0)</f>
        <v>7.7999999999999999E-4</v>
      </c>
      <c r="L45" s="92">
        <f t="shared" si="1"/>
        <v>5.3369825521724257E-2</v>
      </c>
      <c r="M45" s="30" t="s">
        <v>810</v>
      </c>
    </row>
    <row r="46" spans="1:13" ht="14">
      <c r="A46" s="88" t="s">
        <v>2336</v>
      </c>
      <c r="B46" s="219" t="s">
        <v>496</v>
      </c>
      <c r="C46" s="30"/>
      <c r="D46" s="30" t="str">
        <f>VLOOKUP(B46, 'RM &amp; SF'!B:C, 2, 0)</f>
        <v>لحمة عرايس</v>
      </c>
      <c r="E46" s="30" t="s">
        <v>2253</v>
      </c>
      <c r="F46" s="110">
        <v>4547</v>
      </c>
      <c r="G46" s="30" t="str">
        <f>VLOOKUP(F46, 'RM &amp; SF'!B:C, 2, 0)</f>
        <v>نعنع*****</v>
      </c>
      <c r="H46" s="90">
        <v>0.42</v>
      </c>
      <c r="I46" s="30" t="str">
        <f>VLOOKUP(F46, 'RM &amp; SF'!B:H, 4, 0)</f>
        <v>غم</v>
      </c>
      <c r="J46" s="90">
        <f t="shared" si="6"/>
        <v>0.14368799178925759</v>
      </c>
      <c r="K46" s="91">
        <f>VLOOKUP(F46, 'RM &amp; SF'!B:H, 7, 0)</f>
        <v>7.5000000000000002E-4</v>
      </c>
      <c r="L46" s="92">
        <f t="shared" si="1"/>
        <v>1.077659938419432E-4</v>
      </c>
      <c r="M46" s="30" t="s">
        <v>810</v>
      </c>
    </row>
    <row r="47" spans="1:13" ht="14">
      <c r="A47" s="88" t="s">
        <v>2336</v>
      </c>
      <c r="B47" s="219" t="s">
        <v>496</v>
      </c>
      <c r="C47" s="30"/>
      <c r="D47" s="30" t="str">
        <f>VLOOKUP(B47, 'RM &amp; SF'!B:C, 2, 0)</f>
        <v>لحمة عرايس</v>
      </c>
      <c r="E47" s="30" t="s">
        <v>2239</v>
      </c>
      <c r="F47" s="110">
        <v>4513</v>
      </c>
      <c r="G47" s="30" t="str">
        <f>VLOOKUP(F47, 'RM &amp; SF'!B:C, 2, 0)</f>
        <v>ليمون اصفر*****</v>
      </c>
      <c r="H47" s="89">
        <v>25</v>
      </c>
      <c r="I47" s="30" t="str">
        <f>VLOOKUP(F47, 'RM &amp; SF'!B:H, 4, 0)</f>
        <v>غم</v>
      </c>
      <c r="J47" s="90">
        <f t="shared" si="6"/>
        <v>8.5528566541224773</v>
      </c>
      <c r="K47" s="91">
        <f>VLOOKUP(F47, 'RM &amp; SF'!B:H, 7, 0)</f>
        <v>1.75E-3</v>
      </c>
      <c r="L47" s="92">
        <f t="shared" si="1"/>
        <v>1.4967499144714336E-2</v>
      </c>
      <c r="M47" s="30" t="s">
        <v>810</v>
      </c>
    </row>
    <row r="48" spans="1:13" ht="14">
      <c r="A48" s="88" t="s">
        <v>2336</v>
      </c>
      <c r="B48" s="219" t="s">
        <v>496</v>
      </c>
      <c r="C48" s="30"/>
      <c r="D48" s="30" t="str">
        <f>VLOOKUP(B48, 'RM &amp; SF'!B:C, 2, 0)</f>
        <v>لحمة عرايس</v>
      </c>
      <c r="E48" s="30" t="s">
        <v>2213</v>
      </c>
      <c r="F48" s="110">
        <v>4218</v>
      </c>
      <c r="G48" s="30" t="str">
        <f>VLOOKUP(F48, 'RM &amp; SF'!B:C, 2, 0)</f>
        <v>بهارات مشكلة*****</v>
      </c>
      <c r="H48" s="89">
        <v>10</v>
      </c>
      <c r="I48" s="30" t="str">
        <f>VLOOKUP(F48, 'RM &amp; SF'!B:H, 4, 0)</f>
        <v>غم</v>
      </c>
      <c r="J48" s="90">
        <f t="shared" si="6"/>
        <v>3.4211426616489908</v>
      </c>
      <c r="K48" s="91">
        <f>VLOOKUP(F48, 'RM &amp; SF'!B:H, 7, 0)</f>
        <v>3.0169999999999997E-3</v>
      </c>
      <c r="L48" s="92">
        <f t="shared" si="1"/>
        <v>1.0321587410195005E-2</v>
      </c>
      <c r="M48" s="30" t="s">
        <v>810</v>
      </c>
    </row>
    <row r="49" spans="1:13" ht="14">
      <c r="A49" s="88" t="s">
        <v>2336</v>
      </c>
      <c r="B49" s="219" t="s">
        <v>496</v>
      </c>
      <c r="C49" s="30"/>
      <c r="D49" s="30" t="str">
        <f>VLOOKUP(B49, 'RM &amp; SF'!B:C, 2, 0)</f>
        <v>لحمة عرايس</v>
      </c>
      <c r="E49" s="30" t="s">
        <v>2206</v>
      </c>
      <c r="F49" s="110">
        <v>4204</v>
      </c>
      <c r="G49" s="30" t="str">
        <f>VLOOKUP(F49, 'RM &amp; SF'!B:C, 2, 0)</f>
        <v>فلفل اسود ناعم*****</v>
      </c>
      <c r="H49" s="89">
        <v>0</v>
      </c>
      <c r="I49" s="30" t="str">
        <f>VLOOKUP(F49, 'RM &amp; SF'!B:H, 4, 0)</f>
        <v>غم</v>
      </c>
      <c r="J49" s="90">
        <f t="shared" si="6"/>
        <v>0</v>
      </c>
      <c r="K49" s="91">
        <f>VLOOKUP(F49, 'RM &amp; SF'!B:H, 7, 0)</f>
        <v>6.8970000000000004E-3</v>
      </c>
      <c r="L49" s="92">
        <f t="shared" si="1"/>
        <v>0</v>
      </c>
      <c r="M49" s="30" t="s">
        <v>810</v>
      </c>
    </row>
    <row r="50" spans="1:13" ht="14">
      <c r="A50" s="88" t="s">
        <v>2336</v>
      </c>
      <c r="B50" s="219" t="s">
        <v>496</v>
      </c>
      <c r="C50" s="30"/>
      <c r="D50" s="30" t="str">
        <f>VLOOKUP(B50, 'RM &amp; SF'!B:C, 2, 0)</f>
        <v>لحمة عرايس</v>
      </c>
      <c r="E50" s="30" t="s">
        <v>2265</v>
      </c>
      <c r="F50" s="110">
        <v>4006</v>
      </c>
      <c r="G50" s="30" t="str">
        <f>VLOOKUP(F50, 'RM &amp; SF'!B:C, 2, 0)</f>
        <v>دبس رمان 5 كغ (مادة أولية)*****</v>
      </c>
      <c r="H50" s="89">
        <v>100</v>
      </c>
      <c r="I50" s="30" t="str">
        <f>VLOOKUP(F50, 'RM &amp; SF'!B:H, 4, 0)</f>
        <v>غم</v>
      </c>
      <c r="J50" s="90">
        <f t="shared" si="6"/>
        <v>34.211426616489909</v>
      </c>
      <c r="K50" s="91">
        <f>VLOOKUP(F50, 'RM &amp; SF'!B:H, 7, 0)</f>
        <v>1.508E-3</v>
      </c>
      <c r="L50" s="92">
        <f t="shared" si="1"/>
        <v>5.159083133766678E-2</v>
      </c>
      <c r="M50" s="30" t="s">
        <v>810</v>
      </c>
    </row>
    <row r="51" spans="1:13" ht="14">
      <c r="A51" s="88" t="s">
        <v>2336</v>
      </c>
      <c r="B51" s="219" t="s">
        <v>496</v>
      </c>
      <c r="C51" s="30"/>
      <c r="D51" s="30" t="str">
        <f>VLOOKUP(B51, 'RM &amp; SF'!B:C, 2, 0)</f>
        <v>لحمة عرايس</v>
      </c>
      <c r="E51" s="30" t="s">
        <v>2203</v>
      </c>
      <c r="F51" s="110">
        <v>4152</v>
      </c>
      <c r="G51" s="30" t="str">
        <f>VLOOKUP(F51, 'RM &amp; SF'!B:C, 2, 0)</f>
        <v>ملح طعام 750غم*****</v>
      </c>
      <c r="H51" s="89">
        <v>30</v>
      </c>
      <c r="I51" s="30" t="str">
        <f>VLOOKUP(F51, 'RM &amp; SF'!B:H, 4, 0)</f>
        <v>غم</v>
      </c>
      <c r="J51" s="90">
        <f t="shared" si="6"/>
        <v>10.263427984946972</v>
      </c>
      <c r="K51" s="91">
        <f>VLOOKUP(F51, 'RM &amp; SF'!B:H, 7, 0)</f>
        <v>1.7066666666666665E-4</v>
      </c>
      <c r="L51" s="92">
        <f t="shared" si="1"/>
        <v>1.7516250427642831E-3</v>
      </c>
      <c r="M51" s="30" t="s">
        <v>810</v>
      </c>
    </row>
    <row r="52" spans="1:13" ht="14">
      <c r="A52" s="88" t="s">
        <v>2336</v>
      </c>
      <c r="B52" s="219" t="s">
        <v>496</v>
      </c>
      <c r="C52" s="30"/>
      <c r="D52" s="30" t="str">
        <f>VLOOKUP(B52, 'RM &amp; SF'!B:C, 2, 0)</f>
        <v>لحمة عرايس</v>
      </c>
      <c r="E52" s="30" t="s">
        <v>2208</v>
      </c>
      <c r="F52" s="110">
        <v>4211</v>
      </c>
      <c r="G52" s="30" t="str">
        <f>VLOOKUP(F52, 'RM &amp; SF'!B:C, 2, 0)</f>
        <v>كزبرة ناعمة*****</v>
      </c>
      <c r="H52" s="89">
        <v>10</v>
      </c>
      <c r="I52" s="30" t="str">
        <f>VLOOKUP(F52, 'RM &amp; SF'!B:H, 4, 0)</f>
        <v>غم</v>
      </c>
      <c r="J52" s="90">
        <f t="shared" si="6"/>
        <v>3.4211426616489908</v>
      </c>
      <c r="K52" s="91">
        <f>VLOOKUP(F52, 'RM &amp; SF'!B:H, 7, 0)</f>
        <v>1.5089999999999999E-3</v>
      </c>
      <c r="L52" s="92">
        <f t="shared" si="1"/>
        <v>5.1625042764283273E-3</v>
      </c>
      <c r="M52" s="30" t="s">
        <v>810</v>
      </c>
    </row>
    <row r="53" spans="1:13" ht="14">
      <c r="A53" s="88" t="s">
        <v>2404</v>
      </c>
      <c r="B53" s="219" t="s">
        <v>488</v>
      </c>
      <c r="C53" s="30"/>
      <c r="D53" s="30" t="str">
        <f>VLOOKUP(B53, 'RM &amp; SF'!B:C, 2, 0)</f>
        <v>حمص</v>
      </c>
      <c r="E53" s="30" t="s">
        <v>3058</v>
      </c>
      <c r="F53" s="110">
        <v>4143</v>
      </c>
      <c r="G53" s="30" t="str">
        <f>VLOOKUP(F53, 'RM &amp; SF'!B:C, 2, 0)</f>
        <v>حمص حب نمرة 12*****</v>
      </c>
      <c r="H53" s="89">
        <v>9000</v>
      </c>
      <c r="I53" s="30" t="str">
        <f>VLOOKUP(F53, 'RM &amp; SF'!B:H, 4, 0)</f>
        <v>غم</v>
      </c>
      <c r="J53" s="90">
        <f>H53/9.3</f>
        <v>967.74193548387086</v>
      </c>
      <c r="K53" s="91">
        <f>VLOOKUP(F53, 'RM &amp; SF'!B:H, 7, 0)</f>
        <v>1.24E-3</v>
      </c>
      <c r="L53" s="92">
        <f t="shared" si="1"/>
        <v>1.2</v>
      </c>
      <c r="M53" s="30" t="s">
        <v>810</v>
      </c>
    </row>
    <row r="54" spans="1:13" ht="14">
      <c r="A54" s="88" t="s">
        <v>2404</v>
      </c>
      <c r="B54" s="219" t="s">
        <v>488</v>
      </c>
      <c r="C54" s="30"/>
      <c r="D54" s="30" t="str">
        <f>VLOOKUP(B54, 'RM &amp; SF'!B:C, 2, 0)</f>
        <v>حمص</v>
      </c>
      <c r="E54" s="30" t="s">
        <v>2260</v>
      </c>
      <c r="F54" s="110">
        <v>4160</v>
      </c>
      <c r="G54" s="30" t="str">
        <f>VLOOKUP(F54, 'RM &amp; SF'!B:C, 2, 0)</f>
        <v>زيت صويا 18 لتر*****</v>
      </c>
      <c r="H54" s="89">
        <v>700</v>
      </c>
      <c r="I54" s="30" t="str">
        <f>VLOOKUP(F54, 'RM &amp; SF'!B:H, 4, 0)</f>
        <v>مل</v>
      </c>
      <c r="J54" s="90">
        <f>H54/9.3</f>
        <v>75.268817204301072</v>
      </c>
      <c r="K54" s="91">
        <f>VLOOKUP(F54, 'RM &amp; SF'!B:H, 7, 0)</f>
        <v>1.335E-3</v>
      </c>
      <c r="L54" s="92">
        <f t="shared" si="1"/>
        <v>0.10048387096774193</v>
      </c>
      <c r="M54" s="30" t="s">
        <v>810</v>
      </c>
    </row>
    <row r="55" spans="1:13" ht="14">
      <c r="A55" s="88" t="s">
        <v>2404</v>
      </c>
      <c r="B55" s="219" t="s">
        <v>488</v>
      </c>
      <c r="C55" s="30"/>
      <c r="D55" s="30" t="str">
        <f>VLOOKUP(B55, 'RM &amp; SF'!B:C, 2, 0)</f>
        <v>حمص</v>
      </c>
      <c r="E55" s="30" t="s">
        <v>2216</v>
      </c>
      <c r="F55" s="110">
        <v>4230</v>
      </c>
      <c r="G55" s="30" t="str">
        <f>VLOOKUP(F55, 'RM &amp; SF'!B:C, 2, 0)</f>
        <v>ملح ليمون*****</v>
      </c>
      <c r="H55" s="89">
        <v>113</v>
      </c>
      <c r="I55" s="30" t="str">
        <f>VLOOKUP(F55, 'RM &amp; SF'!B:H, 4, 0)</f>
        <v>غم</v>
      </c>
      <c r="J55" s="90">
        <f>H55/9.3</f>
        <v>12.150537634408602</v>
      </c>
      <c r="K55" s="91">
        <f>VLOOKUP(F55, 'RM &amp; SF'!B:H, 7, 0)</f>
        <v>1.078E-3</v>
      </c>
      <c r="L55" s="92">
        <f t="shared" si="1"/>
        <v>1.3098279569892473E-2</v>
      </c>
      <c r="M55" s="30" t="s">
        <v>810</v>
      </c>
    </row>
    <row r="56" spans="1:13" ht="14">
      <c r="A56" s="88" t="s">
        <v>2404</v>
      </c>
      <c r="B56" s="219" t="s">
        <v>488</v>
      </c>
      <c r="C56" s="30"/>
      <c r="D56" s="30" t="str">
        <f>VLOOKUP(B56, 'RM &amp; SF'!B:C, 2, 0)</f>
        <v>حمص</v>
      </c>
      <c r="E56" s="30" t="s">
        <v>2203</v>
      </c>
      <c r="F56" s="110">
        <v>4152</v>
      </c>
      <c r="G56" s="30" t="str">
        <f>VLOOKUP(F56, 'RM &amp; SF'!B:C, 2, 0)</f>
        <v>ملح طعام 750غم*****</v>
      </c>
      <c r="H56" s="89">
        <v>150</v>
      </c>
      <c r="I56" s="30" t="str">
        <f>VLOOKUP(F56, 'RM &amp; SF'!B:H, 4, 0)</f>
        <v>غم</v>
      </c>
      <c r="J56" s="90">
        <f>H56/9.3</f>
        <v>16.129032258064516</v>
      </c>
      <c r="K56" s="91">
        <f>VLOOKUP(F56, 'RM &amp; SF'!B:H, 7, 0)</f>
        <v>1.7066666666666665E-4</v>
      </c>
      <c r="L56" s="92">
        <f t="shared" si="1"/>
        <v>2.7526881720430106E-3</v>
      </c>
      <c r="M56" s="30" t="s">
        <v>810</v>
      </c>
    </row>
    <row r="57" spans="1:13" ht="14">
      <c r="A57" s="88" t="s">
        <v>2404</v>
      </c>
      <c r="B57" s="219" t="s">
        <v>488</v>
      </c>
      <c r="C57" s="30"/>
      <c r="D57" s="30" t="str">
        <f>VLOOKUP(B57, 'RM &amp; SF'!B:C, 2, 0)</f>
        <v>حمص</v>
      </c>
      <c r="E57" s="30" t="s">
        <v>3058</v>
      </c>
      <c r="F57" s="110">
        <v>4207</v>
      </c>
      <c r="G57" s="30" t="str">
        <f>VLOOKUP(F57, 'RM &amp; SF'!B:C, 2, 0)</f>
        <v>كربونة*****</v>
      </c>
      <c r="H57" s="89">
        <v>100</v>
      </c>
      <c r="I57" s="30" t="str">
        <f>VLOOKUP(F57, 'RM &amp; SF'!B:H, 4, 0)</f>
        <v>غم</v>
      </c>
      <c r="J57" s="90">
        <f>H57/9.3</f>
        <v>10.75268817204301</v>
      </c>
      <c r="K57" s="91">
        <f>VLOOKUP(F57, 'RM &amp; SF'!B:H, 7, 0)</f>
        <v>6.4700000000000001E-4</v>
      </c>
      <c r="L57" s="92">
        <f t="shared" si="1"/>
        <v>6.9569892473118275E-3</v>
      </c>
      <c r="M57" s="30" t="s">
        <v>810</v>
      </c>
    </row>
    <row r="58" spans="1:13" ht="14">
      <c r="A58" s="88" t="s">
        <v>2449</v>
      </c>
      <c r="B58" s="219" t="s">
        <v>514</v>
      </c>
      <c r="C58" s="30"/>
      <c r="D58" s="30" t="str">
        <f>VLOOKUP(B58, 'RM &amp; SF'!B:C, 2, 0)</f>
        <v>متبل</v>
      </c>
      <c r="E58" s="30" t="s">
        <v>2229</v>
      </c>
      <c r="F58" s="110">
        <v>4494</v>
      </c>
      <c r="G58" s="30" t="str">
        <f>VLOOKUP(F58, 'RM &amp; SF'!B:C, 2, 0)</f>
        <v>باذنجان (اسود) كلاسك*****</v>
      </c>
      <c r="H58" s="89">
        <v>7800</v>
      </c>
      <c r="I58" s="30" t="str">
        <f>VLOOKUP(F58, 'RM &amp; SF'!B:H, 4, 0)</f>
        <v>غم</v>
      </c>
      <c r="J58" s="90">
        <f>H58/13.9</f>
        <v>561.15107913669067</v>
      </c>
      <c r="K58" s="91">
        <f>VLOOKUP(F58, 'RM &amp; SF'!B:H, 7, 0)</f>
        <v>4.4999999999999999E-4</v>
      </c>
      <c r="L58" s="92">
        <f t="shared" si="1"/>
        <v>0.25251798561151079</v>
      </c>
      <c r="M58" s="30" t="s">
        <v>810</v>
      </c>
    </row>
    <row r="59" spans="1:13" ht="14">
      <c r="A59" s="88" t="s">
        <v>2449</v>
      </c>
      <c r="B59" s="219" t="s">
        <v>514</v>
      </c>
      <c r="C59" s="30"/>
      <c r="D59" s="30" t="str">
        <f>VLOOKUP(B59, 'RM &amp; SF'!B:C, 2, 0)</f>
        <v>متبل</v>
      </c>
      <c r="E59" s="30" t="s">
        <v>3058</v>
      </c>
      <c r="F59" s="110">
        <v>4166</v>
      </c>
      <c r="G59" s="30" t="str">
        <f>VLOOKUP(F59, 'RM &amp; SF'!B:C, 2, 0)</f>
        <v>طحينية 18 كغ*****</v>
      </c>
      <c r="H59" s="89">
        <v>3000</v>
      </c>
      <c r="I59" s="30" t="str">
        <f>VLOOKUP(F59, 'RM &amp; SF'!B:H, 4, 0)</f>
        <v>غم</v>
      </c>
      <c r="J59" s="90">
        <f>H59/13.9</f>
        <v>215.82733812949641</v>
      </c>
      <c r="K59" s="91">
        <f>VLOOKUP(F59, 'RM &amp; SF'!B:H, 7, 0)</f>
        <v>2.0105820105820104E-3</v>
      </c>
      <c r="L59" s="92">
        <f t="shared" si="1"/>
        <v>0.43393856343496628</v>
      </c>
      <c r="M59" s="30" t="s">
        <v>810</v>
      </c>
    </row>
    <row r="60" spans="1:13" ht="14">
      <c r="A60" s="88" t="s">
        <v>2449</v>
      </c>
      <c r="B60" s="219" t="s">
        <v>514</v>
      </c>
      <c r="C60" s="30"/>
      <c r="D60" s="30" t="str">
        <f>VLOOKUP(B60, 'RM &amp; SF'!B:C, 2, 0)</f>
        <v>متبل</v>
      </c>
      <c r="E60" s="30" t="s">
        <v>2170</v>
      </c>
      <c r="F60" s="110">
        <v>4552</v>
      </c>
      <c r="G60" s="30" t="str">
        <f>VLOOKUP(F60, 'RM &amp; SF'!B:C, 2, 0)</f>
        <v>لبن رايب 5 كغ*****</v>
      </c>
      <c r="H60" s="89">
        <v>3000</v>
      </c>
      <c r="I60" s="30" t="str">
        <f>VLOOKUP(F60, 'RM &amp; SF'!B:H, 4, 0)</f>
        <v>غم</v>
      </c>
      <c r="J60" s="90">
        <f>H60/13.9</f>
        <v>215.82733812949641</v>
      </c>
      <c r="K60" s="91">
        <f>VLOOKUP(F60, 'RM &amp; SF'!B:H, 7, 0)</f>
        <v>8.0000000000000004E-4</v>
      </c>
      <c r="L60" s="92">
        <f t="shared" si="1"/>
        <v>0.17266187050359713</v>
      </c>
      <c r="M60" s="30" t="s">
        <v>810</v>
      </c>
    </row>
    <row r="61" spans="1:13" ht="14">
      <c r="A61" s="88" t="s">
        <v>2449</v>
      </c>
      <c r="B61" s="219" t="s">
        <v>514</v>
      </c>
      <c r="C61" s="30"/>
      <c r="D61" s="30" t="str">
        <f>VLOOKUP(B61, 'RM &amp; SF'!B:C, 2, 0)</f>
        <v>متبل</v>
      </c>
      <c r="E61" s="30" t="s">
        <v>2216</v>
      </c>
      <c r="F61" s="110">
        <v>4230</v>
      </c>
      <c r="G61" s="30" t="str">
        <f>VLOOKUP(F61, 'RM &amp; SF'!B:C, 2, 0)</f>
        <v>ملح ليمون*****</v>
      </c>
      <c r="H61" s="89">
        <v>115</v>
      </c>
      <c r="I61" s="30" t="str">
        <f>VLOOKUP(F61, 'RM &amp; SF'!B:H, 4, 0)</f>
        <v>غم</v>
      </c>
      <c r="J61" s="90">
        <f>H61/13.9</f>
        <v>8.2733812949640289</v>
      </c>
      <c r="K61" s="91">
        <f>VLOOKUP(F61, 'RM &amp; SF'!B:H, 7, 0)</f>
        <v>1.078E-3</v>
      </c>
      <c r="L61" s="92">
        <f t="shared" si="1"/>
        <v>8.9187050359712233E-3</v>
      </c>
      <c r="M61" s="30" t="s">
        <v>810</v>
      </c>
    </row>
    <row r="62" spans="1:13" ht="14">
      <c r="A62" s="88" t="s">
        <v>2449</v>
      </c>
      <c r="B62" s="219" t="s">
        <v>514</v>
      </c>
      <c r="C62" s="30"/>
      <c r="D62" s="30" t="str">
        <f>VLOOKUP(B62, 'RM &amp; SF'!B:C, 2, 0)</f>
        <v>متبل</v>
      </c>
      <c r="E62" s="30" t="s">
        <v>2203</v>
      </c>
      <c r="F62" s="110">
        <v>4152</v>
      </c>
      <c r="G62" s="30" t="str">
        <f>VLOOKUP(F62, 'RM &amp; SF'!B:C, 2, 0)</f>
        <v>ملح طعام 750غم*****</v>
      </c>
      <c r="H62" s="89">
        <v>250</v>
      </c>
      <c r="I62" s="30" t="str">
        <f>VLOOKUP(F62, 'RM &amp; SF'!B:H, 4, 0)</f>
        <v>غم</v>
      </c>
      <c r="J62" s="90">
        <f>H62/13.9</f>
        <v>17.985611510791365</v>
      </c>
      <c r="K62" s="91">
        <f>VLOOKUP(F62, 'RM &amp; SF'!B:H, 7, 0)</f>
        <v>1.7066666666666665E-4</v>
      </c>
      <c r="L62" s="92">
        <f t="shared" si="1"/>
        <v>3.0695443645083927E-3</v>
      </c>
      <c r="M62" s="30" t="s">
        <v>810</v>
      </c>
    </row>
    <row r="63" spans="1:13" ht="14">
      <c r="A63" s="88" t="s">
        <v>3213</v>
      </c>
      <c r="B63" s="219" t="s">
        <v>516</v>
      </c>
      <c r="C63" s="30"/>
      <c r="D63" s="30" t="str">
        <f>VLOOKUP(B63, 'RM &amp; SF'!B:C, 2, 0)</f>
        <v>بابا غنوج</v>
      </c>
      <c r="E63" s="30" t="s">
        <v>2229</v>
      </c>
      <c r="F63" s="110">
        <v>4494</v>
      </c>
      <c r="G63" s="30" t="str">
        <f>VLOOKUP(F63, 'RM &amp; SF'!B:C, 2, 0)</f>
        <v>باذنجان (اسود) كلاسك*****</v>
      </c>
      <c r="H63" s="89">
        <v>3900</v>
      </c>
      <c r="I63" s="30" t="str">
        <f>VLOOKUP(F63, 'RM &amp; SF'!B:H, 4, 0)</f>
        <v>غم</v>
      </c>
      <c r="J63" s="90">
        <f t="shared" ref="J63:J68" si="7">H63/5.77</f>
        <v>675.9098786828423</v>
      </c>
      <c r="K63" s="91">
        <f>VLOOKUP(F63, 'RM &amp; SF'!B:H, 7, 0)</f>
        <v>4.4999999999999999E-4</v>
      </c>
      <c r="L63" s="92">
        <f t="shared" si="1"/>
        <v>0.30415944540727902</v>
      </c>
      <c r="M63" s="30" t="s">
        <v>810</v>
      </c>
    </row>
    <row r="64" spans="1:13" ht="14">
      <c r="A64" s="88" t="s">
        <v>3213</v>
      </c>
      <c r="B64" s="219" t="s">
        <v>516</v>
      </c>
      <c r="C64" s="30"/>
      <c r="D64" s="30" t="str">
        <f>VLOOKUP(B64, 'RM &amp; SF'!B:C, 2, 0)</f>
        <v>بابا غنوج</v>
      </c>
      <c r="E64" s="30" t="s">
        <v>2233</v>
      </c>
      <c r="F64" s="110">
        <v>4501</v>
      </c>
      <c r="G64" s="30" t="str">
        <f>VLOOKUP(F64, 'RM &amp; SF'!B:C, 2, 0)</f>
        <v>فلفل حلو احمر*****</v>
      </c>
      <c r="H64" s="89">
        <v>935</v>
      </c>
      <c r="I64" s="30" t="str">
        <f>VLOOKUP(F64, 'RM &amp; SF'!B:H, 4, 0)</f>
        <v>غم</v>
      </c>
      <c r="J64" s="90">
        <f t="shared" si="7"/>
        <v>162.04506065857888</v>
      </c>
      <c r="K64" s="91">
        <f>VLOOKUP(F64, 'RM &amp; SF'!B:H, 7, 0)</f>
        <v>7.5000000000000002E-4</v>
      </c>
      <c r="L64" s="92">
        <f t="shared" si="1"/>
        <v>0.12153379549393416</v>
      </c>
      <c r="M64" s="30" t="s">
        <v>810</v>
      </c>
    </row>
    <row r="65" spans="1:13" ht="14">
      <c r="A65" s="88" t="s">
        <v>3213</v>
      </c>
      <c r="B65" s="219" t="s">
        <v>516</v>
      </c>
      <c r="C65" s="30"/>
      <c r="D65" s="30" t="str">
        <f>VLOOKUP(B65, 'RM &amp; SF'!B:C, 2, 0)</f>
        <v>بابا غنوج</v>
      </c>
      <c r="E65" s="30" t="s">
        <v>2309</v>
      </c>
      <c r="F65" s="110">
        <v>4491</v>
      </c>
      <c r="G65" s="30" t="str">
        <f>VLOOKUP(F65, 'RM &amp; SF'!B:C, 2, 0)</f>
        <v>بندورة جامدة*****</v>
      </c>
      <c r="H65" s="30"/>
      <c r="I65" s="30" t="str">
        <f>VLOOKUP(F65, 'RM &amp; SF'!B:H, 4, 0)</f>
        <v>غم</v>
      </c>
      <c r="J65" s="90">
        <f t="shared" si="7"/>
        <v>0</v>
      </c>
      <c r="K65" s="91">
        <f>VLOOKUP(F65, 'RM &amp; SF'!B:H, 7, 0)</f>
        <v>5.0000000000000001E-4</v>
      </c>
      <c r="L65" s="92">
        <f t="shared" si="1"/>
        <v>0</v>
      </c>
      <c r="M65" s="30" t="s">
        <v>810</v>
      </c>
    </row>
    <row r="66" spans="1:13" ht="14">
      <c r="A66" s="88" t="s">
        <v>3213</v>
      </c>
      <c r="B66" s="219" t="s">
        <v>516</v>
      </c>
      <c r="C66" s="30"/>
      <c r="D66" s="30" t="str">
        <f>VLOOKUP(B66, 'RM &amp; SF'!B:C, 2, 0)</f>
        <v>بابا غنوج</v>
      </c>
      <c r="E66" s="30" t="s">
        <v>2265</v>
      </c>
      <c r="F66" s="110">
        <v>4006</v>
      </c>
      <c r="G66" s="30" t="str">
        <f>VLOOKUP(F66, 'RM &amp; SF'!B:C, 2, 0)</f>
        <v>دبس رمان 5 كغ (مادة أولية)*****</v>
      </c>
      <c r="H66" s="89">
        <v>600</v>
      </c>
      <c r="I66" s="30" t="str">
        <f>VLOOKUP(F66, 'RM &amp; SF'!B:H, 4, 0)</f>
        <v>غم</v>
      </c>
      <c r="J66" s="90">
        <f t="shared" si="7"/>
        <v>103.98613518197574</v>
      </c>
      <c r="K66" s="91">
        <f>VLOOKUP(F66, 'RM &amp; SF'!B:H, 7, 0)</f>
        <v>1.508E-3</v>
      </c>
      <c r="L66" s="92">
        <f t="shared" ref="L66:L116" si="8">K66*J66</f>
        <v>0.15681109185441941</v>
      </c>
      <c r="M66" s="30" t="s">
        <v>810</v>
      </c>
    </row>
    <row r="67" spans="1:13" ht="14">
      <c r="A67" s="88" t="s">
        <v>3213</v>
      </c>
      <c r="B67" s="219" t="s">
        <v>516</v>
      </c>
      <c r="C67" s="30"/>
      <c r="D67" s="30" t="str">
        <f>VLOOKUP(B67, 'RM &amp; SF'!B:C, 2, 0)</f>
        <v>بابا غنوج</v>
      </c>
      <c r="E67" s="30" t="s">
        <v>2203</v>
      </c>
      <c r="F67" s="110">
        <v>4152</v>
      </c>
      <c r="G67" s="30" t="str">
        <f>VLOOKUP(F67, 'RM &amp; SF'!B:C, 2, 0)</f>
        <v>ملح طعام 750غم*****</v>
      </c>
      <c r="H67" s="89">
        <v>75</v>
      </c>
      <c r="I67" s="30" t="str">
        <f>VLOOKUP(F67, 'RM &amp; SF'!B:H, 4, 0)</f>
        <v>غم</v>
      </c>
      <c r="J67" s="90">
        <f t="shared" si="7"/>
        <v>12.998266897746968</v>
      </c>
      <c r="K67" s="91">
        <f>VLOOKUP(F67, 'RM &amp; SF'!B:H, 7, 0)</f>
        <v>1.7066666666666665E-4</v>
      </c>
      <c r="L67" s="92">
        <f t="shared" si="8"/>
        <v>2.2183708838821488E-3</v>
      </c>
      <c r="M67" s="30" t="s">
        <v>810</v>
      </c>
    </row>
    <row r="68" spans="1:13" ht="14">
      <c r="A68" s="88" t="s">
        <v>3213</v>
      </c>
      <c r="B68" s="219" t="s">
        <v>516</v>
      </c>
      <c r="C68" s="30"/>
      <c r="D68" s="30" t="str">
        <f>VLOOKUP(B68, 'RM &amp; SF'!B:C, 2, 0)</f>
        <v>بابا غنوج</v>
      </c>
      <c r="E68" s="30" t="s">
        <v>2216</v>
      </c>
      <c r="F68" s="110">
        <v>4230</v>
      </c>
      <c r="G68" s="30" t="str">
        <f>VLOOKUP(F68, 'RM &amp; SF'!B:C, 2, 0)</f>
        <v>ملح ليمون*****</v>
      </c>
      <c r="H68" s="89">
        <v>35</v>
      </c>
      <c r="I68" s="30" t="str">
        <f>VLOOKUP(F68, 'RM &amp; SF'!B:H, 4, 0)</f>
        <v>غم</v>
      </c>
      <c r="J68" s="90">
        <f t="shared" si="7"/>
        <v>6.0658578856152516</v>
      </c>
      <c r="K68" s="91">
        <f>VLOOKUP(F68, 'RM &amp; SF'!B:H, 7, 0)</f>
        <v>1.078E-3</v>
      </c>
      <c r="L68" s="92">
        <f t="shared" si="8"/>
        <v>6.5389948006932411E-3</v>
      </c>
      <c r="M68" s="30" t="s">
        <v>810</v>
      </c>
    </row>
    <row r="69" spans="1:13" ht="14">
      <c r="A69" s="88" t="s">
        <v>2251</v>
      </c>
      <c r="B69" s="219" t="s">
        <v>510</v>
      </c>
      <c r="C69" s="30"/>
      <c r="D69" s="30" t="str">
        <f>VLOOKUP(B69, 'RM &amp; SF'!B:C, 2, 0)</f>
        <v xml:space="preserve">بقدونسية </v>
      </c>
      <c r="E69" s="30" t="s">
        <v>3058</v>
      </c>
      <c r="F69" s="110">
        <v>3</v>
      </c>
      <c r="G69" s="30" t="str">
        <f>VLOOKUP(F69, 'RM &amp; SF'!B:C, 2, 0)</f>
        <v>مياه حنفية</v>
      </c>
      <c r="H69" s="89">
        <v>1000</v>
      </c>
      <c r="I69" s="30" t="str">
        <f>VLOOKUP(F69, 'RM &amp; SF'!B:H, 4, 0)</f>
        <v>مل</v>
      </c>
      <c r="J69" s="90">
        <f t="shared" ref="J69:J74" si="9">H69/4</f>
        <v>250</v>
      </c>
      <c r="K69" s="91">
        <f>VLOOKUP(F69, 'RM &amp; SF'!B:H, 7, 0)</f>
        <v>0</v>
      </c>
      <c r="L69" s="92">
        <f t="shared" si="8"/>
        <v>0</v>
      </c>
      <c r="M69" s="30" t="s">
        <v>810</v>
      </c>
    </row>
    <row r="70" spans="1:13" ht="14">
      <c r="A70" s="88" t="s">
        <v>2251</v>
      </c>
      <c r="B70" s="219" t="s">
        <v>510</v>
      </c>
      <c r="C70" s="30"/>
      <c r="D70" s="30" t="str">
        <f>VLOOKUP(B70, 'RM &amp; SF'!B:C, 2, 0)</f>
        <v xml:space="preserve">بقدونسية </v>
      </c>
      <c r="E70" s="30" t="s">
        <v>2170</v>
      </c>
      <c r="F70" s="110">
        <v>4552</v>
      </c>
      <c r="G70" s="30" t="str">
        <f>VLOOKUP(F70, 'RM &amp; SF'!B:C, 2, 0)</f>
        <v>لبن رايب 5 كغ*****</v>
      </c>
      <c r="H70" s="89">
        <v>2000</v>
      </c>
      <c r="I70" s="30" t="str">
        <f>VLOOKUP(F70, 'RM &amp; SF'!B:H, 4, 0)</f>
        <v>غم</v>
      </c>
      <c r="J70" s="90">
        <f t="shared" si="9"/>
        <v>500</v>
      </c>
      <c r="K70" s="91">
        <f>VLOOKUP(F70, 'RM &amp; SF'!B:H, 7, 0)</f>
        <v>8.0000000000000004E-4</v>
      </c>
      <c r="L70" s="92">
        <f t="shared" si="8"/>
        <v>0.4</v>
      </c>
      <c r="M70" s="30" t="s">
        <v>810</v>
      </c>
    </row>
    <row r="71" spans="1:13" ht="14">
      <c r="A71" s="88" t="s">
        <v>2251</v>
      </c>
      <c r="B71" s="219" t="s">
        <v>510</v>
      </c>
      <c r="C71" s="30"/>
      <c r="D71" s="30" t="str">
        <f>VLOOKUP(B71, 'RM &amp; SF'!B:C, 2, 0)</f>
        <v xml:space="preserve">بقدونسية </v>
      </c>
      <c r="E71" s="30" t="s">
        <v>3058</v>
      </c>
      <c r="F71" s="110">
        <v>4166</v>
      </c>
      <c r="G71" s="30" t="str">
        <f>VLOOKUP(F71, 'RM &amp; SF'!B:C, 2, 0)</f>
        <v>طحينية 18 كغ*****</v>
      </c>
      <c r="H71" s="89">
        <v>1000</v>
      </c>
      <c r="I71" s="30" t="str">
        <f>VLOOKUP(F71, 'RM &amp; SF'!B:H, 4, 0)</f>
        <v>غم</v>
      </c>
      <c r="J71" s="90">
        <f t="shared" si="9"/>
        <v>250</v>
      </c>
      <c r="K71" s="91">
        <f>VLOOKUP(F71, 'RM &amp; SF'!B:H, 7, 0)</f>
        <v>2.0105820105820104E-3</v>
      </c>
      <c r="L71" s="92">
        <f t="shared" si="8"/>
        <v>0.50264550264550256</v>
      </c>
      <c r="M71" s="30" t="s">
        <v>810</v>
      </c>
    </row>
    <row r="72" spans="1:13" ht="14">
      <c r="A72" s="88" t="s">
        <v>2251</v>
      </c>
      <c r="B72" s="219" t="s">
        <v>510</v>
      </c>
      <c r="C72" s="30"/>
      <c r="D72" s="30" t="str">
        <f>VLOOKUP(B72, 'RM &amp; SF'!B:C, 2, 0)</f>
        <v xml:space="preserve">بقدونسية </v>
      </c>
      <c r="E72" s="30" t="s">
        <v>2216</v>
      </c>
      <c r="F72" s="110">
        <v>4230</v>
      </c>
      <c r="G72" s="30" t="str">
        <f>VLOOKUP(F72, 'RM &amp; SF'!B:C, 2, 0)</f>
        <v>ملح ليمون*****</v>
      </c>
      <c r="H72" s="89">
        <v>50</v>
      </c>
      <c r="I72" s="30" t="str">
        <f>VLOOKUP(F72, 'RM &amp; SF'!B:H, 4, 0)</f>
        <v>غم</v>
      </c>
      <c r="J72" s="90">
        <f t="shared" si="9"/>
        <v>12.5</v>
      </c>
      <c r="K72" s="91">
        <f>VLOOKUP(F72, 'RM &amp; SF'!B:H, 7, 0)</f>
        <v>1.078E-3</v>
      </c>
      <c r="L72" s="92">
        <f t="shared" si="8"/>
        <v>1.3474999999999999E-2</v>
      </c>
      <c r="M72" s="30" t="s">
        <v>810</v>
      </c>
    </row>
    <row r="73" spans="1:13" ht="14">
      <c r="A73" s="88" t="s">
        <v>2251</v>
      </c>
      <c r="B73" s="219" t="s">
        <v>510</v>
      </c>
      <c r="C73" s="30"/>
      <c r="D73" s="30" t="str">
        <f>VLOOKUP(B73, 'RM &amp; SF'!B:C, 2, 0)</f>
        <v xml:space="preserve">بقدونسية </v>
      </c>
      <c r="E73" s="30" t="s">
        <v>2203</v>
      </c>
      <c r="F73" s="110">
        <v>4152</v>
      </c>
      <c r="G73" s="30" t="str">
        <f>VLOOKUP(F73, 'RM &amp; SF'!B:C, 2, 0)</f>
        <v>ملح طعام 750غم*****</v>
      </c>
      <c r="H73" s="89">
        <v>60</v>
      </c>
      <c r="I73" s="30" t="str">
        <f>VLOOKUP(F73, 'RM &amp; SF'!B:H, 4, 0)</f>
        <v>غم</v>
      </c>
      <c r="J73" s="90">
        <f t="shared" si="9"/>
        <v>15</v>
      </c>
      <c r="K73" s="91">
        <f>VLOOKUP(F73, 'RM &amp; SF'!B:H, 7, 0)</f>
        <v>1.7066666666666665E-4</v>
      </c>
      <c r="L73" s="92">
        <f t="shared" si="8"/>
        <v>2.5599999999999998E-3</v>
      </c>
      <c r="M73" s="30" t="s">
        <v>810</v>
      </c>
    </row>
    <row r="74" spans="1:13" ht="14">
      <c r="A74" s="88" t="s">
        <v>2251</v>
      </c>
      <c r="B74" s="219" t="s">
        <v>510</v>
      </c>
      <c r="C74" s="30"/>
      <c r="D74" s="30" t="str">
        <f>VLOOKUP(B74, 'RM &amp; SF'!B:C, 2, 0)</f>
        <v xml:space="preserve">بقدونسية </v>
      </c>
      <c r="E74" s="30" t="s">
        <v>2251</v>
      </c>
      <c r="F74" s="110">
        <v>4544</v>
      </c>
      <c r="G74" s="30" t="str">
        <f>VLOOKUP(F74, 'RM &amp; SF'!B:C, 2, 0)</f>
        <v>بقدونس*****</v>
      </c>
      <c r="H74" s="89">
        <v>10</v>
      </c>
      <c r="I74" s="30" t="str">
        <f>VLOOKUP(F74, 'RM &amp; SF'!B:H, 4, 0)</f>
        <v>غم</v>
      </c>
      <c r="J74" s="90">
        <f t="shared" si="9"/>
        <v>2.5</v>
      </c>
      <c r="K74" s="91">
        <f>VLOOKUP(F74, 'RM &amp; SF'!B:H, 7, 0)</f>
        <v>7.5000000000000002E-4</v>
      </c>
      <c r="L74" s="92">
        <f t="shared" si="8"/>
        <v>1.8749999999999999E-3</v>
      </c>
      <c r="M74" s="30" t="s">
        <v>810</v>
      </c>
    </row>
    <row r="75" spans="1:13" ht="14">
      <c r="A75" s="88" t="s">
        <v>2383</v>
      </c>
      <c r="B75" s="219" t="s">
        <v>508</v>
      </c>
      <c r="C75" s="30"/>
      <c r="D75" s="30" t="str">
        <f>VLOOKUP(B75, 'RM &amp; SF'!B:C, 2, 0)</f>
        <v>محمرة</v>
      </c>
      <c r="E75" s="30" t="s">
        <v>3058</v>
      </c>
      <c r="F75" s="110">
        <v>4110</v>
      </c>
      <c r="G75" s="30" t="str">
        <f>VLOOKUP(F75, 'RM &amp; SF'!B:C, 2, 0)</f>
        <v>قرشلة (فتات الخبز) خشنة 1 كغ*****</v>
      </c>
      <c r="H75" s="89">
        <v>3000</v>
      </c>
      <c r="I75" s="30" t="str">
        <f>VLOOKUP(F75, 'RM &amp; SF'!B:H, 4, 0)</f>
        <v>غم</v>
      </c>
      <c r="J75" s="90">
        <f t="shared" ref="J75:J82" si="10">H75/8.4</f>
        <v>357.14285714285711</v>
      </c>
      <c r="K75" s="91">
        <f>VLOOKUP(F75, 'RM &amp; SF'!B:H, 7, 0)</f>
        <v>6.2500000000000003E-3</v>
      </c>
      <c r="L75" s="92">
        <f t="shared" si="8"/>
        <v>2.2321428571428572</v>
      </c>
      <c r="M75" s="30" t="s">
        <v>810</v>
      </c>
    </row>
    <row r="76" spans="1:13" ht="14">
      <c r="A76" s="88" t="s">
        <v>2383</v>
      </c>
      <c r="B76" s="219" t="s">
        <v>508</v>
      </c>
      <c r="C76" s="30"/>
      <c r="D76" s="30" t="str">
        <f>VLOOKUP(B76, 'RM &amp; SF'!B:C, 2, 0)</f>
        <v>محمرة</v>
      </c>
      <c r="E76" s="30" t="s">
        <v>2233</v>
      </c>
      <c r="F76" s="110">
        <v>4501</v>
      </c>
      <c r="G76" s="30" t="str">
        <f>VLOOKUP(F76, 'RM &amp; SF'!B:C, 2, 0)</f>
        <v>فلفل حلو احمر*****</v>
      </c>
      <c r="H76" s="89">
        <v>1000</v>
      </c>
      <c r="I76" s="30" t="str">
        <f>VLOOKUP(F76, 'RM &amp; SF'!B:H, 4, 0)</f>
        <v>غم</v>
      </c>
      <c r="J76" s="90">
        <f t="shared" si="10"/>
        <v>119.04761904761904</v>
      </c>
      <c r="K76" s="91">
        <f>VLOOKUP(F76, 'RM &amp; SF'!B:H, 7, 0)</f>
        <v>7.5000000000000002E-4</v>
      </c>
      <c r="L76" s="92">
        <f t="shared" si="8"/>
        <v>8.9285714285714274E-2</v>
      </c>
      <c r="M76" s="30" t="s">
        <v>810</v>
      </c>
    </row>
    <row r="77" spans="1:13" ht="14">
      <c r="A77" s="88" t="s">
        <v>2383</v>
      </c>
      <c r="B77" s="219" t="s">
        <v>508</v>
      </c>
      <c r="C77" s="30"/>
      <c r="D77" s="30" t="str">
        <f>VLOOKUP(B77, 'RM &amp; SF'!B:C, 2, 0)</f>
        <v>محمرة</v>
      </c>
      <c r="E77" s="30" t="s">
        <v>3058</v>
      </c>
      <c r="F77" s="110">
        <v>4144</v>
      </c>
      <c r="G77" s="30" t="str">
        <f>VLOOKUP(F77, 'RM &amp; SF'!B:C, 2, 0)</f>
        <v>جوز عين الجمل*****</v>
      </c>
      <c r="H77" s="89">
        <v>500</v>
      </c>
      <c r="I77" s="30" t="str">
        <f>VLOOKUP(F77, 'RM &amp; SF'!B:H, 4, 0)</f>
        <v>غم</v>
      </c>
      <c r="J77" s="90">
        <f t="shared" si="10"/>
        <v>59.523809523809518</v>
      </c>
      <c r="K77" s="91">
        <f>VLOOKUP(F77, 'RM &amp; SF'!B:H, 7, 0)</f>
        <v>4.5259000000000002E-3</v>
      </c>
      <c r="L77" s="92">
        <f t="shared" si="8"/>
        <v>0.26939880952380951</v>
      </c>
      <c r="M77" s="30" t="s">
        <v>810</v>
      </c>
    </row>
    <row r="78" spans="1:13" ht="14">
      <c r="A78" s="88" t="s">
        <v>2383</v>
      </c>
      <c r="B78" s="219" t="s">
        <v>508</v>
      </c>
      <c r="C78" s="30"/>
      <c r="D78" s="30" t="str">
        <f>VLOOKUP(B78, 'RM &amp; SF'!B:C, 2, 0)</f>
        <v>محمرة</v>
      </c>
      <c r="E78" s="30" t="s">
        <v>2234</v>
      </c>
      <c r="F78" s="110">
        <v>4503</v>
      </c>
      <c r="G78" s="30" t="str">
        <f>VLOOKUP(F78, 'RM &amp; SF'!B:C, 2, 0)</f>
        <v>بصل ناشف دفش*****</v>
      </c>
      <c r="H78" s="89">
        <v>1000</v>
      </c>
      <c r="I78" s="30" t="str">
        <f>VLOOKUP(F78, 'RM &amp; SF'!B:H, 4, 0)</f>
        <v>غم</v>
      </c>
      <c r="J78" s="90">
        <f t="shared" si="10"/>
        <v>119.04761904761904</v>
      </c>
      <c r="K78" s="91">
        <f>VLOOKUP(F78, 'RM &amp; SF'!B:H, 7, 0)</f>
        <v>2.5000000000000001E-4</v>
      </c>
      <c r="L78" s="92">
        <f t="shared" si="8"/>
        <v>2.976190476190476E-2</v>
      </c>
      <c r="M78" s="30" t="s">
        <v>810</v>
      </c>
    </row>
    <row r="79" spans="1:13" ht="14">
      <c r="A79" s="88" t="s">
        <v>2383</v>
      </c>
      <c r="B79" s="219" t="s">
        <v>508</v>
      </c>
      <c r="C79" s="30"/>
      <c r="D79" s="30" t="str">
        <f>VLOOKUP(B79, 'RM &amp; SF'!B:C, 2, 0)</f>
        <v>محمرة</v>
      </c>
      <c r="E79" s="30" t="s">
        <v>3058</v>
      </c>
      <c r="F79" s="110">
        <v>4490</v>
      </c>
      <c r="G79" s="30" t="str">
        <f>VLOOKUP(F79, 'RM &amp; SF'!B:C, 2, 0)</f>
        <v>شطة جامدة 10 كغ*****</v>
      </c>
      <c r="H79" s="89">
        <v>650</v>
      </c>
      <c r="I79" s="30" t="str">
        <f>VLOOKUP(F79, 'RM &amp; SF'!B:H, 4, 0)</f>
        <v>غم</v>
      </c>
      <c r="J79" s="90">
        <f t="shared" si="10"/>
        <v>77.38095238095238</v>
      </c>
      <c r="K79" s="91">
        <f>VLOOKUP(F79, 'RM &amp; SF'!B:H, 7, 0)</f>
        <v>1E-3</v>
      </c>
      <c r="L79" s="92">
        <f t="shared" si="8"/>
        <v>7.7380952380952384E-2</v>
      </c>
      <c r="M79" s="30" t="s">
        <v>810</v>
      </c>
    </row>
    <row r="80" spans="1:13" ht="14">
      <c r="A80" s="88" t="s">
        <v>2383</v>
      </c>
      <c r="B80" s="219" t="s">
        <v>508</v>
      </c>
      <c r="C80" s="30"/>
      <c r="D80" s="30" t="str">
        <f>VLOOKUP(B80, 'RM &amp; SF'!B:C, 2, 0)</f>
        <v>محمرة</v>
      </c>
      <c r="E80" s="30" t="s">
        <v>2265</v>
      </c>
      <c r="F80" s="110">
        <v>4006</v>
      </c>
      <c r="G80" s="30" t="str">
        <f>VLOOKUP(F80, 'RM &amp; SF'!B:C, 2, 0)</f>
        <v>دبس رمان 5 كغ (مادة أولية)*****</v>
      </c>
      <c r="H80" s="89">
        <v>550</v>
      </c>
      <c r="I80" s="30" t="str">
        <f>VLOOKUP(F80, 'RM &amp; SF'!B:H, 4, 0)</f>
        <v>غم</v>
      </c>
      <c r="J80" s="90">
        <f t="shared" si="10"/>
        <v>65.476190476190467</v>
      </c>
      <c r="K80" s="91">
        <f>VLOOKUP(F80, 'RM &amp; SF'!B:H, 7, 0)</f>
        <v>1.508E-3</v>
      </c>
      <c r="L80" s="92">
        <f t="shared" si="8"/>
        <v>9.8738095238095222E-2</v>
      </c>
      <c r="M80" s="30" t="s">
        <v>810</v>
      </c>
    </row>
    <row r="81" spans="1:15" ht="14">
      <c r="A81" s="88" t="s">
        <v>2383</v>
      </c>
      <c r="B81" s="219" t="s">
        <v>508</v>
      </c>
      <c r="C81" s="30"/>
      <c r="D81" s="30" t="str">
        <f>VLOOKUP(B81, 'RM &amp; SF'!B:C, 2, 0)</f>
        <v>محمرة</v>
      </c>
      <c r="E81" s="30" t="s">
        <v>2259</v>
      </c>
      <c r="F81" s="110">
        <v>4159</v>
      </c>
      <c r="G81" s="30" t="str">
        <f>VLOOKUP(F81, 'RM &amp; SF'!B:C, 2, 0)</f>
        <v>زيت زيتون 16 كغ*****</v>
      </c>
      <c r="H81" s="89">
        <v>1000</v>
      </c>
      <c r="I81" s="30" t="str">
        <f>VLOOKUP(F81, 'RM &amp; SF'!B:H, 4, 0)</f>
        <v>غم</v>
      </c>
      <c r="J81" s="90">
        <f t="shared" si="10"/>
        <v>119.04761904761904</v>
      </c>
      <c r="K81" s="91">
        <f>VLOOKUP(F81, 'RM &amp; SF'!B:H, 7, 0)</f>
        <v>7.4999999999999997E-3</v>
      </c>
      <c r="L81" s="92">
        <f t="shared" si="8"/>
        <v>0.89285714285714279</v>
      </c>
      <c r="M81" s="30" t="s">
        <v>810</v>
      </c>
    </row>
    <row r="82" spans="1:15" ht="14">
      <c r="A82" s="88" t="s">
        <v>2383</v>
      </c>
      <c r="B82" s="219" t="s">
        <v>508</v>
      </c>
      <c r="C82" s="30"/>
      <c r="D82" s="30" t="str">
        <f>VLOOKUP(B82, 'RM &amp; SF'!B:C, 2, 0)</f>
        <v>محمرة</v>
      </c>
      <c r="E82" s="30" t="s">
        <v>3058</v>
      </c>
      <c r="F82" s="110">
        <v>3</v>
      </c>
      <c r="G82" s="30" t="str">
        <f>VLOOKUP(F82, 'RM &amp; SF'!B:C, 2, 0)</f>
        <v>مياه حنفية</v>
      </c>
      <c r="H82" s="89">
        <v>1000</v>
      </c>
      <c r="I82" s="30" t="str">
        <f>VLOOKUP(F82, 'RM &amp; SF'!B:H, 4, 0)</f>
        <v>مل</v>
      </c>
      <c r="J82" s="90">
        <f t="shared" si="10"/>
        <v>119.04761904761904</v>
      </c>
      <c r="K82" s="91">
        <f>VLOOKUP(F82, 'RM &amp; SF'!B:H, 7, 0)</f>
        <v>0</v>
      </c>
      <c r="L82" s="92">
        <f t="shared" si="8"/>
        <v>0</v>
      </c>
      <c r="M82" s="30" t="s">
        <v>810</v>
      </c>
    </row>
    <row r="83" spans="1:15" ht="14">
      <c r="A83" s="88" t="s">
        <v>2228</v>
      </c>
      <c r="B83" s="219" t="s">
        <v>566</v>
      </c>
      <c r="C83" s="30"/>
      <c r="D83" s="30" t="str">
        <f>VLOOKUP(B83, 'RM &amp; SF'!B:C, 2, 0)</f>
        <v>خيار بلبن</v>
      </c>
      <c r="E83" s="30" t="s">
        <v>2228</v>
      </c>
      <c r="F83" s="110">
        <v>4493</v>
      </c>
      <c r="G83" s="30" t="str">
        <f>VLOOKUP(F83, 'RM &amp; SF'!B:C, 2, 0)</f>
        <v>خيار*****</v>
      </c>
      <c r="H83" s="89">
        <v>9000</v>
      </c>
      <c r="I83" s="30" t="str">
        <f>VLOOKUP(F83, 'RM &amp; SF'!B:H, 4, 0)</f>
        <v>غم</v>
      </c>
      <c r="J83" s="90">
        <f>H83/7.5355</f>
        <v>1194.3467586756021</v>
      </c>
      <c r="K83" s="91">
        <f>VLOOKUP(F83, 'RM &amp; SF'!B:H, 7, 0)</f>
        <v>4.0000000000000002E-4</v>
      </c>
      <c r="L83" s="92">
        <f t="shared" si="8"/>
        <v>0.47773870347024089</v>
      </c>
      <c r="M83" s="30" t="s">
        <v>810</v>
      </c>
    </row>
    <row r="84" spans="1:15" ht="14">
      <c r="A84" s="88" t="s">
        <v>2228</v>
      </c>
      <c r="B84" s="219" t="s">
        <v>566</v>
      </c>
      <c r="C84" s="30"/>
      <c r="D84" s="30" t="str">
        <f>VLOOKUP(B84, 'RM &amp; SF'!B:C, 2, 0)</f>
        <v>خيار بلبن</v>
      </c>
      <c r="E84" s="30" t="s">
        <v>2170</v>
      </c>
      <c r="F84" s="110">
        <v>4552</v>
      </c>
      <c r="G84" s="30" t="str">
        <f>VLOOKUP(F84, 'RM &amp; SF'!B:C, 2, 0)</f>
        <v>لبن رايب 5 كغ*****</v>
      </c>
      <c r="H84" s="89">
        <v>5000</v>
      </c>
      <c r="I84" s="30" t="str">
        <f>VLOOKUP(F84, 'RM &amp; SF'!B:H, 4, 0)</f>
        <v>غم</v>
      </c>
      <c r="J84" s="90">
        <f>H84/7.5355</f>
        <v>663.52597704200116</v>
      </c>
      <c r="K84" s="91">
        <f>VLOOKUP(F84, 'RM &amp; SF'!B:H, 7, 0)</f>
        <v>8.0000000000000004E-4</v>
      </c>
      <c r="L84" s="92">
        <f t="shared" si="8"/>
        <v>0.53082078163360091</v>
      </c>
      <c r="M84" s="30" t="s">
        <v>810</v>
      </c>
    </row>
    <row r="85" spans="1:15" ht="14">
      <c r="A85" s="88" t="s">
        <v>2228</v>
      </c>
      <c r="B85" s="219" t="s">
        <v>566</v>
      </c>
      <c r="C85" s="30"/>
      <c r="D85" s="30" t="str">
        <f>VLOOKUP(B85, 'RM &amp; SF'!B:C, 2, 0)</f>
        <v>خيار بلبن</v>
      </c>
      <c r="E85" s="30" t="s">
        <v>2203</v>
      </c>
      <c r="F85" s="110">
        <v>4152</v>
      </c>
      <c r="G85" s="30" t="str">
        <f>VLOOKUP(F85, 'RM &amp; SF'!B:C, 2, 0)</f>
        <v>ملح طعام 750غم*****</v>
      </c>
      <c r="H85" s="89">
        <v>150</v>
      </c>
      <c r="I85" s="30" t="str">
        <f>VLOOKUP(F85, 'RM &amp; SF'!B:H, 4, 0)</f>
        <v>غم</v>
      </c>
      <c r="J85" s="90">
        <f>H85/7.5355</f>
        <v>19.905779311260037</v>
      </c>
      <c r="K85" s="91">
        <f>VLOOKUP(F85, 'RM &amp; SF'!B:H, 7, 0)</f>
        <v>1.7066666666666665E-4</v>
      </c>
      <c r="L85" s="92">
        <f t="shared" si="8"/>
        <v>3.397253002455046E-3</v>
      </c>
      <c r="M85" s="30" t="s">
        <v>810</v>
      </c>
    </row>
    <row r="86" spans="1:15" ht="14">
      <c r="A86" s="88" t="s">
        <v>2228</v>
      </c>
      <c r="B86" s="219" t="s">
        <v>566</v>
      </c>
      <c r="C86" s="30"/>
      <c r="D86" s="30" t="str">
        <f>VLOOKUP(B86, 'RM &amp; SF'!B:C, 2, 0)</f>
        <v>خيار بلبن</v>
      </c>
      <c r="E86" s="30" t="s">
        <v>2253</v>
      </c>
      <c r="F86" s="110">
        <v>4547</v>
      </c>
      <c r="G86" s="30" t="str">
        <f>VLOOKUP(F86, 'RM &amp; SF'!B:C, 2, 0)</f>
        <v>نعنع*****</v>
      </c>
      <c r="H86" s="89">
        <v>2</v>
      </c>
      <c r="I86" s="30" t="str">
        <f>VLOOKUP(F86, 'RM &amp; SF'!B:H, 4, 0)</f>
        <v>غم</v>
      </c>
      <c r="J86" s="90">
        <f>H86/7.5355</f>
        <v>0.26541039081680046</v>
      </c>
      <c r="K86" s="91">
        <f>VLOOKUP(F86, 'RM &amp; SF'!B:H, 7, 0)</f>
        <v>7.5000000000000002E-4</v>
      </c>
      <c r="L86" s="92">
        <f t="shared" si="8"/>
        <v>1.9905779311260035E-4</v>
      </c>
      <c r="M86" s="30" t="s">
        <v>810</v>
      </c>
    </row>
    <row r="87" spans="1:15" ht="14">
      <c r="A87" s="88" t="s">
        <v>2325</v>
      </c>
      <c r="B87" s="219" t="s">
        <v>534</v>
      </c>
      <c r="C87" s="30"/>
      <c r="D87" s="30" t="str">
        <f>VLOOKUP(B87, 'RM &amp; SF'!B:C, 2, 0)</f>
        <v>مثومه</v>
      </c>
      <c r="E87" s="30" t="s">
        <v>3058</v>
      </c>
      <c r="F87" s="110">
        <v>4145</v>
      </c>
      <c r="G87" s="30" t="str">
        <f>VLOOKUP(F87, 'RM &amp; SF'!B:C, 2, 0)</f>
        <v>نشا طعام*****</v>
      </c>
      <c r="H87" s="89">
        <v>40000</v>
      </c>
      <c r="I87" s="30" t="str">
        <f>VLOOKUP(F87, 'RM &amp; SF'!B:H, 4, 0)</f>
        <v>غم</v>
      </c>
      <c r="J87" s="90">
        <f t="shared" ref="J87:J92" si="11">H87/59</f>
        <v>677.96610169491521</v>
      </c>
      <c r="K87" s="91">
        <f>VLOOKUP(F87, 'RM &amp; SF'!B:H, 7, 0)</f>
        <v>4.6551999999999997E-4</v>
      </c>
      <c r="L87" s="92">
        <f t="shared" si="8"/>
        <v>0.31560677966101691</v>
      </c>
      <c r="M87" s="30" t="s">
        <v>810</v>
      </c>
    </row>
    <row r="88" spans="1:15" ht="14">
      <c r="A88" s="88" t="s">
        <v>2325</v>
      </c>
      <c r="B88" s="219" t="s">
        <v>534</v>
      </c>
      <c r="C88" s="30"/>
      <c r="D88" s="30" t="str">
        <f>VLOOKUP(B88, 'RM &amp; SF'!B:C, 2, 0)</f>
        <v>مثومه</v>
      </c>
      <c r="E88" s="30" t="s">
        <v>3058</v>
      </c>
      <c r="F88" s="110">
        <v>4002</v>
      </c>
      <c r="G88" s="30" t="str">
        <f>VLOOKUP(F88, 'RM &amp; SF'!B:C, 2, 0)</f>
        <v>خل ابيض 3.7 لتر*****</v>
      </c>
      <c r="H88" s="89">
        <v>5000</v>
      </c>
      <c r="I88" s="30" t="str">
        <f>VLOOKUP(F88, 'RM &amp; SF'!B:H, 4, 0)</f>
        <v>مل</v>
      </c>
      <c r="J88" s="90">
        <f t="shared" si="11"/>
        <v>84.745762711864401</v>
      </c>
      <c r="K88" s="91">
        <f>VLOOKUP(F88, 'RM &amp; SF'!B:H, 7, 0)</f>
        <v>2.9121621621621617E-4</v>
      </c>
      <c r="L88" s="92">
        <f t="shared" si="8"/>
        <v>2.4679340357306453E-2</v>
      </c>
      <c r="M88" s="30" t="s">
        <v>810</v>
      </c>
    </row>
    <row r="89" spans="1:15" ht="14">
      <c r="A89" s="88" t="s">
        <v>2325</v>
      </c>
      <c r="B89" s="219" t="s">
        <v>534</v>
      </c>
      <c r="C89" s="30"/>
      <c r="D89" s="30" t="str">
        <f>VLOOKUP(B89, 'RM &amp; SF'!B:C, 2, 0)</f>
        <v>مثومه</v>
      </c>
      <c r="E89" s="30" t="s">
        <v>2236</v>
      </c>
      <c r="F89" s="110">
        <v>4505</v>
      </c>
      <c r="G89" s="30" t="str">
        <f>VLOOKUP(F89, 'RM &amp; SF'!B:C, 2, 0)</f>
        <v>ثوم طازج كامل*****</v>
      </c>
      <c r="H89" s="89">
        <v>800</v>
      </c>
      <c r="I89" s="30" t="str">
        <f>VLOOKUP(F89, 'RM &amp; SF'!B:H, 4, 0)</f>
        <v>غم</v>
      </c>
      <c r="J89" s="90">
        <f t="shared" si="11"/>
        <v>13.559322033898304</v>
      </c>
      <c r="K89" s="91">
        <f>VLOOKUP(F89, 'RM &amp; SF'!B:H, 7, 0)</f>
        <v>3.5000000000000001E-3</v>
      </c>
      <c r="L89" s="92">
        <f t="shared" si="8"/>
        <v>4.7457627118644069E-2</v>
      </c>
      <c r="M89" s="30" t="s">
        <v>810</v>
      </c>
      <c r="O89" s="101" t="s">
        <v>812</v>
      </c>
    </row>
    <row r="90" spans="1:15" ht="14">
      <c r="A90" s="88" t="s">
        <v>2325</v>
      </c>
      <c r="B90" s="219" t="s">
        <v>534</v>
      </c>
      <c r="C90" s="30"/>
      <c r="D90" s="30" t="str">
        <f>VLOOKUP(B90, 'RM &amp; SF'!B:C, 2, 0)</f>
        <v>مثومه</v>
      </c>
      <c r="E90" s="30" t="s">
        <v>2203</v>
      </c>
      <c r="F90" s="110">
        <v>4152</v>
      </c>
      <c r="G90" s="30" t="str">
        <f>VLOOKUP(F90, 'RM &amp; SF'!B:C, 2, 0)</f>
        <v>ملح طعام 750غم*****</v>
      </c>
      <c r="H90" s="89">
        <v>650</v>
      </c>
      <c r="I90" s="30" t="str">
        <f>VLOOKUP(F90, 'RM &amp; SF'!B:H, 4, 0)</f>
        <v>غم</v>
      </c>
      <c r="J90" s="90">
        <f t="shared" si="11"/>
        <v>11.016949152542374</v>
      </c>
      <c r="K90" s="91">
        <f>VLOOKUP(F90, 'RM &amp; SF'!B:H, 7, 0)</f>
        <v>1.7066666666666665E-4</v>
      </c>
      <c r="L90" s="92">
        <f t="shared" si="8"/>
        <v>1.8802259887005649E-3</v>
      </c>
      <c r="M90" s="30" t="s">
        <v>810</v>
      </c>
    </row>
    <row r="91" spans="1:15" ht="14">
      <c r="A91" s="88" t="s">
        <v>2325</v>
      </c>
      <c r="B91" s="219" t="s">
        <v>534</v>
      </c>
      <c r="C91" s="30"/>
      <c r="D91" s="30" t="str">
        <f>VLOOKUP(B91, 'RM &amp; SF'!B:C, 2, 0)</f>
        <v>مثومه</v>
      </c>
      <c r="E91" s="30" t="s">
        <v>2290</v>
      </c>
      <c r="F91" s="110">
        <v>4554</v>
      </c>
      <c r="G91" s="30" t="str">
        <f>VLOOKUP(F91, 'RM &amp; SF'!B:C, 2, 0)</f>
        <v>حليب طويل الأجل كامل الدسم 1 لتر*****</v>
      </c>
      <c r="H91" s="89">
        <v>2000</v>
      </c>
      <c r="I91" s="30" t="str">
        <f>VLOOKUP(F91, 'RM &amp; SF'!B:H, 4, 0)</f>
        <v>مل</v>
      </c>
      <c r="J91" s="90">
        <f t="shared" si="11"/>
        <v>33.898305084745765</v>
      </c>
      <c r="K91" s="91">
        <f>VLOOKUP(F91, 'RM &amp; SF'!B:H, 7, 0)</f>
        <v>8.0000000000000004E-4</v>
      </c>
      <c r="L91" s="92">
        <f t="shared" si="8"/>
        <v>2.7118644067796613E-2</v>
      </c>
      <c r="M91" s="30" t="s">
        <v>810</v>
      </c>
    </row>
    <row r="92" spans="1:15" ht="14">
      <c r="A92" s="88" t="s">
        <v>2325</v>
      </c>
      <c r="B92" s="219" t="s">
        <v>534</v>
      </c>
      <c r="C92" s="30"/>
      <c r="D92" s="30" t="str">
        <f>VLOOKUP(B92, 'RM &amp; SF'!B:C, 2, 0)</f>
        <v>مثومه</v>
      </c>
      <c r="E92" s="30" t="s">
        <v>2260</v>
      </c>
      <c r="F92" s="110">
        <v>4160</v>
      </c>
      <c r="G92" s="30" t="str">
        <f>VLOOKUP(F92, 'RM &amp; SF'!B:C, 2, 0)</f>
        <v>زيت صويا 18 لتر*****</v>
      </c>
      <c r="H92" s="89">
        <v>11000</v>
      </c>
      <c r="I92" s="30" t="str">
        <f>VLOOKUP(F92, 'RM &amp; SF'!B:H, 4, 0)</f>
        <v>مل</v>
      </c>
      <c r="J92" s="90">
        <f t="shared" si="11"/>
        <v>186.4406779661017</v>
      </c>
      <c r="K92" s="91">
        <f>VLOOKUP(F92, 'RM &amp; SF'!B:H, 7, 0)</f>
        <v>1.335E-3</v>
      </c>
      <c r="L92" s="92">
        <f t="shared" si="8"/>
        <v>0.24889830508474578</v>
      </c>
      <c r="M92" s="30" t="s">
        <v>810</v>
      </c>
    </row>
    <row r="93" spans="1:15" ht="14">
      <c r="A93" s="88" t="s">
        <v>2382</v>
      </c>
      <c r="B93" s="219" t="s">
        <v>526</v>
      </c>
      <c r="C93" s="30"/>
      <c r="D93" s="30" t="str">
        <f>VLOOKUP(B93, 'RM &amp; SF'!B:C, 2, 0)</f>
        <v>فنغريت صوص</v>
      </c>
      <c r="E93" s="30" t="s">
        <v>2255</v>
      </c>
      <c r="F93" s="110">
        <v>4573</v>
      </c>
      <c r="G93" s="30" t="str">
        <f>VLOOKUP(F93, 'RM &amp; SF'!B:C, 2, 0)</f>
        <v>عصير ليمون طازج 2.5 لتر*****</v>
      </c>
      <c r="H93" s="89">
        <v>950</v>
      </c>
      <c r="I93" s="30" t="str">
        <f>VLOOKUP(F93, 'RM &amp; SF'!B:H, 4, 0)</f>
        <v>مل</v>
      </c>
      <c r="J93" s="90">
        <f>H93/1.94</f>
        <v>489.69072164948454</v>
      </c>
      <c r="K93" s="91">
        <f>VLOOKUP(F93, 'RM &amp; SF'!B:H, 7, 0)</f>
        <v>2.5999999999999999E-3</v>
      </c>
      <c r="L93" s="92">
        <f t="shared" si="8"/>
        <v>1.2731958762886597</v>
      </c>
      <c r="M93" s="30" t="s">
        <v>810</v>
      </c>
    </row>
    <row r="94" spans="1:15" ht="14">
      <c r="A94" s="88" t="s">
        <v>2382</v>
      </c>
      <c r="B94" s="219" t="s">
        <v>526</v>
      </c>
      <c r="C94" s="30"/>
      <c r="D94" s="30" t="str">
        <f>VLOOKUP(B94, 'RM &amp; SF'!B:C, 2, 0)</f>
        <v>فنغريت صوص</v>
      </c>
      <c r="E94" s="30" t="s">
        <v>2259</v>
      </c>
      <c r="F94" s="110">
        <v>4159</v>
      </c>
      <c r="G94" s="30" t="str">
        <f>VLOOKUP(F94, 'RM &amp; SF'!B:C, 2, 0)</f>
        <v>زيت زيتون 16 كغ*****</v>
      </c>
      <c r="H94" s="89">
        <v>95</v>
      </c>
      <c r="I94" s="30" t="str">
        <f>VLOOKUP(F94, 'RM &amp; SF'!B:H, 4, 0)</f>
        <v>غم</v>
      </c>
      <c r="J94" s="90">
        <f>H94/1.94</f>
        <v>48.969072164948457</v>
      </c>
      <c r="K94" s="91">
        <f>VLOOKUP(F94, 'RM &amp; SF'!B:H, 7, 0)</f>
        <v>7.4999999999999997E-3</v>
      </c>
      <c r="L94" s="92">
        <f t="shared" si="8"/>
        <v>0.36726804123711343</v>
      </c>
      <c r="M94" s="30" t="s">
        <v>810</v>
      </c>
    </row>
    <row r="95" spans="1:15" ht="14">
      <c r="A95" s="88" t="s">
        <v>2382</v>
      </c>
      <c r="B95" s="219" t="s">
        <v>526</v>
      </c>
      <c r="C95" s="30"/>
      <c r="D95" s="30" t="str">
        <f>VLOOKUP(B95, 'RM &amp; SF'!B:C, 2, 0)</f>
        <v>فنغريت صوص</v>
      </c>
      <c r="E95" s="30" t="s">
        <v>2203</v>
      </c>
      <c r="F95" s="110">
        <v>4152</v>
      </c>
      <c r="G95" s="30" t="str">
        <f>VLOOKUP(F95, 'RM &amp; SF'!B:C, 2, 0)</f>
        <v>ملح طعام 750غم*****</v>
      </c>
      <c r="H95" s="89">
        <v>50</v>
      </c>
      <c r="I95" s="30" t="str">
        <f>VLOOKUP(F95, 'RM &amp; SF'!B:H, 4, 0)</f>
        <v>غم</v>
      </c>
      <c r="J95" s="90">
        <f>H95/1.94</f>
        <v>25.773195876288661</v>
      </c>
      <c r="K95" s="91">
        <f>VLOOKUP(F95, 'RM &amp; SF'!B:H, 7, 0)</f>
        <v>1.7066666666666665E-4</v>
      </c>
      <c r="L95" s="92">
        <f t="shared" si="8"/>
        <v>4.3986254295532642E-3</v>
      </c>
      <c r="M95" s="30" t="s">
        <v>810</v>
      </c>
    </row>
    <row r="96" spans="1:15" ht="14">
      <c r="A96" s="88" t="s">
        <v>2395</v>
      </c>
      <c r="B96" s="219" t="s">
        <v>560</v>
      </c>
      <c r="C96" s="30"/>
      <c r="D96" s="30" t="str">
        <f>VLOOKUP(B96, 'RM &amp; SF'!B:C, 2, 0)</f>
        <v>كولسلو</v>
      </c>
      <c r="E96" s="30" t="s">
        <v>2237</v>
      </c>
      <c r="F96" s="110">
        <v>4508</v>
      </c>
      <c r="G96" s="30" t="str">
        <f>VLOOKUP(F96, 'RM &amp; SF'!B:C, 2, 0)</f>
        <v>ملفوف ابيض*****</v>
      </c>
      <c r="H96" s="89">
        <v>3000</v>
      </c>
      <c r="I96" s="30" t="str">
        <f>VLOOKUP(F96, 'RM &amp; SF'!B:H, 4, 0)</f>
        <v>غم</v>
      </c>
      <c r="J96" s="90">
        <f t="shared" ref="J96:J101" si="12">H96/6.8</f>
        <v>441.1764705882353</v>
      </c>
      <c r="K96" s="91">
        <f>VLOOKUP(F96, 'RM &amp; SF'!B:H, 7, 0)</f>
        <v>2.9999999999999997E-4</v>
      </c>
      <c r="L96" s="92">
        <f t="shared" si="8"/>
        <v>0.13235294117647059</v>
      </c>
      <c r="M96" s="30" t="s">
        <v>810</v>
      </c>
    </row>
    <row r="97" spans="1:13" ht="14">
      <c r="A97" s="88" t="s">
        <v>2395</v>
      </c>
      <c r="B97" s="219" t="s">
        <v>560</v>
      </c>
      <c r="C97" s="30"/>
      <c r="D97" s="30" t="str">
        <f>VLOOKUP(B97, 'RM &amp; SF'!B:C, 2, 0)</f>
        <v>كولسلو</v>
      </c>
      <c r="E97" s="30" t="s">
        <v>2271</v>
      </c>
      <c r="F97" s="110">
        <v>4034</v>
      </c>
      <c r="G97" s="30" t="str">
        <f>VLOOKUP(F97, 'RM &amp; SF'!B:C, 2, 0)</f>
        <v>اناناس شرائح 565 غم*****</v>
      </c>
      <c r="H97" s="89">
        <v>340</v>
      </c>
      <c r="I97" s="30" t="str">
        <f>VLOOKUP(F97, 'RM &amp; SF'!B:H, 4, 0)</f>
        <v>غم</v>
      </c>
      <c r="J97" s="90">
        <f t="shared" si="12"/>
        <v>50</v>
      </c>
      <c r="K97" s="91">
        <f>VLOOKUP(F97, 'RM &amp; SF'!B:H, 7, 0)</f>
        <v>1.5983193277310924E-3</v>
      </c>
      <c r="L97" s="92">
        <f t="shared" si="8"/>
        <v>7.9915966386554627E-2</v>
      </c>
      <c r="M97" s="30" t="s">
        <v>810</v>
      </c>
    </row>
    <row r="98" spans="1:13" ht="14">
      <c r="A98" s="88" t="s">
        <v>2395</v>
      </c>
      <c r="B98" s="219" t="s">
        <v>560</v>
      </c>
      <c r="C98" s="30"/>
      <c r="D98" s="30" t="str">
        <f>VLOOKUP(B98, 'RM &amp; SF'!B:C, 2, 0)</f>
        <v>كولسلو</v>
      </c>
      <c r="E98" s="30" t="s">
        <v>2238</v>
      </c>
      <c r="F98" s="110">
        <v>4509</v>
      </c>
      <c r="G98" s="30" t="str">
        <f>VLOOKUP(F98, 'RM &amp; SF'!B:C, 2, 0)</f>
        <v>جزر*****</v>
      </c>
      <c r="H98" s="89">
        <v>366</v>
      </c>
      <c r="I98" s="30" t="str">
        <f>VLOOKUP(F98, 'RM &amp; SF'!B:H, 4, 0)</f>
        <v>غم</v>
      </c>
      <c r="J98" s="90">
        <f t="shared" si="12"/>
        <v>53.82352941176471</v>
      </c>
      <c r="K98" s="91">
        <f>VLOOKUP(F98, 'RM &amp; SF'!B:H, 7, 0)</f>
        <v>5.5000000000000003E-4</v>
      </c>
      <c r="L98" s="92">
        <f t="shared" si="8"/>
        <v>2.9602941176470592E-2</v>
      </c>
      <c r="M98" s="30" t="s">
        <v>810</v>
      </c>
    </row>
    <row r="99" spans="1:13" ht="14">
      <c r="A99" s="88" t="s">
        <v>2395</v>
      </c>
      <c r="B99" s="219" t="s">
        <v>560</v>
      </c>
      <c r="C99" s="30"/>
      <c r="D99" s="30" t="str">
        <f>VLOOKUP(B99, 'RM &amp; SF'!B:C, 2, 0)</f>
        <v>كولسلو</v>
      </c>
      <c r="E99" s="30" t="s">
        <v>2263</v>
      </c>
      <c r="F99" s="110">
        <v>4004</v>
      </c>
      <c r="G99" s="30" t="str">
        <f>VLOOKUP(F99, 'RM &amp; SF'!B:C, 2, 0)</f>
        <v>مايونيز جالون 3.78 لتر*****</v>
      </c>
      <c r="H99" s="89">
        <v>2000</v>
      </c>
      <c r="I99" s="30" t="str">
        <f>VLOOKUP(F99, 'RM &amp; SF'!B:H, 4, 0)</f>
        <v>غم</v>
      </c>
      <c r="J99" s="90">
        <f t="shared" si="12"/>
        <v>294.11764705882354</v>
      </c>
      <c r="K99" s="91">
        <f>VLOOKUP(F99, 'RM &amp; SF'!B:H, 7, 0)</f>
        <v>2.4516E-3</v>
      </c>
      <c r="L99" s="92">
        <f t="shared" si="8"/>
        <v>0.72105882352941175</v>
      </c>
      <c r="M99" s="30" t="s">
        <v>810</v>
      </c>
    </row>
    <row r="100" spans="1:13" ht="14">
      <c r="A100" s="88" t="s">
        <v>2395</v>
      </c>
      <c r="B100" s="219" t="s">
        <v>560</v>
      </c>
      <c r="C100" s="30"/>
      <c r="D100" s="30" t="str">
        <f>VLOOKUP(B100, 'RM &amp; SF'!B:C, 2, 0)</f>
        <v>كولسلو</v>
      </c>
      <c r="E100" s="30" t="s">
        <v>2256</v>
      </c>
      <c r="F100" s="110">
        <v>4574</v>
      </c>
      <c r="G100" s="30" t="str">
        <f>VLOOKUP(F100, 'RM &amp; SF'!B:C, 2, 0)</f>
        <v>عصير برتقال طازج 2.5 لتر*****</v>
      </c>
      <c r="H100" s="89">
        <v>808</v>
      </c>
      <c r="I100" s="30" t="str">
        <f>VLOOKUP(F100, 'RM &amp; SF'!B:H, 4, 0)</f>
        <v>مل</v>
      </c>
      <c r="J100" s="90">
        <f t="shared" si="12"/>
        <v>118.82352941176471</v>
      </c>
      <c r="K100" s="91">
        <f>VLOOKUP(F100, 'RM &amp; SF'!B:H, 7, 0)</f>
        <v>2E-3</v>
      </c>
      <c r="L100" s="92">
        <f t="shared" si="8"/>
        <v>0.23764705882352943</v>
      </c>
      <c r="M100" s="30" t="s">
        <v>810</v>
      </c>
    </row>
    <row r="101" spans="1:13" ht="14">
      <c r="A101" s="88" t="s">
        <v>2395</v>
      </c>
      <c r="B101" s="219" t="s">
        <v>560</v>
      </c>
      <c r="C101" s="30"/>
      <c r="D101" s="30" t="str">
        <f>VLOOKUP(B101, 'RM &amp; SF'!B:C, 2, 0)</f>
        <v>كولسلو</v>
      </c>
      <c r="E101" s="30" t="s">
        <v>2284</v>
      </c>
      <c r="F101" s="110">
        <v>4153</v>
      </c>
      <c r="G101" s="30" t="str">
        <f>VLOOKUP(F101, 'RM &amp; SF'!B:C, 2, 0)</f>
        <v>سكر ابيض ناعم*****</v>
      </c>
      <c r="H101" s="89">
        <v>440</v>
      </c>
      <c r="I101" s="30" t="str">
        <f>VLOOKUP(F101, 'RM &amp; SF'!B:H, 4, 0)</f>
        <v>غم</v>
      </c>
      <c r="J101" s="90">
        <f t="shared" si="12"/>
        <v>64.705882352941174</v>
      </c>
      <c r="K101" s="91">
        <f>VLOOKUP(F101, 'RM &amp; SF'!B:H, 7, 0)</f>
        <v>5.2499999999999997E-4</v>
      </c>
      <c r="L101" s="92">
        <f t="shared" si="8"/>
        <v>3.3970588235294114E-2</v>
      </c>
      <c r="M101" s="30" t="s">
        <v>810</v>
      </c>
    </row>
    <row r="102" spans="1:13" ht="14">
      <c r="A102" s="88" t="s">
        <v>2381</v>
      </c>
      <c r="B102" s="219" t="s">
        <v>492</v>
      </c>
      <c r="C102" s="30"/>
      <c r="D102" s="30" t="str">
        <f>VLOOKUP(B102, 'RM &amp; SF'!B:C, 2, 0)</f>
        <v>يلنجي بالحبة</v>
      </c>
      <c r="E102" s="30" t="s">
        <v>2280</v>
      </c>
      <c r="F102" s="110">
        <v>4132</v>
      </c>
      <c r="G102" s="30" t="str">
        <f>VLOOKUP(F102, 'RM &amp; SF'!B:C, 2, 0)</f>
        <v>ارز حبة متوسطة*****</v>
      </c>
      <c r="H102" s="89">
        <v>2000</v>
      </c>
      <c r="I102" s="30" t="str">
        <f>VLOOKUP(F102, 'RM &amp; SF'!B:H, 4, 0)</f>
        <v>غم</v>
      </c>
      <c r="J102" s="90">
        <f t="shared" ref="J102:J116" si="13">H102/700</f>
        <v>2.8571428571428572</v>
      </c>
      <c r="K102" s="91">
        <f>VLOOKUP(F102, 'RM &amp; SF'!B:H, 7, 0)</f>
        <v>1.1388000000000001E-3</v>
      </c>
      <c r="L102" s="92">
        <f t="shared" si="8"/>
        <v>3.253714285714286E-3</v>
      </c>
      <c r="M102" s="30" t="s">
        <v>810</v>
      </c>
    </row>
    <row r="103" spans="1:13" ht="14">
      <c r="A103" s="88" t="s">
        <v>2381</v>
      </c>
      <c r="B103" s="219" t="s">
        <v>492</v>
      </c>
      <c r="C103" s="30"/>
      <c r="D103" s="30" t="str">
        <f>VLOOKUP(B103, 'RM &amp; SF'!B:C, 2, 0)</f>
        <v>يلنجي بالحبة</v>
      </c>
      <c r="E103" s="30" t="s">
        <v>2234</v>
      </c>
      <c r="F103" s="110">
        <v>4503</v>
      </c>
      <c r="G103" s="30" t="str">
        <f>VLOOKUP(F103, 'RM &amp; SF'!B:C, 2, 0)</f>
        <v>بصل ناشف دفش*****</v>
      </c>
      <c r="H103" s="89">
        <v>500</v>
      </c>
      <c r="I103" s="30" t="str">
        <f>VLOOKUP(F103, 'RM &amp; SF'!B:H, 4, 0)</f>
        <v>غم</v>
      </c>
      <c r="J103" s="90">
        <f t="shared" si="13"/>
        <v>0.7142857142857143</v>
      </c>
      <c r="K103" s="91">
        <f>VLOOKUP(F103, 'RM &amp; SF'!B:H, 7, 0)</f>
        <v>2.5000000000000001E-4</v>
      </c>
      <c r="L103" s="92">
        <f t="shared" si="8"/>
        <v>1.7857142857142857E-4</v>
      </c>
      <c r="M103" s="30" t="s">
        <v>810</v>
      </c>
    </row>
    <row r="104" spans="1:13" ht="14">
      <c r="A104" s="88" t="s">
        <v>2381</v>
      </c>
      <c r="B104" s="219" t="s">
        <v>492</v>
      </c>
      <c r="C104" s="30"/>
      <c r="D104" s="30" t="str">
        <f>VLOOKUP(B104, 'RM &amp; SF'!B:C, 2, 0)</f>
        <v>يلنجي بالحبة</v>
      </c>
      <c r="E104" s="30" t="s">
        <v>2309</v>
      </c>
      <c r="F104" s="110">
        <v>4491</v>
      </c>
      <c r="G104" s="30" t="str">
        <f>VLOOKUP(F104, 'RM &amp; SF'!B:C, 2, 0)</f>
        <v>بندورة جامدة*****</v>
      </c>
      <c r="H104" s="89">
        <v>2000</v>
      </c>
      <c r="I104" s="30" t="str">
        <f>VLOOKUP(F104, 'RM &amp; SF'!B:H, 4, 0)</f>
        <v>غم</v>
      </c>
      <c r="J104" s="90">
        <f t="shared" si="13"/>
        <v>2.8571428571428572</v>
      </c>
      <c r="K104" s="91">
        <f>VLOOKUP(F104, 'RM &amp; SF'!B:H, 7, 0)</f>
        <v>5.0000000000000001E-4</v>
      </c>
      <c r="L104" s="92">
        <f t="shared" si="8"/>
        <v>1.4285714285714286E-3</v>
      </c>
      <c r="M104" s="30" t="s">
        <v>810</v>
      </c>
    </row>
    <row r="105" spans="1:13" ht="14">
      <c r="A105" s="88" t="s">
        <v>2381</v>
      </c>
      <c r="B105" s="219" t="s">
        <v>492</v>
      </c>
      <c r="C105" s="30"/>
      <c r="D105" s="30" t="str">
        <f>VLOOKUP(B105, 'RM &amp; SF'!B:C, 2, 0)</f>
        <v>يلنجي بالحبة</v>
      </c>
      <c r="E105" s="30" t="s">
        <v>2251</v>
      </c>
      <c r="F105" s="110">
        <v>4544</v>
      </c>
      <c r="G105" s="30" t="str">
        <f>VLOOKUP(F105, 'RM &amp; SF'!B:C, 2, 0)</f>
        <v>بقدونس*****</v>
      </c>
      <c r="H105" s="89">
        <v>7</v>
      </c>
      <c r="I105" s="30" t="str">
        <f>VLOOKUP(F105, 'RM &amp; SF'!B:H, 4, 0)</f>
        <v>غم</v>
      </c>
      <c r="J105" s="90">
        <f t="shared" si="13"/>
        <v>0.01</v>
      </c>
      <c r="K105" s="91">
        <f>VLOOKUP(F105, 'RM &amp; SF'!B:H, 7, 0)</f>
        <v>7.5000000000000002E-4</v>
      </c>
      <c r="L105" s="92">
        <f t="shared" si="8"/>
        <v>7.5000000000000002E-6</v>
      </c>
      <c r="M105" s="30" t="s">
        <v>810</v>
      </c>
    </row>
    <row r="106" spans="1:13" ht="14">
      <c r="A106" s="88" t="s">
        <v>2381</v>
      </c>
      <c r="B106" s="219" t="s">
        <v>492</v>
      </c>
      <c r="C106" s="30"/>
      <c r="D106" s="30" t="str">
        <f>VLOOKUP(B106, 'RM &amp; SF'!B:C, 2, 0)</f>
        <v>يلنجي بالحبة</v>
      </c>
      <c r="E106" s="30" t="s">
        <v>2255</v>
      </c>
      <c r="F106" s="110">
        <v>4573</v>
      </c>
      <c r="G106" s="30" t="str">
        <f>VLOOKUP(F106, 'RM &amp; SF'!B:C, 2, 0)</f>
        <v>عصير ليمون طازج 2.5 لتر*****</v>
      </c>
      <c r="H106" s="89">
        <v>700</v>
      </c>
      <c r="I106" s="30" t="str">
        <f>VLOOKUP(F106, 'RM &amp; SF'!B:H, 4, 0)</f>
        <v>مل</v>
      </c>
      <c r="J106" s="90">
        <f t="shared" si="13"/>
        <v>1</v>
      </c>
      <c r="K106" s="91">
        <f>VLOOKUP(F106, 'RM &amp; SF'!B:H, 7, 0)</f>
        <v>2.5999999999999999E-3</v>
      </c>
      <c r="L106" s="92">
        <f t="shared" si="8"/>
        <v>2.5999999999999999E-3</v>
      </c>
      <c r="M106" s="30" t="s">
        <v>810</v>
      </c>
    </row>
    <row r="107" spans="1:13" ht="14">
      <c r="A107" s="88" t="s">
        <v>2381</v>
      </c>
      <c r="B107" s="219" t="s">
        <v>492</v>
      </c>
      <c r="C107" s="30"/>
      <c r="D107" s="30" t="str">
        <f>VLOOKUP(B107, 'RM &amp; SF'!B:C, 2, 0)</f>
        <v>يلنجي بالحبة</v>
      </c>
      <c r="E107" s="30" t="s">
        <v>2221</v>
      </c>
      <c r="F107" s="110">
        <v>4237</v>
      </c>
      <c r="G107" s="30" t="str">
        <f>VLOOKUP(F107, 'RM &amp; SF'!B:C, 2, 0)</f>
        <v>ثوم ناعم*****</v>
      </c>
      <c r="H107" s="89">
        <v>15</v>
      </c>
      <c r="I107" s="30" t="str">
        <f>VLOOKUP(F107, 'RM &amp; SF'!B:H, 4, 0)</f>
        <v>غم</v>
      </c>
      <c r="J107" s="90">
        <f t="shared" si="13"/>
        <v>2.1428571428571429E-2</v>
      </c>
      <c r="K107" s="91">
        <f>VLOOKUP(F107, 'RM &amp; SF'!B:H, 7, 0)</f>
        <v>2.3709999999999998E-3</v>
      </c>
      <c r="L107" s="92">
        <f t="shared" si="8"/>
        <v>5.0807142857142853E-5</v>
      </c>
      <c r="M107" s="30" t="s">
        <v>810</v>
      </c>
    </row>
    <row r="108" spans="1:13" ht="14">
      <c r="A108" s="88" t="s">
        <v>2381</v>
      </c>
      <c r="B108" s="219" t="s">
        <v>492</v>
      </c>
      <c r="C108" s="30"/>
      <c r="D108" s="30" t="str">
        <f>VLOOKUP(B108, 'RM &amp; SF'!B:C, 2, 0)</f>
        <v>يلنجي بالحبة</v>
      </c>
      <c r="E108" s="30" t="s">
        <v>2220</v>
      </c>
      <c r="F108" s="110">
        <v>4236</v>
      </c>
      <c r="G108" s="30" t="str">
        <f>VLOOKUP(F108, 'RM &amp; SF'!B:C, 2, 0)</f>
        <v>بصل ناعم*****</v>
      </c>
      <c r="H108" s="89">
        <v>15</v>
      </c>
      <c r="I108" s="30" t="str">
        <f>VLOOKUP(F108, 'RM &amp; SF'!B:H, 4, 0)</f>
        <v>غم</v>
      </c>
      <c r="J108" s="90">
        <f t="shared" si="13"/>
        <v>2.1428571428571429E-2</v>
      </c>
      <c r="K108" s="91">
        <f>VLOOKUP(F108, 'RM &amp; SF'!B:H, 7, 0)</f>
        <v>2.3709999999999998E-3</v>
      </c>
      <c r="L108" s="92">
        <f t="shared" si="8"/>
        <v>5.0807142857142853E-5</v>
      </c>
      <c r="M108" s="30" t="s">
        <v>810</v>
      </c>
    </row>
    <row r="109" spans="1:13" ht="14">
      <c r="A109" s="88" t="s">
        <v>2381</v>
      </c>
      <c r="B109" s="219" t="s">
        <v>492</v>
      </c>
      <c r="C109" s="30"/>
      <c r="D109" s="30" t="str">
        <f>VLOOKUP(B109, 'RM &amp; SF'!B:C, 2, 0)</f>
        <v>يلنجي بالحبة</v>
      </c>
      <c r="E109" s="30" t="s">
        <v>2259</v>
      </c>
      <c r="F109" s="110">
        <v>4159</v>
      </c>
      <c r="G109" s="30" t="str">
        <f>VLOOKUP(F109, 'RM &amp; SF'!B:C, 2, 0)</f>
        <v>زيت زيتون 16 كغ*****</v>
      </c>
      <c r="H109" s="89">
        <v>350</v>
      </c>
      <c r="I109" s="30" t="str">
        <f>VLOOKUP(F109, 'RM &amp; SF'!B:H, 4, 0)</f>
        <v>غم</v>
      </c>
      <c r="J109" s="90">
        <f t="shared" si="13"/>
        <v>0.5</v>
      </c>
      <c r="K109" s="91">
        <f>VLOOKUP(F109, 'RM &amp; SF'!B:H, 7, 0)</f>
        <v>7.4999999999999997E-3</v>
      </c>
      <c r="L109" s="92">
        <f t="shared" si="8"/>
        <v>3.7499999999999999E-3</v>
      </c>
      <c r="M109" s="30" t="s">
        <v>810</v>
      </c>
    </row>
    <row r="110" spans="1:13" ht="14">
      <c r="A110" s="88" t="s">
        <v>2381</v>
      </c>
      <c r="B110" s="219" t="s">
        <v>492</v>
      </c>
      <c r="C110" s="30"/>
      <c r="D110" s="30" t="str">
        <f>VLOOKUP(B110, 'RM &amp; SF'!B:C, 2, 0)</f>
        <v>يلنجي بالحبة</v>
      </c>
      <c r="E110" s="30" t="s">
        <v>3058</v>
      </c>
      <c r="F110" s="110">
        <v>4175</v>
      </c>
      <c r="G110" s="30" t="str">
        <f>VLOOKUP(F110, 'RM &amp; SF'!B:C, 2, 0)</f>
        <v>قهوة مطحونة*****</v>
      </c>
      <c r="H110" s="89">
        <v>15</v>
      </c>
      <c r="I110" s="30" t="str">
        <f>VLOOKUP(F110, 'RM &amp; SF'!B:H, 4, 0)</f>
        <v>غم</v>
      </c>
      <c r="J110" s="90">
        <f t="shared" si="13"/>
        <v>2.1428571428571429E-2</v>
      </c>
      <c r="K110" s="91">
        <f>VLOOKUP(F110, 'RM &amp; SF'!B:H, 7, 0)</f>
        <v>1.2932000000000001E-2</v>
      </c>
      <c r="L110" s="92">
        <f t="shared" si="8"/>
        <v>2.7711428571428574E-4</v>
      </c>
      <c r="M110" s="30" t="s">
        <v>810</v>
      </c>
    </row>
    <row r="111" spans="1:13" ht="14">
      <c r="A111" s="88" t="s">
        <v>2381</v>
      </c>
      <c r="B111" s="219" t="s">
        <v>492</v>
      </c>
      <c r="C111" s="30"/>
      <c r="D111" s="30" t="str">
        <f>VLOOKUP(B111, 'RM &amp; SF'!B:C, 2, 0)</f>
        <v>يلنجي بالحبة</v>
      </c>
      <c r="E111" s="30" t="s">
        <v>2265</v>
      </c>
      <c r="F111" s="110">
        <v>4006</v>
      </c>
      <c r="G111" s="30" t="str">
        <f>VLOOKUP(F111, 'RM &amp; SF'!B:C, 2, 0)</f>
        <v>دبس رمان 5 كغ (مادة أولية)*****</v>
      </c>
      <c r="H111" s="89">
        <v>150</v>
      </c>
      <c r="I111" s="30" t="str">
        <f>VLOOKUP(F111, 'RM &amp; SF'!B:H, 4, 0)</f>
        <v>غم</v>
      </c>
      <c r="J111" s="90">
        <f t="shared" si="13"/>
        <v>0.21428571428571427</v>
      </c>
      <c r="K111" s="91">
        <f>VLOOKUP(F111, 'RM &amp; SF'!B:H, 7, 0)</f>
        <v>1.508E-3</v>
      </c>
      <c r="L111" s="92">
        <f t="shared" si="8"/>
        <v>3.2314285714285713E-4</v>
      </c>
      <c r="M111" s="30" t="s">
        <v>810</v>
      </c>
    </row>
    <row r="112" spans="1:13" ht="14">
      <c r="A112" s="88" t="s">
        <v>2381</v>
      </c>
      <c r="B112" s="219" t="s">
        <v>492</v>
      </c>
      <c r="C112" s="30"/>
      <c r="D112" s="30" t="str">
        <f>VLOOKUP(B112, 'RM &amp; SF'!B:C, 2, 0)</f>
        <v>يلنجي بالحبة</v>
      </c>
      <c r="E112" s="30" t="s">
        <v>3058</v>
      </c>
      <c r="F112" s="110">
        <v>4022</v>
      </c>
      <c r="G112" s="30" t="str">
        <f>VLOOKUP(F112, 'RM &amp; SF'!B:C, 2, 0)</f>
        <v>مرق الدجاج بودرة 1 كغ*****</v>
      </c>
      <c r="H112" s="89">
        <v>50</v>
      </c>
      <c r="I112" s="30" t="str">
        <f>VLOOKUP(F112, 'RM &amp; SF'!B:H, 4, 0)</f>
        <v>غم</v>
      </c>
      <c r="J112" s="90">
        <f t="shared" si="13"/>
        <v>7.1428571428571425E-2</v>
      </c>
      <c r="K112" s="91">
        <f>VLOOKUP(F112, 'RM &amp; SF'!B:H, 7, 0)</f>
        <v>4.7054597701149427E-3</v>
      </c>
      <c r="L112" s="92">
        <f t="shared" si="8"/>
        <v>3.3610426929392445E-4</v>
      </c>
      <c r="M112" s="30" t="s">
        <v>810</v>
      </c>
    </row>
    <row r="113" spans="1:13" ht="14">
      <c r="A113" s="88" t="s">
        <v>2381</v>
      </c>
      <c r="B113" s="219" t="s">
        <v>492</v>
      </c>
      <c r="C113" s="30"/>
      <c r="D113" s="30" t="str">
        <f>VLOOKUP(B113, 'RM &amp; SF'!B:C, 2, 0)</f>
        <v>يلنجي بالحبة</v>
      </c>
      <c r="E113" s="30" t="s">
        <v>2208</v>
      </c>
      <c r="F113" s="110">
        <v>4211</v>
      </c>
      <c r="G113" s="30" t="str">
        <f>VLOOKUP(F113, 'RM &amp; SF'!B:C, 2, 0)</f>
        <v>كزبرة ناعمة*****</v>
      </c>
      <c r="H113" s="89">
        <v>30</v>
      </c>
      <c r="I113" s="30" t="str">
        <f>VLOOKUP(F113, 'RM &amp; SF'!B:H, 4, 0)</f>
        <v>غم</v>
      </c>
      <c r="J113" s="90">
        <f t="shared" si="13"/>
        <v>4.2857142857142858E-2</v>
      </c>
      <c r="K113" s="91">
        <f>VLOOKUP(F113, 'RM &amp; SF'!B:H, 7, 0)</f>
        <v>1.5089999999999999E-3</v>
      </c>
      <c r="L113" s="92">
        <f t="shared" si="8"/>
        <v>6.4671428571428567E-5</v>
      </c>
      <c r="M113" s="30" t="s">
        <v>810</v>
      </c>
    </row>
    <row r="114" spans="1:13" ht="14">
      <c r="A114" s="88" t="s">
        <v>2381</v>
      </c>
      <c r="B114" s="219" t="s">
        <v>492</v>
      </c>
      <c r="C114" s="30"/>
      <c r="D114" s="30" t="str">
        <f>VLOOKUP(B114, 'RM &amp; SF'!B:C, 2, 0)</f>
        <v>يلنجي بالحبة</v>
      </c>
      <c r="E114" s="30" t="s">
        <v>2253</v>
      </c>
      <c r="F114" s="110">
        <v>4251</v>
      </c>
      <c r="G114" s="30" t="str">
        <f>VLOOKUP(F114, 'RM &amp; SF'!B:C, 2, 0)</f>
        <v>نعنع ناشف*****</v>
      </c>
      <c r="H114" s="89">
        <v>30</v>
      </c>
      <c r="I114" s="30" t="str">
        <f>VLOOKUP(F114, 'RM &amp; SF'!B:H, 4, 0)</f>
        <v>غم</v>
      </c>
      <c r="J114" s="90">
        <f t="shared" si="13"/>
        <v>4.2857142857142858E-2</v>
      </c>
      <c r="K114" s="91">
        <f>VLOOKUP(F114, 'RM &amp; SF'!B:H, 7, 0)</f>
        <v>2.7269999999999998E-3</v>
      </c>
      <c r="L114" s="92">
        <f t="shared" si="8"/>
        <v>1.1687142857142856E-4</v>
      </c>
      <c r="M114" s="30" t="s">
        <v>810</v>
      </c>
    </row>
    <row r="115" spans="1:13" ht="14">
      <c r="A115" s="88" t="s">
        <v>2381</v>
      </c>
      <c r="B115" s="219" t="s">
        <v>492</v>
      </c>
      <c r="C115" s="30"/>
      <c r="D115" s="30" t="str">
        <f>VLOOKUP(B115, 'RM &amp; SF'!B:C, 2, 0)</f>
        <v>يلنجي بالحبة</v>
      </c>
      <c r="E115" s="30" t="s">
        <v>2253</v>
      </c>
      <c r="F115" s="110">
        <v>4547</v>
      </c>
      <c r="G115" s="30" t="str">
        <f>VLOOKUP(F115, 'RM &amp; SF'!B:C, 2, 0)</f>
        <v>نعنع*****</v>
      </c>
      <c r="H115" s="89">
        <v>1</v>
      </c>
      <c r="I115" s="30" t="str">
        <f>VLOOKUP(F115, 'RM &amp; SF'!B:H, 4, 0)</f>
        <v>غم</v>
      </c>
      <c r="J115" s="90">
        <f t="shared" si="13"/>
        <v>1.4285714285714286E-3</v>
      </c>
      <c r="K115" s="91">
        <f>VLOOKUP(F115, 'RM &amp; SF'!B:H, 7, 0)</f>
        <v>7.5000000000000002E-4</v>
      </c>
      <c r="L115" s="92">
        <f t="shared" si="8"/>
        <v>1.0714285714285714E-6</v>
      </c>
      <c r="M115" s="30" t="s">
        <v>810</v>
      </c>
    </row>
    <row r="116" spans="1:13" ht="14">
      <c r="A116" s="88" t="s">
        <v>2381</v>
      </c>
      <c r="B116" s="219" t="s">
        <v>492</v>
      </c>
      <c r="C116" s="30"/>
      <c r="D116" s="30" t="str">
        <f>VLOOKUP(B116, 'RM &amp; SF'!B:C, 2, 0)</f>
        <v>يلنجي بالحبة</v>
      </c>
      <c r="E116" s="30" t="s">
        <v>3058</v>
      </c>
      <c r="F116" s="110">
        <v>4081</v>
      </c>
      <c r="G116" s="30" t="str">
        <f>VLOOKUP(F116, 'RM &amp; SF'!B:C, 2, 0)</f>
        <v>ورق عنب 908 غم*****</v>
      </c>
      <c r="H116" s="89">
        <v>5000</v>
      </c>
      <c r="I116" s="30" t="str">
        <f>VLOOKUP(F116, 'RM &amp; SF'!B:H, 4, 0)</f>
        <v>غم</v>
      </c>
      <c r="J116" s="90">
        <f t="shared" si="13"/>
        <v>7.1428571428571432</v>
      </c>
      <c r="K116" s="91">
        <f>VLOOKUP(F116, 'RM &amp; SF'!B:H, 7, 0)</f>
        <v>2.922907488986784E-3</v>
      </c>
      <c r="L116" s="92">
        <f t="shared" si="8"/>
        <v>2.0877910635619886E-2</v>
      </c>
      <c r="M116" s="30" t="s">
        <v>810</v>
      </c>
    </row>
    <row r="117" spans="1:13" ht="14">
      <c r="A117" s="88" t="s">
        <v>2406</v>
      </c>
      <c r="B117" s="219" t="s">
        <v>518</v>
      </c>
      <c r="C117" s="30"/>
      <c r="D117" s="30" t="str">
        <f>VLOOKUP(B117, 'RM &amp; SF'!B:C, 2, 0)</f>
        <v>صوص سيزار</v>
      </c>
      <c r="E117" s="30" t="s">
        <v>2263</v>
      </c>
      <c r="F117" s="110">
        <v>4004</v>
      </c>
      <c r="G117" s="30" t="str">
        <f>VLOOKUP(F117, 'RM &amp; SF'!B:C, 2, 0)</f>
        <v>مايونيز جالون 3.78 لتر*****</v>
      </c>
      <c r="H117" s="89">
        <v>760</v>
      </c>
      <c r="I117" s="30" t="str">
        <f>VLOOKUP(F117, 'RM &amp; SF'!B:H, 4, 0)</f>
        <v>غم</v>
      </c>
      <c r="J117" s="90">
        <f>H117/0.9</f>
        <v>844.44444444444446</v>
      </c>
      <c r="K117" s="91">
        <f>VLOOKUP(F117, 'RM &amp; SF'!B:H, 7, 0)</f>
        <v>2.4516E-3</v>
      </c>
      <c r="L117" s="92">
        <f t="shared" ref="L117:L171" si="14">K117*J117</f>
        <v>2.0702400000000001</v>
      </c>
      <c r="M117" s="30" t="s">
        <v>810</v>
      </c>
    </row>
    <row r="118" spans="1:13" ht="14">
      <c r="A118" s="88" t="s">
        <v>2406</v>
      </c>
      <c r="B118" s="219" t="s">
        <v>518</v>
      </c>
      <c r="C118" s="30"/>
      <c r="D118" s="30" t="str">
        <f>VLOOKUP(B118, 'RM &amp; SF'!B:C, 2, 0)</f>
        <v>صوص سيزار</v>
      </c>
      <c r="E118" s="30" t="s">
        <v>2255</v>
      </c>
      <c r="F118" s="110">
        <v>4573</v>
      </c>
      <c r="G118" s="30" t="str">
        <f>VLOOKUP(F118, 'RM &amp; SF'!B:C, 2, 0)</f>
        <v>عصير ليمون طازج 2.5 لتر*****</v>
      </c>
      <c r="H118" s="89">
        <v>90</v>
      </c>
      <c r="I118" s="30" t="str">
        <f>VLOOKUP(F118, 'RM &amp; SF'!B:H, 4, 0)</f>
        <v>مل</v>
      </c>
      <c r="J118" s="90">
        <f>H118/0.9</f>
        <v>100</v>
      </c>
      <c r="K118" s="91">
        <f>VLOOKUP(F118, 'RM &amp; SF'!B:H, 7, 0)</f>
        <v>2.5999999999999999E-3</v>
      </c>
      <c r="L118" s="92">
        <f t="shared" si="14"/>
        <v>0.26</v>
      </c>
      <c r="M118" s="30" t="s">
        <v>810</v>
      </c>
    </row>
    <row r="119" spans="1:13" ht="14">
      <c r="A119" s="88" t="s">
        <v>2406</v>
      </c>
      <c r="B119" s="219" t="s">
        <v>518</v>
      </c>
      <c r="C119" s="30"/>
      <c r="D119" s="30" t="str">
        <f>VLOOKUP(B119, 'RM &amp; SF'!B:C, 2, 0)</f>
        <v>صوص سيزار</v>
      </c>
      <c r="E119" s="30" t="s">
        <v>3058</v>
      </c>
      <c r="F119" s="110">
        <v>4044</v>
      </c>
      <c r="G119" s="30" t="str">
        <f>VLOOKUP(F119, 'RM &amp; SF'!B:C, 2, 0)</f>
        <v>خردل ديجون الاضافي القوي 200 غم*****</v>
      </c>
      <c r="H119" s="89">
        <v>60</v>
      </c>
      <c r="I119" s="30" t="str">
        <f>VLOOKUP(F119, 'RM &amp; SF'!B:H, 4, 0)</f>
        <v>غم</v>
      </c>
      <c r="J119" s="90">
        <f>H119/0.9</f>
        <v>66.666666666666671</v>
      </c>
      <c r="K119" s="91">
        <f>VLOOKUP(F119, 'RM &amp; SF'!B:H, 7, 0)</f>
        <v>8.0057142857142861E-3</v>
      </c>
      <c r="L119" s="92">
        <f t="shared" si="14"/>
        <v>0.53371428571428581</v>
      </c>
      <c r="M119" s="30" t="s">
        <v>810</v>
      </c>
    </row>
    <row r="120" spans="1:13" ht="14">
      <c r="A120" s="88" t="s">
        <v>2406</v>
      </c>
      <c r="B120" s="219" t="s">
        <v>518</v>
      </c>
      <c r="C120" s="30"/>
      <c r="D120" s="30" t="str">
        <f>VLOOKUP(B120, 'RM &amp; SF'!B:C, 2, 0)</f>
        <v>صوص سيزار</v>
      </c>
      <c r="E120" s="30" t="s">
        <v>3058</v>
      </c>
      <c r="F120" s="110">
        <v>4023</v>
      </c>
      <c r="G120" s="30" t="str">
        <f>VLOOKUP(F120, 'RM &amp; SF'!B:C, 2, 0)</f>
        <v>انشوفة فيليه 43 غم*****</v>
      </c>
      <c r="H120" s="89">
        <v>20</v>
      </c>
      <c r="I120" s="30" t="str">
        <f>VLOOKUP(F120, 'RM &amp; SF'!B:H, 4, 0)</f>
        <v>غم</v>
      </c>
      <c r="J120" s="90">
        <f>H120/0.9</f>
        <v>22.222222222222221</v>
      </c>
      <c r="K120" s="91">
        <f>VLOOKUP(F120, 'RM &amp; SF'!B:H, 7, 0)</f>
        <v>3.1301999999999996E-2</v>
      </c>
      <c r="L120" s="92">
        <f t="shared" si="14"/>
        <v>0.69559999999999989</v>
      </c>
      <c r="M120" s="30" t="s">
        <v>810</v>
      </c>
    </row>
    <row r="121" spans="1:13" ht="14">
      <c r="A121" s="88" t="s">
        <v>2406</v>
      </c>
      <c r="B121" s="219" t="s">
        <v>518</v>
      </c>
      <c r="C121" s="30"/>
      <c r="D121" s="30" t="str">
        <f>VLOOKUP(B121, 'RM &amp; SF'!B:C, 2, 0)</f>
        <v>صوص سيزار</v>
      </c>
      <c r="E121" s="30" t="s">
        <v>2287</v>
      </c>
      <c r="F121" s="110">
        <v>4216</v>
      </c>
      <c r="G121" s="30" t="str">
        <f>VLOOKUP(F121, 'RM &amp; SF'!B:C, 2, 0)</f>
        <v>زعتر اوريجانو*****</v>
      </c>
      <c r="H121" s="89">
        <v>30</v>
      </c>
      <c r="I121" s="30" t="str">
        <f>VLOOKUP(F121, 'RM &amp; SF'!B:H, 4, 0)</f>
        <v>غم</v>
      </c>
      <c r="J121" s="90">
        <f>H121/0.9</f>
        <v>33.333333333333336</v>
      </c>
      <c r="K121" s="91">
        <f>VLOOKUP(F121, 'RM &amp; SF'!B:H, 7, 0)</f>
        <v>7.8429999999999993E-3</v>
      </c>
      <c r="L121" s="92">
        <f t="shared" si="14"/>
        <v>0.26143333333333335</v>
      </c>
      <c r="M121" s="30" t="s">
        <v>810</v>
      </c>
    </row>
    <row r="122" spans="1:13" ht="14">
      <c r="A122" s="88" t="s">
        <v>2329</v>
      </c>
      <c r="B122" s="219" t="s">
        <v>512</v>
      </c>
      <c r="C122" s="30"/>
      <c r="D122" s="30" t="str">
        <f>VLOOKUP(B122, 'RM &amp; SF'!B:C, 2, 0)</f>
        <v>خلطة دقوس</v>
      </c>
      <c r="E122" s="30" t="s">
        <v>2309</v>
      </c>
      <c r="F122" s="110">
        <v>4491</v>
      </c>
      <c r="G122" s="30" t="str">
        <f>VLOOKUP(F122, 'RM &amp; SF'!B:C, 2, 0)</f>
        <v>بندورة جامدة*****</v>
      </c>
      <c r="H122" s="89">
        <v>1000</v>
      </c>
      <c r="I122" s="30" t="str">
        <f>VLOOKUP(F122, 'RM &amp; SF'!B:H, 4, 0)</f>
        <v>غم</v>
      </c>
      <c r="J122" s="90">
        <f t="shared" ref="J122:J134" si="15">H122/1.8</f>
        <v>555.55555555555554</v>
      </c>
      <c r="K122" s="91">
        <f>VLOOKUP(F122, 'RM &amp; SF'!B:H, 7, 0)</f>
        <v>5.0000000000000001E-4</v>
      </c>
      <c r="L122" s="92">
        <f t="shared" si="14"/>
        <v>0.27777777777777779</v>
      </c>
      <c r="M122" s="30" t="s">
        <v>810</v>
      </c>
    </row>
    <row r="123" spans="1:13" ht="14">
      <c r="A123" s="88" t="s">
        <v>2329</v>
      </c>
      <c r="B123" s="219" t="s">
        <v>512</v>
      </c>
      <c r="C123" s="30"/>
      <c r="D123" s="30" t="str">
        <f>VLOOKUP(B123, 'RM &amp; SF'!B:C, 2, 0)</f>
        <v>خلطة دقوس</v>
      </c>
      <c r="E123" s="30" t="s">
        <v>2232</v>
      </c>
      <c r="F123" s="110">
        <v>4500</v>
      </c>
      <c r="G123" s="30" t="str">
        <f>VLOOKUP(F123, 'RM &amp; SF'!B:C, 2, 0)</f>
        <v>فلفل حلو اخضر*****</v>
      </c>
      <c r="H123" s="89">
        <v>120</v>
      </c>
      <c r="I123" s="30" t="str">
        <f>VLOOKUP(F123, 'RM &amp; SF'!B:H, 4, 0)</f>
        <v>غم</v>
      </c>
      <c r="J123" s="90">
        <f t="shared" si="15"/>
        <v>66.666666666666671</v>
      </c>
      <c r="K123" s="91">
        <f>VLOOKUP(F123, 'RM &amp; SF'!B:H, 7, 0)</f>
        <v>7.7999999999999999E-4</v>
      </c>
      <c r="L123" s="92">
        <f t="shared" si="14"/>
        <v>5.2000000000000005E-2</v>
      </c>
      <c r="M123" s="30" t="s">
        <v>810</v>
      </c>
    </row>
    <row r="124" spans="1:13" ht="14">
      <c r="A124" s="88" t="s">
        <v>2329</v>
      </c>
      <c r="B124" s="219" t="s">
        <v>512</v>
      </c>
      <c r="C124" s="30"/>
      <c r="D124" s="30" t="str">
        <f>VLOOKUP(B124, 'RM &amp; SF'!B:C, 2, 0)</f>
        <v>خلطة دقوس</v>
      </c>
      <c r="E124" s="30" t="s">
        <v>2233</v>
      </c>
      <c r="F124" s="110">
        <v>4501</v>
      </c>
      <c r="G124" s="30" t="str">
        <f>VLOOKUP(F124, 'RM &amp; SF'!B:C, 2, 0)</f>
        <v>فلفل حلو احمر*****</v>
      </c>
      <c r="H124" s="89">
        <v>240</v>
      </c>
      <c r="I124" s="30" t="str">
        <f>VLOOKUP(F124, 'RM &amp; SF'!B:H, 4, 0)</f>
        <v>غم</v>
      </c>
      <c r="J124" s="90">
        <f t="shared" si="15"/>
        <v>133.33333333333334</v>
      </c>
      <c r="K124" s="91">
        <f>VLOOKUP(F124, 'RM &amp; SF'!B:H, 7, 0)</f>
        <v>7.5000000000000002E-4</v>
      </c>
      <c r="L124" s="92">
        <f t="shared" si="14"/>
        <v>0.1</v>
      </c>
      <c r="M124" s="30" t="s">
        <v>810</v>
      </c>
    </row>
    <row r="125" spans="1:13" ht="14">
      <c r="A125" s="88" t="s">
        <v>2329</v>
      </c>
      <c r="B125" s="219" t="s">
        <v>512</v>
      </c>
      <c r="C125" s="30"/>
      <c r="D125" s="30" t="str">
        <f>VLOOKUP(B125, 'RM &amp; SF'!B:C, 2, 0)</f>
        <v>خلطة دقوس</v>
      </c>
      <c r="E125" s="30" t="s">
        <v>2209</v>
      </c>
      <c r="F125" s="110">
        <v>4546</v>
      </c>
      <c r="G125" s="30" t="str">
        <f>VLOOKUP(F125, 'RM &amp; SF'!B:C, 2, 0)</f>
        <v>كزبرة*****</v>
      </c>
      <c r="H125" s="90">
        <v>0.5</v>
      </c>
      <c r="I125" s="30" t="str">
        <f>VLOOKUP(F125, 'RM &amp; SF'!B:H, 4, 0)</f>
        <v>قطعة</v>
      </c>
      <c r="J125" s="90">
        <f t="shared" si="15"/>
        <v>0.27777777777777779</v>
      </c>
      <c r="K125" s="91">
        <f>VLOOKUP(F125, 'RM &amp; SF'!B:H, 7, 0)</f>
        <v>1E-3</v>
      </c>
      <c r="L125" s="92">
        <f t="shared" si="14"/>
        <v>2.7777777777777778E-4</v>
      </c>
      <c r="M125" s="30" t="s">
        <v>810</v>
      </c>
    </row>
    <row r="126" spans="1:13" ht="14">
      <c r="A126" s="88" t="s">
        <v>2329</v>
      </c>
      <c r="B126" s="219" t="s">
        <v>512</v>
      </c>
      <c r="C126" s="30"/>
      <c r="D126" s="30" t="str">
        <f>VLOOKUP(B126, 'RM &amp; SF'!B:C, 2, 0)</f>
        <v>خلطة دقوس</v>
      </c>
      <c r="E126" s="30" t="s">
        <v>2253</v>
      </c>
      <c r="F126" s="110">
        <v>4547</v>
      </c>
      <c r="G126" s="30" t="str">
        <f>VLOOKUP(F126, 'RM &amp; SF'!B:C, 2, 0)</f>
        <v>نعنع*****</v>
      </c>
      <c r="H126" s="90">
        <v>0.25</v>
      </c>
      <c r="I126" s="30" t="str">
        <f>VLOOKUP(F126, 'RM &amp; SF'!B:H, 4, 0)</f>
        <v>غم</v>
      </c>
      <c r="J126" s="90">
        <f t="shared" si="15"/>
        <v>0.1388888888888889</v>
      </c>
      <c r="K126" s="91">
        <f>VLOOKUP(F126, 'RM &amp; SF'!B:H, 7, 0)</f>
        <v>7.5000000000000002E-4</v>
      </c>
      <c r="L126" s="92">
        <f t="shared" si="14"/>
        <v>1.0416666666666667E-4</v>
      </c>
      <c r="M126" s="30" t="s">
        <v>810</v>
      </c>
    </row>
    <row r="127" spans="1:13" ht="14">
      <c r="A127" s="88" t="s">
        <v>2329</v>
      </c>
      <c r="B127" s="219" t="s">
        <v>512</v>
      </c>
      <c r="C127" s="30"/>
      <c r="D127" s="30" t="str">
        <f>VLOOKUP(B127, 'RM &amp; SF'!B:C, 2, 0)</f>
        <v>خلطة دقوس</v>
      </c>
      <c r="E127" s="30" t="s">
        <v>2239</v>
      </c>
      <c r="F127" s="110">
        <v>4513</v>
      </c>
      <c r="G127" s="30" t="str">
        <f>VLOOKUP(F127, 'RM &amp; SF'!B:C, 2, 0)</f>
        <v>ليمون اصفر*****</v>
      </c>
      <c r="H127" s="89">
        <v>150</v>
      </c>
      <c r="I127" s="30" t="str">
        <f>VLOOKUP(F127, 'RM &amp; SF'!B:H, 4, 0)</f>
        <v>غم</v>
      </c>
      <c r="J127" s="90">
        <f t="shared" si="15"/>
        <v>83.333333333333329</v>
      </c>
      <c r="K127" s="91">
        <f>VLOOKUP(F127, 'RM &amp; SF'!B:H, 7, 0)</f>
        <v>1.75E-3</v>
      </c>
      <c r="L127" s="92">
        <f t="shared" si="14"/>
        <v>0.14583333333333331</v>
      </c>
      <c r="M127" s="30" t="s">
        <v>810</v>
      </c>
    </row>
    <row r="128" spans="1:13" ht="14">
      <c r="A128" s="88" t="s">
        <v>2329</v>
      </c>
      <c r="B128" s="219" t="s">
        <v>512</v>
      </c>
      <c r="C128" s="30"/>
      <c r="D128" s="30" t="str">
        <f>VLOOKUP(B128, 'RM &amp; SF'!B:C, 2, 0)</f>
        <v>خلطة دقوس</v>
      </c>
      <c r="E128" s="30" t="s">
        <v>2234</v>
      </c>
      <c r="F128" s="110">
        <v>4503</v>
      </c>
      <c r="G128" s="30" t="str">
        <f>VLOOKUP(F128, 'RM &amp; SF'!B:C, 2, 0)</f>
        <v>بصل ناشف دفش*****</v>
      </c>
      <c r="H128" s="89">
        <v>80</v>
      </c>
      <c r="I128" s="30" t="str">
        <f>VLOOKUP(F128, 'RM &amp; SF'!B:H, 4, 0)</f>
        <v>غم</v>
      </c>
      <c r="J128" s="90">
        <f t="shared" si="15"/>
        <v>44.444444444444443</v>
      </c>
      <c r="K128" s="91">
        <f>VLOOKUP(F128, 'RM &amp; SF'!B:H, 7, 0)</f>
        <v>2.5000000000000001E-4</v>
      </c>
      <c r="L128" s="92">
        <f t="shared" si="14"/>
        <v>1.1111111111111112E-2</v>
      </c>
      <c r="M128" s="30" t="s">
        <v>810</v>
      </c>
    </row>
    <row r="129" spans="1:13" ht="14">
      <c r="A129" s="88" t="s">
        <v>2329</v>
      </c>
      <c r="B129" s="219" t="s">
        <v>512</v>
      </c>
      <c r="C129" s="30"/>
      <c r="D129" s="30" t="str">
        <f>VLOOKUP(B129, 'RM &amp; SF'!B:C, 2, 0)</f>
        <v>خلطة دقوس</v>
      </c>
      <c r="E129" s="30" t="s">
        <v>2231</v>
      </c>
      <c r="F129" s="110">
        <v>4499</v>
      </c>
      <c r="G129" s="30" t="str">
        <f>VLOOKUP(F129, 'RM &amp; SF'!B:C, 2, 0)</f>
        <v>فلفل حار اخضر*****</v>
      </c>
      <c r="H129" s="89">
        <v>50</v>
      </c>
      <c r="I129" s="30" t="str">
        <f>VLOOKUP(F129, 'RM &amp; SF'!B:H, 4, 0)</f>
        <v>غم</v>
      </c>
      <c r="J129" s="90">
        <f t="shared" si="15"/>
        <v>27.777777777777779</v>
      </c>
      <c r="K129" s="91">
        <f>VLOOKUP(F129, 'RM &amp; SF'!B:H, 7, 0)</f>
        <v>5.0000000000000001E-4</v>
      </c>
      <c r="L129" s="92">
        <f t="shared" si="14"/>
        <v>1.388888888888889E-2</v>
      </c>
      <c r="M129" s="30" t="s">
        <v>810</v>
      </c>
    </row>
    <row r="130" spans="1:13" ht="14">
      <c r="A130" s="88" t="s">
        <v>2329</v>
      </c>
      <c r="B130" s="219" t="s">
        <v>512</v>
      </c>
      <c r="C130" s="30"/>
      <c r="D130" s="30" t="str">
        <f>VLOOKUP(B130, 'RM &amp; SF'!B:C, 2, 0)</f>
        <v>خلطة دقوس</v>
      </c>
      <c r="E130" s="30" t="s">
        <v>2203</v>
      </c>
      <c r="F130" s="110">
        <v>4152</v>
      </c>
      <c r="G130" s="30" t="str">
        <f>VLOOKUP(F130, 'RM &amp; SF'!B:C, 2, 0)</f>
        <v>ملح طعام 750غم*****</v>
      </c>
      <c r="H130" s="89">
        <v>50</v>
      </c>
      <c r="I130" s="30" t="str">
        <f>VLOOKUP(F130, 'RM &amp; SF'!B:H, 4, 0)</f>
        <v>غم</v>
      </c>
      <c r="J130" s="90">
        <f t="shared" si="15"/>
        <v>27.777777777777779</v>
      </c>
      <c r="K130" s="91">
        <f>VLOOKUP(F130, 'RM &amp; SF'!B:H, 7, 0)</f>
        <v>1.7066666666666665E-4</v>
      </c>
      <c r="L130" s="92">
        <f t="shared" si="14"/>
        <v>4.7407407407407407E-3</v>
      </c>
      <c r="M130" s="30" t="s">
        <v>810</v>
      </c>
    </row>
    <row r="131" spans="1:13" ht="14">
      <c r="A131" s="88" t="s">
        <v>2329</v>
      </c>
      <c r="B131" s="219" t="s">
        <v>512</v>
      </c>
      <c r="C131" s="30"/>
      <c r="D131" s="30" t="str">
        <f>VLOOKUP(B131, 'RM &amp; SF'!B:C, 2, 0)</f>
        <v>خلطة دقوس</v>
      </c>
      <c r="E131" s="30" t="s">
        <v>2216</v>
      </c>
      <c r="F131" s="110">
        <v>4230</v>
      </c>
      <c r="G131" s="30" t="str">
        <f>VLOOKUP(F131, 'RM &amp; SF'!B:C, 2, 0)</f>
        <v>ملح ليمون*****</v>
      </c>
      <c r="H131" s="89">
        <v>10</v>
      </c>
      <c r="I131" s="30" t="str">
        <f>VLOOKUP(F131, 'RM &amp; SF'!B:H, 4, 0)</f>
        <v>غم</v>
      </c>
      <c r="J131" s="90">
        <f t="shared" si="15"/>
        <v>5.5555555555555554</v>
      </c>
      <c r="K131" s="91">
        <f>VLOOKUP(F131, 'RM &amp; SF'!B:H, 7, 0)</f>
        <v>1.078E-3</v>
      </c>
      <c r="L131" s="92">
        <f t="shared" si="14"/>
        <v>5.9888888888888882E-3</v>
      </c>
      <c r="M131" s="30" t="s">
        <v>810</v>
      </c>
    </row>
    <row r="132" spans="1:13" ht="14">
      <c r="A132" s="88" t="s">
        <v>2329</v>
      </c>
      <c r="B132" s="219" t="s">
        <v>512</v>
      </c>
      <c r="C132" s="30"/>
      <c r="D132" s="30" t="str">
        <f>VLOOKUP(B132, 'RM &amp; SF'!B:C, 2, 0)</f>
        <v>خلطة دقوس</v>
      </c>
      <c r="E132" s="30" t="s">
        <v>2236</v>
      </c>
      <c r="F132" s="110">
        <v>4505</v>
      </c>
      <c r="G132" s="30" t="str">
        <f>VLOOKUP(F132, 'RM &amp; SF'!B:C, 2, 0)</f>
        <v>ثوم طازج كامل*****</v>
      </c>
      <c r="H132" s="89">
        <v>25</v>
      </c>
      <c r="I132" s="30" t="str">
        <f>VLOOKUP(F132, 'RM &amp; SF'!B:H, 4, 0)</f>
        <v>غم</v>
      </c>
      <c r="J132" s="90">
        <f t="shared" si="15"/>
        <v>13.888888888888889</v>
      </c>
      <c r="K132" s="91">
        <f>VLOOKUP(F132, 'RM &amp; SF'!B:H, 7, 0)</f>
        <v>3.5000000000000001E-3</v>
      </c>
      <c r="L132" s="92">
        <f t="shared" si="14"/>
        <v>4.8611111111111112E-2</v>
      </c>
      <c r="M132" s="30" t="s">
        <v>810</v>
      </c>
    </row>
    <row r="133" spans="1:13" ht="14">
      <c r="A133" s="88" t="s">
        <v>2329</v>
      </c>
      <c r="B133" s="219" t="s">
        <v>512</v>
      </c>
      <c r="C133" s="30"/>
      <c r="D133" s="30" t="str">
        <f>VLOOKUP(B133, 'RM &amp; SF'!B:C, 2, 0)</f>
        <v>خلطة دقوس</v>
      </c>
      <c r="E133" s="30" t="s">
        <v>2251</v>
      </c>
      <c r="F133" s="110">
        <v>4544</v>
      </c>
      <c r="G133" s="30" t="str">
        <f>VLOOKUP(F133, 'RM &amp; SF'!B:C, 2, 0)</f>
        <v>بقدونس*****</v>
      </c>
      <c r="H133" s="90">
        <v>0.5</v>
      </c>
      <c r="I133" s="30" t="str">
        <f>VLOOKUP(F133, 'RM &amp; SF'!B:H, 4, 0)</f>
        <v>غم</v>
      </c>
      <c r="J133" s="90">
        <f t="shared" si="15"/>
        <v>0.27777777777777779</v>
      </c>
      <c r="K133" s="91">
        <f>VLOOKUP(F133, 'RM &amp; SF'!B:H, 7, 0)</f>
        <v>7.5000000000000002E-4</v>
      </c>
      <c r="L133" s="92">
        <f t="shared" si="14"/>
        <v>2.0833333333333335E-4</v>
      </c>
      <c r="M133" s="30" t="s">
        <v>810</v>
      </c>
    </row>
    <row r="134" spans="1:13" ht="14">
      <c r="A134" s="88" t="s">
        <v>2329</v>
      </c>
      <c r="B134" s="219" t="s">
        <v>512</v>
      </c>
      <c r="C134" s="30"/>
      <c r="D134" s="30" t="str">
        <f>VLOOKUP(B134, 'RM &amp; SF'!B:C, 2, 0)</f>
        <v>خلطة دقوس</v>
      </c>
      <c r="E134" s="30" t="s">
        <v>3058</v>
      </c>
      <c r="F134" s="110">
        <v>4045</v>
      </c>
      <c r="G134" s="30" t="str">
        <f>VLOOKUP(F134, 'RM &amp; SF'!B:C, 2, 0)</f>
        <v>معجون الطماطم 1375 غم*****</v>
      </c>
      <c r="H134" s="89">
        <v>125</v>
      </c>
      <c r="I134" s="30" t="str">
        <f>VLOOKUP(F134, 'RM &amp; SF'!B:H, 4, 0)</f>
        <v>غم</v>
      </c>
      <c r="J134" s="90">
        <f t="shared" si="15"/>
        <v>69.444444444444443</v>
      </c>
      <c r="K134" s="91">
        <f>VLOOKUP(F134, 'RM &amp; SF'!B:H, 7, 0)</f>
        <v>1.3665999999999999E-3</v>
      </c>
      <c r="L134" s="92">
        <f t="shared" si="14"/>
        <v>9.4902777777777766E-2</v>
      </c>
      <c r="M134" s="30" t="s">
        <v>810</v>
      </c>
    </row>
    <row r="135" spans="1:13" ht="14">
      <c r="A135" s="88" t="s">
        <v>2330</v>
      </c>
      <c r="B135" s="219" t="s">
        <v>490</v>
      </c>
      <c r="C135" s="30"/>
      <c r="D135" s="30" t="str">
        <f>VLOOKUP(B135, 'RM &amp; SF'!B:C, 2, 0)</f>
        <v>خبز مقلي</v>
      </c>
      <c r="E135" s="30" t="s">
        <v>2225</v>
      </c>
      <c r="F135" s="110">
        <v>4991</v>
      </c>
      <c r="G135" s="30" t="str">
        <f>VLOOKUP(F135, 'RM &amp; SF'!B:C, 2, 0)</f>
        <v>خبز عربي (خبز لبناني) صغير*****</v>
      </c>
      <c r="H135" s="89">
        <v>1000</v>
      </c>
      <c r="I135" s="30" t="str">
        <f>VLOOKUP(F135, 'RM &amp; SF'!B:H, 4, 0)</f>
        <v>غم</v>
      </c>
      <c r="J135" s="90">
        <f>H135/1.4</f>
        <v>714.28571428571433</v>
      </c>
      <c r="K135" s="91">
        <f>VLOOKUP(F135, 'RM &amp; SF'!B:H, 7, 0)</f>
        <v>3.2000000000000003E-4</v>
      </c>
      <c r="L135" s="92">
        <f t="shared" si="14"/>
        <v>0.22857142857142859</v>
      </c>
      <c r="M135" s="30" t="s">
        <v>810</v>
      </c>
    </row>
    <row r="136" spans="1:13" ht="14">
      <c r="A136" s="88" t="s">
        <v>2396</v>
      </c>
      <c r="B136" s="219" t="s">
        <v>582</v>
      </c>
      <c r="C136" s="30"/>
      <c r="D136" s="30" t="str">
        <f>VLOOKUP(B136, 'RM &amp; SF'!B:C, 2, 0)</f>
        <v>بيواز</v>
      </c>
      <c r="E136" s="30" t="s">
        <v>2234</v>
      </c>
      <c r="F136" s="110">
        <v>4503</v>
      </c>
      <c r="G136" s="30" t="str">
        <f>VLOOKUP(F136, 'RM &amp; SF'!B:C, 2, 0)</f>
        <v>بصل ناشف دفش*****</v>
      </c>
      <c r="H136" s="89">
        <v>10000</v>
      </c>
      <c r="I136" s="30" t="str">
        <f>VLOOKUP(F136, 'RM &amp; SF'!B:H, 4, 0)</f>
        <v>غم</v>
      </c>
      <c r="J136" s="90">
        <f>H136/12.206</f>
        <v>819.2692118630182</v>
      </c>
      <c r="K136" s="91">
        <f>VLOOKUP(F136, 'RM &amp; SF'!B:H, 7, 0)</f>
        <v>2.5000000000000001E-4</v>
      </c>
      <c r="L136" s="92">
        <f t="shared" si="14"/>
        <v>0.20481730296575457</v>
      </c>
      <c r="M136" s="30" t="s">
        <v>810</v>
      </c>
    </row>
    <row r="137" spans="1:13" ht="14">
      <c r="A137" s="88" t="s">
        <v>2396</v>
      </c>
      <c r="B137" s="219" t="s">
        <v>582</v>
      </c>
      <c r="C137" s="30"/>
      <c r="D137" s="30" t="str">
        <f>VLOOKUP(B137, 'RM &amp; SF'!B:C, 2, 0)</f>
        <v>بيواز</v>
      </c>
      <c r="E137" s="30" t="s">
        <v>2251</v>
      </c>
      <c r="F137" s="110">
        <v>4544</v>
      </c>
      <c r="G137" s="30" t="str">
        <f>VLOOKUP(F137, 'RM &amp; SF'!B:C, 2, 0)</f>
        <v>بقدونس*****</v>
      </c>
      <c r="H137" s="89">
        <v>30</v>
      </c>
      <c r="I137" s="30" t="str">
        <f>VLOOKUP(F137, 'RM &amp; SF'!B:H, 4, 0)</f>
        <v>غم</v>
      </c>
      <c r="J137" s="90">
        <f>H137/12.206</f>
        <v>2.4578076355890546</v>
      </c>
      <c r="K137" s="91">
        <f>VLOOKUP(F137, 'RM &amp; SF'!B:H, 7, 0)</f>
        <v>7.5000000000000002E-4</v>
      </c>
      <c r="L137" s="92">
        <f t="shared" si="14"/>
        <v>1.843355726691791E-3</v>
      </c>
      <c r="M137" s="30" t="s">
        <v>810</v>
      </c>
    </row>
    <row r="138" spans="1:13" ht="14">
      <c r="A138" s="88" t="s">
        <v>2384</v>
      </c>
      <c r="B138" s="219" t="s">
        <v>538</v>
      </c>
      <c r="C138" s="30"/>
      <c r="D138" s="30" t="str">
        <f>VLOOKUP(B138, 'RM &amp; SF'!B:C, 2, 0)</f>
        <v>دجاج تركي</v>
      </c>
      <c r="E138" s="30" t="s">
        <v>3058</v>
      </c>
      <c r="F138" s="110">
        <v>4577</v>
      </c>
      <c r="G138" s="30" t="str">
        <f>VLOOKUP(F138, 'RM &amp; SF'!B:C, 2, 0)</f>
        <v>دجاج حب مع رقبة طازج للمشاغل 1100-1400غم*****</v>
      </c>
      <c r="H138" s="89">
        <v>18000</v>
      </c>
      <c r="I138" s="30" t="str">
        <f>VLOOKUP(F138, 'RM &amp; SF'!B:H, 4, 0)</f>
        <v>غم</v>
      </c>
      <c r="J138" s="90">
        <f t="shared" ref="J138:J145" si="16">H138/15</f>
        <v>1200</v>
      </c>
      <c r="K138" s="91">
        <f>VLOOKUP(F138, 'RM &amp; SF'!B:H, 7, 0)</f>
        <v>2.3400000000000001E-3</v>
      </c>
      <c r="L138" s="92">
        <f t="shared" si="14"/>
        <v>2.8080000000000003</v>
      </c>
      <c r="M138" s="30" t="s">
        <v>810</v>
      </c>
    </row>
    <row r="139" spans="1:13" ht="14">
      <c r="A139" s="88" t="s">
        <v>2384</v>
      </c>
      <c r="B139" s="219" t="s">
        <v>538</v>
      </c>
      <c r="C139" s="30"/>
      <c r="D139" s="30" t="str">
        <f>VLOOKUP(B139, 'RM &amp; SF'!B:C, 2, 0)</f>
        <v>دجاج تركي</v>
      </c>
      <c r="E139" s="30" t="s">
        <v>2203</v>
      </c>
      <c r="F139" s="110">
        <v>4152</v>
      </c>
      <c r="G139" s="30" t="str">
        <f>VLOOKUP(F139, 'RM &amp; SF'!B:C, 2, 0)</f>
        <v>ملح طعام 750غم*****</v>
      </c>
      <c r="H139" s="89">
        <v>60</v>
      </c>
      <c r="I139" s="30" t="str">
        <f>VLOOKUP(F139, 'RM &amp; SF'!B:H, 4, 0)</f>
        <v>غم</v>
      </c>
      <c r="J139" s="90">
        <f t="shared" si="16"/>
        <v>4</v>
      </c>
      <c r="K139" s="91">
        <f>VLOOKUP(F139, 'RM &amp; SF'!B:H, 7, 0)</f>
        <v>1.7066666666666665E-4</v>
      </c>
      <c r="L139" s="92">
        <f t="shared" si="14"/>
        <v>6.826666666666666E-4</v>
      </c>
      <c r="M139" s="30" t="s">
        <v>810</v>
      </c>
    </row>
    <row r="140" spans="1:13" ht="14">
      <c r="A140" s="88" t="s">
        <v>2384</v>
      </c>
      <c r="B140" s="219" t="s">
        <v>538</v>
      </c>
      <c r="C140" s="30"/>
      <c r="D140" s="30" t="str">
        <f>VLOOKUP(B140, 'RM &amp; SF'!B:C, 2, 0)</f>
        <v>دجاج تركي</v>
      </c>
      <c r="E140" s="30" t="s">
        <v>2222</v>
      </c>
      <c r="F140" s="110">
        <v>4240</v>
      </c>
      <c r="G140" s="30" t="str">
        <f>VLOOKUP(F140, 'RM &amp; SF'!B:C, 2, 0)</f>
        <v>كركم ناعم*****</v>
      </c>
      <c r="H140" s="89">
        <v>25</v>
      </c>
      <c r="I140" s="30" t="str">
        <f>VLOOKUP(F140, 'RM &amp; SF'!B:H, 4, 0)</f>
        <v>غم</v>
      </c>
      <c r="J140" s="90">
        <f t="shared" si="16"/>
        <v>1.6666666666666667</v>
      </c>
      <c r="K140" s="91">
        <f>VLOOKUP(F140, 'RM &amp; SF'!B:H, 7, 0)</f>
        <v>1.9399999999999999E-3</v>
      </c>
      <c r="L140" s="92">
        <f t="shared" si="14"/>
        <v>3.2333333333333333E-3</v>
      </c>
      <c r="M140" s="30" t="s">
        <v>810</v>
      </c>
    </row>
    <row r="141" spans="1:13" ht="14">
      <c r="A141" s="88" t="s">
        <v>2384</v>
      </c>
      <c r="B141" s="219" t="s">
        <v>538</v>
      </c>
      <c r="C141" s="30"/>
      <c r="D141" s="30" t="str">
        <f>VLOOKUP(B141, 'RM &amp; SF'!B:C, 2, 0)</f>
        <v>دجاج تركي</v>
      </c>
      <c r="E141" s="30" t="s">
        <v>2212</v>
      </c>
      <c r="F141" s="110">
        <v>4215</v>
      </c>
      <c r="G141" s="30" t="str">
        <f>VLOOKUP(F141, 'RM &amp; SF'!B:C, 2, 0)</f>
        <v>ملح صيني*****</v>
      </c>
      <c r="H141" s="89">
        <v>60</v>
      </c>
      <c r="I141" s="30" t="str">
        <f>VLOOKUP(F141, 'RM &amp; SF'!B:H, 4, 0)</f>
        <v>غم</v>
      </c>
      <c r="J141" s="90">
        <f t="shared" si="16"/>
        <v>4</v>
      </c>
      <c r="K141" s="91">
        <f>VLOOKUP(F141, 'RM &amp; SF'!B:H, 7, 0)</f>
        <v>1.7240000000000001E-3</v>
      </c>
      <c r="L141" s="92">
        <f t="shared" si="14"/>
        <v>6.8960000000000002E-3</v>
      </c>
      <c r="M141" s="30" t="s">
        <v>810</v>
      </c>
    </row>
    <row r="142" spans="1:13" ht="14">
      <c r="A142" s="88" t="s">
        <v>2384</v>
      </c>
      <c r="B142" s="219" t="s">
        <v>538</v>
      </c>
      <c r="C142" s="30"/>
      <c r="D142" s="30" t="str">
        <f>VLOOKUP(B142, 'RM &amp; SF'!B:C, 2, 0)</f>
        <v>دجاج تركي</v>
      </c>
      <c r="E142" s="30" t="s">
        <v>2214</v>
      </c>
      <c r="F142" s="110">
        <v>4223</v>
      </c>
      <c r="G142" s="30" t="str">
        <f>VLOOKUP(F142, 'RM &amp; SF'!B:C, 2, 0)</f>
        <v>بهارات كاري*****</v>
      </c>
      <c r="H142" s="89">
        <v>60</v>
      </c>
      <c r="I142" s="30" t="str">
        <f>VLOOKUP(F142, 'RM &amp; SF'!B:H, 4, 0)</f>
        <v>غم</v>
      </c>
      <c r="J142" s="90">
        <f t="shared" si="16"/>
        <v>4</v>
      </c>
      <c r="K142" s="91">
        <f>VLOOKUP(F142, 'RM &amp; SF'!B:H, 7, 0)</f>
        <v>2.2409999999999999E-3</v>
      </c>
      <c r="L142" s="92">
        <f t="shared" si="14"/>
        <v>8.9639999999999997E-3</v>
      </c>
      <c r="M142" s="30" t="s">
        <v>810</v>
      </c>
    </row>
    <row r="143" spans="1:13" ht="14">
      <c r="A143" s="88" t="s">
        <v>2384</v>
      </c>
      <c r="B143" s="219" t="s">
        <v>538</v>
      </c>
      <c r="C143" s="30"/>
      <c r="D143" s="30" t="str">
        <f>VLOOKUP(B143, 'RM &amp; SF'!B:C, 2, 0)</f>
        <v>دجاج تركي</v>
      </c>
      <c r="E143" s="30" t="s">
        <v>2288</v>
      </c>
      <c r="F143" s="110">
        <v>4219</v>
      </c>
      <c r="G143" s="30" t="str">
        <f>VLOOKUP(F143, 'RM &amp; SF'!B:C, 2, 0)</f>
        <v>بابريكا حلوة*****</v>
      </c>
      <c r="H143" s="89">
        <v>60</v>
      </c>
      <c r="I143" s="30" t="str">
        <f>VLOOKUP(F143, 'RM &amp; SF'!B:H, 4, 0)</f>
        <v>غم</v>
      </c>
      <c r="J143" s="90">
        <f t="shared" si="16"/>
        <v>4</v>
      </c>
      <c r="K143" s="91">
        <f>VLOOKUP(F143, 'RM &amp; SF'!B:H, 7, 0)</f>
        <v>2.5859999999999998E-3</v>
      </c>
      <c r="L143" s="92">
        <f t="shared" si="14"/>
        <v>1.0343999999999999E-2</v>
      </c>
      <c r="M143" s="30" t="s">
        <v>810</v>
      </c>
    </row>
    <row r="144" spans="1:13" ht="14">
      <c r="A144" s="88" t="s">
        <v>2384</v>
      </c>
      <c r="B144" s="219" t="s">
        <v>538</v>
      </c>
      <c r="C144" s="30"/>
      <c r="D144" s="30" t="str">
        <f>VLOOKUP(B144, 'RM &amp; SF'!B:C, 2, 0)</f>
        <v>دجاج تركي</v>
      </c>
      <c r="E144" s="30" t="s">
        <v>2260</v>
      </c>
      <c r="F144" s="110">
        <v>4160</v>
      </c>
      <c r="G144" s="30" t="str">
        <f>VLOOKUP(F144, 'RM &amp; SF'!B:C, 2, 0)</f>
        <v>زيت صويا 18 لتر*****</v>
      </c>
      <c r="H144" s="89">
        <v>3300</v>
      </c>
      <c r="I144" s="30" t="str">
        <f>VLOOKUP(F144, 'RM &amp; SF'!B:H, 4, 0)</f>
        <v>مل</v>
      </c>
      <c r="J144" s="90">
        <f t="shared" si="16"/>
        <v>220</v>
      </c>
      <c r="K144" s="91">
        <f>VLOOKUP(F144, 'RM &amp; SF'!B:H, 7, 0)</f>
        <v>1.335E-3</v>
      </c>
      <c r="L144" s="92">
        <f t="shared" si="14"/>
        <v>0.29370000000000002</v>
      </c>
      <c r="M144" s="30" t="s">
        <v>810</v>
      </c>
    </row>
    <row r="145" spans="1:13" ht="14">
      <c r="A145" s="88" t="s">
        <v>2384</v>
      </c>
      <c r="B145" s="219" t="s">
        <v>538</v>
      </c>
      <c r="C145" s="30"/>
      <c r="D145" s="30" t="str">
        <f>VLOOKUP(B145, 'RM &amp; SF'!B:C, 2, 0)</f>
        <v>دجاج تركي</v>
      </c>
      <c r="E145" s="30" t="s">
        <v>3058</v>
      </c>
      <c r="F145" s="110" t="s">
        <v>616</v>
      </c>
      <c r="G145" s="30" t="str">
        <f>VLOOKUP(F145, 'RM &amp; SF'!B:C, 2, 0)</f>
        <v>كسرة الخلطة للتركي</v>
      </c>
      <c r="H145" s="89">
        <v>2500</v>
      </c>
      <c r="I145" s="30" t="str">
        <f>VLOOKUP(F145, 'RM &amp; SF'!B:H, 4, 0)</f>
        <v>غم</v>
      </c>
      <c r="J145" s="90">
        <f t="shared" si="16"/>
        <v>166.66666666666666</v>
      </c>
      <c r="K145" s="91">
        <f>VLOOKUP(F145, 'RM &amp; SF'!B:H, 7, 0)</f>
        <v>2.4490697731887044E-3</v>
      </c>
      <c r="L145" s="92">
        <f t="shared" si="14"/>
        <v>0.40817829553145069</v>
      </c>
      <c r="M145" s="30" t="s">
        <v>810</v>
      </c>
    </row>
    <row r="146" spans="1:13" ht="14">
      <c r="A146" s="88" t="s">
        <v>2385</v>
      </c>
      <c r="B146" s="219" t="s">
        <v>540</v>
      </c>
      <c r="C146" s="30"/>
      <c r="D146" s="30" t="str">
        <f>VLOOKUP(B146, 'RM &amp; SF'!B:C, 2, 0)</f>
        <v xml:space="preserve">بطاطا مقلية </v>
      </c>
      <c r="E146" s="30" t="s">
        <v>3058</v>
      </c>
      <c r="F146" s="110">
        <v>4636</v>
      </c>
      <c r="G146" s="30" t="str">
        <f>VLOOKUP(F146, 'RM &amp; SF'!B:C, 2, 0)</f>
        <v>بطاطا كرنكل مجمدة 2.500 كغ*****</v>
      </c>
      <c r="H146" s="89">
        <v>2500</v>
      </c>
      <c r="I146" s="30" t="str">
        <f>VLOOKUP(F146, 'RM &amp; SF'!B:H, 4, 0)</f>
        <v>غم</v>
      </c>
      <c r="J146" s="90">
        <f>H146/2.5</f>
        <v>1000</v>
      </c>
      <c r="K146" s="91">
        <f>VLOOKUP(F146, 'RM &amp; SF'!B:H, 7, 0)</f>
        <v>7.9700000000000007E-4</v>
      </c>
      <c r="L146" s="92">
        <f t="shared" si="14"/>
        <v>0.79700000000000004</v>
      </c>
      <c r="M146" s="30" t="s">
        <v>810</v>
      </c>
    </row>
    <row r="147" spans="1:13" ht="14">
      <c r="A147" s="88" t="s">
        <v>2452</v>
      </c>
      <c r="B147" s="219" t="s">
        <v>528</v>
      </c>
      <c r="C147" s="30"/>
      <c r="D147" s="30" t="str">
        <f>VLOOKUP(B147, 'RM &amp; SF'!B:C, 2, 0)</f>
        <v>شقف متبلة</v>
      </c>
      <c r="E147" s="30" t="s">
        <v>3058</v>
      </c>
      <c r="F147" s="110">
        <v>979</v>
      </c>
      <c r="G147" s="30" t="str">
        <f>VLOOKUP(F147, 'RM &amp; SF'!B:C, 2, 0)</f>
        <v>شقف مشاوي</v>
      </c>
      <c r="H147" s="89">
        <v>15000</v>
      </c>
      <c r="I147" s="30" t="str">
        <f>VLOOKUP(F147, 'RM &amp; SF'!B:H, 4, 0)</f>
        <v>غم</v>
      </c>
      <c r="J147" s="90">
        <f>H147/15</f>
        <v>1000</v>
      </c>
      <c r="K147" s="91">
        <f>VLOOKUP(F147, 'RM &amp; SF'!B:H, 7, 0)</f>
        <v>0.02</v>
      </c>
      <c r="L147" s="92">
        <f t="shared" si="14"/>
        <v>20</v>
      </c>
      <c r="M147" s="30" t="s">
        <v>810</v>
      </c>
    </row>
    <row r="148" spans="1:13" ht="14">
      <c r="A148" s="88" t="s">
        <v>2452</v>
      </c>
      <c r="B148" s="219" t="s">
        <v>528</v>
      </c>
      <c r="C148" s="30"/>
      <c r="D148" s="30" t="str">
        <f>VLOOKUP(B148, 'RM &amp; SF'!B:C, 2, 0)</f>
        <v>شقف متبلة</v>
      </c>
      <c r="E148" s="30" t="s">
        <v>2212</v>
      </c>
      <c r="F148" s="110">
        <v>4215</v>
      </c>
      <c r="G148" s="30" t="str">
        <f>VLOOKUP(F148, 'RM &amp; SF'!B:C, 2, 0)</f>
        <v>ملح صيني*****</v>
      </c>
      <c r="H148" s="89">
        <v>300</v>
      </c>
      <c r="I148" s="30" t="str">
        <f>VLOOKUP(F148, 'RM &amp; SF'!B:H, 4, 0)</f>
        <v>غم</v>
      </c>
      <c r="J148" s="90">
        <f>H148/15</f>
        <v>20</v>
      </c>
      <c r="K148" s="91">
        <f>VLOOKUP(F148, 'RM &amp; SF'!B:H, 7, 0)</f>
        <v>1.7240000000000001E-3</v>
      </c>
      <c r="L148" s="92">
        <f t="shared" si="14"/>
        <v>3.4480000000000004E-2</v>
      </c>
      <c r="M148" s="30" t="s">
        <v>810</v>
      </c>
    </row>
    <row r="149" spans="1:13" ht="14">
      <c r="A149" s="88" t="s">
        <v>2452</v>
      </c>
      <c r="B149" s="219" t="s">
        <v>528</v>
      </c>
      <c r="C149" s="30"/>
      <c r="D149" s="30" t="str">
        <f>VLOOKUP(B149, 'RM &amp; SF'!B:C, 2, 0)</f>
        <v>شقف متبلة</v>
      </c>
      <c r="E149" s="30" t="s">
        <v>2277</v>
      </c>
      <c r="F149" s="110">
        <v>4082</v>
      </c>
      <c r="G149" s="30" t="str">
        <f>VLOOKUP(F149, 'RM &amp; SF'!B:C, 2, 0)</f>
        <v>مطري لحوم 907.2 غم*****</v>
      </c>
      <c r="H149" s="89">
        <v>300</v>
      </c>
      <c r="I149" s="30" t="str">
        <f>VLOOKUP(F149, 'RM &amp; SF'!B:H, 4, 0)</f>
        <v>غم</v>
      </c>
      <c r="J149" s="90">
        <f>H149/15</f>
        <v>20</v>
      </c>
      <c r="K149" s="91">
        <f>VLOOKUP(F149, 'RM &amp; SF'!B:H, 7, 0)</f>
        <v>5.7000000000000002E-3</v>
      </c>
      <c r="L149" s="92">
        <f t="shared" si="14"/>
        <v>0.114</v>
      </c>
      <c r="M149" s="30" t="s">
        <v>810</v>
      </c>
    </row>
    <row r="150" spans="1:13" ht="14">
      <c r="A150" s="88" t="s">
        <v>2452</v>
      </c>
      <c r="B150" s="219" t="s">
        <v>528</v>
      </c>
      <c r="C150" s="30"/>
      <c r="D150" s="30" t="str">
        <f>VLOOKUP(B150, 'RM &amp; SF'!B:C, 2, 0)</f>
        <v>شقف متبلة</v>
      </c>
      <c r="E150" s="30" t="s">
        <v>2290</v>
      </c>
      <c r="F150" s="110">
        <v>4554</v>
      </c>
      <c r="G150" s="30" t="str">
        <f>VLOOKUP(F150, 'RM &amp; SF'!B:C, 2, 0)</f>
        <v>حليب طويل الأجل كامل الدسم 1 لتر*****</v>
      </c>
      <c r="H150" s="89">
        <v>5000</v>
      </c>
      <c r="I150" s="30" t="str">
        <f>VLOOKUP(F150, 'RM &amp; SF'!B:H, 4, 0)</f>
        <v>مل</v>
      </c>
      <c r="J150" s="90">
        <f>H150/15</f>
        <v>333.33333333333331</v>
      </c>
      <c r="K150" s="91">
        <f>VLOOKUP(F150, 'RM &amp; SF'!B:H, 7, 0)</f>
        <v>8.0000000000000004E-4</v>
      </c>
      <c r="L150" s="92">
        <f t="shared" si="14"/>
        <v>0.26666666666666666</v>
      </c>
      <c r="M150" s="30" t="s">
        <v>810</v>
      </c>
    </row>
    <row r="151" spans="1:13" ht="14">
      <c r="A151" s="88" t="s">
        <v>2338</v>
      </c>
      <c r="B151" s="219" t="s">
        <v>532</v>
      </c>
      <c r="C151" s="30"/>
      <c r="D151" s="30" t="str">
        <f>VLOOKUP(B151, 'RM &amp; SF'!B:C, 2, 0)</f>
        <v>كباب دجاج</v>
      </c>
      <c r="E151" s="30" t="s">
        <v>3058</v>
      </c>
      <c r="F151" s="110">
        <v>4622</v>
      </c>
      <c r="G151" s="30" t="str">
        <f>VLOOKUP(F151, 'RM &amp; SF'!B:C, 2, 0)</f>
        <v>زوايد الدجاج*****</v>
      </c>
      <c r="H151" s="89">
        <v>7000</v>
      </c>
      <c r="I151" s="30" t="str">
        <f>VLOOKUP(F151, 'RM &amp; SF'!B:H, 4, 0)</f>
        <v>غم</v>
      </c>
      <c r="J151" s="90">
        <f t="shared" ref="J151:J161" si="17">H151/10.2</f>
        <v>686.27450980392166</v>
      </c>
      <c r="K151" s="91">
        <f>VLOOKUP(F151, 'RM &amp; SF'!B:H, 7, 0)</f>
        <v>3.0000000000000001E-3</v>
      </c>
      <c r="L151" s="92">
        <f t="shared" si="14"/>
        <v>2.0588235294117649</v>
      </c>
      <c r="M151" s="30" t="s">
        <v>810</v>
      </c>
    </row>
    <row r="152" spans="1:13" ht="14">
      <c r="A152" s="88" t="s">
        <v>2338</v>
      </c>
      <c r="B152" s="219" t="s">
        <v>532</v>
      </c>
      <c r="C152" s="30"/>
      <c r="D152" s="30" t="str">
        <f>VLOOKUP(B152, 'RM &amp; SF'!B:C, 2, 0)</f>
        <v>كباب دجاج</v>
      </c>
      <c r="E152" s="30" t="s">
        <v>3058</v>
      </c>
      <c r="F152" s="110">
        <v>4598</v>
      </c>
      <c r="G152" s="30" t="str">
        <f>VLOOKUP(F152, 'RM &amp; SF'!B:C, 2, 0)</f>
        <v>لية خروف نية*****</v>
      </c>
      <c r="H152" s="89">
        <v>3000</v>
      </c>
      <c r="I152" s="30" t="str">
        <f>VLOOKUP(F152, 'RM &amp; SF'!B:H, 4, 0)</f>
        <v>غم</v>
      </c>
      <c r="J152" s="90">
        <f t="shared" si="17"/>
        <v>294.11764705882354</v>
      </c>
      <c r="K152" s="91">
        <f>VLOOKUP(F152, 'RM &amp; SF'!B:H, 7, 0)</f>
        <v>5.0000000000000001E-3</v>
      </c>
      <c r="L152" s="92">
        <f t="shared" si="14"/>
        <v>1.4705882352941178</v>
      </c>
      <c r="M152" s="30" t="s">
        <v>810</v>
      </c>
    </row>
    <row r="153" spans="1:13" ht="14">
      <c r="A153" s="88" t="s">
        <v>2338</v>
      </c>
      <c r="B153" s="219" t="s">
        <v>532</v>
      </c>
      <c r="C153" s="30"/>
      <c r="D153" s="30" t="str">
        <f>VLOOKUP(B153, 'RM &amp; SF'!B:C, 2, 0)</f>
        <v>كباب دجاج</v>
      </c>
      <c r="E153" s="30" t="s">
        <v>2203</v>
      </c>
      <c r="F153" s="110">
        <v>4152</v>
      </c>
      <c r="G153" s="30" t="str">
        <f>VLOOKUP(F153, 'RM &amp; SF'!B:C, 2, 0)</f>
        <v>ملح طعام 750غم*****</v>
      </c>
      <c r="H153" s="89">
        <v>100</v>
      </c>
      <c r="I153" s="30" t="str">
        <f>VLOOKUP(F153, 'RM &amp; SF'!B:H, 4, 0)</f>
        <v>غم</v>
      </c>
      <c r="J153" s="90">
        <f t="shared" si="17"/>
        <v>9.8039215686274517</v>
      </c>
      <c r="K153" s="91">
        <f>VLOOKUP(F153, 'RM &amp; SF'!B:H, 7, 0)</f>
        <v>1.7066666666666665E-4</v>
      </c>
      <c r="L153" s="92">
        <f t="shared" si="14"/>
        <v>1.6732026143790849E-3</v>
      </c>
      <c r="M153" s="30" t="s">
        <v>810</v>
      </c>
    </row>
    <row r="154" spans="1:13" ht="14">
      <c r="A154" s="88" t="s">
        <v>2338</v>
      </c>
      <c r="B154" s="219" t="s">
        <v>532</v>
      </c>
      <c r="C154" s="30"/>
      <c r="D154" s="30" t="str">
        <f>VLOOKUP(B154, 'RM &amp; SF'!B:C, 2, 0)</f>
        <v>كباب دجاج</v>
      </c>
      <c r="E154" s="30" t="s">
        <v>2288</v>
      </c>
      <c r="F154" s="110">
        <v>4219</v>
      </c>
      <c r="G154" s="30" t="str">
        <f>VLOOKUP(F154, 'RM &amp; SF'!B:C, 2, 0)</f>
        <v>بابريكا حلوة*****</v>
      </c>
      <c r="H154" s="89">
        <v>30</v>
      </c>
      <c r="I154" s="30" t="str">
        <f>VLOOKUP(F154, 'RM &amp; SF'!B:H, 4, 0)</f>
        <v>غم</v>
      </c>
      <c r="J154" s="90">
        <f t="shared" si="17"/>
        <v>2.9411764705882355</v>
      </c>
      <c r="K154" s="91">
        <f>VLOOKUP(F154, 'RM &amp; SF'!B:H, 7, 0)</f>
        <v>2.5859999999999998E-3</v>
      </c>
      <c r="L154" s="92">
        <f t="shared" si="14"/>
        <v>7.6058823529411767E-3</v>
      </c>
      <c r="M154" s="30" t="s">
        <v>810</v>
      </c>
    </row>
    <row r="155" spans="1:13" ht="14">
      <c r="A155" s="88" t="s">
        <v>2338</v>
      </c>
      <c r="B155" s="219" t="s">
        <v>532</v>
      </c>
      <c r="C155" s="30"/>
      <c r="D155" s="30" t="str">
        <f>VLOOKUP(B155, 'RM &amp; SF'!B:C, 2, 0)</f>
        <v>كباب دجاج</v>
      </c>
      <c r="E155" s="30" t="s">
        <v>2213</v>
      </c>
      <c r="F155" s="110">
        <v>4218</v>
      </c>
      <c r="G155" s="30" t="str">
        <f>VLOOKUP(F155, 'RM &amp; SF'!B:C, 2, 0)</f>
        <v>بهارات مشكلة*****</v>
      </c>
      <c r="H155" s="89">
        <v>20</v>
      </c>
      <c r="I155" s="30" t="str">
        <f>VLOOKUP(F155, 'RM &amp; SF'!B:H, 4, 0)</f>
        <v>غم</v>
      </c>
      <c r="J155" s="90">
        <f t="shared" si="17"/>
        <v>1.9607843137254903</v>
      </c>
      <c r="K155" s="91">
        <f>VLOOKUP(F155, 'RM &amp; SF'!B:H, 7, 0)</f>
        <v>3.0169999999999997E-3</v>
      </c>
      <c r="L155" s="92">
        <f t="shared" si="14"/>
        <v>5.9156862745098036E-3</v>
      </c>
      <c r="M155" s="30" t="s">
        <v>810</v>
      </c>
    </row>
    <row r="156" spans="1:13" ht="14">
      <c r="A156" s="88" t="s">
        <v>2338</v>
      </c>
      <c r="B156" s="219" t="s">
        <v>532</v>
      </c>
      <c r="C156" s="30"/>
      <c r="D156" s="30" t="str">
        <f>VLOOKUP(B156, 'RM &amp; SF'!B:C, 2, 0)</f>
        <v>كباب دجاج</v>
      </c>
      <c r="E156" s="30" t="s">
        <v>2214</v>
      </c>
      <c r="F156" s="110">
        <v>4223</v>
      </c>
      <c r="G156" s="30" t="str">
        <f>VLOOKUP(F156, 'RM &amp; SF'!B:C, 2, 0)</f>
        <v>بهارات كاري*****</v>
      </c>
      <c r="H156" s="89">
        <v>70</v>
      </c>
      <c r="I156" s="30" t="str">
        <f>VLOOKUP(F156, 'RM &amp; SF'!B:H, 4, 0)</f>
        <v>غم</v>
      </c>
      <c r="J156" s="90">
        <f t="shared" si="17"/>
        <v>6.8627450980392162</v>
      </c>
      <c r="K156" s="91">
        <f>VLOOKUP(F156, 'RM &amp; SF'!B:H, 7, 0)</f>
        <v>2.2409999999999999E-3</v>
      </c>
      <c r="L156" s="92">
        <f t="shared" si="14"/>
        <v>1.5379411764705883E-2</v>
      </c>
      <c r="M156" s="30" t="s">
        <v>810</v>
      </c>
    </row>
    <row r="157" spans="1:13" ht="14">
      <c r="A157" s="88" t="s">
        <v>2338</v>
      </c>
      <c r="B157" s="219" t="s">
        <v>532</v>
      </c>
      <c r="C157" s="30"/>
      <c r="D157" s="30" t="str">
        <f>VLOOKUP(B157, 'RM &amp; SF'!B:C, 2, 0)</f>
        <v>كباب دجاج</v>
      </c>
      <c r="E157" s="30" t="s">
        <v>3058</v>
      </c>
      <c r="F157" s="110">
        <v>4022</v>
      </c>
      <c r="G157" s="30" t="str">
        <f>VLOOKUP(F157, 'RM &amp; SF'!B:C, 2, 0)</f>
        <v>مرق الدجاج بودرة 1 كغ*****</v>
      </c>
      <c r="H157" s="89">
        <v>75</v>
      </c>
      <c r="I157" s="30" t="str">
        <f>VLOOKUP(F157, 'RM &amp; SF'!B:H, 4, 0)</f>
        <v>غم</v>
      </c>
      <c r="J157" s="90">
        <f t="shared" si="17"/>
        <v>7.3529411764705888</v>
      </c>
      <c r="K157" s="91">
        <f>VLOOKUP(F157, 'RM &amp; SF'!B:H, 7, 0)</f>
        <v>4.7054597701149427E-3</v>
      </c>
      <c r="L157" s="92">
        <f t="shared" si="14"/>
        <v>3.4598968897903995E-2</v>
      </c>
      <c r="M157" s="30" t="s">
        <v>810</v>
      </c>
    </row>
    <row r="158" spans="1:13" ht="14">
      <c r="A158" s="88" t="s">
        <v>2338</v>
      </c>
      <c r="B158" s="219" t="s">
        <v>532</v>
      </c>
      <c r="C158" s="30"/>
      <c r="D158" s="30" t="str">
        <f>VLOOKUP(B158, 'RM &amp; SF'!B:C, 2, 0)</f>
        <v>كباب دجاج</v>
      </c>
      <c r="E158" s="30" t="s">
        <v>2208</v>
      </c>
      <c r="F158" s="110">
        <v>4211</v>
      </c>
      <c r="G158" s="30" t="str">
        <f>VLOOKUP(F158, 'RM &amp; SF'!B:C, 2, 0)</f>
        <v>كزبرة ناعمة*****</v>
      </c>
      <c r="H158" s="89">
        <v>50</v>
      </c>
      <c r="I158" s="30" t="str">
        <f>VLOOKUP(F158, 'RM &amp; SF'!B:H, 4, 0)</f>
        <v>غم</v>
      </c>
      <c r="J158" s="90">
        <f t="shared" si="17"/>
        <v>4.9019607843137258</v>
      </c>
      <c r="K158" s="91">
        <f>VLOOKUP(F158, 'RM &amp; SF'!B:H, 7, 0)</f>
        <v>1.5089999999999999E-3</v>
      </c>
      <c r="L158" s="92">
        <f t="shared" si="14"/>
        <v>7.397058823529412E-3</v>
      </c>
      <c r="M158" s="30" t="s">
        <v>810</v>
      </c>
    </row>
    <row r="159" spans="1:13" ht="14">
      <c r="A159" s="88" t="s">
        <v>2338</v>
      </c>
      <c r="B159" s="219" t="s">
        <v>532</v>
      </c>
      <c r="C159" s="30"/>
      <c r="D159" s="30" t="str">
        <f>VLOOKUP(B159, 'RM &amp; SF'!B:C, 2, 0)</f>
        <v>كباب دجاج</v>
      </c>
      <c r="E159" s="30" t="s">
        <v>3058</v>
      </c>
      <c r="F159" s="110">
        <v>4203</v>
      </c>
      <c r="G159" s="30" t="str">
        <f>VLOOKUP(F159, 'RM &amp; SF'!B:C, 2, 0)</f>
        <v>فلفل ابيض ناعم*****</v>
      </c>
      <c r="H159" s="89">
        <v>40</v>
      </c>
      <c r="I159" s="30" t="str">
        <f>VLOOKUP(F159, 'RM &amp; SF'!B:H, 4, 0)</f>
        <v>غم</v>
      </c>
      <c r="J159" s="90">
        <f t="shared" si="17"/>
        <v>3.9215686274509807</v>
      </c>
      <c r="K159" s="91">
        <f>VLOOKUP(F159, 'RM &amp; SF'!B:H, 7, 0)</f>
        <v>7.7590000000000003E-3</v>
      </c>
      <c r="L159" s="92">
        <f t="shared" si="14"/>
        <v>3.0427450980392162E-2</v>
      </c>
      <c r="M159" s="30" t="s">
        <v>810</v>
      </c>
    </row>
    <row r="160" spans="1:13" ht="14">
      <c r="A160" s="88" t="s">
        <v>2338</v>
      </c>
      <c r="B160" s="219" t="s">
        <v>532</v>
      </c>
      <c r="C160" s="30"/>
      <c r="D160" s="30" t="str">
        <f>VLOOKUP(B160, 'RM &amp; SF'!B:C, 2, 0)</f>
        <v>كباب دجاج</v>
      </c>
      <c r="E160" s="30" t="s">
        <v>3058</v>
      </c>
      <c r="F160" s="110">
        <v>4044</v>
      </c>
      <c r="G160" s="30" t="str">
        <f>VLOOKUP(F160, 'RM &amp; SF'!B:C, 2, 0)</f>
        <v>خردل ديجون الاضافي القوي 200 غم*****</v>
      </c>
      <c r="H160" s="89">
        <v>200</v>
      </c>
      <c r="I160" s="30" t="str">
        <f>VLOOKUP(F160, 'RM &amp; SF'!B:H, 4, 0)</f>
        <v>غم</v>
      </c>
      <c r="J160" s="90">
        <f t="shared" si="17"/>
        <v>19.607843137254903</v>
      </c>
      <c r="K160" s="91">
        <f>VLOOKUP(F160, 'RM &amp; SF'!B:H, 7, 0)</f>
        <v>8.0057142857142861E-3</v>
      </c>
      <c r="L160" s="92">
        <f t="shared" si="14"/>
        <v>0.15697478991596642</v>
      </c>
      <c r="M160" s="30" t="s">
        <v>810</v>
      </c>
    </row>
    <row r="161" spans="1:13" ht="14">
      <c r="A161" s="88" t="s">
        <v>2338</v>
      </c>
      <c r="B161" s="219" t="s">
        <v>532</v>
      </c>
      <c r="C161" s="30"/>
      <c r="D161" s="30" t="str">
        <f>VLOOKUP(B161, 'RM &amp; SF'!B:C, 2, 0)</f>
        <v>كباب دجاج</v>
      </c>
      <c r="E161" s="30" t="s">
        <v>3058</v>
      </c>
      <c r="F161" s="110">
        <v>4540</v>
      </c>
      <c r="G161" s="30" t="str">
        <f>VLOOKUP(F161, 'RM &amp; SF'!B:C, 2, 0)</f>
        <v>ريحان طازج*****</v>
      </c>
      <c r="H161" s="89">
        <v>100</v>
      </c>
      <c r="I161" s="30" t="str">
        <f>VLOOKUP(F161, 'RM &amp; SF'!B:H, 4, 0)</f>
        <v>غم</v>
      </c>
      <c r="J161" s="90">
        <f t="shared" si="17"/>
        <v>9.8039215686274517</v>
      </c>
      <c r="K161" s="91">
        <f>VLOOKUP(F161, 'RM &amp; SF'!B:H, 7, 0)</f>
        <v>0.01</v>
      </c>
      <c r="L161" s="92">
        <f t="shared" si="14"/>
        <v>9.8039215686274522E-2</v>
      </c>
      <c r="M161" s="30" t="s">
        <v>810</v>
      </c>
    </row>
    <row r="162" spans="1:13" ht="14">
      <c r="A162" s="88" t="s">
        <v>2453</v>
      </c>
      <c r="B162" s="219" t="s">
        <v>536</v>
      </c>
      <c r="C162" s="30"/>
      <c r="D162" s="30" t="str">
        <f>VLOOKUP(B162, 'RM &amp; SF'!B:C, 2, 0)</f>
        <v>كباب</v>
      </c>
      <c r="E162" s="30" t="s">
        <v>3058</v>
      </c>
      <c r="F162" s="110" t="s">
        <v>698</v>
      </c>
      <c r="G162" s="30" t="str">
        <f>VLOOKUP(F162, 'RM &amp; SF'!B:C, 2, 0)</f>
        <v>لحم قص مجروم</v>
      </c>
      <c r="H162" s="89">
        <v>7000</v>
      </c>
      <c r="I162" s="30" t="str">
        <f>VLOOKUP(F162, 'RM &amp; SF'!B:H, 4, 0)</f>
        <v>غم</v>
      </c>
      <c r="J162" s="90">
        <f t="shared" ref="J162:J167" si="18">H162/10.275</f>
        <v>681.26520681265208</v>
      </c>
      <c r="K162" s="91">
        <f>VLOOKUP(F162, 'RM &amp; SF'!B:H, 7, 0)</f>
        <v>1.4053846153846155E-2</v>
      </c>
      <c r="L162" s="92">
        <f t="shared" si="14"/>
        <v>9.5743964065131948</v>
      </c>
      <c r="M162" s="30" t="s">
        <v>810</v>
      </c>
    </row>
    <row r="163" spans="1:13" ht="14">
      <c r="A163" s="88" t="s">
        <v>2453</v>
      </c>
      <c r="B163" s="219" t="s">
        <v>536</v>
      </c>
      <c r="C163" s="30"/>
      <c r="D163" s="30" t="str">
        <f>VLOOKUP(B163, 'RM &amp; SF'!B:C, 2, 0)</f>
        <v>كباب</v>
      </c>
      <c r="E163" s="30" t="s">
        <v>3058</v>
      </c>
      <c r="F163" s="110">
        <v>4598</v>
      </c>
      <c r="G163" s="30" t="str">
        <f>VLOOKUP(F163, 'RM &amp; SF'!B:C, 2, 0)</f>
        <v>لية خروف نية*****</v>
      </c>
      <c r="H163" s="89">
        <v>1500</v>
      </c>
      <c r="I163" s="30" t="str">
        <f>VLOOKUP(F163, 'RM &amp; SF'!B:H, 4, 0)</f>
        <v>غم</v>
      </c>
      <c r="J163" s="90">
        <f t="shared" si="18"/>
        <v>145.98540145985402</v>
      </c>
      <c r="K163" s="91">
        <f>VLOOKUP(F163, 'RM &amp; SF'!B:H, 7, 0)</f>
        <v>5.0000000000000001E-3</v>
      </c>
      <c r="L163" s="92">
        <f t="shared" si="14"/>
        <v>0.72992700729927007</v>
      </c>
      <c r="M163" s="30" t="s">
        <v>810</v>
      </c>
    </row>
    <row r="164" spans="1:13" ht="14">
      <c r="A164" s="88" t="s">
        <v>2453</v>
      </c>
      <c r="B164" s="219" t="s">
        <v>536</v>
      </c>
      <c r="C164" s="30"/>
      <c r="D164" s="30" t="str">
        <f>VLOOKUP(B164, 'RM &amp; SF'!B:C, 2, 0)</f>
        <v>كباب</v>
      </c>
      <c r="E164" s="30" t="s">
        <v>2203</v>
      </c>
      <c r="F164" s="110">
        <v>4152</v>
      </c>
      <c r="G164" s="30" t="str">
        <f>VLOOKUP(F164, 'RM &amp; SF'!B:C, 2, 0)</f>
        <v>ملح طعام 750غم*****</v>
      </c>
      <c r="H164" s="89">
        <v>100</v>
      </c>
      <c r="I164" s="30" t="str">
        <f>VLOOKUP(F164, 'RM &amp; SF'!B:H, 4, 0)</f>
        <v>غم</v>
      </c>
      <c r="J164" s="90">
        <f t="shared" si="18"/>
        <v>9.7323600973236015</v>
      </c>
      <c r="K164" s="91">
        <f>VLOOKUP(F164, 'RM &amp; SF'!B:H, 7, 0)</f>
        <v>1.7066666666666665E-4</v>
      </c>
      <c r="L164" s="92">
        <f t="shared" si="14"/>
        <v>1.6609894566098945E-3</v>
      </c>
      <c r="M164" s="30" t="s">
        <v>810</v>
      </c>
    </row>
    <row r="165" spans="1:13" ht="14">
      <c r="A165" s="88" t="s">
        <v>2453</v>
      </c>
      <c r="B165" s="219" t="s">
        <v>536</v>
      </c>
      <c r="C165" s="30"/>
      <c r="D165" s="30" t="str">
        <f>VLOOKUP(B165, 'RM &amp; SF'!B:C, 2, 0)</f>
        <v>كباب</v>
      </c>
      <c r="E165" s="30" t="s">
        <v>2208</v>
      </c>
      <c r="F165" s="110">
        <v>4211</v>
      </c>
      <c r="G165" s="30" t="str">
        <f>VLOOKUP(F165, 'RM &amp; SF'!B:C, 2, 0)</f>
        <v>كزبرة ناعمة*****</v>
      </c>
      <c r="H165" s="89">
        <v>100</v>
      </c>
      <c r="I165" s="30" t="str">
        <f>VLOOKUP(F165, 'RM &amp; SF'!B:H, 4, 0)</f>
        <v>غم</v>
      </c>
      <c r="J165" s="90">
        <f t="shared" si="18"/>
        <v>9.7323600973236015</v>
      </c>
      <c r="K165" s="91">
        <f>VLOOKUP(F165, 'RM &amp; SF'!B:H, 7, 0)</f>
        <v>1.5089999999999999E-3</v>
      </c>
      <c r="L165" s="92">
        <f t="shared" si="14"/>
        <v>1.4686131386861314E-2</v>
      </c>
      <c r="M165" s="30" t="s">
        <v>810</v>
      </c>
    </row>
    <row r="166" spans="1:13" ht="14">
      <c r="A166" s="88" t="s">
        <v>2453</v>
      </c>
      <c r="B166" s="219" t="s">
        <v>536</v>
      </c>
      <c r="C166" s="30"/>
      <c r="D166" s="30" t="str">
        <f>VLOOKUP(B166, 'RM &amp; SF'!B:C, 2, 0)</f>
        <v>كباب</v>
      </c>
      <c r="E166" s="30" t="s">
        <v>2251</v>
      </c>
      <c r="F166" s="110">
        <v>4544</v>
      </c>
      <c r="G166" s="30" t="str">
        <f>VLOOKUP(F166, 'RM &amp; SF'!B:C, 2, 0)</f>
        <v>بقدونس*****</v>
      </c>
      <c r="H166" s="89">
        <v>1.25</v>
      </c>
      <c r="I166" s="30" t="str">
        <f>VLOOKUP(F166, 'RM &amp; SF'!B:H, 4, 0)</f>
        <v>غم</v>
      </c>
      <c r="J166" s="90">
        <f t="shared" si="18"/>
        <v>0.121654501216545</v>
      </c>
      <c r="K166" s="91">
        <f>VLOOKUP(F166, 'RM &amp; SF'!B:H, 7, 0)</f>
        <v>7.5000000000000002E-4</v>
      </c>
      <c r="L166" s="92">
        <f t="shared" si="14"/>
        <v>9.1240875912408753E-5</v>
      </c>
      <c r="M166" s="30" t="s">
        <v>810</v>
      </c>
    </row>
    <row r="167" spans="1:13" ht="14">
      <c r="A167" s="88" t="s">
        <v>2453</v>
      </c>
      <c r="B167" s="219" t="s">
        <v>536</v>
      </c>
      <c r="C167" s="30"/>
      <c r="D167" s="30" t="str">
        <f>VLOOKUP(B167, 'RM &amp; SF'!B:C, 2, 0)</f>
        <v>كباب</v>
      </c>
      <c r="E167" s="30" t="s">
        <v>3058</v>
      </c>
      <c r="F167" s="110">
        <v>5373</v>
      </c>
      <c r="G167" s="30" t="str">
        <f>VLOOKUP(F167, 'RM &amp; SF'!B:C, 2, 0)</f>
        <v>قطعيات عجل مشكلة</v>
      </c>
      <c r="H167" s="89">
        <v>1500</v>
      </c>
      <c r="I167" s="30" t="str">
        <f>VLOOKUP(F167, 'RM &amp; SF'!B:H, 4, 0)</f>
        <v>غم</v>
      </c>
      <c r="J167" s="90">
        <f t="shared" si="18"/>
        <v>145.98540145985402</v>
      </c>
      <c r="K167" s="91">
        <f>VLOOKUP(F167, 'RM &amp; SF'!B:H, 7, 0)</f>
        <v>9.0100000000000006E-3</v>
      </c>
      <c r="L167" s="92">
        <f t="shared" si="14"/>
        <v>1.3153284671532848</v>
      </c>
      <c r="M167" s="30" t="s">
        <v>810</v>
      </c>
    </row>
    <row r="168" spans="1:13" ht="14">
      <c r="A168" s="88" t="s">
        <v>2456</v>
      </c>
      <c r="B168" s="219" t="s">
        <v>506</v>
      </c>
      <c r="C168" s="30"/>
      <c r="D168" s="30" t="str">
        <f>VLOOKUP(B168, 'RM &amp; SF'!B:C, 2, 0)</f>
        <v>شيش</v>
      </c>
      <c r="E168" s="30" t="s">
        <v>3058</v>
      </c>
      <c r="F168" s="110">
        <v>5386</v>
      </c>
      <c r="G168" s="30" t="str">
        <f>VLOOKUP(F168, 'RM &amp; SF'!B:C, 2, 0)</f>
        <v>مسحب الطاحونة - طلبات مارت</v>
      </c>
      <c r="H168" s="89">
        <v>15000</v>
      </c>
      <c r="I168" s="30" t="str">
        <f>VLOOKUP(F168, 'RM &amp; SF'!B:H, 4, 0)</f>
        <v>غم</v>
      </c>
      <c r="J168" s="90">
        <f t="shared" ref="J168:J175" si="19">H168/15</f>
        <v>1000</v>
      </c>
      <c r="K168" s="91">
        <f>VLOOKUP(F168, 'RM &amp; SF'!B:H, 7, 0)</f>
        <v>4.2000000000000006E-3</v>
      </c>
      <c r="L168" s="92">
        <f t="shared" si="14"/>
        <v>4.2</v>
      </c>
      <c r="M168" s="30" t="s">
        <v>810</v>
      </c>
    </row>
    <row r="169" spans="1:13" ht="14">
      <c r="A169" s="88" t="s">
        <v>2456</v>
      </c>
      <c r="B169" s="219" t="s">
        <v>506</v>
      </c>
      <c r="C169" s="30"/>
      <c r="D169" s="30" t="str">
        <f>VLOOKUP(B169, 'RM &amp; SF'!B:C, 2, 0)</f>
        <v>شيش</v>
      </c>
      <c r="E169" s="30" t="s">
        <v>2286</v>
      </c>
      <c r="F169" s="110">
        <v>4206</v>
      </c>
      <c r="G169" s="30" t="str">
        <f>VLOOKUP(F169, 'RM &amp; SF'!B:C, 2, 0)</f>
        <v>قزحة (حبة البركة)*****</v>
      </c>
      <c r="H169" s="89">
        <v>60</v>
      </c>
      <c r="I169" s="30" t="str">
        <f>VLOOKUP(F169, 'RM &amp; SF'!B:H, 4, 0)</f>
        <v>غم</v>
      </c>
      <c r="J169" s="90">
        <f t="shared" si="19"/>
        <v>4</v>
      </c>
      <c r="K169" s="91">
        <f>VLOOKUP(F169, 'RM &amp; SF'!B:H, 7, 0)</f>
        <v>3.0169999999999997E-3</v>
      </c>
      <c r="L169" s="92">
        <f t="shared" si="14"/>
        <v>1.2067999999999999E-2</v>
      </c>
      <c r="M169" s="30" t="s">
        <v>810</v>
      </c>
    </row>
    <row r="170" spans="1:13" ht="14">
      <c r="A170" s="88" t="s">
        <v>2456</v>
      </c>
      <c r="B170" s="219" t="s">
        <v>506</v>
      </c>
      <c r="C170" s="30"/>
      <c r="D170" s="30" t="str">
        <f>VLOOKUP(B170, 'RM &amp; SF'!B:C, 2, 0)</f>
        <v>شيش</v>
      </c>
      <c r="E170" s="30" t="s">
        <v>2214</v>
      </c>
      <c r="F170" s="110">
        <v>4223</v>
      </c>
      <c r="G170" s="30" t="str">
        <f>VLOOKUP(F170, 'RM &amp; SF'!B:C, 2, 0)</f>
        <v>بهارات كاري*****</v>
      </c>
      <c r="H170" s="89">
        <v>40</v>
      </c>
      <c r="I170" s="30" t="str">
        <f>VLOOKUP(F170, 'RM &amp; SF'!B:H, 4, 0)</f>
        <v>غم</v>
      </c>
      <c r="J170" s="90">
        <f t="shared" si="19"/>
        <v>2.6666666666666665</v>
      </c>
      <c r="K170" s="91">
        <f>VLOOKUP(F170, 'RM &amp; SF'!B:H, 7, 0)</f>
        <v>2.2409999999999999E-3</v>
      </c>
      <c r="L170" s="92">
        <f t="shared" si="14"/>
        <v>5.9759999999999995E-3</v>
      </c>
      <c r="M170" s="30" t="s">
        <v>810</v>
      </c>
    </row>
    <row r="171" spans="1:13" ht="14">
      <c r="A171" s="88" t="s">
        <v>2456</v>
      </c>
      <c r="B171" s="219" t="s">
        <v>506</v>
      </c>
      <c r="C171" s="30"/>
      <c r="D171" s="30" t="str">
        <f>VLOOKUP(B171, 'RM &amp; SF'!B:C, 2, 0)</f>
        <v>شيش</v>
      </c>
      <c r="E171" s="30" t="s">
        <v>2288</v>
      </c>
      <c r="F171" s="110">
        <v>4219</v>
      </c>
      <c r="G171" s="30" t="str">
        <f>VLOOKUP(F171, 'RM &amp; SF'!B:C, 2, 0)</f>
        <v>بابريكا حلوة*****</v>
      </c>
      <c r="H171" s="89">
        <v>40</v>
      </c>
      <c r="I171" s="30" t="str">
        <f>VLOOKUP(F171, 'RM &amp; SF'!B:H, 4, 0)</f>
        <v>غم</v>
      </c>
      <c r="J171" s="90">
        <f t="shared" si="19"/>
        <v>2.6666666666666665</v>
      </c>
      <c r="K171" s="91">
        <f>VLOOKUP(F171, 'RM &amp; SF'!B:H, 7, 0)</f>
        <v>2.5859999999999998E-3</v>
      </c>
      <c r="L171" s="92">
        <f t="shared" si="14"/>
        <v>6.8959999999999994E-3</v>
      </c>
      <c r="M171" s="30" t="s">
        <v>810</v>
      </c>
    </row>
    <row r="172" spans="1:13" ht="14">
      <c r="A172" s="88" t="s">
        <v>2456</v>
      </c>
      <c r="B172" s="219" t="s">
        <v>506</v>
      </c>
      <c r="C172" s="30"/>
      <c r="D172" s="30" t="str">
        <f>VLOOKUP(B172, 'RM &amp; SF'!B:C, 2, 0)</f>
        <v>شيش</v>
      </c>
      <c r="E172" s="30" t="s">
        <v>2212</v>
      </c>
      <c r="F172" s="110">
        <v>4215</v>
      </c>
      <c r="G172" s="30" t="str">
        <f>VLOOKUP(F172, 'RM &amp; SF'!B:C, 2, 0)</f>
        <v>ملح صيني*****</v>
      </c>
      <c r="H172" s="89">
        <v>40</v>
      </c>
      <c r="I172" s="30" t="str">
        <f>VLOOKUP(F172, 'RM &amp; SF'!B:H, 4, 0)</f>
        <v>غم</v>
      </c>
      <c r="J172" s="90">
        <f t="shared" si="19"/>
        <v>2.6666666666666665</v>
      </c>
      <c r="K172" s="91">
        <f>VLOOKUP(F172, 'RM &amp; SF'!B:H, 7, 0)</f>
        <v>1.7240000000000001E-3</v>
      </c>
      <c r="L172" s="92">
        <f t="shared" ref="L172:L235" si="20">K172*J172</f>
        <v>4.5973333333333335E-3</v>
      </c>
      <c r="M172" s="30" t="s">
        <v>810</v>
      </c>
    </row>
    <row r="173" spans="1:13" ht="14">
      <c r="A173" s="88" t="s">
        <v>2456</v>
      </c>
      <c r="B173" s="219" t="s">
        <v>506</v>
      </c>
      <c r="C173" s="30"/>
      <c r="D173" s="30" t="str">
        <f>VLOOKUP(B173, 'RM &amp; SF'!B:C, 2, 0)</f>
        <v>شيش</v>
      </c>
      <c r="E173" s="30" t="s">
        <v>2203</v>
      </c>
      <c r="F173" s="110">
        <v>4152</v>
      </c>
      <c r="G173" s="30" t="str">
        <f>VLOOKUP(F173, 'RM &amp; SF'!B:C, 2, 0)</f>
        <v>ملح طعام 750غم*****</v>
      </c>
      <c r="H173" s="89">
        <v>30</v>
      </c>
      <c r="I173" s="30" t="str">
        <f>VLOOKUP(F173, 'RM &amp; SF'!B:H, 4, 0)</f>
        <v>غم</v>
      </c>
      <c r="J173" s="90">
        <f t="shared" si="19"/>
        <v>2</v>
      </c>
      <c r="K173" s="91">
        <f>VLOOKUP(F173, 'RM &amp; SF'!B:H, 7, 0)</f>
        <v>1.7066666666666665E-4</v>
      </c>
      <c r="L173" s="92">
        <f t="shared" si="20"/>
        <v>3.413333333333333E-4</v>
      </c>
      <c r="M173" s="30" t="s">
        <v>810</v>
      </c>
    </row>
    <row r="174" spans="1:13" ht="14">
      <c r="A174" s="88" t="s">
        <v>2456</v>
      </c>
      <c r="B174" s="219" t="s">
        <v>506</v>
      </c>
      <c r="C174" s="30"/>
      <c r="D174" s="30" t="str">
        <f>VLOOKUP(B174, 'RM &amp; SF'!B:C, 2, 0)</f>
        <v>شيش</v>
      </c>
      <c r="E174" s="30" t="s">
        <v>2260</v>
      </c>
      <c r="F174" s="110">
        <v>4160</v>
      </c>
      <c r="G174" s="30" t="str">
        <f>VLOOKUP(F174, 'RM &amp; SF'!B:C, 2, 0)</f>
        <v>زيت صويا 18 لتر*****</v>
      </c>
      <c r="H174" s="89">
        <v>1300</v>
      </c>
      <c r="I174" s="30" t="str">
        <f>VLOOKUP(F174, 'RM &amp; SF'!B:H, 4, 0)</f>
        <v>مل</v>
      </c>
      <c r="J174" s="90">
        <f t="shared" si="19"/>
        <v>86.666666666666671</v>
      </c>
      <c r="K174" s="91">
        <f>VLOOKUP(F174, 'RM &amp; SF'!B:H, 7, 0)</f>
        <v>1.335E-3</v>
      </c>
      <c r="L174" s="92">
        <f t="shared" si="20"/>
        <v>0.11570000000000001</v>
      </c>
      <c r="M174" s="30" t="s">
        <v>810</v>
      </c>
    </row>
    <row r="175" spans="1:13" ht="14">
      <c r="A175" s="88" t="s">
        <v>2456</v>
      </c>
      <c r="B175" s="219" t="s">
        <v>506</v>
      </c>
      <c r="C175" s="30"/>
      <c r="D175" s="30" t="str">
        <f>VLOOKUP(B175, 'RM &amp; SF'!B:C, 2, 0)</f>
        <v>شيش</v>
      </c>
      <c r="E175" s="30" t="s">
        <v>3058</v>
      </c>
      <c r="F175" s="110" t="s">
        <v>616</v>
      </c>
      <c r="G175" s="30" t="str">
        <f>VLOOKUP(F175, 'RM &amp; SF'!B:C, 2, 0)</f>
        <v>كسرة الخلطة للتركي</v>
      </c>
      <c r="H175" s="89">
        <v>2000</v>
      </c>
      <c r="I175" s="30" t="str">
        <f>VLOOKUP(F175, 'RM &amp; SF'!B:H, 4, 0)</f>
        <v>غم</v>
      </c>
      <c r="J175" s="90">
        <f t="shared" si="19"/>
        <v>133.33333333333334</v>
      </c>
      <c r="K175" s="91">
        <f>VLOOKUP(F175, 'RM &amp; SF'!B:H, 7, 0)</f>
        <v>2.4490697731887044E-3</v>
      </c>
      <c r="L175" s="92">
        <f t="shared" si="20"/>
        <v>0.32654263642516063</v>
      </c>
      <c r="M175" s="30" t="s">
        <v>810</v>
      </c>
    </row>
    <row r="176" spans="1:13" ht="14">
      <c r="A176" s="88" t="s">
        <v>2386</v>
      </c>
      <c r="B176" s="219" t="s">
        <v>584</v>
      </c>
      <c r="C176" s="30"/>
      <c r="D176" s="30" t="str">
        <f>VLOOKUP(B176, 'RM &amp; SF'!B:C, 2, 0)</f>
        <v>رز قدرة</v>
      </c>
      <c r="E176" s="30" t="s">
        <v>2281</v>
      </c>
      <c r="F176" s="110">
        <v>4133</v>
      </c>
      <c r="G176" s="30" t="str">
        <f>VLOOKUP(F176, 'RM &amp; SF'!B:C, 2, 0)</f>
        <v>ارز بسمتي ذهبي*****</v>
      </c>
      <c r="H176" s="89">
        <v>12000</v>
      </c>
      <c r="I176" s="30" t="str">
        <f>VLOOKUP(F176, 'RM &amp; SF'!B:H, 4, 0)</f>
        <v>غم</v>
      </c>
      <c r="J176" s="90">
        <f t="shared" ref="J176:J197" si="21">H176/47</f>
        <v>255.31914893617022</v>
      </c>
      <c r="K176" s="91">
        <f>VLOOKUP(F176, 'RM &amp; SF'!B:H, 7, 0)</f>
        <v>1.1000000000000001E-3</v>
      </c>
      <c r="L176" s="92">
        <f t="shared" si="20"/>
        <v>0.28085106382978725</v>
      </c>
      <c r="M176" s="30" t="s">
        <v>810</v>
      </c>
    </row>
    <row r="177" spans="1:13" ht="14">
      <c r="A177" s="88" t="s">
        <v>2386</v>
      </c>
      <c r="B177" s="219" t="s">
        <v>584</v>
      </c>
      <c r="C177" s="30"/>
      <c r="D177" s="30" t="str">
        <f>VLOOKUP(B177, 'RM &amp; SF'!B:C, 2, 0)</f>
        <v>رز قدرة</v>
      </c>
      <c r="E177" s="30" t="s">
        <v>3058</v>
      </c>
      <c r="F177" s="110">
        <v>4143</v>
      </c>
      <c r="G177" s="30" t="str">
        <f>VLOOKUP(F177, 'RM &amp; SF'!B:C, 2, 0)</f>
        <v>حمص حب نمرة 12*****</v>
      </c>
      <c r="H177" s="89">
        <v>1000</v>
      </c>
      <c r="I177" s="30" t="str">
        <f>VLOOKUP(F177, 'RM &amp; SF'!B:H, 4, 0)</f>
        <v>غم</v>
      </c>
      <c r="J177" s="90">
        <f t="shared" si="21"/>
        <v>21.276595744680851</v>
      </c>
      <c r="K177" s="91">
        <f>VLOOKUP(F177, 'RM &amp; SF'!B:H, 7, 0)</f>
        <v>1.24E-3</v>
      </c>
      <c r="L177" s="92">
        <f t="shared" si="20"/>
        <v>2.6382978723404255E-2</v>
      </c>
      <c r="M177" s="30" t="s">
        <v>810</v>
      </c>
    </row>
    <row r="178" spans="1:13" ht="14">
      <c r="A178" s="88" t="s">
        <v>2386</v>
      </c>
      <c r="B178" s="219" t="s">
        <v>584</v>
      </c>
      <c r="C178" s="30"/>
      <c r="D178" s="30" t="str">
        <f>VLOOKUP(B178, 'RM &amp; SF'!B:C, 2, 0)</f>
        <v>رز قدرة</v>
      </c>
      <c r="E178" s="30" t="s">
        <v>2236</v>
      </c>
      <c r="F178" s="110">
        <v>4505</v>
      </c>
      <c r="G178" s="30" t="str">
        <f>VLOOKUP(F178, 'RM &amp; SF'!B:C, 2, 0)</f>
        <v>ثوم طازج كامل*****</v>
      </c>
      <c r="H178" s="89">
        <v>750</v>
      </c>
      <c r="I178" s="30" t="str">
        <f>VLOOKUP(F178, 'RM &amp; SF'!B:H, 4, 0)</f>
        <v>غم</v>
      </c>
      <c r="J178" s="90">
        <f t="shared" si="21"/>
        <v>15.957446808510639</v>
      </c>
      <c r="K178" s="91">
        <f>VLOOKUP(F178, 'RM &amp; SF'!B:H, 7, 0)</f>
        <v>3.5000000000000001E-3</v>
      </c>
      <c r="L178" s="92">
        <f t="shared" si="20"/>
        <v>5.5851063829787238E-2</v>
      </c>
      <c r="M178" s="30" t="s">
        <v>810</v>
      </c>
    </row>
    <row r="179" spans="1:13" ht="14">
      <c r="A179" s="88" t="s">
        <v>2386</v>
      </c>
      <c r="B179" s="219" t="s">
        <v>584</v>
      </c>
      <c r="C179" s="30"/>
      <c r="D179" s="30" t="str">
        <f>VLOOKUP(B179, 'RM &amp; SF'!B:C, 2, 0)</f>
        <v>رز قدرة</v>
      </c>
      <c r="E179" s="30" t="s">
        <v>2231</v>
      </c>
      <c r="F179" s="110">
        <v>4499</v>
      </c>
      <c r="G179" s="30" t="str">
        <f>VLOOKUP(F179, 'RM &amp; SF'!B:C, 2, 0)</f>
        <v>فلفل حار اخضر*****</v>
      </c>
      <c r="H179" s="89">
        <v>100</v>
      </c>
      <c r="I179" s="30" t="str">
        <f>VLOOKUP(F179, 'RM &amp; SF'!B:H, 4, 0)</f>
        <v>غم</v>
      </c>
      <c r="J179" s="90">
        <f t="shared" si="21"/>
        <v>2.1276595744680851</v>
      </c>
      <c r="K179" s="91">
        <f>VLOOKUP(F179, 'RM &amp; SF'!B:H, 7, 0)</f>
        <v>5.0000000000000001E-4</v>
      </c>
      <c r="L179" s="92">
        <f t="shared" si="20"/>
        <v>1.0638297872340426E-3</v>
      </c>
      <c r="M179" s="30" t="s">
        <v>810</v>
      </c>
    </row>
    <row r="180" spans="1:13" ht="14">
      <c r="A180" s="88" t="s">
        <v>2386</v>
      </c>
      <c r="B180" s="219" t="s">
        <v>584</v>
      </c>
      <c r="C180" s="30"/>
      <c r="D180" s="30" t="str">
        <f>VLOOKUP(B180, 'RM &amp; SF'!B:C, 2, 0)</f>
        <v>رز قدرة</v>
      </c>
      <c r="E180" s="30" t="s">
        <v>2261</v>
      </c>
      <c r="F180" s="110">
        <v>4163</v>
      </c>
      <c r="G180" s="30" t="str">
        <f>VLOOKUP(F180, 'RM &amp; SF'!B:C, 2, 0)</f>
        <v>سمنة بنكهة السمن البلدي 15 كغ*****</v>
      </c>
      <c r="H180" s="89">
        <v>600</v>
      </c>
      <c r="I180" s="30" t="str">
        <f>VLOOKUP(F180, 'RM &amp; SF'!B:H, 4, 0)</f>
        <v>غم</v>
      </c>
      <c r="J180" s="90">
        <f t="shared" si="21"/>
        <v>12.76595744680851</v>
      </c>
      <c r="K180" s="91">
        <f>VLOOKUP(F180, 'RM &amp; SF'!B:H, 7, 0)</f>
        <v>2.0512E-3</v>
      </c>
      <c r="L180" s="92">
        <f t="shared" si="20"/>
        <v>2.6185531914893617E-2</v>
      </c>
      <c r="M180" s="30" t="s">
        <v>810</v>
      </c>
    </row>
    <row r="181" spans="1:13" ht="14">
      <c r="A181" s="88" t="s">
        <v>2386</v>
      </c>
      <c r="B181" s="219" t="s">
        <v>584</v>
      </c>
      <c r="C181" s="30"/>
      <c r="D181" s="30" t="str">
        <f>VLOOKUP(B181, 'RM &amp; SF'!B:C, 2, 0)</f>
        <v>رز قدرة</v>
      </c>
      <c r="E181" s="30" t="s">
        <v>2260</v>
      </c>
      <c r="F181" s="110">
        <v>4160</v>
      </c>
      <c r="G181" s="30" t="str">
        <f>VLOOKUP(F181, 'RM &amp; SF'!B:C, 2, 0)</f>
        <v>زيت صويا 18 لتر*****</v>
      </c>
      <c r="H181" s="89">
        <v>600</v>
      </c>
      <c r="I181" s="30" t="str">
        <f>VLOOKUP(F181, 'RM &amp; SF'!B:H, 4, 0)</f>
        <v>مل</v>
      </c>
      <c r="J181" s="90">
        <f t="shared" si="21"/>
        <v>12.76595744680851</v>
      </c>
      <c r="K181" s="91">
        <f>VLOOKUP(F181, 'RM &amp; SF'!B:H, 7, 0)</f>
        <v>1.335E-3</v>
      </c>
      <c r="L181" s="92">
        <f t="shared" si="20"/>
        <v>1.7042553191489361E-2</v>
      </c>
      <c r="M181" s="30" t="s">
        <v>810</v>
      </c>
    </row>
    <row r="182" spans="1:13" ht="14">
      <c r="A182" s="88" t="s">
        <v>2386</v>
      </c>
      <c r="B182" s="219" t="s">
        <v>584</v>
      </c>
      <c r="C182" s="30"/>
      <c r="D182" s="30" t="str">
        <f>VLOOKUP(B182, 'RM &amp; SF'!B:C, 2, 0)</f>
        <v>رز قدرة</v>
      </c>
      <c r="E182" s="30" t="s">
        <v>3058</v>
      </c>
      <c r="F182" s="110">
        <v>4021</v>
      </c>
      <c r="G182" s="30" t="str">
        <f>VLOOKUP(F182, 'RM &amp; SF'!B:C, 2, 0)</f>
        <v>مكعبات مرق الدجاج 24 عبوة*2 مكعب*****</v>
      </c>
      <c r="H182" s="89">
        <v>100</v>
      </c>
      <c r="I182" s="30" t="str">
        <f>VLOOKUP(F182, 'RM &amp; SF'!B:H, 4, 0)</f>
        <v>غم</v>
      </c>
      <c r="J182" s="90">
        <f t="shared" si="21"/>
        <v>2.1276595744680851</v>
      </c>
      <c r="K182" s="91">
        <f>VLOOKUP(F182, 'RM &amp; SF'!B:H, 7, 0)</f>
        <v>3.8541666666666668E-3</v>
      </c>
      <c r="L182" s="92">
        <f t="shared" si="20"/>
        <v>8.2003546099290777E-3</v>
      </c>
      <c r="M182" s="30" t="s">
        <v>810</v>
      </c>
    </row>
    <row r="183" spans="1:13" ht="14">
      <c r="A183" s="88" t="s">
        <v>2386</v>
      </c>
      <c r="B183" s="219" t="s">
        <v>584</v>
      </c>
      <c r="C183" s="30"/>
      <c r="D183" s="30" t="str">
        <f>VLOOKUP(B183, 'RM &amp; SF'!B:C, 2, 0)</f>
        <v>رز قدرة</v>
      </c>
      <c r="E183" s="30" t="s">
        <v>2213</v>
      </c>
      <c r="F183" s="110">
        <v>4218</v>
      </c>
      <c r="G183" s="30" t="str">
        <f>VLOOKUP(F183, 'RM &amp; SF'!B:C, 2, 0)</f>
        <v>بهارات مشكلة*****</v>
      </c>
      <c r="H183" s="89">
        <v>90</v>
      </c>
      <c r="I183" s="30" t="str">
        <f>VLOOKUP(F183, 'RM &amp; SF'!B:H, 4, 0)</f>
        <v>غم</v>
      </c>
      <c r="J183" s="90">
        <f t="shared" si="21"/>
        <v>1.9148936170212767</v>
      </c>
      <c r="K183" s="91">
        <f>VLOOKUP(F183, 'RM &amp; SF'!B:H, 7, 0)</f>
        <v>3.0169999999999997E-3</v>
      </c>
      <c r="L183" s="92">
        <f t="shared" si="20"/>
        <v>5.777234042553191E-3</v>
      </c>
      <c r="M183" s="30" t="s">
        <v>810</v>
      </c>
    </row>
    <row r="184" spans="1:13" ht="14">
      <c r="A184" s="88" t="s">
        <v>2386</v>
      </c>
      <c r="B184" s="219" t="s">
        <v>584</v>
      </c>
      <c r="C184" s="30"/>
      <c r="D184" s="30" t="str">
        <f>VLOOKUP(B184, 'RM &amp; SF'!B:C, 2, 0)</f>
        <v>رز قدرة</v>
      </c>
      <c r="E184" s="30" t="s">
        <v>3058</v>
      </c>
      <c r="F184" s="110">
        <v>4222</v>
      </c>
      <c r="G184" s="30" t="str">
        <f>VLOOKUP(F184, 'RM &amp; SF'!B:C, 2, 0)</f>
        <v>كمون ناعم*****</v>
      </c>
      <c r="H184" s="89">
        <v>20</v>
      </c>
      <c r="I184" s="30" t="str">
        <f>VLOOKUP(F184, 'RM &amp; SF'!B:H, 4, 0)</f>
        <v>غم</v>
      </c>
      <c r="J184" s="90">
        <f t="shared" si="21"/>
        <v>0.42553191489361702</v>
      </c>
      <c r="K184" s="91">
        <f>VLOOKUP(F184, 'RM &amp; SF'!B:H, 7, 0)</f>
        <v>3.2330000000000002E-3</v>
      </c>
      <c r="L184" s="92">
        <f t="shared" si="20"/>
        <v>1.3757446808510638E-3</v>
      </c>
      <c r="M184" s="30" t="s">
        <v>810</v>
      </c>
    </row>
    <row r="185" spans="1:13" ht="14">
      <c r="A185" s="88" t="s">
        <v>2386</v>
      </c>
      <c r="B185" s="219" t="s">
        <v>584</v>
      </c>
      <c r="C185" s="30"/>
      <c r="D185" s="30" t="str">
        <f>VLOOKUP(B185, 'RM &amp; SF'!B:C, 2, 0)</f>
        <v>رز قدرة</v>
      </c>
      <c r="E185" s="30" t="s">
        <v>2214</v>
      </c>
      <c r="F185" s="110">
        <v>4223</v>
      </c>
      <c r="G185" s="30" t="str">
        <f>VLOOKUP(F185, 'RM &amp; SF'!B:C, 2, 0)</f>
        <v>بهارات كاري*****</v>
      </c>
      <c r="H185" s="89">
        <v>40</v>
      </c>
      <c r="I185" s="30" t="str">
        <f>VLOOKUP(F185, 'RM &amp; SF'!B:H, 4, 0)</f>
        <v>غم</v>
      </c>
      <c r="J185" s="90">
        <f t="shared" si="21"/>
        <v>0.85106382978723405</v>
      </c>
      <c r="K185" s="91">
        <f>VLOOKUP(F185, 'RM &amp; SF'!B:H, 7, 0)</f>
        <v>2.2409999999999999E-3</v>
      </c>
      <c r="L185" s="92">
        <f t="shared" si="20"/>
        <v>1.9072340425531915E-3</v>
      </c>
      <c r="M185" s="30" t="s">
        <v>810</v>
      </c>
    </row>
    <row r="186" spans="1:13" ht="14">
      <c r="A186" s="88" t="s">
        <v>2386</v>
      </c>
      <c r="B186" s="219" t="s">
        <v>584</v>
      </c>
      <c r="C186" s="30"/>
      <c r="D186" s="30" t="str">
        <f>VLOOKUP(B186, 'RM &amp; SF'!B:C, 2, 0)</f>
        <v>رز قدرة</v>
      </c>
      <c r="E186" s="30" t="s">
        <v>2218</v>
      </c>
      <c r="F186" s="110">
        <v>4233</v>
      </c>
      <c r="G186" s="30" t="str">
        <f>VLOOKUP(F186, 'RM &amp; SF'!B:C, 2, 0)</f>
        <v>هال ناعم*****</v>
      </c>
      <c r="H186" s="89">
        <v>80</v>
      </c>
      <c r="I186" s="30" t="str">
        <f>VLOOKUP(F186, 'RM &amp; SF'!B:H, 4, 0)</f>
        <v>غم</v>
      </c>
      <c r="J186" s="90">
        <f t="shared" si="21"/>
        <v>1.7021276595744681</v>
      </c>
      <c r="K186" s="91">
        <f>VLOOKUP(F186, 'RM &amp; SF'!B:H, 7, 0)</f>
        <v>2.3E-2</v>
      </c>
      <c r="L186" s="92">
        <f t="shared" si="20"/>
        <v>3.9148936170212763E-2</v>
      </c>
      <c r="M186" s="30" t="s">
        <v>810</v>
      </c>
    </row>
    <row r="187" spans="1:13" ht="14">
      <c r="A187" s="88" t="s">
        <v>2386</v>
      </c>
      <c r="B187" s="219" t="s">
        <v>584</v>
      </c>
      <c r="C187" s="30"/>
      <c r="D187" s="30" t="str">
        <f>VLOOKUP(B187, 'RM &amp; SF'!B:C, 2, 0)</f>
        <v>رز قدرة</v>
      </c>
      <c r="E187" s="30" t="s">
        <v>2208</v>
      </c>
      <c r="F187" s="110">
        <v>4211</v>
      </c>
      <c r="G187" s="30" t="str">
        <f>VLOOKUP(F187, 'RM &amp; SF'!B:C, 2, 0)</f>
        <v>كزبرة ناعمة*****</v>
      </c>
      <c r="H187" s="89">
        <v>50</v>
      </c>
      <c r="I187" s="30" t="str">
        <f>VLOOKUP(F187, 'RM &amp; SF'!B:H, 4, 0)</f>
        <v>غم</v>
      </c>
      <c r="J187" s="90">
        <f t="shared" si="21"/>
        <v>1.0638297872340425</v>
      </c>
      <c r="K187" s="91">
        <f>VLOOKUP(F187, 'RM &amp; SF'!B:H, 7, 0)</f>
        <v>1.5089999999999999E-3</v>
      </c>
      <c r="L187" s="92">
        <f t="shared" si="20"/>
        <v>1.6053191489361701E-3</v>
      </c>
      <c r="M187" s="30" t="s">
        <v>810</v>
      </c>
    </row>
    <row r="188" spans="1:13" ht="14">
      <c r="A188" s="88" t="s">
        <v>2386</v>
      </c>
      <c r="B188" s="219" t="s">
        <v>584</v>
      </c>
      <c r="C188" s="30"/>
      <c r="D188" s="30" t="str">
        <f>VLOOKUP(B188, 'RM &amp; SF'!B:C, 2, 0)</f>
        <v>رز قدرة</v>
      </c>
      <c r="E188" s="30" t="s">
        <v>2206</v>
      </c>
      <c r="F188" s="110">
        <v>4204</v>
      </c>
      <c r="G188" s="30" t="str">
        <f>VLOOKUP(F188, 'RM &amp; SF'!B:C, 2, 0)</f>
        <v>فلفل اسود ناعم*****</v>
      </c>
      <c r="H188" s="89">
        <v>80</v>
      </c>
      <c r="I188" s="30" t="str">
        <f>VLOOKUP(F188, 'RM &amp; SF'!B:H, 4, 0)</f>
        <v>غم</v>
      </c>
      <c r="J188" s="90">
        <f t="shared" si="21"/>
        <v>1.7021276595744681</v>
      </c>
      <c r="K188" s="91">
        <f>VLOOKUP(F188, 'RM &amp; SF'!B:H, 7, 0)</f>
        <v>6.8970000000000004E-3</v>
      </c>
      <c r="L188" s="92">
        <f t="shared" si="20"/>
        <v>1.1739574468085106E-2</v>
      </c>
      <c r="M188" s="30" t="s">
        <v>810</v>
      </c>
    </row>
    <row r="189" spans="1:13" ht="14">
      <c r="A189" s="88" t="s">
        <v>2386</v>
      </c>
      <c r="B189" s="219" t="s">
        <v>584</v>
      </c>
      <c r="C189" s="30"/>
      <c r="D189" s="30" t="str">
        <f>VLOOKUP(B189, 'RM &amp; SF'!B:C, 2, 0)</f>
        <v>رز قدرة</v>
      </c>
      <c r="E189" s="30" t="s">
        <v>2203</v>
      </c>
      <c r="F189" s="110">
        <v>4152</v>
      </c>
      <c r="G189" s="30" t="str">
        <f>VLOOKUP(F189, 'RM &amp; SF'!B:C, 2, 0)</f>
        <v>ملح طعام 750غم*****</v>
      </c>
      <c r="H189" s="89">
        <v>450</v>
      </c>
      <c r="I189" s="30" t="str">
        <f>VLOOKUP(F189, 'RM &amp; SF'!B:H, 4, 0)</f>
        <v>غم</v>
      </c>
      <c r="J189" s="90">
        <f t="shared" si="21"/>
        <v>9.5744680851063837</v>
      </c>
      <c r="K189" s="91">
        <f>VLOOKUP(F189, 'RM &amp; SF'!B:H, 7, 0)</f>
        <v>1.7066666666666665E-4</v>
      </c>
      <c r="L189" s="92">
        <f t="shared" si="20"/>
        <v>1.6340425531914894E-3</v>
      </c>
      <c r="M189" s="30" t="s">
        <v>810</v>
      </c>
    </row>
    <row r="190" spans="1:13" ht="14">
      <c r="A190" s="88" t="s">
        <v>2386</v>
      </c>
      <c r="B190" s="219" t="s">
        <v>584</v>
      </c>
      <c r="C190" s="30"/>
      <c r="D190" s="30" t="str">
        <f>VLOOKUP(B190, 'RM &amp; SF'!B:C, 2, 0)</f>
        <v>رز قدرة</v>
      </c>
      <c r="E190" s="30" t="s">
        <v>2211</v>
      </c>
      <c r="F190" s="110">
        <v>4214</v>
      </c>
      <c r="G190" s="30" t="str">
        <f>VLOOKUP(F190, 'RM &amp; SF'!B:C, 2, 0)</f>
        <v>قرفة ناعمة*****</v>
      </c>
      <c r="H190" s="89">
        <v>25</v>
      </c>
      <c r="I190" s="30" t="str">
        <f>VLOOKUP(F190, 'RM &amp; SF'!B:H, 4, 0)</f>
        <v>غم</v>
      </c>
      <c r="J190" s="90">
        <f t="shared" si="21"/>
        <v>0.53191489361702127</v>
      </c>
      <c r="K190" s="91">
        <f>VLOOKUP(F190, 'RM &amp; SF'!B:H, 7, 0)</f>
        <v>2.8020000000000002E-3</v>
      </c>
      <c r="L190" s="92">
        <f t="shared" si="20"/>
        <v>1.4904255319148937E-3</v>
      </c>
      <c r="M190" s="30" t="s">
        <v>810</v>
      </c>
    </row>
    <row r="191" spans="1:13" ht="14">
      <c r="A191" s="88" t="s">
        <v>2386</v>
      </c>
      <c r="B191" s="219" t="s">
        <v>584</v>
      </c>
      <c r="C191" s="30"/>
      <c r="D191" s="30" t="str">
        <f>VLOOKUP(B191, 'RM &amp; SF'!B:C, 2, 0)</f>
        <v>رز قدرة</v>
      </c>
      <c r="E191" s="30" t="s">
        <v>2234</v>
      </c>
      <c r="F191" s="110">
        <v>4503</v>
      </c>
      <c r="G191" s="30" t="str">
        <f>VLOOKUP(F191, 'RM &amp; SF'!B:C, 2, 0)</f>
        <v>بصل ناشف دفش*****</v>
      </c>
      <c r="H191" s="89">
        <v>1000</v>
      </c>
      <c r="I191" s="30" t="str">
        <f>VLOOKUP(F191, 'RM &amp; SF'!B:H, 4, 0)</f>
        <v>غم</v>
      </c>
      <c r="J191" s="90">
        <f t="shared" si="21"/>
        <v>21.276595744680851</v>
      </c>
      <c r="K191" s="91">
        <f>VLOOKUP(F191, 'RM &amp; SF'!B:H, 7, 0)</f>
        <v>2.5000000000000001E-4</v>
      </c>
      <c r="L191" s="92">
        <f t="shared" si="20"/>
        <v>5.3191489361702126E-3</v>
      </c>
      <c r="M191" s="30" t="s">
        <v>810</v>
      </c>
    </row>
    <row r="192" spans="1:13" ht="14">
      <c r="A192" s="88" t="s">
        <v>2386</v>
      </c>
      <c r="B192" s="219" t="s">
        <v>584</v>
      </c>
      <c r="C192" s="30"/>
      <c r="D192" s="30" t="str">
        <f>VLOOKUP(B192, 'RM &amp; SF'!B:C, 2, 0)</f>
        <v>رز قدرة</v>
      </c>
      <c r="E192" s="30" t="s">
        <v>3058</v>
      </c>
      <c r="F192" s="110">
        <v>4191</v>
      </c>
      <c r="G192" s="30" t="str">
        <f>VLOOKUP(F192, 'RM &amp; SF'!B:C, 2, 0)</f>
        <v>جوزة الطيب مطحونة*****</v>
      </c>
      <c r="H192" s="89">
        <v>20</v>
      </c>
      <c r="I192" s="30" t="str">
        <f>VLOOKUP(F192, 'RM &amp; SF'!B:H, 4, 0)</f>
        <v>غم</v>
      </c>
      <c r="J192" s="90">
        <f t="shared" si="21"/>
        <v>0.42553191489361702</v>
      </c>
      <c r="K192" s="91">
        <f>VLOOKUP(F192, 'RM &amp; SF'!B:H, 7, 0)</f>
        <v>6.0339999999999994E-3</v>
      </c>
      <c r="L192" s="92">
        <f t="shared" si="20"/>
        <v>2.567659574468085E-3</v>
      </c>
      <c r="M192" s="30" t="s">
        <v>810</v>
      </c>
    </row>
    <row r="193" spans="1:13" ht="14">
      <c r="A193" s="88" t="s">
        <v>2386</v>
      </c>
      <c r="B193" s="219" t="s">
        <v>584</v>
      </c>
      <c r="C193" s="30"/>
      <c r="D193" s="30" t="str">
        <f>VLOOKUP(B193, 'RM &amp; SF'!B:C, 2, 0)</f>
        <v>رز قدرة</v>
      </c>
      <c r="E193" s="30" t="s">
        <v>2212</v>
      </c>
      <c r="F193" s="110">
        <v>4215</v>
      </c>
      <c r="G193" s="30" t="str">
        <f>VLOOKUP(F193, 'RM &amp; SF'!B:C, 2, 0)</f>
        <v>ملح صيني*****</v>
      </c>
      <c r="H193" s="89">
        <v>90</v>
      </c>
      <c r="I193" s="30" t="str">
        <f>VLOOKUP(F193, 'RM &amp; SF'!B:H, 4, 0)</f>
        <v>غم</v>
      </c>
      <c r="J193" s="90">
        <f t="shared" si="21"/>
        <v>1.9148936170212767</v>
      </c>
      <c r="K193" s="91">
        <f>VLOOKUP(F193, 'RM &amp; SF'!B:H, 7, 0)</f>
        <v>1.7240000000000001E-3</v>
      </c>
      <c r="L193" s="92">
        <f t="shared" si="20"/>
        <v>3.3012765957446811E-3</v>
      </c>
      <c r="M193" s="30" t="s">
        <v>810</v>
      </c>
    </row>
    <row r="194" spans="1:13" ht="14">
      <c r="A194" s="88" t="s">
        <v>2386</v>
      </c>
      <c r="B194" s="219" t="s">
        <v>584</v>
      </c>
      <c r="C194" s="30"/>
      <c r="D194" s="30" t="str">
        <f>VLOOKUP(B194, 'RM &amp; SF'!B:C, 2, 0)</f>
        <v>رز قدرة</v>
      </c>
      <c r="E194" s="30" t="s">
        <v>3058</v>
      </c>
      <c r="F194" s="110">
        <v>1221</v>
      </c>
      <c r="G194" s="30" t="str">
        <f>VLOOKUP(F194, 'RM &amp; SF'!B:C, 2, 0)</f>
        <v>مرقة لحم</v>
      </c>
      <c r="H194" s="89">
        <v>13500</v>
      </c>
      <c r="I194" s="30" t="str">
        <f>VLOOKUP(F194, 'RM &amp; SF'!B:H, 4, 0)</f>
        <v>غم</v>
      </c>
      <c r="J194" s="90">
        <f t="shared" si="21"/>
        <v>287.2340425531915</v>
      </c>
      <c r="K194" s="91">
        <f>VLOOKUP(F194, 'RM &amp; SF'!B:H, 7, 0)</f>
        <v>0</v>
      </c>
      <c r="L194" s="92">
        <f t="shared" si="20"/>
        <v>0</v>
      </c>
      <c r="M194" s="30" t="s">
        <v>810</v>
      </c>
    </row>
    <row r="195" spans="1:13" ht="14">
      <c r="A195" s="88" t="s">
        <v>2386</v>
      </c>
      <c r="B195" s="219" t="s">
        <v>584</v>
      </c>
      <c r="C195" s="30"/>
      <c r="D195" s="30" t="str">
        <f>VLOOKUP(B195, 'RM &amp; SF'!B:C, 2, 0)</f>
        <v>رز قدرة</v>
      </c>
      <c r="E195" s="30" t="s">
        <v>2222</v>
      </c>
      <c r="F195" s="110">
        <v>4240</v>
      </c>
      <c r="G195" s="30" t="str">
        <f>VLOOKUP(F195, 'RM &amp; SF'!B:C, 2, 0)</f>
        <v>كركم ناعم*****</v>
      </c>
      <c r="H195" s="89">
        <v>20</v>
      </c>
      <c r="I195" s="30" t="str">
        <f>VLOOKUP(F195, 'RM &amp; SF'!B:H, 4, 0)</f>
        <v>غم</v>
      </c>
      <c r="J195" s="90">
        <f t="shared" si="21"/>
        <v>0.42553191489361702</v>
      </c>
      <c r="K195" s="91">
        <f>VLOOKUP(F195, 'RM &amp; SF'!B:H, 7, 0)</f>
        <v>1.9399999999999999E-3</v>
      </c>
      <c r="L195" s="92">
        <f t="shared" si="20"/>
        <v>8.2553191489361693E-4</v>
      </c>
      <c r="M195" s="30" t="s">
        <v>810</v>
      </c>
    </row>
    <row r="196" spans="1:13" ht="14">
      <c r="A196" s="88" t="s">
        <v>2386</v>
      </c>
      <c r="B196" s="219" t="s">
        <v>584</v>
      </c>
      <c r="C196" s="30"/>
      <c r="D196" s="30" t="str">
        <f>VLOOKUP(B196, 'RM &amp; SF'!B:C, 2, 0)</f>
        <v>رز قدرة</v>
      </c>
      <c r="E196" s="30" t="s">
        <v>2221</v>
      </c>
      <c r="F196" s="110">
        <v>4237</v>
      </c>
      <c r="G196" s="30" t="str">
        <f>VLOOKUP(F196, 'RM &amp; SF'!B:C, 2, 0)</f>
        <v>ثوم ناعم*****</v>
      </c>
      <c r="H196" s="89">
        <v>20</v>
      </c>
      <c r="I196" s="30" t="str">
        <f>VLOOKUP(F196, 'RM &amp; SF'!B:H, 4, 0)</f>
        <v>غم</v>
      </c>
      <c r="J196" s="90">
        <f t="shared" si="21"/>
        <v>0.42553191489361702</v>
      </c>
      <c r="K196" s="91">
        <f>VLOOKUP(F196, 'RM &amp; SF'!B:H, 7, 0)</f>
        <v>2.3709999999999998E-3</v>
      </c>
      <c r="L196" s="92">
        <f t="shared" si="20"/>
        <v>1.008936170212766E-3</v>
      </c>
      <c r="M196" s="30" t="s">
        <v>810</v>
      </c>
    </row>
    <row r="197" spans="1:13" ht="14">
      <c r="A197" s="88" t="s">
        <v>2386</v>
      </c>
      <c r="B197" s="219" t="s">
        <v>584</v>
      </c>
      <c r="C197" s="30"/>
      <c r="D197" s="30" t="str">
        <f>VLOOKUP(B197, 'RM &amp; SF'!B:C, 2, 0)</f>
        <v>رز قدرة</v>
      </c>
      <c r="E197" s="30" t="s">
        <v>2220</v>
      </c>
      <c r="F197" s="110">
        <v>4236</v>
      </c>
      <c r="G197" s="30" t="str">
        <f>VLOOKUP(F197, 'RM &amp; SF'!B:C, 2, 0)</f>
        <v>بصل ناعم*****</v>
      </c>
      <c r="H197" s="89">
        <v>20</v>
      </c>
      <c r="I197" s="30" t="str">
        <f>VLOOKUP(F197, 'RM &amp; SF'!B:H, 4, 0)</f>
        <v>غم</v>
      </c>
      <c r="J197" s="90">
        <f t="shared" si="21"/>
        <v>0.42553191489361702</v>
      </c>
      <c r="K197" s="91">
        <f>VLOOKUP(F197, 'RM &amp; SF'!B:H, 7, 0)</f>
        <v>2.3709999999999998E-3</v>
      </c>
      <c r="L197" s="92">
        <f t="shared" si="20"/>
        <v>1.008936170212766E-3</v>
      </c>
      <c r="M197" s="30" t="s">
        <v>810</v>
      </c>
    </row>
    <row r="198" spans="1:13" ht="14">
      <c r="A198" s="88" t="s">
        <v>2390</v>
      </c>
      <c r="B198" s="219" t="s">
        <v>548</v>
      </c>
      <c r="C198" s="30"/>
      <c r="D198" s="30" t="str">
        <f>VLOOKUP(B198, 'RM &amp; SF'!B:C, 2, 0)</f>
        <v>رز ابيض</v>
      </c>
      <c r="E198" s="30" t="s">
        <v>2281</v>
      </c>
      <c r="F198" s="110">
        <v>4133</v>
      </c>
      <c r="G198" s="30" t="str">
        <f>VLOOKUP(F198, 'RM &amp; SF'!B:C, 2, 0)</f>
        <v>ارز بسمتي ذهبي*****</v>
      </c>
      <c r="H198" s="89">
        <v>10000</v>
      </c>
      <c r="I198" s="30" t="str">
        <f>VLOOKUP(F198, 'RM &amp; SF'!B:H, 4, 0)</f>
        <v>غم</v>
      </c>
      <c r="J198" s="90">
        <f t="shared" ref="J198:J204" si="22">H198/35</f>
        <v>285.71428571428572</v>
      </c>
      <c r="K198" s="91">
        <f>VLOOKUP(F198, 'RM &amp; SF'!B:H, 7, 0)</f>
        <v>1.1000000000000001E-3</v>
      </c>
      <c r="L198" s="92">
        <f t="shared" si="20"/>
        <v>0.31428571428571433</v>
      </c>
      <c r="M198" s="30" t="s">
        <v>810</v>
      </c>
    </row>
    <row r="199" spans="1:13" ht="14">
      <c r="A199" s="88" t="s">
        <v>2390</v>
      </c>
      <c r="B199" s="219" t="s">
        <v>548</v>
      </c>
      <c r="C199" s="30"/>
      <c r="D199" s="30" t="str">
        <f>VLOOKUP(B199, 'RM &amp; SF'!B:C, 2, 0)</f>
        <v>رز ابيض</v>
      </c>
      <c r="E199" s="30" t="s">
        <v>2260</v>
      </c>
      <c r="F199" s="110">
        <v>4160</v>
      </c>
      <c r="G199" s="30" t="str">
        <f>VLOOKUP(F199, 'RM &amp; SF'!B:C, 2, 0)</f>
        <v>زيت صويا 18 لتر*****</v>
      </c>
      <c r="H199" s="89">
        <v>1250</v>
      </c>
      <c r="I199" s="30" t="str">
        <f>VLOOKUP(F199, 'RM &amp; SF'!B:H, 4, 0)</f>
        <v>مل</v>
      </c>
      <c r="J199" s="90">
        <f t="shared" si="22"/>
        <v>35.714285714285715</v>
      </c>
      <c r="K199" s="91">
        <f>VLOOKUP(F199, 'RM &amp; SF'!B:H, 7, 0)</f>
        <v>1.335E-3</v>
      </c>
      <c r="L199" s="92">
        <f t="shared" si="20"/>
        <v>4.7678571428571431E-2</v>
      </c>
      <c r="M199" s="30" t="s">
        <v>810</v>
      </c>
    </row>
    <row r="200" spans="1:13" ht="14">
      <c r="A200" s="88" t="s">
        <v>2390</v>
      </c>
      <c r="B200" s="219" t="s">
        <v>548</v>
      </c>
      <c r="C200" s="30"/>
      <c r="D200" s="30" t="str">
        <f>VLOOKUP(B200, 'RM &amp; SF'!B:C, 2, 0)</f>
        <v>رز ابيض</v>
      </c>
      <c r="E200" s="30" t="s">
        <v>2279</v>
      </c>
      <c r="F200" s="110">
        <v>4100</v>
      </c>
      <c r="G200" s="30" t="str">
        <f>VLOOKUP(F200, 'RM &amp; SF'!B:C, 2, 0)</f>
        <v>معكرونة شعيرية 500 غم*****</v>
      </c>
      <c r="H200" s="89">
        <v>1000</v>
      </c>
      <c r="I200" s="30" t="str">
        <f>VLOOKUP(F200, 'RM &amp; SF'!B:H, 4, 0)</f>
        <v>غم</v>
      </c>
      <c r="J200" s="90">
        <f t="shared" si="22"/>
        <v>28.571428571428573</v>
      </c>
      <c r="K200" s="91">
        <f>VLOOKUP(F200, 'RM &amp; SF'!B:H, 7, 0)</f>
        <v>9.9199999999999983E-4</v>
      </c>
      <c r="L200" s="92">
        <f t="shared" si="20"/>
        <v>2.8342857142857138E-2</v>
      </c>
      <c r="M200" s="30" t="s">
        <v>810</v>
      </c>
    </row>
    <row r="201" spans="1:13" ht="14">
      <c r="A201" s="88" t="s">
        <v>2390</v>
      </c>
      <c r="B201" s="219" t="s">
        <v>548</v>
      </c>
      <c r="C201" s="30"/>
      <c r="D201" s="30" t="str">
        <f>VLOOKUP(B201, 'RM &amp; SF'!B:C, 2, 0)</f>
        <v>رز ابيض</v>
      </c>
      <c r="E201" s="30" t="s">
        <v>3058</v>
      </c>
      <c r="F201" s="110">
        <v>4021</v>
      </c>
      <c r="G201" s="30" t="str">
        <f>VLOOKUP(F201, 'RM &amp; SF'!B:C, 2, 0)</f>
        <v>مكعبات مرق الدجاج 24 عبوة*2 مكعب*****</v>
      </c>
      <c r="H201" s="89">
        <v>100</v>
      </c>
      <c r="I201" s="30" t="str">
        <f>VLOOKUP(F201, 'RM &amp; SF'!B:H, 4, 0)</f>
        <v>غم</v>
      </c>
      <c r="J201" s="90">
        <f t="shared" si="22"/>
        <v>2.8571428571428572</v>
      </c>
      <c r="K201" s="91">
        <f>VLOOKUP(F201, 'RM &amp; SF'!B:H, 7, 0)</f>
        <v>3.8541666666666668E-3</v>
      </c>
      <c r="L201" s="92">
        <f t="shared" si="20"/>
        <v>1.1011904761904763E-2</v>
      </c>
      <c r="M201" s="30" t="s">
        <v>810</v>
      </c>
    </row>
    <row r="202" spans="1:13" ht="14">
      <c r="A202" s="88" t="s">
        <v>2390</v>
      </c>
      <c r="B202" s="219" t="s">
        <v>548</v>
      </c>
      <c r="C202" s="30"/>
      <c r="D202" s="30" t="str">
        <f>VLOOKUP(B202, 'RM &amp; SF'!B:C, 2, 0)</f>
        <v>رز ابيض</v>
      </c>
      <c r="E202" s="30" t="s">
        <v>2203</v>
      </c>
      <c r="F202" s="110">
        <v>4152</v>
      </c>
      <c r="G202" s="30" t="str">
        <f>VLOOKUP(F202, 'RM &amp; SF'!B:C, 2, 0)</f>
        <v>ملح طعام 750غم*****</v>
      </c>
      <c r="H202" s="89">
        <v>300</v>
      </c>
      <c r="I202" s="30" t="str">
        <f>VLOOKUP(F202, 'RM &amp; SF'!B:H, 4, 0)</f>
        <v>غم</v>
      </c>
      <c r="J202" s="90">
        <f t="shared" si="22"/>
        <v>8.5714285714285712</v>
      </c>
      <c r="K202" s="91">
        <f>VLOOKUP(F202, 'RM &amp; SF'!B:H, 7, 0)</f>
        <v>1.7066666666666665E-4</v>
      </c>
      <c r="L202" s="92">
        <f t="shared" si="20"/>
        <v>1.4628571428571427E-3</v>
      </c>
      <c r="M202" s="30" t="s">
        <v>810</v>
      </c>
    </row>
    <row r="203" spans="1:13" ht="14">
      <c r="A203" s="88" t="s">
        <v>2390</v>
      </c>
      <c r="B203" s="219" t="s">
        <v>548</v>
      </c>
      <c r="C203" s="30"/>
      <c r="D203" s="30" t="str">
        <f>VLOOKUP(B203, 'RM &amp; SF'!B:C, 2, 0)</f>
        <v>رز ابيض</v>
      </c>
      <c r="E203" s="30" t="s">
        <v>2218</v>
      </c>
      <c r="F203" s="110">
        <v>4233</v>
      </c>
      <c r="G203" s="30" t="str">
        <f>VLOOKUP(F203, 'RM &amp; SF'!B:C, 2, 0)</f>
        <v>هال ناعم*****</v>
      </c>
      <c r="H203" s="89">
        <v>15</v>
      </c>
      <c r="I203" s="30" t="str">
        <f>VLOOKUP(F203, 'RM &amp; SF'!B:H, 4, 0)</f>
        <v>غم</v>
      </c>
      <c r="J203" s="90">
        <f t="shared" si="22"/>
        <v>0.42857142857142855</v>
      </c>
      <c r="K203" s="91">
        <f>VLOOKUP(F203, 'RM &amp; SF'!B:H, 7, 0)</f>
        <v>2.3E-2</v>
      </c>
      <c r="L203" s="92">
        <f t="shared" si="20"/>
        <v>9.857142857142856E-3</v>
      </c>
      <c r="M203" s="30" t="s">
        <v>810</v>
      </c>
    </row>
    <row r="204" spans="1:13" ht="14">
      <c r="A204" s="88" t="s">
        <v>2390</v>
      </c>
      <c r="B204" s="219" t="s">
        <v>548</v>
      </c>
      <c r="C204" s="30"/>
      <c r="D204" s="30" t="str">
        <f>VLOOKUP(B204, 'RM &amp; SF'!B:C, 2, 0)</f>
        <v>رز ابيض</v>
      </c>
      <c r="E204" s="30" t="s">
        <v>3058</v>
      </c>
      <c r="F204" s="110">
        <v>4203</v>
      </c>
      <c r="G204" s="30" t="str">
        <f>VLOOKUP(F204, 'RM &amp; SF'!B:C, 2, 0)</f>
        <v>فلفل ابيض ناعم*****</v>
      </c>
      <c r="H204" s="89">
        <v>15</v>
      </c>
      <c r="I204" s="30" t="str">
        <f>VLOOKUP(F204, 'RM &amp; SF'!B:H, 4, 0)</f>
        <v>غم</v>
      </c>
      <c r="J204" s="90">
        <f t="shared" si="22"/>
        <v>0.42857142857142855</v>
      </c>
      <c r="K204" s="91">
        <f>VLOOKUP(F204, 'RM &amp; SF'!B:H, 7, 0)</f>
        <v>7.7590000000000003E-3</v>
      </c>
      <c r="L204" s="92">
        <f t="shared" si="20"/>
        <v>3.3252857142857142E-3</v>
      </c>
      <c r="M204" s="30" t="s">
        <v>810</v>
      </c>
    </row>
    <row r="205" spans="1:13" ht="14">
      <c r="A205" s="88" t="s">
        <v>2394</v>
      </c>
      <c r="B205" s="219" t="s">
        <v>588</v>
      </c>
      <c r="C205" s="30"/>
      <c r="D205" s="30" t="str">
        <f>VLOOKUP(B205, 'RM &amp; SF'!B:C, 2, 0)</f>
        <v xml:space="preserve">لبن الكبة </v>
      </c>
      <c r="E205" s="30" t="s">
        <v>2170</v>
      </c>
      <c r="F205" s="110">
        <v>4552</v>
      </c>
      <c r="G205" s="30" t="str">
        <f>VLOOKUP(F205, 'RM &amp; SF'!B:C, 2, 0)</f>
        <v>لبن رايب 5 كغ*****</v>
      </c>
      <c r="H205" s="89">
        <v>20000</v>
      </c>
      <c r="I205" s="30" t="str">
        <f>VLOOKUP(F205, 'RM &amp; SF'!B:H, 4, 0)</f>
        <v>غم</v>
      </c>
      <c r="J205" s="90">
        <f t="shared" ref="J205:J213" si="23">H205/24</f>
        <v>833.33333333333337</v>
      </c>
      <c r="K205" s="91">
        <f>VLOOKUP(F205, 'RM &amp; SF'!B:H, 7, 0)</f>
        <v>8.0000000000000004E-4</v>
      </c>
      <c r="L205" s="92">
        <f t="shared" si="20"/>
        <v>0.66666666666666674</v>
      </c>
      <c r="M205" s="30" t="s">
        <v>810</v>
      </c>
    </row>
    <row r="206" spans="1:13" ht="14">
      <c r="A206" s="88" t="s">
        <v>2394</v>
      </c>
      <c r="B206" s="219" t="s">
        <v>588</v>
      </c>
      <c r="C206" s="30"/>
      <c r="D206" s="30" t="str">
        <f>VLOOKUP(B206, 'RM &amp; SF'!B:C, 2, 0)</f>
        <v xml:space="preserve">لبن الكبة </v>
      </c>
      <c r="E206" s="30" t="s">
        <v>2203</v>
      </c>
      <c r="F206" s="110">
        <v>4152</v>
      </c>
      <c r="G206" s="30" t="str">
        <f>VLOOKUP(F206, 'RM &amp; SF'!B:C, 2, 0)</f>
        <v>ملح طعام 750غم*****</v>
      </c>
      <c r="H206" s="89">
        <v>95</v>
      </c>
      <c r="I206" s="30" t="str">
        <f>VLOOKUP(F206, 'RM &amp; SF'!B:H, 4, 0)</f>
        <v>غم</v>
      </c>
      <c r="J206" s="90">
        <f t="shared" si="23"/>
        <v>3.9583333333333335</v>
      </c>
      <c r="K206" s="91">
        <f>VLOOKUP(F206, 'RM &amp; SF'!B:H, 7, 0)</f>
        <v>1.7066666666666665E-4</v>
      </c>
      <c r="L206" s="92">
        <f t="shared" si="20"/>
        <v>6.7555555555555554E-4</v>
      </c>
      <c r="M206" s="30" t="s">
        <v>810</v>
      </c>
    </row>
    <row r="207" spans="1:13" ht="14">
      <c r="A207" s="88" t="s">
        <v>2394</v>
      </c>
      <c r="B207" s="219" t="s">
        <v>588</v>
      </c>
      <c r="C207" s="30"/>
      <c r="D207" s="30" t="str">
        <f>VLOOKUP(B207, 'RM &amp; SF'!B:C, 2, 0)</f>
        <v xml:space="preserve">لبن الكبة </v>
      </c>
      <c r="E207" s="30" t="s">
        <v>3058</v>
      </c>
      <c r="F207" s="110">
        <v>4021</v>
      </c>
      <c r="G207" s="30" t="str">
        <f>VLOOKUP(F207, 'RM &amp; SF'!B:C, 2, 0)</f>
        <v>مكعبات مرق الدجاج 24 عبوة*2 مكعب*****</v>
      </c>
      <c r="H207" s="89">
        <v>140</v>
      </c>
      <c r="I207" s="30" t="str">
        <f>VLOOKUP(F207, 'RM &amp; SF'!B:H, 4, 0)</f>
        <v>غم</v>
      </c>
      <c r="J207" s="90">
        <f t="shared" si="23"/>
        <v>5.833333333333333</v>
      </c>
      <c r="K207" s="91">
        <f>VLOOKUP(F207, 'RM &amp; SF'!B:H, 7, 0)</f>
        <v>3.8541666666666668E-3</v>
      </c>
      <c r="L207" s="92">
        <f t="shared" si="20"/>
        <v>2.2482638888888889E-2</v>
      </c>
      <c r="M207" s="30" t="s">
        <v>810</v>
      </c>
    </row>
    <row r="208" spans="1:13" ht="14">
      <c r="A208" s="88" t="s">
        <v>2394</v>
      </c>
      <c r="B208" s="219" t="s">
        <v>588</v>
      </c>
      <c r="C208" s="30"/>
      <c r="D208" s="30" t="str">
        <f>VLOOKUP(B208, 'RM &amp; SF'!B:C, 2, 0)</f>
        <v xml:space="preserve">لبن الكبة </v>
      </c>
      <c r="E208" s="30" t="s">
        <v>3058</v>
      </c>
      <c r="F208" s="110">
        <v>4145</v>
      </c>
      <c r="G208" s="30" t="str">
        <f>VLOOKUP(F208, 'RM &amp; SF'!B:C, 2, 0)</f>
        <v>نشا طعام*****</v>
      </c>
      <c r="H208" s="89">
        <v>395</v>
      </c>
      <c r="I208" s="30" t="str">
        <f>VLOOKUP(F208, 'RM &amp; SF'!B:H, 4, 0)</f>
        <v>غم</v>
      </c>
      <c r="J208" s="90">
        <f t="shared" si="23"/>
        <v>16.458333333333332</v>
      </c>
      <c r="K208" s="91">
        <f>VLOOKUP(F208, 'RM &amp; SF'!B:H, 7, 0)</f>
        <v>4.6551999999999997E-4</v>
      </c>
      <c r="L208" s="92">
        <f t="shared" si="20"/>
        <v>7.6616833333333322E-3</v>
      </c>
      <c r="M208" s="30" t="s">
        <v>810</v>
      </c>
    </row>
    <row r="209" spans="1:13" ht="14">
      <c r="A209" s="88" t="s">
        <v>2394</v>
      </c>
      <c r="B209" s="219" t="s">
        <v>588</v>
      </c>
      <c r="C209" s="30"/>
      <c r="D209" s="30" t="str">
        <f>VLOOKUP(B209, 'RM &amp; SF'!B:C, 2, 0)</f>
        <v xml:space="preserve">لبن الكبة </v>
      </c>
      <c r="E209" s="30" t="s">
        <v>3058</v>
      </c>
      <c r="F209" s="110">
        <v>4203</v>
      </c>
      <c r="G209" s="30" t="str">
        <f>VLOOKUP(F209, 'RM &amp; SF'!B:C, 2, 0)</f>
        <v>فلفل ابيض ناعم*****</v>
      </c>
      <c r="H209" s="89">
        <v>20</v>
      </c>
      <c r="I209" s="30" t="str">
        <f>VLOOKUP(F209, 'RM &amp; SF'!B:H, 4, 0)</f>
        <v>غم</v>
      </c>
      <c r="J209" s="90">
        <f t="shared" si="23"/>
        <v>0.83333333333333337</v>
      </c>
      <c r="K209" s="91">
        <f>VLOOKUP(F209, 'RM &amp; SF'!B:H, 7, 0)</f>
        <v>7.7590000000000003E-3</v>
      </c>
      <c r="L209" s="92">
        <f t="shared" si="20"/>
        <v>6.4658333333333338E-3</v>
      </c>
      <c r="M209" s="30" t="s">
        <v>810</v>
      </c>
    </row>
    <row r="210" spans="1:13" ht="14">
      <c r="A210" s="88" t="s">
        <v>2394</v>
      </c>
      <c r="B210" s="219" t="s">
        <v>588</v>
      </c>
      <c r="C210" s="30"/>
      <c r="D210" s="30" t="str">
        <f>VLOOKUP(B210, 'RM &amp; SF'!B:C, 2, 0)</f>
        <v xml:space="preserve">لبن الكبة </v>
      </c>
      <c r="E210" s="30" t="s">
        <v>2218</v>
      </c>
      <c r="F210" s="110">
        <v>4233</v>
      </c>
      <c r="G210" s="30" t="str">
        <f>VLOOKUP(F210, 'RM &amp; SF'!B:C, 2, 0)</f>
        <v>هال ناعم*****</v>
      </c>
      <c r="H210" s="89">
        <v>17</v>
      </c>
      <c r="I210" s="30" t="str">
        <f>VLOOKUP(F210, 'RM &amp; SF'!B:H, 4, 0)</f>
        <v>غم</v>
      </c>
      <c r="J210" s="90">
        <f t="shared" si="23"/>
        <v>0.70833333333333337</v>
      </c>
      <c r="K210" s="91">
        <f>VLOOKUP(F210, 'RM &amp; SF'!B:H, 7, 0)</f>
        <v>2.3E-2</v>
      </c>
      <c r="L210" s="92">
        <f t="shared" si="20"/>
        <v>1.6291666666666666E-2</v>
      </c>
      <c r="M210" s="30" t="s">
        <v>810</v>
      </c>
    </row>
    <row r="211" spans="1:13" ht="14">
      <c r="A211" s="88" t="s">
        <v>2394</v>
      </c>
      <c r="B211" s="219" t="s">
        <v>588</v>
      </c>
      <c r="C211" s="30"/>
      <c r="D211" s="30" t="str">
        <f>VLOOKUP(B211, 'RM &amp; SF'!B:C, 2, 0)</f>
        <v xml:space="preserve">لبن الكبة </v>
      </c>
      <c r="E211" s="30" t="s">
        <v>3058</v>
      </c>
      <c r="F211" s="110">
        <v>4567</v>
      </c>
      <c r="G211" s="30" t="str">
        <f>VLOOKUP(F211, 'RM &amp; SF'!B:C, 2, 0)</f>
        <v>بيض طازج 1*30 حبة*****</v>
      </c>
      <c r="H211" s="89">
        <v>2</v>
      </c>
      <c r="I211" s="30" t="str">
        <f>VLOOKUP(F211, 'RM &amp; SF'!B:H, 4, 0)</f>
        <v>قطعة</v>
      </c>
      <c r="J211" s="90">
        <f t="shared" si="23"/>
        <v>8.3333333333333329E-2</v>
      </c>
      <c r="K211" s="91">
        <f>VLOOKUP(F211, 'RM &amp; SF'!B:H, 7, 0)</f>
        <v>8.8010000000000005E-2</v>
      </c>
      <c r="L211" s="92">
        <f t="shared" si="20"/>
        <v>7.3341666666666668E-3</v>
      </c>
      <c r="M211" s="30" t="s">
        <v>810</v>
      </c>
    </row>
    <row r="212" spans="1:13" ht="14">
      <c r="A212" s="88" t="s">
        <v>2394</v>
      </c>
      <c r="B212" s="219" t="s">
        <v>588</v>
      </c>
      <c r="C212" s="30"/>
      <c r="D212" s="30" t="str">
        <f>VLOOKUP(B212, 'RM &amp; SF'!B:C, 2, 0)</f>
        <v xml:space="preserve">لبن الكبة </v>
      </c>
      <c r="E212" s="30" t="s">
        <v>3058</v>
      </c>
      <c r="F212" s="110">
        <v>3</v>
      </c>
      <c r="G212" s="30" t="str">
        <f>VLOOKUP(F212, 'RM &amp; SF'!B:C, 2, 0)</f>
        <v>مياه حنفية</v>
      </c>
      <c r="H212" s="89">
        <v>5000</v>
      </c>
      <c r="I212" s="30" t="str">
        <f>VLOOKUP(F212, 'RM &amp; SF'!B:H, 4, 0)</f>
        <v>مل</v>
      </c>
      <c r="J212" s="90">
        <f t="shared" si="23"/>
        <v>208.33333333333334</v>
      </c>
      <c r="K212" s="91">
        <f>VLOOKUP(F212, 'RM &amp; SF'!B:H, 7, 0)</f>
        <v>0</v>
      </c>
      <c r="L212" s="92">
        <f t="shared" si="20"/>
        <v>0</v>
      </c>
      <c r="M212" s="30" t="s">
        <v>810</v>
      </c>
    </row>
    <row r="213" spans="1:13" ht="14">
      <c r="A213" s="88" t="s">
        <v>2394</v>
      </c>
      <c r="B213" s="219" t="s">
        <v>588</v>
      </c>
      <c r="C213" s="30"/>
      <c r="D213" s="30" t="str">
        <f>VLOOKUP(B213, 'RM &amp; SF'!B:C, 2, 0)</f>
        <v xml:space="preserve">لبن الكبة </v>
      </c>
      <c r="E213" s="30" t="s">
        <v>2216</v>
      </c>
      <c r="F213" s="110">
        <v>4230</v>
      </c>
      <c r="G213" s="30" t="str">
        <f>VLOOKUP(F213, 'RM &amp; SF'!B:C, 2, 0)</f>
        <v>ملح ليمون*****</v>
      </c>
      <c r="H213" s="89">
        <v>41</v>
      </c>
      <c r="I213" s="30" t="str">
        <f>VLOOKUP(F213, 'RM &amp; SF'!B:H, 4, 0)</f>
        <v>غم</v>
      </c>
      <c r="J213" s="90">
        <f t="shared" si="23"/>
        <v>1.7083333333333333</v>
      </c>
      <c r="K213" s="91">
        <f>VLOOKUP(F213, 'RM &amp; SF'!B:H, 7, 0)</f>
        <v>1.078E-3</v>
      </c>
      <c r="L213" s="92">
        <f t="shared" si="20"/>
        <v>1.8415833333333331E-3</v>
      </c>
      <c r="M213" s="30" t="s">
        <v>810</v>
      </c>
    </row>
    <row r="214" spans="1:13" ht="14">
      <c r="A214" s="88" t="s">
        <v>2392</v>
      </c>
      <c r="B214" s="219" t="s">
        <v>590</v>
      </c>
      <c r="C214" s="30"/>
      <c r="D214" s="30" t="str">
        <f>VLOOKUP(B214, 'RM &amp; SF'!B:C, 2, 0)</f>
        <v>ارز زرب</v>
      </c>
      <c r="E214" s="30" t="s">
        <v>2281</v>
      </c>
      <c r="F214" s="110">
        <v>4133</v>
      </c>
      <c r="G214" s="30" t="str">
        <f>VLOOKUP(F214, 'RM &amp; SF'!B:C, 2, 0)</f>
        <v>ارز بسمتي ذهبي*****</v>
      </c>
      <c r="H214" s="89">
        <v>12000</v>
      </c>
      <c r="I214" s="30" t="str">
        <f>VLOOKUP(F214, 'RM &amp; SF'!B:H, 4, 0)</f>
        <v>غم</v>
      </c>
      <c r="J214" s="90">
        <f t="shared" ref="J214:J235" si="24">H214/48</f>
        <v>250</v>
      </c>
      <c r="K214" s="91">
        <f>VLOOKUP(F214, 'RM &amp; SF'!B:H, 7, 0)</f>
        <v>1.1000000000000001E-3</v>
      </c>
      <c r="L214" s="92">
        <f t="shared" si="20"/>
        <v>0.27500000000000002</v>
      </c>
      <c r="M214" s="30" t="s">
        <v>810</v>
      </c>
    </row>
    <row r="215" spans="1:13" ht="14">
      <c r="A215" s="88" t="s">
        <v>2392</v>
      </c>
      <c r="B215" s="219" t="s">
        <v>590</v>
      </c>
      <c r="C215" s="30"/>
      <c r="D215" s="30" t="str">
        <f>VLOOKUP(B215, 'RM &amp; SF'!B:C, 2, 0)</f>
        <v>ارز زرب</v>
      </c>
      <c r="E215" s="30" t="s">
        <v>2260</v>
      </c>
      <c r="F215" s="110">
        <v>4160</v>
      </c>
      <c r="G215" s="30" t="str">
        <f>VLOOKUP(F215, 'RM &amp; SF'!B:C, 2, 0)</f>
        <v>زيت صويا 18 لتر*****</v>
      </c>
      <c r="H215" s="89">
        <v>400</v>
      </c>
      <c r="I215" s="30" t="str">
        <f>VLOOKUP(F215, 'RM &amp; SF'!B:H, 4, 0)</f>
        <v>مل</v>
      </c>
      <c r="J215" s="90">
        <f t="shared" si="24"/>
        <v>8.3333333333333339</v>
      </c>
      <c r="K215" s="91">
        <f>VLOOKUP(F215, 'RM &amp; SF'!B:H, 7, 0)</f>
        <v>1.335E-3</v>
      </c>
      <c r="L215" s="92">
        <f t="shared" si="20"/>
        <v>1.1125000000000001E-2</v>
      </c>
      <c r="M215" s="30" t="s">
        <v>810</v>
      </c>
    </row>
    <row r="216" spans="1:13" ht="14">
      <c r="A216" s="88" t="s">
        <v>2392</v>
      </c>
      <c r="B216" s="219" t="s">
        <v>590</v>
      </c>
      <c r="C216" s="30"/>
      <c r="D216" s="30" t="str">
        <f>VLOOKUP(B216, 'RM &amp; SF'!B:C, 2, 0)</f>
        <v>ارز زرب</v>
      </c>
      <c r="E216" s="30" t="s">
        <v>3058</v>
      </c>
      <c r="F216" s="110">
        <v>4598</v>
      </c>
      <c r="G216" s="30" t="str">
        <f>VLOOKUP(F216, 'RM &amp; SF'!B:C, 2, 0)</f>
        <v>لية خروف نية*****</v>
      </c>
      <c r="H216" s="89">
        <v>1000</v>
      </c>
      <c r="I216" s="30" t="str">
        <f>VLOOKUP(F216, 'RM &amp; SF'!B:H, 4, 0)</f>
        <v>غم</v>
      </c>
      <c r="J216" s="90">
        <f t="shared" si="24"/>
        <v>20.833333333333332</v>
      </c>
      <c r="K216" s="91">
        <f>VLOOKUP(F216, 'RM &amp; SF'!B:H, 7, 0)</f>
        <v>5.0000000000000001E-3</v>
      </c>
      <c r="L216" s="92">
        <f t="shared" si="20"/>
        <v>0.10416666666666666</v>
      </c>
      <c r="M216" s="30" t="s">
        <v>810</v>
      </c>
    </row>
    <row r="217" spans="1:13" ht="14">
      <c r="A217" s="88" t="s">
        <v>2392</v>
      </c>
      <c r="B217" s="219" t="s">
        <v>590</v>
      </c>
      <c r="C217" s="30"/>
      <c r="D217" s="30" t="str">
        <f>VLOOKUP(B217, 'RM &amp; SF'!B:C, 2, 0)</f>
        <v>ارز زرب</v>
      </c>
      <c r="E217" s="30" t="s">
        <v>2207</v>
      </c>
      <c r="F217" s="110">
        <v>4205</v>
      </c>
      <c r="G217" s="30" t="str">
        <f>VLOOKUP(F217, 'RM &amp; SF'!B:C, 2, 0)</f>
        <v>فلفل اسود حب*****</v>
      </c>
      <c r="H217" s="89">
        <v>25</v>
      </c>
      <c r="I217" s="30" t="str">
        <f>VLOOKUP(F217, 'RM &amp; SF'!B:H, 4, 0)</f>
        <v>غم</v>
      </c>
      <c r="J217" s="90">
        <f t="shared" si="24"/>
        <v>0.52083333333333337</v>
      </c>
      <c r="K217" s="91">
        <f>VLOOKUP(F217, 'RM &amp; SF'!B:H, 7, 0)</f>
        <v>6.4660000000000004E-3</v>
      </c>
      <c r="L217" s="92">
        <f t="shared" si="20"/>
        <v>3.3677083333333337E-3</v>
      </c>
      <c r="M217" s="30" t="s">
        <v>810</v>
      </c>
    </row>
    <row r="218" spans="1:13" ht="14">
      <c r="A218" s="88" t="s">
        <v>2392</v>
      </c>
      <c r="B218" s="219" t="s">
        <v>590</v>
      </c>
      <c r="C218" s="30"/>
      <c r="D218" s="30" t="str">
        <f>VLOOKUP(B218, 'RM &amp; SF'!B:C, 2, 0)</f>
        <v>ارز زرب</v>
      </c>
      <c r="E218" s="30" t="s">
        <v>2217</v>
      </c>
      <c r="F218" s="110">
        <v>4231</v>
      </c>
      <c r="G218" s="30" t="str">
        <f>VLOOKUP(F218, 'RM &amp; SF'!B:C, 2, 0)</f>
        <v>بهار سادة حب*****</v>
      </c>
      <c r="H218" s="89">
        <v>18</v>
      </c>
      <c r="I218" s="30" t="str">
        <f>VLOOKUP(F218, 'RM &amp; SF'!B:H, 4, 0)</f>
        <v>غم</v>
      </c>
      <c r="J218" s="90">
        <f t="shared" si="24"/>
        <v>0.375</v>
      </c>
      <c r="K218" s="91">
        <f>VLOOKUP(F218, 'RM &amp; SF'!B:H, 7, 0)</f>
        <v>7.3280000000000003E-3</v>
      </c>
      <c r="L218" s="92">
        <f t="shared" si="20"/>
        <v>2.748E-3</v>
      </c>
      <c r="M218" s="30" t="s">
        <v>810</v>
      </c>
    </row>
    <row r="219" spans="1:13" ht="14">
      <c r="A219" s="88" t="s">
        <v>2392</v>
      </c>
      <c r="B219" s="219" t="s">
        <v>590</v>
      </c>
      <c r="C219" s="30"/>
      <c r="D219" s="30" t="str">
        <f>VLOOKUP(B219, 'RM &amp; SF'!B:C, 2, 0)</f>
        <v>ارز زرب</v>
      </c>
      <c r="E219" s="30" t="s">
        <v>2219</v>
      </c>
      <c r="F219" s="110">
        <v>4235</v>
      </c>
      <c r="G219" s="30" t="str">
        <f>VLOOKUP(F219, 'RM &amp; SF'!B:C, 2, 0)</f>
        <v>قرفة اعواد*****</v>
      </c>
      <c r="H219" s="89">
        <v>15</v>
      </c>
      <c r="I219" s="30" t="str">
        <f>VLOOKUP(F219, 'RM &amp; SF'!B:H, 4, 0)</f>
        <v>غم</v>
      </c>
      <c r="J219" s="90">
        <f t="shared" si="24"/>
        <v>0.3125</v>
      </c>
      <c r="K219" s="91">
        <f>VLOOKUP(F219, 'RM &amp; SF'!B:H, 7, 0)</f>
        <v>2.8020000000000002E-3</v>
      </c>
      <c r="L219" s="92">
        <f t="shared" si="20"/>
        <v>8.756250000000001E-4</v>
      </c>
      <c r="M219" s="30" t="s">
        <v>810</v>
      </c>
    </row>
    <row r="220" spans="1:13" ht="14">
      <c r="A220" s="88" t="s">
        <v>2392</v>
      </c>
      <c r="B220" s="219" t="s">
        <v>590</v>
      </c>
      <c r="C220" s="30"/>
      <c r="D220" s="30" t="str">
        <f>VLOOKUP(B220, 'RM &amp; SF'!B:C, 2, 0)</f>
        <v>ارز زرب</v>
      </c>
      <c r="E220" s="30" t="s">
        <v>2204</v>
      </c>
      <c r="F220" s="110">
        <v>4189</v>
      </c>
      <c r="G220" s="30" t="str">
        <f>VLOOKUP(F220, 'RM &amp; SF'!B:C, 2, 0)</f>
        <v>لومي اصفر*****</v>
      </c>
      <c r="H220" s="89">
        <v>16</v>
      </c>
      <c r="I220" s="30" t="str">
        <f>VLOOKUP(F220, 'RM &amp; SF'!B:H, 4, 0)</f>
        <v>غم</v>
      </c>
      <c r="J220" s="90">
        <f t="shared" si="24"/>
        <v>0.33333333333333331</v>
      </c>
      <c r="K220" s="91">
        <f>VLOOKUP(F220, 'RM &amp; SF'!B:H, 7, 0)</f>
        <v>1.9399999999999999E-3</v>
      </c>
      <c r="L220" s="92">
        <f t="shared" si="20"/>
        <v>6.4666666666666659E-4</v>
      </c>
      <c r="M220" s="30" t="s">
        <v>810</v>
      </c>
    </row>
    <row r="221" spans="1:13" ht="14">
      <c r="A221" s="88" t="s">
        <v>2392</v>
      </c>
      <c r="B221" s="219" t="s">
        <v>590</v>
      </c>
      <c r="C221" s="30"/>
      <c r="D221" s="30" t="str">
        <f>VLOOKUP(B221, 'RM &amp; SF'!B:C, 2, 0)</f>
        <v>ارز زرب</v>
      </c>
      <c r="E221" s="30" t="s">
        <v>2210</v>
      </c>
      <c r="F221" s="110">
        <v>4213</v>
      </c>
      <c r="G221" s="30" t="str">
        <f>VLOOKUP(F221, 'RM &amp; SF'!B:C, 2, 0)</f>
        <v>ورق غار*****</v>
      </c>
      <c r="H221" s="89">
        <v>5</v>
      </c>
      <c r="I221" s="30" t="str">
        <f>VLOOKUP(F221, 'RM &amp; SF'!B:H, 4, 0)</f>
        <v>غم</v>
      </c>
      <c r="J221" s="90">
        <f t="shared" si="24"/>
        <v>0.10416666666666667</v>
      </c>
      <c r="K221" s="91">
        <f>VLOOKUP(F221, 'RM &amp; SF'!B:H, 7, 0)</f>
        <v>2.0690000000000001E-3</v>
      </c>
      <c r="L221" s="92">
        <f t="shared" si="20"/>
        <v>2.1552083333333335E-4</v>
      </c>
      <c r="M221" s="30" t="s">
        <v>810</v>
      </c>
    </row>
    <row r="222" spans="1:13" ht="14">
      <c r="A222" s="88" t="s">
        <v>2392</v>
      </c>
      <c r="B222" s="219" t="s">
        <v>590</v>
      </c>
      <c r="C222" s="30"/>
      <c r="D222" s="30" t="str">
        <f>VLOOKUP(B222, 'RM &amp; SF'!B:C, 2, 0)</f>
        <v>ارز زرب</v>
      </c>
      <c r="E222" s="30" t="s">
        <v>2236</v>
      </c>
      <c r="F222" s="110">
        <v>4505</v>
      </c>
      <c r="G222" s="30" t="str">
        <f>VLOOKUP(F222, 'RM &amp; SF'!B:C, 2, 0)</f>
        <v>ثوم طازج كامل*****</v>
      </c>
      <c r="H222" s="89">
        <v>500</v>
      </c>
      <c r="I222" s="30" t="str">
        <f>VLOOKUP(F222, 'RM &amp; SF'!B:H, 4, 0)</f>
        <v>غم</v>
      </c>
      <c r="J222" s="90">
        <f t="shared" si="24"/>
        <v>10.416666666666666</v>
      </c>
      <c r="K222" s="91">
        <f>VLOOKUP(F222, 'RM &amp; SF'!B:H, 7, 0)</f>
        <v>3.5000000000000001E-3</v>
      </c>
      <c r="L222" s="92">
        <f t="shared" si="20"/>
        <v>3.6458333333333329E-2</v>
      </c>
      <c r="M222" s="30" t="s">
        <v>810</v>
      </c>
    </row>
    <row r="223" spans="1:13" ht="14">
      <c r="A223" s="88" t="s">
        <v>2392</v>
      </c>
      <c r="B223" s="219" t="s">
        <v>590</v>
      </c>
      <c r="C223" s="30"/>
      <c r="D223" s="30" t="str">
        <f>VLOOKUP(B223, 'RM &amp; SF'!B:C, 2, 0)</f>
        <v>ارز زرب</v>
      </c>
      <c r="E223" s="30" t="s">
        <v>2232</v>
      </c>
      <c r="F223" s="110">
        <v>4500</v>
      </c>
      <c r="G223" s="30" t="str">
        <f>VLOOKUP(F223, 'RM &amp; SF'!B:C, 2, 0)</f>
        <v>فلفل حلو اخضر*****</v>
      </c>
      <c r="H223" s="89">
        <v>110</v>
      </c>
      <c r="I223" s="30" t="str">
        <f>VLOOKUP(F223, 'RM &amp; SF'!B:H, 4, 0)</f>
        <v>غم</v>
      </c>
      <c r="J223" s="90">
        <f t="shared" si="24"/>
        <v>2.2916666666666665</v>
      </c>
      <c r="K223" s="91">
        <f>VLOOKUP(F223, 'RM &amp; SF'!B:H, 7, 0)</f>
        <v>7.7999999999999999E-4</v>
      </c>
      <c r="L223" s="92">
        <f t="shared" si="20"/>
        <v>1.7874999999999998E-3</v>
      </c>
      <c r="M223" s="30" t="s">
        <v>810</v>
      </c>
    </row>
    <row r="224" spans="1:13" ht="14">
      <c r="A224" s="88" t="s">
        <v>2392</v>
      </c>
      <c r="B224" s="219" t="s">
        <v>590</v>
      </c>
      <c r="C224" s="30"/>
      <c r="D224" s="30" t="str">
        <f>VLOOKUP(B224, 'RM &amp; SF'!B:C, 2, 0)</f>
        <v>ارز زرب</v>
      </c>
      <c r="E224" s="30" t="s">
        <v>2235</v>
      </c>
      <c r="F224" s="110">
        <v>4504</v>
      </c>
      <c r="G224" s="30" t="str">
        <f>VLOOKUP(F224, 'RM &amp; SF'!B:C, 2, 0)</f>
        <v>بصل مشاوي (بصل بيبي)***</v>
      </c>
      <c r="H224" s="89">
        <v>765</v>
      </c>
      <c r="I224" s="30" t="str">
        <f>VLOOKUP(F224, 'RM &amp; SF'!B:H, 4, 0)</f>
        <v>غم</v>
      </c>
      <c r="J224" s="90">
        <f t="shared" si="24"/>
        <v>15.9375</v>
      </c>
      <c r="K224" s="91">
        <f>VLOOKUP(F224, 'RM &amp; SF'!B:H, 7, 0)</f>
        <v>3.5E-4</v>
      </c>
      <c r="L224" s="92">
        <f t="shared" si="20"/>
        <v>5.5781249999999998E-3</v>
      </c>
      <c r="M224" s="30" t="s">
        <v>810</v>
      </c>
    </row>
    <row r="225" spans="1:13" ht="14">
      <c r="A225" s="88" t="s">
        <v>2392</v>
      </c>
      <c r="B225" s="219" t="s">
        <v>590</v>
      </c>
      <c r="C225" s="30"/>
      <c r="D225" s="30" t="str">
        <f>VLOOKUP(B225, 'RM &amp; SF'!B:C, 2, 0)</f>
        <v>ارز زرب</v>
      </c>
      <c r="E225" s="30" t="s">
        <v>3058</v>
      </c>
      <c r="F225" s="110">
        <v>4021</v>
      </c>
      <c r="G225" s="30" t="str">
        <f>VLOOKUP(F225, 'RM &amp; SF'!B:C, 2, 0)</f>
        <v>مكعبات مرق الدجاج 24 عبوة*2 مكعب*****</v>
      </c>
      <c r="H225" s="89">
        <v>100</v>
      </c>
      <c r="I225" s="30" t="str">
        <f>VLOOKUP(F225, 'RM &amp; SF'!B:H, 4, 0)</f>
        <v>غم</v>
      </c>
      <c r="J225" s="90">
        <f t="shared" si="24"/>
        <v>2.0833333333333335</v>
      </c>
      <c r="K225" s="91">
        <f>VLOOKUP(F225, 'RM &amp; SF'!B:H, 7, 0)</f>
        <v>3.8541666666666668E-3</v>
      </c>
      <c r="L225" s="92">
        <f t="shared" si="20"/>
        <v>8.0295138888888899E-3</v>
      </c>
      <c r="M225" s="30" t="s">
        <v>810</v>
      </c>
    </row>
    <row r="226" spans="1:13" ht="14">
      <c r="A226" s="88" t="s">
        <v>2392</v>
      </c>
      <c r="B226" s="219" t="s">
        <v>590</v>
      </c>
      <c r="C226" s="30"/>
      <c r="D226" s="30" t="str">
        <f>VLOOKUP(B226, 'RM &amp; SF'!B:C, 2, 0)</f>
        <v>ارز زرب</v>
      </c>
      <c r="E226" s="30" t="s">
        <v>2206</v>
      </c>
      <c r="F226" s="110">
        <v>4204</v>
      </c>
      <c r="G226" s="30" t="str">
        <f>VLOOKUP(F226, 'RM &amp; SF'!B:C, 2, 0)</f>
        <v>فلفل اسود ناعم*****</v>
      </c>
      <c r="H226" s="89">
        <v>70</v>
      </c>
      <c r="I226" s="30" t="str">
        <f>VLOOKUP(F226, 'RM &amp; SF'!B:H, 4, 0)</f>
        <v>غم</v>
      </c>
      <c r="J226" s="90">
        <f t="shared" si="24"/>
        <v>1.4583333333333333</v>
      </c>
      <c r="K226" s="91">
        <f>VLOOKUP(F226, 'RM &amp; SF'!B:H, 7, 0)</f>
        <v>6.8970000000000004E-3</v>
      </c>
      <c r="L226" s="92">
        <f t="shared" si="20"/>
        <v>1.0058124999999999E-2</v>
      </c>
      <c r="M226" s="30" t="s">
        <v>810</v>
      </c>
    </row>
    <row r="227" spans="1:13" ht="14">
      <c r="A227" s="88" t="s">
        <v>2392</v>
      </c>
      <c r="B227" s="219" t="s">
        <v>590</v>
      </c>
      <c r="C227" s="30"/>
      <c r="D227" s="30" t="str">
        <f>VLOOKUP(B227, 'RM &amp; SF'!B:C, 2, 0)</f>
        <v>ارز زرب</v>
      </c>
      <c r="E227" s="30" t="s">
        <v>2218</v>
      </c>
      <c r="F227" s="110">
        <v>4233</v>
      </c>
      <c r="G227" s="30" t="str">
        <f>VLOOKUP(F227, 'RM &amp; SF'!B:C, 2, 0)</f>
        <v>هال ناعم*****</v>
      </c>
      <c r="H227" s="89">
        <v>53</v>
      </c>
      <c r="I227" s="30" t="str">
        <f>VLOOKUP(F227, 'RM &amp; SF'!B:H, 4, 0)</f>
        <v>غم</v>
      </c>
      <c r="J227" s="90">
        <f t="shared" si="24"/>
        <v>1.1041666666666667</v>
      </c>
      <c r="K227" s="91">
        <f>VLOOKUP(F227, 'RM &amp; SF'!B:H, 7, 0)</f>
        <v>2.3E-2</v>
      </c>
      <c r="L227" s="92">
        <f t="shared" si="20"/>
        <v>2.5395833333333336E-2</v>
      </c>
      <c r="M227" s="30" t="s">
        <v>810</v>
      </c>
    </row>
    <row r="228" spans="1:13" ht="14">
      <c r="A228" s="88" t="s">
        <v>2392</v>
      </c>
      <c r="B228" s="219" t="s">
        <v>590</v>
      </c>
      <c r="C228" s="30"/>
      <c r="D228" s="30" t="str">
        <f>VLOOKUP(B228, 'RM &amp; SF'!B:C, 2, 0)</f>
        <v>ارز زرب</v>
      </c>
      <c r="E228" s="30" t="s">
        <v>3058</v>
      </c>
      <c r="F228" s="110">
        <v>4191</v>
      </c>
      <c r="G228" s="30" t="str">
        <f>VLOOKUP(F228, 'RM &amp; SF'!B:C, 2, 0)</f>
        <v>جوزة الطيب مطحونة*****</v>
      </c>
      <c r="H228" s="89">
        <v>31</v>
      </c>
      <c r="I228" s="30" t="str">
        <f>VLOOKUP(F228, 'RM &amp; SF'!B:H, 4, 0)</f>
        <v>غم</v>
      </c>
      <c r="J228" s="90">
        <f t="shared" si="24"/>
        <v>0.64583333333333337</v>
      </c>
      <c r="K228" s="91">
        <f>VLOOKUP(F228, 'RM &amp; SF'!B:H, 7, 0)</f>
        <v>6.0339999999999994E-3</v>
      </c>
      <c r="L228" s="92">
        <f t="shared" si="20"/>
        <v>3.896958333333333E-3</v>
      </c>
      <c r="M228" s="30" t="s">
        <v>810</v>
      </c>
    </row>
    <row r="229" spans="1:13" ht="14">
      <c r="A229" s="88" t="s">
        <v>2392</v>
      </c>
      <c r="B229" s="219" t="s">
        <v>590</v>
      </c>
      <c r="C229" s="30"/>
      <c r="D229" s="30" t="str">
        <f>VLOOKUP(B229, 'RM &amp; SF'!B:C, 2, 0)</f>
        <v>ارز زرب</v>
      </c>
      <c r="E229" s="30" t="s">
        <v>2221</v>
      </c>
      <c r="F229" s="110">
        <v>4237</v>
      </c>
      <c r="G229" s="30" t="str">
        <f>VLOOKUP(F229, 'RM &amp; SF'!B:C, 2, 0)</f>
        <v>ثوم ناعم*****</v>
      </c>
      <c r="H229" s="89">
        <v>22</v>
      </c>
      <c r="I229" s="30" t="str">
        <f>VLOOKUP(F229, 'RM &amp; SF'!B:H, 4, 0)</f>
        <v>غم</v>
      </c>
      <c r="J229" s="90">
        <f t="shared" si="24"/>
        <v>0.45833333333333331</v>
      </c>
      <c r="K229" s="91">
        <f>VLOOKUP(F229, 'RM &amp; SF'!B:H, 7, 0)</f>
        <v>2.3709999999999998E-3</v>
      </c>
      <c r="L229" s="92">
        <f t="shared" si="20"/>
        <v>1.0867083333333332E-3</v>
      </c>
      <c r="M229" s="30" t="s">
        <v>810</v>
      </c>
    </row>
    <row r="230" spans="1:13" ht="14">
      <c r="A230" s="88" t="s">
        <v>2392</v>
      </c>
      <c r="B230" s="219" t="s">
        <v>590</v>
      </c>
      <c r="C230" s="30"/>
      <c r="D230" s="30" t="str">
        <f>VLOOKUP(B230, 'RM &amp; SF'!B:C, 2, 0)</f>
        <v>ارز زرب</v>
      </c>
      <c r="E230" s="30" t="s">
        <v>2220</v>
      </c>
      <c r="F230" s="110">
        <v>4236</v>
      </c>
      <c r="G230" s="30" t="str">
        <f>VLOOKUP(F230, 'RM &amp; SF'!B:C, 2, 0)</f>
        <v>بصل ناعم*****</v>
      </c>
      <c r="H230" s="89">
        <v>20</v>
      </c>
      <c r="I230" s="30" t="str">
        <f>VLOOKUP(F230, 'RM &amp; SF'!B:H, 4, 0)</f>
        <v>غم</v>
      </c>
      <c r="J230" s="90">
        <f t="shared" si="24"/>
        <v>0.41666666666666669</v>
      </c>
      <c r="K230" s="91">
        <f>VLOOKUP(F230, 'RM &amp; SF'!B:H, 7, 0)</f>
        <v>2.3709999999999998E-3</v>
      </c>
      <c r="L230" s="92">
        <f t="shared" si="20"/>
        <v>9.8791666666666667E-4</v>
      </c>
      <c r="M230" s="30" t="s">
        <v>810</v>
      </c>
    </row>
    <row r="231" spans="1:13" ht="14">
      <c r="A231" s="88" t="s">
        <v>2392</v>
      </c>
      <c r="B231" s="219" t="s">
        <v>590</v>
      </c>
      <c r="C231" s="30"/>
      <c r="D231" s="30" t="str">
        <f>VLOOKUP(B231, 'RM &amp; SF'!B:C, 2, 0)</f>
        <v>ارز زرب</v>
      </c>
      <c r="E231" s="30" t="s">
        <v>3058</v>
      </c>
      <c r="F231" s="110">
        <v>4232</v>
      </c>
      <c r="G231" s="30" t="str">
        <f>VLOOKUP(F231, 'RM &amp; SF'!B:C, 2, 0)</f>
        <v>بهار سادة ناعم*****</v>
      </c>
      <c r="H231" s="89">
        <v>27</v>
      </c>
      <c r="I231" s="30" t="str">
        <f>VLOOKUP(F231, 'RM &amp; SF'!B:H, 4, 0)</f>
        <v>غم</v>
      </c>
      <c r="J231" s="90">
        <f t="shared" si="24"/>
        <v>0.5625</v>
      </c>
      <c r="K231" s="91">
        <f>VLOOKUP(F231, 'RM &amp; SF'!B:H, 7, 0)</f>
        <v>1.0345E-2</v>
      </c>
      <c r="L231" s="92">
        <f t="shared" si="20"/>
        <v>5.8190624999999996E-3</v>
      </c>
      <c r="M231" s="30" t="s">
        <v>810</v>
      </c>
    </row>
    <row r="232" spans="1:13" ht="14">
      <c r="A232" s="88" t="s">
        <v>2392</v>
      </c>
      <c r="B232" s="219" t="s">
        <v>590</v>
      </c>
      <c r="C232" s="30"/>
      <c r="D232" s="30" t="str">
        <f>VLOOKUP(B232, 'RM &amp; SF'!B:C, 2, 0)</f>
        <v>ارز زرب</v>
      </c>
      <c r="E232" s="30" t="s">
        <v>2212</v>
      </c>
      <c r="F232" s="110">
        <v>4215</v>
      </c>
      <c r="G232" s="30" t="str">
        <f>VLOOKUP(F232, 'RM &amp; SF'!B:C, 2, 0)</f>
        <v>ملح صيني*****</v>
      </c>
      <c r="H232" s="89">
        <v>77</v>
      </c>
      <c r="I232" s="30" t="str">
        <f>VLOOKUP(F232, 'RM &amp; SF'!B:H, 4, 0)</f>
        <v>غم</v>
      </c>
      <c r="J232" s="90">
        <f t="shared" si="24"/>
        <v>1.6041666666666667</v>
      </c>
      <c r="K232" s="91">
        <f>VLOOKUP(F232, 'RM &amp; SF'!B:H, 7, 0)</f>
        <v>1.7240000000000001E-3</v>
      </c>
      <c r="L232" s="92">
        <f t="shared" si="20"/>
        <v>2.7655833333333334E-3</v>
      </c>
      <c r="M232" s="30" t="s">
        <v>810</v>
      </c>
    </row>
    <row r="233" spans="1:13" ht="14">
      <c r="A233" s="88" t="s">
        <v>2392</v>
      </c>
      <c r="B233" s="219" t="s">
        <v>590</v>
      </c>
      <c r="C233" s="30"/>
      <c r="D233" s="30" t="str">
        <f>VLOOKUP(B233, 'RM &amp; SF'!B:C, 2, 0)</f>
        <v>ارز زرب</v>
      </c>
      <c r="E233" s="30" t="s">
        <v>2203</v>
      </c>
      <c r="F233" s="110">
        <v>4152</v>
      </c>
      <c r="G233" s="30" t="str">
        <f>VLOOKUP(F233, 'RM &amp; SF'!B:C, 2, 0)</f>
        <v>ملح طعام 750غم*****</v>
      </c>
      <c r="H233" s="89">
        <v>385</v>
      </c>
      <c r="I233" s="30" t="str">
        <f>VLOOKUP(F233, 'RM &amp; SF'!B:H, 4, 0)</f>
        <v>غم</v>
      </c>
      <c r="J233" s="90">
        <f t="shared" si="24"/>
        <v>8.0208333333333339</v>
      </c>
      <c r="K233" s="91">
        <f>VLOOKUP(F233, 'RM &amp; SF'!B:H, 7, 0)</f>
        <v>1.7066666666666665E-4</v>
      </c>
      <c r="L233" s="92">
        <f t="shared" si="20"/>
        <v>1.3688888888888889E-3</v>
      </c>
      <c r="M233" s="30" t="s">
        <v>810</v>
      </c>
    </row>
    <row r="234" spans="1:13" ht="14">
      <c r="A234" s="88" t="s">
        <v>2392</v>
      </c>
      <c r="B234" s="219" t="s">
        <v>590</v>
      </c>
      <c r="C234" s="30"/>
      <c r="D234" s="30" t="str">
        <f>VLOOKUP(B234, 'RM &amp; SF'!B:C, 2, 0)</f>
        <v>ارز زرب</v>
      </c>
      <c r="E234" s="30" t="s">
        <v>3058</v>
      </c>
      <c r="F234" s="110">
        <v>4234</v>
      </c>
      <c r="G234" s="30" t="str">
        <f>VLOOKUP(F234, 'RM &amp; SF'!B:C, 2, 0)</f>
        <v>هال حب اخضر*****</v>
      </c>
      <c r="H234" s="89">
        <v>28</v>
      </c>
      <c r="I234" s="30" t="str">
        <f>VLOOKUP(F234, 'RM &amp; SF'!B:H, 4, 0)</f>
        <v>غم</v>
      </c>
      <c r="J234" s="90">
        <f t="shared" si="24"/>
        <v>0.58333333333333337</v>
      </c>
      <c r="K234" s="91">
        <f>VLOOKUP(F234, 'RM &amp; SF'!B:H, 7, 0)</f>
        <v>1.9827586206896553E-2</v>
      </c>
      <c r="L234" s="92">
        <f t="shared" si="20"/>
        <v>1.156609195402299E-2</v>
      </c>
      <c r="M234" s="30" t="s">
        <v>810</v>
      </c>
    </row>
    <row r="235" spans="1:13" ht="14">
      <c r="A235" s="88" t="s">
        <v>2392</v>
      </c>
      <c r="B235" s="219" t="s">
        <v>590</v>
      </c>
      <c r="C235" s="30"/>
      <c r="D235" s="30" t="str">
        <f>VLOOKUP(B235, 'RM &amp; SF'!B:C, 2, 0)</f>
        <v>ارز زرب</v>
      </c>
      <c r="E235" s="30" t="s">
        <v>2213</v>
      </c>
      <c r="F235" s="110">
        <v>4218</v>
      </c>
      <c r="G235" s="30" t="str">
        <f>VLOOKUP(F235, 'RM &amp; SF'!B:C, 2, 0)</f>
        <v>بهارات مشكلة*****</v>
      </c>
      <c r="H235" s="89">
        <v>39</v>
      </c>
      <c r="I235" s="30" t="str">
        <f>VLOOKUP(F235, 'RM &amp; SF'!B:H, 4, 0)</f>
        <v>غم</v>
      </c>
      <c r="J235" s="90">
        <f t="shared" si="24"/>
        <v>0.8125</v>
      </c>
      <c r="K235" s="91">
        <f>VLOOKUP(F235, 'RM &amp; SF'!B:H, 7, 0)</f>
        <v>3.0169999999999997E-3</v>
      </c>
      <c r="L235" s="92">
        <f t="shared" si="20"/>
        <v>2.4513124999999999E-3</v>
      </c>
      <c r="M235" s="30" t="s">
        <v>810</v>
      </c>
    </row>
    <row r="236" spans="1:13" ht="14">
      <c r="A236" s="88" t="s">
        <v>2387</v>
      </c>
      <c r="B236" s="219" t="s">
        <v>554</v>
      </c>
      <c r="C236" s="30"/>
      <c r="D236" s="30" t="str">
        <f>VLOOKUP(B236, 'RM &amp; SF'!B:C, 2, 0)</f>
        <v>مندي</v>
      </c>
      <c r="E236" s="30" t="s">
        <v>2281</v>
      </c>
      <c r="F236" s="110">
        <v>4133</v>
      </c>
      <c r="G236" s="30" t="str">
        <f>VLOOKUP(F236, 'RM &amp; SF'!B:C, 2, 0)</f>
        <v>ارز بسمتي ذهبي*****</v>
      </c>
      <c r="H236" s="149">
        <v>5000</v>
      </c>
      <c r="I236" s="30" t="str">
        <f>VLOOKUP(F236, 'RM &amp; SF'!B:H, 4, 0)</f>
        <v>غم</v>
      </c>
      <c r="J236" s="90">
        <f>H236/18.225</f>
        <v>274.34842249657061</v>
      </c>
      <c r="K236" s="91">
        <f>VLOOKUP(F236, 'RM &amp; SF'!B:H, 7, 0)</f>
        <v>1.1000000000000001E-3</v>
      </c>
      <c r="L236" s="92">
        <f t="shared" ref="L236:L299" si="25">K236*J236</f>
        <v>0.30178326474622769</v>
      </c>
      <c r="M236" s="30" t="s">
        <v>810</v>
      </c>
    </row>
    <row r="237" spans="1:13" ht="14">
      <c r="A237" s="88" t="s">
        <v>2387</v>
      </c>
      <c r="B237" s="219" t="s">
        <v>554</v>
      </c>
      <c r="C237" s="30"/>
      <c r="D237" s="30" t="str">
        <f>VLOOKUP(B237, 'RM &amp; SF'!B:C, 2, 0)</f>
        <v>مندي</v>
      </c>
      <c r="E237" s="30" t="s">
        <v>2234</v>
      </c>
      <c r="F237" s="110">
        <v>4503</v>
      </c>
      <c r="G237" s="30" t="str">
        <f>VLOOKUP(F237, 'RM &amp; SF'!B:C, 2, 0)</f>
        <v>بصل ناشف دفش*****</v>
      </c>
      <c r="H237" s="149">
        <v>1000</v>
      </c>
      <c r="I237" s="30" t="str">
        <f>VLOOKUP(F237, 'RM &amp; SF'!B:H, 4, 0)</f>
        <v>غم</v>
      </c>
      <c r="J237" s="90">
        <f t="shared" ref="J237:J253" si="26">H237/18.225</f>
        <v>54.869684499314126</v>
      </c>
      <c r="K237" s="91">
        <f>VLOOKUP(F237, 'RM &amp; SF'!B:H, 7, 0)</f>
        <v>2.5000000000000001E-4</v>
      </c>
      <c r="L237" s="92">
        <f t="shared" si="25"/>
        <v>1.3717421124828532E-2</v>
      </c>
      <c r="M237" s="30" t="s">
        <v>810</v>
      </c>
    </row>
    <row r="238" spans="1:13" ht="14">
      <c r="A238" s="88" t="s">
        <v>2387</v>
      </c>
      <c r="B238" s="219" t="s">
        <v>554</v>
      </c>
      <c r="C238" s="30"/>
      <c r="D238" s="30" t="str">
        <f>VLOOKUP(B238, 'RM &amp; SF'!B:C, 2, 0)</f>
        <v>مندي</v>
      </c>
      <c r="E238" s="30" t="s">
        <v>2309</v>
      </c>
      <c r="F238" s="110">
        <v>4491</v>
      </c>
      <c r="G238" s="30" t="str">
        <f>VLOOKUP(F238, 'RM &amp; SF'!B:C, 2, 0)</f>
        <v>بندورة جامدة*****</v>
      </c>
      <c r="H238" s="149">
        <v>1000</v>
      </c>
      <c r="I238" s="30" t="str">
        <f>VLOOKUP(F238, 'RM &amp; SF'!B:H, 4, 0)</f>
        <v>غم</v>
      </c>
      <c r="J238" s="90">
        <f t="shared" si="26"/>
        <v>54.869684499314126</v>
      </c>
      <c r="K238" s="91">
        <f>VLOOKUP(F238, 'RM &amp; SF'!B:H, 7, 0)</f>
        <v>5.0000000000000001E-4</v>
      </c>
      <c r="L238" s="92">
        <f t="shared" si="25"/>
        <v>2.7434842249657063E-2</v>
      </c>
      <c r="M238" s="30" t="s">
        <v>810</v>
      </c>
    </row>
    <row r="239" spans="1:13" ht="14">
      <c r="A239" s="88" t="s">
        <v>2387</v>
      </c>
      <c r="B239" s="219" t="s">
        <v>554</v>
      </c>
      <c r="C239" s="30"/>
      <c r="D239" s="30" t="str">
        <f>VLOOKUP(B239, 'RM &amp; SF'!B:C, 2, 0)</f>
        <v>مندي</v>
      </c>
      <c r="E239" s="30" t="s">
        <v>3058</v>
      </c>
      <c r="F239" s="110">
        <v>4151</v>
      </c>
      <c r="G239" s="30" t="str">
        <f>VLOOKUP(F239, 'RM &amp; SF'!B:C, 2, 0)</f>
        <v>زبيب ذهبي*****</v>
      </c>
      <c r="H239" s="149">
        <v>200</v>
      </c>
      <c r="I239" s="30" t="str">
        <f>VLOOKUP(F239, 'RM &amp; SF'!B:H, 4, 0)</f>
        <v>غم</v>
      </c>
      <c r="J239" s="90">
        <f t="shared" si="26"/>
        <v>10.973936899862824</v>
      </c>
      <c r="K239" s="91">
        <f>VLOOKUP(F239, 'RM &amp; SF'!B:H, 7, 0)</f>
        <v>3.0172413793103452E-3</v>
      </c>
      <c r="L239" s="92">
        <f t="shared" si="25"/>
        <v>3.3111016508206803E-2</v>
      </c>
      <c r="M239" s="30" t="s">
        <v>810</v>
      </c>
    </row>
    <row r="240" spans="1:13" ht="14">
      <c r="A240" s="88" t="s">
        <v>2387</v>
      </c>
      <c r="B240" s="219" t="s">
        <v>554</v>
      </c>
      <c r="C240" s="30"/>
      <c r="D240" s="30" t="str">
        <f>VLOOKUP(B240, 'RM &amp; SF'!B:C, 2, 0)</f>
        <v>مندي</v>
      </c>
      <c r="E240" s="30" t="s">
        <v>2233</v>
      </c>
      <c r="F240" s="110">
        <v>4501</v>
      </c>
      <c r="G240" s="30" t="str">
        <f>VLOOKUP(F240, 'RM &amp; SF'!B:C, 2, 0)</f>
        <v>فلفل حلو احمر*****</v>
      </c>
      <c r="H240" s="149">
        <v>1000</v>
      </c>
      <c r="I240" s="30" t="str">
        <f>VLOOKUP(F240, 'RM &amp; SF'!B:H, 4, 0)</f>
        <v>غم</v>
      </c>
      <c r="J240" s="90">
        <f t="shared" si="26"/>
        <v>54.869684499314126</v>
      </c>
      <c r="K240" s="91">
        <f>VLOOKUP(F240, 'RM &amp; SF'!B:H, 7, 0)</f>
        <v>7.5000000000000002E-4</v>
      </c>
      <c r="L240" s="92">
        <f t="shared" si="25"/>
        <v>4.1152263374485597E-2</v>
      </c>
      <c r="M240" s="30" t="s">
        <v>810</v>
      </c>
    </row>
    <row r="241" spans="1:13" ht="14">
      <c r="A241" s="88" t="s">
        <v>2387</v>
      </c>
      <c r="B241" s="219" t="s">
        <v>554</v>
      </c>
      <c r="C241" s="30"/>
      <c r="D241" s="30" t="str">
        <f>VLOOKUP(B241, 'RM &amp; SF'!B:C, 2, 0)</f>
        <v>مندي</v>
      </c>
      <c r="E241" s="30" t="s">
        <v>2260</v>
      </c>
      <c r="F241" s="110">
        <v>4160</v>
      </c>
      <c r="G241" s="30" t="str">
        <f>VLOOKUP(F241, 'RM &amp; SF'!B:C, 2, 0)</f>
        <v>زيت صويا 18 لتر*****</v>
      </c>
      <c r="H241" s="149">
        <v>650</v>
      </c>
      <c r="I241" s="30" t="str">
        <f>VLOOKUP(F241, 'RM &amp; SF'!B:H, 4, 0)</f>
        <v>مل</v>
      </c>
      <c r="J241" s="90">
        <f t="shared" si="26"/>
        <v>35.665294924554182</v>
      </c>
      <c r="K241" s="91">
        <f>VLOOKUP(F241, 'RM &amp; SF'!B:H, 7, 0)</f>
        <v>1.335E-3</v>
      </c>
      <c r="L241" s="92">
        <f t="shared" si="25"/>
        <v>4.7613168724279835E-2</v>
      </c>
      <c r="M241" s="30" t="s">
        <v>810</v>
      </c>
    </row>
    <row r="242" spans="1:13" ht="14">
      <c r="A242" s="88" t="s">
        <v>2387</v>
      </c>
      <c r="B242" s="219" t="s">
        <v>554</v>
      </c>
      <c r="C242" s="30"/>
      <c r="D242" s="30" t="str">
        <f>VLOOKUP(B242, 'RM &amp; SF'!B:C, 2, 0)</f>
        <v>مندي</v>
      </c>
      <c r="E242" s="30" t="s">
        <v>2203</v>
      </c>
      <c r="F242" s="110">
        <v>4152</v>
      </c>
      <c r="G242" s="30" t="str">
        <f>VLOOKUP(F242, 'RM &amp; SF'!B:C, 2, 0)</f>
        <v>ملح طعام 750غم*****</v>
      </c>
      <c r="H242" s="149">
        <v>90</v>
      </c>
      <c r="I242" s="30" t="str">
        <f>VLOOKUP(F242, 'RM &amp; SF'!B:H, 4, 0)</f>
        <v>غم</v>
      </c>
      <c r="J242" s="90">
        <f t="shared" si="26"/>
        <v>4.9382716049382713</v>
      </c>
      <c r="K242" s="91">
        <f>VLOOKUP(F242, 'RM &amp; SF'!B:H, 7, 0)</f>
        <v>1.7066666666666665E-4</v>
      </c>
      <c r="L242" s="92">
        <f t="shared" si="25"/>
        <v>8.4279835390946485E-4</v>
      </c>
      <c r="M242" s="30" t="s">
        <v>810</v>
      </c>
    </row>
    <row r="243" spans="1:13" ht="14">
      <c r="A243" s="88" t="s">
        <v>2387</v>
      </c>
      <c r="B243" s="219" t="s">
        <v>554</v>
      </c>
      <c r="C243" s="30"/>
      <c r="D243" s="30" t="str">
        <f>VLOOKUP(B243, 'RM &amp; SF'!B:C, 2, 0)</f>
        <v>مندي</v>
      </c>
      <c r="E243" s="30" t="s">
        <v>3058</v>
      </c>
      <c r="F243" s="110">
        <v>4021</v>
      </c>
      <c r="G243" s="30" t="str">
        <f>VLOOKUP(F243, 'RM &amp; SF'!B:C, 2, 0)</f>
        <v>مكعبات مرق الدجاج 24 عبوة*2 مكعب*****</v>
      </c>
      <c r="H243" s="89">
        <v>60</v>
      </c>
      <c r="I243" s="30" t="str">
        <f>VLOOKUP(F243, 'RM &amp; SF'!B:H, 4, 0)</f>
        <v>غم</v>
      </c>
      <c r="J243" s="90">
        <f t="shared" si="26"/>
        <v>3.2921810699588474</v>
      </c>
      <c r="K243" s="91">
        <f>VLOOKUP(F243, 'RM &amp; SF'!B:H, 7, 0)</f>
        <v>3.8541666666666668E-3</v>
      </c>
      <c r="L243" s="92">
        <f t="shared" si="25"/>
        <v>1.2688614540466391E-2</v>
      </c>
      <c r="M243" s="30" t="s">
        <v>810</v>
      </c>
    </row>
    <row r="244" spans="1:13" ht="14">
      <c r="A244" s="88" t="s">
        <v>2387</v>
      </c>
      <c r="B244" s="219" t="s">
        <v>554</v>
      </c>
      <c r="C244" s="30"/>
      <c r="D244" s="30" t="str">
        <f>VLOOKUP(B244, 'RM &amp; SF'!B:C, 2, 0)</f>
        <v>مندي</v>
      </c>
      <c r="E244" s="30" t="s">
        <v>2212</v>
      </c>
      <c r="F244" s="110">
        <v>4215</v>
      </c>
      <c r="G244" s="30" t="str">
        <f>VLOOKUP(F244, 'RM &amp; SF'!B:C, 2, 0)</f>
        <v>ملح صيني*****</v>
      </c>
      <c r="H244" s="149">
        <v>20</v>
      </c>
      <c r="I244" s="30" t="str">
        <f>VLOOKUP(F244, 'RM &amp; SF'!B:H, 4, 0)</f>
        <v>غم</v>
      </c>
      <c r="J244" s="90">
        <f t="shared" si="26"/>
        <v>1.0973936899862824</v>
      </c>
      <c r="K244" s="91">
        <f>VLOOKUP(F244, 'RM &amp; SF'!B:H, 7, 0)</f>
        <v>1.7240000000000001E-3</v>
      </c>
      <c r="L244" s="92">
        <f t="shared" si="25"/>
        <v>1.8919067215363509E-3</v>
      </c>
      <c r="M244" s="30" t="s">
        <v>810</v>
      </c>
    </row>
    <row r="245" spans="1:13" ht="14">
      <c r="A245" s="88" t="s">
        <v>2387</v>
      </c>
      <c r="B245" s="219" t="s">
        <v>554</v>
      </c>
      <c r="C245" s="30"/>
      <c r="D245" s="30" t="str">
        <f>VLOOKUP(B245, 'RM &amp; SF'!B:C, 2, 0)</f>
        <v>مندي</v>
      </c>
      <c r="E245" s="30" t="s">
        <v>2209</v>
      </c>
      <c r="F245" s="110">
        <v>4546</v>
      </c>
      <c r="G245" s="30" t="str">
        <f>VLOOKUP(F245, 'RM &amp; SF'!B:C, 2, 0)</f>
        <v>كزبرة*****</v>
      </c>
      <c r="H245" s="150">
        <v>0.25</v>
      </c>
      <c r="I245" s="30" t="str">
        <f>VLOOKUP(F245, 'RM &amp; SF'!B:H, 4, 0)</f>
        <v>قطعة</v>
      </c>
      <c r="J245" s="90">
        <f t="shared" si="26"/>
        <v>1.3717421124828532E-2</v>
      </c>
      <c r="K245" s="91">
        <f>VLOOKUP(F245, 'RM &amp; SF'!B:H, 7, 0)</f>
        <v>1E-3</v>
      </c>
      <c r="L245" s="92">
        <f t="shared" si="25"/>
        <v>1.3717421124828532E-5</v>
      </c>
      <c r="M245" s="30" t="s">
        <v>810</v>
      </c>
    </row>
    <row r="246" spans="1:13" ht="14">
      <c r="A246" s="88" t="s">
        <v>2387</v>
      </c>
      <c r="B246" s="219" t="s">
        <v>554</v>
      </c>
      <c r="C246" s="30"/>
      <c r="D246" s="30" t="str">
        <f>VLOOKUP(B246, 'RM &amp; SF'!B:C, 2, 0)</f>
        <v>مندي</v>
      </c>
      <c r="E246" s="30" t="s">
        <v>2209</v>
      </c>
      <c r="F246" s="110">
        <v>4212</v>
      </c>
      <c r="G246" s="30" t="str">
        <f>VLOOKUP(F246, 'RM &amp; SF'!B:C, 2, 0)</f>
        <v>كزبرة حب*****</v>
      </c>
      <c r="H246" s="149">
        <v>5</v>
      </c>
      <c r="I246" s="30" t="str">
        <f>VLOOKUP(F246, 'RM &amp; SF'!B:H, 4, 0)</f>
        <v>غم</v>
      </c>
      <c r="J246" s="90">
        <f t="shared" si="26"/>
        <v>0.2743484224965706</v>
      </c>
      <c r="K246" s="91">
        <f>VLOOKUP(F246, 'RM &amp; SF'!B:H, 7, 0)</f>
        <v>1.5089999999999999E-3</v>
      </c>
      <c r="L246" s="92">
        <f t="shared" si="25"/>
        <v>4.1399176954732501E-4</v>
      </c>
      <c r="M246" s="30" t="s">
        <v>810</v>
      </c>
    </row>
    <row r="247" spans="1:13" ht="14">
      <c r="A247" s="88" t="s">
        <v>2387</v>
      </c>
      <c r="B247" s="219" t="s">
        <v>554</v>
      </c>
      <c r="C247" s="30"/>
      <c r="D247" s="30" t="str">
        <f>VLOOKUP(B247, 'RM &amp; SF'!B:C, 2, 0)</f>
        <v>مندي</v>
      </c>
      <c r="E247" s="30" t="s">
        <v>2217</v>
      </c>
      <c r="F247" s="110">
        <v>4231</v>
      </c>
      <c r="G247" s="30" t="str">
        <f>VLOOKUP(F247, 'RM &amp; SF'!B:C, 2, 0)</f>
        <v>بهار سادة حب*****</v>
      </c>
      <c r="H247" s="149">
        <v>5</v>
      </c>
      <c r="I247" s="30" t="str">
        <f>VLOOKUP(F247, 'RM &amp; SF'!B:H, 4, 0)</f>
        <v>غم</v>
      </c>
      <c r="J247" s="90">
        <f t="shared" si="26"/>
        <v>0.2743484224965706</v>
      </c>
      <c r="K247" s="91">
        <f>VLOOKUP(F247, 'RM &amp; SF'!B:H, 7, 0)</f>
        <v>7.3280000000000003E-3</v>
      </c>
      <c r="L247" s="92">
        <f t="shared" si="25"/>
        <v>2.0104252400548694E-3</v>
      </c>
      <c r="M247" s="30" t="s">
        <v>810</v>
      </c>
    </row>
    <row r="248" spans="1:13" ht="14">
      <c r="A248" s="88" t="s">
        <v>2387</v>
      </c>
      <c r="B248" s="219" t="s">
        <v>554</v>
      </c>
      <c r="C248" s="30"/>
      <c r="D248" s="30" t="str">
        <f>VLOOKUP(B248, 'RM &amp; SF'!B:C, 2, 0)</f>
        <v>مندي</v>
      </c>
      <c r="E248" s="30" t="s">
        <v>3058</v>
      </c>
      <c r="F248" s="110">
        <v>4221</v>
      </c>
      <c r="G248" s="30" t="str">
        <f>VLOOKUP(F248, 'RM &amp; SF'!B:C, 2, 0)</f>
        <v>كمون حب*****</v>
      </c>
      <c r="H248" s="149">
        <v>5</v>
      </c>
      <c r="I248" s="30" t="str">
        <f>VLOOKUP(F248, 'RM &amp; SF'!B:H, 4, 0)</f>
        <v>غم</v>
      </c>
      <c r="J248" s="90">
        <f t="shared" si="26"/>
        <v>0.2743484224965706</v>
      </c>
      <c r="K248" s="91">
        <f>VLOOKUP(F248, 'RM &amp; SF'!B:H, 7, 0)</f>
        <v>5.6029999999999995E-3</v>
      </c>
      <c r="L248" s="92">
        <f t="shared" si="25"/>
        <v>1.537174211248285E-3</v>
      </c>
      <c r="M248" s="30" t="s">
        <v>810</v>
      </c>
    </row>
    <row r="249" spans="1:13" ht="14">
      <c r="A249" s="88" t="s">
        <v>2387</v>
      </c>
      <c r="B249" s="219" t="s">
        <v>554</v>
      </c>
      <c r="C249" s="30"/>
      <c r="D249" s="30" t="str">
        <f>VLOOKUP(B249, 'RM &amp; SF'!B:C, 2, 0)</f>
        <v>مندي</v>
      </c>
      <c r="E249" s="30" t="s">
        <v>2204</v>
      </c>
      <c r="F249" s="110">
        <v>4189</v>
      </c>
      <c r="G249" s="30" t="str">
        <f>VLOOKUP(F249, 'RM &amp; SF'!B:C, 2, 0)</f>
        <v>لومي اصفر*****</v>
      </c>
      <c r="H249" s="149">
        <v>10</v>
      </c>
      <c r="I249" s="30" t="str">
        <f>VLOOKUP(F249, 'RM &amp; SF'!B:H, 4, 0)</f>
        <v>غم</v>
      </c>
      <c r="J249" s="90">
        <f t="shared" si="26"/>
        <v>0.5486968449931412</v>
      </c>
      <c r="K249" s="91">
        <f>VLOOKUP(F249, 'RM &amp; SF'!B:H, 7, 0)</f>
        <v>1.9399999999999999E-3</v>
      </c>
      <c r="L249" s="92">
        <f t="shared" si="25"/>
        <v>1.0644718792866938E-3</v>
      </c>
      <c r="M249" s="30" t="s">
        <v>810</v>
      </c>
    </row>
    <row r="250" spans="1:13" ht="14">
      <c r="A250" s="88" t="s">
        <v>2387</v>
      </c>
      <c r="B250" s="219" t="s">
        <v>554</v>
      </c>
      <c r="C250" s="30"/>
      <c r="D250" s="30" t="str">
        <f>VLOOKUP(B250, 'RM &amp; SF'!B:C, 2, 0)</f>
        <v>مندي</v>
      </c>
      <c r="E250" s="30" t="s">
        <v>3058</v>
      </c>
      <c r="F250" s="110">
        <v>4234</v>
      </c>
      <c r="G250" s="30" t="str">
        <f>VLOOKUP(F250, 'RM &amp; SF'!B:C, 2, 0)</f>
        <v>هال حب اخضر*****</v>
      </c>
      <c r="H250" s="149">
        <v>5</v>
      </c>
      <c r="I250" s="30" t="str">
        <f>VLOOKUP(F250, 'RM &amp; SF'!B:H, 4, 0)</f>
        <v>غم</v>
      </c>
      <c r="J250" s="90">
        <f t="shared" si="26"/>
        <v>0.2743484224965706</v>
      </c>
      <c r="K250" s="91">
        <f>VLOOKUP(F250, 'RM &amp; SF'!B:H, 7, 0)</f>
        <v>1.9827586206896553E-2</v>
      </c>
      <c r="L250" s="92">
        <f t="shared" si="25"/>
        <v>5.4396669977768309E-3</v>
      </c>
      <c r="M250" s="30" t="s">
        <v>810</v>
      </c>
    </row>
    <row r="251" spans="1:13" ht="14">
      <c r="A251" s="88" t="s">
        <v>2387</v>
      </c>
      <c r="B251" s="219" t="s">
        <v>554</v>
      </c>
      <c r="C251" s="30"/>
      <c r="D251" s="30" t="str">
        <f>VLOOKUP(B251, 'RM &amp; SF'!B:C, 2, 0)</f>
        <v>مندي</v>
      </c>
      <c r="E251" s="30" t="s">
        <v>2207</v>
      </c>
      <c r="F251" s="110">
        <v>4205</v>
      </c>
      <c r="G251" s="30" t="str">
        <f>VLOOKUP(F251, 'RM &amp; SF'!B:C, 2, 0)</f>
        <v>فلفل اسود حب*****</v>
      </c>
      <c r="H251" s="149">
        <v>5</v>
      </c>
      <c r="I251" s="30" t="str">
        <f>VLOOKUP(F251, 'RM &amp; SF'!B:H, 4, 0)</f>
        <v>غم</v>
      </c>
      <c r="J251" s="90">
        <f t="shared" si="26"/>
        <v>0.2743484224965706</v>
      </c>
      <c r="K251" s="91">
        <f>VLOOKUP(F251, 'RM &amp; SF'!B:H, 7, 0)</f>
        <v>6.4660000000000004E-3</v>
      </c>
      <c r="L251" s="92">
        <f t="shared" si="25"/>
        <v>1.7739368998628256E-3</v>
      </c>
      <c r="M251" s="30" t="s">
        <v>810</v>
      </c>
    </row>
    <row r="252" spans="1:13" ht="14">
      <c r="A252" s="88" t="s">
        <v>2387</v>
      </c>
      <c r="B252" s="219" t="s">
        <v>554</v>
      </c>
      <c r="C252" s="30"/>
      <c r="D252" s="30" t="str">
        <f>VLOOKUP(B252, 'RM &amp; SF'!B:C, 2, 0)</f>
        <v>مندي</v>
      </c>
      <c r="E252" s="30" t="s">
        <v>2210</v>
      </c>
      <c r="F252" s="110">
        <v>4213</v>
      </c>
      <c r="G252" s="30" t="str">
        <f>VLOOKUP(F252, 'RM &amp; SF'!B:C, 2, 0)</f>
        <v>ورق غار*****</v>
      </c>
      <c r="H252" s="149">
        <v>2</v>
      </c>
      <c r="I252" s="30" t="str">
        <f>VLOOKUP(F252, 'RM &amp; SF'!B:H, 4, 0)</f>
        <v>غم</v>
      </c>
      <c r="J252" s="90">
        <f t="shared" si="26"/>
        <v>0.10973936899862825</v>
      </c>
      <c r="K252" s="91">
        <f>VLOOKUP(F252, 'RM &amp; SF'!B:H, 7, 0)</f>
        <v>2.0690000000000001E-3</v>
      </c>
      <c r="L252" s="92">
        <f t="shared" si="25"/>
        <v>2.2705075445816187E-4</v>
      </c>
      <c r="M252" s="30" t="s">
        <v>810</v>
      </c>
    </row>
    <row r="253" spans="1:13" ht="14">
      <c r="A253" s="88" t="s">
        <v>2387</v>
      </c>
      <c r="B253" s="219" t="s">
        <v>554</v>
      </c>
      <c r="C253" s="30"/>
      <c r="D253" s="30" t="str">
        <f>VLOOKUP(B253, 'RM &amp; SF'!B:C, 2, 0)</f>
        <v>مندي</v>
      </c>
      <c r="E253" s="30" t="s">
        <v>3058</v>
      </c>
      <c r="F253" s="110">
        <v>3</v>
      </c>
      <c r="G253" s="30" t="str">
        <f>VLOOKUP(F253, 'RM &amp; SF'!B:C, 2, 0)</f>
        <v>مياه حنفية</v>
      </c>
      <c r="H253" s="149">
        <v>7000</v>
      </c>
      <c r="I253" s="30" t="str">
        <f>VLOOKUP(F253, 'RM &amp; SF'!B:H, 4, 0)</f>
        <v>مل</v>
      </c>
      <c r="J253" s="90">
        <f t="shared" si="26"/>
        <v>384.08779149519887</v>
      </c>
      <c r="K253" s="91">
        <f>VLOOKUP(F253, 'RM &amp; SF'!B:H, 7, 0)</f>
        <v>0</v>
      </c>
      <c r="L253" s="92">
        <f t="shared" si="25"/>
        <v>0</v>
      </c>
      <c r="M253" s="30" t="s">
        <v>810</v>
      </c>
    </row>
    <row r="254" spans="1:13" ht="14">
      <c r="A254" s="88" t="s">
        <v>2391</v>
      </c>
      <c r="B254" s="188" t="s">
        <v>594</v>
      </c>
      <c r="C254" s="30"/>
      <c r="D254" s="30" t="str">
        <f>VLOOKUP(B254, 'RM &amp; SF'!B:C, 2, 0)</f>
        <v xml:space="preserve">رز مضغوط </v>
      </c>
      <c r="E254" s="30" t="s">
        <v>2281</v>
      </c>
      <c r="F254" s="110">
        <v>4133</v>
      </c>
      <c r="G254" s="30" t="str">
        <f>VLOOKUP(F254, 'RM &amp; SF'!B:C, 2, 0)</f>
        <v>ارز بسمتي ذهبي*****</v>
      </c>
      <c r="H254" s="89">
        <v>10000</v>
      </c>
      <c r="I254" s="30" t="str">
        <f>VLOOKUP(F254, 'RM &amp; SF'!B:H, 4, 0)</f>
        <v>غم</v>
      </c>
      <c r="J254" s="90">
        <f t="shared" ref="J254:J283" si="27">H254/50</f>
        <v>200</v>
      </c>
      <c r="K254" s="91">
        <f>VLOOKUP(F254, 'RM &amp; SF'!B:H, 7, 0)</f>
        <v>1.1000000000000001E-3</v>
      </c>
      <c r="L254" s="92">
        <f t="shared" si="25"/>
        <v>0.22</v>
      </c>
      <c r="M254" s="30" t="s">
        <v>810</v>
      </c>
    </row>
    <row r="255" spans="1:13" ht="14">
      <c r="A255" s="88" t="s">
        <v>2391</v>
      </c>
      <c r="B255" s="188" t="s">
        <v>594</v>
      </c>
      <c r="C255" s="30"/>
      <c r="D255" s="30" t="str">
        <f>VLOOKUP(B255, 'RM &amp; SF'!B:C, 2, 0)</f>
        <v xml:space="preserve">رز مضغوط </v>
      </c>
      <c r="E255" s="30" t="s">
        <v>2260</v>
      </c>
      <c r="F255" s="110">
        <v>4160</v>
      </c>
      <c r="G255" s="30" t="str">
        <f>VLOOKUP(F255, 'RM &amp; SF'!B:C, 2, 0)</f>
        <v>زيت صويا 18 لتر*****</v>
      </c>
      <c r="H255" s="89">
        <v>1200</v>
      </c>
      <c r="I255" s="30" t="str">
        <f>VLOOKUP(F255, 'RM &amp; SF'!B:H, 4, 0)</f>
        <v>مل</v>
      </c>
      <c r="J255" s="90">
        <f t="shared" si="27"/>
        <v>24</v>
      </c>
      <c r="K255" s="91">
        <f>VLOOKUP(F255, 'RM &amp; SF'!B:H, 7, 0)</f>
        <v>1.335E-3</v>
      </c>
      <c r="L255" s="92">
        <f t="shared" si="25"/>
        <v>3.2039999999999999E-2</v>
      </c>
      <c r="M255" s="30" t="s">
        <v>810</v>
      </c>
    </row>
    <row r="256" spans="1:13" ht="14">
      <c r="A256" s="88" t="s">
        <v>2391</v>
      </c>
      <c r="B256" s="188" t="s">
        <v>594</v>
      </c>
      <c r="C256" s="30"/>
      <c r="D256" s="30" t="str">
        <f>VLOOKUP(B256, 'RM &amp; SF'!B:C, 2, 0)</f>
        <v xml:space="preserve">رز مضغوط </v>
      </c>
      <c r="E256" s="30" t="s">
        <v>2235</v>
      </c>
      <c r="F256" s="110">
        <v>4504</v>
      </c>
      <c r="G256" s="30" t="str">
        <f>VLOOKUP(F256, 'RM &amp; SF'!B:C, 2, 0)</f>
        <v>بصل مشاوي (بصل بيبي)***</v>
      </c>
      <c r="H256" s="89">
        <v>3000</v>
      </c>
      <c r="I256" s="30" t="str">
        <f>VLOOKUP(F256, 'RM &amp; SF'!B:H, 4, 0)</f>
        <v>غم</v>
      </c>
      <c r="J256" s="90">
        <f t="shared" si="27"/>
        <v>60</v>
      </c>
      <c r="K256" s="91">
        <f>VLOOKUP(F256, 'RM &amp; SF'!B:H, 7, 0)</f>
        <v>3.5E-4</v>
      </c>
      <c r="L256" s="92">
        <f t="shared" si="25"/>
        <v>2.1000000000000001E-2</v>
      </c>
      <c r="M256" s="30" t="s">
        <v>810</v>
      </c>
    </row>
    <row r="257" spans="1:13" ht="14">
      <c r="A257" s="88" t="s">
        <v>2391</v>
      </c>
      <c r="B257" s="188" t="s">
        <v>594</v>
      </c>
      <c r="C257" s="30"/>
      <c r="D257" s="30" t="str">
        <f>VLOOKUP(B257, 'RM &amp; SF'!B:C, 2, 0)</f>
        <v xml:space="preserve">رز مضغوط </v>
      </c>
      <c r="E257" s="30" t="s">
        <v>2233</v>
      </c>
      <c r="F257" s="110">
        <v>4501</v>
      </c>
      <c r="G257" s="30" t="str">
        <f>VLOOKUP(F257, 'RM &amp; SF'!B:C, 2, 0)</f>
        <v>فلفل حلو احمر*****</v>
      </c>
      <c r="H257" s="89">
        <v>3000</v>
      </c>
      <c r="I257" s="30" t="str">
        <f>VLOOKUP(F257, 'RM &amp; SF'!B:H, 4, 0)</f>
        <v>غم</v>
      </c>
      <c r="J257" s="90">
        <f t="shared" si="27"/>
        <v>60</v>
      </c>
      <c r="K257" s="91">
        <f>VLOOKUP(F257, 'RM &amp; SF'!B:H, 7, 0)</f>
        <v>7.5000000000000002E-4</v>
      </c>
      <c r="L257" s="92">
        <f t="shared" si="25"/>
        <v>4.4999999999999998E-2</v>
      </c>
      <c r="M257" s="30" t="s">
        <v>810</v>
      </c>
    </row>
    <row r="258" spans="1:13" ht="14">
      <c r="A258" s="88" t="s">
        <v>2391</v>
      </c>
      <c r="B258" s="188" t="s">
        <v>594</v>
      </c>
      <c r="C258" s="30"/>
      <c r="D258" s="30" t="str">
        <f>VLOOKUP(B258, 'RM &amp; SF'!B:C, 2, 0)</f>
        <v xml:space="preserve">رز مضغوط </v>
      </c>
      <c r="E258" s="30" t="s">
        <v>2209</v>
      </c>
      <c r="F258" s="110">
        <v>4546</v>
      </c>
      <c r="G258" s="30" t="str">
        <f>VLOOKUP(F258, 'RM &amp; SF'!B:C, 2, 0)</f>
        <v>كزبرة*****</v>
      </c>
      <c r="H258" s="89">
        <v>1</v>
      </c>
      <c r="I258" s="30" t="str">
        <f>VLOOKUP(F258, 'RM &amp; SF'!B:H, 4, 0)</f>
        <v>قطعة</v>
      </c>
      <c r="J258" s="90">
        <f t="shared" si="27"/>
        <v>0.02</v>
      </c>
      <c r="K258" s="91">
        <f>VLOOKUP(F258, 'RM &amp; SF'!B:H, 7, 0)</f>
        <v>1E-3</v>
      </c>
      <c r="L258" s="92">
        <f t="shared" si="25"/>
        <v>2.0000000000000002E-5</v>
      </c>
      <c r="M258" s="30" t="s">
        <v>810</v>
      </c>
    </row>
    <row r="259" spans="1:13" ht="14">
      <c r="A259" s="88" t="s">
        <v>2391</v>
      </c>
      <c r="B259" s="188" t="s">
        <v>594</v>
      </c>
      <c r="C259" s="30"/>
      <c r="D259" s="30" t="str">
        <f>VLOOKUP(B259, 'RM &amp; SF'!B:C, 2, 0)</f>
        <v xml:space="preserve">رز مضغوط </v>
      </c>
      <c r="E259" s="30" t="s">
        <v>2309</v>
      </c>
      <c r="F259" s="110">
        <v>4491</v>
      </c>
      <c r="G259" s="30" t="str">
        <f>VLOOKUP(F259, 'RM &amp; SF'!B:C, 2, 0)</f>
        <v>بندورة جامدة*****</v>
      </c>
      <c r="H259" s="89">
        <v>2000</v>
      </c>
      <c r="I259" s="30" t="str">
        <f>VLOOKUP(F259, 'RM &amp; SF'!B:H, 4, 0)</f>
        <v>غم</v>
      </c>
      <c r="J259" s="90">
        <f t="shared" si="27"/>
        <v>40</v>
      </c>
      <c r="K259" s="91">
        <f>VLOOKUP(F259, 'RM &amp; SF'!B:H, 7, 0)</f>
        <v>5.0000000000000001E-4</v>
      </c>
      <c r="L259" s="92">
        <f t="shared" si="25"/>
        <v>0.02</v>
      </c>
      <c r="M259" s="30" t="s">
        <v>810</v>
      </c>
    </row>
    <row r="260" spans="1:13" ht="14">
      <c r="A260" s="88" t="s">
        <v>2391</v>
      </c>
      <c r="B260" s="188" t="s">
        <v>594</v>
      </c>
      <c r="C260" s="30"/>
      <c r="D260" s="30" t="str">
        <f>VLOOKUP(B260, 'RM &amp; SF'!B:C, 2, 0)</f>
        <v xml:space="preserve">رز مضغوط </v>
      </c>
      <c r="E260" s="30" t="s">
        <v>3058</v>
      </c>
      <c r="F260" s="110">
        <v>4045</v>
      </c>
      <c r="G260" s="30" t="str">
        <f>VLOOKUP(F260, 'RM &amp; SF'!B:C, 2, 0)</f>
        <v>معجون الطماطم 1375 غم*****</v>
      </c>
      <c r="H260" s="89">
        <v>1300</v>
      </c>
      <c r="I260" s="30" t="str">
        <f>VLOOKUP(F260, 'RM &amp; SF'!B:H, 4, 0)</f>
        <v>غم</v>
      </c>
      <c r="J260" s="90">
        <f t="shared" si="27"/>
        <v>26</v>
      </c>
      <c r="K260" s="91">
        <f>VLOOKUP(F260, 'RM &amp; SF'!B:H, 7, 0)</f>
        <v>1.3665999999999999E-3</v>
      </c>
      <c r="L260" s="92">
        <f t="shared" si="25"/>
        <v>3.5531599999999997E-2</v>
      </c>
      <c r="M260" s="30" t="s">
        <v>810</v>
      </c>
    </row>
    <row r="261" spans="1:13" ht="14">
      <c r="A261" s="88" t="s">
        <v>2391</v>
      </c>
      <c r="B261" s="188" t="s">
        <v>594</v>
      </c>
      <c r="C261" s="30"/>
      <c r="D261" s="30" t="str">
        <f>VLOOKUP(B261, 'RM &amp; SF'!B:C, 2, 0)</f>
        <v xml:space="preserve">رز مضغوط </v>
      </c>
      <c r="E261" s="30" t="s">
        <v>2236</v>
      </c>
      <c r="F261" s="110">
        <v>4505</v>
      </c>
      <c r="G261" s="30" t="str">
        <f>VLOOKUP(F261, 'RM &amp; SF'!B:C, 2, 0)</f>
        <v>ثوم طازج كامل*****</v>
      </c>
      <c r="H261" s="89">
        <v>150</v>
      </c>
      <c r="I261" s="30" t="str">
        <f>VLOOKUP(F261, 'RM &amp; SF'!B:H, 4, 0)</f>
        <v>غم</v>
      </c>
      <c r="J261" s="90">
        <f t="shared" si="27"/>
        <v>3</v>
      </c>
      <c r="K261" s="91">
        <f>VLOOKUP(F261, 'RM &amp; SF'!B:H, 7, 0)</f>
        <v>3.5000000000000001E-3</v>
      </c>
      <c r="L261" s="92">
        <f t="shared" si="25"/>
        <v>1.0500000000000001E-2</v>
      </c>
      <c r="M261" s="30" t="s">
        <v>810</v>
      </c>
    </row>
    <row r="262" spans="1:13" ht="14">
      <c r="A262" s="88" t="s">
        <v>2391</v>
      </c>
      <c r="B262" s="188" t="s">
        <v>594</v>
      </c>
      <c r="C262" s="30"/>
      <c r="D262" s="30" t="str">
        <f>VLOOKUP(B262, 'RM &amp; SF'!B:C, 2, 0)</f>
        <v xml:space="preserve">رز مضغوط </v>
      </c>
      <c r="E262" s="30" t="s">
        <v>2231</v>
      </c>
      <c r="F262" s="110">
        <v>4499</v>
      </c>
      <c r="G262" s="30" t="str">
        <f>VLOOKUP(F262, 'RM &amp; SF'!B:C, 2, 0)</f>
        <v>فلفل حار اخضر*****</v>
      </c>
      <c r="H262" s="89">
        <v>100</v>
      </c>
      <c r="I262" s="30" t="str">
        <f>VLOOKUP(F262, 'RM &amp; SF'!B:H, 4, 0)</f>
        <v>غم</v>
      </c>
      <c r="J262" s="90">
        <f t="shared" si="27"/>
        <v>2</v>
      </c>
      <c r="K262" s="91">
        <f>VLOOKUP(F262, 'RM &amp; SF'!B:H, 7, 0)</f>
        <v>5.0000000000000001E-4</v>
      </c>
      <c r="L262" s="92">
        <f t="shared" si="25"/>
        <v>1E-3</v>
      </c>
      <c r="M262" s="30" t="s">
        <v>810</v>
      </c>
    </row>
    <row r="263" spans="1:13" ht="14">
      <c r="A263" s="88" t="s">
        <v>2391</v>
      </c>
      <c r="B263" s="188" t="s">
        <v>594</v>
      </c>
      <c r="C263" s="30"/>
      <c r="D263" s="30" t="str">
        <f>VLOOKUP(B263, 'RM &amp; SF'!B:C, 2, 0)</f>
        <v xml:space="preserve">رز مضغوط </v>
      </c>
      <c r="E263" s="30" t="s">
        <v>2230</v>
      </c>
      <c r="F263" s="110">
        <v>4497</v>
      </c>
      <c r="G263" s="30" t="str">
        <f>VLOOKUP(F263, 'RM &amp; SF'!B:C, 2, 0)</f>
        <v>بطاطا*****</v>
      </c>
      <c r="H263" s="89">
        <v>3000</v>
      </c>
      <c r="I263" s="30" t="str">
        <f>VLOOKUP(F263, 'RM &amp; SF'!B:H, 4, 0)</f>
        <v>غم</v>
      </c>
      <c r="J263" s="90">
        <f t="shared" si="27"/>
        <v>60</v>
      </c>
      <c r="K263" s="91">
        <f>VLOOKUP(F263, 'RM &amp; SF'!B:H, 7, 0)</f>
        <v>4.0000000000000002E-4</v>
      </c>
      <c r="L263" s="92">
        <f t="shared" si="25"/>
        <v>2.4E-2</v>
      </c>
      <c r="M263" s="30" t="s">
        <v>810</v>
      </c>
    </row>
    <row r="264" spans="1:13" ht="14">
      <c r="A264" s="88" t="s">
        <v>2391</v>
      </c>
      <c r="B264" s="188" t="s">
        <v>594</v>
      </c>
      <c r="C264" s="30"/>
      <c r="D264" s="30" t="str">
        <f>VLOOKUP(B264, 'RM &amp; SF'!B:C, 2, 0)</f>
        <v xml:space="preserve">رز مضغوط </v>
      </c>
      <c r="E264" s="30" t="s">
        <v>2204</v>
      </c>
      <c r="F264" s="110">
        <v>4189</v>
      </c>
      <c r="G264" s="30" t="str">
        <f>VLOOKUP(F264, 'RM &amp; SF'!B:C, 2, 0)</f>
        <v>لومي اصفر*****</v>
      </c>
      <c r="H264" s="89">
        <v>20</v>
      </c>
      <c r="I264" s="30" t="str">
        <f>VLOOKUP(F264, 'RM &amp; SF'!B:H, 4, 0)</f>
        <v>غم</v>
      </c>
      <c r="J264" s="90">
        <f t="shared" si="27"/>
        <v>0.4</v>
      </c>
      <c r="K264" s="91">
        <f>VLOOKUP(F264, 'RM &amp; SF'!B:H, 7, 0)</f>
        <v>1.9399999999999999E-3</v>
      </c>
      <c r="L264" s="92">
        <f t="shared" si="25"/>
        <v>7.76E-4</v>
      </c>
      <c r="M264" s="30" t="s">
        <v>810</v>
      </c>
    </row>
    <row r="265" spans="1:13" ht="14">
      <c r="A265" s="88" t="s">
        <v>2391</v>
      </c>
      <c r="B265" s="188" t="s">
        <v>594</v>
      </c>
      <c r="C265" s="30"/>
      <c r="D265" s="30" t="str">
        <f>VLOOKUP(B265, 'RM &amp; SF'!B:C, 2, 0)</f>
        <v xml:space="preserve">رز مضغوط </v>
      </c>
      <c r="E265" s="30" t="s">
        <v>2210</v>
      </c>
      <c r="F265" s="110">
        <v>4213</v>
      </c>
      <c r="G265" s="30" t="str">
        <f>VLOOKUP(F265, 'RM &amp; SF'!B:C, 2, 0)</f>
        <v>ورق غار*****</v>
      </c>
      <c r="H265" s="89">
        <v>10</v>
      </c>
      <c r="I265" s="30" t="str">
        <f>VLOOKUP(F265, 'RM &amp; SF'!B:H, 4, 0)</f>
        <v>غم</v>
      </c>
      <c r="J265" s="90">
        <f t="shared" si="27"/>
        <v>0.2</v>
      </c>
      <c r="K265" s="91">
        <f>VLOOKUP(F265, 'RM &amp; SF'!B:H, 7, 0)</f>
        <v>2.0690000000000001E-3</v>
      </c>
      <c r="L265" s="92">
        <f t="shared" si="25"/>
        <v>4.1380000000000003E-4</v>
      </c>
      <c r="M265" s="30" t="s">
        <v>810</v>
      </c>
    </row>
    <row r="266" spans="1:13" ht="14">
      <c r="A266" s="88" t="s">
        <v>2391</v>
      </c>
      <c r="B266" s="188" t="s">
        <v>594</v>
      </c>
      <c r="C266" s="30"/>
      <c r="D266" s="30" t="str">
        <f>VLOOKUP(B266, 'RM &amp; SF'!B:C, 2, 0)</f>
        <v xml:space="preserve">رز مضغوط </v>
      </c>
      <c r="E266" s="30" t="s">
        <v>2219</v>
      </c>
      <c r="F266" s="110">
        <v>4235</v>
      </c>
      <c r="G266" s="30" t="str">
        <f>VLOOKUP(F266, 'RM &amp; SF'!B:C, 2, 0)</f>
        <v>قرفة اعواد*****</v>
      </c>
      <c r="H266" s="89">
        <v>25</v>
      </c>
      <c r="I266" s="30" t="str">
        <f>VLOOKUP(F266, 'RM &amp; SF'!B:H, 4, 0)</f>
        <v>غم</v>
      </c>
      <c r="J266" s="90">
        <f t="shared" si="27"/>
        <v>0.5</v>
      </c>
      <c r="K266" s="91">
        <f>VLOOKUP(F266, 'RM &amp; SF'!B:H, 7, 0)</f>
        <v>2.8020000000000002E-3</v>
      </c>
      <c r="L266" s="92">
        <f t="shared" si="25"/>
        <v>1.4010000000000001E-3</v>
      </c>
      <c r="M266" s="30" t="s">
        <v>810</v>
      </c>
    </row>
    <row r="267" spans="1:13" ht="14">
      <c r="A267" s="88" t="s">
        <v>2391</v>
      </c>
      <c r="B267" s="188" t="s">
        <v>594</v>
      </c>
      <c r="C267" s="30"/>
      <c r="D267" s="30" t="str">
        <f>VLOOKUP(B267, 'RM &amp; SF'!B:C, 2, 0)</f>
        <v xml:space="preserve">رز مضغوط </v>
      </c>
      <c r="E267" s="30" t="s">
        <v>2209</v>
      </c>
      <c r="F267" s="110">
        <v>4212</v>
      </c>
      <c r="G267" s="30" t="str">
        <f>VLOOKUP(F267, 'RM &amp; SF'!B:C, 2, 0)</f>
        <v>كزبرة حب*****</v>
      </c>
      <c r="H267" s="89">
        <v>25</v>
      </c>
      <c r="I267" s="30" t="str">
        <f>VLOOKUP(F267, 'RM &amp; SF'!B:H, 4, 0)</f>
        <v>غم</v>
      </c>
      <c r="J267" s="90">
        <f t="shared" si="27"/>
        <v>0.5</v>
      </c>
      <c r="K267" s="91">
        <f>VLOOKUP(F267, 'RM &amp; SF'!B:H, 7, 0)</f>
        <v>1.5089999999999999E-3</v>
      </c>
      <c r="L267" s="92">
        <f t="shared" si="25"/>
        <v>7.5449999999999996E-4</v>
      </c>
      <c r="M267" s="30" t="s">
        <v>810</v>
      </c>
    </row>
    <row r="268" spans="1:13" ht="14">
      <c r="A268" s="88" t="s">
        <v>2391</v>
      </c>
      <c r="B268" s="188" t="s">
        <v>594</v>
      </c>
      <c r="C268" s="30"/>
      <c r="D268" s="30" t="str">
        <f>VLOOKUP(B268, 'RM &amp; SF'!B:C, 2, 0)</f>
        <v xml:space="preserve">رز مضغوط </v>
      </c>
      <c r="E268" s="30" t="s">
        <v>3058</v>
      </c>
      <c r="F268" s="110">
        <v>4234</v>
      </c>
      <c r="G268" s="30" t="str">
        <f>VLOOKUP(F268, 'RM &amp; SF'!B:C, 2, 0)</f>
        <v>هال حب اخضر*****</v>
      </c>
      <c r="H268" s="89">
        <v>15</v>
      </c>
      <c r="I268" s="30" t="str">
        <f>VLOOKUP(F268, 'RM &amp; SF'!B:H, 4, 0)</f>
        <v>غم</v>
      </c>
      <c r="J268" s="90">
        <f t="shared" si="27"/>
        <v>0.3</v>
      </c>
      <c r="K268" s="91">
        <f>VLOOKUP(F268, 'RM &amp; SF'!B:H, 7, 0)</f>
        <v>1.9827586206896553E-2</v>
      </c>
      <c r="L268" s="92">
        <f t="shared" si="25"/>
        <v>5.948275862068966E-3</v>
      </c>
      <c r="M268" s="30" t="s">
        <v>810</v>
      </c>
    </row>
    <row r="269" spans="1:13" ht="14">
      <c r="A269" s="88" t="s">
        <v>2391</v>
      </c>
      <c r="B269" s="188" t="s">
        <v>594</v>
      </c>
      <c r="C269" s="30"/>
      <c r="D269" s="30" t="str">
        <f>VLOOKUP(B269, 'RM &amp; SF'!B:C, 2, 0)</f>
        <v xml:space="preserve">رز مضغوط </v>
      </c>
      <c r="E269" s="30" t="s">
        <v>2212</v>
      </c>
      <c r="F269" s="110">
        <v>4215</v>
      </c>
      <c r="G269" s="30" t="str">
        <f>VLOOKUP(F269, 'RM &amp; SF'!B:C, 2, 0)</f>
        <v>ملح صيني*****</v>
      </c>
      <c r="H269" s="89">
        <v>60</v>
      </c>
      <c r="I269" s="30" t="str">
        <f>VLOOKUP(F269, 'RM &amp; SF'!B:H, 4, 0)</f>
        <v>غم</v>
      </c>
      <c r="J269" s="90">
        <f t="shared" si="27"/>
        <v>1.2</v>
      </c>
      <c r="K269" s="91">
        <f>VLOOKUP(F269, 'RM &amp; SF'!B:H, 7, 0)</f>
        <v>1.7240000000000001E-3</v>
      </c>
      <c r="L269" s="92">
        <f t="shared" si="25"/>
        <v>2.0688E-3</v>
      </c>
      <c r="M269" s="30" t="s">
        <v>810</v>
      </c>
    </row>
    <row r="270" spans="1:13" ht="14">
      <c r="A270" s="88" t="s">
        <v>2391</v>
      </c>
      <c r="B270" s="188" t="s">
        <v>594</v>
      </c>
      <c r="C270" s="30"/>
      <c r="D270" s="30" t="str">
        <f>VLOOKUP(B270, 'RM &amp; SF'!B:C, 2, 0)</f>
        <v xml:space="preserve">رز مضغوط </v>
      </c>
      <c r="E270" s="30" t="s">
        <v>2221</v>
      </c>
      <c r="F270" s="110">
        <v>4237</v>
      </c>
      <c r="G270" s="30" t="str">
        <f>VLOOKUP(F270, 'RM &amp; SF'!B:C, 2, 0)</f>
        <v>ثوم ناعم*****</v>
      </c>
      <c r="H270" s="89">
        <v>20</v>
      </c>
      <c r="I270" s="30" t="str">
        <f>VLOOKUP(F270, 'RM &amp; SF'!B:H, 4, 0)</f>
        <v>غم</v>
      </c>
      <c r="J270" s="90">
        <f t="shared" si="27"/>
        <v>0.4</v>
      </c>
      <c r="K270" s="91">
        <f>VLOOKUP(F270, 'RM &amp; SF'!B:H, 7, 0)</f>
        <v>2.3709999999999998E-3</v>
      </c>
      <c r="L270" s="92">
        <f t="shared" si="25"/>
        <v>9.4839999999999996E-4</v>
      </c>
      <c r="M270" s="30" t="s">
        <v>810</v>
      </c>
    </row>
    <row r="271" spans="1:13" ht="14">
      <c r="A271" s="88" t="s">
        <v>2391</v>
      </c>
      <c r="B271" s="188" t="s">
        <v>594</v>
      </c>
      <c r="C271" s="30"/>
      <c r="D271" s="30" t="str">
        <f>VLOOKUP(B271, 'RM &amp; SF'!B:C, 2, 0)</f>
        <v xml:space="preserve">رز مضغوط </v>
      </c>
      <c r="E271" s="30" t="s">
        <v>2220</v>
      </c>
      <c r="F271" s="110">
        <v>4236</v>
      </c>
      <c r="G271" s="30" t="str">
        <f>VLOOKUP(F271, 'RM &amp; SF'!B:C, 2, 0)</f>
        <v>بصل ناعم*****</v>
      </c>
      <c r="H271" s="89">
        <v>20</v>
      </c>
      <c r="I271" s="30" t="str">
        <f>VLOOKUP(F271, 'RM &amp; SF'!B:H, 4, 0)</f>
        <v>غم</v>
      </c>
      <c r="J271" s="90">
        <f t="shared" si="27"/>
        <v>0.4</v>
      </c>
      <c r="K271" s="91">
        <f>VLOOKUP(F271, 'RM &amp; SF'!B:H, 7, 0)</f>
        <v>2.3709999999999998E-3</v>
      </c>
      <c r="L271" s="92">
        <f t="shared" si="25"/>
        <v>9.4839999999999996E-4</v>
      </c>
      <c r="M271" s="30" t="s">
        <v>810</v>
      </c>
    </row>
    <row r="272" spans="1:13" ht="14">
      <c r="A272" s="88" t="s">
        <v>2391</v>
      </c>
      <c r="B272" s="188" t="s">
        <v>594</v>
      </c>
      <c r="C272" s="30"/>
      <c r="D272" s="30" t="str">
        <f>VLOOKUP(B272, 'RM &amp; SF'!B:C, 2, 0)</f>
        <v xml:space="preserve">رز مضغوط </v>
      </c>
      <c r="E272" s="30" t="s">
        <v>2208</v>
      </c>
      <c r="F272" s="110">
        <v>4211</v>
      </c>
      <c r="G272" s="30" t="str">
        <f>VLOOKUP(F272, 'RM &amp; SF'!B:C, 2, 0)</f>
        <v>كزبرة ناعمة*****</v>
      </c>
      <c r="H272" s="89">
        <v>45</v>
      </c>
      <c r="I272" s="30" t="str">
        <f>VLOOKUP(F272, 'RM &amp; SF'!B:H, 4, 0)</f>
        <v>غم</v>
      </c>
      <c r="J272" s="90">
        <f t="shared" si="27"/>
        <v>0.9</v>
      </c>
      <c r="K272" s="91">
        <f>VLOOKUP(F272, 'RM &amp; SF'!B:H, 7, 0)</f>
        <v>1.5089999999999999E-3</v>
      </c>
      <c r="L272" s="92">
        <f t="shared" si="25"/>
        <v>1.3580999999999999E-3</v>
      </c>
      <c r="M272" s="30" t="s">
        <v>810</v>
      </c>
    </row>
    <row r="273" spans="1:13" ht="14">
      <c r="A273" s="88" t="s">
        <v>2391</v>
      </c>
      <c r="B273" s="188" t="s">
        <v>594</v>
      </c>
      <c r="C273" s="30"/>
      <c r="D273" s="30" t="str">
        <f>VLOOKUP(B273, 'RM &amp; SF'!B:C, 2, 0)</f>
        <v xml:space="preserve">رز مضغوط </v>
      </c>
      <c r="E273" s="30" t="s">
        <v>2206</v>
      </c>
      <c r="F273" s="110">
        <v>4204</v>
      </c>
      <c r="G273" s="30" t="str">
        <f>VLOOKUP(F273, 'RM &amp; SF'!B:C, 2, 0)</f>
        <v>فلفل اسود ناعم*****</v>
      </c>
      <c r="H273" s="89">
        <v>20</v>
      </c>
      <c r="I273" s="30" t="str">
        <f>VLOOKUP(F273, 'RM &amp; SF'!B:H, 4, 0)</f>
        <v>غم</v>
      </c>
      <c r="J273" s="90">
        <f t="shared" si="27"/>
        <v>0.4</v>
      </c>
      <c r="K273" s="91">
        <f>VLOOKUP(F273, 'RM &amp; SF'!B:H, 7, 0)</f>
        <v>6.8970000000000004E-3</v>
      </c>
      <c r="L273" s="92">
        <f t="shared" si="25"/>
        <v>2.7588000000000005E-3</v>
      </c>
      <c r="M273" s="30" t="s">
        <v>810</v>
      </c>
    </row>
    <row r="274" spans="1:13" ht="14">
      <c r="A274" s="88" t="s">
        <v>2391</v>
      </c>
      <c r="B274" s="188" t="s">
        <v>594</v>
      </c>
      <c r="C274" s="30"/>
      <c r="D274" s="30" t="str">
        <f>VLOOKUP(B274, 'RM &amp; SF'!B:C, 2, 0)</f>
        <v xml:space="preserve">رز مضغوط </v>
      </c>
      <c r="E274" s="30" t="s">
        <v>2213</v>
      </c>
      <c r="F274" s="110">
        <v>4218</v>
      </c>
      <c r="G274" s="30" t="str">
        <f>VLOOKUP(F274, 'RM &amp; SF'!B:C, 2, 0)</f>
        <v>بهارات مشكلة*****</v>
      </c>
      <c r="H274" s="89">
        <v>50</v>
      </c>
      <c r="I274" s="30" t="str">
        <f>VLOOKUP(F274, 'RM &amp; SF'!B:H, 4, 0)</f>
        <v>غم</v>
      </c>
      <c r="J274" s="90">
        <f t="shared" si="27"/>
        <v>1</v>
      </c>
      <c r="K274" s="91">
        <f>VLOOKUP(F274, 'RM &amp; SF'!B:H, 7, 0)</f>
        <v>3.0169999999999997E-3</v>
      </c>
      <c r="L274" s="92">
        <f t="shared" si="25"/>
        <v>3.0169999999999997E-3</v>
      </c>
      <c r="M274" s="30" t="s">
        <v>810</v>
      </c>
    </row>
    <row r="275" spans="1:13" ht="14">
      <c r="A275" s="88" t="s">
        <v>2391</v>
      </c>
      <c r="B275" s="188" t="s">
        <v>594</v>
      </c>
      <c r="C275" s="30"/>
      <c r="D275" s="30" t="str">
        <f>VLOOKUP(B275, 'RM &amp; SF'!B:C, 2, 0)</f>
        <v xml:space="preserve">رز مضغوط </v>
      </c>
      <c r="E275" s="30" t="s">
        <v>2205</v>
      </c>
      <c r="F275" s="110">
        <v>4193</v>
      </c>
      <c r="G275" s="30" t="str">
        <f>VLOOKUP(F275, 'RM &amp; SF'!B:C, 2, 0)</f>
        <v>زنجبيل ناعم*****</v>
      </c>
      <c r="H275" s="89">
        <v>15</v>
      </c>
      <c r="I275" s="30" t="str">
        <f>VLOOKUP(F275, 'RM &amp; SF'!B:H, 4, 0)</f>
        <v>غم</v>
      </c>
      <c r="J275" s="90">
        <f t="shared" si="27"/>
        <v>0.3</v>
      </c>
      <c r="K275" s="91">
        <f>VLOOKUP(F275, 'RM &amp; SF'!B:H, 7, 0)</f>
        <v>3.2330000000000002E-3</v>
      </c>
      <c r="L275" s="92">
        <f t="shared" si="25"/>
        <v>9.6989999999999999E-4</v>
      </c>
      <c r="M275" s="30" t="s">
        <v>810</v>
      </c>
    </row>
    <row r="276" spans="1:13" ht="14">
      <c r="A276" s="88" t="s">
        <v>2391</v>
      </c>
      <c r="B276" s="188" t="s">
        <v>594</v>
      </c>
      <c r="C276" s="30"/>
      <c r="D276" s="30" t="str">
        <f>VLOOKUP(B276, 'RM &amp; SF'!B:C, 2, 0)</f>
        <v xml:space="preserve">رز مضغوط </v>
      </c>
      <c r="E276" s="30" t="s">
        <v>3058</v>
      </c>
      <c r="F276" s="110">
        <v>4222</v>
      </c>
      <c r="G276" s="30" t="str">
        <f>VLOOKUP(F276, 'RM &amp; SF'!B:C, 2, 0)</f>
        <v>كمون ناعم*****</v>
      </c>
      <c r="H276" s="89">
        <v>15</v>
      </c>
      <c r="I276" s="30" t="str">
        <f>VLOOKUP(F276, 'RM &amp; SF'!B:H, 4, 0)</f>
        <v>غم</v>
      </c>
      <c r="J276" s="90">
        <f t="shared" si="27"/>
        <v>0.3</v>
      </c>
      <c r="K276" s="91">
        <f>VLOOKUP(F276, 'RM &amp; SF'!B:H, 7, 0)</f>
        <v>3.2330000000000002E-3</v>
      </c>
      <c r="L276" s="92">
        <f t="shared" si="25"/>
        <v>9.6989999999999999E-4</v>
      </c>
      <c r="M276" s="30" t="s">
        <v>810</v>
      </c>
    </row>
    <row r="277" spans="1:13" ht="14">
      <c r="A277" s="88" t="s">
        <v>2391</v>
      </c>
      <c r="B277" s="188" t="s">
        <v>594</v>
      </c>
      <c r="C277" s="30"/>
      <c r="D277" s="30" t="str">
        <f>VLOOKUP(B277, 'RM &amp; SF'!B:C, 2, 0)</f>
        <v xml:space="preserve">رز مضغوط </v>
      </c>
      <c r="E277" s="30" t="s">
        <v>2222</v>
      </c>
      <c r="F277" s="110">
        <v>4240</v>
      </c>
      <c r="G277" s="30" t="str">
        <f>VLOOKUP(F277, 'RM &amp; SF'!B:C, 2, 0)</f>
        <v>كركم ناعم*****</v>
      </c>
      <c r="H277" s="89">
        <v>10</v>
      </c>
      <c r="I277" s="30" t="str">
        <f>VLOOKUP(F277, 'RM &amp; SF'!B:H, 4, 0)</f>
        <v>غم</v>
      </c>
      <c r="J277" s="90">
        <f t="shared" si="27"/>
        <v>0.2</v>
      </c>
      <c r="K277" s="91">
        <f>VLOOKUP(F277, 'RM &amp; SF'!B:H, 7, 0)</f>
        <v>1.9399999999999999E-3</v>
      </c>
      <c r="L277" s="92">
        <f t="shared" si="25"/>
        <v>3.88E-4</v>
      </c>
      <c r="M277" s="30" t="s">
        <v>810</v>
      </c>
    </row>
    <row r="278" spans="1:13" ht="14">
      <c r="A278" s="88" t="s">
        <v>2391</v>
      </c>
      <c r="B278" s="188" t="s">
        <v>594</v>
      </c>
      <c r="C278" s="30"/>
      <c r="D278" s="30" t="str">
        <f>VLOOKUP(B278, 'RM &amp; SF'!B:C, 2, 0)</f>
        <v xml:space="preserve">رز مضغوط </v>
      </c>
      <c r="E278" s="30" t="s">
        <v>2288</v>
      </c>
      <c r="F278" s="110">
        <v>4219</v>
      </c>
      <c r="G278" s="30" t="str">
        <f>VLOOKUP(F278, 'RM &amp; SF'!B:C, 2, 0)</f>
        <v>بابريكا حلوة*****</v>
      </c>
      <c r="H278" s="89">
        <v>60</v>
      </c>
      <c r="I278" s="30" t="str">
        <f>VLOOKUP(F278, 'RM &amp; SF'!B:H, 4, 0)</f>
        <v>غم</v>
      </c>
      <c r="J278" s="90">
        <f t="shared" si="27"/>
        <v>1.2</v>
      </c>
      <c r="K278" s="91">
        <f>VLOOKUP(F278, 'RM &amp; SF'!B:H, 7, 0)</f>
        <v>2.5859999999999998E-3</v>
      </c>
      <c r="L278" s="92">
        <f t="shared" si="25"/>
        <v>3.1031999999999995E-3</v>
      </c>
      <c r="M278" s="30" t="s">
        <v>810</v>
      </c>
    </row>
    <row r="279" spans="1:13" ht="14">
      <c r="A279" s="88" t="s">
        <v>2391</v>
      </c>
      <c r="B279" s="188" t="s">
        <v>594</v>
      </c>
      <c r="C279" s="30"/>
      <c r="D279" s="30" t="str">
        <f>VLOOKUP(B279, 'RM &amp; SF'!B:C, 2, 0)</f>
        <v xml:space="preserve">رز مضغوط </v>
      </c>
      <c r="E279" s="30" t="s">
        <v>2211</v>
      </c>
      <c r="F279" s="110">
        <v>4214</v>
      </c>
      <c r="G279" s="30" t="str">
        <f>VLOOKUP(F279, 'RM &amp; SF'!B:C, 2, 0)</f>
        <v>قرفة ناعمة*****</v>
      </c>
      <c r="H279" s="89">
        <v>15</v>
      </c>
      <c r="I279" s="30" t="str">
        <f>VLOOKUP(F279, 'RM &amp; SF'!B:H, 4, 0)</f>
        <v>غم</v>
      </c>
      <c r="J279" s="90">
        <f t="shared" si="27"/>
        <v>0.3</v>
      </c>
      <c r="K279" s="91">
        <f>VLOOKUP(F279, 'RM &amp; SF'!B:H, 7, 0)</f>
        <v>2.8020000000000002E-3</v>
      </c>
      <c r="L279" s="92">
        <f t="shared" si="25"/>
        <v>8.4060000000000005E-4</v>
      </c>
      <c r="M279" s="30" t="s">
        <v>810</v>
      </c>
    </row>
    <row r="280" spans="1:13" ht="14">
      <c r="A280" s="88" t="s">
        <v>2391</v>
      </c>
      <c r="B280" s="188" t="s">
        <v>594</v>
      </c>
      <c r="C280" s="30"/>
      <c r="D280" s="30" t="str">
        <f>VLOOKUP(B280, 'RM &amp; SF'!B:C, 2, 0)</f>
        <v xml:space="preserve">رز مضغوط </v>
      </c>
      <c r="E280" s="30" t="s">
        <v>2214</v>
      </c>
      <c r="F280" s="110">
        <v>4223</v>
      </c>
      <c r="G280" s="30" t="str">
        <f>VLOOKUP(F280, 'RM &amp; SF'!B:C, 2, 0)</f>
        <v>بهارات كاري*****</v>
      </c>
      <c r="H280" s="89">
        <v>40</v>
      </c>
      <c r="I280" s="30" t="str">
        <f>VLOOKUP(F280, 'RM &amp; SF'!B:H, 4, 0)</f>
        <v>غم</v>
      </c>
      <c r="J280" s="90">
        <f t="shared" si="27"/>
        <v>0.8</v>
      </c>
      <c r="K280" s="91">
        <f>VLOOKUP(F280, 'RM &amp; SF'!B:H, 7, 0)</f>
        <v>2.2409999999999999E-3</v>
      </c>
      <c r="L280" s="92">
        <f t="shared" si="25"/>
        <v>1.7928E-3</v>
      </c>
      <c r="M280" s="30" t="s">
        <v>810</v>
      </c>
    </row>
    <row r="281" spans="1:13" ht="14">
      <c r="A281" s="88" t="s">
        <v>2391</v>
      </c>
      <c r="B281" s="188" t="s">
        <v>594</v>
      </c>
      <c r="C281" s="30"/>
      <c r="D281" s="30" t="str">
        <f>VLOOKUP(B281, 'RM &amp; SF'!B:C, 2, 0)</f>
        <v xml:space="preserve">رز مضغوط </v>
      </c>
      <c r="E281" s="30" t="s">
        <v>3058</v>
      </c>
      <c r="F281" s="110">
        <v>4191</v>
      </c>
      <c r="G281" s="30" t="str">
        <f>VLOOKUP(F281, 'RM &amp; SF'!B:C, 2, 0)</f>
        <v>جوزة الطيب مطحونة*****</v>
      </c>
      <c r="H281" s="89">
        <v>15</v>
      </c>
      <c r="I281" s="30" t="str">
        <f>VLOOKUP(F281, 'RM &amp; SF'!B:H, 4, 0)</f>
        <v>غم</v>
      </c>
      <c r="J281" s="90">
        <f t="shared" si="27"/>
        <v>0.3</v>
      </c>
      <c r="K281" s="91">
        <f>VLOOKUP(F281, 'RM &amp; SF'!B:H, 7, 0)</f>
        <v>6.0339999999999994E-3</v>
      </c>
      <c r="L281" s="92">
        <f t="shared" si="25"/>
        <v>1.8101999999999997E-3</v>
      </c>
      <c r="M281" s="30" t="s">
        <v>810</v>
      </c>
    </row>
    <row r="282" spans="1:13" ht="14">
      <c r="A282" s="88" t="s">
        <v>2391</v>
      </c>
      <c r="B282" s="188" t="s">
        <v>594</v>
      </c>
      <c r="C282" s="30"/>
      <c r="D282" s="30" t="str">
        <f>VLOOKUP(B282, 'RM &amp; SF'!B:C, 2, 0)</f>
        <v xml:space="preserve">رز مضغوط </v>
      </c>
      <c r="E282" s="30" t="s">
        <v>2203</v>
      </c>
      <c r="F282" s="110">
        <v>4152</v>
      </c>
      <c r="G282" s="30" t="str">
        <f>VLOOKUP(F282, 'RM &amp; SF'!B:C, 2, 0)</f>
        <v>ملح طعام 750غم*****</v>
      </c>
      <c r="H282" s="89">
        <v>400</v>
      </c>
      <c r="I282" s="30" t="str">
        <f>VLOOKUP(F282, 'RM &amp; SF'!B:H, 4, 0)</f>
        <v>غم</v>
      </c>
      <c r="J282" s="90">
        <f t="shared" si="27"/>
        <v>8</v>
      </c>
      <c r="K282" s="91">
        <f>VLOOKUP(F282, 'RM &amp; SF'!B:H, 7, 0)</f>
        <v>1.7066666666666665E-4</v>
      </c>
      <c r="L282" s="92">
        <f t="shared" si="25"/>
        <v>1.3653333333333332E-3</v>
      </c>
      <c r="M282" s="30" t="s">
        <v>810</v>
      </c>
    </row>
    <row r="283" spans="1:13" ht="14">
      <c r="A283" s="88" t="s">
        <v>2391</v>
      </c>
      <c r="B283" s="188" t="s">
        <v>594</v>
      </c>
      <c r="C283" s="30"/>
      <c r="D283" s="30" t="str">
        <f>VLOOKUP(B283, 'RM &amp; SF'!B:C, 2, 0)</f>
        <v xml:space="preserve">رز مضغوط </v>
      </c>
      <c r="E283" s="30" t="s">
        <v>3058</v>
      </c>
      <c r="F283" s="110">
        <v>4021</v>
      </c>
      <c r="G283" s="30" t="str">
        <f>VLOOKUP(F283, 'RM &amp; SF'!B:C, 2, 0)</f>
        <v>مكعبات مرق الدجاج 24 عبوة*2 مكعب*****</v>
      </c>
      <c r="H283" s="89">
        <v>120</v>
      </c>
      <c r="I283" s="30" t="str">
        <f>VLOOKUP(F283, 'RM &amp; SF'!B:H, 4, 0)</f>
        <v>غم</v>
      </c>
      <c r="J283" s="90">
        <f t="shared" si="27"/>
        <v>2.4</v>
      </c>
      <c r="K283" s="91">
        <f>VLOOKUP(F283, 'RM &amp; SF'!B:H, 7, 0)</f>
        <v>3.8541666666666668E-3</v>
      </c>
      <c r="L283" s="92">
        <f t="shared" si="25"/>
        <v>9.2499999999999995E-3</v>
      </c>
      <c r="M283" s="30" t="s">
        <v>810</v>
      </c>
    </row>
    <row r="284" spans="1:13" ht="14">
      <c r="A284" s="88" t="s">
        <v>2398</v>
      </c>
      <c r="B284" s="219" t="s">
        <v>592</v>
      </c>
      <c r="C284" s="30"/>
      <c r="D284" s="30" t="str">
        <f>VLOOKUP(B284, 'RM &amp; SF'!B:C, 2, 0)</f>
        <v>فاصوليا خضراء</v>
      </c>
      <c r="E284" s="30" t="s">
        <v>3058</v>
      </c>
      <c r="F284" s="110">
        <v>4644</v>
      </c>
      <c r="G284" s="30" t="str">
        <f>VLOOKUP(F284, 'RM &amp; SF'!B:C, 2, 0)</f>
        <v>فاصوليا خضراء مقطعة مجمدة 400 غم*****</v>
      </c>
      <c r="H284" s="89">
        <v>4800</v>
      </c>
      <c r="I284" s="30" t="str">
        <f>VLOOKUP(F284, 'RM &amp; SF'!B:H, 4, 0)</f>
        <v>غم</v>
      </c>
      <c r="J284" s="90">
        <f t="shared" ref="J284:J291" si="28">H284/15</f>
        <v>320</v>
      </c>
      <c r="K284" s="91">
        <f>VLOOKUP(F284, 'RM &amp; SF'!B:H, 7, 0)</f>
        <v>1.5E-3</v>
      </c>
      <c r="L284" s="92">
        <f t="shared" si="25"/>
        <v>0.48</v>
      </c>
      <c r="M284" s="30" t="s">
        <v>810</v>
      </c>
    </row>
    <row r="285" spans="1:13" ht="14">
      <c r="A285" s="88" t="s">
        <v>2398</v>
      </c>
      <c r="B285" s="219" t="s">
        <v>592</v>
      </c>
      <c r="C285" s="30"/>
      <c r="D285" s="30" t="str">
        <f>VLOOKUP(B285, 'RM &amp; SF'!B:C, 2, 0)</f>
        <v>فاصوليا خضراء</v>
      </c>
      <c r="E285" s="30" t="s">
        <v>3058</v>
      </c>
      <c r="F285" s="110">
        <v>4045</v>
      </c>
      <c r="G285" s="30" t="str">
        <f>VLOOKUP(F285, 'RM &amp; SF'!B:C, 2, 0)</f>
        <v>معجون الطماطم 1375 غم*****</v>
      </c>
      <c r="H285" s="89">
        <v>780</v>
      </c>
      <c r="I285" s="30" t="str">
        <f>VLOOKUP(F285, 'RM &amp; SF'!B:H, 4, 0)</f>
        <v>غم</v>
      </c>
      <c r="J285" s="90">
        <f t="shared" si="28"/>
        <v>52</v>
      </c>
      <c r="K285" s="91">
        <f>VLOOKUP(F285, 'RM &amp; SF'!B:H, 7, 0)</f>
        <v>1.3665999999999999E-3</v>
      </c>
      <c r="L285" s="92">
        <f t="shared" si="25"/>
        <v>7.1063199999999993E-2</v>
      </c>
      <c r="M285" s="30" t="s">
        <v>810</v>
      </c>
    </row>
    <row r="286" spans="1:13" ht="14">
      <c r="A286" s="88" t="s">
        <v>2398</v>
      </c>
      <c r="B286" s="219" t="s">
        <v>592</v>
      </c>
      <c r="C286" s="30"/>
      <c r="D286" s="30" t="str">
        <f>VLOOKUP(B286, 'RM &amp; SF'!B:C, 2, 0)</f>
        <v>فاصوليا خضراء</v>
      </c>
      <c r="E286" s="30" t="s">
        <v>3058</v>
      </c>
      <c r="F286" s="110">
        <v>5401</v>
      </c>
      <c r="G286" s="30" t="str">
        <f>VLOOKUP(F286, 'RM &amp; SF'!B:C, 2, 0)</f>
        <v xml:space="preserve">روز بيف  </v>
      </c>
      <c r="H286" s="89">
        <v>2000</v>
      </c>
      <c r="I286" s="30" t="str">
        <f>VLOOKUP(F286, 'RM &amp; SF'!B:H, 4, 0)</f>
        <v>غم</v>
      </c>
      <c r="J286" s="90">
        <f t="shared" si="28"/>
        <v>133.33333333333334</v>
      </c>
      <c r="K286" s="91">
        <f>VLOOKUP(F286, 'RM &amp; SF'!B:H, 7, 0)</f>
        <v>1.2580000000000001E-2</v>
      </c>
      <c r="L286" s="92">
        <f t="shared" si="25"/>
        <v>1.6773333333333336</v>
      </c>
      <c r="M286" s="30" t="s">
        <v>810</v>
      </c>
    </row>
    <row r="287" spans="1:13" ht="14">
      <c r="A287" s="88" t="s">
        <v>2398</v>
      </c>
      <c r="B287" s="219" t="s">
        <v>592</v>
      </c>
      <c r="C287" s="30"/>
      <c r="D287" s="30" t="str">
        <f>VLOOKUP(B287, 'RM &amp; SF'!B:C, 2, 0)</f>
        <v>فاصوليا خضراء</v>
      </c>
      <c r="E287" s="30" t="s">
        <v>3058</v>
      </c>
      <c r="F287" s="110">
        <v>4021</v>
      </c>
      <c r="G287" s="30" t="str">
        <f>VLOOKUP(F287, 'RM &amp; SF'!B:C, 2, 0)</f>
        <v>مكعبات مرق الدجاج 24 عبوة*2 مكعب*****</v>
      </c>
      <c r="H287" s="89">
        <v>100</v>
      </c>
      <c r="I287" s="30" t="str">
        <f>VLOOKUP(F287, 'RM &amp; SF'!B:H, 4, 0)</f>
        <v>غم</v>
      </c>
      <c r="J287" s="90">
        <f t="shared" si="28"/>
        <v>6.666666666666667</v>
      </c>
      <c r="K287" s="91">
        <f>VLOOKUP(F287, 'RM &amp; SF'!B:H, 7, 0)</f>
        <v>3.8541666666666668E-3</v>
      </c>
      <c r="L287" s="92">
        <f t="shared" si="25"/>
        <v>2.5694444444444447E-2</v>
      </c>
      <c r="M287" s="30" t="s">
        <v>810</v>
      </c>
    </row>
    <row r="288" spans="1:13" ht="14">
      <c r="A288" s="88" t="s">
        <v>2398</v>
      </c>
      <c r="B288" s="219" t="s">
        <v>592</v>
      </c>
      <c r="C288" s="30"/>
      <c r="D288" s="30" t="str">
        <f>VLOOKUP(B288, 'RM &amp; SF'!B:C, 2, 0)</f>
        <v>فاصوليا خضراء</v>
      </c>
      <c r="E288" s="30" t="s">
        <v>2203</v>
      </c>
      <c r="F288" s="110">
        <v>4152</v>
      </c>
      <c r="G288" s="30" t="str">
        <f>VLOOKUP(F288, 'RM &amp; SF'!B:C, 2, 0)</f>
        <v>ملح طعام 750غم*****</v>
      </c>
      <c r="H288" s="89">
        <v>50</v>
      </c>
      <c r="I288" s="30" t="str">
        <f>VLOOKUP(F288, 'RM &amp; SF'!B:H, 4, 0)</f>
        <v>غم</v>
      </c>
      <c r="J288" s="90">
        <f t="shared" si="28"/>
        <v>3.3333333333333335</v>
      </c>
      <c r="K288" s="91">
        <f>VLOOKUP(F288, 'RM &amp; SF'!B:H, 7, 0)</f>
        <v>1.7066666666666665E-4</v>
      </c>
      <c r="L288" s="92">
        <f t="shared" si="25"/>
        <v>5.6888888888888885E-4</v>
      </c>
      <c r="M288" s="30" t="s">
        <v>810</v>
      </c>
    </row>
    <row r="289" spans="1:13" ht="14">
      <c r="A289" s="88" t="s">
        <v>2398</v>
      </c>
      <c r="B289" s="219" t="s">
        <v>592</v>
      </c>
      <c r="C289" s="30"/>
      <c r="D289" s="30" t="str">
        <f>VLOOKUP(B289, 'RM &amp; SF'!B:C, 2, 0)</f>
        <v>فاصوليا خضراء</v>
      </c>
      <c r="E289" s="30" t="s">
        <v>2236</v>
      </c>
      <c r="F289" s="110">
        <v>4505</v>
      </c>
      <c r="G289" s="30" t="str">
        <f>VLOOKUP(F289, 'RM &amp; SF'!B:C, 2, 0)</f>
        <v>ثوم طازج كامل*****</v>
      </c>
      <c r="H289" s="89">
        <v>100</v>
      </c>
      <c r="I289" s="30" t="str">
        <f>VLOOKUP(F289, 'RM &amp; SF'!B:H, 4, 0)</f>
        <v>غم</v>
      </c>
      <c r="J289" s="90">
        <f t="shared" si="28"/>
        <v>6.666666666666667</v>
      </c>
      <c r="K289" s="91">
        <f>VLOOKUP(F289, 'RM &amp; SF'!B:H, 7, 0)</f>
        <v>3.5000000000000001E-3</v>
      </c>
      <c r="L289" s="92">
        <f t="shared" si="25"/>
        <v>2.3333333333333334E-2</v>
      </c>
      <c r="M289" s="30" t="s">
        <v>810</v>
      </c>
    </row>
    <row r="290" spans="1:13" ht="14">
      <c r="A290" s="88" t="s">
        <v>2398</v>
      </c>
      <c r="B290" s="219" t="s">
        <v>592</v>
      </c>
      <c r="C290" s="30"/>
      <c r="D290" s="30" t="str">
        <f>VLOOKUP(B290, 'RM &amp; SF'!B:C, 2, 0)</f>
        <v>فاصوليا خضراء</v>
      </c>
      <c r="E290" s="30" t="s">
        <v>2213</v>
      </c>
      <c r="F290" s="110">
        <v>4218</v>
      </c>
      <c r="G290" s="30" t="str">
        <f>VLOOKUP(F290, 'RM &amp; SF'!B:C, 2, 0)</f>
        <v>بهارات مشكلة*****</v>
      </c>
      <c r="H290" s="89">
        <v>50</v>
      </c>
      <c r="I290" s="30" t="str">
        <f>VLOOKUP(F290, 'RM &amp; SF'!B:H, 4, 0)</f>
        <v>غم</v>
      </c>
      <c r="J290" s="90">
        <f t="shared" si="28"/>
        <v>3.3333333333333335</v>
      </c>
      <c r="K290" s="91">
        <f>VLOOKUP(F290, 'RM &amp; SF'!B:H, 7, 0)</f>
        <v>3.0169999999999997E-3</v>
      </c>
      <c r="L290" s="92">
        <f t="shared" si="25"/>
        <v>1.0056666666666667E-2</v>
      </c>
      <c r="M290" s="30" t="s">
        <v>810</v>
      </c>
    </row>
    <row r="291" spans="1:13" ht="14">
      <c r="A291" s="88" t="s">
        <v>2398</v>
      </c>
      <c r="B291" s="219" t="s">
        <v>592</v>
      </c>
      <c r="C291" s="30"/>
      <c r="D291" s="30" t="str">
        <f>VLOOKUP(B291, 'RM &amp; SF'!B:C, 2, 0)</f>
        <v>فاصوليا خضراء</v>
      </c>
      <c r="E291" s="30" t="s">
        <v>2206</v>
      </c>
      <c r="F291" s="110">
        <v>4204</v>
      </c>
      <c r="G291" s="30" t="str">
        <f>VLOOKUP(F291, 'RM &amp; SF'!B:C, 2, 0)</f>
        <v>فلفل اسود ناعم*****</v>
      </c>
      <c r="H291" s="89">
        <v>10</v>
      </c>
      <c r="I291" s="30" t="str">
        <f>VLOOKUP(F291, 'RM &amp; SF'!B:H, 4, 0)</f>
        <v>غم</v>
      </c>
      <c r="J291" s="90">
        <f t="shared" si="28"/>
        <v>0.66666666666666663</v>
      </c>
      <c r="K291" s="91">
        <f>VLOOKUP(F291, 'RM &amp; SF'!B:H, 7, 0)</f>
        <v>6.8970000000000004E-3</v>
      </c>
      <c r="L291" s="92">
        <f t="shared" si="25"/>
        <v>4.5979999999999997E-3</v>
      </c>
      <c r="M291" s="30" t="s">
        <v>810</v>
      </c>
    </row>
    <row r="292" spans="1:13" ht="14">
      <c r="A292" s="88" t="s">
        <v>2400</v>
      </c>
      <c r="B292" s="188" t="s">
        <v>602</v>
      </c>
      <c r="C292" s="30"/>
      <c r="D292" s="30" t="str">
        <f>VLOOKUP(B292, 'RM &amp; SF'!B:C, 2, 0)</f>
        <v>رز بخاري</v>
      </c>
      <c r="E292" s="30" t="s">
        <v>2281</v>
      </c>
      <c r="F292" s="110">
        <v>4133</v>
      </c>
      <c r="G292" s="30" t="str">
        <f>VLOOKUP(F292, 'RM &amp; SF'!B:C, 2, 0)</f>
        <v>ارز بسمتي ذهبي*****</v>
      </c>
      <c r="H292" s="89">
        <v>10000</v>
      </c>
      <c r="I292" s="30" t="str">
        <f>VLOOKUP(F292, 'RM &amp; SF'!B:H, 4, 0)</f>
        <v>غم</v>
      </c>
      <c r="J292" s="90">
        <f t="shared" ref="J292:J313" si="29">H292/47</f>
        <v>212.7659574468085</v>
      </c>
      <c r="K292" s="91">
        <f>VLOOKUP(F292, 'RM &amp; SF'!B:H, 7, 0)</f>
        <v>1.1000000000000001E-3</v>
      </c>
      <c r="L292" s="92">
        <f t="shared" si="25"/>
        <v>0.23404255319148937</v>
      </c>
      <c r="M292" s="30" t="s">
        <v>810</v>
      </c>
    </row>
    <row r="293" spans="1:13" ht="14">
      <c r="A293" s="88" t="s">
        <v>2400</v>
      </c>
      <c r="B293" s="188" t="s">
        <v>602</v>
      </c>
      <c r="C293" s="30"/>
      <c r="D293" s="30" t="str">
        <f>VLOOKUP(B293, 'RM &amp; SF'!B:C, 2, 0)</f>
        <v>رز بخاري</v>
      </c>
      <c r="E293" s="30" t="s">
        <v>2238</v>
      </c>
      <c r="F293" s="110">
        <v>4509</v>
      </c>
      <c r="G293" s="30" t="str">
        <f>VLOOKUP(F293, 'RM &amp; SF'!B:C, 2, 0)</f>
        <v>جزر*****</v>
      </c>
      <c r="H293" s="89">
        <v>700</v>
      </c>
      <c r="I293" s="30" t="str">
        <f>VLOOKUP(F293, 'RM &amp; SF'!B:H, 4, 0)</f>
        <v>غم</v>
      </c>
      <c r="J293" s="90">
        <f t="shared" si="29"/>
        <v>14.893617021276595</v>
      </c>
      <c r="K293" s="91">
        <f>VLOOKUP(F293, 'RM &amp; SF'!B:H, 7, 0)</f>
        <v>5.5000000000000003E-4</v>
      </c>
      <c r="L293" s="92">
        <f t="shared" si="25"/>
        <v>8.191489361702128E-3</v>
      </c>
      <c r="M293" s="30" t="s">
        <v>810</v>
      </c>
    </row>
    <row r="294" spans="1:13" ht="14">
      <c r="A294" s="88" t="s">
        <v>2400</v>
      </c>
      <c r="B294" s="188" t="s">
        <v>602</v>
      </c>
      <c r="C294" s="30"/>
      <c r="D294" s="30" t="str">
        <f>VLOOKUP(B294, 'RM &amp; SF'!B:C, 2, 0)</f>
        <v>رز بخاري</v>
      </c>
      <c r="E294" s="30" t="s">
        <v>2235</v>
      </c>
      <c r="F294" s="110">
        <v>4504</v>
      </c>
      <c r="G294" s="30" t="str">
        <f>VLOOKUP(F294, 'RM &amp; SF'!B:C, 2, 0)</f>
        <v>بصل مشاوي (بصل بيبي)***</v>
      </c>
      <c r="H294" s="89">
        <v>2000</v>
      </c>
      <c r="I294" s="30" t="str">
        <f>VLOOKUP(F294, 'RM &amp; SF'!B:H, 4, 0)</f>
        <v>غم</v>
      </c>
      <c r="J294" s="90">
        <f t="shared" si="29"/>
        <v>42.553191489361701</v>
      </c>
      <c r="K294" s="91">
        <f>VLOOKUP(F294, 'RM &amp; SF'!B:H, 7, 0)</f>
        <v>3.5E-4</v>
      </c>
      <c r="L294" s="92">
        <f t="shared" si="25"/>
        <v>1.4893617021276595E-2</v>
      </c>
      <c r="M294" s="30" t="s">
        <v>810</v>
      </c>
    </row>
    <row r="295" spans="1:13" ht="14">
      <c r="A295" s="88" t="s">
        <v>2400</v>
      </c>
      <c r="B295" s="188" t="s">
        <v>602</v>
      </c>
      <c r="C295" s="30"/>
      <c r="D295" s="30" t="str">
        <f>VLOOKUP(B295, 'RM &amp; SF'!B:C, 2, 0)</f>
        <v>رز بخاري</v>
      </c>
      <c r="E295" s="30" t="s">
        <v>2210</v>
      </c>
      <c r="F295" s="110">
        <v>4213</v>
      </c>
      <c r="G295" s="30" t="str">
        <f>VLOOKUP(F295, 'RM &amp; SF'!B:C, 2, 0)</f>
        <v>ورق غار*****</v>
      </c>
      <c r="H295" s="89">
        <v>6</v>
      </c>
      <c r="I295" s="30" t="str">
        <f>VLOOKUP(F295, 'RM &amp; SF'!B:H, 4, 0)</f>
        <v>غم</v>
      </c>
      <c r="J295" s="90">
        <f t="shared" si="29"/>
        <v>0.1276595744680851</v>
      </c>
      <c r="K295" s="91">
        <f>VLOOKUP(F295, 'RM &amp; SF'!B:H, 7, 0)</f>
        <v>2.0690000000000001E-3</v>
      </c>
      <c r="L295" s="92">
        <f t="shared" si="25"/>
        <v>2.6412765957446808E-4</v>
      </c>
      <c r="M295" s="30" t="s">
        <v>810</v>
      </c>
    </row>
    <row r="296" spans="1:13" ht="14">
      <c r="A296" s="88" t="s">
        <v>2400</v>
      </c>
      <c r="B296" s="188" t="s">
        <v>602</v>
      </c>
      <c r="C296" s="30"/>
      <c r="D296" s="30" t="str">
        <f>VLOOKUP(B296, 'RM &amp; SF'!B:C, 2, 0)</f>
        <v>رز بخاري</v>
      </c>
      <c r="E296" s="30" t="s">
        <v>3058</v>
      </c>
      <c r="F296" s="110">
        <v>4143</v>
      </c>
      <c r="G296" s="30" t="str">
        <f>VLOOKUP(F296, 'RM &amp; SF'!B:C, 2, 0)</f>
        <v>حمص حب نمرة 12*****</v>
      </c>
      <c r="H296" s="89">
        <v>500</v>
      </c>
      <c r="I296" s="30" t="str">
        <f>VLOOKUP(F296, 'RM &amp; SF'!B:H, 4, 0)</f>
        <v>غم</v>
      </c>
      <c r="J296" s="90">
        <f t="shared" si="29"/>
        <v>10.638297872340425</v>
      </c>
      <c r="K296" s="91">
        <f>VLOOKUP(F296, 'RM &amp; SF'!B:H, 7, 0)</f>
        <v>1.24E-3</v>
      </c>
      <c r="L296" s="92">
        <f t="shared" si="25"/>
        <v>1.3191489361702127E-2</v>
      </c>
      <c r="M296" s="30" t="s">
        <v>810</v>
      </c>
    </row>
    <row r="297" spans="1:13" ht="14">
      <c r="A297" s="88" t="s">
        <v>2400</v>
      </c>
      <c r="B297" s="188" t="s">
        <v>602</v>
      </c>
      <c r="C297" s="30"/>
      <c r="D297" s="30" t="str">
        <f>VLOOKUP(B297, 'RM &amp; SF'!B:C, 2, 0)</f>
        <v>رز بخاري</v>
      </c>
      <c r="E297" s="30" t="s">
        <v>3058</v>
      </c>
      <c r="F297" s="110">
        <v>4151</v>
      </c>
      <c r="G297" s="30" t="str">
        <f>VLOOKUP(F297, 'RM &amp; SF'!B:C, 2, 0)</f>
        <v>زبيب ذهبي*****</v>
      </c>
      <c r="H297" s="89">
        <v>1000</v>
      </c>
      <c r="I297" s="30" t="str">
        <f>VLOOKUP(F297, 'RM &amp; SF'!B:H, 4, 0)</f>
        <v>غم</v>
      </c>
      <c r="J297" s="90">
        <f t="shared" si="29"/>
        <v>21.276595744680851</v>
      </c>
      <c r="K297" s="91">
        <f>VLOOKUP(F297, 'RM &amp; SF'!B:H, 7, 0)</f>
        <v>3.0172413793103452E-3</v>
      </c>
      <c r="L297" s="92">
        <f t="shared" si="25"/>
        <v>6.4196625091709467E-2</v>
      </c>
      <c r="M297" s="30" t="s">
        <v>810</v>
      </c>
    </row>
    <row r="298" spans="1:13" ht="14">
      <c r="A298" s="88" t="s">
        <v>2400</v>
      </c>
      <c r="B298" s="188" t="s">
        <v>602</v>
      </c>
      <c r="C298" s="30"/>
      <c r="D298" s="30" t="str">
        <f>VLOOKUP(B298, 'RM &amp; SF'!B:C, 2, 0)</f>
        <v>رز بخاري</v>
      </c>
      <c r="E298" s="30" t="s">
        <v>3058</v>
      </c>
      <c r="F298" s="110">
        <v>4245</v>
      </c>
      <c r="G298" s="30" t="str">
        <f>VLOOKUP(F298, 'RM &amp; SF'!B:C, 2, 0)</f>
        <v>خولنجان (عرق الهيل) ناعم*****</v>
      </c>
      <c r="H298" s="89">
        <v>36</v>
      </c>
      <c r="I298" s="30" t="str">
        <f>VLOOKUP(F298, 'RM &amp; SF'!B:H, 4, 0)</f>
        <v>غم</v>
      </c>
      <c r="J298" s="90">
        <f t="shared" si="29"/>
        <v>0.76595744680851063</v>
      </c>
      <c r="K298" s="91">
        <f>VLOOKUP(F298, 'RM &amp; SF'!B:H, 7, 0)</f>
        <v>6.8970000000000004E-3</v>
      </c>
      <c r="L298" s="92">
        <f t="shared" si="25"/>
        <v>5.2828085106382981E-3</v>
      </c>
      <c r="M298" s="30" t="s">
        <v>810</v>
      </c>
    </row>
    <row r="299" spans="1:13" ht="14">
      <c r="A299" s="88" t="s">
        <v>2400</v>
      </c>
      <c r="B299" s="188" t="s">
        <v>602</v>
      </c>
      <c r="C299" s="30"/>
      <c r="D299" s="30" t="str">
        <f>VLOOKUP(B299, 'RM &amp; SF'!B:C, 2, 0)</f>
        <v>رز بخاري</v>
      </c>
      <c r="E299" s="30" t="s">
        <v>3058</v>
      </c>
      <c r="F299" s="110">
        <v>4234</v>
      </c>
      <c r="G299" s="30" t="str">
        <f>VLOOKUP(F299, 'RM &amp; SF'!B:C, 2, 0)</f>
        <v>هال حب اخضر*****</v>
      </c>
      <c r="H299" s="89">
        <v>12</v>
      </c>
      <c r="I299" s="30" t="str">
        <f>VLOOKUP(F299, 'RM &amp; SF'!B:H, 4, 0)</f>
        <v>غم</v>
      </c>
      <c r="J299" s="90">
        <f t="shared" si="29"/>
        <v>0.25531914893617019</v>
      </c>
      <c r="K299" s="91">
        <f>VLOOKUP(F299, 'RM &amp; SF'!B:H, 7, 0)</f>
        <v>1.9827586206896553E-2</v>
      </c>
      <c r="L299" s="92">
        <f t="shared" si="25"/>
        <v>5.0623624358033751E-3</v>
      </c>
      <c r="M299" s="30" t="s">
        <v>810</v>
      </c>
    </row>
    <row r="300" spans="1:13" ht="14">
      <c r="A300" s="88" t="s">
        <v>2400</v>
      </c>
      <c r="B300" s="188" t="s">
        <v>602</v>
      </c>
      <c r="C300" s="30"/>
      <c r="D300" s="30" t="str">
        <f>VLOOKUP(B300, 'RM &amp; SF'!B:C, 2, 0)</f>
        <v>رز بخاري</v>
      </c>
      <c r="E300" s="30" t="s">
        <v>2204</v>
      </c>
      <c r="F300" s="110">
        <v>4189</v>
      </c>
      <c r="G300" s="30" t="str">
        <f>VLOOKUP(F300, 'RM &amp; SF'!B:C, 2, 0)</f>
        <v>لومي اصفر*****</v>
      </c>
      <c r="H300" s="89">
        <v>18</v>
      </c>
      <c r="I300" s="30" t="str">
        <f>VLOOKUP(F300, 'RM &amp; SF'!B:H, 4, 0)</f>
        <v>غم</v>
      </c>
      <c r="J300" s="90">
        <f t="shared" si="29"/>
        <v>0.38297872340425532</v>
      </c>
      <c r="K300" s="91">
        <f>VLOOKUP(F300, 'RM &amp; SF'!B:H, 7, 0)</f>
        <v>1.9399999999999999E-3</v>
      </c>
      <c r="L300" s="92">
        <f t="shared" ref="L300:L363" si="30">K300*J300</f>
        <v>7.4297872340425527E-4</v>
      </c>
      <c r="M300" s="30" t="s">
        <v>810</v>
      </c>
    </row>
    <row r="301" spans="1:13" ht="14">
      <c r="A301" s="88" t="s">
        <v>2400</v>
      </c>
      <c r="B301" s="188" t="s">
        <v>602</v>
      </c>
      <c r="C301" s="30"/>
      <c r="D301" s="30" t="str">
        <f>VLOOKUP(B301, 'RM &amp; SF'!B:C, 2, 0)</f>
        <v>رز بخاري</v>
      </c>
      <c r="E301" s="30" t="s">
        <v>3058</v>
      </c>
      <c r="F301" s="110">
        <v>1221</v>
      </c>
      <c r="G301" s="30" t="str">
        <f>VLOOKUP(F301, 'RM &amp; SF'!B:C, 2, 0)</f>
        <v>مرقة لحم</v>
      </c>
      <c r="H301" s="89">
        <v>16000</v>
      </c>
      <c r="I301" s="30" t="str">
        <f>VLOOKUP(F301, 'RM &amp; SF'!B:H, 4, 0)</f>
        <v>غم</v>
      </c>
      <c r="J301" s="90">
        <f t="shared" si="29"/>
        <v>340.42553191489361</v>
      </c>
      <c r="K301" s="91">
        <f>VLOOKUP(F301, 'RM &amp; SF'!B:H, 7, 0)</f>
        <v>0</v>
      </c>
      <c r="L301" s="92">
        <f t="shared" si="30"/>
        <v>0</v>
      </c>
      <c r="M301" s="30" t="s">
        <v>810</v>
      </c>
    </row>
    <row r="302" spans="1:13" ht="14">
      <c r="A302" s="88" t="s">
        <v>2400</v>
      </c>
      <c r="B302" s="188" t="s">
        <v>602</v>
      </c>
      <c r="C302" s="30"/>
      <c r="D302" s="30" t="str">
        <f>VLOOKUP(B302, 'RM &amp; SF'!B:C, 2, 0)</f>
        <v>رز بخاري</v>
      </c>
      <c r="E302" s="30" t="s">
        <v>2213</v>
      </c>
      <c r="F302" s="110">
        <v>4218</v>
      </c>
      <c r="G302" s="30" t="str">
        <f>VLOOKUP(F302, 'RM &amp; SF'!B:C, 2, 0)</f>
        <v>بهارات مشكلة*****</v>
      </c>
      <c r="H302" s="89">
        <v>30</v>
      </c>
      <c r="I302" s="30" t="str">
        <f>VLOOKUP(F302, 'RM &amp; SF'!B:H, 4, 0)</f>
        <v>غم</v>
      </c>
      <c r="J302" s="90">
        <f t="shared" si="29"/>
        <v>0.63829787234042556</v>
      </c>
      <c r="K302" s="91">
        <f>VLOOKUP(F302, 'RM &amp; SF'!B:H, 7, 0)</f>
        <v>3.0169999999999997E-3</v>
      </c>
      <c r="L302" s="92">
        <f t="shared" si="30"/>
        <v>1.9257446808510637E-3</v>
      </c>
      <c r="M302" s="30" t="s">
        <v>810</v>
      </c>
    </row>
    <row r="303" spans="1:13" ht="14">
      <c r="A303" s="88" t="s">
        <v>2400</v>
      </c>
      <c r="B303" s="188" t="s">
        <v>602</v>
      </c>
      <c r="C303" s="30"/>
      <c r="D303" s="30" t="str">
        <f>VLOOKUP(B303, 'RM &amp; SF'!B:C, 2, 0)</f>
        <v>رز بخاري</v>
      </c>
      <c r="E303" s="30" t="s">
        <v>2206</v>
      </c>
      <c r="F303" s="110">
        <v>4204</v>
      </c>
      <c r="G303" s="30" t="str">
        <f>VLOOKUP(F303, 'RM &amp; SF'!B:C, 2, 0)</f>
        <v>فلفل اسود ناعم*****</v>
      </c>
      <c r="H303" s="89">
        <v>40</v>
      </c>
      <c r="I303" s="30" t="str">
        <f>VLOOKUP(F303, 'RM &amp; SF'!B:H, 4, 0)</f>
        <v>غم</v>
      </c>
      <c r="J303" s="90">
        <f t="shared" si="29"/>
        <v>0.85106382978723405</v>
      </c>
      <c r="K303" s="91">
        <f>VLOOKUP(F303, 'RM &amp; SF'!B:H, 7, 0)</f>
        <v>6.8970000000000004E-3</v>
      </c>
      <c r="L303" s="92">
        <f t="shared" si="30"/>
        <v>5.8697872340425531E-3</v>
      </c>
      <c r="M303" s="30" t="s">
        <v>810</v>
      </c>
    </row>
    <row r="304" spans="1:13" ht="14">
      <c r="A304" s="88" t="s">
        <v>2400</v>
      </c>
      <c r="B304" s="188" t="s">
        <v>602</v>
      </c>
      <c r="C304" s="30"/>
      <c r="D304" s="30" t="str">
        <f>VLOOKUP(B304, 'RM &amp; SF'!B:C, 2, 0)</f>
        <v>رز بخاري</v>
      </c>
      <c r="E304" s="30" t="s">
        <v>2208</v>
      </c>
      <c r="F304" s="110">
        <v>4211</v>
      </c>
      <c r="G304" s="30" t="str">
        <f>VLOOKUP(F304, 'RM &amp; SF'!B:C, 2, 0)</f>
        <v>كزبرة ناعمة*****</v>
      </c>
      <c r="H304" s="89">
        <v>45</v>
      </c>
      <c r="I304" s="30" t="str">
        <f>VLOOKUP(F304, 'RM &amp; SF'!B:H, 4, 0)</f>
        <v>غم</v>
      </c>
      <c r="J304" s="90">
        <f t="shared" si="29"/>
        <v>0.95744680851063835</v>
      </c>
      <c r="K304" s="91">
        <f>VLOOKUP(F304, 'RM &amp; SF'!B:H, 7, 0)</f>
        <v>1.5089999999999999E-3</v>
      </c>
      <c r="L304" s="92">
        <f t="shared" si="30"/>
        <v>1.4447872340425532E-3</v>
      </c>
      <c r="M304" s="30" t="s">
        <v>810</v>
      </c>
    </row>
    <row r="305" spans="1:13" ht="14">
      <c r="A305" s="88" t="s">
        <v>2400</v>
      </c>
      <c r="B305" s="188" t="s">
        <v>602</v>
      </c>
      <c r="C305" s="30"/>
      <c r="D305" s="30" t="str">
        <f>VLOOKUP(B305, 'RM &amp; SF'!B:C, 2, 0)</f>
        <v>رز بخاري</v>
      </c>
      <c r="E305" s="30" t="s">
        <v>2211</v>
      </c>
      <c r="F305" s="110">
        <v>4214</v>
      </c>
      <c r="G305" s="30" t="str">
        <f>VLOOKUP(F305, 'RM &amp; SF'!B:C, 2, 0)</f>
        <v>قرفة ناعمة*****</v>
      </c>
      <c r="H305" s="89">
        <v>15</v>
      </c>
      <c r="I305" s="30" t="str">
        <f>VLOOKUP(F305, 'RM &amp; SF'!B:H, 4, 0)</f>
        <v>غم</v>
      </c>
      <c r="J305" s="90">
        <f t="shared" si="29"/>
        <v>0.31914893617021278</v>
      </c>
      <c r="K305" s="91">
        <f>VLOOKUP(F305, 'RM &amp; SF'!B:H, 7, 0)</f>
        <v>2.8020000000000002E-3</v>
      </c>
      <c r="L305" s="92">
        <f t="shared" si="30"/>
        <v>8.9425531914893628E-4</v>
      </c>
      <c r="M305" s="30" t="s">
        <v>810</v>
      </c>
    </row>
    <row r="306" spans="1:13" ht="14">
      <c r="A306" s="88" t="s">
        <v>2400</v>
      </c>
      <c r="B306" s="188" t="s">
        <v>602</v>
      </c>
      <c r="C306" s="30"/>
      <c r="D306" s="30" t="str">
        <f>VLOOKUP(B306, 'RM &amp; SF'!B:C, 2, 0)</f>
        <v>رز بخاري</v>
      </c>
      <c r="E306" s="30" t="s">
        <v>2218</v>
      </c>
      <c r="F306" s="110">
        <v>4233</v>
      </c>
      <c r="G306" s="30" t="str">
        <f>VLOOKUP(F306, 'RM &amp; SF'!B:C, 2, 0)</f>
        <v>هال ناعم*****</v>
      </c>
      <c r="H306" s="89">
        <v>60</v>
      </c>
      <c r="I306" s="30" t="str">
        <f>VLOOKUP(F306, 'RM &amp; SF'!B:H, 4, 0)</f>
        <v>غم</v>
      </c>
      <c r="J306" s="90">
        <f t="shared" si="29"/>
        <v>1.2765957446808511</v>
      </c>
      <c r="K306" s="91">
        <f>VLOOKUP(F306, 'RM &amp; SF'!B:H, 7, 0)</f>
        <v>2.3E-2</v>
      </c>
      <c r="L306" s="92">
        <f t="shared" si="30"/>
        <v>2.9361702127659574E-2</v>
      </c>
      <c r="M306" s="30" t="s">
        <v>810</v>
      </c>
    </row>
    <row r="307" spans="1:13" ht="14">
      <c r="A307" s="88" t="s">
        <v>2400</v>
      </c>
      <c r="B307" s="188" t="s">
        <v>602</v>
      </c>
      <c r="C307" s="30"/>
      <c r="D307" s="30" t="str">
        <f>VLOOKUP(B307, 'RM &amp; SF'!B:C, 2, 0)</f>
        <v>رز بخاري</v>
      </c>
      <c r="E307" s="30" t="s">
        <v>2203</v>
      </c>
      <c r="F307" s="110">
        <v>4152</v>
      </c>
      <c r="G307" s="30" t="str">
        <f>VLOOKUP(F307, 'RM &amp; SF'!B:C, 2, 0)</f>
        <v>ملح طعام 750غم*****</v>
      </c>
      <c r="H307" s="89">
        <v>400</v>
      </c>
      <c r="I307" s="30" t="str">
        <f>VLOOKUP(F307, 'RM &amp; SF'!B:H, 4, 0)</f>
        <v>غم</v>
      </c>
      <c r="J307" s="90">
        <f t="shared" si="29"/>
        <v>8.5106382978723403</v>
      </c>
      <c r="K307" s="91">
        <f>VLOOKUP(F307, 'RM &amp; SF'!B:H, 7, 0)</f>
        <v>1.7066666666666665E-4</v>
      </c>
      <c r="L307" s="92">
        <f t="shared" si="30"/>
        <v>1.4524822695035459E-3</v>
      </c>
      <c r="M307" s="30" t="s">
        <v>810</v>
      </c>
    </row>
    <row r="308" spans="1:13" ht="14">
      <c r="A308" s="88" t="s">
        <v>2400</v>
      </c>
      <c r="B308" s="188" t="s">
        <v>602</v>
      </c>
      <c r="C308" s="30"/>
      <c r="D308" s="30" t="str">
        <f>VLOOKUP(B308, 'RM &amp; SF'!B:C, 2, 0)</f>
        <v>رز بخاري</v>
      </c>
      <c r="E308" s="30" t="s">
        <v>3058</v>
      </c>
      <c r="F308" s="110">
        <v>4021</v>
      </c>
      <c r="G308" s="30" t="str">
        <f>VLOOKUP(F308, 'RM &amp; SF'!B:C, 2, 0)</f>
        <v>مكعبات مرق الدجاج 24 عبوة*2 مكعب*****</v>
      </c>
      <c r="H308" s="89">
        <v>100</v>
      </c>
      <c r="I308" s="30" t="str">
        <f>VLOOKUP(F308, 'RM &amp; SF'!B:H, 4, 0)</f>
        <v>غم</v>
      </c>
      <c r="J308" s="90">
        <f t="shared" si="29"/>
        <v>2.1276595744680851</v>
      </c>
      <c r="K308" s="91">
        <f>VLOOKUP(F308, 'RM &amp; SF'!B:H, 7, 0)</f>
        <v>3.8541666666666668E-3</v>
      </c>
      <c r="L308" s="92">
        <f t="shared" si="30"/>
        <v>8.2003546099290777E-3</v>
      </c>
      <c r="M308" s="30" t="s">
        <v>810</v>
      </c>
    </row>
    <row r="309" spans="1:13" ht="14">
      <c r="A309" s="88" t="s">
        <v>2400</v>
      </c>
      <c r="B309" s="188" t="s">
        <v>602</v>
      </c>
      <c r="C309" s="30"/>
      <c r="D309" s="30" t="str">
        <f>VLOOKUP(B309, 'RM &amp; SF'!B:C, 2, 0)</f>
        <v>رز بخاري</v>
      </c>
      <c r="E309" s="30" t="s">
        <v>2212</v>
      </c>
      <c r="F309" s="110">
        <v>4215</v>
      </c>
      <c r="G309" s="30" t="str">
        <f>VLOOKUP(F309, 'RM &amp; SF'!B:C, 2, 0)</f>
        <v>ملح صيني*****</v>
      </c>
      <c r="H309" s="89">
        <v>60</v>
      </c>
      <c r="I309" s="30" t="str">
        <f>VLOOKUP(F309, 'RM &amp; SF'!B:H, 4, 0)</f>
        <v>غم</v>
      </c>
      <c r="J309" s="90">
        <f t="shared" si="29"/>
        <v>1.2765957446808511</v>
      </c>
      <c r="K309" s="91">
        <f>VLOOKUP(F309, 'RM &amp; SF'!B:H, 7, 0)</f>
        <v>1.7240000000000001E-3</v>
      </c>
      <c r="L309" s="92">
        <f t="shared" si="30"/>
        <v>2.2008510638297876E-3</v>
      </c>
      <c r="M309" s="30" t="s">
        <v>810</v>
      </c>
    </row>
    <row r="310" spans="1:13" ht="14">
      <c r="A310" s="88" t="s">
        <v>2400</v>
      </c>
      <c r="B310" s="188" t="s">
        <v>602</v>
      </c>
      <c r="C310" s="30"/>
      <c r="D310" s="30" t="str">
        <f>VLOOKUP(B310, 'RM &amp; SF'!B:C, 2, 0)</f>
        <v>رز بخاري</v>
      </c>
      <c r="E310" s="30" t="s">
        <v>2261</v>
      </c>
      <c r="F310" s="110">
        <v>4163</v>
      </c>
      <c r="G310" s="30" t="str">
        <f>VLOOKUP(F310, 'RM &amp; SF'!B:C, 2, 0)</f>
        <v>سمنة بنكهة السمن البلدي 15 كغ*****</v>
      </c>
      <c r="H310" s="89">
        <v>700</v>
      </c>
      <c r="I310" s="30" t="str">
        <f>VLOOKUP(F310, 'RM &amp; SF'!B:H, 4, 0)</f>
        <v>غم</v>
      </c>
      <c r="J310" s="90">
        <f t="shared" si="29"/>
        <v>14.893617021276595</v>
      </c>
      <c r="K310" s="91">
        <f>VLOOKUP(F310, 'RM &amp; SF'!B:H, 7, 0)</f>
        <v>2.0512E-3</v>
      </c>
      <c r="L310" s="92">
        <f t="shared" si="30"/>
        <v>3.0549787234042551E-2</v>
      </c>
      <c r="M310" s="30" t="s">
        <v>810</v>
      </c>
    </row>
    <row r="311" spans="1:13" ht="14">
      <c r="A311" s="88" t="s">
        <v>2400</v>
      </c>
      <c r="B311" s="188" t="s">
        <v>602</v>
      </c>
      <c r="C311" s="30"/>
      <c r="D311" s="30" t="str">
        <f>VLOOKUP(B311, 'RM &amp; SF'!B:C, 2, 0)</f>
        <v>رز بخاري</v>
      </c>
      <c r="E311" s="30" t="s">
        <v>2220</v>
      </c>
      <c r="F311" s="110">
        <v>4236</v>
      </c>
      <c r="G311" s="30" t="str">
        <f>VLOOKUP(F311, 'RM &amp; SF'!B:C, 2, 0)</f>
        <v>بصل ناعم*****</v>
      </c>
      <c r="H311" s="89">
        <v>15</v>
      </c>
      <c r="I311" s="30" t="str">
        <f>VLOOKUP(F311, 'RM &amp; SF'!B:H, 4, 0)</f>
        <v>غم</v>
      </c>
      <c r="J311" s="90">
        <f t="shared" si="29"/>
        <v>0.31914893617021278</v>
      </c>
      <c r="K311" s="91">
        <f>VLOOKUP(F311, 'RM &amp; SF'!B:H, 7, 0)</f>
        <v>2.3709999999999998E-3</v>
      </c>
      <c r="L311" s="92">
        <f t="shared" si="30"/>
        <v>7.5670212765957447E-4</v>
      </c>
      <c r="M311" s="30" t="s">
        <v>810</v>
      </c>
    </row>
    <row r="312" spans="1:13" ht="14">
      <c r="A312" s="88" t="s">
        <v>2400</v>
      </c>
      <c r="B312" s="188" t="s">
        <v>602</v>
      </c>
      <c r="C312" s="30"/>
      <c r="D312" s="30" t="str">
        <f>VLOOKUP(B312, 'RM &amp; SF'!B:C, 2, 0)</f>
        <v>رز بخاري</v>
      </c>
      <c r="E312" s="30" t="s">
        <v>3058</v>
      </c>
      <c r="F312" s="110">
        <v>4198</v>
      </c>
      <c r="G312" s="30" t="str">
        <f>VLOOKUP(F312, 'RM &amp; SF'!B:C, 2, 0)</f>
        <v>صبغة صفراء بودرة*****</v>
      </c>
      <c r="H312" s="89">
        <v>50</v>
      </c>
      <c r="I312" s="30" t="str">
        <f>VLOOKUP(F312, 'RM &amp; SF'!B:H, 4, 0)</f>
        <v>غم</v>
      </c>
      <c r="J312" s="90">
        <f t="shared" si="29"/>
        <v>1.0638297872340425</v>
      </c>
      <c r="K312" s="91">
        <f>VLOOKUP(F312, 'RM &amp; SF'!B:H, 7, 0)</f>
        <v>3.0169999999999997E-3</v>
      </c>
      <c r="L312" s="92">
        <f t="shared" si="30"/>
        <v>3.209574468085106E-3</v>
      </c>
      <c r="M312" s="30" t="s">
        <v>810</v>
      </c>
    </row>
    <row r="313" spans="1:13" ht="14">
      <c r="A313" s="88" t="s">
        <v>2400</v>
      </c>
      <c r="B313" s="188" t="s">
        <v>602</v>
      </c>
      <c r="C313" s="30"/>
      <c r="D313" s="30" t="str">
        <f>VLOOKUP(B313, 'RM &amp; SF'!B:C, 2, 0)</f>
        <v>رز بخاري</v>
      </c>
      <c r="E313" s="30" t="s">
        <v>2260</v>
      </c>
      <c r="F313" s="110">
        <v>4160</v>
      </c>
      <c r="G313" s="30" t="str">
        <f>VLOOKUP(F313, 'RM &amp; SF'!B:C, 2, 0)</f>
        <v>زيت صويا 18 لتر*****</v>
      </c>
      <c r="H313" s="89">
        <v>500</v>
      </c>
      <c r="I313" s="30" t="str">
        <f>VLOOKUP(F313, 'RM &amp; SF'!B:H, 4, 0)</f>
        <v>مل</v>
      </c>
      <c r="J313" s="90">
        <f t="shared" si="29"/>
        <v>10.638297872340425</v>
      </c>
      <c r="K313" s="91">
        <f>VLOOKUP(F313, 'RM &amp; SF'!B:H, 7, 0)</f>
        <v>1.335E-3</v>
      </c>
      <c r="L313" s="92">
        <f t="shared" si="30"/>
        <v>1.4202127659574468E-2</v>
      </c>
      <c r="M313" s="30" t="s">
        <v>810</v>
      </c>
    </row>
    <row r="314" spans="1:13" ht="14">
      <c r="A314" s="88" t="s">
        <v>2388</v>
      </c>
      <c r="B314" s="219" t="s">
        <v>558</v>
      </c>
      <c r="C314" s="30"/>
      <c r="D314" s="30" t="str">
        <f>VLOOKUP(B314, 'RM &amp; SF'!B:C, 2, 0)</f>
        <v xml:space="preserve">كبسة </v>
      </c>
      <c r="E314" s="30" t="s">
        <v>2281</v>
      </c>
      <c r="F314" s="110">
        <v>4133</v>
      </c>
      <c r="G314" s="30" t="str">
        <f>VLOOKUP(F314, 'RM &amp; SF'!B:C, 2, 0)</f>
        <v>ارز بسمتي ذهبي*****</v>
      </c>
      <c r="H314" s="89">
        <v>6000</v>
      </c>
      <c r="I314" s="30" t="str">
        <f>VLOOKUP(F314, 'RM &amp; SF'!B:H, 4, 0)</f>
        <v>غم</v>
      </c>
      <c r="J314" s="90">
        <f t="shared" ref="J314:J343" si="31">H314/23</f>
        <v>260.86956521739131</v>
      </c>
      <c r="K314" s="91">
        <f>VLOOKUP(F314, 'RM &amp; SF'!B:H, 7, 0)</f>
        <v>1.1000000000000001E-3</v>
      </c>
      <c r="L314" s="92">
        <f t="shared" si="30"/>
        <v>0.28695652173913044</v>
      </c>
      <c r="M314" s="30" t="s">
        <v>810</v>
      </c>
    </row>
    <row r="315" spans="1:13" ht="14">
      <c r="A315" s="88" t="s">
        <v>2388</v>
      </c>
      <c r="B315" s="219" t="s">
        <v>558</v>
      </c>
      <c r="C315" s="30"/>
      <c r="D315" s="30" t="str">
        <f>VLOOKUP(B315, 'RM &amp; SF'!B:C, 2, 0)</f>
        <v xml:space="preserve">كبسة </v>
      </c>
      <c r="E315" s="30" t="s">
        <v>2235</v>
      </c>
      <c r="F315" s="110">
        <v>4504</v>
      </c>
      <c r="G315" s="30" t="str">
        <f>VLOOKUP(F315, 'RM &amp; SF'!B:C, 2, 0)</f>
        <v>بصل مشاوي (بصل بيبي)***</v>
      </c>
      <c r="H315" s="89">
        <v>1000</v>
      </c>
      <c r="I315" s="30" t="str">
        <f>VLOOKUP(F315, 'RM &amp; SF'!B:H, 4, 0)</f>
        <v>غم</v>
      </c>
      <c r="J315" s="90">
        <f t="shared" si="31"/>
        <v>43.478260869565219</v>
      </c>
      <c r="K315" s="91">
        <f>VLOOKUP(F315, 'RM &amp; SF'!B:H, 7, 0)</f>
        <v>3.5E-4</v>
      </c>
      <c r="L315" s="92">
        <f t="shared" si="30"/>
        <v>1.5217391304347827E-2</v>
      </c>
      <c r="M315" s="30" t="s">
        <v>810</v>
      </c>
    </row>
    <row r="316" spans="1:13" ht="14">
      <c r="A316" s="88" t="s">
        <v>2388</v>
      </c>
      <c r="B316" s="219" t="s">
        <v>558</v>
      </c>
      <c r="C316" s="30"/>
      <c r="D316" s="30" t="str">
        <f>VLOOKUP(B316, 'RM &amp; SF'!B:C, 2, 0)</f>
        <v xml:space="preserve">كبسة </v>
      </c>
      <c r="E316" s="30" t="s">
        <v>2233</v>
      </c>
      <c r="F316" s="110">
        <v>4501</v>
      </c>
      <c r="G316" s="30" t="str">
        <f>VLOOKUP(F316, 'RM &amp; SF'!B:C, 2, 0)</f>
        <v>فلفل حلو احمر*****</v>
      </c>
      <c r="H316" s="89">
        <v>1500</v>
      </c>
      <c r="I316" s="30" t="str">
        <f>VLOOKUP(F316, 'RM &amp; SF'!B:H, 4, 0)</f>
        <v>غم</v>
      </c>
      <c r="J316" s="90">
        <f t="shared" si="31"/>
        <v>65.217391304347828</v>
      </c>
      <c r="K316" s="91">
        <f>VLOOKUP(F316, 'RM &amp; SF'!B:H, 7, 0)</f>
        <v>7.5000000000000002E-4</v>
      </c>
      <c r="L316" s="92">
        <f t="shared" si="30"/>
        <v>4.8913043478260872E-2</v>
      </c>
      <c r="M316" s="30" t="s">
        <v>810</v>
      </c>
    </row>
    <row r="317" spans="1:13" ht="14">
      <c r="A317" s="88" t="s">
        <v>2388</v>
      </c>
      <c r="B317" s="219" t="s">
        <v>558</v>
      </c>
      <c r="C317" s="30"/>
      <c r="D317" s="30" t="str">
        <f>VLOOKUP(B317, 'RM &amp; SF'!B:C, 2, 0)</f>
        <v xml:space="preserve">كبسة </v>
      </c>
      <c r="E317" s="30" t="s">
        <v>2309</v>
      </c>
      <c r="F317" s="110">
        <v>4491</v>
      </c>
      <c r="G317" s="30" t="str">
        <f>VLOOKUP(F317, 'RM &amp; SF'!B:C, 2, 0)</f>
        <v>بندورة جامدة*****</v>
      </c>
      <c r="H317" s="89">
        <v>1000</v>
      </c>
      <c r="I317" s="30" t="str">
        <f>VLOOKUP(F317, 'RM &amp; SF'!B:H, 4, 0)</f>
        <v>غم</v>
      </c>
      <c r="J317" s="90">
        <f t="shared" si="31"/>
        <v>43.478260869565219</v>
      </c>
      <c r="K317" s="91">
        <f>VLOOKUP(F317, 'RM &amp; SF'!B:H, 7, 0)</f>
        <v>5.0000000000000001E-4</v>
      </c>
      <c r="L317" s="92">
        <f t="shared" si="30"/>
        <v>2.1739130434782608E-2</v>
      </c>
      <c r="M317" s="30" t="s">
        <v>810</v>
      </c>
    </row>
    <row r="318" spans="1:13" ht="14">
      <c r="A318" s="88" t="s">
        <v>2388</v>
      </c>
      <c r="B318" s="219" t="s">
        <v>558</v>
      </c>
      <c r="C318" s="30"/>
      <c r="D318" s="30" t="str">
        <f>VLOOKUP(B318, 'RM &amp; SF'!B:C, 2, 0)</f>
        <v xml:space="preserve">كبسة </v>
      </c>
      <c r="E318" s="30" t="s">
        <v>2231</v>
      </c>
      <c r="F318" s="110">
        <v>4499</v>
      </c>
      <c r="G318" s="30" t="str">
        <f>VLOOKUP(F318, 'RM &amp; SF'!B:C, 2, 0)</f>
        <v>فلفل حار اخضر*****</v>
      </c>
      <c r="H318" s="89">
        <v>40</v>
      </c>
      <c r="I318" s="30" t="str">
        <f>VLOOKUP(F318, 'RM &amp; SF'!B:H, 4, 0)</f>
        <v>غم</v>
      </c>
      <c r="J318" s="90">
        <f t="shared" si="31"/>
        <v>1.7391304347826086</v>
      </c>
      <c r="K318" s="91">
        <f>VLOOKUP(F318, 'RM &amp; SF'!B:H, 7, 0)</f>
        <v>5.0000000000000001E-4</v>
      </c>
      <c r="L318" s="92">
        <f t="shared" si="30"/>
        <v>8.6956521739130438E-4</v>
      </c>
      <c r="M318" s="30" t="s">
        <v>810</v>
      </c>
    </row>
    <row r="319" spans="1:13" ht="14">
      <c r="A319" s="88" t="s">
        <v>2388</v>
      </c>
      <c r="B319" s="219" t="s">
        <v>558</v>
      </c>
      <c r="C319" s="30"/>
      <c r="D319" s="30" t="str">
        <f>VLOOKUP(B319, 'RM &amp; SF'!B:C, 2, 0)</f>
        <v xml:space="preserve">كبسة </v>
      </c>
      <c r="E319" s="30" t="s">
        <v>2260</v>
      </c>
      <c r="F319" s="110">
        <v>4160</v>
      </c>
      <c r="G319" s="30" t="str">
        <f>VLOOKUP(F319, 'RM &amp; SF'!B:C, 2, 0)</f>
        <v>زيت صويا 18 لتر*****</v>
      </c>
      <c r="H319" s="89">
        <v>900</v>
      </c>
      <c r="I319" s="30" t="str">
        <f>VLOOKUP(F319, 'RM &amp; SF'!B:H, 4, 0)</f>
        <v>مل</v>
      </c>
      <c r="J319" s="90">
        <f t="shared" si="31"/>
        <v>39.130434782608695</v>
      </c>
      <c r="K319" s="91">
        <f>VLOOKUP(F319, 'RM &amp; SF'!B:H, 7, 0)</f>
        <v>1.335E-3</v>
      </c>
      <c r="L319" s="92">
        <f t="shared" si="30"/>
        <v>5.2239130434782607E-2</v>
      </c>
      <c r="M319" s="30" t="s">
        <v>810</v>
      </c>
    </row>
    <row r="320" spans="1:13" ht="14">
      <c r="A320" s="88" t="s">
        <v>2388</v>
      </c>
      <c r="B320" s="219" t="s">
        <v>558</v>
      </c>
      <c r="C320" s="30"/>
      <c r="D320" s="30" t="str">
        <f>VLOOKUP(B320, 'RM &amp; SF'!B:C, 2, 0)</f>
        <v xml:space="preserve">كبسة </v>
      </c>
      <c r="E320" s="30" t="s">
        <v>2238</v>
      </c>
      <c r="F320" s="110">
        <v>4509</v>
      </c>
      <c r="G320" s="30" t="str">
        <f>VLOOKUP(F320, 'RM &amp; SF'!B:C, 2, 0)</f>
        <v>جزر*****</v>
      </c>
      <c r="H320" s="89">
        <v>500</v>
      </c>
      <c r="I320" s="30" t="str">
        <f>VLOOKUP(F320, 'RM &amp; SF'!B:H, 4, 0)</f>
        <v>غم</v>
      </c>
      <c r="J320" s="90">
        <f t="shared" si="31"/>
        <v>21.739130434782609</v>
      </c>
      <c r="K320" s="91">
        <f>VLOOKUP(F320, 'RM &amp; SF'!B:H, 7, 0)</f>
        <v>5.5000000000000003E-4</v>
      </c>
      <c r="L320" s="92">
        <f t="shared" si="30"/>
        <v>1.1956521739130435E-2</v>
      </c>
      <c r="M320" s="30" t="s">
        <v>810</v>
      </c>
    </row>
    <row r="321" spans="1:13" ht="14">
      <c r="A321" s="88" t="s">
        <v>2388</v>
      </c>
      <c r="B321" s="219" t="s">
        <v>558</v>
      </c>
      <c r="C321" s="30"/>
      <c r="D321" s="30" t="str">
        <f>VLOOKUP(B321, 'RM &amp; SF'!B:C, 2, 0)</f>
        <v xml:space="preserve">كبسة </v>
      </c>
      <c r="E321" s="30" t="s">
        <v>2232</v>
      </c>
      <c r="F321" s="110">
        <v>4500</v>
      </c>
      <c r="G321" s="30" t="str">
        <f>VLOOKUP(F321, 'RM &amp; SF'!B:C, 2, 0)</f>
        <v>فلفل حلو اخضر*****</v>
      </c>
      <c r="H321" s="89">
        <v>1000</v>
      </c>
      <c r="I321" s="30" t="str">
        <f>VLOOKUP(F321, 'RM &amp; SF'!B:H, 4, 0)</f>
        <v>غم</v>
      </c>
      <c r="J321" s="90">
        <f t="shared" si="31"/>
        <v>43.478260869565219</v>
      </c>
      <c r="K321" s="91">
        <f>VLOOKUP(F321, 'RM &amp; SF'!B:H, 7, 0)</f>
        <v>7.7999999999999999E-4</v>
      </c>
      <c r="L321" s="92">
        <f t="shared" si="30"/>
        <v>3.3913043478260872E-2</v>
      </c>
      <c r="M321" s="30" t="s">
        <v>810</v>
      </c>
    </row>
    <row r="322" spans="1:13" ht="14">
      <c r="A322" s="88" t="s">
        <v>2388</v>
      </c>
      <c r="B322" s="219" t="s">
        <v>558</v>
      </c>
      <c r="C322" s="30"/>
      <c r="D322" s="30" t="str">
        <f>VLOOKUP(B322, 'RM &amp; SF'!B:C, 2, 0)</f>
        <v xml:space="preserve">كبسة </v>
      </c>
      <c r="E322" s="30" t="s">
        <v>3058</v>
      </c>
      <c r="F322" s="110">
        <v>4045</v>
      </c>
      <c r="G322" s="30" t="str">
        <f>VLOOKUP(F322, 'RM &amp; SF'!B:C, 2, 0)</f>
        <v>معجون الطماطم 1375 غم*****</v>
      </c>
      <c r="H322" s="89">
        <v>600</v>
      </c>
      <c r="I322" s="30" t="str">
        <f>VLOOKUP(F322, 'RM &amp; SF'!B:H, 4, 0)</f>
        <v>غم</v>
      </c>
      <c r="J322" s="90">
        <f t="shared" si="31"/>
        <v>26.086956521739129</v>
      </c>
      <c r="K322" s="91">
        <f>VLOOKUP(F322, 'RM &amp; SF'!B:H, 7, 0)</f>
        <v>1.3665999999999999E-3</v>
      </c>
      <c r="L322" s="92">
        <f t="shared" si="30"/>
        <v>3.5650434782608695E-2</v>
      </c>
      <c r="M322" s="30" t="s">
        <v>810</v>
      </c>
    </row>
    <row r="323" spans="1:13" ht="14">
      <c r="A323" s="88" t="s">
        <v>2388</v>
      </c>
      <c r="B323" s="219" t="s">
        <v>558</v>
      </c>
      <c r="C323" s="30"/>
      <c r="D323" s="30" t="str">
        <f>VLOOKUP(B323, 'RM &amp; SF'!B:C, 2, 0)</f>
        <v xml:space="preserve">كبسة </v>
      </c>
      <c r="E323" s="30" t="s">
        <v>2203</v>
      </c>
      <c r="F323" s="110">
        <v>4152</v>
      </c>
      <c r="G323" s="30" t="str">
        <f>VLOOKUP(F323, 'RM &amp; SF'!B:C, 2, 0)</f>
        <v>ملح طعام 750غم*****</v>
      </c>
      <c r="H323" s="89">
        <v>160</v>
      </c>
      <c r="I323" s="30" t="str">
        <f>VLOOKUP(F323, 'RM &amp; SF'!B:H, 4, 0)</f>
        <v>غم</v>
      </c>
      <c r="J323" s="90">
        <f t="shared" si="31"/>
        <v>6.9565217391304346</v>
      </c>
      <c r="K323" s="91">
        <f>VLOOKUP(F323, 'RM &amp; SF'!B:H, 7, 0)</f>
        <v>1.7066666666666665E-4</v>
      </c>
      <c r="L323" s="92">
        <f t="shared" si="30"/>
        <v>1.187246376811594E-3</v>
      </c>
      <c r="M323" s="30" t="s">
        <v>810</v>
      </c>
    </row>
    <row r="324" spans="1:13" ht="14">
      <c r="A324" s="88" t="s">
        <v>2388</v>
      </c>
      <c r="B324" s="219" t="s">
        <v>558</v>
      </c>
      <c r="C324" s="30"/>
      <c r="D324" s="30" t="str">
        <f>VLOOKUP(B324, 'RM &amp; SF'!B:C, 2, 0)</f>
        <v xml:space="preserve">كبسة </v>
      </c>
      <c r="E324" s="30" t="s">
        <v>3058</v>
      </c>
      <c r="F324" s="110">
        <v>4021</v>
      </c>
      <c r="G324" s="30" t="str">
        <f>VLOOKUP(F324, 'RM &amp; SF'!B:C, 2, 0)</f>
        <v>مكعبات مرق الدجاج 24 عبوة*2 مكعب*****</v>
      </c>
      <c r="H324" s="89">
        <v>80</v>
      </c>
      <c r="I324" s="30" t="str">
        <f>VLOOKUP(F324, 'RM &amp; SF'!B:H, 4, 0)</f>
        <v>غم</v>
      </c>
      <c r="J324" s="90">
        <f t="shared" si="31"/>
        <v>3.4782608695652173</v>
      </c>
      <c r="K324" s="91">
        <f>VLOOKUP(F324, 'RM &amp; SF'!B:H, 7, 0)</f>
        <v>3.8541666666666668E-3</v>
      </c>
      <c r="L324" s="92">
        <f t="shared" si="30"/>
        <v>1.3405797101449275E-2</v>
      </c>
      <c r="M324" s="30" t="s">
        <v>810</v>
      </c>
    </row>
    <row r="325" spans="1:13" ht="14">
      <c r="A325" s="88" t="s">
        <v>2388</v>
      </c>
      <c r="B325" s="219" t="s">
        <v>558</v>
      </c>
      <c r="C325" s="30"/>
      <c r="D325" s="30" t="str">
        <f>VLOOKUP(B325, 'RM &amp; SF'!B:C, 2, 0)</f>
        <v xml:space="preserve">كبسة </v>
      </c>
      <c r="E325" s="30" t="s">
        <v>2214</v>
      </c>
      <c r="F325" s="110">
        <v>4223</v>
      </c>
      <c r="G325" s="30" t="str">
        <f>VLOOKUP(F325, 'RM &amp; SF'!B:C, 2, 0)</f>
        <v>بهارات كاري*****</v>
      </c>
      <c r="H325" s="89">
        <v>15</v>
      </c>
      <c r="I325" s="30" t="str">
        <f>VLOOKUP(F325, 'RM &amp; SF'!B:H, 4, 0)</f>
        <v>غم</v>
      </c>
      <c r="J325" s="90">
        <f t="shared" si="31"/>
        <v>0.65217391304347827</v>
      </c>
      <c r="K325" s="91">
        <f>VLOOKUP(F325, 'RM &amp; SF'!B:H, 7, 0)</f>
        <v>2.2409999999999999E-3</v>
      </c>
      <c r="L325" s="92">
        <f t="shared" si="30"/>
        <v>1.4615217391304347E-3</v>
      </c>
      <c r="M325" s="30" t="s">
        <v>810</v>
      </c>
    </row>
    <row r="326" spans="1:13" ht="14">
      <c r="A326" s="88" t="s">
        <v>2388</v>
      </c>
      <c r="B326" s="219" t="s">
        <v>558</v>
      </c>
      <c r="C326" s="30"/>
      <c r="D326" s="30" t="str">
        <f>VLOOKUP(B326, 'RM &amp; SF'!B:C, 2, 0)</f>
        <v xml:space="preserve">كبسة </v>
      </c>
      <c r="E326" s="30" t="s">
        <v>2288</v>
      </c>
      <c r="F326" s="110">
        <v>4219</v>
      </c>
      <c r="G326" s="30" t="str">
        <f>VLOOKUP(F326, 'RM &amp; SF'!B:C, 2, 0)</f>
        <v>بابريكا حلوة*****</v>
      </c>
      <c r="H326" s="89">
        <v>30</v>
      </c>
      <c r="I326" s="30" t="str">
        <f>VLOOKUP(F326, 'RM &amp; SF'!B:H, 4, 0)</f>
        <v>غم</v>
      </c>
      <c r="J326" s="90">
        <f t="shared" si="31"/>
        <v>1.3043478260869565</v>
      </c>
      <c r="K326" s="91">
        <f>VLOOKUP(F326, 'RM &amp; SF'!B:H, 7, 0)</f>
        <v>2.5859999999999998E-3</v>
      </c>
      <c r="L326" s="92">
        <f t="shared" si="30"/>
        <v>3.3730434782608693E-3</v>
      </c>
      <c r="M326" s="30" t="s">
        <v>810</v>
      </c>
    </row>
    <row r="327" spans="1:13" ht="14">
      <c r="A327" s="88" t="s">
        <v>2388</v>
      </c>
      <c r="B327" s="219" t="s">
        <v>558</v>
      </c>
      <c r="C327" s="30"/>
      <c r="D327" s="30" t="str">
        <f>VLOOKUP(B327, 'RM &amp; SF'!B:C, 2, 0)</f>
        <v xml:space="preserve">كبسة </v>
      </c>
      <c r="E327" s="30" t="s">
        <v>3058</v>
      </c>
      <c r="F327" s="110">
        <v>4222</v>
      </c>
      <c r="G327" s="30" t="str">
        <f>VLOOKUP(F327, 'RM &amp; SF'!B:C, 2, 0)</f>
        <v>كمون ناعم*****</v>
      </c>
      <c r="H327" s="89">
        <v>10</v>
      </c>
      <c r="I327" s="30" t="str">
        <f>VLOOKUP(F327, 'RM &amp; SF'!B:H, 4, 0)</f>
        <v>غم</v>
      </c>
      <c r="J327" s="90">
        <f t="shared" si="31"/>
        <v>0.43478260869565216</v>
      </c>
      <c r="K327" s="91">
        <f>VLOOKUP(F327, 'RM &amp; SF'!B:H, 7, 0)</f>
        <v>3.2330000000000002E-3</v>
      </c>
      <c r="L327" s="92">
        <f t="shared" si="30"/>
        <v>1.4056521739130435E-3</v>
      </c>
      <c r="M327" s="30" t="s">
        <v>810</v>
      </c>
    </row>
    <row r="328" spans="1:13" ht="14">
      <c r="A328" s="88" t="s">
        <v>2388</v>
      </c>
      <c r="B328" s="219" t="s">
        <v>558</v>
      </c>
      <c r="C328" s="30"/>
      <c r="D328" s="30" t="str">
        <f>VLOOKUP(B328, 'RM &amp; SF'!B:C, 2, 0)</f>
        <v xml:space="preserve">كبسة </v>
      </c>
      <c r="E328" s="30" t="s">
        <v>2221</v>
      </c>
      <c r="F328" s="110">
        <v>4237</v>
      </c>
      <c r="G328" s="30" t="str">
        <f>VLOOKUP(F328, 'RM &amp; SF'!B:C, 2, 0)</f>
        <v>ثوم ناعم*****</v>
      </c>
      <c r="H328" s="89">
        <v>5</v>
      </c>
      <c r="I328" s="30" t="str">
        <f>VLOOKUP(F328, 'RM &amp; SF'!B:H, 4, 0)</f>
        <v>غم</v>
      </c>
      <c r="J328" s="90">
        <f t="shared" si="31"/>
        <v>0.21739130434782608</v>
      </c>
      <c r="K328" s="91">
        <f>VLOOKUP(F328, 'RM &amp; SF'!B:H, 7, 0)</f>
        <v>2.3709999999999998E-3</v>
      </c>
      <c r="L328" s="92">
        <f t="shared" si="30"/>
        <v>5.1543478260869557E-4</v>
      </c>
      <c r="M328" s="30" t="s">
        <v>810</v>
      </c>
    </row>
    <row r="329" spans="1:13" ht="14">
      <c r="A329" s="88" t="s">
        <v>2388</v>
      </c>
      <c r="B329" s="219" t="s">
        <v>558</v>
      </c>
      <c r="C329" s="30"/>
      <c r="D329" s="30" t="str">
        <f>VLOOKUP(B329, 'RM &amp; SF'!B:C, 2, 0)</f>
        <v xml:space="preserve">كبسة </v>
      </c>
      <c r="E329" s="30" t="s">
        <v>2220</v>
      </c>
      <c r="F329" s="110">
        <v>4236</v>
      </c>
      <c r="G329" s="30" t="str">
        <f>VLOOKUP(F329, 'RM &amp; SF'!B:C, 2, 0)</f>
        <v>بصل ناعم*****</v>
      </c>
      <c r="H329" s="89">
        <v>10</v>
      </c>
      <c r="I329" s="30" t="str">
        <f>VLOOKUP(F329, 'RM &amp; SF'!B:H, 4, 0)</f>
        <v>غم</v>
      </c>
      <c r="J329" s="90">
        <f t="shared" si="31"/>
        <v>0.43478260869565216</v>
      </c>
      <c r="K329" s="91">
        <f>VLOOKUP(F329, 'RM &amp; SF'!B:H, 7, 0)</f>
        <v>2.3709999999999998E-3</v>
      </c>
      <c r="L329" s="92">
        <f t="shared" si="30"/>
        <v>1.0308695652173911E-3</v>
      </c>
      <c r="M329" s="30" t="s">
        <v>810</v>
      </c>
    </row>
    <row r="330" spans="1:13" ht="14">
      <c r="A330" s="88" t="s">
        <v>2388</v>
      </c>
      <c r="B330" s="219" t="s">
        <v>558</v>
      </c>
      <c r="C330" s="30"/>
      <c r="D330" s="30" t="str">
        <f>VLOOKUP(B330, 'RM &amp; SF'!B:C, 2, 0)</f>
        <v xml:space="preserve">كبسة </v>
      </c>
      <c r="E330" s="30" t="s">
        <v>2218</v>
      </c>
      <c r="F330" s="110">
        <v>4233</v>
      </c>
      <c r="G330" s="30" t="str">
        <f>VLOOKUP(F330, 'RM &amp; SF'!B:C, 2, 0)</f>
        <v>هال ناعم*****</v>
      </c>
      <c r="H330" s="89">
        <v>15</v>
      </c>
      <c r="I330" s="30" t="str">
        <f>VLOOKUP(F330, 'RM &amp; SF'!B:H, 4, 0)</f>
        <v>غم</v>
      </c>
      <c r="J330" s="90">
        <f t="shared" si="31"/>
        <v>0.65217391304347827</v>
      </c>
      <c r="K330" s="91">
        <f>VLOOKUP(F330, 'RM &amp; SF'!B:H, 7, 0)</f>
        <v>2.3E-2</v>
      </c>
      <c r="L330" s="92">
        <f t="shared" si="30"/>
        <v>1.4999999999999999E-2</v>
      </c>
      <c r="M330" s="30" t="s">
        <v>810</v>
      </c>
    </row>
    <row r="331" spans="1:13" ht="14">
      <c r="A331" s="88" t="s">
        <v>2388</v>
      </c>
      <c r="B331" s="219" t="s">
        <v>558</v>
      </c>
      <c r="C331" s="30"/>
      <c r="D331" s="30" t="str">
        <f>VLOOKUP(B331, 'RM &amp; SF'!B:C, 2, 0)</f>
        <v xml:space="preserve">كبسة </v>
      </c>
      <c r="E331" s="30" t="s">
        <v>2208</v>
      </c>
      <c r="F331" s="110">
        <v>4211</v>
      </c>
      <c r="G331" s="30" t="str">
        <f>VLOOKUP(F331, 'RM &amp; SF'!B:C, 2, 0)</f>
        <v>كزبرة ناعمة*****</v>
      </c>
      <c r="H331" s="89">
        <v>20</v>
      </c>
      <c r="I331" s="30" t="str">
        <f>VLOOKUP(F331, 'RM &amp; SF'!B:H, 4, 0)</f>
        <v>غم</v>
      </c>
      <c r="J331" s="90">
        <f t="shared" si="31"/>
        <v>0.86956521739130432</v>
      </c>
      <c r="K331" s="91">
        <f>VLOOKUP(F331, 'RM &amp; SF'!B:H, 7, 0)</f>
        <v>1.5089999999999999E-3</v>
      </c>
      <c r="L331" s="92">
        <f t="shared" si="30"/>
        <v>1.3121739130434781E-3</v>
      </c>
      <c r="M331" s="30" t="s">
        <v>810</v>
      </c>
    </row>
    <row r="332" spans="1:13" ht="14">
      <c r="A332" s="88" t="s">
        <v>2388</v>
      </c>
      <c r="B332" s="219" t="s">
        <v>558</v>
      </c>
      <c r="C332" s="30"/>
      <c r="D332" s="30" t="str">
        <f>VLOOKUP(B332, 'RM &amp; SF'!B:C, 2, 0)</f>
        <v xml:space="preserve">كبسة </v>
      </c>
      <c r="E332" s="30" t="s">
        <v>2211</v>
      </c>
      <c r="F332" s="110">
        <v>4214</v>
      </c>
      <c r="G332" s="30" t="str">
        <f>VLOOKUP(F332, 'RM &amp; SF'!B:C, 2, 0)</f>
        <v>قرفة ناعمة*****</v>
      </c>
      <c r="H332" s="89">
        <v>5</v>
      </c>
      <c r="I332" s="30" t="str">
        <f>VLOOKUP(F332, 'RM &amp; SF'!B:H, 4, 0)</f>
        <v>غم</v>
      </c>
      <c r="J332" s="90">
        <f t="shared" si="31"/>
        <v>0.21739130434782608</v>
      </c>
      <c r="K332" s="91">
        <f>VLOOKUP(F332, 'RM &amp; SF'!B:H, 7, 0)</f>
        <v>2.8020000000000002E-3</v>
      </c>
      <c r="L332" s="92">
        <f t="shared" si="30"/>
        <v>6.0913043478260872E-4</v>
      </c>
      <c r="M332" s="30" t="s">
        <v>810</v>
      </c>
    </row>
    <row r="333" spans="1:13" ht="14">
      <c r="A333" s="88" t="s">
        <v>2388</v>
      </c>
      <c r="B333" s="219" t="s">
        <v>558</v>
      </c>
      <c r="C333" s="30"/>
      <c r="D333" s="30" t="str">
        <f>VLOOKUP(B333, 'RM &amp; SF'!B:C, 2, 0)</f>
        <v xml:space="preserve">كبسة </v>
      </c>
      <c r="E333" s="30" t="s">
        <v>3058</v>
      </c>
      <c r="F333" s="110">
        <v>4191</v>
      </c>
      <c r="G333" s="30" t="str">
        <f>VLOOKUP(F333, 'RM &amp; SF'!B:C, 2, 0)</f>
        <v>جوزة الطيب مطحونة*****</v>
      </c>
      <c r="H333" s="89">
        <v>5</v>
      </c>
      <c r="I333" s="30" t="str">
        <f>VLOOKUP(F333, 'RM &amp; SF'!B:H, 4, 0)</f>
        <v>غم</v>
      </c>
      <c r="J333" s="90">
        <f t="shared" si="31"/>
        <v>0.21739130434782608</v>
      </c>
      <c r="K333" s="91">
        <f>VLOOKUP(F333, 'RM &amp; SF'!B:H, 7, 0)</f>
        <v>6.0339999999999994E-3</v>
      </c>
      <c r="L333" s="92">
        <f t="shared" si="30"/>
        <v>1.3117391304347825E-3</v>
      </c>
      <c r="M333" s="30" t="s">
        <v>810</v>
      </c>
    </row>
    <row r="334" spans="1:13" ht="14">
      <c r="A334" s="88" t="s">
        <v>2388</v>
      </c>
      <c r="B334" s="219" t="s">
        <v>558</v>
      </c>
      <c r="C334" s="30"/>
      <c r="D334" s="30" t="str">
        <f>VLOOKUP(B334, 'RM &amp; SF'!B:C, 2, 0)</f>
        <v xml:space="preserve">كبسة </v>
      </c>
      <c r="E334" s="30" t="s">
        <v>2222</v>
      </c>
      <c r="F334" s="110">
        <v>4240</v>
      </c>
      <c r="G334" s="30" t="str">
        <f>VLOOKUP(F334, 'RM &amp; SF'!B:C, 2, 0)</f>
        <v>كركم ناعم*****</v>
      </c>
      <c r="H334" s="89">
        <v>10</v>
      </c>
      <c r="I334" s="30" t="str">
        <f>VLOOKUP(F334, 'RM &amp; SF'!B:H, 4, 0)</f>
        <v>غم</v>
      </c>
      <c r="J334" s="90">
        <f t="shared" si="31"/>
        <v>0.43478260869565216</v>
      </c>
      <c r="K334" s="91">
        <f>VLOOKUP(F334, 'RM &amp; SF'!B:H, 7, 0)</f>
        <v>1.9399999999999999E-3</v>
      </c>
      <c r="L334" s="92">
        <f t="shared" si="30"/>
        <v>8.4347826086956514E-4</v>
      </c>
      <c r="M334" s="30" t="s">
        <v>810</v>
      </c>
    </row>
    <row r="335" spans="1:13" ht="14">
      <c r="A335" s="88" t="s">
        <v>2388</v>
      </c>
      <c r="B335" s="219" t="s">
        <v>558</v>
      </c>
      <c r="C335" s="30"/>
      <c r="D335" s="30" t="str">
        <f>VLOOKUP(B335, 'RM &amp; SF'!B:C, 2, 0)</f>
        <v xml:space="preserve">كبسة </v>
      </c>
      <c r="E335" s="30" t="s">
        <v>2261</v>
      </c>
      <c r="F335" s="110">
        <v>4163</v>
      </c>
      <c r="G335" s="30" t="str">
        <f>VLOOKUP(F335, 'RM &amp; SF'!B:C, 2, 0)</f>
        <v>سمنة بنكهة السمن البلدي 15 كغ*****</v>
      </c>
      <c r="H335" s="89">
        <v>700</v>
      </c>
      <c r="I335" s="30" t="str">
        <f>VLOOKUP(F335, 'RM &amp; SF'!B:H, 4, 0)</f>
        <v>غم</v>
      </c>
      <c r="J335" s="90">
        <f t="shared" si="31"/>
        <v>30.434782608695652</v>
      </c>
      <c r="K335" s="91">
        <f>VLOOKUP(F335, 'RM &amp; SF'!B:H, 7, 0)</f>
        <v>2.0512E-3</v>
      </c>
      <c r="L335" s="92">
        <f t="shared" si="30"/>
        <v>6.2427826086956524E-2</v>
      </c>
      <c r="M335" s="30" t="s">
        <v>810</v>
      </c>
    </row>
    <row r="336" spans="1:13" ht="14">
      <c r="A336" s="88" t="s">
        <v>2388</v>
      </c>
      <c r="B336" s="219" t="s">
        <v>558</v>
      </c>
      <c r="C336" s="30"/>
      <c r="D336" s="30" t="str">
        <f>VLOOKUP(B336, 'RM &amp; SF'!B:C, 2, 0)</f>
        <v xml:space="preserve">كبسة </v>
      </c>
      <c r="E336" s="30" t="s">
        <v>2204</v>
      </c>
      <c r="F336" s="110">
        <v>4189</v>
      </c>
      <c r="G336" s="30" t="str">
        <f>VLOOKUP(F336, 'RM &amp; SF'!B:C, 2, 0)</f>
        <v>لومي اصفر*****</v>
      </c>
      <c r="H336" s="89">
        <v>25</v>
      </c>
      <c r="I336" s="30" t="str">
        <f>VLOOKUP(F336, 'RM &amp; SF'!B:H, 4, 0)</f>
        <v>غم</v>
      </c>
      <c r="J336" s="90">
        <f t="shared" si="31"/>
        <v>1.0869565217391304</v>
      </c>
      <c r="K336" s="91">
        <f>VLOOKUP(F336, 'RM &amp; SF'!B:H, 7, 0)</f>
        <v>1.9399999999999999E-3</v>
      </c>
      <c r="L336" s="92">
        <f t="shared" si="30"/>
        <v>2.1086956521739128E-3</v>
      </c>
      <c r="M336" s="30" t="s">
        <v>810</v>
      </c>
    </row>
    <row r="337" spans="1:13" ht="14">
      <c r="A337" s="88" t="s">
        <v>2388</v>
      </c>
      <c r="B337" s="219" t="s">
        <v>558</v>
      </c>
      <c r="C337" s="30"/>
      <c r="D337" s="30" t="str">
        <f>VLOOKUP(B337, 'RM &amp; SF'!B:C, 2, 0)</f>
        <v xml:space="preserve">كبسة </v>
      </c>
      <c r="E337" s="30" t="s">
        <v>2219</v>
      </c>
      <c r="F337" s="110">
        <v>4235</v>
      </c>
      <c r="G337" s="30" t="str">
        <f>VLOOKUP(F337, 'RM &amp; SF'!B:C, 2, 0)</f>
        <v>قرفة اعواد*****</v>
      </c>
      <c r="H337" s="89">
        <v>10</v>
      </c>
      <c r="I337" s="30" t="str">
        <f>VLOOKUP(F337, 'RM &amp; SF'!B:H, 4, 0)</f>
        <v>غم</v>
      </c>
      <c r="J337" s="90">
        <f t="shared" si="31"/>
        <v>0.43478260869565216</v>
      </c>
      <c r="K337" s="91">
        <f>VLOOKUP(F337, 'RM &amp; SF'!B:H, 7, 0)</f>
        <v>2.8020000000000002E-3</v>
      </c>
      <c r="L337" s="92">
        <f t="shared" si="30"/>
        <v>1.2182608695652174E-3</v>
      </c>
      <c r="M337" s="30" t="s">
        <v>810</v>
      </c>
    </row>
    <row r="338" spans="1:13" ht="14">
      <c r="A338" s="88" t="s">
        <v>2388</v>
      </c>
      <c r="B338" s="219" t="s">
        <v>558</v>
      </c>
      <c r="C338" s="30"/>
      <c r="D338" s="30" t="str">
        <f>VLOOKUP(B338, 'RM &amp; SF'!B:C, 2, 0)</f>
        <v xml:space="preserve">كبسة </v>
      </c>
      <c r="E338" s="30" t="s">
        <v>2210</v>
      </c>
      <c r="F338" s="110">
        <v>4213</v>
      </c>
      <c r="G338" s="30" t="str">
        <f>VLOOKUP(F338, 'RM &amp; SF'!B:C, 2, 0)</f>
        <v>ورق غار*****</v>
      </c>
      <c r="H338" s="89">
        <v>10</v>
      </c>
      <c r="I338" s="30" t="str">
        <f>VLOOKUP(F338, 'RM &amp; SF'!B:H, 4, 0)</f>
        <v>غم</v>
      </c>
      <c r="J338" s="90">
        <f t="shared" si="31"/>
        <v>0.43478260869565216</v>
      </c>
      <c r="K338" s="91">
        <f>VLOOKUP(F338, 'RM &amp; SF'!B:H, 7, 0)</f>
        <v>2.0690000000000001E-3</v>
      </c>
      <c r="L338" s="92">
        <f t="shared" si="30"/>
        <v>8.9956521739130435E-4</v>
      </c>
      <c r="M338" s="30" t="s">
        <v>810</v>
      </c>
    </row>
    <row r="339" spans="1:13" ht="14">
      <c r="A339" s="88" t="s">
        <v>2388</v>
      </c>
      <c r="B339" s="219" t="s">
        <v>558</v>
      </c>
      <c r="C339" s="30"/>
      <c r="D339" s="30" t="str">
        <f>VLOOKUP(B339, 'RM &amp; SF'!B:C, 2, 0)</f>
        <v xml:space="preserve">كبسة </v>
      </c>
      <c r="E339" s="30" t="s">
        <v>2207</v>
      </c>
      <c r="F339" s="110">
        <v>4205</v>
      </c>
      <c r="G339" s="30" t="str">
        <f>VLOOKUP(F339, 'RM &amp; SF'!B:C, 2, 0)</f>
        <v>فلفل اسود حب*****</v>
      </c>
      <c r="H339" s="89">
        <v>10</v>
      </c>
      <c r="I339" s="30" t="str">
        <f>VLOOKUP(F339, 'RM &amp; SF'!B:H, 4, 0)</f>
        <v>غم</v>
      </c>
      <c r="J339" s="90">
        <f t="shared" si="31"/>
        <v>0.43478260869565216</v>
      </c>
      <c r="K339" s="91">
        <f>VLOOKUP(F339, 'RM &amp; SF'!B:H, 7, 0)</f>
        <v>6.4660000000000004E-3</v>
      </c>
      <c r="L339" s="92">
        <f t="shared" si="30"/>
        <v>2.8113043478260871E-3</v>
      </c>
      <c r="M339" s="30" t="s">
        <v>810</v>
      </c>
    </row>
    <row r="340" spans="1:13" ht="14">
      <c r="A340" s="88" t="s">
        <v>2388</v>
      </c>
      <c r="B340" s="219" t="s">
        <v>558</v>
      </c>
      <c r="C340" s="30"/>
      <c r="D340" s="30" t="str">
        <f>VLOOKUP(B340, 'RM &amp; SF'!B:C, 2, 0)</f>
        <v xml:space="preserve">كبسة </v>
      </c>
      <c r="E340" s="30" t="s">
        <v>2217</v>
      </c>
      <c r="F340" s="110">
        <v>4231</v>
      </c>
      <c r="G340" s="30" t="str">
        <f>VLOOKUP(F340, 'RM &amp; SF'!B:C, 2, 0)</f>
        <v>بهار سادة حب*****</v>
      </c>
      <c r="H340" s="89">
        <v>15</v>
      </c>
      <c r="I340" s="30" t="str">
        <f>VLOOKUP(F340, 'RM &amp; SF'!B:H, 4, 0)</f>
        <v>غم</v>
      </c>
      <c r="J340" s="90">
        <f t="shared" si="31"/>
        <v>0.65217391304347827</v>
      </c>
      <c r="K340" s="91">
        <f>VLOOKUP(F340, 'RM &amp; SF'!B:H, 7, 0)</f>
        <v>7.3280000000000003E-3</v>
      </c>
      <c r="L340" s="92">
        <f t="shared" si="30"/>
        <v>4.7791304347826087E-3</v>
      </c>
      <c r="M340" s="30" t="s">
        <v>810</v>
      </c>
    </row>
    <row r="341" spans="1:13" ht="14">
      <c r="A341" s="88" t="s">
        <v>2388</v>
      </c>
      <c r="B341" s="219" t="s">
        <v>558</v>
      </c>
      <c r="C341" s="30"/>
      <c r="D341" s="30" t="str">
        <f>VLOOKUP(B341, 'RM &amp; SF'!B:C, 2, 0)</f>
        <v xml:space="preserve">كبسة </v>
      </c>
      <c r="E341" s="30" t="s">
        <v>2209</v>
      </c>
      <c r="F341" s="110">
        <v>4212</v>
      </c>
      <c r="G341" s="30" t="str">
        <f>VLOOKUP(F341, 'RM &amp; SF'!B:C, 2, 0)</f>
        <v>كزبرة حب*****</v>
      </c>
      <c r="H341" s="89">
        <v>15</v>
      </c>
      <c r="I341" s="30" t="str">
        <f>VLOOKUP(F341, 'RM &amp; SF'!B:H, 4, 0)</f>
        <v>غم</v>
      </c>
      <c r="J341" s="90">
        <f t="shared" si="31"/>
        <v>0.65217391304347827</v>
      </c>
      <c r="K341" s="91">
        <f>VLOOKUP(F341, 'RM &amp; SF'!B:H, 7, 0)</f>
        <v>1.5089999999999999E-3</v>
      </c>
      <c r="L341" s="92">
        <f t="shared" si="30"/>
        <v>9.8413043478260873E-4</v>
      </c>
      <c r="M341" s="30" t="s">
        <v>810</v>
      </c>
    </row>
    <row r="342" spans="1:13" ht="14">
      <c r="A342" s="88" t="s">
        <v>2388</v>
      </c>
      <c r="B342" s="219" t="s">
        <v>558</v>
      </c>
      <c r="C342" s="30"/>
      <c r="D342" s="30" t="str">
        <f>VLOOKUP(B342, 'RM &amp; SF'!B:C, 2, 0)</f>
        <v xml:space="preserve">كبسة </v>
      </c>
      <c r="E342" s="30" t="s">
        <v>3058</v>
      </c>
      <c r="F342" s="110">
        <v>4234</v>
      </c>
      <c r="G342" s="30" t="str">
        <f>VLOOKUP(F342, 'RM &amp; SF'!B:C, 2, 0)</f>
        <v>هال حب اخضر*****</v>
      </c>
      <c r="H342" s="89">
        <v>10</v>
      </c>
      <c r="I342" s="30" t="str">
        <f>VLOOKUP(F342, 'RM &amp; SF'!B:H, 4, 0)</f>
        <v>غم</v>
      </c>
      <c r="J342" s="90">
        <f t="shared" si="31"/>
        <v>0.43478260869565216</v>
      </c>
      <c r="K342" s="91">
        <f>VLOOKUP(F342, 'RM &amp; SF'!B:H, 7, 0)</f>
        <v>1.9827586206896553E-2</v>
      </c>
      <c r="L342" s="92">
        <f t="shared" si="30"/>
        <v>8.6206896551724137E-3</v>
      </c>
      <c r="M342" s="30" t="s">
        <v>810</v>
      </c>
    </row>
    <row r="343" spans="1:13" ht="14">
      <c r="A343" s="88" t="s">
        <v>2388</v>
      </c>
      <c r="B343" s="219" t="s">
        <v>558</v>
      </c>
      <c r="C343" s="30"/>
      <c r="D343" s="30" t="str">
        <f>VLOOKUP(B343, 'RM &amp; SF'!B:C, 2, 0)</f>
        <v xml:space="preserve">كبسة </v>
      </c>
      <c r="E343" s="30" t="s">
        <v>2212</v>
      </c>
      <c r="F343" s="110">
        <v>4215</v>
      </c>
      <c r="G343" s="30" t="str">
        <f>VLOOKUP(F343, 'RM &amp; SF'!B:C, 2, 0)</f>
        <v>ملح صيني*****</v>
      </c>
      <c r="H343" s="89">
        <v>60</v>
      </c>
      <c r="I343" s="30" t="str">
        <f>VLOOKUP(F343, 'RM &amp; SF'!B:H, 4, 0)</f>
        <v>غم</v>
      </c>
      <c r="J343" s="90">
        <f t="shared" si="31"/>
        <v>2.6086956521739131</v>
      </c>
      <c r="K343" s="91">
        <f>VLOOKUP(F343, 'RM &amp; SF'!B:H, 7, 0)</f>
        <v>1.7240000000000001E-3</v>
      </c>
      <c r="L343" s="92">
        <f t="shared" si="30"/>
        <v>4.4973913043478263E-3</v>
      </c>
      <c r="M343" s="30" t="s">
        <v>810</v>
      </c>
    </row>
    <row r="344" spans="1:13" ht="14">
      <c r="A344" s="88" t="s">
        <v>2393</v>
      </c>
      <c r="B344" s="219" t="s">
        <v>542</v>
      </c>
      <c r="C344" s="30"/>
      <c r="D344" s="30" t="str">
        <f>VLOOKUP(B344, 'RM &amp; SF'!B:C, 2, 0)</f>
        <v>رز زربيان</v>
      </c>
      <c r="E344" s="30" t="s">
        <v>2261</v>
      </c>
      <c r="F344" s="110">
        <v>4163</v>
      </c>
      <c r="G344" s="30" t="str">
        <f>VLOOKUP(F344, 'RM &amp; SF'!B:C, 2, 0)</f>
        <v>سمنة بنكهة السمن البلدي 15 كغ*****</v>
      </c>
      <c r="H344" s="89">
        <v>700</v>
      </c>
      <c r="I344" s="30" t="str">
        <f>VLOOKUP(F344, 'RM &amp; SF'!B:H, 4, 0)</f>
        <v>غم</v>
      </c>
      <c r="J344" s="90">
        <f t="shared" ref="J344:J358" si="32">H344/45</f>
        <v>15.555555555555555</v>
      </c>
      <c r="K344" s="91">
        <f>VLOOKUP(F344, 'RM &amp; SF'!B:H, 7, 0)</f>
        <v>2.0512E-3</v>
      </c>
      <c r="L344" s="92">
        <f t="shared" si="30"/>
        <v>3.1907555555555557E-2</v>
      </c>
      <c r="M344" s="30" t="s">
        <v>810</v>
      </c>
    </row>
    <row r="345" spans="1:13" ht="14">
      <c r="A345" s="88" t="s">
        <v>2393</v>
      </c>
      <c r="B345" s="219" t="s">
        <v>542</v>
      </c>
      <c r="C345" s="30"/>
      <c r="D345" s="30" t="str">
        <f>VLOOKUP(B345, 'RM &amp; SF'!B:C, 2, 0)</f>
        <v>رز زربيان</v>
      </c>
      <c r="E345" s="30" t="s">
        <v>2260</v>
      </c>
      <c r="F345" s="110">
        <v>4160</v>
      </c>
      <c r="G345" s="30" t="str">
        <f>VLOOKUP(F345, 'RM &amp; SF'!B:C, 2, 0)</f>
        <v>زيت صويا 18 لتر*****</v>
      </c>
      <c r="H345" s="89">
        <v>200</v>
      </c>
      <c r="I345" s="30" t="str">
        <f>VLOOKUP(F345, 'RM &amp; SF'!B:H, 4, 0)</f>
        <v>مل</v>
      </c>
      <c r="J345" s="90">
        <f t="shared" si="32"/>
        <v>4.4444444444444446</v>
      </c>
      <c r="K345" s="91">
        <f>VLOOKUP(F345, 'RM &amp; SF'!B:H, 7, 0)</f>
        <v>1.335E-3</v>
      </c>
      <c r="L345" s="92">
        <f t="shared" si="30"/>
        <v>5.9333333333333339E-3</v>
      </c>
      <c r="M345" s="30" t="s">
        <v>810</v>
      </c>
    </row>
    <row r="346" spans="1:13" ht="14">
      <c r="A346" s="88" t="s">
        <v>2393</v>
      </c>
      <c r="B346" s="219" t="s">
        <v>542</v>
      </c>
      <c r="C346" s="30"/>
      <c r="D346" s="30" t="str">
        <f>VLOOKUP(B346, 'RM &amp; SF'!B:C, 2, 0)</f>
        <v>رز زربيان</v>
      </c>
      <c r="E346" s="30" t="s">
        <v>2281</v>
      </c>
      <c r="F346" s="110">
        <v>4133</v>
      </c>
      <c r="G346" s="30" t="str">
        <f>VLOOKUP(F346, 'RM &amp; SF'!B:C, 2, 0)</f>
        <v>ارز بسمتي ذهبي*****</v>
      </c>
      <c r="H346" s="89">
        <v>12000</v>
      </c>
      <c r="I346" s="30" t="str">
        <f>VLOOKUP(F346, 'RM &amp; SF'!B:H, 4, 0)</f>
        <v>غم</v>
      </c>
      <c r="J346" s="90">
        <f t="shared" si="32"/>
        <v>266.66666666666669</v>
      </c>
      <c r="K346" s="91">
        <f>VLOOKUP(F346, 'RM &amp; SF'!B:H, 7, 0)</f>
        <v>1.1000000000000001E-3</v>
      </c>
      <c r="L346" s="92">
        <f t="shared" si="30"/>
        <v>0.29333333333333339</v>
      </c>
      <c r="M346" s="30" t="s">
        <v>810</v>
      </c>
    </row>
    <row r="347" spans="1:13" ht="14">
      <c r="A347" s="88" t="s">
        <v>2393</v>
      </c>
      <c r="B347" s="219" t="s">
        <v>542</v>
      </c>
      <c r="C347" s="30"/>
      <c r="D347" s="30" t="str">
        <f>VLOOKUP(B347, 'RM &amp; SF'!B:C, 2, 0)</f>
        <v>رز زربيان</v>
      </c>
      <c r="E347" s="30" t="s">
        <v>2170</v>
      </c>
      <c r="F347" s="110">
        <v>4552</v>
      </c>
      <c r="G347" s="30" t="str">
        <f>VLOOKUP(F347, 'RM &amp; SF'!B:C, 2, 0)</f>
        <v>لبن رايب 5 كغ*****</v>
      </c>
      <c r="H347" s="89">
        <v>2750</v>
      </c>
      <c r="I347" s="30" t="str">
        <f>VLOOKUP(F347, 'RM &amp; SF'!B:H, 4, 0)</f>
        <v>غم</v>
      </c>
      <c r="J347" s="90">
        <f t="shared" si="32"/>
        <v>61.111111111111114</v>
      </c>
      <c r="K347" s="91">
        <f>VLOOKUP(F347, 'RM &amp; SF'!B:H, 7, 0)</f>
        <v>8.0000000000000004E-4</v>
      </c>
      <c r="L347" s="92">
        <f t="shared" si="30"/>
        <v>4.8888888888888891E-2</v>
      </c>
      <c r="M347" s="30" t="s">
        <v>810</v>
      </c>
    </row>
    <row r="348" spans="1:13" ht="14">
      <c r="A348" s="88" t="s">
        <v>2393</v>
      </c>
      <c r="B348" s="219" t="s">
        <v>542</v>
      </c>
      <c r="C348" s="30"/>
      <c r="D348" s="30" t="str">
        <f>VLOOKUP(B348, 'RM &amp; SF'!B:C, 2, 0)</f>
        <v>رز زربيان</v>
      </c>
      <c r="E348" s="30" t="s">
        <v>2209</v>
      </c>
      <c r="F348" s="110">
        <v>4212</v>
      </c>
      <c r="G348" s="30" t="str">
        <f>VLOOKUP(F348, 'RM &amp; SF'!B:C, 2, 0)</f>
        <v>كزبرة حب*****</v>
      </c>
      <c r="H348" s="89">
        <v>105</v>
      </c>
      <c r="I348" s="30" t="str">
        <f>VLOOKUP(F348, 'RM &amp; SF'!B:H, 4, 0)</f>
        <v>غم</v>
      </c>
      <c r="J348" s="90">
        <f t="shared" si="32"/>
        <v>2.3333333333333335</v>
      </c>
      <c r="K348" s="91">
        <f>VLOOKUP(F348, 'RM &amp; SF'!B:H, 7, 0)</f>
        <v>1.5089999999999999E-3</v>
      </c>
      <c r="L348" s="92">
        <f t="shared" si="30"/>
        <v>3.5210000000000003E-3</v>
      </c>
      <c r="M348" s="30" t="s">
        <v>810</v>
      </c>
    </row>
    <row r="349" spans="1:13" ht="14">
      <c r="A349" s="88" t="s">
        <v>2393</v>
      </c>
      <c r="B349" s="219" t="s">
        <v>542</v>
      </c>
      <c r="C349" s="30"/>
      <c r="D349" s="30" t="str">
        <f>VLOOKUP(B349, 'RM &amp; SF'!B:C, 2, 0)</f>
        <v>رز زربيان</v>
      </c>
      <c r="E349" s="30" t="s">
        <v>2207</v>
      </c>
      <c r="F349" s="110">
        <v>4205</v>
      </c>
      <c r="G349" s="30" t="str">
        <f>VLOOKUP(F349, 'RM &amp; SF'!B:C, 2, 0)</f>
        <v>فلفل اسود حب*****</v>
      </c>
      <c r="H349" s="89">
        <v>70</v>
      </c>
      <c r="I349" s="30" t="str">
        <f>VLOOKUP(F349, 'RM &amp; SF'!B:H, 4, 0)</f>
        <v>غم</v>
      </c>
      <c r="J349" s="90">
        <f t="shared" si="32"/>
        <v>1.5555555555555556</v>
      </c>
      <c r="K349" s="91">
        <f>VLOOKUP(F349, 'RM &amp; SF'!B:H, 7, 0)</f>
        <v>6.4660000000000004E-3</v>
      </c>
      <c r="L349" s="92">
        <f t="shared" si="30"/>
        <v>1.0058222222222224E-2</v>
      </c>
      <c r="M349" s="30" t="s">
        <v>810</v>
      </c>
    </row>
    <row r="350" spans="1:13" ht="14">
      <c r="A350" s="88" t="s">
        <v>2393</v>
      </c>
      <c r="B350" s="219" t="s">
        <v>542</v>
      </c>
      <c r="C350" s="30"/>
      <c r="D350" s="30" t="str">
        <f>VLOOKUP(B350, 'RM &amp; SF'!B:C, 2, 0)</f>
        <v>رز زربيان</v>
      </c>
      <c r="E350" s="30" t="s">
        <v>2217</v>
      </c>
      <c r="F350" s="110">
        <v>4231</v>
      </c>
      <c r="G350" s="30" t="str">
        <f>VLOOKUP(F350, 'RM &amp; SF'!B:C, 2, 0)</f>
        <v>بهار سادة حب*****</v>
      </c>
      <c r="H350" s="89">
        <v>60</v>
      </c>
      <c r="I350" s="30" t="str">
        <f>VLOOKUP(F350, 'RM &amp; SF'!B:H, 4, 0)</f>
        <v>غم</v>
      </c>
      <c r="J350" s="90">
        <f t="shared" si="32"/>
        <v>1.3333333333333333</v>
      </c>
      <c r="K350" s="91">
        <f>VLOOKUP(F350, 'RM &amp; SF'!B:H, 7, 0)</f>
        <v>7.3280000000000003E-3</v>
      </c>
      <c r="L350" s="92">
        <f t="shared" si="30"/>
        <v>9.7706666666666671E-3</v>
      </c>
      <c r="M350" s="30" t="s">
        <v>810</v>
      </c>
    </row>
    <row r="351" spans="1:13" ht="14">
      <c r="A351" s="88" t="s">
        <v>2393</v>
      </c>
      <c r="B351" s="219" t="s">
        <v>542</v>
      </c>
      <c r="C351" s="30"/>
      <c r="D351" s="30" t="str">
        <f>VLOOKUP(B351, 'RM &amp; SF'!B:C, 2, 0)</f>
        <v>رز زربيان</v>
      </c>
      <c r="E351" s="30" t="s">
        <v>2236</v>
      </c>
      <c r="F351" s="110">
        <v>4505</v>
      </c>
      <c r="G351" s="30" t="str">
        <f>VLOOKUP(F351, 'RM &amp; SF'!B:C, 2, 0)</f>
        <v>ثوم طازج كامل*****</v>
      </c>
      <c r="H351" s="89">
        <v>545</v>
      </c>
      <c r="I351" s="30" t="str">
        <f>VLOOKUP(F351, 'RM &amp; SF'!B:H, 4, 0)</f>
        <v>غم</v>
      </c>
      <c r="J351" s="90">
        <f t="shared" si="32"/>
        <v>12.111111111111111</v>
      </c>
      <c r="K351" s="91">
        <f>VLOOKUP(F351, 'RM &amp; SF'!B:H, 7, 0)</f>
        <v>3.5000000000000001E-3</v>
      </c>
      <c r="L351" s="92">
        <f t="shared" si="30"/>
        <v>4.2388888888888886E-2</v>
      </c>
      <c r="M351" s="30" t="s">
        <v>810</v>
      </c>
    </row>
    <row r="352" spans="1:13" ht="14">
      <c r="A352" s="88" t="s">
        <v>2393</v>
      </c>
      <c r="B352" s="219" t="s">
        <v>542</v>
      </c>
      <c r="C352" s="30"/>
      <c r="D352" s="30" t="str">
        <f>VLOOKUP(B352, 'RM &amp; SF'!B:C, 2, 0)</f>
        <v>رز زربيان</v>
      </c>
      <c r="E352" s="30" t="s">
        <v>3058</v>
      </c>
      <c r="F352" s="110">
        <v>4234</v>
      </c>
      <c r="G352" s="30" t="str">
        <f>VLOOKUP(F352, 'RM &amp; SF'!B:C, 2, 0)</f>
        <v>هال حب اخضر*****</v>
      </c>
      <c r="H352" s="89">
        <v>70</v>
      </c>
      <c r="I352" s="30" t="str">
        <f>VLOOKUP(F352, 'RM &amp; SF'!B:H, 4, 0)</f>
        <v>غم</v>
      </c>
      <c r="J352" s="90">
        <f t="shared" si="32"/>
        <v>1.5555555555555556</v>
      </c>
      <c r="K352" s="91">
        <f>VLOOKUP(F352, 'RM &amp; SF'!B:H, 7, 0)</f>
        <v>1.9827586206896553E-2</v>
      </c>
      <c r="L352" s="92">
        <f t="shared" si="30"/>
        <v>3.084291187739464E-2</v>
      </c>
      <c r="M352" s="30" t="s">
        <v>810</v>
      </c>
    </row>
    <row r="353" spans="1:13" ht="14">
      <c r="A353" s="88" t="s">
        <v>2393</v>
      </c>
      <c r="B353" s="219" t="s">
        <v>542</v>
      </c>
      <c r="C353" s="30"/>
      <c r="D353" s="30" t="str">
        <f>VLOOKUP(B353, 'RM &amp; SF'!B:C, 2, 0)</f>
        <v>رز زربيان</v>
      </c>
      <c r="E353" s="30" t="s">
        <v>2222</v>
      </c>
      <c r="F353" s="110">
        <v>4240</v>
      </c>
      <c r="G353" s="30" t="str">
        <f>VLOOKUP(F353, 'RM &amp; SF'!B:C, 2, 0)</f>
        <v>كركم ناعم*****</v>
      </c>
      <c r="H353" s="89">
        <v>3</v>
      </c>
      <c r="I353" s="30" t="str">
        <f>VLOOKUP(F353, 'RM &amp; SF'!B:H, 4, 0)</f>
        <v>غم</v>
      </c>
      <c r="J353" s="90">
        <f t="shared" si="32"/>
        <v>6.6666666666666666E-2</v>
      </c>
      <c r="K353" s="91">
        <f>VLOOKUP(F353, 'RM &amp; SF'!B:H, 7, 0)</f>
        <v>1.9399999999999999E-3</v>
      </c>
      <c r="L353" s="92">
        <f t="shared" si="30"/>
        <v>1.2933333333333332E-4</v>
      </c>
      <c r="M353" s="30" t="s">
        <v>810</v>
      </c>
    </row>
    <row r="354" spans="1:13" ht="14">
      <c r="A354" s="88" t="s">
        <v>2393</v>
      </c>
      <c r="B354" s="219" t="s">
        <v>542</v>
      </c>
      <c r="C354" s="30"/>
      <c r="D354" s="30" t="str">
        <f>VLOOKUP(B354, 'RM &amp; SF'!B:C, 2, 0)</f>
        <v>رز زربيان</v>
      </c>
      <c r="E354" s="30" t="s">
        <v>2235</v>
      </c>
      <c r="F354" s="110">
        <v>4504</v>
      </c>
      <c r="G354" s="30" t="str">
        <f>VLOOKUP(F354, 'RM &amp; SF'!B:C, 2, 0)</f>
        <v>بصل مشاوي (بصل بيبي)***</v>
      </c>
      <c r="H354" s="89">
        <v>1000</v>
      </c>
      <c r="I354" s="30" t="str">
        <f>VLOOKUP(F354, 'RM &amp; SF'!B:H, 4, 0)</f>
        <v>غم</v>
      </c>
      <c r="J354" s="90">
        <f t="shared" si="32"/>
        <v>22.222222222222221</v>
      </c>
      <c r="K354" s="91">
        <f>VLOOKUP(F354, 'RM &amp; SF'!B:H, 7, 0)</f>
        <v>3.5E-4</v>
      </c>
      <c r="L354" s="92">
        <f t="shared" si="30"/>
        <v>7.7777777777777776E-3</v>
      </c>
      <c r="M354" s="30" t="s">
        <v>810</v>
      </c>
    </row>
    <row r="355" spans="1:13" ht="14">
      <c r="A355" s="88" t="s">
        <v>2393</v>
      </c>
      <c r="B355" s="219" t="s">
        <v>542</v>
      </c>
      <c r="C355" s="30"/>
      <c r="D355" s="30" t="str">
        <f>VLOOKUP(B355, 'RM &amp; SF'!B:C, 2, 0)</f>
        <v>رز زربيان</v>
      </c>
      <c r="E355" s="30" t="s">
        <v>2230</v>
      </c>
      <c r="F355" s="110">
        <v>4497</v>
      </c>
      <c r="G355" s="30" t="str">
        <f>VLOOKUP(F355, 'RM &amp; SF'!B:C, 2, 0)</f>
        <v>بطاطا*****</v>
      </c>
      <c r="H355" s="89">
        <v>2000</v>
      </c>
      <c r="I355" s="30" t="str">
        <f>VLOOKUP(F355, 'RM &amp; SF'!B:H, 4, 0)</f>
        <v>غم</v>
      </c>
      <c r="J355" s="90">
        <f t="shared" si="32"/>
        <v>44.444444444444443</v>
      </c>
      <c r="K355" s="91">
        <f>VLOOKUP(F355, 'RM &amp; SF'!B:H, 7, 0)</f>
        <v>4.0000000000000002E-4</v>
      </c>
      <c r="L355" s="92">
        <f t="shared" si="30"/>
        <v>1.7777777777777778E-2</v>
      </c>
      <c r="M355" s="30" t="s">
        <v>810</v>
      </c>
    </row>
    <row r="356" spans="1:13" ht="14">
      <c r="A356" s="88" t="s">
        <v>2393</v>
      </c>
      <c r="B356" s="219" t="s">
        <v>542</v>
      </c>
      <c r="C356" s="30"/>
      <c r="D356" s="30" t="str">
        <f>VLOOKUP(B356, 'RM &amp; SF'!B:C, 2, 0)</f>
        <v>رز زربيان</v>
      </c>
      <c r="E356" s="30" t="s">
        <v>2233</v>
      </c>
      <c r="F356" s="110">
        <v>4501</v>
      </c>
      <c r="G356" s="30" t="str">
        <f>VLOOKUP(F356, 'RM &amp; SF'!B:C, 2, 0)</f>
        <v>فلفل حلو احمر*****</v>
      </c>
      <c r="H356" s="89">
        <v>1000</v>
      </c>
      <c r="I356" s="30" t="str">
        <f>VLOOKUP(F356, 'RM &amp; SF'!B:H, 4, 0)</f>
        <v>غم</v>
      </c>
      <c r="J356" s="90">
        <f t="shared" si="32"/>
        <v>22.222222222222221</v>
      </c>
      <c r="K356" s="91">
        <f>VLOOKUP(F356, 'RM &amp; SF'!B:H, 7, 0)</f>
        <v>7.5000000000000002E-4</v>
      </c>
      <c r="L356" s="92">
        <f t="shared" si="30"/>
        <v>1.6666666666666666E-2</v>
      </c>
      <c r="M356" s="30" t="s">
        <v>810</v>
      </c>
    </row>
    <row r="357" spans="1:13" ht="14">
      <c r="A357" s="88" t="s">
        <v>2393</v>
      </c>
      <c r="B357" s="219" t="s">
        <v>542</v>
      </c>
      <c r="C357" s="30"/>
      <c r="D357" s="30" t="str">
        <f>VLOOKUP(B357, 'RM &amp; SF'!B:C, 2, 0)</f>
        <v>رز زربيان</v>
      </c>
      <c r="E357" s="30" t="s">
        <v>2203</v>
      </c>
      <c r="F357" s="110">
        <v>4152</v>
      </c>
      <c r="G357" s="30" t="str">
        <f>VLOOKUP(F357, 'RM &amp; SF'!B:C, 2, 0)</f>
        <v>ملح طعام 750غم*****</v>
      </c>
      <c r="H357" s="89">
        <v>330</v>
      </c>
      <c r="I357" s="30" t="str">
        <f>VLOOKUP(F357, 'RM &amp; SF'!B:H, 4, 0)</f>
        <v>غم</v>
      </c>
      <c r="J357" s="90">
        <f t="shared" si="32"/>
        <v>7.333333333333333</v>
      </c>
      <c r="K357" s="91">
        <f>VLOOKUP(F357, 'RM &amp; SF'!B:H, 7, 0)</f>
        <v>1.7066666666666665E-4</v>
      </c>
      <c r="L357" s="92">
        <f t="shared" si="30"/>
        <v>1.2515555555555555E-3</v>
      </c>
      <c r="M357" s="30" t="s">
        <v>810</v>
      </c>
    </row>
    <row r="358" spans="1:13" ht="14">
      <c r="A358" s="88" t="s">
        <v>2393</v>
      </c>
      <c r="B358" s="219" t="s">
        <v>542</v>
      </c>
      <c r="C358" s="30"/>
      <c r="D358" s="30" t="str">
        <f>VLOOKUP(B358, 'RM &amp; SF'!B:C, 2, 0)</f>
        <v>رز زربيان</v>
      </c>
      <c r="E358" s="30" t="s">
        <v>3058</v>
      </c>
      <c r="F358" s="110">
        <v>4021</v>
      </c>
      <c r="G358" s="30" t="str">
        <f>VLOOKUP(F358, 'RM &amp; SF'!B:C, 2, 0)</f>
        <v>مكعبات مرق الدجاج 24 عبوة*2 مكعب*****</v>
      </c>
      <c r="H358" s="89">
        <v>60</v>
      </c>
      <c r="I358" s="30" t="str">
        <f>VLOOKUP(F358, 'RM &amp; SF'!B:H, 4, 0)</f>
        <v>غم</v>
      </c>
      <c r="J358" s="90">
        <f t="shared" si="32"/>
        <v>1.3333333333333333</v>
      </c>
      <c r="K358" s="91">
        <f>VLOOKUP(F358, 'RM &amp; SF'!B:H, 7, 0)</f>
        <v>3.8541666666666668E-3</v>
      </c>
      <c r="L358" s="92">
        <f t="shared" si="30"/>
        <v>5.138888888888889E-3</v>
      </c>
      <c r="M358" s="30" t="s">
        <v>810</v>
      </c>
    </row>
    <row r="359" spans="1:13" ht="14">
      <c r="A359" s="88" t="s">
        <v>2399</v>
      </c>
      <c r="B359" s="219" t="s">
        <v>546</v>
      </c>
      <c r="C359" s="30"/>
      <c r="D359" s="30" t="str">
        <f>VLOOKUP(B359, 'RM &amp; SF'!B:C, 2, 0)</f>
        <v>كباب هندي</v>
      </c>
      <c r="E359" s="30" t="s">
        <v>3058</v>
      </c>
      <c r="F359" s="110">
        <v>4045</v>
      </c>
      <c r="G359" s="30" t="str">
        <f>VLOOKUP(F359, 'RM &amp; SF'!B:C, 2, 0)</f>
        <v>معجون الطماطم 1375 غم*****</v>
      </c>
      <c r="H359" s="89">
        <v>2200</v>
      </c>
      <c r="I359" s="30" t="str">
        <f>VLOOKUP(F359, 'RM &amp; SF'!B:H, 4, 0)</f>
        <v>غم</v>
      </c>
      <c r="J359" s="90">
        <f t="shared" ref="J359:J372" si="33">H359/8</f>
        <v>275</v>
      </c>
      <c r="K359" s="91">
        <f>VLOOKUP(F359, 'RM &amp; SF'!B:H, 7, 0)</f>
        <v>1.3665999999999999E-3</v>
      </c>
      <c r="L359" s="92">
        <f t="shared" si="30"/>
        <v>0.37581499999999995</v>
      </c>
      <c r="M359" s="30" t="s">
        <v>810</v>
      </c>
    </row>
    <row r="360" spans="1:13" ht="14">
      <c r="A360" s="88" t="s">
        <v>2399</v>
      </c>
      <c r="B360" s="219" t="s">
        <v>546</v>
      </c>
      <c r="C360" s="30"/>
      <c r="D360" s="30" t="str">
        <f>VLOOKUP(B360, 'RM &amp; SF'!B:C, 2, 0)</f>
        <v>كباب هندي</v>
      </c>
      <c r="E360" s="30" t="s">
        <v>2309</v>
      </c>
      <c r="F360" s="110">
        <v>4491</v>
      </c>
      <c r="G360" s="30" t="str">
        <f>VLOOKUP(F360, 'RM &amp; SF'!B:C, 2, 0)</f>
        <v>بندورة جامدة*****</v>
      </c>
      <c r="H360" s="89">
        <v>2800</v>
      </c>
      <c r="I360" s="30" t="str">
        <f>VLOOKUP(F360, 'RM &amp; SF'!B:H, 4, 0)</f>
        <v>غم</v>
      </c>
      <c r="J360" s="90">
        <f t="shared" si="33"/>
        <v>350</v>
      </c>
      <c r="K360" s="91">
        <f>VLOOKUP(F360, 'RM &amp; SF'!B:H, 7, 0)</f>
        <v>5.0000000000000001E-4</v>
      </c>
      <c r="L360" s="92">
        <f t="shared" si="30"/>
        <v>0.17500000000000002</v>
      </c>
      <c r="M360" s="30" t="s">
        <v>810</v>
      </c>
    </row>
    <row r="361" spans="1:13" ht="14">
      <c r="A361" s="88" t="s">
        <v>2399</v>
      </c>
      <c r="B361" s="219" t="s">
        <v>546</v>
      </c>
      <c r="C361" s="30"/>
      <c r="D361" s="30" t="str">
        <f>VLOOKUP(B361, 'RM &amp; SF'!B:C, 2, 0)</f>
        <v>كباب هندي</v>
      </c>
      <c r="E361" s="30" t="s">
        <v>2233</v>
      </c>
      <c r="F361" s="110">
        <v>4501</v>
      </c>
      <c r="G361" s="30" t="str">
        <f>VLOOKUP(F361, 'RM &amp; SF'!B:C, 2, 0)</f>
        <v>فلفل حلو احمر*****</v>
      </c>
      <c r="H361" s="89">
        <v>1000</v>
      </c>
      <c r="I361" s="30" t="str">
        <f>VLOOKUP(F361, 'RM &amp; SF'!B:H, 4, 0)</f>
        <v>غم</v>
      </c>
      <c r="J361" s="90">
        <f t="shared" si="33"/>
        <v>125</v>
      </c>
      <c r="K361" s="91">
        <f>VLOOKUP(F361, 'RM &amp; SF'!B:H, 7, 0)</f>
        <v>7.5000000000000002E-4</v>
      </c>
      <c r="L361" s="92">
        <f t="shared" si="30"/>
        <v>9.375E-2</v>
      </c>
      <c r="M361" s="30" t="s">
        <v>810</v>
      </c>
    </row>
    <row r="362" spans="1:13" ht="14">
      <c r="A362" s="88" t="s">
        <v>2399</v>
      </c>
      <c r="B362" s="219" t="s">
        <v>546</v>
      </c>
      <c r="C362" s="30"/>
      <c r="D362" s="30" t="str">
        <f>VLOOKUP(B362, 'RM &amp; SF'!B:C, 2, 0)</f>
        <v>كباب هندي</v>
      </c>
      <c r="E362" s="30" t="s">
        <v>2234</v>
      </c>
      <c r="F362" s="110">
        <v>4503</v>
      </c>
      <c r="G362" s="30" t="str">
        <f>VLOOKUP(F362, 'RM &amp; SF'!B:C, 2, 0)</f>
        <v>بصل ناشف دفش*****</v>
      </c>
      <c r="H362" s="89">
        <v>1000</v>
      </c>
      <c r="I362" s="30" t="str">
        <f>VLOOKUP(F362, 'RM &amp; SF'!B:H, 4, 0)</f>
        <v>غم</v>
      </c>
      <c r="J362" s="90">
        <f t="shared" si="33"/>
        <v>125</v>
      </c>
      <c r="K362" s="91">
        <f>VLOOKUP(F362, 'RM &amp; SF'!B:H, 7, 0)</f>
        <v>2.5000000000000001E-4</v>
      </c>
      <c r="L362" s="92">
        <f t="shared" si="30"/>
        <v>3.125E-2</v>
      </c>
      <c r="M362" s="30" t="s">
        <v>810</v>
      </c>
    </row>
    <row r="363" spans="1:13" ht="14">
      <c r="A363" s="88" t="s">
        <v>2399</v>
      </c>
      <c r="B363" s="219" t="s">
        <v>546</v>
      </c>
      <c r="C363" s="30"/>
      <c r="D363" s="30" t="str">
        <f>VLOOKUP(B363, 'RM &amp; SF'!B:C, 2, 0)</f>
        <v>كباب هندي</v>
      </c>
      <c r="E363" s="30" t="s">
        <v>3058</v>
      </c>
      <c r="F363" s="110">
        <v>4022</v>
      </c>
      <c r="G363" s="30" t="str">
        <f>VLOOKUP(F363, 'RM &amp; SF'!B:C, 2, 0)</f>
        <v>مرق الدجاج بودرة 1 كغ*****</v>
      </c>
      <c r="H363" s="89">
        <v>72</v>
      </c>
      <c r="I363" s="30" t="str">
        <f>VLOOKUP(F363, 'RM &amp; SF'!B:H, 4, 0)</f>
        <v>غم</v>
      </c>
      <c r="J363" s="90">
        <f t="shared" si="33"/>
        <v>9</v>
      </c>
      <c r="K363" s="91">
        <f>VLOOKUP(F363, 'RM &amp; SF'!B:H, 7, 0)</f>
        <v>4.7054597701149427E-3</v>
      </c>
      <c r="L363" s="92">
        <f t="shared" si="30"/>
        <v>4.2349137931034481E-2</v>
      </c>
      <c r="M363" s="30" t="s">
        <v>810</v>
      </c>
    </row>
    <row r="364" spans="1:13" ht="14">
      <c r="A364" s="88" t="s">
        <v>2399</v>
      </c>
      <c r="B364" s="219" t="s">
        <v>546</v>
      </c>
      <c r="C364" s="30"/>
      <c r="D364" s="30" t="str">
        <f>VLOOKUP(B364, 'RM &amp; SF'!B:C, 2, 0)</f>
        <v>كباب هندي</v>
      </c>
      <c r="E364" s="30" t="s">
        <v>2231</v>
      </c>
      <c r="F364" s="110">
        <v>4499</v>
      </c>
      <c r="G364" s="30" t="str">
        <f>VLOOKUP(F364, 'RM &amp; SF'!B:C, 2, 0)</f>
        <v>فلفل حار اخضر*****</v>
      </c>
      <c r="H364" s="89">
        <v>100</v>
      </c>
      <c r="I364" s="30" t="str">
        <f>VLOOKUP(F364, 'RM &amp; SF'!B:H, 4, 0)</f>
        <v>غم</v>
      </c>
      <c r="J364" s="90">
        <f t="shared" si="33"/>
        <v>12.5</v>
      </c>
      <c r="K364" s="91">
        <f>VLOOKUP(F364, 'RM &amp; SF'!B:H, 7, 0)</f>
        <v>5.0000000000000001E-4</v>
      </c>
      <c r="L364" s="92">
        <f t="shared" ref="L364:L427" si="34">K364*J364</f>
        <v>6.2500000000000003E-3</v>
      </c>
      <c r="M364" s="30" t="s">
        <v>810</v>
      </c>
    </row>
    <row r="365" spans="1:13" ht="14">
      <c r="A365" s="88" t="s">
        <v>2399</v>
      </c>
      <c r="B365" s="219" t="s">
        <v>546</v>
      </c>
      <c r="C365" s="30"/>
      <c r="D365" s="30" t="str">
        <f>VLOOKUP(B365, 'RM &amp; SF'!B:C, 2, 0)</f>
        <v>كباب هندي</v>
      </c>
      <c r="E365" s="30" t="s">
        <v>2206</v>
      </c>
      <c r="F365" s="110">
        <v>4204</v>
      </c>
      <c r="G365" s="30" t="str">
        <f>VLOOKUP(F365, 'RM &amp; SF'!B:C, 2, 0)</f>
        <v>فلفل اسود ناعم*****</v>
      </c>
      <c r="H365" s="89">
        <v>8</v>
      </c>
      <c r="I365" s="30" t="str">
        <f>VLOOKUP(F365, 'RM &amp; SF'!B:H, 4, 0)</f>
        <v>غم</v>
      </c>
      <c r="J365" s="90">
        <f t="shared" si="33"/>
        <v>1</v>
      </c>
      <c r="K365" s="91">
        <f>VLOOKUP(F365, 'RM &amp; SF'!B:H, 7, 0)</f>
        <v>6.8970000000000004E-3</v>
      </c>
      <c r="L365" s="92">
        <f t="shared" si="34"/>
        <v>6.8970000000000004E-3</v>
      </c>
      <c r="M365" s="30" t="s">
        <v>810</v>
      </c>
    </row>
    <row r="366" spans="1:13" ht="14">
      <c r="A366" s="88" t="s">
        <v>2399</v>
      </c>
      <c r="B366" s="219" t="s">
        <v>546</v>
      </c>
      <c r="C366" s="30"/>
      <c r="D366" s="30" t="str">
        <f>VLOOKUP(B366, 'RM &amp; SF'!B:C, 2, 0)</f>
        <v>كباب هندي</v>
      </c>
      <c r="E366" s="30" t="s">
        <v>2213</v>
      </c>
      <c r="F366" s="110">
        <v>4218</v>
      </c>
      <c r="G366" s="30" t="str">
        <f>VLOOKUP(F366, 'RM &amp; SF'!B:C, 2, 0)</f>
        <v>بهارات مشكلة*****</v>
      </c>
      <c r="H366" s="89">
        <v>33</v>
      </c>
      <c r="I366" s="30" t="str">
        <f>VLOOKUP(F366, 'RM &amp; SF'!B:H, 4, 0)</f>
        <v>غم</v>
      </c>
      <c r="J366" s="90">
        <f t="shared" si="33"/>
        <v>4.125</v>
      </c>
      <c r="K366" s="91">
        <f>VLOOKUP(F366, 'RM &amp; SF'!B:H, 7, 0)</f>
        <v>3.0169999999999997E-3</v>
      </c>
      <c r="L366" s="92">
        <f t="shared" si="34"/>
        <v>1.2445125E-2</v>
      </c>
      <c r="M366" s="30" t="s">
        <v>810</v>
      </c>
    </row>
    <row r="367" spans="1:13" ht="14">
      <c r="A367" s="88" t="s">
        <v>2399</v>
      </c>
      <c r="B367" s="219" t="s">
        <v>546</v>
      </c>
      <c r="C367" s="30"/>
      <c r="D367" s="30" t="str">
        <f>VLOOKUP(B367, 'RM &amp; SF'!B:C, 2, 0)</f>
        <v>كباب هندي</v>
      </c>
      <c r="E367" s="30" t="s">
        <v>2214</v>
      </c>
      <c r="F367" s="110">
        <v>4223</v>
      </c>
      <c r="G367" s="30" t="str">
        <f>VLOOKUP(F367, 'RM &amp; SF'!B:C, 2, 0)</f>
        <v>بهارات كاري*****</v>
      </c>
      <c r="H367" s="89">
        <v>25</v>
      </c>
      <c r="I367" s="30" t="str">
        <f>VLOOKUP(F367, 'RM &amp; SF'!B:H, 4, 0)</f>
        <v>غم</v>
      </c>
      <c r="J367" s="90">
        <f t="shared" si="33"/>
        <v>3.125</v>
      </c>
      <c r="K367" s="91">
        <f>VLOOKUP(F367, 'RM &amp; SF'!B:H, 7, 0)</f>
        <v>2.2409999999999999E-3</v>
      </c>
      <c r="L367" s="92">
        <f t="shared" si="34"/>
        <v>7.0031249999999998E-3</v>
      </c>
      <c r="M367" s="30" t="s">
        <v>810</v>
      </c>
    </row>
    <row r="368" spans="1:13" ht="14">
      <c r="A368" s="88" t="s">
        <v>2399</v>
      </c>
      <c r="B368" s="219" t="s">
        <v>546</v>
      </c>
      <c r="C368" s="30"/>
      <c r="D368" s="30" t="str">
        <f>VLOOKUP(B368, 'RM &amp; SF'!B:C, 2, 0)</f>
        <v>كباب هندي</v>
      </c>
      <c r="E368" s="30" t="s">
        <v>2203</v>
      </c>
      <c r="F368" s="110">
        <v>4152</v>
      </c>
      <c r="G368" s="30" t="str">
        <f>VLOOKUP(F368, 'RM &amp; SF'!B:C, 2, 0)</f>
        <v>ملح طعام 750غم*****</v>
      </c>
      <c r="H368" s="89">
        <v>50</v>
      </c>
      <c r="I368" s="30" t="str">
        <f>VLOOKUP(F368, 'RM &amp; SF'!B:H, 4, 0)</f>
        <v>غم</v>
      </c>
      <c r="J368" s="90">
        <f t="shared" si="33"/>
        <v>6.25</v>
      </c>
      <c r="K368" s="91">
        <f>VLOOKUP(F368, 'RM &amp; SF'!B:H, 7, 0)</f>
        <v>1.7066666666666665E-4</v>
      </c>
      <c r="L368" s="92">
        <f t="shared" si="34"/>
        <v>1.0666666666666665E-3</v>
      </c>
      <c r="M368" s="30" t="s">
        <v>810</v>
      </c>
    </row>
    <row r="369" spans="1:13" ht="14">
      <c r="A369" s="88" t="s">
        <v>2399</v>
      </c>
      <c r="B369" s="219" t="s">
        <v>546</v>
      </c>
      <c r="C369" s="30"/>
      <c r="D369" s="30" t="str">
        <f>VLOOKUP(B369, 'RM &amp; SF'!B:C, 2, 0)</f>
        <v>كباب هندي</v>
      </c>
      <c r="E369" s="30" t="s">
        <v>3058</v>
      </c>
      <c r="F369" s="110">
        <v>4044</v>
      </c>
      <c r="G369" s="30" t="str">
        <f>VLOOKUP(F369, 'RM &amp; SF'!B:C, 2, 0)</f>
        <v>خردل ديجون الاضافي القوي 200 غم*****</v>
      </c>
      <c r="H369" s="89">
        <v>35</v>
      </c>
      <c r="I369" s="30" t="str">
        <f>VLOOKUP(F369, 'RM &amp; SF'!B:H, 4, 0)</f>
        <v>غم</v>
      </c>
      <c r="J369" s="90">
        <f t="shared" si="33"/>
        <v>4.375</v>
      </c>
      <c r="K369" s="91">
        <f>VLOOKUP(F369, 'RM &amp; SF'!B:H, 7, 0)</f>
        <v>8.0057142857142861E-3</v>
      </c>
      <c r="L369" s="92">
        <f t="shared" si="34"/>
        <v>3.5025000000000001E-2</v>
      </c>
      <c r="M369" s="30" t="s">
        <v>810</v>
      </c>
    </row>
    <row r="370" spans="1:13" ht="14">
      <c r="A370" s="88" t="s">
        <v>2399</v>
      </c>
      <c r="B370" s="219" t="s">
        <v>546</v>
      </c>
      <c r="C370" s="30"/>
      <c r="D370" s="30" t="str">
        <f>VLOOKUP(B370, 'RM &amp; SF'!B:C, 2, 0)</f>
        <v>كباب هندي</v>
      </c>
      <c r="E370" s="30" t="s">
        <v>2212</v>
      </c>
      <c r="F370" s="110">
        <v>4215</v>
      </c>
      <c r="G370" s="30" t="str">
        <f>VLOOKUP(F370, 'RM &amp; SF'!B:C, 2, 0)</f>
        <v>ملح صيني*****</v>
      </c>
      <c r="H370" s="89">
        <v>44</v>
      </c>
      <c r="I370" s="30" t="str">
        <f>VLOOKUP(F370, 'RM &amp; SF'!B:H, 4, 0)</f>
        <v>غم</v>
      </c>
      <c r="J370" s="90">
        <f t="shared" si="33"/>
        <v>5.5</v>
      </c>
      <c r="K370" s="91">
        <f>VLOOKUP(F370, 'RM &amp; SF'!B:H, 7, 0)</f>
        <v>1.7240000000000001E-3</v>
      </c>
      <c r="L370" s="92">
        <f t="shared" si="34"/>
        <v>9.4820000000000008E-3</v>
      </c>
      <c r="M370" s="30" t="s">
        <v>810</v>
      </c>
    </row>
    <row r="371" spans="1:13" ht="14">
      <c r="A371" s="88" t="s">
        <v>2399</v>
      </c>
      <c r="B371" s="219" t="s">
        <v>546</v>
      </c>
      <c r="C371" s="30"/>
      <c r="D371" s="30" t="str">
        <f>VLOOKUP(B371, 'RM &amp; SF'!B:C, 2, 0)</f>
        <v>كباب هندي</v>
      </c>
      <c r="E371" s="30" t="s">
        <v>2208</v>
      </c>
      <c r="F371" s="110">
        <v>4211</v>
      </c>
      <c r="G371" s="30" t="str">
        <f>VLOOKUP(F371, 'RM &amp; SF'!B:C, 2, 0)</f>
        <v>كزبرة ناعمة*****</v>
      </c>
      <c r="H371" s="89">
        <v>9</v>
      </c>
      <c r="I371" s="30" t="str">
        <f>VLOOKUP(F371, 'RM &amp; SF'!B:H, 4, 0)</f>
        <v>غم</v>
      </c>
      <c r="J371" s="90">
        <f t="shared" si="33"/>
        <v>1.125</v>
      </c>
      <c r="K371" s="91">
        <f>VLOOKUP(F371, 'RM &amp; SF'!B:H, 7, 0)</f>
        <v>1.5089999999999999E-3</v>
      </c>
      <c r="L371" s="92">
        <f t="shared" si="34"/>
        <v>1.6976249999999999E-3</v>
      </c>
      <c r="M371" s="30" t="s">
        <v>810</v>
      </c>
    </row>
    <row r="372" spans="1:13" ht="14">
      <c r="A372" s="88" t="s">
        <v>2399</v>
      </c>
      <c r="B372" s="219" t="s">
        <v>546</v>
      </c>
      <c r="C372" s="30"/>
      <c r="D372" s="30" t="str">
        <f>VLOOKUP(B372, 'RM &amp; SF'!B:C, 2, 0)</f>
        <v>كباب هندي</v>
      </c>
      <c r="E372" s="30" t="s">
        <v>3058</v>
      </c>
      <c r="F372" s="110" t="s">
        <v>556</v>
      </c>
      <c r="G372" s="30" t="str">
        <f>VLOOKUP(F372, 'RM &amp; SF'!B:C, 2, 0)</f>
        <v xml:space="preserve"> كفتة كباب هندي</v>
      </c>
      <c r="H372" s="89">
        <v>2290</v>
      </c>
      <c r="I372" s="30" t="str">
        <f>VLOOKUP(F372, 'RM &amp; SF'!B:H, 4, 0)</f>
        <v>غم</v>
      </c>
      <c r="J372" s="90">
        <f t="shared" si="33"/>
        <v>286.25</v>
      </c>
      <c r="K372" s="91">
        <f>VLOOKUP(F372, 'RM &amp; SF'!B:H, 7, 0)</f>
        <v>6.1482819047619063E-3</v>
      </c>
      <c r="L372" s="92">
        <f t="shared" si="34"/>
        <v>1.7599456952380956</v>
      </c>
      <c r="M372" s="30" t="s">
        <v>810</v>
      </c>
    </row>
    <row r="373" spans="1:13" ht="14">
      <c r="A373" s="88" t="s">
        <v>2401</v>
      </c>
      <c r="B373" s="219" t="s">
        <v>596</v>
      </c>
      <c r="C373" s="30"/>
      <c r="D373" s="30" t="str">
        <f>VLOOKUP(B373, 'RM &amp; SF'!B:C, 2, 0)</f>
        <v xml:space="preserve">ملوخية </v>
      </c>
      <c r="E373" s="30" t="s">
        <v>2294</v>
      </c>
      <c r="F373" s="110">
        <v>4645</v>
      </c>
      <c r="G373" s="30" t="str">
        <f>VLOOKUP(F373, 'RM &amp; SF'!B:C, 2, 0)</f>
        <v>ملوخية مجمدة 400 غم*****</v>
      </c>
      <c r="H373" s="89">
        <v>6000</v>
      </c>
      <c r="I373" s="30" t="str">
        <f>VLOOKUP(F373, 'RM &amp; SF'!B:H, 4, 0)</f>
        <v>غم</v>
      </c>
      <c r="J373" s="90">
        <f>H373/13</f>
        <v>461.53846153846155</v>
      </c>
      <c r="K373" s="91">
        <f>VLOOKUP(F373, 'RM &amp; SF'!B:H, 7, 0)</f>
        <v>1.077625E-3</v>
      </c>
      <c r="L373" s="92">
        <f t="shared" si="34"/>
        <v>0.49736538461538465</v>
      </c>
      <c r="M373" s="30" t="s">
        <v>810</v>
      </c>
    </row>
    <row r="374" spans="1:13" ht="14">
      <c r="A374" s="88" t="s">
        <v>2401</v>
      </c>
      <c r="B374" s="219" t="s">
        <v>596</v>
      </c>
      <c r="C374" s="30"/>
      <c r="D374" s="30" t="str">
        <f>VLOOKUP(B374, 'RM &amp; SF'!B:C, 2, 0)</f>
        <v xml:space="preserve">ملوخية </v>
      </c>
      <c r="E374" s="30" t="s">
        <v>3058</v>
      </c>
      <c r="F374" s="110">
        <v>4021</v>
      </c>
      <c r="G374" s="30" t="str">
        <f>VLOOKUP(F374, 'RM &amp; SF'!B:C, 2, 0)</f>
        <v>مكعبات مرق الدجاج 24 عبوة*2 مكعب*****</v>
      </c>
      <c r="H374" s="89">
        <v>120</v>
      </c>
      <c r="I374" s="30" t="str">
        <f>VLOOKUP(F374, 'RM &amp; SF'!B:H, 4, 0)</f>
        <v>غم</v>
      </c>
      <c r="J374" s="90">
        <f>H374/13</f>
        <v>9.2307692307692299</v>
      </c>
      <c r="K374" s="91">
        <f>VLOOKUP(F374, 'RM &amp; SF'!B:H, 7, 0)</f>
        <v>3.8541666666666668E-3</v>
      </c>
      <c r="L374" s="92">
        <f t="shared" si="34"/>
        <v>3.5576923076923075E-2</v>
      </c>
      <c r="M374" s="30" t="s">
        <v>810</v>
      </c>
    </row>
    <row r="375" spans="1:13" ht="14">
      <c r="A375" s="88" t="s">
        <v>2401</v>
      </c>
      <c r="B375" s="219" t="s">
        <v>596</v>
      </c>
      <c r="C375" s="30"/>
      <c r="D375" s="30" t="str">
        <f>VLOOKUP(B375, 'RM &amp; SF'!B:C, 2, 0)</f>
        <v xml:space="preserve">ملوخية </v>
      </c>
      <c r="E375" s="30" t="s">
        <v>3058</v>
      </c>
      <c r="F375" s="110">
        <v>3</v>
      </c>
      <c r="G375" s="30" t="str">
        <f>VLOOKUP(F375, 'RM &amp; SF'!B:C, 2, 0)</f>
        <v>مياه حنفية</v>
      </c>
      <c r="H375" s="89">
        <v>2000</v>
      </c>
      <c r="I375" s="30" t="str">
        <f>VLOOKUP(F375, 'RM &amp; SF'!B:H, 4, 0)</f>
        <v>مل</v>
      </c>
      <c r="J375" s="90">
        <f>H375/13</f>
        <v>153.84615384615384</v>
      </c>
      <c r="K375" s="91">
        <f>VLOOKUP(F375, 'RM &amp; SF'!B:H, 7, 0)</f>
        <v>0</v>
      </c>
      <c r="L375" s="92">
        <f t="shared" si="34"/>
        <v>0</v>
      </c>
      <c r="M375" s="30" t="s">
        <v>810</v>
      </c>
    </row>
    <row r="376" spans="1:13" ht="14">
      <c r="A376" s="88" t="s">
        <v>2401</v>
      </c>
      <c r="B376" s="219" t="s">
        <v>596</v>
      </c>
      <c r="C376" s="30"/>
      <c r="D376" s="30" t="str">
        <f>VLOOKUP(B376, 'RM &amp; SF'!B:C, 2, 0)</f>
        <v xml:space="preserve">ملوخية </v>
      </c>
      <c r="E376" s="30" t="s">
        <v>2236</v>
      </c>
      <c r="F376" s="110">
        <v>4505</v>
      </c>
      <c r="G376" s="30" t="str">
        <f>VLOOKUP(F376, 'RM &amp; SF'!B:C, 2, 0)</f>
        <v>ثوم طازج كامل*****</v>
      </c>
      <c r="H376" s="89">
        <v>100</v>
      </c>
      <c r="I376" s="30" t="str">
        <f>VLOOKUP(F376, 'RM &amp; SF'!B:H, 4, 0)</f>
        <v>غم</v>
      </c>
      <c r="J376" s="90">
        <f>H376/13</f>
        <v>7.6923076923076925</v>
      </c>
      <c r="K376" s="91">
        <f>VLOOKUP(F376, 'RM &amp; SF'!B:H, 7, 0)</f>
        <v>3.5000000000000001E-3</v>
      </c>
      <c r="L376" s="92">
        <f t="shared" si="34"/>
        <v>2.6923076923076925E-2</v>
      </c>
      <c r="M376" s="30" t="s">
        <v>810</v>
      </c>
    </row>
    <row r="377" spans="1:13" ht="14">
      <c r="A377" s="88" t="s">
        <v>2401</v>
      </c>
      <c r="B377" s="219" t="s">
        <v>596</v>
      </c>
      <c r="C377" s="30"/>
      <c r="D377" s="30" t="str">
        <f>VLOOKUP(B377, 'RM &amp; SF'!B:C, 2, 0)</f>
        <v xml:space="preserve">ملوخية </v>
      </c>
      <c r="E377" s="30" t="s">
        <v>2260</v>
      </c>
      <c r="F377" s="110">
        <v>4160</v>
      </c>
      <c r="G377" s="30" t="str">
        <f>VLOOKUP(F377, 'RM &amp; SF'!B:C, 2, 0)</f>
        <v>زيت صويا 18 لتر*****</v>
      </c>
      <c r="H377" s="89">
        <v>100</v>
      </c>
      <c r="I377" s="30" t="str">
        <f>VLOOKUP(F377, 'RM &amp; SF'!B:H, 4, 0)</f>
        <v>مل</v>
      </c>
      <c r="J377" s="90">
        <f>H377/13</f>
        <v>7.6923076923076925</v>
      </c>
      <c r="K377" s="91">
        <f>VLOOKUP(F377, 'RM &amp; SF'!B:H, 7, 0)</f>
        <v>1.335E-3</v>
      </c>
      <c r="L377" s="92">
        <f t="shared" si="34"/>
        <v>1.026923076923077E-2</v>
      </c>
      <c r="M377" s="30" t="s">
        <v>810</v>
      </c>
    </row>
    <row r="378" spans="1:13" ht="14">
      <c r="A378" s="88" t="s">
        <v>2402</v>
      </c>
      <c r="B378" s="219" t="s">
        <v>600</v>
      </c>
      <c r="C378" s="30"/>
      <c r="D378" s="30" t="str">
        <f>VLOOKUP(B378, 'RM &amp; SF'!B:C, 2, 0)</f>
        <v xml:space="preserve">بامية </v>
      </c>
      <c r="E378" s="30" t="s">
        <v>2293</v>
      </c>
      <c r="F378" s="110">
        <v>4640</v>
      </c>
      <c r="G378" s="30" t="str">
        <f>VLOOKUP(F378, 'RM &amp; SF'!B:C, 2, 0)</f>
        <v>باميا زيرو مجمدة 400 غم*****</v>
      </c>
      <c r="H378" s="89">
        <v>4800</v>
      </c>
      <c r="I378" s="30" t="str">
        <f>VLOOKUP(F378, 'RM &amp; SF'!B:H, 4, 0)</f>
        <v>غم</v>
      </c>
      <c r="J378" s="90">
        <f t="shared" ref="J378:J385" si="35">H378/14</f>
        <v>342.85714285714283</v>
      </c>
      <c r="K378" s="91">
        <f>VLOOKUP(F378, 'RM &amp; SF'!B:H, 7, 0)</f>
        <v>2.8E-3</v>
      </c>
      <c r="L378" s="92">
        <f t="shared" si="34"/>
        <v>0.96</v>
      </c>
      <c r="M378" s="30" t="s">
        <v>810</v>
      </c>
    </row>
    <row r="379" spans="1:13" ht="14">
      <c r="A379" s="88" t="s">
        <v>2402</v>
      </c>
      <c r="B379" s="219" t="s">
        <v>600</v>
      </c>
      <c r="C379" s="30"/>
      <c r="D379" s="30" t="str">
        <f>VLOOKUP(B379, 'RM &amp; SF'!B:C, 2, 0)</f>
        <v xml:space="preserve">بامية </v>
      </c>
      <c r="E379" s="30" t="s">
        <v>2309</v>
      </c>
      <c r="F379" s="110">
        <v>4491</v>
      </c>
      <c r="G379" s="30" t="str">
        <f>VLOOKUP(F379, 'RM &amp; SF'!B:C, 2, 0)</f>
        <v>بندورة جامدة*****</v>
      </c>
      <c r="H379" s="89">
        <v>4000</v>
      </c>
      <c r="I379" s="30" t="str">
        <f>VLOOKUP(F379, 'RM &amp; SF'!B:H, 4, 0)</f>
        <v>غم</v>
      </c>
      <c r="J379" s="90">
        <f t="shared" si="35"/>
        <v>285.71428571428572</v>
      </c>
      <c r="K379" s="91">
        <f>VLOOKUP(F379, 'RM &amp; SF'!B:H, 7, 0)</f>
        <v>5.0000000000000001E-4</v>
      </c>
      <c r="L379" s="92">
        <f t="shared" si="34"/>
        <v>0.14285714285714288</v>
      </c>
      <c r="M379" s="30" t="s">
        <v>810</v>
      </c>
    </row>
    <row r="380" spans="1:13" ht="14">
      <c r="A380" s="88" t="s">
        <v>2402</v>
      </c>
      <c r="B380" s="219" t="s">
        <v>600</v>
      </c>
      <c r="C380" s="30"/>
      <c r="D380" s="30" t="str">
        <f>VLOOKUP(B380, 'RM &amp; SF'!B:C, 2, 0)</f>
        <v xml:space="preserve">بامية </v>
      </c>
      <c r="E380" s="30" t="s">
        <v>3058</v>
      </c>
      <c r="F380" s="110">
        <v>5401</v>
      </c>
      <c r="G380" s="30" t="str">
        <f>VLOOKUP(F380, 'RM &amp; SF'!B:C, 2, 0)</f>
        <v xml:space="preserve">روز بيف  </v>
      </c>
      <c r="H380" s="89">
        <v>2000</v>
      </c>
      <c r="I380" s="30" t="str">
        <f>VLOOKUP(F380, 'RM &amp; SF'!B:H, 4, 0)</f>
        <v>غم</v>
      </c>
      <c r="J380" s="90">
        <f t="shared" si="35"/>
        <v>142.85714285714286</v>
      </c>
      <c r="K380" s="91">
        <f>VLOOKUP(F380, 'RM &amp; SF'!B:H, 7, 0)</f>
        <v>1.2580000000000001E-2</v>
      </c>
      <c r="L380" s="92">
        <f t="shared" si="34"/>
        <v>1.7971428571428574</v>
      </c>
      <c r="M380" s="30" t="s">
        <v>810</v>
      </c>
    </row>
    <row r="381" spans="1:13" ht="14">
      <c r="A381" s="88" t="s">
        <v>2402</v>
      </c>
      <c r="B381" s="219" t="s">
        <v>600</v>
      </c>
      <c r="C381" s="30"/>
      <c r="D381" s="30" t="str">
        <f>VLOOKUP(B381, 'RM &amp; SF'!B:C, 2, 0)</f>
        <v xml:space="preserve">بامية </v>
      </c>
      <c r="E381" s="30" t="s">
        <v>2209</v>
      </c>
      <c r="F381" s="110">
        <v>4546</v>
      </c>
      <c r="G381" s="30" t="str">
        <f>VLOOKUP(F381, 'RM &amp; SF'!B:C, 2, 0)</f>
        <v>كزبرة*****</v>
      </c>
      <c r="H381" s="89">
        <v>0.5</v>
      </c>
      <c r="I381" s="30" t="str">
        <f>VLOOKUP(F381, 'RM &amp; SF'!B:H, 4, 0)</f>
        <v>قطعة</v>
      </c>
      <c r="J381" s="90">
        <f t="shared" si="35"/>
        <v>3.5714285714285712E-2</v>
      </c>
      <c r="K381" s="91">
        <f>VLOOKUP(F381, 'RM &amp; SF'!B:H, 7, 0)</f>
        <v>1E-3</v>
      </c>
      <c r="L381" s="92">
        <f t="shared" si="34"/>
        <v>3.571428571428571E-5</v>
      </c>
      <c r="M381" s="30" t="s">
        <v>810</v>
      </c>
    </row>
    <row r="382" spans="1:13" ht="14">
      <c r="A382" s="88" t="s">
        <v>2402</v>
      </c>
      <c r="B382" s="219" t="s">
        <v>600</v>
      </c>
      <c r="C382" s="30"/>
      <c r="D382" s="30" t="str">
        <f>VLOOKUP(B382, 'RM &amp; SF'!B:C, 2, 0)</f>
        <v xml:space="preserve">بامية </v>
      </c>
      <c r="E382" s="30" t="s">
        <v>2236</v>
      </c>
      <c r="F382" s="110">
        <v>4505</v>
      </c>
      <c r="G382" s="30" t="str">
        <f>VLOOKUP(F382, 'RM &amp; SF'!B:C, 2, 0)</f>
        <v>ثوم طازج كامل*****</v>
      </c>
      <c r="H382" s="89">
        <v>75</v>
      </c>
      <c r="I382" s="30" t="str">
        <f>VLOOKUP(F382, 'RM &amp; SF'!B:H, 4, 0)</f>
        <v>غم</v>
      </c>
      <c r="J382" s="90">
        <f t="shared" si="35"/>
        <v>5.3571428571428568</v>
      </c>
      <c r="K382" s="91">
        <f>VLOOKUP(F382, 'RM &amp; SF'!B:H, 7, 0)</f>
        <v>3.5000000000000001E-3</v>
      </c>
      <c r="L382" s="92">
        <f t="shared" si="34"/>
        <v>1.8749999999999999E-2</v>
      </c>
      <c r="M382" s="30" t="s">
        <v>810</v>
      </c>
    </row>
    <row r="383" spans="1:13" ht="14">
      <c r="A383" s="88" t="s">
        <v>2402</v>
      </c>
      <c r="B383" s="219" t="s">
        <v>600</v>
      </c>
      <c r="C383" s="30"/>
      <c r="D383" s="30" t="str">
        <f>VLOOKUP(B383, 'RM &amp; SF'!B:C, 2, 0)</f>
        <v xml:space="preserve">بامية </v>
      </c>
      <c r="E383" s="30" t="s">
        <v>2260</v>
      </c>
      <c r="F383" s="110">
        <v>4160</v>
      </c>
      <c r="G383" s="30" t="str">
        <f>VLOOKUP(F383, 'RM &amp; SF'!B:C, 2, 0)</f>
        <v>زيت صويا 18 لتر*****</v>
      </c>
      <c r="H383" s="89">
        <v>125</v>
      </c>
      <c r="I383" s="30" t="str">
        <f>VLOOKUP(F383, 'RM &amp; SF'!B:H, 4, 0)</f>
        <v>مل</v>
      </c>
      <c r="J383" s="90">
        <f t="shared" si="35"/>
        <v>8.9285714285714288</v>
      </c>
      <c r="K383" s="91">
        <f>VLOOKUP(F383, 'RM &amp; SF'!B:H, 7, 0)</f>
        <v>1.335E-3</v>
      </c>
      <c r="L383" s="92">
        <f t="shared" si="34"/>
        <v>1.1919642857142858E-2</v>
      </c>
      <c r="M383" s="30" t="s">
        <v>810</v>
      </c>
    </row>
    <row r="384" spans="1:13" ht="14">
      <c r="A384" s="88" t="s">
        <v>2402</v>
      </c>
      <c r="B384" s="219" t="s">
        <v>600</v>
      </c>
      <c r="C384" s="30"/>
      <c r="D384" s="30" t="str">
        <f>VLOOKUP(B384, 'RM &amp; SF'!B:C, 2, 0)</f>
        <v xml:space="preserve">بامية </v>
      </c>
      <c r="E384" s="30" t="s">
        <v>3058</v>
      </c>
      <c r="F384" s="110">
        <v>4021</v>
      </c>
      <c r="G384" s="30" t="str">
        <f>VLOOKUP(F384, 'RM &amp; SF'!B:C, 2, 0)</f>
        <v>مكعبات مرق الدجاج 24 عبوة*2 مكعب*****</v>
      </c>
      <c r="H384" s="89">
        <v>160</v>
      </c>
      <c r="I384" s="30" t="str">
        <f>VLOOKUP(F384, 'RM &amp; SF'!B:H, 4, 0)</f>
        <v>غم</v>
      </c>
      <c r="J384" s="90">
        <f t="shared" si="35"/>
        <v>11.428571428571429</v>
      </c>
      <c r="K384" s="91">
        <f>VLOOKUP(F384, 'RM &amp; SF'!B:H, 7, 0)</f>
        <v>3.8541666666666668E-3</v>
      </c>
      <c r="L384" s="92">
        <f t="shared" si="34"/>
        <v>4.4047619047619051E-2</v>
      </c>
      <c r="M384" s="30" t="s">
        <v>810</v>
      </c>
    </row>
    <row r="385" spans="1:13" ht="14">
      <c r="A385" s="88" t="s">
        <v>2402</v>
      </c>
      <c r="B385" s="219" t="s">
        <v>600</v>
      </c>
      <c r="C385" s="30"/>
      <c r="D385" s="30" t="str">
        <f>VLOOKUP(B385, 'RM &amp; SF'!B:C, 2, 0)</f>
        <v xml:space="preserve">بامية </v>
      </c>
      <c r="E385" s="30" t="s">
        <v>3058</v>
      </c>
      <c r="F385" s="110">
        <v>3</v>
      </c>
      <c r="G385" s="30" t="str">
        <f>VLOOKUP(F385, 'RM &amp; SF'!B:C, 2, 0)</f>
        <v>مياه حنفية</v>
      </c>
      <c r="H385" s="89">
        <v>9000</v>
      </c>
      <c r="I385" s="30" t="str">
        <f>VLOOKUP(F385, 'RM &amp; SF'!B:H, 4, 0)</f>
        <v>مل</v>
      </c>
      <c r="J385" s="90">
        <f t="shared" si="35"/>
        <v>642.85714285714289</v>
      </c>
      <c r="K385" s="91">
        <f>VLOOKUP(F385, 'RM &amp; SF'!B:H, 7, 0)</f>
        <v>0</v>
      </c>
      <c r="L385" s="92">
        <f t="shared" si="34"/>
        <v>0</v>
      </c>
      <c r="M385" s="30" t="s">
        <v>810</v>
      </c>
    </row>
    <row r="386" spans="1:13" ht="14">
      <c r="A386" s="88" t="s">
        <v>2389</v>
      </c>
      <c r="B386" s="219" t="s">
        <v>550</v>
      </c>
      <c r="C386" s="30"/>
      <c r="D386" s="30" t="str">
        <f>VLOOKUP(B386, 'RM &amp; SF'!B:C, 2, 0)</f>
        <v>ارز منسف</v>
      </c>
      <c r="E386" s="30" t="s">
        <v>3058</v>
      </c>
      <c r="F386" s="110">
        <v>4135</v>
      </c>
      <c r="G386" s="30" t="str">
        <f>VLOOKUP(F386, 'RM &amp; SF'!B:C, 2, 0)</f>
        <v>ارز اصفر حبة طويلة نمرة واحد*****</v>
      </c>
      <c r="H386" s="89">
        <v>5000</v>
      </c>
      <c r="I386" s="30" t="str">
        <f>VLOOKUP(F386, 'RM &amp; SF'!B:H, 4, 0)</f>
        <v>غم</v>
      </c>
      <c r="J386" s="90">
        <f t="shared" ref="J386:J392" si="36">H386/40</f>
        <v>125</v>
      </c>
      <c r="K386" s="91">
        <f>VLOOKUP(F386, 'RM &amp; SF'!B:H, 7, 0)</f>
        <v>1.225E-3</v>
      </c>
      <c r="L386" s="92">
        <f t="shared" si="34"/>
        <v>0.15312499999999998</v>
      </c>
      <c r="M386" s="30" t="s">
        <v>810</v>
      </c>
    </row>
    <row r="387" spans="1:13" ht="14">
      <c r="A387" s="88" t="s">
        <v>2389</v>
      </c>
      <c r="B387" s="219" t="s">
        <v>550</v>
      </c>
      <c r="C387" s="30"/>
      <c r="D387" s="30" t="str">
        <f>VLOOKUP(B387, 'RM &amp; SF'!B:C, 2, 0)</f>
        <v>ارز منسف</v>
      </c>
      <c r="E387" s="30" t="s">
        <v>2280</v>
      </c>
      <c r="F387" s="110">
        <v>4132</v>
      </c>
      <c r="G387" s="30" t="str">
        <f>VLOOKUP(F387, 'RM &amp; SF'!B:C, 2, 0)</f>
        <v>ارز حبة متوسطة*****</v>
      </c>
      <c r="H387" s="89">
        <v>10000</v>
      </c>
      <c r="I387" s="30" t="str">
        <f>VLOOKUP(F387, 'RM &amp; SF'!B:H, 4, 0)</f>
        <v>غم</v>
      </c>
      <c r="J387" s="90">
        <f t="shared" si="36"/>
        <v>250</v>
      </c>
      <c r="K387" s="91">
        <f>VLOOKUP(F387, 'RM &amp; SF'!B:H, 7, 0)</f>
        <v>1.1388000000000001E-3</v>
      </c>
      <c r="L387" s="92">
        <f t="shared" si="34"/>
        <v>0.28470000000000001</v>
      </c>
      <c r="M387" s="30" t="s">
        <v>810</v>
      </c>
    </row>
    <row r="388" spans="1:13" ht="14">
      <c r="A388" s="88" t="s">
        <v>2389</v>
      </c>
      <c r="B388" s="219" t="s">
        <v>550</v>
      </c>
      <c r="C388" s="30"/>
      <c r="D388" s="30" t="str">
        <f>VLOOKUP(B388, 'RM &amp; SF'!B:C, 2, 0)</f>
        <v>ارز منسف</v>
      </c>
      <c r="E388" s="30" t="s">
        <v>2222</v>
      </c>
      <c r="F388" s="110">
        <v>4240</v>
      </c>
      <c r="G388" s="30" t="str">
        <f>VLOOKUP(F388, 'RM &amp; SF'!B:C, 2, 0)</f>
        <v>كركم ناعم*****</v>
      </c>
      <c r="H388" s="89">
        <v>5</v>
      </c>
      <c r="I388" s="30" t="str">
        <f>VLOOKUP(F388, 'RM &amp; SF'!B:H, 4, 0)</f>
        <v>غم</v>
      </c>
      <c r="J388" s="90">
        <f t="shared" si="36"/>
        <v>0.125</v>
      </c>
      <c r="K388" s="91">
        <f>VLOOKUP(F388, 'RM &amp; SF'!B:H, 7, 0)</f>
        <v>1.9399999999999999E-3</v>
      </c>
      <c r="L388" s="92">
        <f t="shared" si="34"/>
        <v>2.4249999999999999E-4</v>
      </c>
      <c r="M388" s="30" t="s">
        <v>810</v>
      </c>
    </row>
    <row r="389" spans="1:13" ht="14">
      <c r="A389" s="88" t="s">
        <v>2389</v>
      </c>
      <c r="B389" s="219" t="s">
        <v>550</v>
      </c>
      <c r="C389" s="30"/>
      <c r="D389" s="30" t="str">
        <f>VLOOKUP(B389, 'RM &amp; SF'!B:C, 2, 0)</f>
        <v>ارز منسف</v>
      </c>
      <c r="E389" s="30" t="s">
        <v>2261</v>
      </c>
      <c r="F389" s="110">
        <v>4163</v>
      </c>
      <c r="G389" s="30" t="str">
        <f>VLOOKUP(F389, 'RM &amp; SF'!B:C, 2, 0)</f>
        <v>سمنة بنكهة السمن البلدي 15 كغ*****</v>
      </c>
      <c r="H389" s="89">
        <v>500</v>
      </c>
      <c r="I389" s="30" t="str">
        <f>VLOOKUP(F389, 'RM &amp; SF'!B:H, 4, 0)</f>
        <v>غم</v>
      </c>
      <c r="J389" s="90">
        <f t="shared" si="36"/>
        <v>12.5</v>
      </c>
      <c r="K389" s="91">
        <f>VLOOKUP(F389, 'RM &amp; SF'!B:H, 7, 0)</f>
        <v>2.0512E-3</v>
      </c>
      <c r="L389" s="92">
        <f t="shared" si="34"/>
        <v>2.564E-2</v>
      </c>
      <c r="M389" s="30" t="s">
        <v>810</v>
      </c>
    </row>
    <row r="390" spans="1:13" ht="14">
      <c r="A390" s="88" t="s">
        <v>2389</v>
      </c>
      <c r="B390" s="219" t="s">
        <v>550</v>
      </c>
      <c r="C390" s="30"/>
      <c r="D390" s="30" t="str">
        <f>VLOOKUP(B390, 'RM &amp; SF'!B:C, 2, 0)</f>
        <v>ارز منسف</v>
      </c>
      <c r="E390" s="30" t="s">
        <v>2260</v>
      </c>
      <c r="F390" s="110">
        <v>4160</v>
      </c>
      <c r="G390" s="30" t="str">
        <f>VLOOKUP(F390, 'RM &amp; SF'!B:C, 2, 0)</f>
        <v>زيت صويا 18 لتر*****</v>
      </c>
      <c r="H390" s="89">
        <v>500</v>
      </c>
      <c r="I390" s="30" t="str">
        <f>VLOOKUP(F390, 'RM &amp; SF'!B:H, 4, 0)</f>
        <v>مل</v>
      </c>
      <c r="J390" s="90">
        <f t="shared" si="36"/>
        <v>12.5</v>
      </c>
      <c r="K390" s="91">
        <f>VLOOKUP(F390, 'RM &amp; SF'!B:H, 7, 0)</f>
        <v>1.335E-3</v>
      </c>
      <c r="L390" s="92">
        <f t="shared" si="34"/>
        <v>1.6687500000000001E-2</v>
      </c>
      <c r="M390" s="30" t="s">
        <v>810</v>
      </c>
    </row>
    <row r="391" spans="1:13" ht="14">
      <c r="A391" s="88" t="s">
        <v>2389</v>
      </c>
      <c r="B391" s="219" t="s">
        <v>550</v>
      </c>
      <c r="C391" s="30"/>
      <c r="D391" s="30" t="str">
        <f>VLOOKUP(B391, 'RM &amp; SF'!B:C, 2, 0)</f>
        <v>ارز منسف</v>
      </c>
      <c r="E391" s="30" t="s">
        <v>3058</v>
      </c>
      <c r="F391" s="110">
        <v>4021</v>
      </c>
      <c r="G391" s="30" t="str">
        <f>VLOOKUP(F391, 'RM &amp; SF'!B:C, 2, 0)</f>
        <v>مكعبات مرق الدجاج 24 عبوة*2 مكعب*****</v>
      </c>
      <c r="H391" s="89">
        <v>100</v>
      </c>
      <c r="I391" s="30" t="str">
        <f>VLOOKUP(F391, 'RM &amp; SF'!B:H, 4, 0)</f>
        <v>غم</v>
      </c>
      <c r="J391" s="90">
        <f t="shared" si="36"/>
        <v>2.5</v>
      </c>
      <c r="K391" s="91">
        <f>VLOOKUP(F391, 'RM &amp; SF'!B:H, 7, 0)</f>
        <v>3.8541666666666668E-3</v>
      </c>
      <c r="L391" s="92">
        <f t="shared" si="34"/>
        <v>9.6354166666666671E-3</v>
      </c>
      <c r="M391" s="30" t="s">
        <v>810</v>
      </c>
    </row>
    <row r="392" spans="1:13" ht="14">
      <c r="A392" s="88" t="s">
        <v>2389</v>
      </c>
      <c r="B392" s="219" t="s">
        <v>550</v>
      </c>
      <c r="C392" s="30"/>
      <c r="D392" s="30" t="str">
        <f>VLOOKUP(B392, 'RM &amp; SF'!B:C, 2, 0)</f>
        <v>ارز منسف</v>
      </c>
      <c r="E392" s="30" t="s">
        <v>2203</v>
      </c>
      <c r="F392" s="110">
        <v>4152</v>
      </c>
      <c r="G392" s="30" t="str">
        <f>VLOOKUP(F392, 'RM &amp; SF'!B:C, 2, 0)</f>
        <v>ملح طعام 750غم*****</v>
      </c>
      <c r="H392" s="89">
        <v>500</v>
      </c>
      <c r="I392" s="30" t="str">
        <f>VLOOKUP(F392, 'RM &amp; SF'!B:H, 4, 0)</f>
        <v>غم</v>
      </c>
      <c r="J392" s="90">
        <f t="shared" si="36"/>
        <v>12.5</v>
      </c>
      <c r="K392" s="91">
        <f>VLOOKUP(F392, 'RM &amp; SF'!B:H, 7, 0)</f>
        <v>1.7066666666666665E-4</v>
      </c>
      <c r="L392" s="92">
        <f t="shared" si="34"/>
        <v>2.133333333333333E-3</v>
      </c>
      <c r="M392" s="30" t="s">
        <v>810</v>
      </c>
    </row>
    <row r="393" spans="1:13" ht="14">
      <c r="A393" s="88" t="s">
        <v>2397</v>
      </c>
      <c r="B393" s="219" t="s">
        <v>580</v>
      </c>
      <c r="C393" s="30"/>
      <c r="D393" s="30" t="str">
        <f>VLOOKUP(B393, 'RM &amp; SF'!B:C, 2, 0)</f>
        <v>طحينة مشاوي</v>
      </c>
      <c r="E393" s="30" t="s">
        <v>2170</v>
      </c>
      <c r="F393" s="110">
        <v>4552</v>
      </c>
      <c r="G393" s="30" t="str">
        <f>VLOOKUP(F393, 'RM &amp; SF'!B:C, 2, 0)</f>
        <v>لبن رايب 5 كغ*****</v>
      </c>
      <c r="H393" s="89">
        <v>5000</v>
      </c>
      <c r="I393" s="30" t="str">
        <f>VLOOKUP(F393, 'RM &amp; SF'!B:H, 4, 0)</f>
        <v>غم</v>
      </c>
      <c r="J393" s="90">
        <f>H393/6.5</f>
        <v>769.23076923076928</v>
      </c>
      <c r="K393" s="91">
        <f>VLOOKUP(F393, 'RM &amp; SF'!B:H, 7, 0)</f>
        <v>8.0000000000000004E-4</v>
      </c>
      <c r="L393" s="92">
        <f t="shared" si="34"/>
        <v>0.61538461538461542</v>
      </c>
      <c r="M393" s="30" t="s">
        <v>810</v>
      </c>
    </row>
    <row r="394" spans="1:13" ht="14">
      <c r="A394" s="88" t="s">
        <v>2397</v>
      </c>
      <c r="B394" s="219" t="s">
        <v>580</v>
      </c>
      <c r="C394" s="30"/>
      <c r="D394" s="30" t="str">
        <f>VLOOKUP(B394, 'RM &amp; SF'!B:C, 2, 0)</f>
        <v>طحينة مشاوي</v>
      </c>
      <c r="E394" s="30" t="s">
        <v>2216</v>
      </c>
      <c r="F394" s="110">
        <v>4230</v>
      </c>
      <c r="G394" s="30" t="str">
        <f>VLOOKUP(F394, 'RM &amp; SF'!B:C, 2, 0)</f>
        <v>ملح ليمون*****</v>
      </c>
      <c r="H394" s="89">
        <v>25</v>
      </c>
      <c r="I394" s="30" t="str">
        <f>VLOOKUP(F394, 'RM &amp; SF'!B:H, 4, 0)</f>
        <v>غم</v>
      </c>
      <c r="J394" s="90">
        <f>H394/6.5</f>
        <v>3.8461538461538463</v>
      </c>
      <c r="K394" s="91">
        <f>VLOOKUP(F394, 'RM &amp; SF'!B:H, 7, 0)</f>
        <v>1.078E-3</v>
      </c>
      <c r="L394" s="92">
        <f t="shared" si="34"/>
        <v>4.1461538461538463E-3</v>
      </c>
      <c r="M394" s="30" t="s">
        <v>810</v>
      </c>
    </row>
    <row r="395" spans="1:13" ht="14">
      <c r="A395" s="88" t="s">
        <v>2397</v>
      </c>
      <c r="B395" s="219" t="s">
        <v>580</v>
      </c>
      <c r="C395" s="30"/>
      <c r="D395" s="30" t="str">
        <f>VLOOKUP(B395, 'RM &amp; SF'!B:C, 2, 0)</f>
        <v>طحينة مشاوي</v>
      </c>
      <c r="E395" s="30" t="s">
        <v>2203</v>
      </c>
      <c r="F395" s="110">
        <v>4152</v>
      </c>
      <c r="G395" s="30" t="str">
        <f>VLOOKUP(F395, 'RM &amp; SF'!B:C, 2, 0)</f>
        <v>ملح طعام 750غم*****</v>
      </c>
      <c r="H395" s="89">
        <v>25</v>
      </c>
      <c r="I395" s="30" t="str">
        <f>VLOOKUP(F395, 'RM &amp; SF'!B:H, 4, 0)</f>
        <v>غم</v>
      </c>
      <c r="J395" s="90">
        <f>H395/6.5</f>
        <v>3.8461538461538463</v>
      </c>
      <c r="K395" s="91">
        <f>VLOOKUP(F395, 'RM &amp; SF'!B:H, 7, 0)</f>
        <v>1.7066666666666665E-4</v>
      </c>
      <c r="L395" s="92">
        <f t="shared" si="34"/>
        <v>6.5641025641025637E-4</v>
      </c>
      <c r="M395" s="30" t="s">
        <v>810</v>
      </c>
    </row>
    <row r="396" spans="1:13" ht="14">
      <c r="A396" s="88" t="s">
        <v>2397</v>
      </c>
      <c r="B396" s="219" t="s">
        <v>580</v>
      </c>
      <c r="C396" s="30"/>
      <c r="D396" s="30" t="str">
        <f>VLOOKUP(B396, 'RM &amp; SF'!B:C, 2, 0)</f>
        <v>طحينة مشاوي</v>
      </c>
      <c r="E396" s="30" t="s">
        <v>3058</v>
      </c>
      <c r="F396" s="110">
        <v>4166</v>
      </c>
      <c r="G396" s="30" t="str">
        <f>VLOOKUP(F396, 'RM &amp; SF'!B:C, 2, 0)</f>
        <v>طحينية 18 كغ*****</v>
      </c>
      <c r="H396" s="89">
        <v>1500</v>
      </c>
      <c r="I396" s="30" t="str">
        <f>VLOOKUP(F396, 'RM &amp; SF'!B:H, 4, 0)</f>
        <v>غم</v>
      </c>
      <c r="J396" s="90">
        <f>H396/6.5</f>
        <v>230.76923076923077</v>
      </c>
      <c r="K396" s="91">
        <f>VLOOKUP(F396, 'RM &amp; SF'!B:H, 7, 0)</f>
        <v>2.0105820105820104E-3</v>
      </c>
      <c r="L396" s="92">
        <f t="shared" si="34"/>
        <v>0.46398046398046394</v>
      </c>
      <c r="M396" s="30" t="s">
        <v>810</v>
      </c>
    </row>
    <row r="397" spans="1:13" ht="14">
      <c r="A397" s="88" t="s">
        <v>2450</v>
      </c>
      <c r="B397" s="219" t="s">
        <v>570</v>
      </c>
      <c r="C397" s="30"/>
      <c r="D397" s="30" t="str">
        <f>VLOOKUP(B397, 'RM &amp; SF'!B:C, 2, 0)</f>
        <v>سلطة تركية</v>
      </c>
      <c r="E397" s="30" t="s">
        <v>2233</v>
      </c>
      <c r="F397" s="110">
        <v>4501</v>
      </c>
      <c r="G397" s="30" t="str">
        <f>VLOOKUP(F397, 'RM &amp; SF'!B:C, 2, 0)</f>
        <v>فلفل حلو احمر*****</v>
      </c>
      <c r="H397" s="89">
        <v>7500</v>
      </c>
      <c r="I397" s="30" t="str">
        <f>VLOOKUP(F397, 'RM &amp; SF'!B:H, 4, 0)</f>
        <v>غم</v>
      </c>
      <c r="J397" s="90">
        <f t="shared" ref="J397:J407" si="37">H397/18</f>
        <v>416.66666666666669</v>
      </c>
      <c r="K397" s="91">
        <f>VLOOKUP(F397, 'RM &amp; SF'!B:H, 7, 0)</f>
        <v>7.5000000000000002E-4</v>
      </c>
      <c r="L397" s="92">
        <f t="shared" si="34"/>
        <v>0.3125</v>
      </c>
      <c r="M397" s="30" t="s">
        <v>810</v>
      </c>
    </row>
    <row r="398" spans="1:13" ht="14">
      <c r="A398" s="88" t="s">
        <v>2450</v>
      </c>
      <c r="B398" s="219" t="s">
        <v>570</v>
      </c>
      <c r="C398" s="30"/>
      <c r="D398" s="30" t="str">
        <f>VLOOKUP(B398, 'RM &amp; SF'!B:C, 2, 0)</f>
        <v>سلطة تركية</v>
      </c>
      <c r="E398" s="30" t="s">
        <v>2309</v>
      </c>
      <c r="F398" s="110">
        <v>4491</v>
      </c>
      <c r="G398" s="30" t="str">
        <f>VLOOKUP(F398, 'RM &amp; SF'!B:C, 2, 0)</f>
        <v>بندورة جامدة*****</v>
      </c>
      <c r="H398" s="89">
        <v>2500</v>
      </c>
      <c r="I398" s="30" t="str">
        <f>VLOOKUP(F398, 'RM &amp; SF'!B:H, 4, 0)</f>
        <v>غم</v>
      </c>
      <c r="J398" s="90">
        <f t="shared" si="37"/>
        <v>138.88888888888889</v>
      </c>
      <c r="K398" s="91">
        <f>VLOOKUP(F398, 'RM &amp; SF'!B:H, 7, 0)</f>
        <v>5.0000000000000001E-4</v>
      </c>
      <c r="L398" s="92">
        <f t="shared" si="34"/>
        <v>6.9444444444444448E-2</v>
      </c>
      <c r="M398" s="30" t="s">
        <v>810</v>
      </c>
    </row>
    <row r="399" spans="1:13" ht="14">
      <c r="A399" s="88" t="s">
        <v>2450</v>
      </c>
      <c r="B399" s="219" t="s">
        <v>570</v>
      </c>
      <c r="C399" s="30"/>
      <c r="D399" s="30" t="str">
        <f>VLOOKUP(B399, 'RM &amp; SF'!B:C, 2, 0)</f>
        <v>سلطة تركية</v>
      </c>
      <c r="E399" s="30" t="s">
        <v>2234</v>
      </c>
      <c r="F399" s="110">
        <v>4503</v>
      </c>
      <c r="G399" s="30" t="str">
        <f>VLOOKUP(F399, 'RM &amp; SF'!B:C, 2, 0)</f>
        <v>بصل ناشف دفش*****</v>
      </c>
      <c r="H399" s="89">
        <v>2250</v>
      </c>
      <c r="I399" s="30" t="str">
        <f>VLOOKUP(F399, 'RM &amp; SF'!B:H, 4, 0)</f>
        <v>غم</v>
      </c>
      <c r="J399" s="90">
        <f t="shared" si="37"/>
        <v>125</v>
      </c>
      <c r="K399" s="91">
        <f>VLOOKUP(F399, 'RM &amp; SF'!B:H, 7, 0)</f>
        <v>2.5000000000000001E-4</v>
      </c>
      <c r="L399" s="92">
        <f t="shared" si="34"/>
        <v>3.125E-2</v>
      </c>
      <c r="M399" s="30" t="s">
        <v>810</v>
      </c>
    </row>
    <row r="400" spans="1:13" ht="14">
      <c r="A400" s="88" t="s">
        <v>2450</v>
      </c>
      <c r="B400" s="219" t="s">
        <v>570</v>
      </c>
      <c r="C400" s="30"/>
      <c r="D400" s="30" t="str">
        <f>VLOOKUP(B400, 'RM &amp; SF'!B:C, 2, 0)</f>
        <v>سلطة تركية</v>
      </c>
      <c r="E400" s="30" t="s">
        <v>2269</v>
      </c>
      <c r="F400" s="110">
        <v>4011</v>
      </c>
      <c r="G400" s="30" t="str">
        <f>VLOOKUP(F400, 'RM &amp; SF'!B:C, 2, 0)</f>
        <v>كاتشب طماطم 5 كغ*****</v>
      </c>
      <c r="H400" s="89">
        <v>2000</v>
      </c>
      <c r="I400" s="30" t="str">
        <f>VLOOKUP(F400, 'RM &amp; SF'!B:H, 4, 0)</f>
        <v>غم</v>
      </c>
      <c r="J400" s="90">
        <f t="shared" si="37"/>
        <v>111.11111111111111</v>
      </c>
      <c r="K400" s="91">
        <f>VLOOKUP(F400, 'RM &amp; SF'!B:H, 7, 0)</f>
        <v>6.8959999999999996E-4</v>
      </c>
      <c r="L400" s="92">
        <f t="shared" si="34"/>
        <v>7.6622222222222217E-2</v>
      </c>
      <c r="M400" s="30" t="s">
        <v>810</v>
      </c>
    </row>
    <row r="401" spans="1:13" ht="14">
      <c r="A401" s="88" t="s">
        <v>2450</v>
      </c>
      <c r="B401" s="219" t="s">
        <v>570</v>
      </c>
      <c r="C401" s="30"/>
      <c r="D401" s="30" t="str">
        <f>VLOOKUP(B401, 'RM &amp; SF'!B:C, 2, 0)</f>
        <v>سلطة تركية</v>
      </c>
      <c r="E401" s="30" t="s">
        <v>3058</v>
      </c>
      <c r="F401" s="110">
        <v>4045</v>
      </c>
      <c r="G401" s="30" t="str">
        <f>VLOOKUP(F401, 'RM &amp; SF'!B:C, 2, 0)</f>
        <v>معجون الطماطم 1375 غم*****</v>
      </c>
      <c r="H401" s="89">
        <v>400</v>
      </c>
      <c r="I401" s="30" t="str">
        <f>VLOOKUP(F401, 'RM &amp; SF'!B:H, 4, 0)</f>
        <v>غم</v>
      </c>
      <c r="J401" s="90">
        <f t="shared" si="37"/>
        <v>22.222222222222221</v>
      </c>
      <c r="K401" s="91">
        <f>VLOOKUP(F401, 'RM &amp; SF'!B:H, 7, 0)</f>
        <v>1.3665999999999999E-3</v>
      </c>
      <c r="L401" s="92">
        <f t="shared" si="34"/>
        <v>3.0368888888888886E-2</v>
      </c>
      <c r="M401" s="30" t="s">
        <v>810</v>
      </c>
    </row>
    <row r="402" spans="1:13" ht="14">
      <c r="A402" s="88" t="s">
        <v>2450</v>
      </c>
      <c r="B402" s="219" t="s">
        <v>570</v>
      </c>
      <c r="C402" s="30"/>
      <c r="D402" s="30" t="str">
        <f>VLOOKUP(B402, 'RM &amp; SF'!B:C, 2, 0)</f>
        <v>سلطة تركية</v>
      </c>
      <c r="E402" s="30" t="s">
        <v>2295</v>
      </c>
      <c r="F402" s="110">
        <v>4795</v>
      </c>
      <c r="G402" s="30" t="str">
        <f>VLOOKUP(F402, 'RM &amp; SF'!B:C, 2, 0)</f>
        <v>دبس فليفلة حلوة 650 غم*****</v>
      </c>
      <c r="H402" s="89">
        <v>400</v>
      </c>
      <c r="I402" s="30" t="str">
        <f>VLOOKUP(F402, 'RM &amp; SF'!B:H, 4, 0)</f>
        <v>غم</v>
      </c>
      <c r="J402" s="90">
        <f t="shared" si="37"/>
        <v>22.222222222222221</v>
      </c>
      <c r="K402" s="91">
        <f>VLOOKUP(F402, 'RM &amp; SF'!B:H, 7, 0)</f>
        <v>3.5918E-3</v>
      </c>
      <c r="L402" s="92">
        <f t="shared" si="34"/>
        <v>7.9817777777777779E-2</v>
      </c>
      <c r="M402" s="30" t="s">
        <v>810</v>
      </c>
    </row>
    <row r="403" spans="1:13" ht="14">
      <c r="A403" s="88" t="s">
        <v>2450</v>
      </c>
      <c r="B403" s="219" t="s">
        <v>570</v>
      </c>
      <c r="C403" s="30"/>
      <c r="D403" s="30" t="str">
        <f>VLOOKUP(B403, 'RM &amp; SF'!B:C, 2, 0)</f>
        <v>سلطة تركية</v>
      </c>
      <c r="E403" s="30" t="s">
        <v>2268</v>
      </c>
      <c r="F403" s="110">
        <v>4010</v>
      </c>
      <c r="G403" s="30" t="str">
        <f>VLOOKUP(F403, 'RM &amp; SF'!B:C, 2, 0)</f>
        <v>*****سويت شيلي صوص 5 لتر</v>
      </c>
      <c r="H403" s="89">
        <v>1000</v>
      </c>
      <c r="I403" s="30" t="str">
        <f>VLOOKUP(F403, 'RM &amp; SF'!B:H, 4, 0)</f>
        <v>غم</v>
      </c>
      <c r="J403" s="90">
        <f t="shared" si="37"/>
        <v>55.555555555555557</v>
      </c>
      <c r="K403" s="91">
        <f>VLOOKUP(F403, 'RM &amp; SF'!B:H, 7, 0)</f>
        <v>3.2040000000000003E-3</v>
      </c>
      <c r="L403" s="92">
        <f t="shared" si="34"/>
        <v>0.17800000000000002</v>
      </c>
      <c r="M403" s="30" t="s">
        <v>810</v>
      </c>
    </row>
    <row r="404" spans="1:13" ht="14">
      <c r="A404" s="88" t="s">
        <v>2450</v>
      </c>
      <c r="B404" s="219" t="s">
        <v>570</v>
      </c>
      <c r="C404" s="30"/>
      <c r="D404" s="30" t="str">
        <f>VLOOKUP(B404, 'RM &amp; SF'!B:C, 2, 0)</f>
        <v>سلطة تركية</v>
      </c>
      <c r="E404" s="30" t="s">
        <v>3058</v>
      </c>
      <c r="F404" s="110">
        <v>4036</v>
      </c>
      <c r="G404" s="30" t="str">
        <f>VLOOKUP(F404, 'RM &amp; SF'!B:C, 2, 0)</f>
        <v>تشيلي صوص سيراتشا 740 مل*****</v>
      </c>
      <c r="H404" s="89">
        <v>100</v>
      </c>
      <c r="I404" s="30" t="str">
        <f>VLOOKUP(F404, 'RM &amp; SF'!B:H, 4, 0)</f>
        <v>مل</v>
      </c>
      <c r="J404" s="90">
        <f t="shared" si="37"/>
        <v>5.5555555555555554</v>
      </c>
      <c r="K404" s="91">
        <f>VLOOKUP(F404, 'RM &amp; SF'!B:H, 7, 0)</f>
        <v>4.6598322460391431E-3</v>
      </c>
      <c r="L404" s="92">
        <f t="shared" si="34"/>
        <v>2.5887956922439684E-2</v>
      </c>
      <c r="M404" s="30" t="s">
        <v>810</v>
      </c>
    </row>
    <row r="405" spans="1:13" ht="14">
      <c r="A405" s="88" t="s">
        <v>2450</v>
      </c>
      <c r="B405" s="219" t="s">
        <v>570</v>
      </c>
      <c r="C405" s="30"/>
      <c r="D405" s="30" t="str">
        <f>VLOOKUP(B405, 'RM &amp; SF'!B:C, 2, 0)</f>
        <v>سلطة تركية</v>
      </c>
      <c r="E405" s="30" t="s">
        <v>2259</v>
      </c>
      <c r="F405" s="110">
        <v>4159</v>
      </c>
      <c r="G405" s="30" t="str">
        <f>VLOOKUP(F405, 'RM &amp; SF'!B:C, 2, 0)</f>
        <v>زيت زيتون 16 كغ*****</v>
      </c>
      <c r="H405" s="89">
        <v>300</v>
      </c>
      <c r="I405" s="30" t="str">
        <f>VLOOKUP(F405, 'RM &amp; SF'!B:H, 4, 0)</f>
        <v>غم</v>
      </c>
      <c r="J405" s="90">
        <f t="shared" si="37"/>
        <v>16.666666666666668</v>
      </c>
      <c r="K405" s="91">
        <f>VLOOKUP(F405, 'RM &amp; SF'!B:H, 7, 0)</f>
        <v>7.4999999999999997E-3</v>
      </c>
      <c r="L405" s="92">
        <f t="shared" si="34"/>
        <v>0.125</v>
      </c>
      <c r="M405" s="30" t="s">
        <v>810</v>
      </c>
    </row>
    <row r="406" spans="1:13" ht="14">
      <c r="A406" s="88" t="s">
        <v>2450</v>
      </c>
      <c r="B406" s="219" t="s">
        <v>570</v>
      </c>
      <c r="C406" s="30"/>
      <c r="D406" s="30" t="str">
        <f>VLOOKUP(B406, 'RM &amp; SF'!B:C, 2, 0)</f>
        <v>سلطة تركية</v>
      </c>
      <c r="E406" s="30" t="s">
        <v>2208</v>
      </c>
      <c r="F406" s="110">
        <v>4211</v>
      </c>
      <c r="G406" s="30" t="str">
        <f>VLOOKUP(F406, 'RM &amp; SF'!B:C, 2, 0)</f>
        <v>كزبرة ناعمة*****</v>
      </c>
      <c r="H406" s="89">
        <v>75</v>
      </c>
      <c r="I406" s="30" t="str">
        <f>VLOOKUP(F406, 'RM &amp; SF'!B:H, 4, 0)</f>
        <v>غم</v>
      </c>
      <c r="J406" s="90">
        <f t="shared" si="37"/>
        <v>4.166666666666667</v>
      </c>
      <c r="K406" s="91">
        <f>VLOOKUP(F406, 'RM &amp; SF'!B:H, 7, 0)</f>
        <v>1.5089999999999999E-3</v>
      </c>
      <c r="L406" s="92">
        <f t="shared" si="34"/>
        <v>6.2875000000000006E-3</v>
      </c>
      <c r="M406" s="30" t="s">
        <v>810</v>
      </c>
    </row>
    <row r="407" spans="1:13" ht="14">
      <c r="A407" s="88" t="s">
        <v>2450</v>
      </c>
      <c r="B407" s="219" t="s">
        <v>570</v>
      </c>
      <c r="C407" s="30"/>
      <c r="D407" s="30" t="str">
        <f>VLOOKUP(B407, 'RM &amp; SF'!B:C, 2, 0)</f>
        <v>سلطة تركية</v>
      </c>
      <c r="E407" s="30" t="s">
        <v>3058</v>
      </c>
      <c r="F407" s="110">
        <v>4222</v>
      </c>
      <c r="G407" s="30" t="str">
        <f>VLOOKUP(F407, 'RM &amp; SF'!B:C, 2, 0)</f>
        <v>كمون ناعم*****</v>
      </c>
      <c r="H407" s="89">
        <v>20</v>
      </c>
      <c r="I407" s="30" t="str">
        <f>VLOOKUP(F407, 'RM &amp; SF'!B:H, 4, 0)</f>
        <v>غم</v>
      </c>
      <c r="J407" s="90">
        <f t="shared" si="37"/>
        <v>1.1111111111111112</v>
      </c>
      <c r="K407" s="91">
        <f>VLOOKUP(F407, 'RM &amp; SF'!B:H, 7, 0)</f>
        <v>3.2330000000000002E-3</v>
      </c>
      <c r="L407" s="92">
        <f t="shared" si="34"/>
        <v>3.5922222222222228E-3</v>
      </c>
      <c r="M407" s="30" t="s">
        <v>810</v>
      </c>
    </row>
    <row r="408" spans="1:13" ht="14">
      <c r="A408" s="88" t="s">
        <v>2434</v>
      </c>
      <c r="B408" s="219" t="s">
        <v>574</v>
      </c>
      <c r="C408" s="30"/>
      <c r="D408" s="30" t="str">
        <f>VLOOKUP(B408, 'RM &amp; SF'!B:C, 2, 0)</f>
        <v>صوص بندورة</v>
      </c>
      <c r="E408" s="30" t="s">
        <v>2309</v>
      </c>
      <c r="F408" s="110">
        <v>4491</v>
      </c>
      <c r="G408" s="30" t="str">
        <f>VLOOKUP(F408, 'RM &amp; SF'!B:C, 2, 0)</f>
        <v>بندورة جامدة*****</v>
      </c>
      <c r="H408" s="89">
        <v>3000</v>
      </c>
      <c r="I408" s="30" t="str">
        <f>VLOOKUP(F408, 'RM &amp; SF'!B:H, 4, 0)</f>
        <v>غم</v>
      </c>
      <c r="J408" s="90">
        <f t="shared" ref="J408:J416" si="38">H408/3.3</f>
        <v>909.09090909090912</v>
      </c>
      <c r="K408" s="91">
        <f>VLOOKUP(F408, 'RM &amp; SF'!B:H, 7, 0)</f>
        <v>5.0000000000000001E-4</v>
      </c>
      <c r="L408" s="92">
        <f t="shared" si="34"/>
        <v>0.45454545454545459</v>
      </c>
      <c r="M408" s="30" t="s">
        <v>810</v>
      </c>
    </row>
    <row r="409" spans="1:13" ht="14">
      <c r="A409" s="88" t="s">
        <v>2434</v>
      </c>
      <c r="B409" s="219" t="s">
        <v>574</v>
      </c>
      <c r="C409" s="30"/>
      <c r="D409" s="30" t="str">
        <f>VLOOKUP(B409, 'RM &amp; SF'!B:C, 2, 0)</f>
        <v>صوص بندورة</v>
      </c>
      <c r="E409" s="30" t="s">
        <v>2231</v>
      </c>
      <c r="F409" s="110">
        <v>4499</v>
      </c>
      <c r="G409" s="30" t="str">
        <f>VLOOKUP(F409, 'RM &amp; SF'!B:C, 2, 0)</f>
        <v>فلفل حار اخضر*****</v>
      </c>
      <c r="H409" s="89">
        <v>200</v>
      </c>
      <c r="I409" s="30" t="str">
        <f>VLOOKUP(F409, 'RM &amp; SF'!B:H, 4, 0)</f>
        <v>غم</v>
      </c>
      <c r="J409" s="90">
        <f t="shared" si="38"/>
        <v>60.606060606060609</v>
      </c>
      <c r="K409" s="91">
        <f>VLOOKUP(F409, 'RM &amp; SF'!B:H, 7, 0)</f>
        <v>5.0000000000000001E-4</v>
      </c>
      <c r="L409" s="92">
        <f t="shared" si="34"/>
        <v>3.0303030303030304E-2</v>
      </c>
      <c r="M409" s="30" t="s">
        <v>810</v>
      </c>
    </row>
    <row r="410" spans="1:13" ht="14">
      <c r="A410" s="88" t="s">
        <v>2434</v>
      </c>
      <c r="B410" s="219" t="s">
        <v>574</v>
      </c>
      <c r="C410" s="30"/>
      <c r="D410" s="30" t="str">
        <f>VLOOKUP(B410, 'RM &amp; SF'!B:C, 2, 0)</f>
        <v>صوص بندورة</v>
      </c>
      <c r="E410" s="30" t="s">
        <v>2236</v>
      </c>
      <c r="F410" s="110">
        <v>4505</v>
      </c>
      <c r="G410" s="30" t="str">
        <f>VLOOKUP(F410, 'RM &amp; SF'!B:C, 2, 0)</f>
        <v>ثوم طازج كامل*****</v>
      </c>
      <c r="H410" s="89">
        <v>100</v>
      </c>
      <c r="I410" s="30" t="str">
        <f>VLOOKUP(F410, 'RM &amp; SF'!B:H, 4, 0)</f>
        <v>غم</v>
      </c>
      <c r="J410" s="90">
        <f t="shared" si="38"/>
        <v>30.303030303030305</v>
      </c>
      <c r="K410" s="91">
        <f>VLOOKUP(F410, 'RM &amp; SF'!B:H, 7, 0)</f>
        <v>3.5000000000000001E-3</v>
      </c>
      <c r="L410" s="92">
        <f t="shared" si="34"/>
        <v>0.10606060606060606</v>
      </c>
      <c r="M410" s="30" t="s">
        <v>810</v>
      </c>
    </row>
    <row r="411" spans="1:13" ht="14">
      <c r="A411" s="88" t="s">
        <v>2434</v>
      </c>
      <c r="B411" s="219" t="s">
        <v>574</v>
      </c>
      <c r="C411" s="30"/>
      <c r="D411" s="30" t="str">
        <f>VLOOKUP(B411, 'RM &amp; SF'!B:C, 2, 0)</f>
        <v>صوص بندورة</v>
      </c>
      <c r="E411" s="30" t="s">
        <v>3058</v>
      </c>
      <c r="F411" s="110">
        <v>4045</v>
      </c>
      <c r="G411" s="30" t="str">
        <f>VLOOKUP(F411, 'RM &amp; SF'!B:C, 2, 0)</f>
        <v>معجون الطماطم 1375 غم*****</v>
      </c>
      <c r="H411" s="89">
        <v>500</v>
      </c>
      <c r="I411" s="30" t="str">
        <f>VLOOKUP(F411, 'RM &amp; SF'!B:H, 4, 0)</f>
        <v>غم</v>
      </c>
      <c r="J411" s="90">
        <f t="shared" si="38"/>
        <v>151.51515151515153</v>
      </c>
      <c r="K411" s="91">
        <f>VLOOKUP(F411, 'RM &amp; SF'!B:H, 7, 0)</f>
        <v>1.3665999999999999E-3</v>
      </c>
      <c r="L411" s="92">
        <f t="shared" si="34"/>
        <v>0.20706060606060608</v>
      </c>
      <c r="M411" s="30" t="s">
        <v>810</v>
      </c>
    </row>
    <row r="412" spans="1:13" ht="14">
      <c r="A412" s="88" t="s">
        <v>2434</v>
      </c>
      <c r="B412" s="219" t="s">
        <v>574</v>
      </c>
      <c r="C412" s="30"/>
      <c r="D412" s="30" t="str">
        <f>VLOOKUP(B412, 'RM &amp; SF'!B:C, 2, 0)</f>
        <v>صوص بندورة</v>
      </c>
      <c r="E412" s="30" t="s">
        <v>2206</v>
      </c>
      <c r="F412" s="110">
        <v>4204</v>
      </c>
      <c r="G412" s="30" t="str">
        <f>VLOOKUP(F412, 'RM &amp; SF'!B:C, 2, 0)</f>
        <v>فلفل اسود ناعم*****</v>
      </c>
      <c r="H412" s="89">
        <v>25</v>
      </c>
      <c r="I412" s="30" t="str">
        <f>VLOOKUP(F412, 'RM &amp; SF'!B:H, 4, 0)</f>
        <v>غم</v>
      </c>
      <c r="J412" s="90">
        <f t="shared" si="38"/>
        <v>7.5757575757575761</v>
      </c>
      <c r="K412" s="91">
        <f>VLOOKUP(F412, 'RM &amp; SF'!B:H, 7, 0)</f>
        <v>6.8970000000000004E-3</v>
      </c>
      <c r="L412" s="92">
        <f t="shared" si="34"/>
        <v>5.2250000000000005E-2</v>
      </c>
      <c r="M412" s="30" t="s">
        <v>810</v>
      </c>
    </row>
    <row r="413" spans="1:13" ht="14">
      <c r="A413" s="88" t="s">
        <v>2434</v>
      </c>
      <c r="B413" s="219" t="s">
        <v>574</v>
      </c>
      <c r="C413" s="30"/>
      <c r="D413" s="30" t="str">
        <f>VLOOKUP(B413, 'RM &amp; SF'!B:C, 2, 0)</f>
        <v>صوص بندورة</v>
      </c>
      <c r="E413" s="30" t="s">
        <v>2260</v>
      </c>
      <c r="F413" s="110">
        <v>4160</v>
      </c>
      <c r="G413" s="30" t="str">
        <f>VLOOKUP(F413, 'RM &amp; SF'!B:C, 2, 0)</f>
        <v>زيت صويا 18 لتر*****</v>
      </c>
      <c r="H413" s="89">
        <v>50</v>
      </c>
      <c r="I413" s="30" t="str">
        <f>VLOOKUP(F413, 'RM &amp; SF'!B:H, 4, 0)</f>
        <v>مل</v>
      </c>
      <c r="J413" s="90">
        <f t="shared" si="38"/>
        <v>15.151515151515152</v>
      </c>
      <c r="K413" s="91">
        <f>VLOOKUP(F413, 'RM &amp; SF'!B:H, 7, 0)</f>
        <v>1.335E-3</v>
      </c>
      <c r="L413" s="92">
        <f t="shared" si="34"/>
        <v>2.0227272727272729E-2</v>
      </c>
      <c r="M413" s="30" t="s">
        <v>810</v>
      </c>
    </row>
    <row r="414" spans="1:13" ht="14">
      <c r="A414" s="88" t="s">
        <v>2434</v>
      </c>
      <c r="B414" s="219" t="s">
        <v>574</v>
      </c>
      <c r="C414" s="30"/>
      <c r="D414" s="30" t="str">
        <f>VLOOKUP(B414, 'RM &amp; SF'!B:C, 2, 0)</f>
        <v>صوص بندورة</v>
      </c>
      <c r="E414" s="30" t="s">
        <v>2259</v>
      </c>
      <c r="F414" s="110">
        <v>4159</v>
      </c>
      <c r="G414" s="30" t="str">
        <f>VLOOKUP(F414, 'RM &amp; SF'!B:C, 2, 0)</f>
        <v>زيت زيتون 16 كغ*****</v>
      </c>
      <c r="H414" s="89">
        <v>100</v>
      </c>
      <c r="I414" s="30" t="str">
        <f>VLOOKUP(F414, 'RM &amp; SF'!B:H, 4, 0)</f>
        <v>غم</v>
      </c>
      <c r="J414" s="90">
        <f t="shared" si="38"/>
        <v>30.303030303030305</v>
      </c>
      <c r="K414" s="91">
        <f>VLOOKUP(F414, 'RM &amp; SF'!B:H, 7, 0)</f>
        <v>7.4999999999999997E-3</v>
      </c>
      <c r="L414" s="92">
        <f t="shared" si="34"/>
        <v>0.22727272727272727</v>
      </c>
      <c r="M414" s="30" t="s">
        <v>810</v>
      </c>
    </row>
    <row r="415" spans="1:13" ht="14">
      <c r="A415" s="88" t="s">
        <v>2434</v>
      </c>
      <c r="B415" s="219" t="s">
        <v>574</v>
      </c>
      <c r="C415" s="30"/>
      <c r="D415" s="30" t="str">
        <f>VLOOKUP(B415, 'RM &amp; SF'!B:C, 2, 0)</f>
        <v>صوص بندورة</v>
      </c>
      <c r="E415" s="30" t="s">
        <v>2203</v>
      </c>
      <c r="F415" s="110">
        <v>4152</v>
      </c>
      <c r="G415" s="30" t="str">
        <f>VLOOKUP(F415, 'RM &amp; SF'!B:C, 2, 0)</f>
        <v>ملح طعام 750غم*****</v>
      </c>
      <c r="H415" s="89">
        <v>25</v>
      </c>
      <c r="I415" s="30" t="str">
        <f>VLOOKUP(F415, 'RM &amp; SF'!B:H, 4, 0)</f>
        <v>غم</v>
      </c>
      <c r="J415" s="90">
        <f t="shared" si="38"/>
        <v>7.5757575757575761</v>
      </c>
      <c r="K415" s="91">
        <f>VLOOKUP(F415, 'RM &amp; SF'!B:H, 7, 0)</f>
        <v>1.7066666666666665E-4</v>
      </c>
      <c r="L415" s="92">
        <f t="shared" si="34"/>
        <v>1.292929292929293E-3</v>
      </c>
      <c r="M415" s="30" t="s">
        <v>810</v>
      </c>
    </row>
    <row r="416" spans="1:13" ht="14">
      <c r="A416" s="88" t="s">
        <v>2434</v>
      </c>
      <c r="B416" s="219" t="s">
        <v>574</v>
      </c>
      <c r="C416" s="30"/>
      <c r="D416" s="30" t="str">
        <f>VLOOKUP(B416, 'RM &amp; SF'!B:C, 2, 0)</f>
        <v>صوص بندورة</v>
      </c>
      <c r="E416" s="30" t="s">
        <v>3058</v>
      </c>
      <c r="F416" s="110">
        <v>4022</v>
      </c>
      <c r="G416" s="30" t="str">
        <f>VLOOKUP(F416, 'RM &amp; SF'!B:C, 2, 0)</f>
        <v>مرق الدجاج بودرة 1 كغ*****</v>
      </c>
      <c r="H416" s="89">
        <v>25</v>
      </c>
      <c r="I416" s="30" t="str">
        <f>VLOOKUP(F416, 'RM &amp; SF'!B:H, 4, 0)</f>
        <v>غم</v>
      </c>
      <c r="J416" s="90">
        <f t="shared" si="38"/>
        <v>7.5757575757575761</v>
      </c>
      <c r="K416" s="91">
        <f>VLOOKUP(F416, 'RM &amp; SF'!B:H, 7, 0)</f>
        <v>4.7054597701149427E-3</v>
      </c>
      <c r="L416" s="92">
        <f t="shared" si="34"/>
        <v>3.564742250087078E-2</v>
      </c>
      <c r="M416" s="30" t="s">
        <v>810</v>
      </c>
    </row>
    <row r="417" spans="1:16" ht="14">
      <c r="A417" s="88" t="s">
        <v>2429</v>
      </c>
      <c r="B417" s="219" t="s">
        <v>610</v>
      </c>
      <c r="C417" s="30"/>
      <c r="D417" s="30" t="str">
        <f>VLOOKUP(B417, 'RM &amp; SF'!B:C, 2, 0)</f>
        <v>كباب الساندويش</v>
      </c>
      <c r="E417" s="30" t="s">
        <v>2317</v>
      </c>
      <c r="F417" s="110">
        <v>4601</v>
      </c>
      <c r="G417" s="30" t="str">
        <f>VLOOKUP(F417, 'RM &amp; SF'!B:C, 2, 0)</f>
        <v>نتر خروف*****</v>
      </c>
      <c r="H417" s="89">
        <v>5550</v>
      </c>
      <c r="I417" s="30" t="str">
        <f>VLOOKUP(F417, 'RM &amp; SF'!B:H, 4, 0)</f>
        <v>غم</v>
      </c>
      <c r="J417" s="90">
        <f>H417/11.1</f>
        <v>500</v>
      </c>
      <c r="K417" s="91">
        <f>VLOOKUP(F417, 'RM &amp; SF'!B:H, 7, 0)</f>
        <v>3.0000000000000001E-3</v>
      </c>
      <c r="L417" s="92">
        <f t="shared" si="34"/>
        <v>1.5</v>
      </c>
      <c r="M417" s="30" t="s">
        <v>810</v>
      </c>
    </row>
    <row r="418" spans="1:16" ht="14">
      <c r="A418" s="88" t="s">
        <v>2429</v>
      </c>
      <c r="B418" s="219" t="s">
        <v>610</v>
      </c>
      <c r="C418" s="30"/>
      <c r="D418" s="30" t="str">
        <f>VLOOKUP(B418, 'RM &amp; SF'!B:C, 2, 0)</f>
        <v>كباب الساندويش</v>
      </c>
      <c r="E418" s="30" t="s">
        <v>3058</v>
      </c>
      <c r="F418" s="110">
        <v>5373</v>
      </c>
      <c r="G418" s="30" t="str">
        <f>VLOOKUP(F418, 'RM &amp; SF'!B:C, 2, 0)</f>
        <v>قطعيات عجل مشكلة</v>
      </c>
      <c r="H418" s="89">
        <v>5550</v>
      </c>
      <c r="I418" s="30" t="str">
        <f>VLOOKUP(F418, 'RM &amp; SF'!B:H, 4, 0)</f>
        <v>غم</v>
      </c>
      <c r="J418" s="90">
        <f>H418/11.1</f>
        <v>500</v>
      </c>
      <c r="K418" s="91">
        <f>VLOOKUP(F418, 'RM &amp; SF'!B:H, 7, 0)</f>
        <v>9.0100000000000006E-3</v>
      </c>
      <c r="L418" s="92">
        <f t="shared" si="34"/>
        <v>4.5049999999999999</v>
      </c>
      <c r="M418" s="30" t="s">
        <v>810</v>
      </c>
    </row>
    <row r="419" spans="1:16" ht="14">
      <c r="A419" s="88" t="s">
        <v>2429</v>
      </c>
      <c r="B419" s="219" t="s">
        <v>610</v>
      </c>
      <c r="C419" s="30"/>
      <c r="D419" s="30" t="str">
        <f>VLOOKUP(B419, 'RM &amp; SF'!B:C, 2, 0)</f>
        <v>كباب الساندويش</v>
      </c>
      <c r="E419" s="30" t="s">
        <v>2203</v>
      </c>
      <c r="F419" s="110">
        <v>4152</v>
      </c>
      <c r="G419" s="30" t="str">
        <f>VLOOKUP(F419, 'RM &amp; SF'!B:C, 2, 0)</f>
        <v>ملح طعام 750غم*****</v>
      </c>
      <c r="H419" s="89">
        <v>100</v>
      </c>
      <c r="I419" s="30" t="str">
        <f>VLOOKUP(F419, 'RM &amp; SF'!B:H, 4, 0)</f>
        <v>غم</v>
      </c>
      <c r="J419" s="90">
        <f>H419/11.1</f>
        <v>9.0090090090090094</v>
      </c>
      <c r="K419" s="91">
        <f>VLOOKUP(F419, 'RM &amp; SF'!B:H, 7, 0)</f>
        <v>1.7066666666666665E-4</v>
      </c>
      <c r="L419" s="92">
        <f t="shared" si="34"/>
        <v>1.5375375375375375E-3</v>
      </c>
      <c r="M419" s="30" t="s">
        <v>810</v>
      </c>
    </row>
    <row r="420" spans="1:16" ht="14">
      <c r="A420" s="88" t="s">
        <v>2429</v>
      </c>
      <c r="B420" s="219" t="s">
        <v>610</v>
      </c>
      <c r="C420" s="30"/>
      <c r="D420" s="30" t="str">
        <f>VLOOKUP(B420, 'RM &amp; SF'!B:C, 2, 0)</f>
        <v>كباب الساندويش</v>
      </c>
      <c r="E420" s="30" t="s">
        <v>2209</v>
      </c>
      <c r="F420" s="110">
        <v>4546</v>
      </c>
      <c r="G420" s="30" t="str">
        <f>VLOOKUP(F420, 'RM &amp; SF'!B:C, 2, 0)</f>
        <v>كزبرة*****</v>
      </c>
      <c r="H420" s="89">
        <v>1</v>
      </c>
      <c r="I420" s="30" t="str">
        <f>VLOOKUP(F420, 'RM &amp; SF'!B:H, 4, 0)</f>
        <v>قطعة</v>
      </c>
      <c r="J420" s="90">
        <f>H420/11.1</f>
        <v>9.00900900900901E-2</v>
      </c>
      <c r="K420" s="91">
        <f>VLOOKUP(F420, 'RM &amp; SF'!B:H, 7, 0)</f>
        <v>1E-3</v>
      </c>
      <c r="L420" s="92">
        <f t="shared" si="34"/>
        <v>9.0090090090090105E-5</v>
      </c>
      <c r="M420" s="30" t="s">
        <v>810</v>
      </c>
    </row>
    <row r="421" spans="1:16" ht="14">
      <c r="A421" s="88" t="s">
        <v>2429</v>
      </c>
      <c r="B421" s="219" t="s">
        <v>610</v>
      </c>
      <c r="C421" s="30"/>
      <c r="D421" s="30" t="str">
        <f>VLOOKUP(B421, 'RM &amp; SF'!B:C, 2, 0)</f>
        <v>كباب الساندويش</v>
      </c>
      <c r="E421" s="30" t="s">
        <v>2251</v>
      </c>
      <c r="F421" s="110">
        <v>4544</v>
      </c>
      <c r="G421" s="30" t="str">
        <f>VLOOKUP(F421, 'RM &amp; SF'!B:C, 2, 0)</f>
        <v>بقدونس*****</v>
      </c>
      <c r="H421" s="89">
        <v>0.75</v>
      </c>
      <c r="I421" s="30" t="str">
        <f>VLOOKUP(F421, 'RM &amp; SF'!B:H, 4, 0)</f>
        <v>غم</v>
      </c>
      <c r="J421" s="90">
        <f>H421/11.1</f>
        <v>6.7567567567567571E-2</v>
      </c>
      <c r="K421" s="91">
        <f>VLOOKUP(F421, 'RM &amp; SF'!B:H, 7, 0)</f>
        <v>7.5000000000000002E-4</v>
      </c>
      <c r="L421" s="92">
        <f t="shared" si="34"/>
        <v>5.067567567567568E-5</v>
      </c>
      <c r="M421" s="30" t="s">
        <v>810</v>
      </c>
    </row>
    <row r="422" spans="1:16" ht="14">
      <c r="A422" s="88" t="s">
        <v>2431</v>
      </c>
      <c r="B422" s="219" t="s">
        <v>552</v>
      </c>
      <c r="C422" s="30"/>
      <c r="D422" s="30" t="str">
        <f>VLOOKUP(B422, 'RM &amp; SF'!B:C, 2, 0)</f>
        <v xml:space="preserve">لبن </v>
      </c>
      <c r="E422" s="30" t="s">
        <v>3058</v>
      </c>
      <c r="F422" s="110" t="s">
        <v>1948</v>
      </c>
      <c r="G422" s="30" t="str">
        <f>VLOOKUP(F422, 'RM &amp; SF'!B:C, 2, 0)</f>
        <v>كسرة جميد</v>
      </c>
      <c r="H422" s="89">
        <v>15000</v>
      </c>
      <c r="I422" s="30" t="str">
        <f>VLOOKUP(F422, 'RM &amp; SF'!B:H, 4, 0)</f>
        <v>غم</v>
      </c>
      <c r="J422" s="90">
        <f>H422/56.5</f>
        <v>265.48672566371681</v>
      </c>
      <c r="K422" s="91">
        <f>VLOOKUP(F422, 'RM &amp; SF'!B:H, 7, 0)</f>
        <v>8.9999999999999998E-4</v>
      </c>
      <c r="L422" s="92">
        <f t="shared" si="34"/>
        <v>0.23893805309734512</v>
      </c>
      <c r="M422" s="30" t="s">
        <v>810</v>
      </c>
    </row>
    <row r="423" spans="1:16" ht="14">
      <c r="A423" s="88" t="s">
        <v>2431</v>
      </c>
      <c r="B423" s="219" t="s">
        <v>552</v>
      </c>
      <c r="C423" s="30"/>
      <c r="D423" s="30" t="str">
        <f>VLOOKUP(B423, 'RM &amp; SF'!B:C, 2, 0)</f>
        <v xml:space="preserve">لبن </v>
      </c>
      <c r="E423" s="30" t="s">
        <v>2180</v>
      </c>
      <c r="F423" s="110">
        <v>4791</v>
      </c>
      <c r="G423" s="30" t="str">
        <f>VLOOKUP(F423, 'RM &amp; SF'!B:C, 2, 0)</f>
        <v>سمنة بلدية 5 كغ*****</v>
      </c>
      <c r="H423" s="89">
        <v>120</v>
      </c>
      <c r="I423" s="30" t="str">
        <f>VLOOKUP(F423, 'RM &amp; SF'!B:H, 4, 0)</f>
        <v>غم</v>
      </c>
      <c r="J423" s="90">
        <f>H423/56.5</f>
        <v>2.1238938053097347</v>
      </c>
      <c r="K423" s="91">
        <f>VLOOKUP(F423, 'RM &amp; SF'!B:H, 7, 0)</f>
        <v>8.3330000000000001E-3</v>
      </c>
      <c r="L423" s="92">
        <f t="shared" si="34"/>
        <v>1.7698407079646018E-2</v>
      </c>
      <c r="M423" s="30" t="s">
        <v>810</v>
      </c>
    </row>
    <row r="424" spans="1:16" ht="14">
      <c r="A424" s="88" t="s">
        <v>2431</v>
      </c>
      <c r="B424" s="219" t="s">
        <v>552</v>
      </c>
      <c r="C424" s="30"/>
      <c r="D424" s="30" t="str">
        <f>VLOOKUP(B424, 'RM &amp; SF'!B:C, 2, 0)</f>
        <v xml:space="preserve">لبن </v>
      </c>
      <c r="E424" s="30" t="s">
        <v>2171</v>
      </c>
      <c r="F424" s="110">
        <v>4553</v>
      </c>
      <c r="G424" s="30" t="str">
        <f>VLOOKUP(F424, 'RM &amp; SF'!B:C, 2, 0)</f>
        <v>لبن مخيض 18 كغ*****</v>
      </c>
      <c r="H424" s="89">
        <v>45000</v>
      </c>
      <c r="I424" s="30" t="str">
        <f>VLOOKUP(F424, 'RM &amp; SF'!B:H, 4, 0)</f>
        <v>مل</v>
      </c>
      <c r="J424" s="90">
        <f>H424/56.5</f>
        <v>796.46017699115043</v>
      </c>
      <c r="K424" s="91">
        <f>VLOOKUP(F424, 'RM &amp; SF'!B:H, 7, 0)</f>
        <v>4.1999999999999996E-4</v>
      </c>
      <c r="L424" s="92">
        <f t="shared" si="34"/>
        <v>0.33451327433628314</v>
      </c>
      <c r="M424" s="30" t="s">
        <v>810</v>
      </c>
    </row>
    <row r="425" spans="1:16" ht="14">
      <c r="A425" s="88" t="s">
        <v>2431</v>
      </c>
      <c r="B425" s="219" t="s">
        <v>552</v>
      </c>
      <c r="C425" s="30"/>
      <c r="D425" s="30" t="str">
        <f>VLOOKUP(B425, 'RM &amp; SF'!B:C, 2, 0)</f>
        <v xml:space="preserve">لبن </v>
      </c>
      <c r="E425" s="30" t="s">
        <v>3058</v>
      </c>
      <c r="F425" s="110">
        <v>1221</v>
      </c>
      <c r="G425" s="30" t="str">
        <f>VLOOKUP(F425, 'RM &amp; SF'!B:C, 2, 0)</f>
        <v>مرقة لحم</v>
      </c>
      <c r="H425" s="89">
        <v>5000</v>
      </c>
      <c r="I425" s="30" t="str">
        <f>VLOOKUP(F425, 'RM &amp; SF'!B:H, 4, 0)</f>
        <v>غم</v>
      </c>
      <c r="J425" s="90">
        <f>H425/56.5</f>
        <v>88.495575221238937</v>
      </c>
      <c r="K425" s="91">
        <f>VLOOKUP(F425, 'RM &amp; SF'!B:H, 7, 0)</f>
        <v>0</v>
      </c>
      <c r="L425" s="92">
        <f t="shared" si="34"/>
        <v>0</v>
      </c>
      <c r="M425" s="30" t="s">
        <v>810</v>
      </c>
    </row>
    <row r="426" spans="1:16" ht="14">
      <c r="A426" s="88" t="s">
        <v>3182</v>
      </c>
      <c r="B426" s="188" t="s">
        <v>1948</v>
      </c>
      <c r="C426" s="30"/>
      <c r="D426" s="30" t="str">
        <f>VLOOKUP(B426, 'RM &amp; SF'!B:C, 2, 0)</f>
        <v>كسرة جميد</v>
      </c>
      <c r="E426" s="30" t="s">
        <v>3058</v>
      </c>
      <c r="F426" s="110">
        <v>4148</v>
      </c>
      <c r="G426" s="30" t="str">
        <f>VLOOKUP(F426, 'RM &amp; SF'!B:C, 2, 0)</f>
        <v>جميد بلدي*****</v>
      </c>
      <c r="H426" s="89">
        <v>30000</v>
      </c>
      <c r="I426" s="30" t="str">
        <f>VLOOKUP(F426, 'RM &amp; SF'!B:H, 4, 0)</f>
        <v>غم</v>
      </c>
      <c r="J426" s="90">
        <f>H426/100</f>
        <v>300</v>
      </c>
      <c r="K426" s="91">
        <f>VLOOKUP(F426, 'RM &amp; SF'!B:H, 7, 0)</f>
        <v>3.0000000000000001E-3</v>
      </c>
      <c r="L426" s="92">
        <f t="shared" si="34"/>
        <v>0.9</v>
      </c>
      <c r="M426" s="30" t="s">
        <v>810</v>
      </c>
      <c r="P426" s="88" t="s">
        <v>2156</v>
      </c>
    </row>
    <row r="427" spans="1:16" ht="14">
      <c r="A427" s="88" t="s">
        <v>3182</v>
      </c>
      <c r="B427" s="188" t="s">
        <v>1948</v>
      </c>
      <c r="C427" s="30"/>
      <c r="D427" s="30" t="str">
        <f>VLOOKUP(B427, 'RM &amp; SF'!B:C, 2, 0)</f>
        <v>كسرة جميد</v>
      </c>
      <c r="E427" s="30" t="s">
        <v>3058</v>
      </c>
      <c r="F427" s="110">
        <v>3</v>
      </c>
      <c r="G427" s="30" t="str">
        <f>VLOOKUP(F427, 'RM &amp; SF'!B:C, 2, 0)</f>
        <v>مياه حنفية</v>
      </c>
      <c r="H427" s="89">
        <v>70000</v>
      </c>
      <c r="I427" s="30" t="str">
        <f>VLOOKUP(F427, 'RM &amp; SF'!B:H, 4, 0)</f>
        <v>مل</v>
      </c>
      <c r="J427" s="90">
        <f>H427/100</f>
        <v>700</v>
      </c>
      <c r="K427" s="91">
        <f>VLOOKUP(F427, 'RM &amp; SF'!B:H, 7, 0)</f>
        <v>0</v>
      </c>
      <c r="L427" s="92">
        <f t="shared" si="34"/>
        <v>0</v>
      </c>
      <c r="M427" s="30" t="s">
        <v>810</v>
      </c>
      <c r="P427" s="88" t="s">
        <v>2156</v>
      </c>
    </row>
    <row r="428" spans="1:16" ht="14">
      <c r="A428" s="88" t="s">
        <v>2326</v>
      </c>
      <c r="B428" s="219" t="s">
        <v>576</v>
      </c>
      <c r="C428" s="30"/>
      <c r="D428" s="30" t="str">
        <f>VLOOKUP(B428, 'RM &amp; SF'!B:C, 2, 0)</f>
        <v>حشوة مسخن</v>
      </c>
      <c r="E428" s="30" t="s">
        <v>2234</v>
      </c>
      <c r="F428" s="110">
        <v>4503</v>
      </c>
      <c r="G428" s="30" t="str">
        <f>VLOOKUP(F428, 'RM &amp; SF'!B:C, 2, 0)</f>
        <v>بصل ناشف دفش*****</v>
      </c>
      <c r="H428" s="89">
        <v>5000</v>
      </c>
      <c r="I428" s="30" t="str">
        <f>VLOOKUP(F428, 'RM &amp; SF'!B:H, 4, 0)</f>
        <v>غم</v>
      </c>
      <c r="J428" s="90">
        <f t="shared" ref="J428:J437" si="39">H428/7</f>
        <v>714.28571428571433</v>
      </c>
      <c r="K428" s="91">
        <f>VLOOKUP(F428, 'RM &amp; SF'!B:H, 7, 0)</f>
        <v>2.5000000000000001E-4</v>
      </c>
      <c r="L428" s="92">
        <f t="shared" ref="L428:L492" si="40">K428*J428</f>
        <v>0.17857142857142858</v>
      </c>
      <c r="M428" s="30" t="s">
        <v>810</v>
      </c>
    </row>
    <row r="429" spans="1:16" ht="14">
      <c r="A429" s="88" t="s">
        <v>2326</v>
      </c>
      <c r="B429" s="219" t="s">
        <v>576</v>
      </c>
      <c r="C429" s="30"/>
      <c r="D429" s="30" t="str">
        <f>VLOOKUP(B429, 'RM &amp; SF'!B:C, 2, 0)</f>
        <v>حشوة مسخن</v>
      </c>
      <c r="E429" s="30" t="s">
        <v>3058</v>
      </c>
      <c r="F429" s="110">
        <v>4577</v>
      </c>
      <c r="G429" s="30" t="str">
        <f>VLOOKUP(F429, 'RM &amp; SF'!B:C, 2, 0)</f>
        <v>دجاج حب مع رقبة طازج للمشاغل 1100-1400غم*****</v>
      </c>
      <c r="H429" s="89">
        <v>1200</v>
      </c>
      <c r="I429" s="30" t="str">
        <f>VLOOKUP(F429, 'RM &amp; SF'!B:H, 4, 0)</f>
        <v>غم</v>
      </c>
      <c r="J429" s="90">
        <f t="shared" si="39"/>
        <v>171.42857142857142</v>
      </c>
      <c r="K429" s="91">
        <f>VLOOKUP(F429, 'RM &amp; SF'!B:H, 7, 0)</f>
        <v>2.3400000000000001E-3</v>
      </c>
      <c r="L429" s="92">
        <f t="shared" si="40"/>
        <v>0.40114285714285713</v>
      </c>
      <c r="M429" s="30" t="s">
        <v>810</v>
      </c>
    </row>
    <row r="430" spans="1:16" ht="14">
      <c r="A430" s="88" t="s">
        <v>2326</v>
      </c>
      <c r="B430" s="219" t="s">
        <v>576</v>
      </c>
      <c r="C430" s="30"/>
      <c r="D430" s="30" t="str">
        <f>VLOOKUP(B430, 'RM &amp; SF'!B:C, 2, 0)</f>
        <v>حشوة مسخن</v>
      </c>
      <c r="E430" s="30" t="s">
        <v>2215</v>
      </c>
      <c r="F430" s="110">
        <v>4224</v>
      </c>
      <c r="G430" s="30" t="str">
        <f>VLOOKUP(F430, 'RM &amp; SF'!B:C, 2, 0)</f>
        <v>سماق*****</v>
      </c>
      <c r="H430" s="89">
        <v>250</v>
      </c>
      <c r="I430" s="30" t="str">
        <f>VLOOKUP(F430, 'RM &amp; SF'!B:H, 4, 0)</f>
        <v>غم</v>
      </c>
      <c r="J430" s="90">
        <f t="shared" si="39"/>
        <v>35.714285714285715</v>
      </c>
      <c r="K430" s="91">
        <f>VLOOKUP(F430, 'RM &amp; SF'!B:H, 7, 0)</f>
        <v>4.3099999999999996E-3</v>
      </c>
      <c r="L430" s="92">
        <f t="shared" si="40"/>
        <v>0.15392857142857141</v>
      </c>
      <c r="M430" s="30" t="s">
        <v>810</v>
      </c>
    </row>
    <row r="431" spans="1:16" ht="14">
      <c r="A431" s="88" t="s">
        <v>2326</v>
      </c>
      <c r="B431" s="219" t="s">
        <v>576</v>
      </c>
      <c r="C431" s="30"/>
      <c r="D431" s="30" t="str">
        <f>VLOOKUP(B431, 'RM &amp; SF'!B:C, 2, 0)</f>
        <v>حشوة مسخن</v>
      </c>
      <c r="E431" s="30" t="s">
        <v>2216</v>
      </c>
      <c r="F431" s="110">
        <v>4230</v>
      </c>
      <c r="G431" s="30" t="str">
        <f>VLOOKUP(F431, 'RM &amp; SF'!B:C, 2, 0)</f>
        <v>ملح ليمون*****</v>
      </c>
      <c r="H431" s="89">
        <v>5</v>
      </c>
      <c r="I431" s="30" t="str">
        <f>VLOOKUP(F431, 'RM &amp; SF'!B:H, 4, 0)</f>
        <v>غم</v>
      </c>
      <c r="J431" s="90">
        <f t="shared" si="39"/>
        <v>0.7142857142857143</v>
      </c>
      <c r="K431" s="91">
        <f>VLOOKUP(F431, 'RM &amp; SF'!B:H, 7, 0)</f>
        <v>1.078E-3</v>
      </c>
      <c r="L431" s="92">
        <f t="shared" si="40"/>
        <v>7.6999999999999996E-4</v>
      </c>
      <c r="M431" s="30" t="s">
        <v>810</v>
      </c>
    </row>
    <row r="432" spans="1:16" ht="14">
      <c r="A432" s="88" t="s">
        <v>2326</v>
      </c>
      <c r="B432" s="219" t="s">
        <v>576</v>
      </c>
      <c r="C432" s="30"/>
      <c r="D432" s="30" t="str">
        <f>VLOOKUP(B432, 'RM &amp; SF'!B:C, 2, 0)</f>
        <v>حشوة مسخن</v>
      </c>
      <c r="E432" s="30" t="s">
        <v>2218</v>
      </c>
      <c r="F432" s="110">
        <v>4233</v>
      </c>
      <c r="G432" s="30" t="str">
        <f>VLOOKUP(F432, 'RM &amp; SF'!B:C, 2, 0)</f>
        <v>هال ناعم*****</v>
      </c>
      <c r="H432" s="89">
        <v>10</v>
      </c>
      <c r="I432" s="30" t="str">
        <f>VLOOKUP(F432, 'RM &amp; SF'!B:H, 4, 0)</f>
        <v>غم</v>
      </c>
      <c r="J432" s="90">
        <f t="shared" si="39"/>
        <v>1.4285714285714286</v>
      </c>
      <c r="K432" s="91">
        <f>VLOOKUP(F432, 'RM &amp; SF'!B:H, 7, 0)</f>
        <v>2.3E-2</v>
      </c>
      <c r="L432" s="92">
        <f t="shared" si="40"/>
        <v>3.2857142857142856E-2</v>
      </c>
      <c r="M432" s="30" t="s">
        <v>810</v>
      </c>
    </row>
    <row r="433" spans="1:16" ht="14">
      <c r="A433" s="88" t="s">
        <v>2326</v>
      </c>
      <c r="B433" s="219" t="s">
        <v>576</v>
      </c>
      <c r="C433" s="30"/>
      <c r="D433" s="30" t="str">
        <f>VLOOKUP(B433, 'RM &amp; SF'!B:C, 2, 0)</f>
        <v>حشوة مسخن</v>
      </c>
      <c r="E433" s="30" t="s">
        <v>2203</v>
      </c>
      <c r="F433" s="110">
        <v>4152</v>
      </c>
      <c r="G433" s="30" t="str">
        <f>VLOOKUP(F433, 'RM &amp; SF'!B:C, 2, 0)</f>
        <v>ملح طعام 750غم*****</v>
      </c>
      <c r="H433" s="89">
        <v>5</v>
      </c>
      <c r="I433" s="30" t="str">
        <f>VLOOKUP(F433, 'RM &amp; SF'!B:H, 4, 0)</f>
        <v>غم</v>
      </c>
      <c r="J433" s="90">
        <f t="shared" si="39"/>
        <v>0.7142857142857143</v>
      </c>
      <c r="K433" s="91">
        <f>VLOOKUP(F433, 'RM &amp; SF'!B:H, 7, 0)</f>
        <v>1.7066666666666665E-4</v>
      </c>
      <c r="L433" s="92">
        <f t="shared" si="40"/>
        <v>1.219047619047619E-4</v>
      </c>
      <c r="M433" s="30" t="s">
        <v>810</v>
      </c>
    </row>
    <row r="434" spans="1:16" ht="14">
      <c r="A434" s="88" t="s">
        <v>2326</v>
      </c>
      <c r="B434" s="219" t="s">
        <v>576</v>
      </c>
      <c r="C434" s="30"/>
      <c r="D434" s="30" t="str">
        <f>VLOOKUP(B434, 'RM &amp; SF'!B:C, 2, 0)</f>
        <v>حشوة مسخن</v>
      </c>
      <c r="E434" s="30" t="s">
        <v>2206</v>
      </c>
      <c r="F434" s="110">
        <v>4204</v>
      </c>
      <c r="G434" s="30" t="str">
        <f>VLOOKUP(F434, 'RM &amp; SF'!B:C, 2, 0)</f>
        <v>فلفل اسود ناعم*****</v>
      </c>
      <c r="H434" s="89">
        <v>5</v>
      </c>
      <c r="I434" s="30" t="str">
        <f>VLOOKUP(F434, 'RM &amp; SF'!B:H, 4, 0)</f>
        <v>غم</v>
      </c>
      <c r="J434" s="90">
        <f t="shared" si="39"/>
        <v>0.7142857142857143</v>
      </c>
      <c r="K434" s="91">
        <f>VLOOKUP(F434, 'RM &amp; SF'!B:H, 7, 0)</f>
        <v>6.8970000000000004E-3</v>
      </c>
      <c r="L434" s="92">
        <f t="shared" si="40"/>
        <v>4.9264285714285721E-3</v>
      </c>
      <c r="M434" s="30" t="s">
        <v>810</v>
      </c>
    </row>
    <row r="435" spans="1:16" ht="14">
      <c r="A435" s="88" t="s">
        <v>2326</v>
      </c>
      <c r="B435" s="219" t="s">
        <v>576</v>
      </c>
      <c r="C435" s="30"/>
      <c r="D435" s="30" t="str">
        <f>VLOOKUP(B435, 'RM &amp; SF'!B:C, 2, 0)</f>
        <v>حشوة مسخن</v>
      </c>
      <c r="E435" s="30" t="s">
        <v>2357</v>
      </c>
      <c r="F435" s="110" t="s">
        <v>744</v>
      </c>
      <c r="G435" s="30" t="str">
        <f>VLOOKUP(F435, 'RM &amp; SF'!B:C, 2, 0)</f>
        <v>زيت زيتون مكسور</v>
      </c>
      <c r="H435" s="89">
        <v>700</v>
      </c>
      <c r="I435" s="30" t="str">
        <f>VLOOKUP(F435, 'RM &amp; SF'!B:H, 4, 0)</f>
        <v>غم</v>
      </c>
      <c r="J435" s="90">
        <f t="shared" si="39"/>
        <v>100</v>
      </c>
      <c r="K435" s="91">
        <f>VLOOKUP(F435, 'RM &amp; SF'!B:H, 7, 0)</f>
        <v>3.3899999999999998E-3</v>
      </c>
      <c r="L435" s="92">
        <f t="shared" si="40"/>
        <v>0.33899999999999997</v>
      </c>
      <c r="M435" s="30" t="s">
        <v>810</v>
      </c>
    </row>
    <row r="436" spans="1:16" ht="14">
      <c r="A436" s="88" t="s">
        <v>2326</v>
      </c>
      <c r="B436" s="219" t="s">
        <v>576</v>
      </c>
      <c r="C436" s="30"/>
      <c r="D436" s="30" t="str">
        <f>VLOOKUP(B436, 'RM &amp; SF'!B:C, 2, 0)</f>
        <v>حشوة مسخن</v>
      </c>
      <c r="E436" s="30" t="s">
        <v>2260</v>
      </c>
      <c r="F436" s="110">
        <v>4160</v>
      </c>
      <c r="G436" s="30" t="str">
        <f>VLOOKUP(F436, 'RM &amp; SF'!B:C, 2, 0)</f>
        <v>زيت صويا 18 لتر*****</v>
      </c>
      <c r="H436" s="89">
        <v>1300</v>
      </c>
      <c r="I436" s="30" t="str">
        <f>VLOOKUP(F436, 'RM &amp; SF'!B:H, 4, 0)</f>
        <v>مل</v>
      </c>
      <c r="J436" s="90">
        <f t="shared" si="39"/>
        <v>185.71428571428572</v>
      </c>
      <c r="K436" s="91">
        <f>VLOOKUP(F436, 'RM &amp; SF'!B:H, 7, 0)</f>
        <v>1.335E-3</v>
      </c>
      <c r="L436" s="92">
        <f t="shared" si="40"/>
        <v>0.24792857142857144</v>
      </c>
      <c r="M436" s="30" t="s">
        <v>810</v>
      </c>
    </row>
    <row r="437" spans="1:16" ht="14">
      <c r="A437" s="88" t="s">
        <v>2326</v>
      </c>
      <c r="B437" s="219" t="s">
        <v>576</v>
      </c>
      <c r="C437" s="30"/>
      <c r="D437" s="30" t="str">
        <f>VLOOKUP(B437, 'RM &amp; SF'!B:C, 2, 0)</f>
        <v>حشوة مسخن</v>
      </c>
      <c r="E437" s="30" t="s">
        <v>2214</v>
      </c>
      <c r="F437" s="110">
        <v>4223</v>
      </c>
      <c r="G437" s="30" t="str">
        <f>VLOOKUP(F437, 'RM &amp; SF'!B:C, 2, 0)</f>
        <v>بهارات كاري*****</v>
      </c>
      <c r="H437" s="89">
        <v>5</v>
      </c>
      <c r="I437" s="30" t="str">
        <f>VLOOKUP(F437, 'RM &amp; SF'!B:H, 4, 0)</f>
        <v>غم</v>
      </c>
      <c r="J437" s="90">
        <f t="shared" si="39"/>
        <v>0.7142857142857143</v>
      </c>
      <c r="K437" s="91">
        <f>VLOOKUP(F437, 'RM &amp; SF'!B:H, 7, 0)</f>
        <v>2.2409999999999999E-3</v>
      </c>
      <c r="L437" s="92">
        <f t="shared" si="40"/>
        <v>1.6007142857142856E-3</v>
      </c>
      <c r="M437" s="30" t="s">
        <v>810</v>
      </c>
    </row>
    <row r="438" spans="1:16" ht="14">
      <c r="A438" s="88" t="s">
        <v>3183</v>
      </c>
      <c r="B438" s="188" t="s">
        <v>556</v>
      </c>
      <c r="C438" s="30"/>
      <c r="D438" s="30" t="str">
        <f>VLOOKUP(B438, 'RM &amp; SF'!B:C, 2, 0)</f>
        <v xml:space="preserve"> كفتة كباب هندي</v>
      </c>
      <c r="E438" s="30" t="s">
        <v>3058</v>
      </c>
      <c r="F438" s="110">
        <v>5373</v>
      </c>
      <c r="G438" s="30" t="str">
        <f>VLOOKUP(F438, 'RM &amp; SF'!B:C, 2, 0)</f>
        <v>قطعيات عجل مشكلة</v>
      </c>
      <c r="H438" s="89">
        <v>1714.2857142857142</v>
      </c>
      <c r="I438" s="30" t="str">
        <f>VLOOKUP(F438, 'RM &amp; SF'!B:H, 4, 0)</f>
        <v>غم</v>
      </c>
      <c r="J438" s="90">
        <f t="shared" ref="J438:J445" si="41">H438/3</f>
        <v>571.42857142857144</v>
      </c>
      <c r="K438" s="91">
        <f>VLOOKUP(F438, 'RM &amp; SF'!B:H, 7, 0)</f>
        <v>9.0100000000000006E-3</v>
      </c>
      <c r="L438" s="92">
        <f t="shared" si="40"/>
        <v>5.1485714285714295</v>
      </c>
      <c r="M438" s="30" t="s">
        <v>810</v>
      </c>
      <c r="P438" s="88" t="s">
        <v>2156</v>
      </c>
    </row>
    <row r="439" spans="1:16" ht="14">
      <c r="A439" s="88" t="s">
        <v>3183</v>
      </c>
      <c r="B439" s="188" t="s">
        <v>556</v>
      </c>
      <c r="C439" s="30"/>
      <c r="D439" s="30" t="str">
        <f>VLOOKUP(B439, 'RM &amp; SF'!B:C, 2, 0)</f>
        <v xml:space="preserve"> كفتة كباب هندي</v>
      </c>
      <c r="E439" s="30" t="s">
        <v>2317</v>
      </c>
      <c r="F439" s="110">
        <v>4601</v>
      </c>
      <c r="G439" s="30" t="str">
        <f>VLOOKUP(F439, 'RM &amp; SF'!B:C, 2, 0)</f>
        <v>نتر خروف*****</v>
      </c>
      <c r="H439" s="89">
        <v>857.14285714285711</v>
      </c>
      <c r="I439" s="30" t="str">
        <f>VLOOKUP(F439, 'RM &amp; SF'!B:H, 4, 0)</f>
        <v>غم</v>
      </c>
      <c r="J439" s="90">
        <f t="shared" si="41"/>
        <v>285.71428571428572</v>
      </c>
      <c r="K439" s="91">
        <f>VLOOKUP(F439, 'RM &amp; SF'!B:H, 7, 0)</f>
        <v>3.0000000000000001E-3</v>
      </c>
      <c r="L439" s="92">
        <f t="shared" si="40"/>
        <v>0.85714285714285721</v>
      </c>
      <c r="M439" s="30" t="s">
        <v>810</v>
      </c>
      <c r="P439" s="88" t="s">
        <v>2156</v>
      </c>
    </row>
    <row r="440" spans="1:16" ht="14">
      <c r="A440" s="88" t="s">
        <v>3183</v>
      </c>
      <c r="B440" s="188" t="s">
        <v>556</v>
      </c>
      <c r="C440" s="30"/>
      <c r="D440" s="30" t="str">
        <f>VLOOKUP(B440, 'RM &amp; SF'!B:C, 2, 0)</f>
        <v xml:space="preserve"> كفتة كباب هندي</v>
      </c>
      <c r="E440" s="30" t="s">
        <v>2234</v>
      </c>
      <c r="F440" s="110">
        <v>4503</v>
      </c>
      <c r="G440" s="30" t="str">
        <f>VLOOKUP(F440, 'RM &amp; SF'!B:C, 2, 0)</f>
        <v>بصل ناشف دفش*****</v>
      </c>
      <c r="H440" s="89">
        <v>257.14285714285711</v>
      </c>
      <c r="I440" s="30" t="str">
        <f>VLOOKUP(F440, 'RM &amp; SF'!B:H, 4, 0)</f>
        <v>غم</v>
      </c>
      <c r="J440" s="90">
        <f t="shared" si="41"/>
        <v>85.714285714285708</v>
      </c>
      <c r="K440" s="91">
        <f>VLOOKUP(F440, 'RM &amp; SF'!B:H, 7, 0)</f>
        <v>2.5000000000000001E-4</v>
      </c>
      <c r="L440" s="92">
        <f t="shared" si="40"/>
        <v>2.1428571428571429E-2</v>
      </c>
      <c r="M440" s="30" t="s">
        <v>810</v>
      </c>
      <c r="P440" s="88" t="s">
        <v>2156</v>
      </c>
    </row>
    <row r="441" spans="1:16" ht="14">
      <c r="A441" s="88" t="s">
        <v>3183</v>
      </c>
      <c r="B441" s="188" t="s">
        <v>556</v>
      </c>
      <c r="C441" s="30"/>
      <c r="D441" s="30" t="str">
        <f>VLOOKUP(B441, 'RM &amp; SF'!B:C, 2, 0)</f>
        <v xml:space="preserve"> كفتة كباب هندي</v>
      </c>
      <c r="E441" s="30" t="s">
        <v>2251</v>
      </c>
      <c r="F441" s="110">
        <v>4544</v>
      </c>
      <c r="G441" s="30" t="str">
        <f>VLOOKUP(F441, 'RM &amp; SF'!B:C, 2, 0)</f>
        <v>بقدونس*****</v>
      </c>
      <c r="H441" s="89">
        <v>0.8571428571428571</v>
      </c>
      <c r="I441" s="30" t="str">
        <f>VLOOKUP(F441, 'RM &amp; SF'!B:H, 4, 0)</f>
        <v>غم</v>
      </c>
      <c r="J441" s="90">
        <f t="shared" si="41"/>
        <v>0.2857142857142857</v>
      </c>
      <c r="K441" s="91">
        <f>VLOOKUP(F441, 'RM &amp; SF'!B:H, 7, 0)</f>
        <v>7.5000000000000002E-4</v>
      </c>
      <c r="L441" s="92">
        <f t="shared" si="40"/>
        <v>2.1428571428571427E-4</v>
      </c>
      <c r="M441" s="30" t="s">
        <v>810</v>
      </c>
      <c r="P441" s="88" t="s">
        <v>2156</v>
      </c>
    </row>
    <row r="442" spans="1:16" ht="14">
      <c r="A442" s="88" t="s">
        <v>3183</v>
      </c>
      <c r="B442" s="188" t="s">
        <v>556</v>
      </c>
      <c r="C442" s="30"/>
      <c r="D442" s="30" t="str">
        <f>VLOOKUP(B442, 'RM &amp; SF'!B:C, 2, 0)</f>
        <v xml:space="preserve"> كفتة كباب هندي</v>
      </c>
      <c r="E442" s="30" t="s">
        <v>2233</v>
      </c>
      <c r="F442" s="110">
        <v>4501</v>
      </c>
      <c r="G442" s="30" t="str">
        <f>VLOOKUP(F442, 'RM &amp; SF'!B:C, 2, 0)</f>
        <v>فلفل حلو احمر*****</v>
      </c>
      <c r="H442" s="89">
        <v>300</v>
      </c>
      <c r="I442" s="30" t="str">
        <f>VLOOKUP(F442, 'RM &amp; SF'!B:H, 4, 0)</f>
        <v>غم</v>
      </c>
      <c r="J442" s="90">
        <f t="shared" si="41"/>
        <v>100</v>
      </c>
      <c r="K442" s="91">
        <f>VLOOKUP(F442, 'RM &amp; SF'!B:H, 7, 0)</f>
        <v>7.5000000000000002E-4</v>
      </c>
      <c r="L442" s="92">
        <f t="shared" si="40"/>
        <v>7.4999999999999997E-2</v>
      </c>
      <c r="M442" s="30" t="s">
        <v>810</v>
      </c>
      <c r="P442" s="88" t="s">
        <v>2156</v>
      </c>
    </row>
    <row r="443" spans="1:16" ht="14">
      <c r="A443" s="88" t="s">
        <v>3183</v>
      </c>
      <c r="B443" s="188" t="s">
        <v>556</v>
      </c>
      <c r="C443" s="30"/>
      <c r="D443" s="30" t="str">
        <f>VLOOKUP(B443, 'RM &amp; SF'!B:C, 2, 0)</f>
        <v xml:space="preserve"> كفتة كباب هندي</v>
      </c>
      <c r="E443" s="30" t="s">
        <v>2236</v>
      </c>
      <c r="F443" s="110">
        <v>4505</v>
      </c>
      <c r="G443" s="30" t="str">
        <f>VLOOKUP(F443, 'RM &amp; SF'!B:C, 2, 0)</f>
        <v>ثوم طازج كامل*****</v>
      </c>
      <c r="H443" s="89">
        <v>21.428571428571431</v>
      </c>
      <c r="I443" s="30" t="str">
        <f>VLOOKUP(F443, 'RM &amp; SF'!B:H, 4, 0)</f>
        <v>غم</v>
      </c>
      <c r="J443" s="90">
        <f t="shared" si="41"/>
        <v>7.1428571428571432</v>
      </c>
      <c r="K443" s="91">
        <f>VLOOKUP(F443, 'RM &amp; SF'!B:H, 7, 0)</f>
        <v>3.5000000000000001E-3</v>
      </c>
      <c r="L443" s="92">
        <f t="shared" si="40"/>
        <v>2.5000000000000001E-2</v>
      </c>
      <c r="M443" s="30" t="s">
        <v>810</v>
      </c>
      <c r="P443" s="88" t="s">
        <v>2156</v>
      </c>
    </row>
    <row r="444" spans="1:16" ht="14">
      <c r="A444" s="88" t="s">
        <v>3183</v>
      </c>
      <c r="B444" s="188" t="s">
        <v>556</v>
      </c>
      <c r="C444" s="30"/>
      <c r="D444" s="30" t="str">
        <f>VLOOKUP(B444, 'RM &amp; SF'!B:C, 2, 0)</f>
        <v xml:space="preserve"> كفتة كباب هندي</v>
      </c>
      <c r="E444" s="30" t="s">
        <v>2203</v>
      </c>
      <c r="F444" s="110">
        <v>4152</v>
      </c>
      <c r="G444" s="30" t="str">
        <f>VLOOKUP(F444, 'RM &amp; SF'!B:C, 2, 0)</f>
        <v>ملح طعام 750غم*****</v>
      </c>
      <c r="H444" s="89">
        <v>21.428571428571431</v>
      </c>
      <c r="I444" s="30" t="str">
        <f>VLOOKUP(F444, 'RM &amp; SF'!B:H, 4, 0)</f>
        <v>غم</v>
      </c>
      <c r="J444" s="90">
        <f t="shared" si="41"/>
        <v>7.1428571428571432</v>
      </c>
      <c r="K444" s="91">
        <f>VLOOKUP(F444, 'RM &amp; SF'!B:H, 7, 0)</f>
        <v>1.7066666666666665E-4</v>
      </c>
      <c r="L444" s="92">
        <f t="shared" si="40"/>
        <v>1.219047619047619E-3</v>
      </c>
      <c r="M444" s="30" t="s">
        <v>810</v>
      </c>
      <c r="P444" s="88" t="s">
        <v>2156</v>
      </c>
    </row>
    <row r="445" spans="1:16" ht="14">
      <c r="A445" s="88" t="s">
        <v>3183</v>
      </c>
      <c r="B445" s="188" t="s">
        <v>556</v>
      </c>
      <c r="C445" s="30"/>
      <c r="D445" s="30" t="str">
        <f>VLOOKUP(B445, 'RM &amp; SF'!B:C, 2, 0)</f>
        <v xml:space="preserve"> كفتة كباب هندي</v>
      </c>
      <c r="E445" s="30" t="s">
        <v>2206</v>
      </c>
      <c r="F445" s="110">
        <v>4204</v>
      </c>
      <c r="G445" s="30" t="str">
        <f>VLOOKUP(F445, 'RM &amp; SF'!B:C, 2, 0)</f>
        <v>فلفل اسود ناعم*****</v>
      </c>
      <c r="H445" s="89">
        <v>8.5714285714285712</v>
      </c>
      <c r="I445" s="30" t="str">
        <f>VLOOKUP(F445, 'RM &amp; SF'!B:H, 4, 0)</f>
        <v>غم</v>
      </c>
      <c r="J445" s="90">
        <f t="shared" si="41"/>
        <v>2.8571428571428572</v>
      </c>
      <c r="K445" s="91">
        <f>VLOOKUP(F445, 'RM &amp; SF'!B:H, 7, 0)</f>
        <v>6.8970000000000004E-3</v>
      </c>
      <c r="L445" s="92">
        <f t="shared" si="40"/>
        <v>1.9705714285714288E-2</v>
      </c>
      <c r="M445" s="30" t="s">
        <v>810</v>
      </c>
      <c r="P445" s="88" t="s">
        <v>2156</v>
      </c>
    </row>
    <row r="446" spans="1:16" ht="14">
      <c r="A446" s="88" t="s">
        <v>2405</v>
      </c>
      <c r="B446" s="219" t="s">
        <v>494</v>
      </c>
      <c r="C446" s="30"/>
      <c r="D446" s="30" t="str">
        <f>VLOOKUP(B446, 'RM &amp; SF'!B:C, 2, 0)</f>
        <v>لحمة مفرومة</v>
      </c>
      <c r="E446" s="30" t="s">
        <v>3058</v>
      </c>
      <c r="F446" s="110">
        <v>5373</v>
      </c>
      <c r="G446" s="30" t="str">
        <f>VLOOKUP(F446, 'RM &amp; SF'!B:C, 2, 0)</f>
        <v>قطعيات عجل مشكلة</v>
      </c>
      <c r="H446" s="89">
        <v>700</v>
      </c>
      <c r="I446" s="30" t="str">
        <f>VLOOKUP(F446, 'RM &amp; SF'!B:H, 4, 0)</f>
        <v>غم</v>
      </c>
      <c r="J446" s="90">
        <f>H446/1</f>
        <v>700</v>
      </c>
      <c r="K446" s="91">
        <f>VLOOKUP(F446, 'RM &amp; SF'!B:H, 7, 0)</f>
        <v>9.0100000000000006E-3</v>
      </c>
      <c r="L446" s="92">
        <f t="shared" si="40"/>
        <v>6.3070000000000004</v>
      </c>
      <c r="M446" s="30" t="s">
        <v>810</v>
      </c>
    </row>
    <row r="447" spans="1:16" ht="14">
      <c r="A447" s="88" t="s">
        <v>2405</v>
      </c>
      <c r="B447" s="219" t="s">
        <v>494</v>
      </c>
      <c r="C447" s="30"/>
      <c r="D447" s="30" t="str">
        <f>VLOOKUP(B447, 'RM &amp; SF'!B:C, 2, 0)</f>
        <v>لحمة مفرومة</v>
      </c>
      <c r="E447" s="30" t="s">
        <v>2317</v>
      </c>
      <c r="F447" s="110">
        <v>4601</v>
      </c>
      <c r="G447" s="30" t="str">
        <f>VLOOKUP(F447, 'RM &amp; SF'!B:C, 2, 0)</f>
        <v>نتر خروف*****</v>
      </c>
      <c r="H447" s="89">
        <v>300</v>
      </c>
      <c r="I447" s="30" t="str">
        <f>VLOOKUP(F447, 'RM &amp; SF'!B:H, 4, 0)</f>
        <v>غم</v>
      </c>
      <c r="J447" s="90">
        <f>H447/1</f>
        <v>300</v>
      </c>
      <c r="K447" s="91">
        <f>VLOOKUP(F447, 'RM &amp; SF'!B:H, 7, 0)</f>
        <v>3.0000000000000001E-3</v>
      </c>
      <c r="L447" s="92">
        <f t="shared" si="40"/>
        <v>0.9</v>
      </c>
      <c r="M447" s="30" t="s">
        <v>810</v>
      </c>
    </row>
    <row r="448" spans="1:16" ht="14">
      <c r="A448" s="88" t="s">
        <v>2414</v>
      </c>
      <c r="B448" s="219" t="s">
        <v>485</v>
      </c>
      <c r="C448" s="30"/>
      <c r="D448" s="30" t="str">
        <f>VLOOKUP(B448, 'RM &amp; SF'!B:C, 2, 0)</f>
        <v>كفتة للصواني</v>
      </c>
      <c r="E448" s="30" t="s">
        <v>3058</v>
      </c>
      <c r="F448" s="110">
        <v>5373</v>
      </c>
      <c r="G448" s="30" t="str">
        <f>VLOOKUP(F448, 'RM &amp; SF'!B:C, 2, 0)</f>
        <v>قطعيات عجل مشكلة</v>
      </c>
      <c r="H448" s="89">
        <v>1400</v>
      </c>
      <c r="I448" s="30" t="str">
        <f>VLOOKUP(F448, 'RM &amp; SF'!B:H, 4, 0)</f>
        <v>غم</v>
      </c>
      <c r="J448" s="90">
        <f t="shared" ref="J448:J456" si="42">H448/2.2</f>
        <v>636.36363636363626</v>
      </c>
      <c r="K448" s="91">
        <f>VLOOKUP(F448, 'RM &amp; SF'!B:H, 7, 0)</f>
        <v>9.0100000000000006E-3</v>
      </c>
      <c r="L448" s="92">
        <f t="shared" si="40"/>
        <v>5.7336363636363634</v>
      </c>
      <c r="M448" s="30" t="s">
        <v>810</v>
      </c>
    </row>
    <row r="449" spans="1:16" ht="14">
      <c r="A449" s="88" t="s">
        <v>2414</v>
      </c>
      <c r="B449" s="219" t="s">
        <v>485</v>
      </c>
      <c r="C449" s="30"/>
      <c r="D449" s="30" t="str">
        <f>VLOOKUP(B449, 'RM &amp; SF'!B:C, 2, 0)</f>
        <v>كفتة للصواني</v>
      </c>
      <c r="E449" s="30" t="s">
        <v>2317</v>
      </c>
      <c r="F449" s="110">
        <v>4601</v>
      </c>
      <c r="G449" s="30" t="str">
        <f>VLOOKUP(F449, 'RM &amp; SF'!B:C, 2, 0)</f>
        <v>نتر خروف*****</v>
      </c>
      <c r="H449" s="89">
        <v>500</v>
      </c>
      <c r="I449" s="30" t="str">
        <f>VLOOKUP(F449, 'RM &amp; SF'!B:H, 4, 0)</f>
        <v>غم</v>
      </c>
      <c r="J449" s="90">
        <f t="shared" si="42"/>
        <v>227.27272727272725</v>
      </c>
      <c r="K449" s="91">
        <f>VLOOKUP(F449, 'RM &amp; SF'!B:H, 7, 0)</f>
        <v>3.0000000000000001E-3</v>
      </c>
      <c r="L449" s="92">
        <f t="shared" si="40"/>
        <v>0.68181818181818177</v>
      </c>
      <c r="M449" s="30" t="s">
        <v>810</v>
      </c>
    </row>
    <row r="450" spans="1:16" ht="14">
      <c r="A450" s="88" t="s">
        <v>2414</v>
      </c>
      <c r="B450" s="219" t="s">
        <v>485</v>
      </c>
      <c r="C450" s="30"/>
      <c r="D450" s="30" t="str">
        <f>VLOOKUP(B450, 'RM &amp; SF'!B:C, 2, 0)</f>
        <v>كفتة للصواني</v>
      </c>
      <c r="E450" s="30" t="s">
        <v>3058</v>
      </c>
      <c r="F450" s="110">
        <v>4598</v>
      </c>
      <c r="G450" s="30" t="str">
        <f>VLOOKUP(F450, 'RM &amp; SF'!B:C, 2, 0)</f>
        <v>لية خروف نية*****</v>
      </c>
      <c r="H450" s="89">
        <v>100</v>
      </c>
      <c r="I450" s="30" t="str">
        <f>VLOOKUP(F450, 'RM &amp; SF'!B:H, 4, 0)</f>
        <v>غم</v>
      </c>
      <c r="J450" s="90">
        <f t="shared" si="42"/>
        <v>45.454545454545453</v>
      </c>
      <c r="K450" s="91">
        <f>VLOOKUP(F450, 'RM &amp; SF'!B:H, 7, 0)</f>
        <v>5.0000000000000001E-3</v>
      </c>
      <c r="L450" s="92">
        <f t="shared" si="40"/>
        <v>0.22727272727272727</v>
      </c>
      <c r="M450" s="30" t="s">
        <v>810</v>
      </c>
    </row>
    <row r="451" spans="1:16" ht="14">
      <c r="A451" s="88" t="s">
        <v>2414</v>
      </c>
      <c r="B451" s="219" t="s">
        <v>485</v>
      </c>
      <c r="C451" s="30"/>
      <c r="D451" s="30" t="str">
        <f>VLOOKUP(B451, 'RM &amp; SF'!B:C, 2, 0)</f>
        <v>كفتة للصواني</v>
      </c>
      <c r="E451" s="30" t="s">
        <v>2251</v>
      </c>
      <c r="F451" s="110">
        <v>4544</v>
      </c>
      <c r="G451" s="30" t="str">
        <f>VLOOKUP(F451, 'RM &amp; SF'!B:C, 2, 0)</f>
        <v>بقدونس*****</v>
      </c>
      <c r="H451" s="89">
        <v>0.85</v>
      </c>
      <c r="I451" s="30" t="str">
        <f>VLOOKUP(F451, 'RM &amp; SF'!B:H, 4, 0)</f>
        <v>غم</v>
      </c>
      <c r="J451" s="90">
        <f t="shared" si="42"/>
        <v>0.3863636363636363</v>
      </c>
      <c r="K451" s="91">
        <f>VLOOKUP(F451, 'RM &amp; SF'!B:H, 7, 0)</f>
        <v>7.5000000000000002E-4</v>
      </c>
      <c r="L451" s="92">
        <f t="shared" si="40"/>
        <v>2.8977272727272722E-4</v>
      </c>
      <c r="M451" s="30" t="s">
        <v>810</v>
      </c>
    </row>
    <row r="452" spans="1:16" ht="14">
      <c r="A452" s="88" t="s">
        <v>2414</v>
      </c>
      <c r="B452" s="219" t="s">
        <v>485</v>
      </c>
      <c r="C452" s="30"/>
      <c r="D452" s="30" t="str">
        <f>VLOOKUP(B452, 'RM &amp; SF'!B:C, 2, 0)</f>
        <v>كفتة للصواني</v>
      </c>
      <c r="E452" s="30" t="s">
        <v>2236</v>
      </c>
      <c r="F452" s="110">
        <v>4505</v>
      </c>
      <c r="G452" s="30" t="str">
        <f>VLOOKUP(F452, 'RM &amp; SF'!B:C, 2, 0)</f>
        <v>ثوم طازج كامل*****</v>
      </c>
      <c r="H452" s="89">
        <v>5</v>
      </c>
      <c r="I452" s="30" t="str">
        <f>VLOOKUP(F452, 'RM &amp; SF'!B:H, 4, 0)</f>
        <v>غم</v>
      </c>
      <c r="J452" s="90">
        <f t="shared" si="42"/>
        <v>2.2727272727272725</v>
      </c>
      <c r="K452" s="91">
        <f>VLOOKUP(F452, 'RM &amp; SF'!B:H, 7, 0)</f>
        <v>3.5000000000000001E-3</v>
      </c>
      <c r="L452" s="92">
        <f t="shared" si="40"/>
        <v>7.9545454545454537E-3</v>
      </c>
      <c r="M452" s="30" t="s">
        <v>810</v>
      </c>
    </row>
    <row r="453" spans="1:16" ht="14">
      <c r="A453" s="88" t="s">
        <v>2414</v>
      </c>
      <c r="B453" s="219" t="s">
        <v>485</v>
      </c>
      <c r="C453" s="30"/>
      <c r="D453" s="30" t="str">
        <f>VLOOKUP(B453, 'RM &amp; SF'!B:C, 2, 0)</f>
        <v>كفتة للصواني</v>
      </c>
      <c r="E453" s="30" t="s">
        <v>2231</v>
      </c>
      <c r="F453" s="110">
        <v>4499</v>
      </c>
      <c r="G453" s="30" t="str">
        <f>VLOOKUP(F453, 'RM &amp; SF'!B:C, 2, 0)</f>
        <v>فلفل حار اخضر*****</v>
      </c>
      <c r="H453" s="89">
        <v>30</v>
      </c>
      <c r="I453" s="30" t="str">
        <f>VLOOKUP(F453, 'RM &amp; SF'!B:H, 4, 0)</f>
        <v>غم</v>
      </c>
      <c r="J453" s="90">
        <f t="shared" si="42"/>
        <v>13.636363636363635</v>
      </c>
      <c r="K453" s="91">
        <f>VLOOKUP(F453, 'RM &amp; SF'!B:H, 7, 0)</f>
        <v>5.0000000000000001E-4</v>
      </c>
      <c r="L453" s="92">
        <f t="shared" si="40"/>
        <v>6.8181818181818179E-3</v>
      </c>
      <c r="M453" s="30" t="s">
        <v>810</v>
      </c>
    </row>
    <row r="454" spans="1:16" ht="14">
      <c r="A454" s="88" t="s">
        <v>2414</v>
      </c>
      <c r="B454" s="219" t="s">
        <v>485</v>
      </c>
      <c r="C454" s="30"/>
      <c r="D454" s="30" t="str">
        <f>VLOOKUP(B454, 'RM &amp; SF'!B:C, 2, 0)</f>
        <v>كفتة للصواني</v>
      </c>
      <c r="E454" s="30" t="s">
        <v>2234</v>
      </c>
      <c r="F454" s="110">
        <v>4503</v>
      </c>
      <c r="G454" s="30" t="str">
        <f>VLOOKUP(F454, 'RM &amp; SF'!B:C, 2, 0)</f>
        <v>بصل ناشف دفش*****</v>
      </c>
      <c r="H454" s="89">
        <v>200</v>
      </c>
      <c r="I454" s="30" t="str">
        <f>VLOOKUP(F454, 'RM &amp; SF'!B:H, 4, 0)</f>
        <v>غم</v>
      </c>
      <c r="J454" s="90">
        <f t="shared" si="42"/>
        <v>90.909090909090907</v>
      </c>
      <c r="K454" s="91">
        <f>VLOOKUP(F454, 'RM &amp; SF'!B:H, 7, 0)</f>
        <v>2.5000000000000001E-4</v>
      </c>
      <c r="L454" s="92">
        <f t="shared" si="40"/>
        <v>2.2727272727272728E-2</v>
      </c>
      <c r="M454" s="30" t="s">
        <v>810</v>
      </c>
    </row>
    <row r="455" spans="1:16" ht="14">
      <c r="A455" s="88" t="s">
        <v>2414</v>
      </c>
      <c r="B455" s="219" t="s">
        <v>485</v>
      </c>
      <c r="C455" s="30"/>
      <c r="D455" s="30" t="str">
        <f>VLOOKUP(B455, 'RM &amp; SF'!B:C, 2, 0)</f>
        <v>كفتة للصواني</v>
      </c>
      <c r="E455" s="30" t="s">
        <v>2206</v>
      </c>
      <c r="F455" s="110">
        <v>4204</v>
      </c>
      <c r="G455" s="30" t="str">
        <f>VLOOKUP(F455, 'RM &amp; SF'!B:C, 2, 0)</f>
        <v>فلفل اسود ناعم*****</v>
      </c>
      <c r="H455" s="89">
        <v>10</v>
      </c>
      <c r="I455" s="30" t="str">
        <f>VLOOKUP(F455, 'RM &amp; SF'!B:H, 4, 0)</f>
        <v>غم</v>
      </c>
      <c r="J455" s="90">
        <f t="shared" si="42"/>
        <v>4.545454545454545</v>
      </c>
      <c r="K455" s="91">
        <f>VLOOKUP(F455, 'RM &amp; SF'!B:H, 7, 0)</f>
        <v>6.8970000000000004E-3</v>
      </c>
      <c r="L455" s="92">
        <f t="shared" si="40"/>
        <v>3.1349999999999996E-2</v>
      </c>
      <c r="M455" s="30" t="s">
        <v>810</v>
      </c>
    </row>
    <row r="456" spans="1:16" ht="14">
      <c r="A456" s="88" t="s">
        <v>2414</v>
      </c>
      <c r="B456" s="219" t="s">
        <v>485</v>
      </c>
      <c r="C456" s="30"/>
      <c r="D456" s="30" t="str">
        <f>VLOOKUP(B456, 'RM &amp; SF'!B:C, 2, 0)</f>
        <v>كفتة للصواني</v>
      </c>
      <c r="E456" s="30" t="s">
        <v>2203</v>
      </c>
      <c r="F456" s="110">
        <v>4152</v>
      </c>
      <c r="G456" s="30" t="str">
        <f>VLOOKUP(F456, 'RM &amp; SF'!B:C, 2, 0)</f>
        <v>ملح طعام 750غم*****</v>
      </c>
      <c r="H456" s="89">
        <v>30</v>
      </c>
      <c r="I456" s="30" t="str">
        <f>VLOOKUP(F456, 'RM &amp; SF'!B:H, 4, 0)</f>
        <v>غم</v>
      </c>
      <c r="J456" s="90">
        <f t="shared" si="42"/>
        <v>13.636363636363635</v>
      </c>
      <c r="K456" s="91">
        <f>VLOOKUP(F456, 'RM &amp; SF'!B:H, 7, 0)</f>
        <v>1.7066666666666665E-4</v>
      </c>
      <c r="L456" s="92">
        <f t="shared" si="40"/>
        <v>2.3272727272727269E-3</v>
      </c>
      <c r="M456" s="30" t="s">
        <v>810</v>
      </c>
    </row>
    <row r="457" spans="1:16" ht="14">
      <c r="A457" s="88" t="s">
        <v>2409</v>
      </c>
      <c r="B457" s="219" t="s">
        <v>578</v>
      </c>
      <c r="C457" s="30"/>
      <c r="D457" s="30" t="str">
        <f>VLOOKUP(B457, 'RM &amp; SF'!B:C, 2, 0)</f>
        <v>علبة مخلل</v>
      </c>
      <c r="E457" s="30" t="s">
        <v>3058</v>
      </c>
      <c r="F457" s="110">
        <v>4483</v>
      </c>
      <c r="G457" s="30" t="str">
        <f>VLOOKUP(F457, 'RM &amp; SF'!B:C, 2, 0)</f>
        <v>مخلل مشكل 10 كغ*****</v>
      </c>
      <c r="H457" s="89">
        <v>70</v>
      </c>
      <c r="I457" s="30" t="str">
        <f>VLOOKUP(F457, 'RM &amp; SF'!B:H, 4, 0)</f>
        <v>غم</v>
      </c>
      <c r="J457" s="90">
        <f>H457</f>
        <v>70</v>
      </c>
      <c r="K457" s="91">
        <f>VLOOKUP(F457, 'RM &amp; SF'!B:H, 7, 0)</f>
        <v>6.4999999999999997E-4</v>
      </c>
      <c r="L457" s="92">
        <f t="shared" si="40"/>
        <v>4.5499999999999999E-2</v>
      </c>
      <c r="M457" s="30" t="s">
        <v>810</v>
      </c>
    </row>
    <row r="458" spans="1:16" ht="14">
      <c r="A458" s="88" t="s">
        <v>2409</v>
      </c>
      <c r="B458" s="219" t="s">
        <v>578</v>
      </c>
      <c r="C458" s="30"/>
      <c r="D458" s="30" t="str">
        <f>VLOOKUP(B458, 'RM &amp; SF'!B:C, 2, 0)</f>
        <v>علبة مخلل</v>
      </c>
      <c r="E458" s="30" t="s">
        <v>3058</v>
      </c>
      <c r="F458" s="110">
        <v>4285</v>
      </c>
      <c r="G458" s="30" t="str">
        <f>VLOOKUP(F458, 'RM &amp; SF'!B:C, 2, 0)</f>
        <v>علب بلاستيك مربع متصل 150 مل*****</v>
      </c>
      <c r="H458" s="89">
        <v>1</v>
      </c>
      <c r="I458" s="30" t="str">
        <f>VLOOKUP(F458, 'RM &amp; SF'!B:H, 4, 0)</f>
        <v>قطعة</v>
      </c>
      <c r="J458" s="90">
        <f>H458</f>
        <v>1</v>
      </c>
      <c r="K458" s="91">
        <f>VLOOKUP(F458, 'RM &amp; SF'!B:H, 7, 0)</f>
        <v>1.494E-2</v>
      </c>
      <c r="L458" s="92">
        <f t="shared" si="40"/>
        <v>1.494E-2</v>
      </c>
      <c r="M458" s="30" t="s">
        <v>810</v>
      </c>
    </row>
    <row r="459" spans="1:16" ht="14">
      <c r="A459" s="88" t="s">
        <v>3184</v>
      </c>
      <c r="B459" s="217" t="s">
        <v>742</v>
      </c>
      <c r="C459" s="194"/>
      <c r="D459" s="194" t="str">
        <f>VLOOKUP(B459, 'RM &amp; SF'!B:C, 2, 0)</f>
        <v>حشوة الكبة المقلية واللبنية</v>
      </c>
      <c r="E459" s="30" t="s">
        <v>3058</v>
      </c>
      <c r="F459" s="195" t="s">
        <v>1949</v>
      </c>
      <c r="G459" s="30" t="str">
        <f>VLOOKUP(F459, 'RM &amp; SF'!B:C, 2, 0)</f>
        <v xml:space="preserve">حشوة كوسا بلبن </v>
      </c>
      <c r="H459" s="196">
        <v>7000</v>
      </c>
      <c r="I459" s="30" t="str">
        <f>VLOOKUP(F459, 'RM &amp; SF'!B:H, 4, 0)</f>
        <v>غم</v>
      </c>
      <c r="J459" s="197">
        <f>H459/8</f>
        <v>875</v>
      </c>
      <c r="K459" s="91">
        <f>VLOOKUP(F459, 'RM &amp; SF'!B:H, 7, 0)</f>
        <v>6.8189551999999999E-3</v>
      </c>
      <c r="L459" s="92">
        <f t="shared" si="40"/>
        <v>5.9665857999999998</v>
      </c>
      <c r="M459" s="194" t="s">
        <v>810</v>
      </c>
      <c r="P459" s="88" t="s">
        <v>2156</v>
      </c>
    </row>
    <row r="460" spans="1:16" ht="14">
      <c r="A460" s="88" t="s">
        <v>3184</v>
      </c>
      <c r="B460" s="217" t="s">
        <v>742</v>
      </c>
      <c r="C460" s="194"/>
      <c r="D460" s="194" t="str">
        <f>VLOOKUP(B460, 'RM &amp; SF'!B:C, 2, 0)</f>
        <v>حشوة الكبة المقلية واللبنية</v>
      </c>
      <c r="E460" s="30" t="s">
        <v>3058</v>
      </c>
      <c r="F460" s="195">
        <v>4144</v>
      </c>
      <c r="G460" s="30" t="str">
        <f>VLOOKUP(F460, 'RM &amp; SF'!B:C, 2, 0)</f>
        <v>جوز عين الجمل*****</v>
      </c>
      <c r="H460" s="196">
        <v>14000</v>
      </c>
      <c r="I460" s="30" t="str">
        <f>VLOOKUP(F460, 'RM &amp; SF'!B:H, 4, 0)</f>
        <v>غم</v>
      </c>
      <c r="J460" s="197">
        <f>H460/8</f>
        <v>1750</v>
      </c>
      <c r="K460" s="91">
        <f>VLOOKUP(F460, 'RM &amp; SF'!B:H, 7, 0)</f>
        <v>4.5259000000000002E-3</v>
      </c>
      <c r="L460" s="92">
        <f t="shared" si="40"/>
        <v>7.9203250000000001</v>
      </c>
      <c r="M460" s="194" t="s">
        <v>810</v>
      </c>
      <c r="P460" s="88" t="s">
        <v>2156</v>
      </c>
    </row>
    <row r="461" spans="1:16" ht="14">
      <c r="A461" s="88" t="s">
        <v>2407</v>
      </c>
      <c r="B461" s="219" t="s">
        <v>586</v>
      </c>
      <c r="C461" s="30"/>
      <c r="D461" s="30" t="str">
        <f>VLOOKUP(B461, 'RM &amp; SF'!B:C, 2, 0)</f>
        <v xml:space="preserve">كبة لبنية   </v>
      </c>
      <c r="E461" s="30" t="s">
        <v>3058</v>
      </c>
      <c r="F461" s="110" t="s">
        <v>704</v>
      </c>
      <c r="G461" s="30" t="str">
        <f>VLOOKUP(F461, 'RM &amp; SF'!B:C, 2, 0)</f>
        <v>عجين كبة سفري</v>
      </c>
      <c r="H461" s="89">
        <v>30</v>
      </c>
      <c r="I461" s="30" t="str">
        <f>VLOOKUP(F461, 'RM &amp; SF'!B:H, 4, 0)</f>
        <v>غم</v>
      </c>
      <c r="J461" s="90">
        <f t="shared" ref="J461:J467" si="43">H461</f>
        <v>30</v>
      </c>
      <c r="K461" s="91">
        <f>VLOOKUP(F461, 'RM &amp; SF'!B:H, 7, 0)</f>
        <v>1.4565673684210528E-3</v>
      </c>
      <c r="L461" s="92">
        <f t="shared" si="40"/>
        <v>4.3697021052631582E-2</v>
      </c>
      <c r="M461" s="30" t="s">
        <v>810</v>
      </c>
    </row>
    <row r="462" spans="1:16" ht="14">
      <c r="A462" s="88" t="s">
        <v>2407</v>
      </c>
      <c r="B462" s="219" t="s">
        <v>586</v>
      </c>
      <c r="C462" s="30"/>
      <c r="D462" s="30" t="str">
        <f>VLOOKUP(B462, 'RM &amp; SF'!B:C, 2, 0)</f>
        <v xml:space="preserve">كبة لبنية   </v>
      </c>
      <c r="E462" s="30" t="s">
        <v>3058</v>
      </c>
      <c r="F462" s="110" t="s">
        <v>742</v>
      </c>
      <c r="G462" s="30" t="str">
        <f>VLOOKUP(F462, 'RM &amp; SF'!B:C, 2, 0)</f>
        <v>حشوة الكبة المقلية واللبنية</v>
      </c>
      <c r="H462" s="89">
        <v>20</v>
      </c>
      <c r="I462" s="30" t="str">
        <f>VLOOKUP(F462, 'RM &amp; SF'!B:H, 4, 0)</f>
        <v>غم</v>
      </c>
      <c r="J462" s="90">
        <f t="shared" si="43"/>
        <v>20</v>
      </c>
      <c r="K462" s="91">
        <f>VLOOKUP(F462, 'RM &amp; SF'!B:H, 7, 0)</f>
        <v>1.3886910799999999E-2</v>
      </c>
      <c r="L462" s="92">
        <f t="shared" si="40"/>
        <v>0.27773821599999998</v>
      </c>
      <c r="M462" s="30" t="s">
        <v>810</v>
      </c>
    </row>
    <row r="463" spans="1:16" ht="14">
      <c r="A463" s="88" t="s">
        <v>3212</v>
      </c>
      <c r="B463" s="219" t="s">
        <v>568</v>
      </c>
      <c r="C463" s="30"/>
      <c r="D463" s="30" t="str">
        <f>VLOOKUP(B463, 'RM &amp; SF'!B:C, 2, 0)</f>
        <v>كبة مقلية</v>
      </c>
      <c r="E463" s="30" t="s">
        <v>3058</v>
      </c>
      <c r="F463" s="110" t="s">
        <v>704</v>
      </c>
      <c r="G463" s="30" t="str">
        <f>VLOOKUP(F463, 'RM &amp; SF'!B:C, 2, 0)</f>
        <v>عجين كبة سفري</v>
      </c>
      <c r="H463" s="89">
        <v>60</v>
      </c>
      <c r="I463" s="30" t="str">
        <f>VLOOKUP(F463, 'RM &amp; SF'!B:H, 4, 0)</f>
        <v>غم</v>
      </c>
      <c r="J463" s="90">
        <f t="shared" si="43"/>
        <v>60</v>
      </c>
      <c r="K463" s="91">
        <f>VLOOKUP(F463, 'RM &amp; SF'!B:H, 7, 0)</f>
        <v>1.4565673684210528E-3</v>
      </c>
      <c r="L463" s="92">
        <f t="shared" si="40"/>
        <v>8.7394042105263164E-2</v>
      </c>
      <c r="M463" s="30" t="s">
        <v>810</v>
      </c>
    </row>
    <row r="464" spans="1:16" ht="14">
      <c r="A464" s="88" t="s">
        <v>3212</v>
      </c>
      <c r="B464" s="219" t="s">
        <v>568</v>
      </c>
      <c r="C464" s="30"/>
      <c r="D464" s="30" t="str">
        <f>VLOOKUP(B464, 'RM &amp; SF'!B:C, 2, 0)</f>
        <v>كبة مقلية</v>
      </c>
      <c r="E464" s="30" t="s">
        <v>3058</v>
      </c>
      <c r="F464" s="110" t="s">
        <v>742</v>
      </c>
      <c r="G464" s="30" t="str">
        <f>VLOOKUP(F464, 'RM &amp; SF'!B:C, 2, 0)</f>
        <v>حشوة الكبة المقلية واللبنية</v>
      </c>
      <c r="H464" s="89">
        <v>40</v>
      </c>
      <c r="I464" s="30" t="str">
        <f>VLOOKUP(F464, 'RM &amp; SF'!B:H, 4, 0)</f>
        <v>غم</v>
      </c>
      <c r="J464" s="90">
        <f t="shared" si="43"/>
        <v>40</v>
      </c>
      <c r="K464" s="91">
        <f>VLOOKUP(F464, 'RM &amp; SF'!B:H, 7, 0)</f>
        <v>1.3886910799999999E-2</v>
      </c>
      <c r="L464" s="92">
        <f t="shared" si="40"/>
        <v>0.55547643199999996</v>
      </c>
      <c r="M464" s="30" t="s">
        <v>810</v>
      </c>
    </row>
    <row r="465" spans="1:13" ht="14">
      <c r="A465" s="88" t="s">
        <v>3211</v>
      </c>
      <c r="B465" s="219" t="s">
        <v>572</v>
      </c>
      <c r="C465" s="30"/>
      <c r="D465" s="30" t="str">
        <f>VLOOKUP(B465, 'RM &amp; SF'!B:C, 2, 0)</f>
        <v>كبة مشوية</v>
      </c>
      <c r="E465" s="30" t="s">
        <v>3058</v>
      </c>
      <c r="F465" s="110" t="s">
        <v>704</v>
      </c>
      <c r="G465" s="30" t="str">
        <f>VLOOKUP(F465, 'RM &amp; SF'!B:C, 2, 0)</f>
        <v>عجين كبة سفري</v>
      </c>
      <c r="H465" s="89">
        <v>70</v>
      </c>
      <c r="I465" s="30" t="str">
        <f>VLOOKUP(F465, 'RM &amp; SF'!B:H, 4, 0)</f>
        <v>غم</v>
      </c>
      <c r="J465" s="90">
        <f t="shared" si="43"/>
        <v>70</v>
      </c>
      <c r="K465" s="91">
        <f>VLOOKUP(F465, 'RM &amp; SF'!B:H, 7, 0)</f>
        <v>1.4565673684210528E-3</v>
      </c>
      <c r="L465" s="92">
        <f t="shared" si="40"/>
        <v>0.10195971578947369</v>
      </c>
      <c r="M465" s="30" t="s">
        <v>810</v>
      </c>
    </row>
    <row r="466" spans="1:13" ht="14">
      <c r="A466" s="88" t="s">
        <v>3211</v>
      </c>
      <c r="B466" s="219" t="s">
        <v>572</v>
      </c>
      <c r="C466" s="30"/>
      <c r="D466" s="30" t="str">
        <f>VLOOKUP(B466, 'RM &amp; SF'!B:C, 2, 0)</f>
        <v>كبة مشوية</v>
      </c>
      <c r="E466" s="30" t="s">
        <v>3058</v>
      </c>
      <c r="F466" s="110" t="s">
        <v>1949</v>
      </c>
      <c r="G466" s="30" t="str">
        <f>VLOOKUP(F466, 'RM &amp; SF'!B:C, 2, 0)</f>
        <v xml:space="preserve">حشوة كوسا بلبن </v>
      </c>
      <c r="H466" s="89">
        <v>56</v>
      </c>
      <c r="I466" s="30" t="str">
        <f>VLOOKUP(F466, 'RM &amp; SF'!B:H, 4, 0)</f>
        <v>غم</v>
      </c>
      <c r="J466" s="90">
        <f t="shared" si="43"/>
        <v>56</v>
      </c>
      <c r="K466" s="91">
        <f>VLOOKUP(F466, 'RM &amp; SF'!B:H, 7, 0)</f>
        <v>6.8189551999999999E-3</v>
      </c>
      <c r="L466" s="92">
        <f t="shared" si="40"/>
        <v>0.38186149120000001</v>
      </c>
      <c r="M466" s="30" t="s">
        <v>810</v>
      </c>
    </row>
    <row r="467" spans="1:13" ht="14">
      <c r="A467" s="88" t="s">
        <v>3211</v>
      </c>
      <c r="B467" s="219" t="s">
        <v>572</v>
      </c>
      <c r="C467" s="30"/>
      <c r="D467" s="30" t="str">
        <f>VLOOKUP(B467, 'RM &amp; SF'!B:C, 2, 0)</f>
        <v>كبة مشوية</v>
      </c>
      <c r="E467" s="30" t="s">
        <v>3058</v>
      </c>
      <c r="F467" s="110" t="s">
        <v>726</v>
      </c>
      <c r="G467" s="30" t="str">
        <f>VLOOKUP(F467, 'RM &amp; SF'!B:C, 2, 0)</f>
        <v>حشوة الكبة المشوية</v>
      </c>
      <c r="H467" s="89">
        <v>13</v>
      </c>
      <c r="I467" s="30" t="str">
        <f>VLOOKUP(F467, 'RM &amp; SF'!B:H, 4, 0)</f>
        <v>غم</v>
      </c>
      <c r="J467" s="90">
        <f t="shared" si="43"/>
        <v>13</v>
      </c>
      <c r="K467" s="91">
        <f>VLOOKUP(F467, 'RM &amp; SF'!B:H, 7, 0)</f>
        <v>1.73637100456621E-3</v>
      </c>
      <c r="L467" s="92">
        <f t="shared" si="40"/>
        <v>2.257282305936073E-2</v>
      </c>
      <c r="M467" s="30" t="s">
        <v>810</v>
      </c>
    </row>
    <row r="468" spans="1:13" ht="14">
      <c r="A468" s="88" t="s">
        <v>2403</v>
      </c>
      <c r="B468" s="219" t="s">
        <v>608</v>
      </c>
      <c r="C468" s="30"/>
      <c r="D468" s="30" t="str">
        <f>VLOOKUP(B468, 'RM &amp; SF'!B:C, 2, 0)</f>
        <v>ماسالا</v>
      </c>
      <c r="E468" s="30" t="s">
        <v>2445</v>
      </c>
      <c r="F468" s="110" t="s">
        <v>668</v>
      </c>
      <c r="G468" s="30" t="str">
        <f>VLOOKUP(F468, 'RM &amp; SF'!B:C, 2, 0)</f>
        <v>دجاج مسحب بالفرن انترناشونال</v>
      </c>
      <c r="H468" s="89">
        <v>4500</v>
      </c>
      <c r="I468" s="30" t="str">
        <f>VLOOKUP(F468, 'RM &amp; SF'!B:H, 4, 0)</f>
        <v>غم</v>
      </c>
      <c r="J468" s="90">
        <f t="shared" ref="J468:J477" si="44">H468/7.8</f>
        <v>576.92307692307691</v>
      </c>
      <c r="K468" s="91">
        <f>VLOOKUP(F468, 'RM &amp; SF'!B:H, 7, 0)</f>
        <v>4.5947853888888886E-3</v>
      </c>
      <c r="L468" s="92">
        <f t="shared" si="40"/>
        <v>2.6508377243589742</v>
      </c>
      <c r="M468" s="30" t="s">
        <v>810</v>
      </c>
    </row>
    <row r="469" spans="1:13" ht="14">
      <c r="A469" s="88" t="s">
        <v>2403</v>
      </c>
      <c r="B469" s="219" t="s">
        <v>608</v>
      </c>
      <c r="C469" s="30"/>
      <c r="D469" s="30" t="str">
        <f>VLOOKUP(B469, 'RM &amp; SF'!B:C, 2, 0)</f>
        <v>ماسالا</v>
      </c>
      <c r="E469" s="30" t="s">
        <v>2205</v>
      </c>
      <c r="F469" s="110">
        <v>4193</v>
      </c>
      <c r="G469" s="30" t="str">
        <f>VLOOKUP(F469, 'RM &amp; SF'!B:C, 2, 0)</f>
        <v>زنجبيل ناعم*****</v>
      </c>
      <c r="H469" s="89">
        <v>5</v>
      </c>
      <c r="I469" s="30" t="str">
        <f>VLOOKUP(F469, 'RM &amp; SF'!B:H, 4, 0)</f>
        <v>غم</v>
      </c>
      <c r="J469" s="90">
        <f t="shared" si="44"/>
        <v>0.64102564102564108</v>
      </c>
      <c r="K469" s="91">
        <f>VLOOKUP(F469, 'RM &amp; SF'!B:H, 7, 0)</f>
        <v>3.2330000000000002E-3</v>
      </c>
      <c r="L469" s="92">
        <f t="shared" si="40"/>
        <v>2.0724358974358978E-3</v>
      </c>
      <c r="M469" s="30" t="s">
        <v>810</v>
      </c>
    </row>
    <row r="470" spans="1:13" ht="14">
      <c r="A470" s="88" t="s">
        <v>2403</v>
      </c>
      <c r="B470" s="219" t="s">
        <v>608</v>
      </c>
      <c r="C470" s="30"/>
      <c r="D470" s="30" t="str">
        <f>VLOOKUP(B470, 'RM &amp; SF'!B:C, 2, 0)</f>
        <v>ماسالا</v>
      </c>
      <c r="E470" s="30" t="s">
        <v>2221</v>
      </c>
      <c r="F470" s="110">
        <v>4237</v>
      </c>
      <c r="G470" s="30" t="str">
        <f>VLOOKUP(F470, 'RM &amp; SF'!B:C, 2, 0)</f>
        <v>ثوم ناعم*****</v>
      </c>
      <c r="H470" s="89">
        <v>5</v>
      </c>
      <c r="I470" s="30" t="str">
        <f>VLOOKUP(F470, 'RM &amp; SF'!B:H, 4, 0)</f>
        <v>غم</v>
      </c>
      <c r="J470" s="90">
        <f t="shared" si="44"/>
        <v>0.64102564102564108</v>
      </c>
      <c r="K470" s="91">
        <f>VLOOKUP(F470, 'RM &amp; SF'!B:H, 7, 0)</f>
        <v>2.3709999999999998E-3</v>
      </c>
      <c r="L470" s="92">
        <f t="shared" si="40"/>
        <v>1.5198717948717948E-3</v>
      </c>
      <c r="M470" s="30" t="s">
        <v>810</v>
      </c>
    </row>
    <row r="471" spans="1:13" ht="14">
      <c r="A471" s="88" t="s">
        <v>2403</v>
      </c>
      <c r="B471" s="219" t="s">
        <v>608</v>
      </c>
      <c r="C471" s="30"/>
      <c r="D471" s="30" t="str">
        <f>VLOOKUP(B471, 'RM &amp; SF'!B:C, 2, 0)</f>
        <v>ماسالا</v>
      </c>
      <c r="E471" s="30" t="s">
        <v>2220</v>
      </c>
      <c r="F471" s="110">
        <v>4236</v>
      </c>
      <c r="G471" s="30" t="str">
        <f>VLOOKUP(F471, 'RM &amp; SF'!B:C, 2, 0)</f>
        <v>بصل ناعم*****</v>
      </c>
      <c r="H471" s="89">
        <v>5</v>
      </c>
      <c r="I471" s="30" t="str">
        <f>VLOOKUP(F471, 'RM &amp; SF'!B:H, 4, 0)</f>
        <v>غم</v>
      </c>
      <c r="J471" s="90">
        <f t="shared" si="44"/>
        <v>0.64102564102564108</v>
      </c>
      <c r="K471" s="91">
        <f>VLOOKUP(F471, 'RM &amp; SF'!B:H, 7, 0)</f>
        <v>2.3709999999999998E-3</v>
      </c>
      <c r="L471" s="92">
        <f t="shared" si="40"/>
        <v>1.5198717948717948E-3</v>
      </c>
      <c r="M471" s="30" t="s">
        <v>810</v>
      </c>
    </row>
    <row r="472" spans="1:13" ht="14">
      <c r="A472" s="88" t="s">
        <v>2403</v>
      </c>
      <c r="B472" s="219" t="s">
        <v>608</v>
      </c>
      <c r="C472" s="30"/>
      <c r="D472" s="30" t="str">
        <f>VLOOKUP(B472, 'RM &amp; SF'!B:C, 2, 0)</f>
        <v>ماسالا</v>
      </c>
      <c r="E472" s="30" t="s">
        <v>2208</v>
      </c>
      <c r="F472" s="110">
        <v>4211</v>
      </c>
      <c r="G472" s="30" t="str">
        <f>VLOOKUP(F472, 'RM &amp; SF'!B:C, 2, 0)</f>
        <v>كزبرة ناعمة*****</v>
      </c>
      <c r="H472" s="89">
        <v>5</v>
      </c>
      <c r="I472" s="30" t="str">
        <f>VLOOKUP(F472, 'RM &amp; SF'!B:H, 4, 0)</f>
        <v>غم</v>
      </c>
      <c r="J472" s="90">
        <f t="shared" si="44"/>
        <v>0.64102564102564108</v>
      </c>
      <c r="K472" s="91">
        <f>VLOOKUP(F472, 'RM &amp; SF'!B:H, 7, 0)</f>
        <v>1.5089999999999999E-3</v>
      </c>
      <c r="L472" s="92">
        <f t="shared" si="40"/>
        <v>9.6730769230769233E-4</v>
      </c>
      <c r="M472" s="30" t="s">
        <v>810</v>
      </c>
    </row>
    <row r="473" spans="1:13" ht="14">
      <c r="A473" s="88" t="s">
        <v>2403</v>
      </c>
      <c r="B473" s="219" t="s">
        <v>608</v>
      </c>
      <c r="C473" s="30"/>
      <c r="D473" s="30" t="str">
        <f>VLOOKUP(B473, 'RM &amp; SF'!B:C, 2, 0)</f>
        <v>ماسالا</v>
      </c>
      <c r="E473" s="30" t="s">
        <v>2273</v>
      </c>
      <c r="F473" s="110">
        <v>4054</v>
      </c>
      <c r="G473" s="30" t="str">
        <f>VLOOKUP(F473, 'RM &amp; SF'!B:C, 2, 0)</f>
        <v>معجون تكا 300 غم*****</v>
      </c>
      <c r="H473" s="89">
        <v>1200</v>
      </c>
      <c r="I473" s="30" t="str">
        <f>VLOOKUP(F473, 'RM &amp; SF'!B:H, 4, 0)</f>
        <v>غم</v>
      </c>
      <c r="J473" s="90">
        <f t="shared" si="44"/>
        <v>153.84615384615384</v>
      </c>
      <c r="K473" s="91">
        <f>VLOOKUP(F473, 'RM &amp; SF'!B:H, 7, 0)</f>
        <v>5.0279999999999995E-3</v>
      </c>
      <c r="L473" s="92">
        <f t="shared" si="40"/>
        <v>0.7735384615384614</v>
      </c>
      <c r="M473" s="30" t="s">
        <v>810</v>
      </c>
    </row>
    <row r="474" spans="1:13" ht="14">
      <c r="A474" s="88" t="s">
        <v>2403</v>
      </c>
      <c r="B474" s="219" t="s">
        <v>608</v>
      </c>
      <c r="C474" s="30"/>
      <c r="D474" s="30" t="str">
        <f>VLOOKUP(B474, 'RM &amp; SF'!B:C, 2, 0)</f>
        <v>ماسالا</v>
      </c>
      <c r="E474" s="30" t="s">
        <v>2260</v>
      </c>
      <c r="F474" s="110">
        <v>4160</v>
      </c>
      <c r="G474" s="30" t="str">
        <f>VLOOKUP(F474, 'RM &amp; SF'!B:C, 2, 0)</f>
        <v>زيت صويا 18 لتر*****</v>
      </c>
      <c r="H474" s="89">
        <v>150</v>
      </c>
      <c r="I474" s="30" t="str">
        <f>VLOOKUP(F474, 'RM &amp; SF'!B:H, 4, 0)</f>
        <v>مل</v>
      </c>
      <c r="J474" s="90">
        <f t="shared" si="44"/>
        <v>19.23076923076923</v>
      </c>
      <c r="K474" s="91">
        <f>VLOOKUP(F474, 'RM &amp; SF'!B:H, 7, 0)</f>
        <v>1.335E-3</v>
      </c>
      <c r="L474" s="92">
        <f t="shared" si="40"/>
        <v>2.5673076923076923E-2</v>
      </c>
      <c r="M474" s="30" t="s">
        <v>810</v>
      </c>
    </row>
    <row r="475" spans="1:13" ht="14">
      <c r="A475" s="88" t="s">
        <v>2403</v>
      </c>
      <c r="B475" s="219" t="s">
        <v>608</v>
      </c>
      <c r="C475" s="30"/>
      <c r="D475" s="30" t="str">
        <f>VLOOKUP(B475, 'RM &amp; SF'!B:C, 2, 0)</f>
        <v>ماسالا</v>
      </c>
      <c r="E475" s="30" t="s">
        <v>2291</v>
      </c>
      <c r="F475" s="110">
        <v>4556</v>
      </c>
      <c r="G475" s="30" t="str">
        <f>VLOOKUP(F475, 'RM &amp; SF'!B:C, 2, 0)</f>
        <v>كريما طبخ 1 لتر*****</v>
      </c>
      <c r="H475" s="89">
        <v>1000</v>
      </c>
      <c r="I475" s="30" t="str">
        <f>VLOOKUP(F475, 'RM &amp; SF'!B:H, 4, 0)</f>
        <v>مل</v>
      </c>
      <c r="J475" s="90">
        <f t="shared" si="44"/>
        <v>128.2051282051282</v>
      </c>
      <c r="K475" s="91">
        <f>VLOOKUP(F475, 'RM &amp; SF'!B:H, 7, 0)</f>
        <v>2.2269999999999998E-3</v>
      </c>
      <c r="L475" s="92">
        <f t="shared" si="40"/>
        <v>0.28551282051282051</v>
      </c>
      <c r="M475" s="30" t="s">
        <v>810</v>
      </c>
    </row>
    <row r="476" spans="1:13" ht="14">
      <c r="A476" s="88" t="s">
        <v>2403</v>
      </c>
      <c r="B476" s="219" t="s">
        <v>608</v>
      </c>
      <c r="C476" s="30"/>
      <c r="D476" s="30" t="str">
        <f>VLOOKUP(B476, 'RM &amp; SF'!B:C, 2, 0)</f>
        <v>ماسالا</v>
      </c>
      <c r="E476" s="30" t="s">
        <v>3058</v>
      </c>
      <c r="F476" s="110">
        <v>3</v>
      </c>
      <c r="G476" s="30" t="str">
        <f>VLOOKUP(F476, 'RM &amp; SF'!B:C, 2, 0)</f>
        <v>مياه حنفية</v>
      </c>
      <c r="H476" s="89">
        <v>1000</v>
      </c>
      <c r="I476" s="30" t="str">
        <f>VLOOKUP(F476, 'RM &amp; SF'!B:H, 4, 0)</f>
        <v>مل</v>
      </c>
      <c r="J476" s="90">
        <f t="shared" si="44"/>
        <v>128.2051282051282</v>
      </c>
      <c r="K476" s="91">
        <f>VLOOKUP(F476, 'RM &amp; SF'!B:H, 7, 0)</f>
        <v>0</v>
      </c>
      <c r="L476" s="92">
        <f t="shared" si="40"/>
        <v>0</v>
      </c>
      <c r="M476" s="30" t="s">
        <v>810</v>
      </c>
    </row>
    <row r="477" spans="1:13" ht="14">
      <c r="A477" s="88" t="s">
        <v>2403</v>
      </c>
      <c r="B477" s="219" t="s">
        <v>608</v>
      </c>
      <c r="C477" s="30"/>
      <c r="D477" s="30" t="str">
        <f>VLOOKUP(B477, 'RM &amp; SF'!B:C, 2, 0)</f>
        <v>ماسالا</v>
      </c>
      <c r="E477" s="30" t="s">
        <v>3058</v>
      </c>
      <c r="F477" s="110">
        <v>4044</v>
      </c>
      <c r="G477" s="30" t="str">
        <f>VLOOKUP(F477, 'RM &amp; SF'!B:C, 2, 0)</f>
        <v>خردل ديجون الاضافي القوي 200 غم*****</v>
      </c>
      <c r="H477" s="89">
        <v>5</v>
      </c>
      <c r="I477" s="30" t="str">
        <f>VLOOKUP(F477, 'RM &amp; SF'!B:H, 4, 0)</f>
        <v>غم</v>
      </c>
      <c r="J477" s="90">
        <f t="shared" si="44"/>
        <v>0.64102564102564108</v>
      </c>
      <c r="K477" s="91">
        <f>VLOOKUP(F477, 'RM &amp; SF'!B:H, 7, 0)</f>
        <v>8.0057142857142861E-3</v>
      </c>
      <c r="L477" s="92">
        <f t="shared" si="40"/>
        <v>5.1318681318681322E-3</v>
      </c>
      <c r="M477" s="30" t="s">
        <v>810</v>
      </c>
    </row>
    <row r="478" spans="1:13" ht="14">
      <c r="A478" s="88" t="s">
        <v>2411</v>
      </c>
      <c r="B478" s="219" t="s">
        <v>606</v>
      </c>
      <c r="C478" s="30"/>
      <c r="D478" s="30" t="str">
        <f>VLOOKUP(B478, 'RM &amp; SF'!B:C, 2, 0)</f>
        <v>كوسا مخشي</v>
      </c>
      <c r="E478" s="30" t="s">
        <v>2246</v>
      </c>
      <c r="F478" s="110">
        <v>4524</v>
      </c>
      <c r="G478" s="30" t="str">
        <f>VLOOKUP(F478, 'RM &amp; SF'!B:C, 2, 0)</f>
        <v>كوسا*****</v>
      </c>
      <c r="H478" s="89">
        <v>1000</v>
      </c>
      <c r="I478" s="30" t="str">
        <f>VLOOKUP(F478, 'RM &amp; SF'!B:H, 4, 0)</f>
        <v>غم</v>
      </c>
      <c r="J478" s="90">
        <f>H478/12</f>
        <v>83.333333333333329</v>
      </c>
      <c r="K478" s="91">
        <f>VLOOKUP(F478, 'RM &amp; SF'!B:H, 7, 0)</f>
        <v>6.4999999999999997E-4</v>
      </c>
      <c r="L478" s="92">
        <f t="shared" si="40"/>
        <v>5.4166666666666662E-2</v>
      </c>
      <c r="M478" s="30" t="s">
        <v>810</v>
      </c>
    </row>
    <row r="479" spans="1:13" ht="14">
      <c r="A479" s="88" t="s">
        <v>2411</v>
      </c>
      <c r="B479" s="219" t="s">
        <v>606</v>
      </c>
      <c r="C479" s="30"/>
      <c r="D479" s="30" t="str">
        <f>VLOOKUP(B479, 'RM &amp; SF'!B:C, 2, 0)</f>
        <v>كوسا مخشي</v>
      </c>
      <c r="E479" s="30" t="s">
        <v>3058</v>
      </c>
      <c r="F479" s="110" t="s">
        <v>1949</v>
      </c>
      <c r="G479" s="30" t="str">
        <f>VLOOKUP(F479, 'RM &amp; SF'!B:C, 2, 0)</f>
        <v xml:space="preserve">حشوة كوسا بلبن </v>
      </c>
      <c r="H479" s="89">
        <v>500</v>
      </c>
      <c r="I479" s="30" t="str">
        <f>VLOOKUP(F479, 'RM &amp; SF'!B:H, 4, 0)</f>
        <v>غم</v>
      </c>
      <c r="J479" s="90">
        <f>H479/12</f>
        <v>41.666666666666664</v>
      </c>
      <c r="K479" s="91">
        <f>VLOOKUP(F479, 'RM &amp; SF'!B:H, 7, 0)</f>
        <v>6.8189551999999999E-3</v>
      </c>
      <c r="L479" s="92">
        <f t="shared" si="40"/>
        <v>0.28412313333333333</v>
      </c>
      <c r="M479" s="30" t="s">
        <v>810</v>
      </c>
    </row>
    <row r="480" spans="1:13" ht="14">
      <c r="A480" s="88" t="s">
        <v>2412</v>
      </c>
      <c r="B480" s="219" t="s">
        <v>598</v>
      </c>
      <c r="C480" s="30"/>
      <c r="D480" s="30" t="str">
        <f>VLOOKUP(B480, 'RM &amp; SF'!B:C, 2, 0)</f>
        <v>رز اوزي</v>
      </c>
      <c r="E480" s="30" t="s">
        <v>2281</v>
      </c>
      <c r="F480" s="110">
        <v>4133</v>
      </c>
      <c r="G480" s="30" t="str">
        <f>VLOOKUP(F480, 'RM &amp; SF'!B:C, 2, 0)</f>
        <v>ارز بسمتي ذهبي*****</v>
      </c>
      <c r="H480" s="89">
        <v>10000</v>
      </c>
      <c r="I480" s="30" t="str">
        <f>VLOOKUP(F480, 'RM &amp; SF'!B:H, 4, 0)</f>
        <v>غم</v>
      </c>
      <c r="J480" s="90">
        <f t="shared" ref="J480:J496" si="45">H480/37</f>
        <v>270.27027027027026</v>
      </c>
      <c r="K480" s="91">
        <f>VLOOKUP(F480, 'RM &amp; SF'!B:H, 7, 0)</f>
        <v>1.1000000000000001E-3</v>
      </c>
      <c r="L480" s="92">
        <f t="shared" si="40"/>
        <v>0.29729729729729731</v>
      </c>
      <c r="M480" s="30" t="s">
        <v>810</v>
      </c>
    </row>
    <row r="481" spans="1:13" ht="14">
      <c r="A481" s="88" t="s">
        <v>2412</v>
      </c>
      <c r="B481" s="219" t="s">
        <v>598</v>
      </c>
      <c r="C481" s="30"/>
      <c r="D481" s="30" t="str">
        <f>VLOOKUP(B481, 'RM &amp; SF'!B:C, 2, 0)</f>
        <v>رز اوزي</v>
      </c>
      <c r="E481" s="30" t="s">
        <v>3058</v>
      </c>
      <c r="F481" s="110">
        <v>5373</v>
      </c>
      <c r="G481" s="30" t="str">
        <f>VLOOKUP(F481, 'RM &amp; SF'!B:C, 2, 0)</f>
        <v>قطعيات عجل مشكلة</v>
      </c>
      <c r="H481" s="89">
        <v>3000</v>
      </c>
      <c r="I481" s="30" t="str">
        <f>VLOOKUP(F481, 'RM &amp; SF'!B:H, 4, 0)</f>
        <v>غم</v>
      </c>
      <c r="J481" s="90">
        <f t="shared" si="45"/>
        <v>81.081081081081081</v>
      </c>
      <c r="K481" s="91">
        <f>VLOOKUP(F481, 'RM &amp; SF'!B:H, 7, 0)</f>
        <v>9.0100000000000006E-3</v>
      </c>
      <c r="L481" s="92">
        <f t="shared" si="40"/>
        <v>0.73054054054054063</v>
      </c>
      <c r="M481" s="30" t="s">
        <v>810</v>
      </c>
    </row>
    <row r="482" spans="1:13" ht="14">
      <c r="A482" s="88" t="s">
        <v>2412</v>
      </c>
      <c r="B482" s="219" t="s">
        <v>598</v>
      </c>
      <c r="C482" s="30"/>
      <c r="D482" s="30" t="str">
        <f>VLOOKUP(B482, 'RM &amp; SF'!B:C, 2, 0)</f>
        <v>رز اوزي</v>
      </c>
      <c r="E482" s="30" t="s">
        <v>2260</v>
      </c>
      <c r="F482" s="110">
        <v>4160</v>
      </c>
      <c r="G482" s="30" t="str">
        <f>VLOOKUP(F482, 'RM &amp; SF'!B:C, 2, 0)</f>
        <v>زيت صويا 18 لتر*****</v>
      </c>
      <c r="H482" s="89">
        <v>600</v>
      </c>
      <c r="I482" s="30" t="str">
        <f>VLOOKUP(F482, 'RM &amp; SF'!B:H, 4, 0)</f>
        <v>مل</v>
      </c>
      <c r="J482" s="90">
        <f t="shared" si="45"/>
        <v>16.216216216216218</v>
      </c>
      <c r="K482" s="91">
        <f>VLOOKUP(F482, 'RM &amp; SF'!B:H, 7, 0)</f>
        <v>1.335E-3</v>
      </c>
      <c r="L482" s="92">
        <f t="shared" si="40"/>
        <v>2.1648648648648652E-2</v>
      </c>
      <c r="M482" s="30" t="s">
        <v>810</v>
      </c>
    </row>
    <row r="483" spans="1:13" ht="14">
      <c r="A483" s="88" t="s">
        <v>2412</v>
      </c>
      <c r="B483" s="219" t="s">
        <v>598</v>
      </c>
      <c r="C483" s="30"/>
      <c r="D483" s="30" t="str">
        <f>VLOOKUP(B483, 'RM &amp; SF'!B:C, 2, 0)</f>
        <v>رز اوزي</v>
      </c>
      <c r="E483" s="30" t="s">
        <v>2261</v>
      </c>
      <c r="F483" s="110">
        <v>4163</v>
      </c>
      <c r="G483" s="30" t="str">
        <f>VLOOKUP(F483, 'RM &amp; SF'!B:C, 2, 0)</f>
        <v>سمنة بنكهة السمن البلدي 15 كغ*****</v>
      </c>
      <c r="H483" s="89">
        <v>600</v>
      </c>
      <c r="I483" s="30" t="str">
        <f>VLOOKUP(F483, 'RM &amp; SF'!B:H, 4, 0)</f>
        <v>غم</v>
      </c>
      <c r="J483" s="90">
        <f t="shared" si="45"/>
        <v>16.216216216216218</v>
      </c>
      <c r="K483" s="91">
        <f>VLOOKUP(F483, 'RM &amp; SF'!B:H, 7, 0)</f>
        <v>2.0512E-3</v>
      </c>
      <c r="L483" s="92">
        <f t="shared" si="40"/>
        <v>3.3262702702702707E-2</v>
      </c>
      <c r="M483" s="30" t="s">
        <v>810</v>
      </c>
    </row>
    <row r="484" spans="1:13" ht="14">
      <c r="A484" s="88" t="s">
        <v>2412</v>
      </c>
      <c r="B484" s="219" t="s">
        <v>598</v>
      </c>
      <c r="C484" s="30"/>
      <c r="D484" s="30" t="str">
        <f>VLOOKUP(B484, 'RM &amp; SF'!B:C, 2, 0)</f>
        <v>رز اوزي</v>
      </c>
      <c r="E484" s="30" t="s">
        <v>2206</v>
      </c>
      <c r="F484" s="110">
        <v>4204</v>
      </c>
      <c r="G484" s="30" t="str">
        <f>VLOOKUP(F484, 'RM &amp; SF'!B:C, 2, 0)</f>
        <v>فلفل اسود ناعم*****</v>
      </c>
      <c r="H484" s="89">
        <v>15</v>
      </c>
      <c r="I484" s="30" t="str">
        <f>VLOOKUP(F484, 'RM &amp; SF'!B:H, 4, 0)</f>
        <v>غم</v>
      </c>
      <c r="J484" s="90">
        <f t="shared" si="45"/>
        <v>0.40540540540540543</v>
      </c>
      <c r="K484" s="91">
        <f>VLOOKUP(F484, 'RM &amp; SF'!B:H, 7, 0)</f>
        <v>6.8970000000000004E-3</v>
      </c>
      <c r="L484" s="92">
        <f t="shared" si="40"/>
        <v>2.7960810810810813E-3</v>
      </c>
      <c r="M484" s="30" t="s">
        <v>810</v>
      </c>
    </row>
    <row r="485" spans="1:13" ht="14">
      <c r="A485" s="88" t="s">
        <v>2412</v>
      </c>
      <c r="B485" s="219" t="s">
        <v>598</v>
      </c>
      <c r="C485" s="30"/>
      <c r="D485" s="30" t="str">
        <f>VLOOKUP(B485, 'RM &amp; SF'!B:C, 2, 0)</f>
        <v>رز اوزي</v>
      </c>
      <c r="E485" s="30" t="s">
        <v>2213</v>
      </c>
      <c r="F485" s="110">
        <v>4218</v>
      </c>
      <c r="G485" s="30" t="str">
        <f>VLOOKUP(F485, 'RM &amp; SF'!B:C, 2, 0)</f>
        <v>بهارات مشكلة*****</v>
      </c>
      <c r="H485" s="89">
        <v>50</v>
      </c>
      <c r="I485" s="30" t="str">
        <f>VLOOKUP(F485, 'RM &amp; SF'!B:H, 4, 0)</f>
        <v>غم</v>
      </c>
      <c r="J485" s="90">
        <f t="shared" si="45"/>
        <v>1.3513513513513513</v>
      </c>
      <c r="K485" s="91">
        <f>VLOOKUP(F485, 'RM &amp; SF'!B:H, 7, 0)</f>
        <v>3.0169999999999997E-3</v>
      </c>
      <c r="L485" s="92">
        <f t="shared" si="40"/>
        <v>4.0770270270270269E-3</v>
      </c>
      <c r="M485" s="30" t="s">
        <v>810</v>
      </c>
    </row>
    <row r="486" spans="1:13" ht="14">
      <c r="A486" s="88" t="s">
        <v>2412</v>
      </c>
      <c r="B486" s="219" t="s">
        <v>598</v>
      </c>
      <c r="C486" s="30"/>
      <c r="D486" s="30" t="str">
        <f>VLOOKUP(B486, 'RM &amp; SF'!B:C, 2, 0)</f>
        <v>رز اوزي</v>
      </c>
      <c r="E486" s="30" t="s">
        <v>2222</v>
      </c>
      <c r="F486" s="110">
        <v>4240</v>
      </c>
      <c r="G486" s="30" t="str">
        <f>VLOOKUP(F486, 'RM &amp; SF'!B:C, 2, 0)</f>
        <v>كركم ناعم*****</v>
      </c>
      <c r="H486" s="89">
        <v>15</v>
      </c>
      <c r="I486" s="30" t="str">
        <f>VLOOKUP(F486, 'RM &amp; SF'!B:H, 4, 0)</f>
        <v>غم</v>
      </c>
      <c r="J486" s="90">
        <f t="shared" si="45"/>
        <v>0.40540540540540543</v>
      </c>
      <c r="K486" s="91">
        <f>VLOOKUP(F486, 'RM &amp; SF'!B:H, 7, 0)</f>
        <v>1.9399999999999999E-3</v>
      </c>
      <c r="L486" s="92">
        <f t="shared" si="40"/>
        <v>7.8648648648648649E-4</v>
      </c>
      <c r="M486" s="30" t="s">
        <v>810</v>
      </c>
    </row>
    <row r="487" spans="1:13" ht="14">
      <c r="A487" s="88" t="s">
        <v>2412</v>
      </c>
      <c r="B487" s="219" t="s">
        <v>598</v>
      </c>
      <c r="C487" s="30"/>
      <c r="D487" s="30" t="str">
        <f>VLOOKUP(B487, 'RM &amp; SF'!B:C, 2, 0)</f>
        <v>رز اوزي</v>
      </c>
      <c r="E487" s="30" t="s">
        <v>2211</v>
      </c>
      <c r="F487" s="110">
        <v>4214</v>
      </c>
      <c r="G487" s="30" t="str">
        <f>VLOOKUP(F487, 'RM &amp; SF'!B:C, 2, 0)</f>
        <v>قرفة ناعمة*****</v>
      </c>
      <c r="H487" s="89">
        <v>15</v>
      </c>
      <c r="I487" s="30" t="str">
        <f>VLOOKUP(F487, 'RM &amp; SF'!B:H, 4, 0)</f>
        <v>غم</v>
      </c>
      <c r="J487" s="90">
        <f t="shared" si="45"/>
        <v>0.40540540540540543</v>
      </c>
      <c r="K487" s="91">
        <f>VLOOKUP(F487, 'RM &amp; SF'!B:H, 7, 0)</f>
        <v>2.8020000000000002E-3</v>
      </c>
      <c r="L487" s="92">
        <f t="shared" si="40"/>
        <v>1.1359459459459461E-3</v>
      </c>
      <c r="M487" s="30" t="s">
        <v>810</v>
      </c>
    </row>
    <row r="488" spans="1:13" ht="14">
      <c r="A488" s="88" t="s">
        <v>2412</v>
      </c>
      <c r="B488" s="219" t="s">
        <v>598</v>
      </c>
      <c r="C488" s="30"/>
      <c r="D488" s="30" t="str">
        <f>VLOOKUP(B488, 'RM &amp; SF'!B:C, 2, 0)</f>
        <v>رز اوزي</v>
      </c>
      <c r="E488" s="30" t="s">
        <v>3058</v>
      </c>
      <c r="F488" s="110">
        <v>4191</v>
      </c>
      <c r="G488" s="30" t="str">
        <f>VLOOKUP(F488, 'RM &amp; SF'!B:C, 2, 0)</f>
        <v>جوزة الطيب مطحونة*****</v>
      </c>
      <c r="H488" s="89">
        <v>15</v>
      </c>
      <c r="I488" s="30" t="str">
        <f>VLOOKUP(F488, 'RM &amp; SF'!B:H, 4, 0)</f>
        <v>غم</v>
      </c>
      <c r="J488" s="90">
        <f t="shared" si="45"/>
        <v>0.40540540540540543</v>
      </c>
      <c r="K488" s="91">
        <f>VLOOKUP(F488, 'RM &amp; SF'!B:H, 7, 0)</f>
        <v>6.0339999999999994E-3</v>
      </c>
      <c r="L488" s="92">
        <f t="shared" si="40"/>
        <v>2.4462162162162161E-3</v>
      </c>
      <c r="M488" s="30" t="s">
        <v>810</v>
      </c>
    </row>
    <row r="489" spans="1:13" ht="14">
      <c r="A489" s="88" t="s">
        <v>2412</v>
      </c>
      <c r="B489" s="219" t="s">
        <v>598</v>
      </c>
      <c r="C489" s="30"/>
      <c r="D489" s="30" t="str">
        <f>VLOOKUP(B489, 'RM &amp; SF'!B:C, 2, 0)</f>
        <v>رز اوزي</v>
      </c>
      <c r="E489" s="30" t="s">
        <v>2214</v>
      </c>
      <c r="F489" s="110">
        <v>4223</v>
      </c>
      <c r="G489" s="30" t="str">
        <f>VLOOKUP(F489, 'RM &amp; SF'!B:C, 2, 0)</f>
        <v>بهارات كاري*****</v>
      </c>
      <c r="H489" s="89">
        <v>10</v>
      </c>
      <c r="I489" s="30" t="str">
        <f>VLOOKUP(F489, 'RM &amp; SF'!B:H, 4, 0)</f>
        <v>غم</v>
      </c>
      <c r="J489" s="90">
        <f t="shared" si="45"/>
        <v>0.27027027027027029</v>
      </c>
      <c r="K489" s="91">
        <f>VLOOKUP(F489, 'RM &amp; SF'!B:H, 7, 0)</f>
        <v>2.2409999999999999E-3</v>
      </c>
      <c r="L489" s="92">
        <f t="shared" si="40"/>
        <v>6.0567567567567564E-4</v>
      </c>
      <c r="M489" s="30" t="s">
        <v>810</v>
      </c>
    </row>
    <row r="490" spans="1:13" ht="14">
      <c r="A490" s="88" t="s">
        <v>2412</v>
      </c>
      <c r="B490" s="219" t="s">
        <v>598</v>
      </c>
      <c r="C490" s="30"/>
      <c r="D490" s="30" t="str">
        <f>VLOOKUP(B490, 'RM &amp; SF'!B:C, 2, 0)</f>
        <v>رز اوزي</v>
      </c>
      <c r="E490" s="30" t="s">
        <v>2203</v>
      </c>
      <c r="F490" s="110">
        <v>4152</v>
      </c>
      <c r="G490" s="30" t="str">
        <f>VLOOKUP(F490, 'RM &amp; SF'!B:C, 2, 0)</f>
        <v>ملح طعام 750غم*****</v>
      </c>
      <c r="H490" s="89">
        <v>300</v>
      </c>
      <c r="I490" s="30" t="str">
        <f>VLOOKUP(F490, 'RM &amp; SF'!B:H, 4, 0)</f>
        <v>غم</v>
      </c>
      <c r="J490" s="90">
        <f t="shared" si="45"/>
        <v>8.1081081081081088</v>
      </c>
      <c r="K490" s="91">
        <f>VLOOKUP(F490, 'RM &amp; SF'!B:H, 7, 0)</f>
        <v>1.7066666666666665E-4</v>
      </c>
      <c r="L490" s="92">
        <f t="shared" si="40"/>
        <v>1.3837837837837837E-3</v>
      </c>
      <c r="M490" s="30" t="s">
        <v>810</v>
      </c>
    </row>
    <row r="491" spans="1:13" ht="14">
      <c r="A491" s="88" t="s">
        <v>2412</v>
      </c>
      <c r="B491" s="219" t="s">
        <v>598</v>
      </c>
      <c r="C491" s="30"/>
      <c r="D491" s="30" t="str">
        <f>VLOOKUP(B491, 'RM &amp; SF'!B:C, 2, 0)</f>
        <v>رز اوزي</v>
      </c>
      <c r="E491" s="30" t="s">
        <v>2292</v>
      </c>
      <c r="F491" s="110">
        <v>4639</v>
      </c>
      <c r="G491" s="30" t="str">
        <f>VLOOKUP(F491, 'RM &amp; SF'!B:C, 2, 0)</f>
        <v>بازيلاء و جزر مجمدة 350 غم*****</v>
      </c>
      <c r="H491" s="89">
        <v>1050</v>
      </c>
      <c r="I491" s="30" t="str">
        <f>VLOOKUP(F491, 'RM &amp; SF'!B:H, 4, 0)</f>
        <v>غم</v>
      </c>
      <c r="J491" s="90">
        <f t="shared" si="45"/>
        <v>28.378378378378379</v>
      </c>
      <c r="K491" s="91">
        <f>VLOOKUP(F491, 'RM &amp; SF'!B:H, 7, 0)</f>
        <v>1.8331249999999999E-3</v>
      </c>
      <c r="L491" s="92">
        <f t="shared" si="40"/>
        <v>5.2021114864864861E-2</v>
      </c>
      <c r="M491" s="30" t="s">
        <v>810</v>
      </c>
    </row>
    <row r="492" spans="1:13" ht="14">
      <c r="A492" s="88" t="s">
        <v>2412</v>
      </c>
      <c r="B492" s="219" t="s">
        <v>598</v>
      </c>
      <c r="C492" s="30"/>
      <c r="D492" s="30" t="str">
        <f>VLOOKUP(B492, 'RM &amp; SF'!B:C, 2, 0)</f>
        <v>رز اوزي</v>
      </c>
      <c r="E492" s="30" t="s">
        <v>2234</v>
      </c>
      <c r="F492" s="110">
        <v>4503</v>
      </c>
      <c r="G492" s="30" t="str">
        <f>VLOOKUP(F492, 'RM &amp; SF'!B:C, 2, 0)</f>
        <v>بصل ناشف دفش*****</v>
      </c>
      <c r="H492" s="89">
        <v>500</v>
      </c>
      <c r="I492" s="30" t="str">
        <f>VLOOKUP(F492, 'RM &amp; SF'!B:H, 4, 0)</f>
        <v>غم</v>
      </c>
      <c r="J492" s="90">
        <f t="shared" si="45"/>
        <v>13.513513513513514</v>
      </c>
      <c r="K492" s="91">
        <f>VLOOKUP(F492, 'RM &amp; SF'!B:H, 7, 0)</f>
        <v>2.5000000000000001E-4</v>
      </c>
      <c r="L492" s="92">
        <f t="shared" si="40"/>
        <v>3.3783783783783786E-3</v>
      </c>
      <c r="M492" s="30" t="s">
        <v>810</v>
      </c>
    </row>
    <row r="493" spans="1:13" ht="14">
      <c r="A493" s="88" t="s">
        <v>2412</v>
      </c>
      <c r="B493" s="219" t="s">
        <v>598</v>
      </c>
      <c r="C493" s="30"/>
      <c r="D493" s="30" t="str">
        <f>VLOOKUP(B493, 'RM &amp; SF'!B:C, 2, 0)</f>
        <v>رز اوزي</v>
      </c>
      <c r="E493" s="30" t="s">
        <v>2206</v>
      </c>
      <c r="F493" s="110">
        <v>4204</v>
      </c>
      <c r="G493" s="30" t="str">
        <f>VLOOKUP(F493, 'RM &amp; SF'!B:C, 2, 0)</f>
        <v>فلفل اسود ناعم*****</v>
      </c>
      <c r="H493" s="89">
        <v>50</v>
      </c>
      <c r="I493" s="30" t="str">
        <f>VLOOKUP(F493, 'RM &amp; SF'!B:H, 4, 0)</f>
        <v>غم</v>
      </c>
      <c r="J493" s="90">
        <f t="shared" si="45"/>
        <v>1.3513513513513513</v>
      </c>
      <c r="K493" s="91">
        <f>VLOOKUP(F493, 'RM &amp; SF'!B:H, 7, 0)</f>
        <v>6.8970000000000004E-3</v>
      </c>
      <c r="L493" s="92">
        <f t="shared" ref="L493:L556" si="46">K493*J493</f>
        <v>9.32027027027027E-3</v>
      </c>
      <c r="M493" s="30" t="s">
        <v>810</v>
      </c>
    </row>
    <row r="494" spans="1:13" ht="14">
      <c r="A494" s="88" t="s">
        <v>2412</v>
      </c>
      <c r="B494" s="219" t="s">
        <v>598</v>
      </c>
      <c r="C494" s="30"/>
      <c r="D494" s="30" t="str">
        <f>VLOOKUP(B494, 'RM &amp; SF'!B:C, 2, 0)</f>
        <v>رز اوزي</v>
      </c>
      <c r="E494" s="30" t="s">
        <v>2208</v>
      </c>
      <c r="F494" s="110">
        <v>4211</v>
      </c>
      <c r="G494" s="30" t="str">
        <f>VLOOKUP(F494, 'RM &amp; SF'!B:C, 2, 0)</f>
        <v>كزبرة ناعمة*****</v>
      </c>
      <c r="H494" s="89">
        <v>15</v>
      </c>
      <c r="I494" s="30" t="str">
        <f>VLOOKUP(F494, 'RM &amp; SF'!B:H, 4, 0)</f>
        <v>غم</v>
      </c>
      <c r="J494" s="90">
        <f t="shared" si="45"/>
        <v>0.40540540540540543</v>
      </c>
      <c r="K494" s="91">
        <f>VLOOKUP(F494, 'RM &amp; SF'!B:H, 7, 0)</f>
        <v>1.5089999999999999E-3</v>
      </c>
      <c r="L494" s="92">
        <f t="shared" si="46"/>
        <v>6.1175675675675674E-4</v>
      </c>
      <c r="M494" s="30" t="s">
        <v>810</v>
      </c>
    </row>
    <row r="495" spans="1:13" ht="14">
      <c r="A495" s="88" t="s">
        <v>2412</v>
      </c>
      <c r="B495" s="219" t="s">
        <v>598</v>
      </c>
      <c r="C495" s="30"/>
      <c r="D495" s="30" t="str">
        <f>VLOOKUP(B495, 'RM &amp; SF'!B:C, 2, 0)</f>
        <v>رز اوزي</v>
      </c>
      <c r="E495" s="30" t="s">
        <v>3058</v>
      </c>
      <c r="F495" s="110">
        <v>4021</v>
      </c>
      <c r="G495" s="30" t="str">
        <f>VLOOKUP(F495, 'RM &amp; SF'!B:C, 2, 0)</f>
        <v>مكعبات مرق الدجاج 24 عبوة*2 مكعب*****</v>
      </c>
      <c r="H495" s="89">
        <v>60</v>
      </c>
      <c r="I495" s="30" t="str">
        <f>VLOOKUP(F495, 'RM &amp; SF'!B:H, 4, 0)</f>
        <v>غم</v>
      </c>
      <c r="J495" s="90">
        <f t="shared" si="45"/>
        <v>1.6216216216216217</v>
      </c>
      <c r="K495" s="91">
        <f>VLOOKUP(F495, 'RM &amp; SF'!B:H, 7, 0)</f>
        <v>3.8541666666666668E-3</v>
      </c>
      <c r="L495" s="92">
        <f t="shared" si="46"/>
        <v>6.2500000000000003E-3</v>
      </c>
      <c r="M495" s="30" t="s">
        <v>810</v>
      </c>
    </row>
    <row r="496" spans="1:13" ht="14">
      <c r="A496" s="88" t="s">
        <v>2412</v>
      </c>
      <c r="B496" s="219" t="s">
        <v>598</v>
      </c>
      <c r="C496" s="30"/>
      <c r="D496" s="30" t="str">
        <f>VLOOKUP(B496, 'RM &amp; SF'!B:C, 2, 0)</f>
        <v>رز اوزي</v>
      </c>
      <c r="E496" s="30" t="s">
        <v>3058</v>
      </c>
      <c r="F496" s="110">
        <v>1221</v>
      </c>
      <c r="G496" s="30" t="str">
        <f>VLOOKUP(F496, 'RM &amp; SF'!B:C, 2, 0)</f>
        <v>مرقة لحم</v>
      </c>
      <c r="H496" s="89">
        <v>17</v>
      </c>
      <c r="I496" s="30" t="str">
        <f>VLOOKUP(F496, 'RM &amp; SF'!B:H, 4, 0)</f>
        <v>غم</v>
      </c>
      <c r="J496" s="90">
        <f t="shared" si="45"/>
        <v>0.45945945945945948</v>
      </c>
      <c r="K496" s="91">
        <f>VLOOKUP(F496, 'RM &amp; SF'!B:H, 7, 0)</f>
        <v>0</v>
      </c>
      <c r="L496" s="92">
        <f t="shared" si="46"/>
        <v>0</v>
      </c>
      <c r="M496" s="30" t="s">
        <v>810</v>
      </c>
    </row>
    <row r="497" spans="1:13" ht="14">
      <c r="A497" s="88" t="s">
        <v>2417</v>
      </c>
      <c r="B497" s="219" t="s">
        <v>544</v>
      </c>
      <c r="C497" s="30"/>
      <c r="D497" s="30" t="str">
        <f>VLOOKUP(B497, 'RM &amp; SF'!B:C, 2, 0)</f>
        <v>دجاجة متبلة</v>
      </c>
      <c r="E497" s="30" t="s">
        <v>2170</v>
      </c>
      <c r="F497" s="110">
        <v>4552</v>
      </c>
      <c r="G497" s="30" t="str">
        <f>VLOOKUP(F497, 'RM &amp; SF'!B:C, 2, 0)</f>
        <v>لبن رايب 5 كغ*****</v>
      </c>
      <c r="H497" s="89">
        <v>10000</v>
      </c>
      <c r="I497" s="30" t="str">
        <f>VLOOKUP(F497, 'RM &amp; SF'!B:H, 4, 0)</f>
        <v>غم</v>
      </c>
      <c r="J497" s="90">
        <f t="shared" ref="J497:J515" si="47">H497/100</f>
        <v>100</v>
      </c>
      <c r="K497" s="91">
        <f>VLOOKUP(F497, 'RM &amp; SF'!B:H, 7, 0)</f>
        <v>8.0000000000000004E-4</v>
      </c>
      <c r="L497" s="92">
        <f t="shared" si="46"/>
        <v>0.08</v>
      </c>
      <c r="M497" s="30" t="s">
        <v>810</v>
      </c>
    </row>
    <row r="498" spans="1:13" ht="14">
      <c r="A498" s="88" t="s">
        <v>2417</v>
      </c>
      <c r="B498" s="219" t="s">
        <v>544</v>
      </c>
      <c r="C498" s="30"/>
      <c r="D498" s="30" t="str">
        <f>VLOOKUP(B498, 'RM &amp; SF'!B:C, 2, 0)</f>
        <v>دجاجة متبلة</v>
      </c>
      <c r="E498" s="30" t="s">
        <v>3058</v>
      </c>
      <c r="F498" s="110">
        <v>4045</v>
      </c>
      <c r="G498" s="30" t="str">
        <f>VLOOKUP(F498, 'RM &amp; SF'!B:C, 2, 0)</f>
        <v>معجون الطماطم 1375 غم*****</v>
      </c>
      <c r="H498" s="89">
        <v>2400</v>
      </c>
      <c r="I498" s="30" t="str">
        <f>VLOOKUP(F498, 'RM &amp; SF'!B:H, 4, 0)</f>
        <v>غم</v>
      </c>
      <c r="J498" s="90">
        <f t="shared" si="47"/>
        <v>24</v>
      </c>
      <c r="K498" s="91">
        <f>VLOOKUP(F498, 'RM &amp; SF'!B:H, 7, 0)</f>
        <v>1.3665999999999999E-3</v>
      </c>
      <c r="L498" s="92">
        <f t="shared" si="46"/>
        <v>3.2798399999999998E-2</v>
      </c>
      <c r="M498" s="30" t="s">
        <v>810</v>
      </c>
    </row>
    <row r="499" spans="1:13" ht="14">
      <c r="A499" s="88" t="s">
        <v>2417</v>
      </c>
      <c r="B499" s="219" t="s">
        <v>544</v>
      </c>
      <c r="C499" s="30"/>
      <c r="D499" s="30" t="str">
        <f>VLOOKUP(B499, 'RM &amp; SF'!B:C, 2, 0)</f>
        <v>دجاجة متبلة</v>
      </c>
      <c r="E499" s="30" t="s">
        <v>2264</v>
      </c>
      <c r="F499" s="110">
        <v>4005</v>
      </c>
      <c r="G499" s="30" t="str">
        <f>VLOOKUP(F499, 'RM &amp; SF'!B:C, 2, 0)</f>
        <v>خردل جالون 2.98 كغ*****</v>
      </c>
      <c r="H499" s="89">
        <v>1000</v>
      </c>
      <c r="I499" s="30" t="str">
        <f>VLOOKUP(F499, 'RM &amp; SF'!B:H, 4, 0)</f>
        <v>غم</v>
      </c>
      <c r="J499" s="90">
        <f t="shared" si="47"/>
        <v>10</v>
      </c>
      <c r="K499" s="91">
        <f>VLOOKUP(F499, 'RM &amp; SF'!B:H, 7, 0)</f>
        <v>2.1689999999999999E-3</v>
      </c>
      <c r="L499" s="92">
        <f t="shared" si="46"/>
        <v>2.1690000000000001E-2</v>
      </c>
      <c r="M499" s="30" t="s">
        <v>810</v>
      </c>
    </row>
    <row r="500" spans="1:13" ht="14">
      <c r="A500" s="88" t="s">
        <v>2417</v>
      </c>
      <c r="B500" s="219" t="s">
        <v>544</v>
      </c>
      <c r="C500" s="30"/>
      <c r="D500" s="30" t="str">
        <f>VLOOKUP(B500, 'RM &amp; SF'!B:C, 2, 0)</f>
        <v>دجاجة متبلة</v>
      </c>
      <c r="E500" s="30" t="s">
        <v>2260</v>
      </c>
      <c r="F500" s="110">
        <v>4160</v>
      </c>
      <c r="G500" s="30" t="str">
        <f>VLOOKUP(F500, 'RM &amp; SF'!B:C, 2, 0)</f>
        <v>زيت صويا 18 لتر*****</v>
      </c>
      <c r="H500" s="89">
        <v>1500</v>
      </c>
      <c r="I500" s="30" t="str">
        <f>VLOOKUP(F500, 'RM &amp; SF'!B:H, 4, 0)</f>
        <v>مل</v>
      </c>
      <c r="J500" s="90">
        <f t="shared" si="47"/>
        <v>15</v>
      </c>
      <c r="K500" s="91">
        <f>VLOOKUP(F500, 'RM &amp; SF'!B:H, 7, 0)</f>
        <v>1.335E-3</v>
      </c>
      <c r="L500" s="92">
        <f t="shared" si="46"/>
        <v>2.0025000000000001E-2</v>
      </c>
      <c r="M500" s="30" t="s">
        <v>810</v>
      </c>
    </row>
    <row r="501" spans="1:13" ht="14">
      <c r="A501" s="88" t="s">
        <v>2417</v>
      </c>
      <c r="B501" s="219" t="s">
        <v>544</v>
      </c>
      <c r="C501" s="30"/>
      <c r="D501" s="30" t="str">
        <f>VLOOKUP(B501, 'RM &amp; SF'!B:C, 2, 0)</f>
        <v>دجاجة متبلة</v>
      </c>
      <c r="E501" s="30" t="s">
        <v>2206</v>
      </c>
      <c r="F501" s="110">
        <v>4204</v>
      </c>
      <c r="G501" s="30" t="str">
        <f>VLOOKUP(F501, 'RM &amp; SF'!B:C, 2, 0)</f>
        <v>فلفل اسود ناعم*****</v>
      </c>
      <c r="H501" s="89">
        <v>300</v>
      </c>
      <c r="I501" s="30" t="str">
        <f>VLOOKUP(F501, 'RM &amp; SF'!B:H, 4, 0)</f>
        <v>غم</v>
      </c>
      <c r="J501" s="90">
        <f t="shared" si="47"/>
        <v>3</v>
      </c>
      <c r="K501" s="91">
        <f>VLOOKUP(F501, 'RM &amp; SF'!B:H, 7, 0)</f>
        <v>6.8970000000000004E-3</v>
      </c>
      <c r="L501" s="92">
        <f t="shared" si="46"/>
        <v>2.0691000000000001E-2</v>
      </c>
      <c r="M501" s="30" t="s">
        <v>810</v>
      </c>
    </row>
    <row r="502" spans="1:13" ht="14">
      <c r="A502" s="88" t="s">
        <v>2417</v>
      </c>
      <c r="B502" s="219" t="s">
        <v>544</v>
      </c>
      <c r="C502" s="30"/>
      <c r="D502" s="30" t="str">
        <f>VLOOKUP(B502, 'RM &amp; SF'!B:C, 2, 0)</f>
        <v>دجاجة متبلة</v>
      </c>
      <c r="E502" s="30" t="s">
        <v>2288</v>
      </c>
      <c r="F502" s="110">
        <v>4219</v>
      </c>
      <c r="G502" s="30" t="str">
        <f>VLOOKUP(F502, 'RM &amp; SF'!B:C, 2, 0)</f>
        <v>بابريكا حلوة*****</v>
      </c>
      <c r="H502" s="89">
        <v>350</v>
      </c>
      <c r="I502" s="30" t="str">
        <f>VLOOKUP(F502, 'RM &amp; SF'!B:H, 4, 0)</f>
        <v>غم</v>
      </c>
      <c r="J502" s="90">
        <f t="shared" si="47"/>
        <v>3.5</v>
      </c>
      <c r="K502" s="91">
        <f>VLOOKUP(F502, 'RM &amp; SF'!B:H, 7, 0)</f>
        <v>2.5859999999999998E-3</v>
      </c>
      <c r="L502" s="92">
        <f t="shared" si="46"/>
        <v>9.051E-3</v>
      </c>
      <c r="M502" s="30" t="s">
        <v>810</v>
      </c>
    </row>
    <row r="503" spans="1:13" ht="14">
      <c r="A503" s="88" t="s">
        <v>2417</v>
      </c>
      <c r="B503" s="219" t="s">
        <v>544</v>
      </c>
      <c r="C503" s="30"/>
      <c r="D503" s="30" t="str">
        <f>VLOOKUP(B503, 'RM &amp; SF'!B:C, 2, 0)</f>
        <v>دجاجة متبلة</v>
      </c>
      <c r="E503" s="30" t="s">
        <v>2220</v>
      </c>
      <c r="F503" s="110">
        <v>4236</v>
      </c>
      <c r="G503" s="30" t="str">
        <f>VLOOKUP(F503, 'RM &amp; SF'!B:C, 2, 0)</f>
        <v>بصل ناعم*****</v>
      </c>
      <c r="H503" s="89">
        <v>200</v>
      </c>
      <c r="I503" s="30" t="str">
        <f>VLOOKUP(F503, 'RM &amp; SF'!B:H, 4, 0)</f>
        <v>غم</v>
      </c>
      <c r="J503" s="90">
        <f t="shared" si="47"/>
        <v>2</v>
      </c>
      <c r="K503" s="91">
        <f>VLOOKUP(F503, 'RM &amp; SF'!B:H, 7, 0)</f>
        <v>2.3709999999999998E-3</v>
      </c>
      <c r="L503" s="92">
        <f t="shared" si="46"/>
        <v>4.7419999999999997E-3</v>
      </c>
      <c r="M503" s="30" t="s">
        <v>810</v>
      </c>
    </row>
    <row r="504" spans="1:13" ht="14">
      <c r="A504" s="88" t="s">
        <v>2417</v>
      </c>
      <c r="B504" s="219" t="s">
        <v>544</v>
      </c>
      <c r="C504" s="30"/>
      <c r="D504" s="30" t="str">
        <f>VLOOKUP(B504, 'RM &amp; SF'!B:C, 2, 0)</f>
        <v>دجاجة متبلة</v>
      </c>
      <c r="E504" s="30" t="s">
        <v>2221</v>
      </c>
      <c r="F504" s="110">
        <v>4237</v>
      </c>
      <c r="G504" s="30" t="str">
        <f>VLOOKUP(F504, 'RM &amp; SF'!B:C, 2, 0)</f>
        <v>ثوم ناعم*****</v>
      </c>
      <c r="H504" s="89">
        <v>300</v>
      </c>
      <c r="I504" s="30" t="str">
        <f>VLOOKUP(F504, 'RM &amp; SF'!B:H, 4, 0)</f>
        <v>غم</v>
      </c>
      <c r="J504" s="90">
        <f t="shared" si="47"/>
        <v>3</v>
      </c>
      <c r="K504" s="91">
        <f>VLOOKUP(F504, 'RM &amp; SF'!B:H, 7, 0)</f>
        <v>2.3709999999999998E-3</v>
      </c>
      <c r="L504" s="92">
        <f t="shared" si="46"/>
        <v>7.1129999999999995E-3</v>
      </c>
      <c r="M504" s="30" t="s">
        <v>810</v>
      </c>
    </row>
    <row r="505" spans="1:13" ht="14">
      <c r="A505" s="88" t="s">
        <v>2417</v>
      </c>
      <c r="B505" s="219" t="s">
        <v>544</v>
      </c>
      <c r="C505" s="30"/>
      <c r="D505" s="30" t="str">
        <f>VLOOKUP(B505, 'RM &amp; SF'!B:C, 2, 0)</f>
        <v>دجاجة متبلة</v>
      </c>
      <c r="E505" s="30" t="s">
        <v>2245</v>
      </c>
      <c r="F505" s="110">
        <v>4523</v>
      </c>
      <c r="G505" s="30" t="str">
        <f>VLOOKUP(F505, 'RM &amp; SF'!B:C, 2, 0)</f>
        <v>زنجبيل طازج*****</v>
      </c>
      <c r="H505" s="89">
        <v>150</v>
      </c>
      <c r="I505" s="30" t="str">
        <f>VLOOKUP(F505, 'RM &amp; SF'!B:H, 4, 0)</f>
        <v>غم</v>
      </c>
      <c r="J505" s="90">
        <f t="shared" si="47"/>
        <v>1.5</v>
      </c>
      <c r="K505" s="91">
        <f>VLOOKUP(F505, 'RM &amp; SF'!B:H, 7, 0)</f>
        <v>3.0000000000000001E-3</v>
      </c>
      <c r="L505" s="92">
        <f t="shared" si="46"/>
        <v>4.5000000000000005E-3</v>
      </c>
      <c r="M505" s="30" t="s">
        <v>810</v>
      </c>
    </row>
    <row r="506" spans="1:13" ht="14">
      <c r="A506" s="88" t="s">
        <v>2417</v>
      </c>
      <c r="B506" s="219" t="s">
        <v>544</v>
      </c>
      <c r="C506" s="30"/>
      <c r="D506" s="30" t="str">
        <f>VLOOKUP(B506, 'RM &amp; SF'!B:C, 2, 0)</f>
        <v>دجاجة متبلة</v>
      </c>
      <c r="E506" s="30" t="s">
        <v>2222</v>
      </c>
      <c r="F506" s="110">
        <v>4240</v>
      </c>
      <c r="G506" s="30" t="str">
        <f>VLOOKUP(F506, 'RM &amp; SF'!B:C, 2, 0)</f>
        <v>كركم ناعم*****</v>
      </c>
      <c r="H506" s="89">
        <v>75</v>
      </c>
      <c r="I506" s="30" t="str">
        <f>VLOOKUP(F506, 'RM &amp; SF'!B:H, 4, 0)</f>
        <v>غم</v>
      </c>
      <c r="J506" s="90">
        <f t="shared" si="47"/>
        <v>0.75</v>
      </c>
      <c r="K506" s="91">
        <f>VLOOKUP(F506, 'RM &amp; SF'!B:H, 7, 0)</f>
        <v>1.9399999999999999E-3</v>
      </c>
      <c r="L506" s="92">
        <f t="shared" si="46"/>
        <v>1.4549999999999999E-3</v>
      </c>
      <c r="M506" s="30" t="s">
        <v>810</v>
      </c>
    </row>
    <row r="507" spans="1:13" ht="14">
      <c r="A507" s="88" t="s">
        <v>2417</v>
      </c>
      <c r="B507" s="219" t="s">
        <v>544</v>
      </c>
      <c r="C507" s="30"/>
      <c r="D507" s="30" t="str">
        <f>VLOOKUP(B507, 'RM &amp; SF'!B:C, 2, 0)</f>
        <v>دجاجة متبلة</v>
      </c>
      <c r="E507" s="30" t="s">
        <v>2208</v>
      </c>
      <c r="F507" s="110">
        <v>4211</v>
      </c>
      <c r="G507" s="30" t="str">
        <f>VLOOKUP(F507, 'RM &amp; SF'!B:C, 2, 0)</f>
        <v>كزبرة ناعمة*****</v>
      </c>
      <c r="H507" s="89">
        <v>150</v>
      </c>
      <c r="I507" s="30" t="str">
        <f>VLOOKUP(F507, 'RM &amp; SF'!B:H, 4, 0)</f>
        <v>غم</v>
      </c>
      <c r="J507" s="90">
        <f t="shared" si="47"/>
        <v>1.5</v>
      </c>
      <c r="K507" s="91">
        <f>VLOOKUP(F507, 'RM &amp; SF'!B:H, 7, 0)</f>
        <v>1.5089999999999999E-3</v>
      </c>
      <c r="L507" s="92">
        <f t="shared" si="46"/>
        <v>2.2634999999999999E-3</v>
      </c>
      <c r="M507" s="30" t="s">
        <v>810</v>
      </c>
    </row>
    <row r="508" spans="1:13" ht="14">
      <c r="A508" s="88" t="s">
        <v>2417</v>
      </c>
      <c r="B508" s="219" t="s">
        <v>544</v>
      </c>
      <c r="C508" s="30"/>
      <c r="D508" s="30" t="str">
        <f>VLOOKUP(B508, 'RM &amp; SF'!B:C, 2, 0)</f>
        <v>دجاجة متبلة</v>
      </c>
      <c r="E508" s="30" t="s">
        <v>3058</v>
      </c>
      <c r="F508" s="110">
        <v>4222</v>
      </c>
      <c r="G508" s="30" t="str">
        <f>VLOOKUP(F508, 'RM &amp; SF'!B:C, 2, 0)</f>
        <v>كمون ناعم*****</v>
      </c>
      <c r="H508" s="89">
        <v>100</v>
      </c>
      <c r="I508" s="30" t="str">
        <f>VLOOKUP(F508, 'RM &amp; SF'!B:H, 4, 0)</f>
        <v>غم</v>
      </c>
      <c r="J508" s="90">
        <f t="shared" si="47"/>
        <v>1</v>
      </c>
      <c r="K508" s="91">
        <f>VLOOKUP(F508, 'RM &amp; SF'!B:H, 7, 0)</f>
        <v>3.2330000000000002E-3</v>
      </c>
      <c r="L508" s="92">
        <f t="shared" si="46"/>
        <v>3.2330000000000002E-3</v>
      </c>
      <c r="M508" s="30" t="s">
        <v>810</v>
      </c>
    </row>
    <row r="509" spans="1:13" ht="14">
      <c r="A509" s="88" t="s">
        <v>2417</v>
      </c>
      <c r="B509" s="219" t="s">
        <v>544</v>
      </c>
      <c r="C509" s="30"/>
      <c r="D509" s="30" t="str">
        <f>VLOOKUP(B509, 'RM &amp; SF'!B:C, 2, 0)</f>
        <v>دجاجة متبلة</v>
      </c>
      <c r="E509" s="30" t="s">
        <v>2218</v>
      </c>
      <c r="F509" s="110">
        <v>4233</v>
      </c>
      <c r="G509" s="30" t="str">
        <f>VLOOKUP(F509, 'RM &amp; SF'!B:C, 2, 0)</f>
        <v>هال ناعم*****</v>
      </c>
      <c r="H509" s="89">
        <v>150</v>
      </c>
      <c r="I509" s="30" t="str">
        <f>VLOOKUP(F509, 'RM &amp; SF'!B:H, 4, 0)</f>
        <v>غم</v>
      </c>
      <c r="J509" s="90">
        <f t="shared" si="47"/>
        <v>1.5</v>
      </c>
      <c r="K509" s="91">
        <f>VLOOKUP(F509, 'RM &amp; SF'!B:H, 7, 0)</f>
        <v>2.3E-2</v>
      </c>
      <c r="L509" s="92">
        <f t="shared" si="46"/>
        <v>3.4500000000000003E-2</v>
      </c>
      <c r="M509" s="30" t="s">
        <v>810</v>
      </c>
    </row>
    <row r="510" spans="1:13" ht="14">
      <c r="A510" s="88" t="s">
        <v>2417</v>
      </c>
      <c r="B510" s="219" t="s">
        <v>544</v>
      </c>
      <c r="C510" s="30"/>
      <c r="D510" s="30" t="str">
        <f>VLOOKUP(B510, 'RM &amp; SF'!B:C, 2, 0)</f>
        <v>دجاجة متبلة</v>
      </c>
      <c r="E510" s="30" t="s">
        <v>2212</v>
      </c>
      <c r="F510" s="110">
        <v>4215</v>
      </c>
      <c r="G510" s="30" t="str">
        <f>VLOOKUP(F510, 'RM &amp; SF'!B:C, 2, 0)</f>
        <v>ملح صيني*****</v>
      </c>
      <c r="H510" s="89">
        <v>300</v>
      </c>
      <c r="I510" s="30" t="str">
        <f>VLOOKUP(F510, 'RM &amp; SF'!B:H, 4, 0)</f>
        <v>غم</v>
      </c>
      <c r="J510" s="90">
        <f t="shared" si="47"/>
        <v>3</v>
      </c>
      <c r="K510" s="91">
        <f>VLOOKUP(F510, 'RM &amp; SF'!B:H, 7, 0)</f>
        <v>1.7240000000000001E-3</v>
      </c>
      <c r="L510" s="92">
        <f t="shared" si="46"/>
        <v>5.1720000000000004E-3</v>
      </c>
      <c r="M510" s="30" t="s">
        <v>810</v>
      </c>
    </row>
    <row r="511" spans="1:13" ht="14">
      <c r="A511" s="88" t="s">
        <v>2417</v>
      </c>
      <c r="B511" s="219" t="s">
        <v>544</v>
      </c>
      <c r="C511" s="30"/>
      <c r="D511" s="30" t="str">
        <f>VLOOKUP(B511, 'RM &amp; SF'!B:C, 2, 0)</f>
        <v>دجاجة متبلة</v>
      </c>
      <c r="E511" s="30" t="s">
        <v>2214</v>
      </c>
      <c r="F511" s="110">
        <v>4223</v>
      </c>
      <c r="G511" s="30" t="str">
        <f>VLOOKUP(F511, 'RM &amp; SF'!B:C, 2, 0)</f>
        <v>بهارات كاري*****</v>
      </c>
      <c r="H511" s="89">
        <v>300</v>
      </c>
      <c r="I511" s="30" t="str">
        <f>VLOOKUP(F511, 'RM &amp; SF'!B:H, 4, 0)</f>
        <v>غم</v>
      </c>
      <c r="J511" s="90">
        <f t="shared" si="47"/>
        <v>3</v>
      </c>
      <c r="K511" s="91">
        <f>VLOOKUP(F511, 'RM &amp; SF'!B:H, 7, 0)</f>
        <v>2.2409999999999999E-3</v>
      </c>
      <c r="L511" s="92">
        <f t="shared" si="46"/>
        <v>6.7229999999999998E-3</v>
      </c>
      <c r="M511" s="30" t="s">
        <v>810</v>
      </c>
    </row>
    <row r="512" spans="1:13" ht="14">
      <c r="A512" s="88" t="s">
        <v>2417</v>
      </c>
      <c r="B512" s="219" t="s">
        <v>544</v>
      </c>
      <c r="C512" s="30"/>
      <c r="D512" s="30" t="str">
        <f>VLOOKUP(B512, 'RM &amp; SF'!B:C, 2, 0)</f>
        <v>دجاجة متبلة</v>
      </c>
      <c r="E512" s="30" t="s">
        <v>2213</v>
      </c>
      <c r="F512" s="110">
        <v>4218</v>
      </c>
      <c r="G512" s="30" t="str">
        <f>VLOOKUP(F512, 'RM &amp; SF'!B:C, 2, 0)</f>
        <v>بهارات مشكلة*****</v>
      </c>
      <c r="H512" s="89">
        <v>300</v>
      </c>
      <c r="I512" s="30" t="str">
        <f>VLOOKUP(F512, 'RM &amp; SF'!B:H, 4, 0)</f>
        <v>غم</v>
      </c>
      <c r="J512" s="90">
        <f t="shared" si="47"/>
        <v>3</v>
      </c>
      <c r="K512" s="91">
        <f>VLOOKUP(F512, 'RM &amp; SF'!B:H, 7, 0)</f>
        <v>3.0169999999999997E-3</v>
      </c>
      <c r="L512" s="92">
        <f t="shared" si="46"/>
        <v>9.051E-3</v>
      </c>
      <c r="M512" s="30" t="s">
        <v>810</v>
      </c>
    </row>
    <row r="513" spans="1:13" ht="14">
      <c r="A513" s="88" t="s">
        <v>2417</v>
      </c>
      <c r="B513" s="219" t="s">
        <v>544</v>
      </c>
      <c r="C513" s="30"/>
      <c r="D513" s="30" t="str">
        <f>VLOOKUP(B513, 'RM &amp; SF'!B:C, 2, 0)</f>
        <v>دجاجة متبلة</v>
      </c>
      <c r="E513" s="30" t="s">
        <v>2203</v>
      </c>
      <c r="F513" s="110">
        <v>4152</v>
      </c>
      <c r="G513" s="30" t="str">
        <f>VLOOKUP(F513, 'RM &amp; SF'!B:C, 2, 0)</f>
        <v>ملح طعام 750غم*****</v>
      </c>
      <c r="H513" s="89">
        <v>1500</v>
      </c>
      <c r="I513" s="30" t="str">
        <f>VLOOKUP(F513, 'RM &amp; SF'!B:H, 4, 0)</f>
        <v>غم</v>
      </c>
      <c r="J513" s="90">
        <f t="shared" si="47"/>
        <v>15</v>
      </c>
      <c r="K513" s="91">
        <f>VLOOKUP(F513, 'RM &amp; SF'!B:H, 7, 0)</f>
        <v>1.7066666666666665E-4</v>
      </c>
      <c r="L513" s="92">
        <f t="shared" si="46"/>
        <v>2.5599999999999998E-3</v>
      </c>
      <c r="M513" s="30" t="s">
        <v>810</v>
      </c>
    </row>
    <row r="514" spans="1:13" ht="14">
      <c r="A514" s="88" t="s">
        <v>2417</v>
      </c>
      <c r="B514" s="219" t="s">
        <v>544</v>
      </c>
      <c r="C514" s="30"/>
      <c r="D514" s="30" t="str">
        <f>VLOOKUP(B514, 'RM &amp; SF'!B:C, 2, 0)</f>
        <v>دجاجة متبلة</v>
      </c>
      <c r="E514" s="30" t="s">
        <v>2287</v>
      </c>
      <c r="F514" s="110">
        <v>4216</v>
      </c>
      <c r="G514" s="30" t="str">
        <f>VLOOKUP(F514, 'RM &amp; SF'!B:C, 2, 0)</f>
        <v>زعتر اوريجانو*****</v>
      </c>
      <c r="H514" s="89">
        <v>150</v>
      </c>
      <c r="I514" s="30" t="str">
        <f>VLOOKUP(F514, 'RM &amp; SF'!B:H, 4, 0)</f>
        <v>غم</v>
      </c>
      <c r="J514" s="90">
        <f t="shared" si="47"/>
        <v>1.5</v>
      </c>
      <c r="K514" s="91">
        <f>VLOOKUP(F514, 'RM &amp; SF'!B:H, 7, 0)</f>
        <v>7.8429999999999993E-3</v>
      </c>
      <c r="L514" s="92">
        <f t="shared" si="46"/>
        <v>1.1764499999999999E-2</v>
      </c>
      <c r="M514" s="30" t="s">
        <v>810</v>
      </c>
    </row>
    <row r="515" spans="1:13" ht="14">
      <c r="A515" s="88" t="s">
        <v>2417</v>
      </c>
      <c r="B515" s="219" t="s">
        <v>544</v>
      </c>
      <c r="C515" s="30"/>
      <c r="D515" s="30" t="str">
        <f>VLOOKUP(B515, 'RM &amp; SF'!B:C, 2, 0)</f>
        <v>دجاجة متبلة</v>
      </c>
      <c r="E515" s="30" t="s">
        <v>3058</v>
      </c>
      <c r="F515" s="110">
        <v>4577</v>
      </c>
      <c r="G515" s="30" t="str">
        <f>VLOOKUP(F515, 'RM &amp; SF'!B:C, 2, 0)</f>
        <v>دجاج حب مع رقبة طازج للمشاغل 1100-1400غم*****</v>
      </c>
      <c r="H515" s="89">
        <v>120000</v>
      </c>
      <c r="I515" s="30" t="str">
        <f>VLOOKUP(F515, 'RM &amp; SF'!B:H, 4, 0)</f>
        <v>غم</v>
      </c>
      <c r="J515" s="90">
        <f t="shared" si="47"/>
        <v>1200</v>
      </c>
      <c r="K515" s="91">
        <f>VLOOKUP(F515, 'RM &amp; SF'!B:H, 7, 0)</f>
        <v>2.3400000000000001E-3</v>
      </c>
      <c r="L515" s="92">
        <f t="shared" si="46"/>
        <v>2.8080000000000003</v>
      </c>
      <c r="M515" s="30" t="s">
        <v>810</v>
      </c>
    </row>
    <row r="516" spans="1:13" ht="14">
      <c r="A516" s="88" t="s">
        <v>2418</v>
      </c>
      <c r="B516" s="219" t="s">
        <v>612</v>
      </c>
      <c r="C516" s="30"/>
      <c r="D516" s="30" t="str">
        <f>VLOOKUP(B516, 'RM &amp; SF'!B:C, 2, 0)</f>
        <v>محمرة مناقيش</v>
      </c>
      <c r="E516" s="30" t="s">
        <v>2234</v>
      </c>
      <c r="F516" s="110">
        <v>4503</v>
      </c>
      <c r="G516" s="30" t="str">
        <f>VLOOKUP(F516, 'RM &amp; SF'!B:C, 2, 0)</f>
        <v>بصل ناشف دفش*****</v>
      </c>
      <c r="H516" s="89">
        <v>500</v>
      </c>
      <c r="I516" s="30" t="str">
        <f>VLOOKUP(F516, 'RM &amp; SF'!B:H, 4, 0)</f>
        <v>غم</v>
      </c>
      <c r="J516" s="90">
        <f t="shared" ref="J516:J523" si="48">H516/2</f>
        <v>250</v>
      </c>
      <c r="K516" s="91">
        <f>VLOOKUP(F516, 'RM &amp; SF'!B:H, 7, 0)</f>
        <v>2.5000000000000001E-4</v>
      </c>
      <c r="L516" s="92">
        <f t="shared" si="46"/>
        <v>6.25E-2</v>
      </c>
      <c r="M516" s="30" t="s">
        <v>810</v>
      </c>
    </row>
    <row r="517" spans="1:13" ht="14">
      <c r="A517" s="88" t="s">
        <v>2418</v>
      </c>
      <c r="B517" s="219" t="s">
        <v>612</v>
      </c>
      <c r="C517" s="30"/>
      <c r="D517" s="30" t="str">
        <f>VLOOKUP(B517, 'RM &amp; SF'!B:C, 2, 0)</f>
        <v>محمرة مناقيش</v>
      </c>
      <c r="E517" s="30" t="s">
        <v>2295</v>
      </c>
      <c r="F517" s="110">
        <v>4795</v>
      </c>
      <c r="G517" s="30" t="str">
        <f>VLOOKUP(F517, 'RM &amp; SF'!B:C, 2, 0)</f>
        <v>دبس فليفلة حلوة 650 غم*****</v>
      </c>
      <c r="H517" s="89">
        <v>100</v>
      </c>
      <c r="I517" s="30" t="str">
        <f>VLOOKUP(F517, 'RM &amp; SF'!B:H, 4, 0)</f>
        <v>غم</v>
      </c>
      <c r="J517" s="90">
        <f t="shared" si="48"/>
        <v>50</v>
      </c>
      <c r="K517" s="91">
        <f>VLOOKUP(F517, 'RM &amp; SF'!B:H, 7, 0)</f>
        <v>3.5918E-3</v>
      </c>
      <c r="L517" s="92">
        <f t="shared" si="46"/>
        <v>0.17959</v>
      </c>
      <c r="M517" s="30" t="s">
        <v>810</v>
      </c>
    </row>
    <row r="518" spans="1:13" ht="14">
      <c r="A518" s="88" t="s">
        <v>2418</v>
      </c>
      <c r="B518" s="219" t="s">
        <v>612</v>
      </c>
      <c r="C518" s="30"/>
      <c r="D518" s="30" t="str">
        <f>VLOOKUP(B518, 'RM &amp; SF'!B:C, 2, 0)</f>
        <v>محمرة مناقيش</v>
      </c>
      <c r="E518" s="30" t="s">
        <v>2309</v>
      </c>
      <c r="F518" s="110">
        <v>4491</v>
      </c>
      <c r="G518" s="30" t="str">
        <f>VLOOKUP(F518, 'RM &amp; SF'!B:C, 2, 0)</f>
        <v>بندورة جامدة*****</v>
      </c>
      <c r="H518" s="89">
        <v>4500</v>
      </c>
      <c r="I518" s="30" t="str">
        <f>VLOOKUP(F518, 'RM &amp; SF'!B:H, 4, 0)</f>
        <v>غم</v>
      </c>
      <c r="J518" s="90">
        <f t="shared" si="48"/>
        <v>2250</v>
      </c>
      <c r="K518" s="91">
        <f>VLOOKUP(F518, 'RM &amp; SF'!B:H, 7, 0)</f>
        <v>5.0000000000000001E-4</v>
      </c>
      <c r="L518" s="92">
        <f t="shared" si="46"/>
        <v>1.125</v>
      </c>
      <c r="M518" s="30" t="s">
        <v>810</v>
      </c>
    </row>
    <row r="519" spans="1:13" ht="14">
      <c r="A519" s="88" t="s">
        <v>2418</v>
      </c>
      <c r="B519" s="219" t="s">
        <v>612</v>
      </c>
      <c r="C519" s="30"/>
      <c r="D519" s="30" t="str">
        <f>VLOOKUP(B519, 'RM &amp; SF'!B:C, 2, 0)</f>
        <v>محمرة مناقيش</v>
      </c>
      <c r="E519" s="30" t="s">
        <v>2203</v>
      </c>
      <c r="F519" s="110">
        <v>4152</v>
      </c>
      <c r="G519" s="30" t="str">
        <f>VLOOKUP(F519, 'RM &amp; SF'!B:C, 2, 0)</f>
        <v>ملح طعام 750غم*****</v>
      </c>
      <c r="H519" s="89">
        <v>25</v>
      </c>
      <c r="I519" s="30" t="str">
        <f>VLOOKUP(F519, 'RM &amp; SF'!B:H, 4, 0)</f>
        <v>غم</v>
      </c>
      <c r="J519" s="90">
        <f t="shared" si="48"/>
        <v>12.5</v>
      </c>
      <c r="K519" s="91">
        <f>VLOOKUP(F519, 'RM &amp; SF'!B:H, 7, 0)</f>
        <v>1.7066666666666665E-4</v>
      </c>
      <c r="L519" s="92">
        <f t="shared" si="46"/>
        <v>2.133333333333333E-3</v>
      </c>
      <c r="M519" s="30" t="s">
        <v>810</v>
      </c>
    </row>
    <row r="520" spans="1:13" ht="14">
      <c r="A520" s="88" t="s">
        <v>2418</v>
      </c>
      <c r="B520" s="219" t="s">
        <v>612</v>
      </c>
      <c r="C520" s="30"/>
      <c r="D520" s="30" t="str">
        <f>VLOOKUP(B520, 'RM &amp; SF'!B:C, 2, 0)</f>
        <v>محمرة مناقيش</v>
      </c>
      <c r="E520" s="30" t="s">
        <v>3058</v>
      </c>
      <c r="F520" s="110">
        <v>4222</v>
      </c>
      <c r="G520" s="30" t="str">
        <f>VLOOKUP(F520, 'RM &amp; SF'!B:C, 2, 0)</f>
        <v>كمون ناعم*****</v>
      </c>
      <c r="H520" s="89">
        <v>30</v>
      </c>
      <c r="I520" s="30" t="str">
        <f>VLOOKUP(F520, 'RM &amp; SF'!B:H, 4, 0)</f>
        <v>غم</v>
      </c>
      <c r="J520" s="90">
        <f t="shared" si="48"/>
        <v>15</v>
      </c>
      <c r="K520" s="91">
        <f>VLOOKUP(F520, 'RM &amp; SF'!B:H, 7, 0)</f>
        <v>3.2330000000000002E-3</v>
      </c>
      <c r="L520" s="92">
        <f t="shared" si="46"/>
        <v>4.8495000000000003E-2</v>
      </c>
      <c r="M520" s="30" t="s">
        <v>810</v>
      </c>
    </row>
    <row r="521" spans="1:13" ht="14">
      <c r="A521" s="88" t="s">
        <v>2418</v>
      </c>
      <c r="B521" s="219" t="s">
        <v>612</v>
      </c>
      <c r="C521" s="30"/>
      <c r="D521" s="30" t="str">
        <f>VLOOKUP(B521, 'RM &amp; SF'!B:C, 2, 0)</f>
        <v>محمرة مناقيش</v>
      </c>
      <c r="E521" s="30" t="s">
        <v>2289</v>
      </c>
      <c r="F521" s="110">
        <v>4225</v>
      </c>
      <c r="G521" s="30" t="str">
        <f>VLOOKUP(F521, 'RM &amp; SF'!B:C, 2, 0)</f>
        <v>سمسم ابيض*****</v>
      </c>
      <c r="H521" s="89">
        <v>37</v>
      </c>
      <c r="I521" s="30" t="str">
        <f>VLOOKUP(F521, 'RM &amp; SF'!B:H, 4, 0)</f>
        <v>غم</v>
      </c>
      <c r="J521" s="90">
        <f t="shared" si="48"/>
        <v>18.5</v>
      </c>
      <c r="K521" s="91">
        <f>VLOOKUP(F521, 'RM &amp; SF'!B:H, 7, 0)</f>
        <v>2.2730000000000003E-3</v>
      </c>
      <c r="L521" s="92">
        <f t="shared" si="46"/>
        <v>4.2050500000000005E-2</v>
      </c>
      <c r="M521" s="30" t="s">
        <v>810</v>
      </c>
    </row>
    <row r="522" spans="1:13" ht="14">
      <c r="A522" s="88" t="s">
        <v>2418</v>
      </c>
      <c r="B522" s="219" t="s">
        <v>612</v>
      </c>
      <c r="C522" s="30"/>
      <c r="D522" s="30" t="str">
        <f>VLOOKUP(B522, 'RM &amp; SF'!B:C, 2, 0)</f>
        <v>محمرة مناقيش</v>
      </c>
      <c r="E522" s="30" t="s">
        <v>2233</v>
      </c>
      <c r="F522" s="110">
        <v>4501</v>
      </c>
      <c r="G522" s="30" t="str">
        <f>VLOOKUP(F522, 'RM &amp; SF'!B:C, 2, 0)</f>
        <v>فلفل حلو احمر*****</v>
      </c>
      <c r="H522" s="89">
        <v>325</v>
      </c>
      <c r="I522" s="30" t="str">
        <f>VLOOKUP(F522, 'RM &amp; SF'!B:H, 4, 0)</f>
        <v>غم</v>
      </c>
      <c r="J522" s="90">
        <f t="shared" si="48"/>
        <v>162.5</v>
      </c>
      <c r="K522" s="91">
        <f>VLOOKUP(F522, 'RM &amp; SF'!B:H, 7, 0)</f>
        <v>7.5000000000000002E-4</v>
      </c>
      <c r="L522" s="92">
        <f t="shared" si="46"/>
        <v>0.121875</v>
      </c>
      <c r="M522" s="30" t="s">
        <v>810</v>
      </c>
    </row>
    <row r="523" spans="1:13" ht="14">
      <c r="A523" s="88" t="s">
        <v>2418</v>
      </c>
      <c r="B523" s="219" t="s">
        <v>612</v>
      </c>
      <c r="C523" s="30"/>
      <c r="D523" s="30" t="str">
        <f>VLOOKUP(B523, 'RM &amp; SF'!B:C, 2, 0)</f>
        <v>محمرة مناقيش</v>
      </c>
      <c r="E523" s="30" t="s">
        <v>2286</v>
      </c>
      <c r="F523" s="110">
        <v>4206</v>
      </c>
      <c r="G523" s="30" t="str">
        <f>VLOOKUP(F523, 'RM &amp; SF'!B:C, 2, 0)</f>
        <v>قزحة (حبة البركة)*****</v>
      </c>
      <c r="H523" s="89">
        <v>37</v>
      </c>
      <c r="I523" s="30" t="str">
        <f>VLOOKUP(F523, 'RM &amp; SF'!B:H, 4, 0)</f>
        <v>غم</v>
      </c>
      <c r="J523" s="90">
        <f t="shared" si="48"/>
        <v>18.5</v>
      </c>
      <c r="K523" s="91">
        <f>VLOOKUP(F523, 'RM &amp; SF'!B:H, 7, 0)</f>
        <v>3.0169999999999997E-3</v>
      </c>
      <c r="L523" s="92">
        <f t="shared" si="46"/>
        <v>5.5814499999999996E-2</v>
      </c>
      <c r="M523" s="30" t="s">
        <v>810</v>
      </c>
    </row>
    <row r="524" spans="1:13" ht="14">
      <c r="A524" s="88" t="s">
        <v>2418</v>
      </c>
      <c r="B524" s="219" t="s">
        <v>612</v>
      </c>
      <c r="C524" s="30"/>
      <c r="D524" s="30" t="str">
        <f>VLOOKUP(B524, 'RM &amp; SF'!B:C, 2, 0)</f>
        <v>محمرة مناقيش</v>
      </c>
      <c r="E524" s="30" t="s">
        <v>2206</v>
      </c>
      <c r="F524" s="110">
        <v>4204</v>
      </c>
      <c r="G524" s="30" t="str">
        <f>VLOOKUP(F524, 'RM &amp; SF'!B:C, 2, 0)</f>
        <v>فلفل اسود ناعم*****</v>
      </c>
      <c r="H524" s="89">
        <v>30</v>
      </c>
      <c r="I524" s="30" t="str">
        <f>VLOOKUP(F524, 'RM &amp; SF'!B:H, 4, 0)</f>
        <v>غم</v>
      </c>
      <c r="J524" s="90">
        <f>H524/3</f>
        <v>10</v>
      </c>
      <c r="K524" s="91">
        <f>VLOOKUP(F524, 'RM &amp; SF'!B:H, 7, 0)</f>
        <v>6.8970000000000004E-3</v>
      </c>
      <c r="L524" s="92">
        <f t="shared" si="46"/>
        <v>6.8970000000000004E-2</v>
      </c>
      <c r="M524" s="30" t="s">
        <v>810</v>
      </c>
    </row>
    <row r="525" spans="1:13" ht="14">
      <c r="A525" s="88" t="s">
        <v>2420</v>
      </c>
      <c r="B525" s="219" t="s">
        <v>614</v>
      </c>
      <c r="C525" s="30"/>
      <c r="D525" s="30" t="str">
        <f>VLOOKUP(B525, 'RM &amp; SF'!B:C, 2, 0)</f>
        <v>طبخة فتة يالنجي</v>
      </c>
      <c r="E525" s="30" t="s">
        <v>2280</v>
      </c>
      <c r="F525" s="110">
        <v>4132</v>
      </c>
      <c r="G525" s="30" t="str">
        <f>VLOOKUP(F525, 'RM &amp; SF'!B:C, 2, 0)</f>
        <v>ارز حبة متوسطة*****</v>
      </c>
      <c r="H525" s="89">
        <v>1300</v>
      </c>
      <c r="I525" s="30" t="str">
        <f>VLOOKUP(F525, 'RM &amp; SF'!B:H, 4, 0)</f>
        <v>غم</v>
      </c>
      <c r="J525" s="90">
        <f t="shared" ref="J525:J536" si="49">H525/2.7</f>
        <v>481.48148148148147</v>
      </c>
      <c r="K525" s="91">
        <f>VLOOKUP(F525, 'RM &amp; SF'!B:H, 7, 0)</f>
        <v>1.1388000000000001E-3</v>
      </c>
      <c r="L525" s="92">
        <f t="shared" si="46"/>
        <v>0.54831111111111119</v>
      </c>
      <c r="M525" s="30" t="s">
        <v>810</v>
      </c>
    </row>
    <row r="526" spans="1:13" ht="14">
      <c r="A526" s="88" t="s">
        <v>2420</v>
      </c>
      <c r="B526" s="219" t="s">
        <v>614</v>
      </c>
      <c r="C526" s="30"/>
      <c r="D526" s="30" t="str">
        <f>VLOOKUP(B526, 'RM &amp; SF'!B:C, 2, 0)</f>
        <v>طبخة فتة يالنجي</v>
      </c>
      <c r="E526" s="30" t="s">
        <v>2251</v>
      </c>
      <c r="F526" s="110">
        <v>4544</v>
      </c>
      <c r="G526" s="30" t="str">
        <f>VLOOKUP(F526, 'RM &amp; SF'!B:C, 2, 0)</f>
        <v>بقدونس*****</v>
      </c>
      <c r="H526" s="89">
        <v>1</v>
      </c>
      <c r="I526" s="30" t="str">
        <f>VLOOKUP(F526, 'RM &amp; SF'!B:H, 4, 0)</f>
        <v>غم</v>
      </c>
      <c r="J526" s="90">
        <f t="shared" si="49"/>
        <v>0.37037037037037035</v>
      </c>
      <c r="K526" s="91">
        <f>VLOOKUP(F526, 'RM &amp; SF'!B:H, 7, 0)</f>
        <v>7.5000000000000002E-4</v>
      </c>
      <c r="L526" s="92">
        <f t="shared" si="46"/>
        <v>2.7777777777777778E-4</v>
      </c>
      <c r="M526" s="30" t="s">
        <v>810</v>
      </c>
    </row>
    <row r="527" spans="1:13" ht="14">
      <c r="A527" s="88" t="s">
        <v>2420</v>
      </c>
      <c r="B527" s="219" t="s">
        <v>614</v>
      </c>
      <c r="C527" s="30"/>
      <c r="D527" s="30" t="str">
        <f>VLOOKUP(B527, 'RM &amp; SF'!B:C, 2, 0)</f>
        <v>طبخة فتة يالنجي</v>
      </c>
      <c r="E527" s="30" t="s">
        <v>2253</v>
      </c>
      <c r="F527" s="110">
        <v>4547</v>
      </c>
      <c r="G527" s="30" t="str">
        <f>VLOOKUP(F527, 'RM &amp; SF'!B:C, 2, 0)</f>
        <v>نعنع*****</v>
      </c>
      <c r="H527" s="89">
        <v>1</v>
      </c>
      <c r="I527" s="30" t="str">
        <f>VLOOKUP(F527, 'RM &amp; SF'!B:H, 4, 0)</f>
        <v>غم</v>
      </c>
      <c r="J527" s="90">
        <f t="shared" si="49"/>
        <v>0.37037037037037035</v>
      </c>
      <c r="K527" s="91">
        <f>VLOOKUP(F527, 'RM &amp; SF'!B:H, 7, 0)</f>
        <v>7.5000000000000002E-4</v>
      </c>
      <c r="L527" s="92">
        <f t="shared" si="46"/>
        <v>2.7777777777777778E-4</v>
      </c>
      <c r="M527" s="30" t="s">
        <v>810</v>
      </c>
    </row>
    <row r="528" spans="1:13" ht="14">
      <c r="A528" s="88" t="s">
        <v>2420</v>
      </c>
      <c r="B528" s="219" t="s">
        <v>614</v>
      </c>
      <c r="C528" s="30"/>
      <c r="D528" s="30" t="str">
        <f>VLOOKUP(B528, 'RM &amp; SF'!B:C, 2, 0)</f>
        <v>طبخة فتة يالنجي</v>
      </c>
      <c r="E528" s="30" t="s">
        <v>2309</v>
      </c>
      <c r="F528" s="110">
        <v>4491</v>
      </c>
      <c r="G528" s="30" t="str">
        <f>VLOOKUP(F528, 'RM &amp; SF'!B:C, 2, 0)</f>
        <v>بندورة جامدة*****</v>
      </c>
      <c r="H528" s="89">
        <v>132</v>
      </c>
      <c r="I528" s="30" t="str">
        <f>VLOOKUP(F528, 'RM &amp; SF'!B:H, 4, 0)</f>
        <v>غم</v>
      </c>
      <c r="J528" s="90">
        <f t="shared" si="49"/>
        <v>48.888888888888886</v>
      </c>
      <c r="K528" s="91">
        <f>VLOOKUP(F528, 'RM &amp; SF'!B:H, 7, 0)</f>
        <v>5.0000000000000001E-4</v>
      </c>
      <c r="L528" s="92">
        <f t="shared" si="46"/>
        <v>2.4444444444444442E-2</v>
      </c>
      <c r="M528" s="30" t="s">
        <v>810</v>
      </c>
    </row>
    <row r="529" spans="1:16" ht="14">
      <c r="A529" s="88" t="s">
        <v>2420</v>
      </c>
      <c r="B529" s="219" t="s">
        <v>614</v>
      </c>
      <c r="C529" s="30"/>
      <c r="D529" s="30" t="str">
        <f>VLOOKUP(B529, 'RM &amp; SF'!B:C, 2, 0)</f>
        <v>طبخة فتة يالنجي</v>
      </c>
      <c r="E529" s="30" t="s">
        <v>2234</v>
      </c>
      <c r="F529" s="110">
        <v>4503</v>
      </c>
      <c r="G529" s="30" t="str">
        <f>VLOOKUP(F529, 'RM &amp; SF'!B:C, 2, 0)</f>
        <v>بصل ناشف دفش*****</v>
      </c>
      <c r="H529" s="89">
        <v>200</v>
      </c>
      <c r="I529" s="30" t="str">
        <f>VLOOKUP(F529, 'RM &amp; SF'!B:H, 4, 0)</f>
        <v>غم</v>
      </c>
      <c r="J529" s="90">
        <f t="shared" si="49"/>
        <v>74.074074074074076</v>
      </c>
      <c r="K529" s="91">
        <f>VLOOKUP(F529, 'RM &amp; SF'!B:H, 7, 0)</f>
        <v>2.5000000000000001E-4</v>
      </c>
      <c r="L529" s="92">
        <f t="shared" si="46"/>
        <v>1.8518518518518521E-2</v>
      </c>
      <c r="M529" s="30" t="s">
        <v>810</v>
      </c>
    </row>
    <row r="530" spans="1:16" ht="14">
      <c r="A530" s="88" t="s">
        <v>2420</v>
      </c>
      <c r="B530" s="219" t="s">
        <v>614</v>
      </c>
      <c r="C530" s="30"/>
      <c r="D530" s="30" t="str">
        <f>VLOOKUP(B530, 'RM &amp; SF'!B:C, 2, 0)</f>
        <v>طبخة فتة يالنجي</v>
      </c>
      <c r="E530" s="30" t="s">
        <v>3058</v>
      </c>
      <c r="F530" s="110">
        <v>4045</v>
      </c>
      <c r="G530" s="30" t="str">
        <f>VLOOKUP(F530, 'RM &amp; SF'!B:C, 2, 0)</f>
        <v>معجون الطماطم 1375 غم*****</v>
      </c>
      <c r="H530" s="89">
        <v>125</v>
      </c>
      <c r="I530" s="30" t="str">
        <f>VLOOKUP(F530, 'RM &amp; SF'!B:H, 4, 0)</f>
        <v>غم</v>
      </c>
      <c r="J530" s="90">
        <f t="shared" si="49"/>
        <v>46.296296296296291</v>
      </c>
      <c r="K530" s="91">
        <f>VLOOKUP(F530, 'RM &amp; SF'!B:H, 7, 0)</f>
        <v>1.3665999999999999E-3</v>
      </c>
      <c r="L530" s="92">
        <f t="shared" si="46"/>
        <v>6.3268518518518502E-2</v>
      </c>
      <c r="M530" s="30" t="s">
        <v>810</v>
      </c>
    </row>
    <row r="531" spans="1:16" ht="14">
      <c r="A531" s="88" t="s">
        <v>2420</v>
      </c>
      <c r="B531" s="219" t="s">
        <v>614</v>
      </c>
      <c r="C531" s="30"/>
      <c r="D531" s="30" t="str">
        <f>VLOOKUP(B531, 'RM &amp; SF'!B:C, 2, 0)</f>
        <v>طبخة فتة يالنجي</v>
      </c>
      <c r="E531" s="30" t="s">
        <v>2255</v>
      </c>
      <c r="F531" s="110">
        <v>4573</v>
      </c>
      <c r="G531" s="30" t="str">
        <f>VLOOKUP(F531, 'RM &amp; SF'!B:C, 2, 0)</f>
        <v>عصير ليمون طازج 2.5 لتر*****</v>
      </c>
      <c r="H531" s="89">
        <v>180</v>
      </c>
      <c r="I531" s="30" t="str">
        <f>VLOOKUP(F531, 'RM &amp; SF'!B:H, 4, 0)</f>
        <v>مل</v>
      </c>
      <c r="J531" s="90">
        <f t="shared" si="49"/>
        <v>66.666666666666657</v>
      </c>
      <c r="K531" s="91">
        <f>VLOOKUP(F531, 'RM &amp; SF'!B:H, 7, 0)</f>
        <v>2.5999999999999999E-3</v>
      </c>
      <c r="L531" s="92">
        <f t="shared" si="46"/>
        <v>0.17333333333333331</v>
      </c>
      <c r="M531" s="30" t="s">
        <v>810</v>
      </c>
    </row>
    <row r="532" spans="1:16" ht="14">
      <c r="A532" s="88" t="s">
        <v>2420</v>
      </c>
      <c r="B532" s="219" t="s">
        <v>614</v>
      </c>
      <c r="C532" s="30"/>
      <c r="D532" s="30" t="str">
        <f>VLOOKUP(B532, 'RM &amp; SF'!B:C, 2, 0)</f>
        <v>طبخة فتة يالنجي</v>
      </c>
      <c r="E532" s="30" t="s">
        <v>2265</v>
      </c>
      <c r="F532" s="110">
        <v>4006</v>
      </c>
      <c r="G532" s="30" t="str">
        <f>VLOOKUP(F532, 'RM &amp; SF'!B:C, 2, 0)</f>
        <v>دبس رمان 5 كغ (مادة أولية)*****</v>
      </c>
      <c r="H532" s="89">
        <v>125</v>
      </c>
      <c r="I532" s="30" t="str">
        <f>VLOOKUP(F532, 'RM &amp; SF'!B:H, 4, 0)</f>
        <v>غم</v>
      </c>
      <c r="J532" s="90">
        <f t="shared" si="49"/>
        <v>46.296296296296291</v>
      </c>
      <c r="K532" s="91">
        <f>VLOOKUP(F532, 'RM &amp; SF'!B:H, 7, 0)</f>
        <v>1.508E-3</v>
      </c>
      <c r="L532" s="92">
        <f t="shared" si="46"/>
        <v>6.9814814814814802E-2</v>
      </c>
      <c r="M532" s="30" t="s">
        <v>810</v>
      </c>
    </row>
    <row r="533" spans="1:16" ht="14">
      <c r="A533" s="88" t="s">
        <v>2420</v>
      </c>
      <c r="B533" s="219" t="s">
        <v>614</v>
      </c>
      <c r="C533" s="30"/>
      <c r="D533" s="30" t="str">
        <f>VLOOKUP(B533, 'RM &amp; SF'!B:C, 2, 0)</f>
        <v>طبخة فتة يالنجي</v>
      </c>
      <c r="E533" s="30" t="s">
        <v>2203</v>
      </c>
      <c r="F533" s="110">
        <v>4152</v>
      </c>
      <c r="G533" s="30" t="str">
        <f>VLOOKUP(F533, 'RM &amp; SF'!B:C, 2, 0)</f>
        <v>ملح طعام 750غم*****</v>
      </c>
      <c r="H533" s="89">
        <v>24</v>
      </c>
      <c r="I533" s="30" t="str">
        <f>VLOOKUP(F533, 'RM &amp; SF'!B:H, 4, 0)</f>
        <v>غم</v>
      </c>
      <c r="J533" s="90">
        <f t="shared" si="49"/>
        <v>8.8888888888888875</v>
      </c>
      <c r="K533" s="91">
        <f>VLOOKUP(F533, 'RM &amp; SF'!B:H, 7, 0)</f>
        <v>1.7066666666666665E-4</v>
      </c>
      <c r="L533" s="92">
        <f t="shared" si="46"/>
        <v>1.5170370370370366E-3</v>
      </c>
      <c r="M533" s="30" t="s">
        <v>810</v>
      </c>
    </row>
    <row r="534" spans="1:16" ht="14">
      <c r="A534" s="88" t="s">
        <v>2420</v>
      </c>
      <c r="B534" s="219" t="s">
        <v>614</v>
      </c>
      <c r="C534" s="30"/>
      <c r="D534" s="30" t="str">
        <f>VLOOKUP(B534, 'RM &amp; SF'!B:C, 2, 0)</f>
        <v>طبخة فتة يالنجي</v>
      </c>
      <c r="E534" s="30" t="s">
        <v>3058</v>
      </c>
      <c r="F534" s="110">
        <v>4022</v>
      </c>
      <c r="G534" s="30" t="str">
        <f>VLOOKUP(F534, 'RM &amp; SF'!B:C, 2, 0)</f>
        <v>مرق الدجاج بودرة 1 كغ*****</v>
      </c>
      <c r="H534" s="89">
        <v>63</v>
      </c>
      <c r="I534" s="30" t="str">
        <f>VLOOKUP(F534, 'RM &amp; SF'!B:H, 4, 0)</f>
        <v>غم</v>
      </c>
      <c r="J534" s="90">
        <f t="shared" si="49"/>
        <v>23.333333333333332</v>
      </c>
      <c r="K534" s="91">
        <f>VLOOKUP(F534, 'RM &amp; SF'!B:H, 7, 0)</f>
        <v>4.7054597701149427E-3</v>
      </c>
      <c r="L534" s="92">
        <f t="shared" si="46"/>
        <v>0.10979406130268199</v>
      </c>
      <c r="M534" s="30" t="s">
        <v>810</v>
      </c>
    </row>
    <row r="535" spans="1:16" ht="14">
      <c r="A535" s="88" t="s">
        <v>2420</v>
      </c>
      <c r="B535" s="219" t="s">
        <v>614</v>
      </c>
      <c r="C535" s="30"/>
      <c r="D535" s="30" t="str">
        <f>VLOOKUP(B535, 'RM &amp; SF'!B:C, 2, 0)</f>
        <v>طبخة فتة يالنجي</v>
      </c>
      <c r="E535" s="30" t="s">
        <v>2211</v>
      </c>
      <c r="F535" s="110">
        <v>4214</v>
      </c>
      <c r="G535" s="30" t="str">
        <f>VLOOKUP(F535, 'RM &amp; SF'!B:C, 2, 0)</f>
        <v>قرفة ناعمة*****</v>
      </c>
      <c r="H535" s="89">
        <v>6</v>
      </c>
      <c r="I535" s="30" t="str">
        <f>VLOOKUP(F535, 'RM &amp; SF'!B:H, 4, 0)</f>
        <v>غم</v>
      </c>
      <c r="J535" s="90">
        <f t="shared" si="49"/>
        <v>2.2222222222222219</v>
      </c>
      <c r="K535" s="91">
        <f>VLOOKUP(F535, 'RM &amp; SF'!B:H, 7, 0)</f>
        <v>2.8020000000000002E-3</v>
      </c>
      <c r="L535" s="92">
        <f t="shared" si="46"/>
        <v>6.2266666666666659E-3</v>
      </c>
      <c r="M535" s="30" t="s">
        <v>810</v>
      </c>
    </row>
    <row r="536" spans="1:16" ht="14">
      <c r="A536" s="88" t="s">
        <v>2420</v>
      </c>
      <c r="B536" s="219" t="s">
        <v>614</v>
      </c>
      <c r="C536" s="30"/>
      <c r="D536" s="30" t="str">
        <f>VLOOKUP(B536, 'RM &amp; SF'!B:C, 2, 0)</f>
        <v>طبخة فتة يالنجي</v>
      </c>
      <c r="E536" s="30" t="s">
        <v>2206</v>
      </c>
      <c r="F536" s="110">
        <v>4204</v>
      </c>
      <c r="G536" s="30" t="str">
        <f>VLOOKUP(F536, 'RM &amp; SF'!B:C, 2, 0)</f>
        <v>فلفل اسود ناعم*****</v>
      </c>
      <c r="H536" s="89">
        <v>4</v>
      </c>
      <c r="I536" s="30" t="str">
        <f>VLOOKUP(F536, 'RM &amp; SF'!B:H, 4, 0)</f>
        <v>غم</v>
      </c>
      <c r="J536" s="90">
        <f t="shared" si="49"/>
        <v>1.4814814814814814</v>
      </c>
      <c r="K536" s="91">
        <f>VLOOKUP(F536, 'RM &amp; SF'!B:H, 7, 0)</f>
        <v>6.8970000000000004E-3</v>
      </c>
      <c r="L536" s="92">
        <f t="shared" si="46"/>
        <v>1.0217777777777777E-2</v>
      </c>
      <c r="M536" s="30" t="s">
        <v>810</v>
      </c>
    </row>
    <row r="537" spans="1:16" ht="14">
      <c r="A537" s="88" t="s">
        <v>3185</v>
      </c>
      <c r="B537" s="188" t="s">
        <v>616</v>
      </c>
      <c r="C537" s="30"/>
      <c r="D537" s="30" t="str">
        <f>VLOOKUP(B537, 'RM &amp; SF'!B:C, 2, 0)</f>
        <v>كسرة الخلطة للتركي</v>
      </c>
      <c r="E537" s="30" t="s">
        <v>2309</v>
      </c>
      <c r="F537" s="110">
        <v>4491</v>
      </c>
      <c r="G537" s="30" t="str">
        <f>VLOOKUP(F537, 'RM &amp; SF'!B:C, 2, 0)</f>
        <v>بندورة جامدة*****</v>
      </c>
      <c r="H537" s="89">
        <v>3000</v>
      </c>
      <c r="I537" s="30" t="str">
        <f>VLOOKUP(F537, 'RM &amp; SF'!B:H, 4, 0)</f>
        <v>غم</v>
      </c>
      <c r="J537" s="90">
        <f t="shared" ref="J537:J561" si="50">H537/40.6</f>
        <v>73.891625615763544</v>
      </c>
      <c r="K537" s="91">
        <f>VLOOKUP(F537, 'RM &amp; SF'!B:H, 7, 0)</f>
        <v>5.0000000000000001E-4</v>
      </c>
      <c r="L537" s="92">
        <f t="shared" si="46"/>
        <v>3.694581280788177E-2</v>
      </c>
      <c r="M537" s="30" t="s">
        <v>810</v>
      </c>
      <c r="P537" s="88" t="s">
        <v>2156</v>
      </c>
    </row>
    <row r="538" spans="1:16" ht="14">
      <c r="A538" s="88" t="s">
        <v>3185</v>
      </c>
      <c r="B538" s="188" t="s">
        <v>616</v>
      </c>
      <c r="C538" s="30"/>
      <c r="D538" s="30" t="str">
        <f>VLOOKUP(B538, 'RM &amp; SF'!B:C, 2, 0)</f>
        <v>كسرة الخلطة للتركي</v>
      </c>
      <c r="E538" s="30" t="s">
        <v>2239</v>
      </c>
      <c r="F538" s="110">
        <v>4513</v>
      </c>
      <c r="G538" s="30" t="str">
        <f>VLOOKUP(F538, 'RM &amp; SF'!B:C, 2, 0)</f>
        <v>ليمون اصفر*****</v>
      </c>
      <c r="H538" s="89">
        <v>2000</v>
      </c>
      <c r="I538" s="30" t="str">
        <f>VLOOKUP(F538, 'RM &amp; SF'!B:H, 4, 0)</f>
        <v>غم</v>
      </c>
      <c r="J538" s="90">
        <f t="shared" si="50"/>
        <v>49.261083743842363</v>
      </c>
      <c r="K538" s="91">
        <f>VLOOKUP(F538, 'RM &amp; SF'!B:H, 7, 0)</f>
        <v>1.75E-3</v>
      </c>
      <c r="L538" s="92">
        <f t="shared" si="46"/>
        <v>8.6206896551724144E-2</v>
      </c>
      <c r="M538" s="30" t="s">
        <v>810</v>
      </c>
      <c r="P538" s="88" t="s">
        <v>2156</v>
      </c>
    </row>
    <row r="539" spans="1:16" ht="14">
      <c r="A539" s="88" t="s">
        <v>3185</v>
      </c>
      <c r="B539" s="188" t="s">
        <v>616</v>
      </c>
      <c r="C539" s="30"/>
      <c r="D539" s="30" t="str">
        <f>VLOOKUP(B539, 'RM &amp; SF'!B:C, 2, 0)</f>
        <v>كسرة الخلطة للتركي</v>
      </c>
      <c r="E539" s="30" t="s">
        <v>2245</v>
      </c>
      <c r="F539" s="110">
        <v>4523</v>
      </c>
      <c r="G539" s="30" t="str">
        <f>VLOOKUP(F539, 'RM &amp; SF'!B:C, 2, 0)</f>
        <v>زنجبيل طازج*****</v>
      </c>
      <c r="H539" s="89">
        <v>500</v>
      </c>
      <c r="I539" s="30" t="str">
        <f>VLOOKUP(F539, 'RM &amp; SF'!B:H, 4, 0)</f>
        <v>غم</v>
      </c>
      <c r="J539" s="90">
        <f t="shared" si="50"/>
        <v>12.315270935960591</v>
      </c>
      <c r="K539" s="91">
        <f>VLOOKUP(F539, 'RM &amp; SF'!B:H, 7, 0)</f>
        <v>3.0000000000000001E-3</v>
      </c>
      <c r="L539" s="92">
        <f t="shared" si="46"/>
        <v>3.694581280788177E-2</v>
      </c>
      <c r="M539" s="30" t="s">
        <v>810</v>
      </c>
      <c r="P539" s="88" t="s">
        <v>2156</v>
      </c>
    </row>
    <row r="540" spans="1:16" ht="14">
      <c r="A540" s="88" t="s">
        <v>3185</v>
      </c>
      <c r="B540" s="188" t="s">
        <v>616</v>
      </c>
      <c r="C540" s="30"/>
      <c r="D540" s="30" t="str">
        <f>VLOOKUP(B540, 'RM &amp; SF'!B:C, 2, 0)</f>
        <v>كسرة الخلطة للتركي</v>
      </c>
      <c r="E540" s="30" t="s">
        <v>2236</v>
      </c>
      <c r="F540" s="110">
        <v>4505</v>
      </c>
      <c r="G540" s="30" t="str">
        <f>VLOOKUP(F540, 'RM &amp; SF'!B:C, 2, 0)</f>
        <v>ثوم طازج كامل*****</v>
      </c>
      <c r="H540" s="89">
        <v>2000</v>
      </c>
      <c r="I540" s="30" t="str">
        <f>VLOOKUP(F540, 'RM &amp; SF'!B:H, 4, 0)</f>
        <v>غم</v>
      </c>
      <c r="J540" s="90">
        <f t="shared" si="50"/>
        <v>49.261083743842363</v>
      </c>
      <c r="K540" s="91">
        <f>VLOOKUP(F540, 'RM &amp; SF'!B:H, 7, 0)</f>
        <v>3.5000000000000001E-3</v>
      </c>
      <c r="L540" s="92">
        <f t="shared" si="46"/>
        <v>0.17241379310344829</v>
      </c>
      <c r="M540" s="30" t="s">
        <v>810</v>
      </c>
      <c r="P540" s="88" t="s">
        <v>2156</v>
      </c>
    </row>
    <row r="541" spans="1:16" ht="14">
      <c r="A541" s="88" t="s">
        <v>3185</v>
      </c>
      <c r="B541" s="188" t="s">
        <v>616</v>
      </c>
      <c r="C541" s="30"/>
      <c r="D541" s="30" t="str">
        <f>VLOOKUP(B541, 'RM &amp; SF'!B:C, 2, 0)</f>
        <v>كسرة الخلطة للتركي</v>
      </c>
      <c r="E541" s="30" t="s">
        <v>2214</v>
      </c>
      <c r="F541" s="110">
        <v>4223</v>
      </c>
      <c r="G541" s="30" t="str">
        <f>VLOOKUP(F541, 'RM &amp; SF'!B:C, 2, 0)</f>
        <v>بهارات كاري*****</v>
      </c>
      <c r="H541" s="89">
        <v>1000</v>
      </c>
      <c r="I541" s="30" t="str">
        <f>VLOOKUP(F541, 'RM &amp; SF'!B:H, 4, 0)</f>
        <v>غم</v>
      </c>
      <c r="J541" s="90">
        <f t="shared" si="50"/>
        <v>24.630541871921181</v>
      </c>
      <c r="K541" s="91">
        <f>VLOOKUP(F541, 'RM &amp; SF'!B:H, 7, 0)</f>
        <v>2.2409999999999999E-3</v>
      </c>
      <c r="L541" s="92">
        <f t="shared" si="46"/>
        <v>5.5197044334975368E-2</v>
      </c>
      <c r="M541" s="30" t="s">
        <v>810</v>
      </c>
      <c r="P541" s="88" t="s">
        <v>2156</v>
      </c>
    </row>
    <row r="542" spans="1:16" ht="14">
      <c r="A542" s="88" t="s">
        <v>3185</v>
      </c>
      <c r="B542" s="188" t="s">
        <v>616</v>
      </c>
      <c r="C542" s="30"/>
      <c r="D542" s="30" t="str">
        <f>VLOOKUP(B542, 'RM &amp; SF'!B:C, 2, 0)</f>
        <v>كسرة الخلطة للتركي</v>
      </c>
      <c r="E542" s="30" t="s">
        <v>3058</v>
      </c>
      <c r="F542" s="110">
        <v>4044</v>
      </c>
      <c r="G542" s="30" t="str">
        <f>VLOOKUP(F542, 'RM &amp; SF'!B:C, 2, 0)</f>
        <v>خردل ديجون الاضافي القوي 200 غم*****</v>
      </c>
      <c r="H542" s="89">
        <v>1000</v>
      </c>
      <c r="I542" s="30" t="str">
        <f>VLOOKUP(F542, 'RM &amp; SF'!B:H, 4, 0)</f>
        <v>غم</v>
      </c>
      <c r="J542" s="90">
        <f t="shared" si="50"/>
        <v>24.630541871921181</v>
      </c>
      <c r="K542" s="91">
        <f>VLOOKUP(F542, 'RM &amp; SF'!B:H, 7, 0)</f>
        <v>8.0057142857142861E-3</v>
      </c>
      <c r="L542" s="92">
        <f t="shared" si="46"/>
        <v>0.19718508092892328</v>
      </c>
      <c r="M542" s="30" t="s">
        <v>810</v>
      </c>
      <c r="P542" s="88" t="s">
        <v>2156</v>
      </c>
    </row>
    <row r="543" spans="1:16" ht="14">
      <c r="A543" s="88" t="s">
        <v>3185</v>
      </c>
      <c r="B543" s="188" t="s">
        <v>616</v>
      </c>
      <c r="C543" s="30"/>
      <c r="D543" s="30" t="str">
        <f>VLOOKUP(B543, 'RM &amp; SF'!B:C, 2, 0)</f>
        <v>كسرة الخلطة للتركي</v>
      </c>
      <c r="E543" s="30" t="s">
        <v>2175</v>
      </c>
      <c r="F543" s="110">
        <v>4562</v>
      </c>
      <c r="G543" s="30" t="str">
        <f>VLOOKUP(F543, 'RM &amp; SF'!B:C, 2, 0)</f>
        <v>*****جبنة شدر احمر شرائح 2.270 كغ</v>
      </c>
      <c r="H543" s="94">
        <v>83.333333333333329</v>
      </c>
      <c r="I543" s="30" t="str">
        <f>VLOOKUP(F543, 'RM &amp; SF'!B:H, 4, 0)</f>
        <v>قطعة</v>
      </c>
      <c r="J543" s="90">
        <f t="shared" si="50"/>
        <v>2.0525451559934318</v>
      </c>
      <c r="K543" s="91">
        <f>VLOOKUP(F543, 'RM &amp; SF'!B:H, 7, 0)</f>
        <v>0.18560000000000001</v>
      </c>
      <c r="L543" s="92">
        <f t="shared" si="46"/>
        <v>0.38095238095238099</v>
      </c>
      <c r="M543" s="30" t="s">
        <v>810</v>
      </c>
      <c r="P543" s="88" t="s">
        <v>2156</v>
      </c>
    </row>
    <row r="544" spans="1:16" ht="14">
      <c r="A544" s="88" t="s">
        <v>3185</v>
      </c>
      <c r="B544" s="188" t="s">
        <v>616</v>
      </c>
      <c r="C544" s="30"/>
      <c r="D544" s="30" t="str">
        <f>VLOOKUP(B544, 'RM &amp; SF'!B:C, 2, 0)</f>
        <v>كسرة الخلطة للتركي</v>
      </c>
      <c r="E544" s="30" t="s">
        <v>2208</v>
      </c>
      <c r="F544" s="110">
        <v>4211</v>
      </c>
      <c r="G544" s="30" t="str">
        <f>VLOOKUP(F544, 'RM &amp; SF'!B:C, 2, 0)</f>
        <v>كزبرة ناعمة*****</v>
      </c>
      <c r="H544" s="89">
        <v>1000</v>
      </c>
      <c r="I544" s="30" t="str">
        <f>VLOOKUP(F544, 'RM &amp; SF'!B:H, 4, 0)</f>
        <v>غم</v>
      </c>
      <c r="J544" s="90">
        <f t="shared" si="50"/>
        <v>24.630541871921181</v>
      </c>
      <c r="K544" s="91">
        <f>VLOOKUP(F544, 'RM &amp; SF'!B:H, 7, 0)</f>
        <v>1.5089999999999999E-3</v>
      </c>
      <c r="L544" s="92">
        <f t="shared" si="46"/>
        <v>3.7167487684729064E-2</v>
      </c>
      <c r="M544" s="30" t="s">
        <v>810</v>
      </c>
      <c r="P544" s="88" t="s">
        <v>2156</v>
      </c>
    </row>
    <row r="545" spans="1:16" ht="14">
      <c r="A545" s="88" t="s">
        <v>3185</v>
      </c>
      <c r="B545" s="188" t="s">
        <v>616</v>
      </c>
      <c r="C545" s="30"/>
      <c r="D545" s="30" t="str">
        <f>VLOOKUP(B545, 'RM &amp; SF'!B:C, 2, 0)</f>
        <v>كسرة الخلطة للتركي</v>
      </c>
      <c r="E545" s="30" t="s">
        <v>2221</v>
      </c>
      <c r="F545" s="110">
        <v>4237</v>
      </c>
      <c r="G545" s="30" t="str">
        <f>VLOOKUP(F545, 'RM &amp; SF'!B:C, 2, 0)</f>
        <v>ثوم ناعم*****</v>
      </c>
      <c r="H545" s="89">
        <v>1000</v>
      </c>
      <c r="I545" s="30" t="str">
        <f>VLOOKUP(F545, 'RM &amp; SF'!B:H, 4, 0)</f>
        <v>غم</v>
      </c>
      <c r="J545" s="90">
        <f t="shared" si="50"/>
        <v>24.630541871921181</v>
      </c>
      <c r="K545" s="91">
        <f>VLOOKUP(F545, 'RM &amp; SF'!B:H, 7, 0)</f>
        <v>2.3709999999999998E-3</v>
      </c>
      <c r="L545" s="92">
        <f t="shared" si="46"/>
        <v>5.8399014778325119E-2</v>
      </c>
      <c r="M545" s="30" t="s">
        <v>810</v>
      </c>
      <c r="P545" s="88" t="s">
        <v>2156</v>
      </c>
    </row>
    <row r="546" spans="1:16" ht="14">
      <c r="A546" s="88" t="s">
        <v>3185</v>
      </c>
      <c r="B546" s="188" t="s">
        <v>616</v>
      </c>
      <c r="C546" s="30"/>
      <c r="D546" s="30" t="str">
        <f>VLOOKUP(B546, 'RM &amp; SF'!B:C, 2, 0)</f>
        <v>كسرة الخلطة للتركي</v>
      </c>
      <c r="E546" s="30" t="s">
        <v>2220</v>
      </c>
      <c r="F546" s="110">
        <v>4236</v>
      </c>
      <c r="G546" s="30" t="str">
        <f>VLOOKUP(F546, 'RM &amp; SF'!B:C, 2, 0)</f>
        <v>بصل ناعم*****</v>
      </c>
      <c r="H546" s="89">
        <v>700</v>
      </c>
      <c r="I546" s="30" t="str">
        <f>VLOOKUP(F546, 'RM &amp; SF'!B:H, 4, 0)</f>
        <v>غم</v>
      </c>
      <c r="J546" s="90">
        <f t="shared" si="50"/>
        <v>17.241379310344826</v>
      </c>
      <c r="K546" s="91">
        <f>VLOOKUP(F546, 'RM &amp; SF'!B:H, 7, 0)</f>
        <v>2.3709999999999998E-3</v>
      </c>
      <c r="L546" s="92">
        <f t="shared" si="46"/>
        <v>4.0879310344827578E-2</v>
      </c>
      <c r="M546" s="30" t="s">
        <v>810</v>
      </c>
      <c r="P546" s="88" t="s">
        <v>2156</v>
      </c>
    </row>
    <row r="547" spans="1:16" ht="14">
      <c r="A547" s="88" t="s">
        <v>3185</v>
      </c>
      <c r="B547" s="188" t="s">
        <v>616</v>
      </c>
      <c r="C547" s="30"/>
      <c r="D547" s="30" t="str">
        <f>VLOOKUP(B547, 'RM &amp; SF'!B:C, 2, 0)</f>
        <v>كسرة الخلطة للتركي</v>
      </c>
      <c r="E547" s="30" t="s">
        <v>2260</v>
      </c>
      <c r="F547" s="110">
        <v>4160</v>
      </c>
      <c r="G547" s="30" t="str">
        <f>VLOOKUP(F547, 'RM &amp; SF'!B:C, 2, 0)</f>
        <v>زيت صويا 18 لتر*****</v>
      </c>
      <c r="H547" s="89">
        <v>18000</v>
      </c>
      <c r="I547" s="30" t="str">
        <f>VLOOKUP(F547, 'RM &amp; SF'!B:H, 4, 0)</f>
        <v>مل</v>
      </c>
      <c r="J547" s="90">
        <f t="shared" si="50"/>
        <v>443.34975369458124</v>
      </c>
      <c r="K547" s="91">
        <f>VLOOKUP(F547, 'RM &amp; SF'!B:H, 7, 0)</f>
        <v>1.335E-3</v>
      </c>
      <c r="L547" s="92">
        <f t="shared" si="46"/>
        <v>0.59187192118226595</v>
      </c>
      <c r="M547" s="30" t="s">
        <v>810</v>
      </c>
      <c r="P547" s="88" t="s">
        <v>2156</v>
      </c>
    </row>
    <row r="548" spans="1:16" ht="14">
      <c r="A548" s="88" t="s">
        <v>3185</v>
      </c>
      <c r="B548" s="188" t="s">
        <v>616</v>
      </c>
      <c r="C548" s="30"/>
      <c r="D548" s="30" t="str">
        <f>VLOOKUP(B548, 'RM &amp; SF'!B:C, 2, 0)</f>
        <v>كسرة الخلطة للتركي</v>
      </c>
      <c r="E548" s="30" t="s">
        <v>2218</v>
      </c>
      <c r="F548" s="110">
        <v>4233</v>
      </c>
      <c r="G548" s="30" t="str">
        <f>VLOOKUP(F548, 'RM &amp; SF'!B:C, 2, 0)</f>
        <v>هال ناعم*****</v>
      </c>
      <c r="H548" s="89">
        <v>350</v>
      </c>
      <c r="I548" s="30" t="str">
        <f>VLOOKUP(F548, 'RM &amp; SF'!B:H, 4, 0)</f>
        <v>غم</v>
      </c>
      <c r="J548" s="90">
        <f t="shared" si="50"/>
        <v>8.6206896551724128</v>
      </c>
      <c r="K548" s="91">
        <f>VLOOKUP(F548, 'RM &amp; SF'!B:H, 7, 0)</f>
        <v>2.3E-2</v>
      </c>
      <c r="L548" s="92">
        <f t="shared" si="46"/>
        <v>0.1982758620689655</v>
      </c>
      <c r="M548" s="30" t="s">
        <v>810</v>
      </c>
      <c r="P548" s="88" t="s">
        <v>2156</v>
      </c>
    </row>
    <row r="549" spans="1:16" ht="14">
      <c r="A549" s="88" t="s">
        <v>3185</v>
      </c>
      <c r="B549" s="188" t="s">
        <v>616</v>
      </c>
      <c r="C549" s="30"/>
      <c r="D549" s="30" t="str">
        <f>VLOOKUP(B549, 'RM &amp; SF'!B:C, 2, 0)</f>
        <v>كسرة الخلطة للتركي</v>
      </c>
      <c r="E549" s="30" t="s">
        <v>2212</v>
      </c>
      <c r="F549" s="110">
        <v>4215</v>
      </c>
      <c r="G549" s="30" t="str">
        <f>VLOOKUP(F549, 'RM &amp; SF'!B:C, 2, 0)</f>
        <v>ملح صيني*****</v>
      </c>
      <c r="H549" s="89">
        <v>500</v>
      </c>
      <c r="I549" s="30" t="str">
        <f>VLOOKUP(F549, 'RM &amp; SF'!B:H, 4, 0)</f>
        <v>غم</v>
      </c>
      <c r="J549" s="90">
        <f t="shared" si="50"/>
        <v>12.315270935960591</v>
      </c>
      <c r="K549" s="91">
        <f>VLOOKUP(F549, 'RM &amp; SF'!B:H, 7, 0)</f>
        <v>1.7240000000000001E-3</v>
      </c>
      <c r="L549" s="92">
        <f t="shared" si="46"/>
        <v>2.1231527093596058E-2</v>
      </c>
      <c r="M549" s="30" t="s">
        <v>810</v>
      </c>
      <c r="P549" s="88" t="s">
        <v>2156</v>
      </c>
    </row>
    <row r="550" spans="1:16" ht="14">
      <c r="A550" s="88" t="s">
        <v>3185</v>
      </c>
      <c r="B550" s="188" t="s">
        <v>616</v>
      </c>
      <c r="C550" s="30"/>
      <c r="D550" s="30" t="str">
        <f>VLOOKUP(B550, 'RM &amp; SF'!B:C, 2, 0)</f>
        <v>كسرة الخلطة للتركي</v>
      </c>
      <c r="E550" s="30" t="s">
        <v>3058</v>
      </c>
      <c r="F550" s="110">
        <v>4001</v>
      </c>
      <c r="G550" s="30" t="str">
        <f>VLOOKUP(F550, 'RM &amp; SF'!B:C, 2, 0)</f>
        <v>خل تفاح 4 لتر*****</v>
      </c>
      <c r="H550" s="89">
        <v>3000</v>
      </c>
      <c r="I550" s="30" t="str">
        <f>VLOOKUP(F550, 'RM &amp; SF'!B:H, 4, 0)</f>
        <v>مل</v>
      </c>
      <c r="J550" s="90">
        <f t="shared" si="50"/>
        <v>73.891625615763544</v>
      </c>
      <c r="K550" s="91">
        <f>VLOOKUP(F550, 'RM &amp; SF'!B:H, 7, 0)</f>
        <v>4.3100000000000001E-4</v>
      </c>
      <c r="L550" s="92">
        <f t="shared" si="46"/>
        <v>3.1847290640394085E-2</v>
      </c>
      <c r="M550" s="30" t="s">
        <v>810</v>
      </c>
      <c r="P550" s="88" t="s">
        <v>2156</v>
      </c>
    </row>
    <row r="551" spans="1:16" ht="14">
      <c r="A551" s="88" t="s">
        <v>3185</v>
      </c>
      <c r="B551" s="188" t="s">
        <v>616</v>
      </c>
      <c r="C551" s="30"/>
      <c r="D551" s="30" t="str">
        <f>VLOOKUP(B551, 'RM &amp; SF'!B:C, 2, 0)</f>
        <v>كسرة الخلطة للتركي</v>
      </c>
      <c r="E551" s="30" t="s">
        <v>3058</v>
      </c>
      <c r="F551" s="110">
        <v>4490</v>
      </c>
      <c r="G551" s="30" t="str">
        <f>VLOOKUP(F551, 'RM &amp; SF'!B:C, 2, 0)</f>
        <v>شطة جامدة 10 كغ*****</v>
      </c>
      <c r="H551" s="89">
        <v>365</v>
      </c>
      <c r="I551" s="30" t="str">
        <f>VLOOKUP(F551, 'RM &amp; SF'!B:H, 4, 0)</f>
        <v>غم</v>
      </c>
      <c r="J551" s="90">
        <f t="shared" si="50"/>
        <v>8.9901477832512313</v>
      </c>
      <c r="K551" s="91">
        <f>VLOOKUP(F551, 'RM &amp; SF'!B:H, 7, 0)</f>
        <v>1E-3</v>
      </c>
      <c r="L551" s="92">
        <f t="shared" si="46"/>
        <v>8.9901477832512317E-3</v>
      </c>
      <c r="M551" s="30" t="s">
        <v>810</v>
      </c>
      <c r="P551" s="88" t="s">
        <v>2156</v>
      </c>
    </row>
    <row r="552" spans="1:16" ht="14">
      <c r="A552" s="88" t="s">
        <v>3185</v>
      </c>
      <c r="B552" s="188" t="s">
        <v>616</v>
      </c>
      <c r="C552" s="30"/>
      <c r="D552" s="30" t="str">
        <f>VLOOKUP(B552, 'RM &amp; SF'!B:C, 2, 0)</f>
        <v>كسرة الخلطة للتركي</v>
      </c>
      <c r="E552" s="30" t="s">
        <v>3058</v>
      </c>
      <c r="F552" s="110">
        <v>4245</v>
      </c>
      <c r="G552" s="30" t="str">
        <f>VLOOKUP(F552, 'RM &amp; SF'!B:C, 2, 0)</f>
        <v>خولنجان (عرق الهيل) ناعم*****</v>
      </c>
      <c r="H552" s="89">
        <v>500</v>
      </c>
      <c r="I552" s="30" t="str">
        <f>VLOOKUP(F552, 'RM &amp; SF'!B:H, 4, 0)</f>
        <v>غم</v>
      </c>
      <c r="J552" s="90">
        <f t="shared" si="50"/>
        <v>12.315270935960591</v>
      </c>
      <c r="K552" s="91">
        <f>VLOOKUP(F552, 'RM &amp; SF'!B:H, 7, 0)</f>
        <v>6.8970000000000004E-3</v>
      </c>
      <c r="L552" s="92">
        <f t="shared" si="46"/>
        <v>8.4938423645320199E-2</v>
      </c>
      <c r="M552" s="30" t="s">
        <v>810</v>
      </c>
      <c r="P552" s="88" t="s">
        <v>2156</v>
      </c>
    </row>
    <row r="553" spans="1:16" ht="14">
      <c r="A553" s="88" t="s">
        <v>3185</v>
      </c>
      <c r="B553" s="188" t="s">
        <v>616</v>
      </c>
      <c r="C553" s="30"/>
      <c r="D553" s="30" t="str">
        <f>VLOOKUP(B553, 'RM &amp; SF'!B:C, 2, 0)</f>
        <v>كسرة الخلطة للتركي</v>
      </c>
      <c r="E553" s="30" t="s">
        <v>3058</v>
      </c>
      <c r="F553" s="110">
        <v>4222</v>
      </c>
      <c r="G553" s="30" t="str">
        <f>VLOOKUP(F553, 'RM &amp; SF'!B:C, 2, 0)</f>
        <v>كمون ناعم*****</v>
      </c>
      <c r="H553" s="89">
        <v>200</v>
      </c>
      <c r="I553" s="30" t="str">
        <f>VLOOKUP(F553, 'RM &amp; SF'!B:H, 4, 0)</f>
        <v>غم</v>
      </c>
      <c r="J553" s="90">
        <f t="shared" si="50"/>
        <v>4.9261083743842367</v>
      </c>
      <c r="K553" s="91">
        <f>VLOOKUP(F553, 'RM &amp; SF'!B:H, 7, 0)</f>
        <v>3.2330000000000002E-3</v>
      </c>
      <c r="L553" s="92">
        <f t="shared" si="46"/>
        <v>1.5926108374384237E-2</v>
      </c>
      <c r="M553" s="30" t="s">
        <v>810</v>
      </c>
      <c r="P553" s="88" t="s">
        <v>2156</v>
      </c>
    </row>
    <row r="554" spans="1:16" ht="14">
      <c r="A554" s="88" t="s">
        <v>3185</v>
      </c>
      <c r="B554" s="188" t="s">
        <v>616</v>
      </c>
      <c r="C554" s="30"/>
      <c r="D554" s="30" t="str">
        <f>VLOOKUP(B554, 'RM &amp; SF'!B:C, 2, 0)</f>
        <v>كسرة الخلطة للتركي</v>
      </c>
      <c r="E554" s="30" t="s">
        <v>2205</v>
      </c>
      <c r="F554" s="110">
        <v>4193</v>
      </c>
      <c r="G554" s="30" t="str">
        <f>VLOOKUP(F554, 'RM &amp; SF'!B:C, 2, 0)</f>
        <v>زنجبيل ناعم*****</v>
      </c>
      <c r="H554" s="89">
        <v>360</v>
      </c>
      <c r="I554" s="30" t="str">
        <f>VLOOKUP(F554, 'RM &amp; SF'!B:H, 4, 0)</f>
        <v>غم</v>
      </c>
      <c r="J554" s="90">
        <f t="shared" si="50"/>
        <v>8.8669950738916246</v>
      </c>
      <c r="K554" s="91">
        <f>VLOOKUP(F554, 'RM &amp; SF'!B:H, 7, 0)</f>
        <v>3.2330000000000002E-3</v>
      </c>
      <c r="L554" s="92">
        <f t="shared" si="46"/>
        <v>2.8666995073891623E-2</v>
      </c>
      <c r="M554" s="30" t="s">
        <v>810</v>
      </c>
      <c r="P554" s="88" t="s">
        <v>2156</v>
      </c>
    </row>
    <row r="555" spans="1:16" ht="14">
      <c r="A555" s="88" t="s">
        <v>3185</v>
      </c>
      <c r="B555" s="188" t="s">
        <v>616</v>
      </c>
      <c r="C555" s="30"/>
      <c r="D555" s="30" t="str">
        <f>VLOOKUP(B555, 'RM &amp; SF'!B:C, 2, 0)</f>
        <v>كسرة الخلطة للتركي</v>
      </c>
      <c r="E555" s="30" t="s">
        <v>3058</v>
      </c>
      <c r="F555" s="110">
        <v>4022</v>
      </c>
      <c r="G555" s="30" t="str">
        <f>VLOOKUP(F555, 'RM &amp; SF'!B:C, 2, 0)</f>
        <v>مرق الدجاج بودرة 1 كغ*****</v>
      </c>
      <c r="H555" s="89">
        <v>700</v>
      </c>
      <c r="I555" s="30" t="str">
        <f>VLOOKUP(F555, 'RM &amp; SF'!B:H, 4, 0)</f>
        <v>غم</v>
      </c>
      <c r="J555" s="90">
        <f t="shared" si="50"/>
        <v>17.241379310344826</v>
      </c>
      <c r="K555" s="91">
        <f>VLOOKUP(F555, 'RM &amp; SF'!B:H, 7, 0)</f>
        <v>4.7054597701149427E-3</v>
      </c>
      <c r="L555" s="92">
        <f t="shared" si="46"/>
        <v>8.1128616726119693E-2</v>
      </c>
      <c r="M555" s="30" t="s">
        <v>810</v>
      </c>
      <c r="P555" s="88" t="s">
        <v>2156</v>
      </c>
    </row>
    <row r="556" spans="1:16" ht="14">
      <c r="A556" s="88" t="s">
        <v>3185</v>
      </c>
      <c r="B556" s="188" t="s">
        <v>616</v>
      </c>
      <c r="C556" s="30"/>
      <c r="D556" s="30" t="str">
        <f>VLOOKUP(B556, 'RM &amp; SF'!B:C, 2, 0)</f>
        <v>كسرة الخلطة للتركي</v>
      </c>
      <c r="E556" s="30" t="s">
        <v>2222</v>
      </c>
      <c r="F556" s="110">
        <v>4240</v>
      </c>
      <c r="G556" s="30" t="str">
        <f>VLOOKUP(F556, 'RM &amp; SF'!B:C, 2, 0)</f>
        <v>كركم ناعم*****</v>
      </c>
      <c r="H556" s="89">
        <v>255</v>
      </c>
      <c r="I556" s="30" t="str">
        <f>VLOOKUP(F556, 'RM &amp; SF'!B:H, 4, 0)</f>
        <v>غم</v>
      </c>
      <c r="J556" s="90">
        <f t="shared" si="50"/>
        <v>6.2807881773399012</v>
      </c>
      <c r="K556" s="91">
        <f>VLOOKUP(F556, 'RM &amp; SF'!B:H, 7, 0)</f>
        <v>1.9399999999999999E-3</v>
      </c>
      <c r="L556" s="92">
        <f t="shared" si="46"/>
        <v>1.2184729064039408E-2</v>
      </c>
      <c r="M556" s="30" t="s">
        <v>810</v>
      </c>
      <c r="P556" s="88" t="s">
        <v>2156</v>
      </c>
    </row>
    <row r="557" spans="1:16" ht="14">
      <c r="A557" s="88" t="s">
        <v>3185</v>
      </c>
      <c r="B557" s="188" t="s">
        <v>616</v>
      </c>
      <c r="C557" s="30"/>
      <c r="D557" s="30" t="str">
        <f>VLOOKUP(B557, 'RM &amp; SF'!B:C, 2, 0)</f>
        <v>كسرة الخلطة للتركي</v>
      </c>
      <c r="E557" s="30" t="s">
        <v>3058</v>
      </c>
      <c r="F557" s="110">
        <v>4256</v>
      </c>
      <c r="G557" s="30" t="str">
        <f>VLOOKUP(F557, 'RM &amp; SF'!B:C, 2, 0)</f>
        <v>شومر ناعم*****</v>
      </c>
      <c r="H557" s="89">
        <v>100</v>
      </c>
      <c r="I557" s="30" t="str">
        <f>VLOOKUP(F557, 'RM &amp; SF'!B:H, 4, 0)</f>
        <v>غم</v>
      </c>
      <c r="J557" s="90">
        <f t="shared" si="50"/>
        <v>2.4630541871921183</v>
      </c>
      <c r="K557" s="91">
        <f>VLOOKUP(F557, 'RM &amp; SF'!B:H, 7, 0)</f>
        <v>1.25E-3</v>
      </c>
      <c r="L557" s="92">
        <f t="shared" ref="L557:L620" si="51">K557*J557</f>
        <v>3.0788177339901479E-3</v>
      </c>
      <c r="M557" s="30" t="s">
        <v>810</v>
      </c>
      <c r="P557" s="88" t="s">
        <v>2156</v>
      </c>
    </row>
    <row r="558" spans="1:16" ht="14">
      <c r="A558" s="88" t="s">
        <v>3185</v>
      </c>
      <c r="B558" s="188" t="s">
        <v>616</v>
      </c>
      <c r="C558" s="30"/>
      <c r="D558" s="30" t="str">
        <f>VLOOKUP(B558, 'RM &amp; SF'!B:C, 2, 0)</f>
        <v>كسرة الخلطة للتركي</v>
      </c>
      <c r="E558" s="30" t="s">
        <v>3058</v>
      </c>
      <c r="F558" s="110">
        <v>4203</v>
      </c>
      <c r="G558" s="30" t="str">
        <f>VLOOKUP(F558, 'RM &amp; SF'!B:C, 2, 0)</f>
        <v>فلفل ابيض ناعم*****</v>
      </c>
      <c r="H558" s="89">
        <v>350</v>
      </c>
      <c r="I558" s="30" t="str">
        <f>VLOOKUP(F558, 'RM &amp; SF'!B:H, 4, 0)</f>
        <v>غم</v>
      </c>
      <c r="J558" s="90">
        <f t="shared" si="50"/>
        <v>8.6206896551724128</v>
      </c>
      <c r="K558" s="91">
        <f>VLOOKUP(F558, 'RM &amp; SF'!B:H, 7, 0)</f>
        <v>7.7590000000000003E-3</v>
      </c>
      <c r="L558" s="92">
        <f t="shared" si="51"/>
        <v>6.6887931034482748E-2</v>
      </c>
      <c r="M558" s="30" t="s">
        <v>810</v>
      </c>
      <c r="P558" s="88" t="s">
        <v>2156</v>
      </c>
    </row>
    <row r="559" spans="1:16" ht="14">
      <c r="A559" s="88" t="s">
        <v>3185</v>
      </c>
      <c r="B559" s="188" t="s">
        <v>616</v>
      </c>
      <c r="C559" s="30"/>
      <c r="D559" s="30" t="str">
        <f>VLOOKUP(B559, 'RM &amp; SF'!B:C, 2, 0)</f>
        <v>كسرة الخلطة للتركي</v>
      </c>
      <c r="E559" s="30" t="s">
        <v>2211</v>
      </c>
      <c r="F559" s="110">
        <v>4214</v>
      </c>
      <c r="G559" s="30" t="str">
        <f>VLOOKUP(F559, 'RM &amp; SF'!B:C, 2, 0)</f>
        <v>قرفة ناعمة*****</v>
      </c>
      <c r="H559" s="89">
        <v>160</v>
      </c>
      <c r="I559" s="30" t="str">
        <f>VLOOKUP(F559, 'RM &amp; SF'!B:H, 4, 0)</f>
        <v>غم</v>
      </c>
      <c r="J559" s="90">
        <f t="shared" si="50"/>
        <v>3.9408866995073892</v>
      </c>
      <c r="K559" s="91">
        <f>VLOOKUP(F559, 'RM &amp; SF'!B:H, 7, 0)</f>
        <v>2.8020000000000002E-3</v>
      </c>
      <c r="L559" s="92">
        <f t="shared" si="51"/>
        <v>1.1042364532019705E-2</v>
      </c>
      <c r="M559" s="30" t="s">
        <v>810</v>
      </c>
      <c r="P559" s="88" t="s">
        <v>2156</v>
      </c>
    </row>
    <row r="560" spans="1:16" ht="14">
      <c r="A560" s="88" t="s">
        <v>3185</v>
      </c>
      <c r="B560" s="188" t="s">
        <v>616</v>
      </c>
      <c r="C560" s="30"/>
      <c r="D560" s="30" t="str">
        <f>VLOOKUP(B560, 'RM &amp; SF'!B:C, 2, 0)</f>
        <v>كسرة الخلطة للتركي</v>
      </c>
      <c r="E560" s="30" t="s">
        <v>2216</v>
      </c>
      <c r="F560" s="110">
        <v>4230</v>
      </c>
      <c r="G560" s="30" t="str">
        <f>VLOOKUP(F560, 'RM &amp; SF'!B:C, 2, 0)</f>
        <v>ملح ليمون*****</v>
      </c>
      <c r="H560" s="89">
        <v>210</v>
      </c>
      <c r="I560" s="30" t="str">
        <f>VLOOKUP(F560, 'RM &amp; SF'!B:H, 4, 0)</f>
        <v>غم</v>
      </c>
      <c r="J560" s="90">
        <f t="shared" si="50"/>
        <v>5.1724137931034484</v>
      </c>
      <c r="K560" s="91">
        <f>VLOOKUP(F560, 'RM &amp; SF'!B:H, 7, 0)</f>
        <v>1.078E-3</v>
      </c>
      <c r="L560" s="92">
        <f t="shared" si="51"/>
        <v>5.5758620689655173E-3</v>
      </c>
      <c r="M560" s="30" t="s">
        <v>810</v>
      </c>
      <c r="P560" s="88" t="s">
        <v>2156</v>
      </c>
    </row>
    <row r="561" spans="1:16" ht="14">
      <c r="A561" s="88" t="s">
        <v>3185</v>
      </c>
      <c r="B561" s="188" t="s">
        <v>616</v>
      </c>
      <c r="C561" s="30"/>
      <c r="D561" s="30" t="str">
        <f>VLOOKUP(B561, 'RM &amp; SF'!B:C, 2, 0)</f>
        <v>كسرة الخلطة للتركي</v>
      </c>
      <c r="E561" s="30" t="s">
        <v>3058</v>
      </c>
      <c r="F561" s="110">
        <v>4045</v>
      </c>
      <c r="G561" s="30" t="str">
        <f>VLOOKUP(F561, 'RM &amp; SF'!B:C, 2, 0)</f>
        <v>معجون الطماطم 1375 غم*****</v>
      </c>
      <c r="H561" s="89">
        <v>5500</v>
      </c>
      <c r="I561" s="30" t="str">
        <f>VLOOKUP(F561, 'RM &amp; SF'!B:H, 4, 0)</f>
        <v>غم</v>
      </c>
      <c r="J561" s="90">
        <f t="shared" si="50"/>
        <v>135.46798029556649</v>
      </c>
      <c r="K561" s="91">
        <f>VLOOKUP(F561, 'RM &amp; SF'!B:H, 7, 0)</f>
        <v>1.3665999999999999E-3</v>
      </c>
      <c r="L561" s="92">
        <f t="shared" si="51"/>
        <v>0.18513054187192116</v>
      </c>
      <c r="M561" s="30" t="s">
        <v>810</v>
      </c>
      <c r="P561" s="88" t="s">
        <v>2156</v>
      </c>
    </row>
    <row r="562" spans="1:16" ht="14">
      <c r="A562" s="88" t="s">
        <v>2419</v>
      </c>
      <c r="B562" s="219" t="s">
        <v>618</v>
      </c>
      <c r="C562" s="30"/>
      <c r="D562" s="30" t="str">
        <f>VLOOKUP(B562, 'RM &amp; SF'!B:C, 2, 0)</f>
        <v>صوص الفريدو</v>
      </c>
      <c r="E562" s="30" t="s">
        <v>3058</v>
      </c>
      <c r="F562" s="110">
        <v>5386</v>
      </c>
      <c r="G562" s="30" t="str">
        <f>VLOOKUP(F562, 'RM &amp; SF'!B:C, 2, 0)</f>
        <v>مسحب الطاحونة - طلبات مارت</v>
      </c>
      <c r="H562" s="89">
        <v>300</v>
      </c>
      <c r="I562" s="30" t="str">
        <f>VLOOKUP(F562, 'RM &amp; SF'!B:H, 4, 0)</f>
        <v>غم</v>
      </c>
      <c r="J562" s="90">
        <f t="shared" ref="J562:J568" si="52">H562/0.93</f>
        <v>322.58064516129031</v>
      </c>
      <c r="K562" s="91">
        <f>VLOOKUP(F562, 'RM &amp; SF'!B:H, 7, 0)</f>
        <v>4.2000000000000006E-3</v>
      </c>
      <c r="L562" s="92">
        <f t="shared" si="51"/>
        <v>1.3548387096774195</v>
      </c>
      <c r="M562" s="30" t="s">
        <v>810</v>
      </c>
    </row>
    <row r="563" spans="1:16" ht="14">
      <c r="A563" s="88" t="s">
        <v>2419</v>
      </c>
      <c r="B563" s="219" t="s">
        <v>618</v>
      </c>
      <c r="C563" s="30"/>
      <c r="D563" s="30" t="str">
        <f>VLOOKUP(B563, 'RM &amp; SF'!B:C, 2, 0)</f>
        <v>صوص الفريدو</v>
      </c>
      <c r="E563" s="30" t="s">
        <v>2177</v>
      </c>
      <c r="F563" s="110">
        <v>4566</v>
      </c>
      <c r="G563" s="30" t="str">
        <f>VLOOKUP(F563, 'RM &amp; SF'!B:C, 2, 0)</f>
        <v>زبدة صفائح 5*2 كغ*****</v>
      </c>
      <c r="H563" s="89">
        <v>68</v>
      </c>
      <c r="I563" s="30" t="str">
        <f>VLOOKUP(F563, 'RM &amp; SF'!B:H, 4, 0)</f>
        <v>غم</v>
      </c>
      <c r="J563" s="90">
        <f t="shared" si="52"/>
        <v>73.118279569892465</v>
      </c>
      <c r="K563" s="91">
        <f>VLOOKUP(F563, 'RM &amp; SF'!B:H, 7, 0)</f>
        <v>2E-3</v>
      </c>
      <c r="L563" s="92">
        <f t="shared" si="51"/>
        <v>0.14623655913978492</v>
      </c>
      <c r="M563" s="30" t="s">
        <v>810</v>
      </c>
    </row>
    <row r="564" spans="1:16" ht="14">
      <c r="A564" s="88" t="s">
        <v>2419</v>
      </c>
      <c r="B564" s="219" t="s">
        <v>618</v>
      </c>
      <c r="C564" s="30"/>
      <c r="D564" s="30" t="str">
        <f>VLOOKUP(B564, 'RM &amp; SF'!B:C, 2, 0)</f>
        <v>صوص الفريدو</v>
      </c>
      <c r="E564" s="30" t="s">
        <v>2240</v>
      </c>
      <c r="F564" s="110">
        <v>4515</v>
      </c>
      <c r="G564" s="30" t="str">
        <f>VLOOKUP(F564, 'RM &amp; SF'!B:C, 2, 0)</f>
        <v>فطر طازج (فطر فرش)*****</v>
      </c>
      <c r="H564" s="89">
        <v>85</v>
      </c>
      <c r="I564" s="30" t="str">
        <f>VLOOKUP(F564, 'RM &amp; SF'!B:H, 4, 0)</f>
        <v>غم</v>
      </c>
      <c r="J564" s="90">
        <f t="shared" si="52"/>
        <v>91.397849462365585</v>
      </c>
      <c r="K564" s="91">
        <f>VLOOKUP(F564, 'RM &amp; SF'!B:H, 7, 0)</f>
        <v>5.9999999999999993E-3</v>
      </c>
      <c r="L564" s="92">
        <f t="shared" si="51"/>
        <v>0.54838709677419339</v>
      </c>
      <c r="M564" s="30" t="s">
        <v>810</v>
      </c>
    </row>
    <row r="565" spans="1:16" ht="14">
      <c r="A565" s="88" t="s">
        <v>2419</v>
      </c>
      <c r="B565" s="219" t="s">
        <v>618</v>
      </c>
      <c r="C565" s="30"/>
      <c r="D565" s="30" t="str">
        <f>VLOOKUP(B565, 'RM &amp; SF'!B:C, 2, 0)</f>
        <v>صوص الفريدو</v>
      </c>
      <c r="E565" s="30" t="s">
        <v>2291</v>
      </c>
      <c r="F565" s="110">
        <v>4556</v>
      </c>
      <c r="G565" s="30" t="str">
        <f>VLOOKUP(F565, 'RM &amp; SF'!B:C, 2, 0)</f>
        <v>كريما طبخ 1 لتر*****</v>
      </c>
      <c r="H565" s="89">
        <v>500</v>
      </c>
      <c r="I565" s="30" t="str">
        <f>VLOOKUP(F565, 'RM &amp; SF'!B:H, 4, 0)</f>
        <v>مل</v>
      </c>
      <c r="J565" s="90">
        <f t="shared" si="52"/>
        <v>537.63440860215053</v>
      </c>
      <c r="K565" s="91">
        <f>VLOOKUP(F565, 'RM &amp; SF'!B:H, 7, 0)</f>
        <v>2.2269999999999998E-3</v>
      </c>
      <c r="L565" s="92">
        <f t="shared" si="51"/>
        <v>1.1973118279569892</v>
      </c>
      <c r="M565" s="30" t="s">
        <v>810</v>
      </c>
    </row>
    <row r="566" spans="1:16" ht="14">
      <c r="A566" s="88" t="s">
        <v>2419</v>
      </c>
      <c r="B566" s="219" t="s">
        <v>618</v>
      </c>
      <c r="C566" s="30"/>
      <c r="D566" s="30" t="str">
        <f>VLOOKUP(B566, 'RM &amp; SF'!B:C, 2, 0)</f>
        <v>صوص الفريدو</v>
      </c>
      <c r="E566" s="30" t="s">
        <v>2203</v>
      </c>
      <c r="F566" s="110">
        <v>4152</v>
      </c>
      <c r="G566" s="30" t="str">
        <f>VLOOKUP(F566, 'RM &amp; SF'!B:C, 2, 0)</f>
        <v>ملح طعام 750غم*****</v>
      </c>
      <c r="H566" s="89">
        <v>10</v>
      </c>
      <c r="I566" s="30" t="str">
        <f>VLOOKUP(F566, 'RM &amp; SF'!B:H, 4, 0)</f>
        <v>غم</v>
      </c>
      <c r="J566" s="90">
        <f t="shared" si="52"/>
        <v>10.75268817204301</v>
      </c>
      <c r="K566" s="91">
        <f>VLOOKUP(F566, 'RM &amp; SF'!B:H, 7, 0)</f>
        <v>1.7066666666666665E-4</v>
      </c>
      <c r="L566" s="92">
        <f t="shared" si="51"/>
        <v>1.8351254480286736E-3</v>
      </c>
      <c r="M566" s="30" t="s">
        <v>810</v>
      </c>
    </row>
    <row r="567" spans="1:16" ht="14">
      <c r="A567" s="88" t="s">
        <v>2419</v>
      </c>
      <c r="B567" s="219" t="s">
        <v>618</v>
      </c>
      <c r="C567" s="30"/>
      <c r="D567" s="30" t="str">
        <f>VLOOKUP(B567, 'RM &amp; SF'!B:C, 2, 0)</f>
        <v>صوص الفريدو</v>
      </c>
      <c r="E567" s="30" t="s">
        <v>2206</v>
      </c>
      <c r="F567" s="110">
        <v>4204</v>
      </c>
      <c r="G567" s="30" t="str">
        <f>VLOOKUP(F567, 'RM &amp; SF'!B:C, 2, 0)</f>
        <v>فلفل اسود ناعم*****</v>
      </c>
      <c r="H567" s="89">
        <v>5</v>
      </c>
      <c r="I567" s="30" t="str">
        <f>VLOOKUP(F567, 'RM &amp; SF'!B:H, 4, 0)</f>
        <v>غم</v>
      </c>
      <c r="J567" s="90">
        <f t="shared" si="52"/>
        <v>5.376344086021505</v>
      </c>
      <c r="K567" s="91">
        <f>VLOOKUP(F567, 'RM &amp; SF'!B:H, 7, 0)</f>
        <v>6.8970000000000004E-3</v>
      </c>
      <c r="L567" s="92">
        <f t="shared" si="51"/>
        <v>3.7080645161290324E-2</v>
      </c>
      <c r="M567" s="30" t="s">
        <v>810</v>
      </c>
    </row>
    <row r="568" spans="1:16" ht="14">
      <c r="A568" s="88" t="s">
        <v>2419</v>
      </c>
      <c r="B568" s="219" t="s">
        <v>618</v>
      </c>
      <c r="C568" s="30"/>
      <c r="D568" s="30" t="str">
        <f>VLOOKUP(B568, 'RM &amp; SF'!B:C, 2, 0)</f>
        <v>صوص الفريدو</v>
      </c>
      <c r="E568" s="30" t="s">
        <v>2173</v>
      </c>
      <c r="F568" s="110">
        <v>4624</v>
      </c>
      <c r="G568" s="30" t="str">
        <f>VLOOKUP(F568, 'RM &amp; SF'!B:C, 2, 0)</f>
        <v>جبنة موزريلا قالب 2.380 كغ*****</v>
      </c>
      <c r="H568" s="89">
        <v>100</v>
      </c>
      <c r="I568" s="30" t="str">
        <f>VLOOKUP(F568, 'RM &amp; SF'!B:H, 4, 0)</f>
        <v>غم</v>
      </c>
      <c r="J568" s="90">
        <f t="shared" si="52"/>
        <v>107.5268817204301</v>
      </c>
      <c r="K568" s="91">
        <f>VLOOKUP(F568, 'RM &amp; SF'!B:H, 7, 0)</f>
        <v>5.1749999999999999E-3</v>
      </c>
      <c r="L568" s="92">
        <f t="shared" si="51"/>
        <v>0.55645161290322576</v>
      </c>
      <c r="M568" s="30" t="s">
        <v>810</v>
      </c>
    </row>
    <row r="569" spans="1:16" ht="14">
      <c r="A569" s="88" t="s">
        <v>2421</v>
      </c>
      <c r="B569" s="219" t="s">
        <v>622</v>
      </c>
      <c r="C569" s="30"/>
      <c r="D569" s="30" t="str">
        <f>VLOOKUP(B569, 'RM &amp; SF'!B:C, 2, 0)</f>
        <v>فريكة مطبوخة</v>
      </c>
      <c r="E569" s="30" t="s">
        <v>2282</v>
      </c>
      <c r="F569" s="110">
        <v>4137</v>
      </c>
      <c r="G569" s="30" t="str">
        <f>VLOOKUP(F569, 'RM &amp; SF'!B:C, 2, 0)</f>
        <v>فريكة خشنة*****</v>
      </c>
      <c r="H569" s="89">
        <v>2000</v>
      </c>
      <c r="I569" s="30" t="str">
        <f>VLOOKUP(F569, 'RM &amp; SF'!B:H, 4, 0)</f>
        <v>غم</v>
      </c>
      <c r="J569" s="90">
        <f t="shared" ref="J569:J581" si="53">H569/4.5</f>
        <v>444.44444444444446</v>
      </c>
      <c r="K569" s="91">
        <f>VLOOKUP(F569, 'RM &amp; SF'!B:H, 7, 0)</f>
        <v>2.2059000000000002E-3</v>
      </c>
      <c r="L569" s="92">
        <f t="shared" si="51"/>
        <v>0.98040000000000016</v>
      </c>
      <c r="M569" s="30" t="s">
        <v>810</v>
      </c>
    </row>
    <row r="570" spans="1:16" ht="14">
      <c r="A570" s="88" t="s">
        <v>2421</v>
      </c>
      <c r="B570" s="219" t="s">
        <v>622</v>
      </c>
      <c r="C570" s="30"/>
      <c r="D570" s="30" t="str">
        <f>VLOOKUP(B570, 'RM &amp; SF'!B:C, 2, 0)</f>
        <v>فريكة مطبوخة</v>
      </c>
      <c r="E570" s="30" t="s">
        <v>2234</v>
      </c>
      <c r="F570" s="110">
        <v>4503</v>
      </c>
      <c r="G570" s="30" t="str">
        <f>VLOOKUP(F570, 'RM &amp; SF'!B:C, 2, 0)</f>
        <v>بصل ناشف دفش*****</v>
      </c>
      <c r="H570" s="89">
        <v>700</v>
      </c>
      <c r="I570" s="30" t="str">
        <f>VLOOKUP(F570, 'RM &amp; SF'!B:H, 4, 0)</f>
        <v>غم</v>
      </c>
      <c r="J570" s="90">
        <f t="shared" si="53"/>
        <v>155.55555555555554</v>
      </c>
      <c r="K570" s="91">
        <f>VLOOKUP(F570, 'RM &amp; SF'!B:H, 7, 0)</f>
        <v>2.5000000000000001E-4</v>
      </c>
      <c r="L570" s="92">
        <f t="shared" si="51"/>
        <v>3.888888888888889E-2</v>
      </c>
      <c r="M570" s="30" t="s">
        <v>810</v>
      </c>
    </row>
    <row r="571" spans="1:16" ht="14">
      <c r="A571" s="88" t="s">
        <v>2421</v>
      </c>
      <c r="B571" s="219" t="s">
        <v>622</v>
      </c>
      <c r="C571" s="30"/>
      <c r="D571" s="30" t="str">
        <f>VLOOKUP(B571, 'RM &amp; SF'!B:C, 2, 0)</f>
        <v>فريكة مطبوخة</v>
      </c>
      <c r="E571" s="30" t="s">
        <v>2261</v>
      </c>
      <c r="F571" s="110">
        <v>4163</v>
      </c>
      <c r="G571" s="30" t="str">
        <f>VLOOKUP(F571, 'RM &amp; SF'!B:C, 2, 0)</f>
        <v>سمنة بنكهة السمن البلدي 15 كغ*****</v>
      </c>
      <c r="H571" s="89">
        <v>275</v>
      </c>
      <c r="I571" s="30" t="str">
        <f>VLOOKUP(F571, 'RM &amp; SF'!B:H, 4, 0)</f>
        <v>غم</v>
      </c>
      <c r="J571" s="90">
        <f t="shared" si="53"/>
        <v>61.111111111111114</v>
      </c>
      <c r="K571" s="91">
        <f>VLOOKUP(F571, 'RM &amp; SF'!B:H, 7, 0)</f>
        <v>2.0512E-3</v>
      </c>
      <c r="L571" s="92">
        <f t="shared" si="51"/>
        <v>0.12535111111111111</v>
      </c>
      <c r="M571" s="30" t="s">
        <v>810</v>
      </c>
    </row>
    <row r="572" spans="1:16" ht="14">
      <c r="A572" s="88" t="s">
        <v>2421</v>
      </c>
      <c r="B572" s="219" t="s">
        <v>622</v>
      </c>
      <c r="C572" s="30"/>
      <c r="D572" s="30" t="str">
        <f>VLOOKUP(B572, 'RM &amp; SF'!B:C, 2, 0)</f>
        <v>فريكة مطبوخة</v>
      </c>
      <c r="E572" s="30" t="s">
        <v>2206</v>
      </c>
      <c r="F572" s="110">
        <v>4204</v>
      </c>
      <c r="G572" s="30" t="str">
        <f>VLOOKUP(F572, 'RM &amp; SF'!B:C, 2, 0)</f>
        <v>فلفل اسود ناعم*****</v>
      </c>
      <c r="H572" s="89">
        <v>7</v>
      </c>
      <c r="I572" s="30" t="str">
        <f>VLOOKUP(F572, 'RM &amp; SF'!B:H, 4, 0)</f>
        <v>غم</v>
      </c>
      <c r="J572" s="90">
        <f t="shared" si="53"/>
        <v>1.5555555555555556</v>
      </c>
      <c r="K572" s="91">
        <f>VLOOKUP(F572, 'RM &amp; SF'!B:H, 7, 0)</f>
        <v>6.8970000000000004E-3</v>
      </c>
      <c r="L572" s="92">
        <f t="shared" si="51"/>
        <v>1.0728666666666668E-2</v>
      </c>
      <c r="M572" s="30" t="s">
        <v>810</v>
      </c>
    </row>
    <row r="573" spans="1:16" ht="14">
      <c r="A573" s="88" t="s">
        <v>2421</v>
      </c>
      <c r="B573" s="219" t="s">
        <v>622</v>
      </c>
      <c r="C573" s="30"/>
      <c r="D573" s="30" t="str">
        <f>VLOOKUP(B573, 'RM &amp; SF'!B:C, 2, 0)</f>
        <v>فريكة مطبوخة</v>
      </c>
      <c r="E573" s="30" t="s">
        <v>2218</v>
      </c>
      <c r="F573" s="110">
        <v>4233</v>
      </c>
      <c r="G573" s="30" t="str">
        <f>VLOOKUP(F573, 'RM &amp; SF'!B:C, 2, 0)</f>
        <v>هال ناعم*****</v>
      </c>
      <c r="H573" s="89">
        <v>9</v>
      </c>
      <c r="I573" s="30" t="str">
        <f>VLOOKUP(F573, 'RM &amp; SF'!B:H, 4, 0)</f>
        <v>غم</v>
      </c>
      <c r="J573" s="90">
        <f t="shared" si="53"/>
        <v>2</v>
      </c>
      <c r="K573" s="91">
        <f>VLOOKUP(F573, 'RM &amp; SF'!B:H, 7, 0)</f>
        <v>2.3E-2</v>
      </c>
      <c r="L573" s="92">
        <f t="shared" si="51"/>
        <v>4.5999999999999999E-2</v>
      </c>
      <c r="M573" s="30" t="s">
        <v>810</v>
      </c>
    </row>
    <row r="574" spans="1:16" ht="14">
      <c r="A574" s="88" t="s">
        <v>2421</v>
      </c>
      <c r="B574" s="219" t="s">
        <v>622</v>
      </c>
      <c r="C574" s="30"/>
      <c r="D574" s="30" t="str">
        <f>VLOOKUP(B574, 'RM &amp; SF'!B:C, 2, 0)</f>
        <v>فريكة مطبوخة</v>
      </c>
      <c r="E574" s="30" t="s">
        <v>2213</v>
      </c>
      <c r="F574" s="110">
        <v>4218</v>
      </c>
      <c r="G574" s="30" t="str">
        <f>VLOOKUP(F574, 'RM &amp; SF'!B:C, 2, 0)</f>
        <v>بهارات مشكلة*****</v>
      </c>
      <c r="H574" s="89">
        <v>8</v>
      </c>
      <c r="I574" s="30" t="str">
        <f>VLOOKUP(F574, 'RM &amp; SF'!B:H, 4, 0)</f>
        <v>غم</v>
      </c>
      <c r="J574" s="90">
        <f t="shared" si="53"/>
        <v>1.7777777777777777</v>
      </c>
      <c r="K574" s="91">
        <f>VLOOKUP(F574, 'RM &amp; SF'!B:H, 7, 0)</f>
        <v>3.0169999999999997E-3</v>
      </c>
      <c r="L574" s="92">
        <f t="shared" si="51"/>
        <v>5.3635555555555546E-3</v>
      </c>
      <c r="M574" s="30" t="s">
        <v>810</v>
      </c>
    </row>
    <row r="575" spans="1:16" ht="14">
      <c r="A575" s="88" t="s">
        <v>2421</v>
      </c>
      <c r="B575" s="219" t="s">
        <v>622</v>
      </c>
      <c r="C575" s="30"/>
      <c r="D575" s="30" t="str">
        <f>VLOOKUP(B575, 'RM &amp; SF'!B:C, 2, 0)</f>
        <v>فريكة مطبوخة</v>
      </c>
      <c r="E575" s="30" t="s">
        <v>2222</v>
      </c>
      <c r="F575" s="110">
        <v>4240</v>
      </c>
      <c r="G575" s="30" t="str">
        <f>VLOOKUP(F575, 'RM &amp; SF'!B:C, 2, 0)</f>
        <v>كركم ناعم*****</v>
      </c>
      <c r="H575" s="89">
        <v>7</v>
      </c>
      <c r="I575" s="30" t="str">
        <f>VLOOKUP(F575, 'RM &amp; SF'!B:H, 4, 0)</f>
        <v>غم</v>
      </c>
      <c r="J575" s="90">
        <f t="shared" si="53"/>
        <v>1.5555555555555556</v>
      </c>
      <c r="K575" s="91">
        <f>VLOOKUP(F575, 'RM &amp; SF'!B:H, 7, 0)</f>
        <v>1.9399999999999999E-3</v>
      </c>
      <c r="L575" s="92">
        <f t="shared" si="51"/>
        <v>3.0177777777777776E-3</v>
      </c>
      <c r="M575" s="30" t="s">
        <v>810</v>
      </c>
    </row>
    <row r="576" spans="1:16" ht="14">
      <c r="A576" s="88" t="s">
        <v>2421</v>
      </c>
      <c r="B576" s="219" t="s">
        <v>622</v>
      </c>
      <c r="C576" s="30"/>
      <c r="D576" s="30" t="str">
        <f>VLOOKUP(B576, 'RM &amp; SF'!B:C, 2, 0)</f>
        <v>فريكة مطبوخة</v>
      </c>
      <c r="E576" s="30" t="s">
        <v>2203</v>
      </c>
      <c r="F576" s="110">
        <v>4152</v>
      </c>
      <c r="G576" s="30" t="str">
        <f>VLOOKUP(F576, 'RM &amp; SF'!B:C, 2, 0)</f>
        <v>ملح طعام 750غم*****</v>
      </c>
      <c r="H576" s="89">
        <v>50</v>
      </c>
      <c r="I576" s="30" t="str">
        <f>VLOOKUP(F576, 'RM &amp; SF'!B:H, 4, 0)</f>
        <v>غم</v>
      </c>
      <c r="J576" s="90">
        <f t="shared" si="53"/>
        <v>11.111111111111111</v>
      </c>
      <c r="K576" s="91">
        <f>VLOOKUP(F576, 'RM &amp; SF'!B:H, 7, 0)</f>
        <v>1.7066666666666665E-4</v>
      </c>
      <c r="L576" s="92">
        <f t="shared" si="51"/>
        <v>1.8962962962962961E-3</v>
      </c>
      <c r="M576" s="30" t="s">
        <v>810</v>
      </c>
    </row>
    <row r="577" spans="1:13" ht="14">
      <c r="A577" s="88" t="s">
        <v>2421</v>
      </c>
      <c r="B577" s="219" t="s">
        <v>622</v>
      </c>
      <c r="C577" s="30"/>
      <c r="D577" s="30" t="str">
        <f>VLOOKUP(B577, 'RM &amp; SF'!B:C, 2, 0)</f>
        <v>فريكة مطبوخة</v>
      </c>
      <c r="E577" s="30" t="s">
        <v>3058</v>
      </c>
      <c r="F577" s="110">
        <v>4021</v>
      </c>
      <c r="G577" s="30" t="str">
        <f>VLOOKUP(F577, 'RM &amp; SF'!B:C, 2, 0)</f>
        <v>مكعبات مرق الدجاج 24 عبوة*2 مكعب*****</v>
      </c>
      <c r="H577" s="89">
        <v>40</v>
      </c>
      <c r="I577" s="30" t="str">
        <f>VLOOKUP(F577, 'RM &amp; SF'!B:H, 4, 0)</f>
        <v>غم</v>
      </c>
      <c r="J577" s="90">
        <f t="shared" si="53"/>
        <v>8.8888888888888893</v>
      </c>
      <c r="K577" s="91">
        <f>VLOOKUP(F577, 'RM &amp; SF'!B:H, 7, 0)</f>
        <v>3.8541666666666668E-3</v>
      </c>
      <c r="L577" s="92">
        <f t="shared" si="51"/>
        <v>3.425925925925926E-2</v>
      </c>
      <c r="M577" s="30" t="s">
        <v>810</v>
      </c>
    </row>
    <row r="578" spans="1:13" ht="14">
      <c r="A578" s="88" t="s">
        <v>2421</v>
      </c>
      <c r="B578" s="219" t="s">
        <v>622</v>
      </c>
      <c r="C578" s="30"/>
      <c r="D578" s="30" t="str">
        <f>VLOOKUP(B578, 'RM &amp; SF'!B:C, 2, 0)</f>
        <v>فريكة مطبوخة</v>
      </c>
      <c r="E578" s="30" t="s">
        <v>2211</v>
      </c>
      <c r="F578" s="110">
        <v>4214</v>
      </c>
      <c r="G578" s="30" t="str">
        <f>VLOOKUP(F578, 'RM &amp; SF'!B:C, 2, 0)</f>
        <v>قرفة ناعمة*****</v>
      </c>
      <c r="H578" s="89">
        <v>7</v>
      </c>
      <c r="I578" s="30" t="str">
        <f>VLOOKUP(F578, 'RM &amp; SF'!B:H, 4, 0)</f>
        <v>غم</v>
      </c>
      <c r="J578" s="90">
        <f t="shared" si="53"/>
        <v>1.5555555555555556</v>
      </c>
      <c r="K578" s="91">
        <f>VLOOKUP(F578, 'RM &amp; SF'!B:H, 7, 0)</f>
        <v>2.8020000000000002E-3</v>
      </c>
      <c r="L578" s="92">
        <f t="shared" si="51"/>
        <v>4.3586666666666669E-3</v>
      </c>
      <c r="M578" s="30" t="s">
        <v>810</v>
      </c>
    </row>
    <row r="579" spans="1:13" ht="14">
      <c r="A579" s="88" t="s">
        <v>2421</v>
      </c>
      <c r="B579" s="219" t="s">
        <v>622</v>
      </c>
      <c r="C579" s="30"/>
      <c r="D579" s="30" t="str">
        <f>VLOOKUP(B579, 'RM &amp; SF'!B:C, 2, 0)</f>
        <v>فريكة مطبوخة</v>
      </c>
      <c r="E579" s="30" t="s">
        <v>3058</v>
      </c>
      <c r="F579" s="110">
        <v>4191</v>
      </c>
      <c r="G579" s="30" t="str">
        <f>VLOOKUP(F579, 'RM &amp; SF'!B:C, 2, 0)</f>
        <v>جوزة الطيب مطحونة*****</v>
      </c>
      <c r="H579" s="89">
        <v>5</v>
      </c>
      <c r="I579" s="30" t="str">
        <f>VLOOKUP(F579, 'RM &amp; SF'!B:H, 4, 0)</f>
        <v>غم</v>
      </c>
      <c r="J579" s="90">
        <f t="shared" si="53"/>
        <v>1.1111111111111112</v>
      </c>
      <c r="K579" s="91">
        <f>VLOOKUP(F579, 'RM &amp; SF'!B:H, 7, 0)</f>
        <v>6.0339999999999994E-3</v>
      </c>
      <c r="L579" s="92">
        <f t="shared" si="51"/>
        <v>6.7044444444444443E-3</v>
      </c>
      <c r="M579" s="30" t="s">
        <v>810</v>
      </c>
    </row>
    <row r="580" spans="1:13" ht="14">
      <c r="A580" s="88" t="s">
        <v>2421</v>
      </c>
      <c r="B580" s="219" t="s">
        <v>622</v>
      </c>
      <c r="C580" s="30"/>
      <c r="D580" s="30" t="str">
        <f>VLOOKUP(B580, 'RM &amp; SF'!B:C, 2, 0)</f>
        <v>فريكة مطبوخة</v>
      </c>
      <c r="E580" s="30" t="s">
        <v>2214</v>
      </c>
      <c r="F580" s="110">
        <v>4223</v>
      </c>
      <c r="G580" s="30" t="str">
        <f>VLOOKUP(F580, 'RM &amp; SF'!B:C, 2, 0)</f>
        <v>بهارات كاري*****</v>
      </c>
      <c r="H580" s="89">
        <v>5</v>
      </c>
      <c r="I580" s="30" t="str">
        <f>VLOOKUP(F580, 'RM &amp; SF'!B:H, 4, 0)</f>
        <v>غم</v>
      </c>
      <c r="J580" s="90">
        <f t="shared" si="53"/>
        <v>1.1111111111111112</v>
      </c>
      <c r="K580" s="91">
        <f>VLOOKUP(F580, 'RM &amp; SF'!B:H, 7, 0)</f>
        <v>2.2409999999999999E-3</v>
      </c>
      <c r="L580" s="92">
        <f t="shared" si="51"/>
        <v>2.49E-3</v>
      </c>
      <c r="M580" s="30" t="s">
        <v>810</v>
      </c>
    </row>
    <row r="581" spans="1:13" ht="14">
      <c r="A581" s="88" t="s">
        <v>2421</v>
      </c>
      <c r="B581" s="219" t="s">
        <v>622</v>
      </c>
      <c r="C581" s="30"/>
      <c r="D581" s="30" t="str">
        <f>VLOOKUP(B581, 'RM &amp; SF'!B:C, 2, 0)</f>
        <v>فريكة مطبوخة</v>
      </c>
      <c r="E581" s="30" t="s">
        <v>3058</v>
      </c>
      <c r="F581" s="110">
        <v>1221</v>
      </c>
      <c r="G581" s="30" t="str">
        <f>VLOOKUP(F581, 'RM &amp; SF'!B:C, 2, 0)</f>
        <v>مرقة لحم</v>
      </c>
      <c r="H581" s="89">
        <v>3100</v>
      </c>
      <c r="I581" s="30" t="str">
        <f>VLOOKUP(F581, 'RM &amp; SF'!B:H, 4, 0)</f>
        <v>غم</v>
      </c>
      <c r="J581" s="90">
        <f t="shared" si="53"/>
        <v>688.88888888888891</v>
      </c>
      <c r="K581" s="91">
        <f>VLOOKUP(F581, 'RM &amp; SF'!B:H, 7, 0)</f>
        <v>0</v>
      </c>
      <c r="L581" s="92">
        <f t="shared" si="51"/>
        <v>0</v>
      </c>
      <c r="M581" s="30" t="s">
        <v>810</v>
      </c>
    </row>
    <row r="582" spans="1:13" ht="14">
      <c r="A582" s="88" t="s">
        <v>2422</v>
      </c>
      <c r="B582" s="219" t="s">
        <v>620</v>
      </c>
      <c r="C582" s="30"/>
      <c r="D582" s="30" t="str">
        <f>VLOOKUP(B582, 'RM &amp; SF'!B:C, 2, 0)</f>
        <v>دجاج للفريكة الملوكي</v>
      </c>
      <c r="E582" s="30" t="s">
        <v>2417</v>
      </c>
      <c r="F582" s="110" t="s">
        <v>544</v>
      </c>
      <c r="G582" s="30" t="str">
        <f>VLOOKUP(F582, 'RM &amp; SF'!B:C, 2, 0)</f>
        <v>دجاجة متبلة</v>
      </c>
      <c r="H582" s="89">
        <v>1</v>
      </c>
      <c r="I582" s="30" t="str">
        <f>VLOOKUP(F582, 'RM &amp; SF'!B:H, 4, 0)</f>
        <v>قطعة</v>
      </c>
      <c r="J582" s="90">
        <f>H582</f>
        <v>1</v>
      </c>
      <c r="K582" s="91">
        <f>VLOOKUP(F582, 'RM &amp; SF'!B:H, 7, 0)</f>
        <v>3.0853324000000004</v>
      </c>
      <c r="L582" s="92">
        <f t="shared" si="51"/>
        <v>3.0853324000000004</v>
      </c>
      <c r="M582" s="30" t="s">
        <v>810</v>
      </c>
    </row>
    <row r="583" spans="1:13" ht="14">
      <c r="A583" s="88" t="s">
        <v>2422</v>
      </c>
      <c r="B583" s="219" t="s">
        <v>620</v>
      </c>
      <c r="C583" s="30"/>
      <c r="D583" s="30" t="str">
        <f>VLOOKUP(B583, 'RM &amp; SF'!B:C, 2, 0)</f>
        <v>دجاج للفريكة الملوكي</v>
      </c>
      <c r="E583" s="30" t="s">
        <v>2421</v>
      </c>
      <c r="F583" s="110" t="s">
        <v>622</v>
      </c>
      <c r="G583" s="30" t="str">
        <f>VLOOKUP(F583, 'RM &amp; SF'!B:C, 2, 0)</f>
        <v>فريكة مطبوخة</v>
      </c>
      <c r="H583" s="89">
        <v>200</v>
      </c>
      <c r="I583" s="30" t="str">
        <f>VLOOKUP(F583, 'RM &amp; SF'!B:H, 4, 0)</f>
        <v>غم</v>
      </c>
      <c r="J583" s="90">
        <f>H583</f>
        <v>200</v>
      </c>
      <c r="K583" s="91">
        <f>VLOOKUP(F583, 'RM &amp; SF'!B:H, 7, 0)</f>
        <v>1.2594586666666669E-3</v>
      </c>
      <c r="L583" s="92">
        <f t="shared" si="51"/>
        <v>0.25189173333333337</v>
      </c>
      <c r="M583" s="30" t="s">
        <v>810</v>
      </c>
    </row>
    <row r="584" spans="1:13" ht="14">
      <c r="A584" s="88" t="s">
        <v>2423</v>
      </c>
      <c r="B584" s="219" t="s">
        <v>626</v>
      </c>
      <c r="C584" s="30"/>
      <c r="D584" s="30" t="str">
        <f>VLOOKUP(B584, 'RM &amp; SF'!B:C, 2, 0)</f>
        <v>تجهيز شيشبرك</v>
      </c>
      <c r="E584" s="30" t="s">
        <v>3058</v>
      </c>
      <c r="F584" s="110">
        <v>4146</v>
      </c>
      <c r="G584" s="30" t="str">
        <f>VLOOKUP(F584, 'RM &amp; SF'!B:C, 2, 0)</f>
        <v>طحين ابيض زهرة متعدد الاستخدامات*****</v>
      </c>
      <c r="H584" s="89">
        <v>1000</v>
      </c>
      <c r="I584" s="30" t="str">
        <f>VLOOKUP(F584, 'RM &amp; SF'!B:H, 4, 0)</f>
        <v>غم</v>
      </c>
      <c r="J584" s="90">
        <f t="shared" ref="J584:J589" si="54">H584/300</f>
        <v>3.3333333333333335</v>
      </c>
      <c r="K584" s="91">
        <f>VLOOKUP(F584, 'RM &amp; SF'!B:H, 7, 0)</f>
        <v>3.2000000000000003E-4</v>
      </c>
      <c r="L584" s="92">
        <f t="shared" si="51"/>
        <v>1.0666666666666667E-3</v>
      </c>
      <c r="M584" s="30" t="s">
        <v>810</v>
      </c>
    </row>
    <row r="585" spans="1:13" ht="14">
      <c r="A585" s="88" t="s">
        <v>2423</v>
      </c>
      <c r="B585" s="219" t="s">
        <v>626</v>
      </c>
      <c r="C585" s="30"/>
      <c r="D585" s="30" t="str">
        <f>VLOOKUP(B585, 'RM &amp; SF'!B:C, 2, 0)</f>
        <v>تجهيز شيشبرك</v>
      </c>
      <c r="E585" s="30" t="s">
        <v>3058</v>
      </c>
      <c r="F585" s="110">
        <v>3</v>
      </c>
      <c r="G585" s="30" t="str">
        <f>VLOOKUP(F585, 'RM &amp; SF'!B:C, 2, 0)</f>
        <v>مياه حنفية</v>
      </c>
      <c r="H585" s="89">
        <v>250</v>
      </c>
      <c r="I585" s="30" t="str">
        <f>VLOOKUP(F585, 'RM &amp; SF'!B:H, 4, 0)</f>
        <v>مل</v>
      </c>
      <c r="J585" s="90">
        <f t="shared" si="54"/>
        <v>0.83333333333333337</v>
      </c>
      <c r="K585" s="91">
        <f>VLOOKUP(F585, 'RM &amp; SF'!B:H, 7, 0)</f>
        <v>0</v>
      </c>
      <c r="L585" s="92">
        <f t="shared" si="51"/>
        <v>0</v>
      </c>
      <c r="M585" s="30" t="s">
        <v>810</v>
      </c>
    </row>
    <row r="586" spans="1:13" ht="14">
      <c r="A586" s="88" t="s">
        <v>2423</v>
      </c>
      <c r="B586" s="219" t="s">
        <v>626</v>
      </c>
      <c r="C586" s="30"/>
      <c r="D586" s="30" t="str">
        <f>VLOOKUP(B586, 'RM &amp; SF'!B:C, 2, 0)</f>
        <v>تجهيز شيشبرك</v>
      </c>
      <c r="E586" s="30" t="s">
        <v>2203</v>
      </c>
      <c r="F586" s="110">
        <v>4152</v>
      </c>
      <c r="G586" s="30" t="str">
        <f>VLOOKUP(F586, 'RM &amp; SF'!B:C, 2, 0)</f>
        <v>ملح طعام 750غم*****</v>
      </c>
      <c r="H586" s="89">
        <v>10</v>
      </c>
      <c r="I586" s="30" t="str">
        <f>VLOOKUP(F586, 'RM &amp; SF'!B:H, 4, 0)</f>
        <v>غم</v>
      </c>
      <c r="J586" s="90">
        <f t="shared" si="54"/>
        <v>3.3333333333333333E-2</v>
      </c>
      <c r="K586" s="91">
        <f>VLOOKUP(F586, 'RM &amp; SF'!B:H, 7, 0)</f>
        <v>1.7066666666666665E-4</v>
      </c>
      <c r="L586" s="92">
        <f t="shared" si="51"/>
        <v>5.6888888888888884E-6</v>
      </c>
      <c r="M586" s="30" t="s">
        <v>810</v>
      </c>
    </row>
    <row r="587" spans="1:13" ht="14">
      <c r="A587" s="88" t="s">
        <v>2423</v>
      </c>
      <c r="B587" s="219" t="s">
        <v>626</v>
      </c>
      <c r="C587" s="30"/>
      <c r="D587" s="30" t="str">
        <f>VLOOKUP(B587, 'RM &amp; SF'!B:C, 2, 0)</f>
        <v>تجهيز شيشبرك</v>
      </c>
      <c r="E587" s="30" t="s">
        <v>2260</v>
      </c>
      <c r="F587" s="110">
        <v>4160</v>
      </c>
      <c r="G587" s="30" t="str">
        <f>VLOOKUP(F587, 'RM &amp; SF'!B:C, 2, 0)</f>
        <v>زيت صويا 18 لتر*****</v>
      </c>
      <c r="H587" s="89">
        <v>10</v>
      </c>
      <c r="I587" s="30" t="str">
        <f>VLOOKUP(F587, 'RM &amp; SF'!B:H, 4, 0)</f>
        <v>مل</v>
      </c>
      <c r="J587" s="90">
        <f t="shared" si="54"/>
        <v>3.3333333333333333E-2</v>
      </c>
      <c r="K587" s="91">
        <f>VLOOKUP(F587, 'RM &amp; SF'!B:H, 7, 0)</f>
        <v>1.335E-3</v>
      </c>
      <c r="L587" s="92">
        <f t="shared" si="51"/>
        <v>4.4499999999999997E-5</v>
      </c>
      <c r="M587" s="30" t="s">
        <v>810</v>
      </c>
    </row>
    <row r="588" spans="1:13" ht="14">
      <c r="A588" s="88" t="s">
        <v>2423</v>
      </c>
      <c r="B588" s="219" t="s">
        <v>626</v>
      </c>
      <c r="C588" s="30"/>
      <c r="D588" s="30" t="str">
        <f>VLOOKUP(B588, 'RM &amp; SF'!B:C, 2, 0)</f>
        <v>تجهيز شيشبرك</v>
      </c>
      <c r="E588" s="30" t="s">
        <v>3058</v>
      </c>
      <c r="F588" s="110">
        <v>5373</v>
      </c>
      <c r="G588" s="30" t="str">
        <f>VLOOKUP(F588, 'RM &amp; SF'!B:C, 2, 0)</f>
        <v>قطعيات عجل مشكلة</v>
      </c>
      <c r="H588" s="89">
        <v>1500</v>
      </c>
      <c r="I588" s="30" t="str">
        <f>VLOOKUP(F588, 'RM &amp; SF'!B:H, 4, 0)</f>
        <v>غم</v>
      </c>
      <c r="J588" s="90">
        <f t="shared" si="54"/>
        <v>5</v>
      </c>
      <c r="K588" s="91">
        <f>VLOOKUP(F588, 'RM &amp; SF'!B:H, 7, 0)</f>
        <v>9.0100000000000006E-3</v>
      </c>
      <c r="L588" s="92">
        <f t="shared" si="51"/>
        <v>4.5050000000000007E-2</v>
      </c>
      <c r="M588" s="30" t="s">
        <v>810</v>
      </c>
    </row>
    <row r="589" spans="1:13" ht="14">
      <c r="A589" s="88" t="s">
        <v>2423</v>
      </c>
      <c r="B589" s="219" t="s">
        <v>626</v>
      </c>
      <c r="C589" s="30"/>
      <c r="D589" s="30" t="str">
        <f>VLOOKUP(B589, 'RM &amp; SF'!B:C, 2, 0)</f>
        <v>تجهيز شيشبرك</v>
      </c>
      <c r="E589" s="30" t="s">
        <v>2234</v>
      </c>
      <c r="F589" s="110">
        <v>4503</v>
      </c>
      <c r="G589" s="30" t="str">
        <f>VLOOKUP(F589, 'RM &amp; SF'!B:C, 2, 0)</f>
        <v>بصل ناشف دفش*****</v>
      </c>
      <c r="H589" s="89">
        <v>1500</v>
      </c>
      <c r="I589" s="30" t="str">
        <f>VLOOKUP(F589, 'RM &amp; SF'!B:H, 4, 0)</f>
        <v>غم</v>
      </c>
      <c r="J589" s="90">
        <f t="shared" si="54"/>
        <v>5</v>
      </c>
      <c r="K589" s="91">
        <f>VLOOKUP(F589, 'RM &amp; SF'!B:H, 7, 0)</f>
        <v>2.5000000000000001E-4</v>
      </c>
      <c r="L589" s="92">
        <f t="shared" si="51"/>
        <v>1.25E-3</v>
      </c>
      <c r="M589" s="30" t="s">
        <v>810</v>
      </c>
    </row>
    <row r="590" spans="1:13" ht="14">
      <c r="A590" s="88" t="s">
        <v>2424</v>
      </c>
      <c r="B590" s="188" t="s">
        <v>624</v>
      </c>
      <c r="C590" s="30"/>
      <c r="D590" s="30" t="str">
        <f>VLOOKUP(B590, 'RM &amp; SF'!B:C, 2, 0)</f>
        <v>طبخة مقلوبة</v>
      </c>
      <c r="E590" s="30" t="s">
        <v>2281</v>
      </c>
      <c r="F590" s="110">
        <v>4133</v>
      </c>
      <c r="G590" s="30" t="str">
        <f>VLOOKUP(F590, 'RM &amp; SF'!B:C, 2, 0)</f>
        <v>ارز بسمتي ذهبي*****</v>
      </c>
      <c r="H590" s="89">
        <v>10000</v>
      </c>
      <c r="I590" s="30" t="str">
        <f>VLOOKUP(F590, 'RM &amp; SF'!B:H, 4, 0)</f>
        <v>غم</v>
      </c>
      <c r="J590" s="90">
        <f t="shared" ref="J590:J606" si="55">H590/48</f>
        <v>208.33333333333334</v>
      </c>
      <c r="K590" s="91">
        <f>VLOOKUP(F590, 'RM &amp; SF'!B:H, 7, 0)</f>
        <v>1.1000000000000001E-3</v>
      </c>
      <c r="L590" s="92">
        <f t="shared" si="51"/>
        <v>0.22916666666666669</v>
      </c>
      <c r="M590" s="30" t="s">
        <v>810</v>
      </c>
    </row>
    <row r="591" spans="1:13" ht="14">
      <c r="A591" s="88" t="s">
        <v>2424</v>
      </c>
      <c r="B591" s="188" t="s">
        <v>624</v>
      </c>
      <c r="C591" s="30"/>
      <c r="D591" s="30" t="str">
        <f>VLOOKUP(B591, 'RM &amp; SF'!B:C, 2, 0)</f>
        <v>طبخة مقلوبة</v>
      </c>
      <c r="E591" s="30" t="s">
        <v>2247</v>
      </c>
      <c r="F591" s="110">
        <v>4525</v>
      </c>
      <c r="G591" s="30" t="str">
        <f>VLOOKUP(F591, 'RM &amp; SF'!B:C, 2, 0)</f>
        <v>زهرة*****</v>
      </c>
      <c r="H591" s="89">
        <v>6000</v>
      </c>
      <c r="I591" s="30" t="str">
        <f>VLOOKUP(F591, 'RM &amp; SF'!B:H, 4, 0)</f>
        <v>غم</v>
      </c>
      <c r="J591" s="90">
        <f t="shared" si="55"/>
        <v>125</v>
      </c>
      <c r="K591" s="91">
        <f>VLOOKUP(F591, 'RM &amp; SF'!B:H, 7, 0)</f>
        <v>1E-3</v>
      </c>
      <c r="L591" s="92">
        <f t="shared" si="51"/>
        <v>0.125</v>
      </c>
      <c r="M591" s="30" t="s">
        <v>810</v>
      </c>
    </row>
    <row r="592" spans="1:13" ht="14">
      <c r="A592" s="88" t="s">
        <v>2424</v>
      </c>
      <c r="B592" s="188" t="s">
        <v>624</v>
      </c>
      <c r="C592" s="30"/>
      <c r="D592" s="30" t="str">
        <f>VLOOKUP(B592, 'RM &amp; SF'!B:C, 2, 0)</f>
        <v>طبخة مقلوبة</v>
      </c>
      <c r="E592" s="30" t="s">
        <v>2229</v>
      </c>
      <c r="F592" s="110">
        <v>4494</v>
      </c>
      <c r="G592" s="30" t="str">
        <f>VLOOKUP(F592, 'RM &amp; SF'!B:C, 2, 0)</f>
        <v>باذنجان (اسود) كلاسك*****</v>
      </c>
      <c r="H592" s="89">
        <v>6000</v>
      </c>
      <c r="I592" s="30" t="str">
        <f>VLOOKUP(F592, 'RM &amp; SF'!B:H, 4, 0)</f>
        <v>غم</v>
      </c>
      <c r="J592" s="90">
        <f t="shared" si="55"/>
        <v>125</v>
      </c>
      <c r="K592" s="91">
        <f>VLOOKUP(F592, 'RM &amp; SF'!B:H, 7, 0)</f>
        <v>4.4999999999999999E-4</v>
      </c>
      <c r="L592" s="92">
        <f t="shared" si="51"/>
        <v>5.6250000000000001E-2</v>
      </c>
      <c r="M592" s="30" t="s">
        <v>810</v>
      </c>
    </row>
    <row r="593" spans="1:13" ht="14">
      <c r="A593" s="88" t="s">
        <v>2424</v>
      </c>
      <c r="B593" s="188" t="s">
        <v>624</v>
      </c>
      <c r="C593" s="30"/>
      <c r="D593" s="30" t="str">
        <f>VLOOKUP(B593, 'RM &amp; SF'!B:C, 2, 0)</f>
        <v>طبخة مقلوبة</v>
      </c>
      <c r="E593" s="30" t="s">
        <v>2230</v>
      </c>
      <c r="F593" s="110">
        <v>4497</v>
      </c>
      <c r="G593" s="30" t="str">
        <f>VLOOKUP(F593, 'RM &amp; SF'!B:C, 2, 0)</f>
        <v>بطاطا*****</v>
      </c>
      <c r="H593" s="89">
        <v>6000</v>
      </c>
      <c r="I593" s="30" t="str">
        <f>VLOOKUP(F593, 'RM &amp; SF'!B:H, 4, 0)</f>
        <v>غم</v>
      </c>
      <c r="J593" s="90">
        <f t="shared" si="55"/>
        <v>125</v>
      </c>
      <c r="K593" s="91">
        <f>VLOOKUP(F593, 'RM &amp; SF'!B:H, 7, 0)</f>
        <v>4.0000000000000002E-4</v>
      </c>
      <c r="L593" s="92">
        <f t="shared" si="51"/>
        <v>0.05</v>
      </c>
      <c r="M593" s="30" t="s">
        <v>810</v>
      </c>
    </row>
    <row r="594" spans="1:13" ht="14">
      <c r="A594" s="88" t="s">
        <v>2424</v>
      </c>
      <c r="B594" s="188" t="s">
        <v>624</v>
      </c>
      <c r="C594" s="30"/>
      <c r="D594" s="30" t="str">
        <f>VLOOKUP(B594, 'RM &amp; SF'!B:C, 2, 0)</f>
        <v>طبخة مقلوبة</v>
      </c>
      <c r="E594" s="30" t="s">
        <v>2218</v>
      </c>
      <c r="F594" s="110">
        <v>4233</v>
      </c>
      <c r="G594" s="30" t="str">
        <f>VLOOKUP(F594, 'RM &amp; SF'!B:C, 2, 0)</f>
        <v>هال ناعم*****</v>
      </c>
      <c r="H594" s="89">
        <v>30</v>
      </c>
      <c r="I594" s="30" t="str">
        <f>VLOOKUP(F594, 'RM &amp; SF'!B:H, 4, 0)</f>
        <v>غم</v>
      </c>
      <c r="J594" s="90">
        <f t="shared" si="55"/>
        <v>0.625</v>
      </c>
      <c r="K594" s="91">
        <f>VLOOKUP(F594, 'RM &amp; SF'!B:H, 7, 0)</f>
        <v>2.3E-2</v>
      </c>
      <c r="L594" s="92">
        <f t="shared" si="51"/>
        <v>1.4374999999999999E-2</v>
      </c>
      <c r="M594" s="30" t="s">
        <v>810</v>
      </c>
    </row>
    <row r="595" spans="1:13" ht="14">
      <c r="A595" s="88" t="s">
        <v>2424</v>
      </c>
      <c r="B595" s="188" t="s">
        <v>624</v>
      </c>
      <c r="C595" s="30"/>
      <c r="D595" s="30" t="str">
        <f>VLOOKUP(B595, 'RM &amp; SF'!B:C, 2, 0)</f>
        <v>طبخة مقلوبة</v>
      </c>
      <c r="E595" s="30" t="s">
        <v>2260</v>
      </c>
      <c r="F595" s="110">
        <v>4160</v>
      </c>
      <c r="G595" s="30" t="str">
        <f>VLOOKUP(F595, 'RM &amp; SF'!B:C, 2, 0)</f>
        <v>زيت صويا 18 لتر*****</v>
      </c>
      <c r="H595" s="89">
        <v>600</v>
      </c>
      <c r="I595" s="30" t="str">
        <f>VLOOKUP(F595, 'RM &amp; SF'!B:H, 4, 0)</f>
        <v>مل</v>
      </c>
      <c r="J595" s="90">
        <f t="shared" si="55"/>
        <v>12.5</v>
      </c>
      <c r="K595" s="91">
        <f>VLOOKUP(F595, 'RM &amp; SF'!B:H, 7, 0)</f>
        <v>1.335E-3</v>
      </c>
      <c r="L595" s="92">
        <f t="shared" si="51"/>
        <v>1.6687500000000001E-2</v>
      </c>
      <c r="M595" s="30" t="s">
        <v>810</v>
      </c>
    </row>
    <row r="596" spans="1:13" ht="14">
      <c r="A596" s="88" t="s">
        <v>2424</v>
      </c>
      <c r="B596" s="188" t="s">
        <v>624</v>
      </c>
      <c r="C596" s="30"/>
      <c r="D596" s="30" t="str">
        <f>VLOOKUP(B596, 'RM &amp; SF'!B:C, 2, 0)</f>
        <v>طبخة مقلوبة</v>
      </c>
      <c r="E596" s="30" t="s">
        <v>2213</v>
      </c>
      <c r="F596" s="110">
        <v>4218</v>
      </c>
      <c r="G596" s="30" t="str">
        <f>VLOOKUP(F596, 'RM &amp; SF'!B:C, 2, 0)</f>
        <v>بهارات مشكلة*****</v>
      </c>
      <c r="H596" s="89">
        <v>50</v>
      </c>
      <c r="I596" s="30" t="str">
        <f>VLOOKUP(F596, 'RM &amp; SF'!B:H, 4, 0)</f>
        <v>غم</v>
      </c>
      <c r="J596" s="90">
        <f t="shared" si="55"/>
        <v>1.0416666666666667</v>
      </c>
      <c r="K596" s="91">
        <f>VLOOKUP(F596, 'RM &amp; SF'!B:H, 7, 0)</f>
        <v>3.0169999999999997E-3</v>
      </c>
      <c r="L596" s="92">
        <f t="shared" si="51"/>
        <v>3.1427083333333333E-3</v>
      </c>
      <c r="M596" s="30" t="s">
        <v>810</v>
      </c>
    </row>
    <row r="597" spans="1:13" ht="14">
      <c r="A597" s="88" t="s">
        <v>2424</v>
      </c>
      <c r="B597" s="188" t="s">
        <v>624</v>
      </c>
      <c r="C597" s="30"/>
      <c r="D597" s="30" t="str">
        <f>VLOOKUP(B597, 'RM &amp; SF'!B:C, 2, 0)</f>
        <v>طبخة مقلوبة</v>
      </c>
      <c r="E597" s="30" t="s">
        <v>2206</v>
      </c>
      <c r="F597" s="110">
        <v>4204</v>
      </c>
      <c r="G597" s="30" t="str">
        <f>VLOOKUP(F597, 'RM &amp; SF'!B:C, 2, 0)</f>
        <v>فلفل اسود ناعم*****</v>
      </c>
      <c r="H597" s="89">
        <v>30</v>
      </c>
      <c r="I597" s="30" t="str">
        <f>VLOOKUP(F597, 'RM &amp; SF'!B:H, 4, 0)</f>
        <v>غم</v>
      </c>
      <c r="J597" s="90">
        <f t="shared" si="55"/>
        <v>0.625</v>
      </c>
      <c r="K597" s="91">
        <f>VLOOKUP(F597, 'RM &amp; SF'!B:H, 7, 0)</f>
        <v>6.8970000000000004E-3</v>
      </c>
      <c r="L597" s="92">
        <f t="shared" si="51"/>
        <v>4.3106250000000002E-3</v>
      </c>
      <c r="M597" s="30" t="s">
        <v>810</v>
      </c>
    </row>
    <row r="598" spans="1:13" ht="14">
      <c r="A598" s="88" t="s">
        <v>2424</v>
      </c>
      <c r="B598" s="188" t="s">
        <v>624</v>
      </c>
      <c r="C598" s="30"/>
      <c r="D598" s="30" t="str">
        <f>VLOOKUP(B598, 'RM &amp; SF'!B:C, 2, 0)</f>
        <v>طبخة مقلوبة</v>
      </c>
      <c r="E598" s="30" t="s">
        <v>3058</v>
      </c>
      <c r="F598" s="110">
        <v>4222</v>
      </c>
      <c r="G598" s="30" t="str">
        <f>VLOOKUP(F598, 'RM &amp; SF'!B:C, 2, 0)</f>
        <v>كمون ناعم*****</v>
      </c>
      <c r="H598" s="89">
        <v>15</v>
      </c>
      <c r="I598" s="30" t="str">
        <f>VLOOKUP(F598, 'RM &amp; SF'!B:H, 4, 0)</f>
        <v>غم</v>
      </c>
      <c r="J598" s="90">
        <f t="shared" si="55"/>
        <v>0.3125</v>
      </c>
      <c r="K598" s="91">
        <f>VLOOKUP(F598, 'RM &amp; SF'!B:H, 7, 0)</f>
        <v>3.2330000000000002E-3</v>
      </c>
      <c r="L598" s="92">
        <f t="shared" si="51"/>
        <v>1.0103125000000001E-3</v>
      </c>
      <c r="M598" s="30" t="s">
        <v>810</v>
      </c>
    </row>
    <row r="599" spans="1:13" ht="14">
      <c r="A599" s="88" t="s">
        <v>2424</v>
      </c>
      <c r="B599" s="188" t="s">
        <v>624</v>
      </c>
      <c r="C599" s="30"/>
      <c r="D599" s="30" t="str">
        <f>VLOOKUP(B599, 'RM &amp; SF'!B:C, 2, 0)</f>
        <v>طبخة مقلوبة</v>
      </c>
      <c r="E599" s="30" t="s">
        <v>2214</v>
      </c>
      <c r="F599" s="110">
        <v>4223</v>
      </c>
      <c r="G599" s="30" t="str">
        <f>VLOOKUP(F599, 'RM &amp; SF'!B:C, 2, 0)</f>
        <v>بهارات كاري*****</v>
      </c>
      <c r="H599" s="89">
        <v>40</v>
      </c>
      <c r="I599" s="30" t="str">
        <f>VLOOKUP(F599, 'RM &amp; SF'!B:H, 4, 0)</f>
        <v>غم</v>
      </c>
      <c r="J599" s="90">
        <f t="shared" si="55"/>
        <v>0.83333333333333337</v>
      </c>
      <c r="K599" s="91">
        <f>VLOOKUP(F599, 'RM &amp; SF'!B:H, 7, 0)</f>
        <v>2.2409999999999999E-3</v>
      </c>
      <c r="L599" s="92">
        <f t="shared" si="51"/>
        <v>1.8675E-3</v>
      </c>
      <c r="M599" s="30" t="s">
        <v>810</v>
      </c>
    </row>
    <row r="600" spans="1:13" ht="14">
      <c r="A600" s="88" t="s">
        <v>2424</v>
      </c>
      <c r="B600" s="188" t="s">
        <v>624</v>
      </c>
      <c r="C600" s="30"/>
      <c r="D600" s="30" t="str">
        <f>VLOOKUP(B600, 'RM &amp; SF'!B:C, 2, 0)</f>
        <v>طبخة مقلوبة</v>
      </c>
      <c r="E600" s="30" t="s">
        <v>2222</v>
      </c>
      <c r="F600" s="110">
        <v>4240</v>
      </c>
      <c r="G600" s="30" t="str">
        <f>VLOOKUP(F600, 'RM &amp; SF'!B:C, 2, 0)</f>
        <v>كركم ناعم*****</v>
      </c>
      <c r="H600" s="89">
        <v>20</v>
      </c>
      <c r="I600" s="30" t="str">
        <f>VLOOKUP(F600, 'RM &amp; SF'!B:H, 4, 0)</f>
        <v>غم</v>
      </c>
      <c r="J600" s="90">
        <f t="shared" si="55"/>
        <v>0.41666666666666669</v>
      </c>
      <c r="K600" s="91">
        <f>VLOOKUP(F600, 'RM &amp; SF'!B:H, 7, 0)</f>
        <v>1.9399999999999999E-3</v>
      </c>
      <c r="L600" s="92">
        <f t="shared" si="51"/>
        <v>8.0833333333333332E-4</v>
      </c>
      <c r="M600" s="30" t="s">
        <v>810</v>
      </c>
    </row>
    <row r="601" spans="1:13" ht="14">
      <c r="A601" s="88" t="s">
        <v>2424</v>
      </c>
      <c r="B601" s="188" t="s">
        <v>624</v>
      </c>
      <c r="C601" s="30"/>
      <c r="D601" s="30" t="str">
        <f>VLOOKUP(B601, 'RM &amp; SF'!B:C, 2, 0)</f>
        <v>طبخة مقلوبة</v>
      </c>
      <c r="E601" s="30" t="s">
        <v>2211</v>
      </c>
      <c r="F601" s="110">
        <v>4214</v>
      </c>
      <c r="G601" s="30" t="str">
        <f>VLOOKUP(F601, 'RM &amp; SF'!B:C, 2, 0)</f>
        <v>قرفة ناعمة*****</v>
      </c>
      <c r="H601" s="89">
        <v>15</v>
      </c>
      <c r="I601" s="30" t="str">
        <f>VLOOKUP(F601, 'RM &amp; SF'!B:H, 4, 0)</f>
        <v>غم</v>
      </c>
      <c r="J601" s="90">
        <f t="shared" si="55"/>
        <v>0.3125</v>
      </c>
      <c r="K601" s="91">
        <f>VLOOKUP(F601, 'RM &amp; SF'!B:H, 7, 0)</f>
        <v>2.8020000000000002E-3</v>
      </c>
      <c r="L601" s="92">
        <f t="shared" si="51"/>
        <v>8.756250000000001E-4</v>
      </c>
      <c r="M601" s="30" t="s">
        <v>810</v>
      </c>
    </row>
    <row r="602" spans="1:13" ht="14">
      <c r="A602" s="88" t="s">
        <v>2424</v>
      </c>
      <c r="B602" s="188" t="s">
        <v>624</v>
      </c>
      <c r="C602" s="30"/>
      <c r="D602" s="30" t="str">
        <f>VLOOKUP(B602, 'RM &amp; SF'!B:C, 2, 0)</f>
        <v>طبخة مقلوبة</v>
      </c>
      <c r="E602" s="30" t="s">
        <v>3058</v>
      </c>
      <c r="F602" s="110">
        <v>4191</v>
      </c>
      <c r="G602" s="30" t="str">
        <f>VLOOKUP(F602, 'RM &amp; SF'!B:C, 2, 0)</f>
        <v>جوزة الطيب مطحونة*****</v>
      </c>
      <c r="H602" s="89">
        <v>10</v>
      </c>
      <c r="I602" s="30" t="str">
        <f>VLOOKUP(F602, 'RM &amp; SF'!B:H, 4, 0)</f>
        <v>غم</v>
      </c>
      <c r="J602" s="90">
        <f t="shared" si="55"/>
        <v>0.20833333333333334</v>
      </c>
      <c r="K602" s="91">
        <f>VLOOKUP(F602, 'RM &amp; SF'!B:H, 7, 0)</f>
        <v>6.0339999999999994E-3</v>
      </c>
      <c r="L602" s="92">
        <f t="shared" si="51"/>
        <v>1.2570833333333334E-3</v>
      </c>
      <c r="M602" s="30" t="s">
        <v>810</v>
      </c>
    </row>
    <row r="603" spans="1:13" ht="14">
      <c r="A603" s="88" t="s">
        <v>2424</v>
      </c>
      <c r="B603" s="188" t="s">
        <v>624</v>
      </c>
      <c r="C603" s="30"/>
      <c r="D603" s="30" t="str">
        <f>VLOOKUP(B603, 'RM &amp; SF'!B:C, 2, 0)</f>
        <v>طبخة مقلوبة</v>
      </c>
      <c r="E603" s="30" t="s">
        <v>2203</v>
      </c>
      <c r="F603" s="110">
        <v>4152</v>
      </c>
      <c r="G603" s="30" t="str">
        <f>VLOOKUP(F603, 'RM &amp; SF'!B:C, 2, 0)</f>
        <v>ملح طعام 750غم*****</v>
      </c>
      <c r="H603" s="89">
        <v>300</v>
      </c>
      <c r="I603" s="30" t="str">
        <f>VLOOKUP(F603, 'RM &amp; SF'!B:H, 4, 0)</f>
        <v>غم</v>
      </c>
      <c r="J603" s="90">
        <f t="shared" si="55"/>
        <v>6.25</v>
      </c>
      <c r="K603" s="91">
        <f>VLOOKUP(F603, 'RM &amp; SF'!B:H, 7, 0)</f>
        <v>1.7066666666666665E-4</v>
      </c>
      <c r="L603" s="92">
        <f t="shared" si="51"/>
        <v>1.0666666666666665E-3</v>
      </c>
      <c r="M603" s="30" t="s">
        <v>810</v>
      </c>
    </row>
    <row r="604" spans="1:13" ht="14">
      <c r="A604" s="88" t="s">
        <v>2424</v>
      </c>
      <c r="B604" s="188" t="s">
        <v>624</v>
      </c>
      <c r="C604" s="30"/>
      <c r="D604" s="30" t="str">
        <f>VLOOKUP(B604, 'RM &amp; SF'!B:C, 2, 0)</f>
        <v>طبخة مقلوبة</v>
      </c>
      <c r="E604" s="30" t="s">
        <v>3058</v>
      </c>
      <c r="F604" s="110">
        <v>4021</v>
      </c>
      <c r="G604" s="30" t="str">
        <f>VLOOKUP(F604, 'RM &amp; SF'!B:C, 2, 0)</f>
        <v>مكعبات مرق الدجاج 24 عبوة*2 مكعب*****</v>
      </c>
      <c r="H604" s="89">
        <v>50</v>
      </c>
      <c r="I604" s="30" t="str">
        <f>VLOOKUP(F604, 'RM &amp; SF'!B:H, 4, 0)</f>
        <v>غم</v>
      </c>
      <c r="J604" s="90">
        <f t="shared" si="55"/>
        <v>1.0416666666666667</v>
      </c>
      <c r="K604" s="91">
        <f>VLOOKUP(F604, 'RM &amp; SF'!B:H, 7, 0)</f>
        <v>3.8541666666666668E-3</v>
      </c>
      <c r="L604" s="92">
        <f t="shared" si="51"/>
        <v>4.0147569444444449E-3</v>
      </c>
      <c r="M604" s="30" t="s">
        <v>810</v>
      </c>
    </row>
    <row r="605" spans="1:13" ht="14">
      <c r="A605" s="88" t="s">
        <v>2424</v>
      </c>
      <c r="B605" s="188" t="s">
        <v>624</v>
      </c>
      <c r="C605" s="30"/>
      <c r="D605" s="30" t="str">
        <f>VLOOKUP(B605, 'RM &amp; SF'!B:C, 2, 0)</f>
        <v>طبخة مقلوبة</v>
      </c>
      <c r="E605" s="30" t="s">
        <v>2261</v>
      </c>
      <c r="F605" s="110">
        <v>4163</v>
      </c>
      <c r="G605" s="30" t="str">
        <f>VLOOKUP(F605, 'RM &amp; SF'!B:C, 2, 0)</f>
        <v>سمنة بنكهة السمن البلدي 15 كغ*****</v>
      </c>
      <c r="H605" s="89">
        <v>300</v>
      </c>
      <c r="I605" s="30" t="str">
        <f>VLOOKUP(F605, 'RM &amp; SF'!B:H, 4, 0)</f>
        <v>غم</v>
      </c>
      <c r="J605" s="90">
        <f t="shared" si="55"/>
        <v>6.25</v>
      </c>
      <c r="K605" s="91">
        <f>VLOOKUP(F605, 'RM &amp; SF'!B:H, 7, 0)</f>
        <v>2.0512E-3</v>
      </c>
      <c r="L605" s="92">
        <f t="shared" si="51"/>
        <v>1.282E-2</v>
      </c>
      <c r="M605" s="30" t="s">
        <v>810</v>
      </c>
    </row>
    <row r="606" spans="1:13" ht="14">
      <c r="A606" s="88" t="s">
        <v>2424</v>
      </c>
      <c r="B606" s="188" t="s">
        <v>624</v>
      </c>
      <c r="C606" s="30"/>
      <c r="D606" s="30" t="str">
        <f>VLOOKUP(B606, 'RM &amp; SF'!B:C, 2, 0)</f>
        <v>طبخة مقلوبة</v>
      </c>
      <c r="E606" s="30" t="s">
        <v>2260</v>
      </c>
      <c r="F606" s="110">
        <v>4160</v>
      </c>
      <c r="G606" s="30" t="str">
        <f>VLOOKUP(F606, 'RM &amp; SF'!B:C, 2, 0)</f>
        <v>زيت صويا 18 لتر*****</v>
      </c>
      <c r="H606" s="89">
        <v>300</v>
      </c>
      <c r="I606" s="30" t="str">
        <f>VLOOKUP(F606, 'RM &amp; SF'!B:H, 4, 0)</f>
        <v>مل</v>
      </c>
      <c r="J606" s="90">
        <f t="shared" si="55"/>
        <v>6.25</v>
      </c>
      <c r="K606" s="91">
        <f>VLOOKUP(F606, 'RM &amp; SF'!B:H, 7, 0)</f>
        <v>1.335E-3</v>
      </c>
      <c r="L606" s="92">
        <f t="shared" si="51"/>
        <v>8.3437500000000005E-3</v>
      </c>
      <c r="M606" s="30" t="s">
        <v>810</v>
      </c>
    </row>
    <row r="607" spans="1:13" ht="14">
      <c r="A607" s="88" t="s">
        <v>2448</v>
      </c>
      <c r="B607" s="219" t="s">
        <v>628</v>
      </c>
      <c r="C607" s="30"/>
      <c r="D607" s="30" t="str">
        <f>VLOOKUP(B607, 'RM &amp; SF'!B:C, 2, 0)</f>
        <v>سويت اند سور طبخة</v>
      </c>
      <c r="E607" s="30" t="s">
        <v>3058</v>
      </c>
      <c r="F607" s="110">
        <v>4058</v>
      </c>
      <c r="G607" s="30" t="str">
        <f>VLOOKUP(F607, 'RM &amp; SF'!B:C, 2, 0)</f>
        <v>زيت السمسم 500 مل*****</v>
      </c>
      <c r="H607" s="89">
        <v>25</v>
      </c>
      <c r="I607" s="30" t="str">
        <f>VLOOKUP(F607, 'RM &amp; SF'!B:H, 4, 0)</f>
        <v>مل</v>
      </c>
      <c r="J607" s="90">
        <f t="shared" ref="J607:J615" si="56">H607/2.17</f>
        <v>11.520737327188941</v>
      </c>
      <c r="K607" s="91">
        <f>VLOOKUP(F607, 'RM &amp; SF'!B:H, 7, 0)</f>
        <v>1.0962E-2</v>
      </c>
      <c r="L607" s="92">
        <f t="shared" si="51"/>
        <v>0.12629032258064518</v>
      </c>
      <c r="M607" s="30" t="s">
        <v>810</v>
      </c>
    </row>
    <row r="608" spans="1:13" ht="15.5">
      <c r="A608" s="88" t="s">
        <v>2448</v>
      </c>
      <c r="B608" s="219" t="s">
        <v>628</v>
      </c>
      <c r="C608" s="30"/>
      <c r="D608" s="30" t="str">
        <f>VLOOKUP(B608, 'RM &amp; SF'!B:C, 2, 0)</f>
        <v>سويت اند سور طبخة</v>
      </c>
      <c r="E608" s="30" t="s">
        <v>2321</v>
      </c>
      <c r="F608" s="67">
        <v>5292</v>
      </c>
      <c r="G608" s="30" t="str">
        <f>VLOOKUP(F608, 'RM &amp; SF'!B:C, 2, 0)</f>
        <v>ثوم مقشر*****</v>
      </c>
      <c r="H608" s="89">
        <v>15</v>
      </c>
      <c r="I608" s="30" t="str">
        <f>VLOOKUP(F608, 'RM &amp; SF'!B:H, 4, 0)</f>
        <v>غم</v>
      </c>
      <c r="J608" s="90">
        <f t="shared" si="56"/>
        <v>6.9124423963133639</v>
      </c>
      <c r="K608" s="91">
        <f>VLOOKUP(F608, 'RM &amp; SF'!B:H, 7, 0)</f>
        <v>4.4999999999999997E-3</v>
      </c>
      <c r="L608" s="92">
        <f t="shared" si="51"/>
        <v>3.1105990783410135E-2</v>
      </c>
      <c r="M608" s="30" t="s">
        <v>810</v>
      </c>
    </row>
    <row r="609" spans="1:13" ht="14">
      <c r="A609" s="88" t="s">
        <v>2448</v>
      </c>
      <c r="B609" s="219" t="s">
        <v>628</v>
      </c>
      <c r="C609" s="30"/>
      <c r="D609" s="30" t="str">
        <f>VLOOKUP(B609, 'RM &amp; SF'!B:C, 2, 0)</f>
        <v>سويت اند سور طبخة</v>
      </c>
      <c r="E609" s="30" t="s">
        <v>2205</v>
      </c>
      <c r="F609" s="110">
        <v>4193</v>
      </c>
      <c r="G609" s="30" t="str">
        <f>VLOOKUP(F609, 'RM &amp; SF'!B:C, 2, 0)</f>
        <v>زنجبيل ناعم*****</v>
      </c>
      <c r="H609" s="89">
        <v>26</v>
      </c>
      <c r="I609" s="30" t="str">
        <f>VLOOKUP(F609, 'RM &amp; SF'!B:H, 4, 0)</f>
        <v>غم</v>
      </c>
      <c r="J609" s="90">
        <f t="shared" si="56"/>
        <v>11.981566820276498</v>
      </c>
      <c r="K609" s="91">
        <f>VLOOKUP(F609, 'RM &amp; SF'!B:H, 7, 0)</f>
        <v>3.2330000000000002E-3</v>
      </c>
      <c r="L609" s="92">
        <f t="shared" si="51"/>
        <v>3.8736405529953923E-2</v>
      </c>
      <c r="M609" s="30" t="s">
        <v>810</v>
      </c>
    </row>
    <row r="610" spans="1:13" ht="14">
      <c r="A610" s="88" t="s">
        <v>2448</v>
      </c>
      <c r="B610" s="219" t="s">
        <v>628</v>
      </c>
      <c r="C610" s="30"/>
      <c r="D610" s="30" t="str">
        <f>VLOOKUP(B610, 'RM &amp; SF'!B:C, 2, 0)</f>
        <v>سويت اند سور طبخة</v>
      </c>
      <c r="E610" s="30" t="s">
        <v>3058</v>
      </c>
      <c r="F610" s="110">
        <v>4036</v>
      </c>
      <c r="G610" s="30" t="str">
        <f>VLOOKUP(F610, 'RM &amp; SF'!B:C, 2, 0)</f>
        <v>تشيلي صوص سيراتشا 740 مل*****</v>
      </c>
      <c r="H610" s="89">
        <v>10</v>
      </c>
      <c r="I610" s="30" t="str">
        <f>VLOOKUP(F610, 'RM &amp; SF'!B:H, 4, 0)</f>
        <v>مل</v>
      </c>
      <c r="J610" s="90">
        <f t="shared" si="56"/>
        <v>4.6082949308755765</v>
      </c>
      <c r="K610" s="91">
        <f>VLOOKUP(F610, 'RM &amp; SF'!B:H, 7, 0)</f>
        <v>4.6598322460391431E-3</v>
      </c>
      <c r="L610" s="92">
        <f t="shared" si="51"/>
        <v>2.1473881318152737E-2</v>
      </c>
      <c r="M610" s="30" t="s">
        <v>810</v>
      </c>
    </row>
    <row r="611" spans="1:13" ht="14">
      <c r="A611" s="88" t="s">
        <v>2448</v>
      </c>
      <c r="B611" s="219" t="s">
        <v>628</v>
      </c>
      <c r="C611" s="30"/>
      <c r="D611" s="30" t="str">
        <f>VLOOKUP(B611, 'RM &amp; SF'!B:C, 2, 0)</f>
        <v>سويت اند سور طبخة</v>
      </c>
      <c r="E611" s="30" t="s">
        <v>3058</v>
      </c>
      <c r="F611" s="110">
        <v>4002</v>
      </c>
      <c r="G611" s="30" t="str">
        <f>VLOOKUP(F611, 'RM &amp; SF'!B:C, 2, 0)</f>
        <v>خل ابيض 3.7 لتر*****</v>
      </c>
      <c r="H611" s="89">
        <v>50</v>
      </c>
      <c r="I611" s="30" t="str">
        <f>VLOOKUP(F611, 'RM &amp; SF'!B:H, 4, 0)</f>
        <v>مل</v>
      </c>
      <c r="J611" s="90">
        <f t="shared" si="56"/>
        <v>23.041474654377883</v>
      </c>
      <c r="K611" s="91">
        <f>VLOOKUP(F611, 'RM &amp; SF'!B:H, 7, 0)</f>
        <v>2.9121621621621617E-4</v>
      </c>
      <c r="L611" s="92">
        <f t="shared" si="51"/>
        <v>6.710051064889774E-3</v>
      </c>
      <c r="M611" s="30" t="s">
        <v>810</v>
      </c>
    </row>
    <row r="612" spans="1:13" ht="14">
      <c r="A612" s="88" t="s">
        <v>2448</v>
      </c>
      <c r="B612" s="219" t="s">
        <v>628</v>
      </c>
      <c r="C612" s="30"/>
      <c r="D612" s="30" t="str">
        <f>VLOOKUP(B612, 'RM &amp; SF'!B:C, 2, 0)</f>
        <v>سويت اند سور طبخة</v>
      </c>
      <c r="E612" s="30" t="s">
        <v>2269</v>
      </c>
      <c r="F612" s="110">
        <v>4011</v>
      </c>
      <c r="G612" s="30" t="str">
        <f>VLOOKUP(F612, 'RM &amp; SF'!B:C, 2, 0)</f>
        <v>كاتشب طماطم 5 كغ*****</v>
      </c>
      <c r="H612" s="89">
        <v>1500</v>
      </c>
      <c r="I612" s="30" t="str">
        <f>VLOOKUP(F612, 'RM &amp; SF'!B:H, 4, 0)</f>
        <v>غم</v>
      </c>
      <c r="J612" s="90">
        <f t="shared" si="56"/>
        <v>691.24423963133643</v>
      </c>
      <c r="K612" s="91">
        <f>VLOOKUP(F612, 'RM &amp; SF'!B:H, 7, 0)</f>
        <v>6.8959999999999996E-4</v>
      </c>
      <c r="L612" s="92">
        <f t="shared" si="51"/>
        <v>0.47668202764976958</v>
      </c>
      <c r="M612" s="30" t="s">
        <v>810</v>
      </c>
    </row>
    <row r="613" spans="1:13" ht="14">
      <c r="A613" s="88" t="s">
        <v>2448</v>
      </c>
      <c r="B613" s="219" t="s">
        <v>628</v>
      </c>
      <c r="C613" s="30"/>
      <c r="D613" s="30" t="str">
        <f>VLOOKUP(B613, 'RM &amp; SF'!B:C, 2, 0)</f>
        <v>سويت اند سور طبخة</v>
      </c>
      <c r="E613" s="30" t="s">
        <v>2266</v>
      </c>
      <c r="F613" s="110">
        <v>4008</v>
      </c>
      <c r="G613" s="30" t="str">
        <f>VLOOKUP(F613, 'RM &amp; SF'!B:C, 2, 0)</f>
        <v>صويا صوص 3.79 لتر*****</v>
      </c>
      <c r="H613" s="89">
        <v>125</v>
      </c>
      <c r="I613" s="30" t="str">
        <f>VLOOKUP(F613, 'RM &amp; SF'!B:H, 4, 0)</f>
        <v>مل</v>
      </c>
      <c r="J613" s="90">
        <f t="shared" si="56"/>
        <v>57.603686635944705</v>
      </c>
      <c r="K613" s="91">
        <f>VLOOKUP(F613, 'RM &amp; SF'!B:H, 7, 0)</f>
        <v>3.0699999999999998E-3</v>
      </c>
      <c r="L613" s="92">
        <f t="shared" si="51"/>
        <v>0.17684331797235023</v>
      </c>
      <c r="M613" s="30" t="s">
        <v>810</v>
      </c>
    </row>
    <row r="614" spans="1:13" ht="14">
      <c r="A614" s="88" t="s">
        <v>2448</v>
      </c>
      <c r="B614" s="219" t="s">
        <v>628</v>
      </c>
      <c r="C614" s="30"/>
      <c r="D614" s="30" t="str">
        <f>VLOOKUP(B614, 'RM &amp; SF'!B:C, 2, 0)</f>
        <v>سويت اند سور طبخة</v>
      </c>
      <c r="E614" s="30" t="s">
        <v>3058</v>
      </c>
      <c r="F614" s="110">
        <v>3</v>
      </c>
      <c r="G614" s="30" t="str">
        <f>VLOOKUP(F614, 'RM &amp; SF'!B:C, 2, 0)</f>
        <v>مياه حنفية</v>
      </c>
      <c r="H614" s="89">
        <v>750</v>
      </c>
      <c r="I614" s="30" t="str">
        <f>VLOOKUP(F614, 'RM &amp; SF'!B:H, 4, 0)</f>
        <v>مل</v>
      </c>
      <c r="J614" s="90">
        <f t="shared" si="56"/>
        <v>345.62211981566821</v>
      </c>
      <c r="K614" s="91">
        <f>VLOOKUP(F614, 'RM &amp; SF'!B:H, 7, 0)</f>
        <v>0</v>
      </c>
      <c r="L614" s="92">
        <f t="shared" si="51"/>
        <v>0</v>
      </c>
      <c r="M614" s="30" t="s">
        <v>810</v>
      </c>
    </row>
    <row r="615" spans="1:13" ht="14">
      <c r="A615" s="88" t="s">
        <v>2448</v>
      </c>
      <c r="B615" s="219" t="s">
        <v>628</v>
      </c>
      <c r="C615" s="30"/>
      <c r="D615" s="30" t="str">
        <f>VLOOKUP(B615, 'RM &amp; SF'!B:C, 2, 0)</f>
        <v>سويت اند سور طبخة</v>
      </c>
      <c r="E615" s="30" t="s">
        <v>2284</v>
      </c>
      <c r="F615" s="110">
        <v>4153</v>
      </c>
      <c r="G615" s="30" t="str">
        <f>VLOOKUP(F615, 'RM &amp; SF'!B:C, 2, 0)</f>
        <v>سكر ابيض ناعم*****</v>
      </c>
      <c r="H615" s="89">
        <v>130</v>
      </c>
      <c r="I615" s="30" t="str">
        <f>VLOOKUP(F615, 'RM &amp; SF'!B:H, 4, 0)</f>
        <v>غم</v>
      </c>
      <c r="J615" s="90">
        <f t="shared" si="56"/>
        <v>59.907834101382491</v>
      </c>
      <c r="K615" s="91">
        <f>VLOOKUP(F615, 'RM &amp; SF'!B:H, 7, 0)</f>
        <v>5.2499999999999997E-4</v>
      </c>
      <c r="L615" s="92">
        <f t="shared" si="51"/>
        <v>3.1451612903225803E-2</v>
      </c>
      <c r="M615" s="30" t="s">
        <v>810</v>
      </c>
    </row>
    <row r="616" spans="1:13" ht="14">
      <c r="A616" s="88" t="s">
        <v>2428</v>
      </c>
      <c r="B616" s="188" t="s">
        <v>632</v>
      </c>
      <c r="C616" s="30"/>
      <c r="D616" s="30" t="str">
        <f>VLOOKUP(B616, 'RM &amp; SF'!B:C, 2, 0)</f>
        <v>شوربة خضار</v>
      </c>
      <c r="E616" s="30" t="s">
        <v>2275</v>
      </c>
      <c r="F616" s="110">
        <v>4071</v>
      </c>
      <c r="G616" s="30" t="str">
        <f>VLOOKUP(F616, 'RM &amp; SF'!B:C, 2, 0)</f>
        <v>ذرة حب 340 غم*****</v>
      </c>
      <c r="H616" s="89">
        <v>180</v>
      </c>
      <c r="I616" s="30" t="str">
        <f>VLOOKUP(F616, 'RM &amp; SF'!B:H, 4, 0)</f>
        <v>غم</v>
      </c>
      <c r="J616" s="90">
        <f t="shared" ref="J616:J624" si="57">H616/7</f>
        <v>25.714285714285715</v>
      </c>
      <c r="K616" s="91">
        <f>VLOOKUP(F616, 'RM &amp; SF'!B:H, 7, 0)</f>
        <v>1.6576E-3</v>
      </c>
      <c r="L616" s="92">
        <f t="shared" si="51"/>
        <v>4.2624000000000002E-2</v>
      </c>
      <c r="M616" s="30" t="s">
        <v>810</v>
      </c>
    </row>
    <row r="617" spans="1:13" ht="14">
      <c r="A617" s="88" t="s">
        <v>2428</v>
      </c>
      <c r="B617" s="188" t="s">
        <v>632</v>
      </c>
      <c r="C617" s="30"/>
      <c r="D617" s="30" t="str">
        <f>VLOOKUP(B617, 'RM &amp; SF'!B:C, 2, 0)</f>
        <v>شوربة خضار</v>
      </c>
      <c r="E617" s="30" t="s">
        <v>2238</v>
      </c>
      <c r="F617" s="110">
        <v>4509</v>
      </c>
      <c r="G617" s="30" t="str">
        <f>VLOOKUP(F617, 'RM &amp; SF'!B:C, 2, 0)</f>
        <v>جزر*****</v>
      </c>
      <c r="H617" s="89">
        <v>100</v>
      </c>
      <c r="I617" s="30" t="str">
        <f>VLOOKUP(F617, 'RM &amp; SF'!B:H, 4, 0)</f>
        <v>غم</v>
      </c>
      <c r="J617" s="90">
        <f t="shared" si="57"/>
        <v>14.285714285714286</v>
      </c>
      <c r="K617" s="91">
        <f>VLOOKUP(F617, 'RM &amp; SF'!B:H, 7, 0)</f>
        <v>5.5000000000000003E-4</v>
      </c>
      <c r="L617" s="92">
        <f t="shared" si="51"/>
        <v>7.8571428571428577E-3</v>
      </c>
      <c r="M617" s="30" t="s">
        <v>810</v>
      </c>
    </row>
    <row r="618" spans="1:13" ht="14">
      <c r="A618" s="88" t="s">
        <v>2428</v>
      </c>
      <c r="B618" s="188" t="s">
        <v>632</v>
      </c>
      <c r="C618" s="30"/>
      <c r="D618" s="30" t="str">
        <f>VLOOKUP(B618, 'RM &amp; SF'!B:C, 2, 0)</f>
        <v>شوربة خضار</v>
      </c>
      <c r="E618" s="30" t="s">
        <v>2230</v>
      </c>
      <c r="F618" s="110">
        <v>4497</v>
      </c>
      <c r="G618" s="30" t="str">
        <f>VLOOKUP(F618, 'RM &amp; SF'!B:C, 2, 0)</f>
        <v>بطاطا*****</v>
      </c>
      <c r="H618" s="89">
        <v>90</v>
      </c>
      <c r="I618" s="30" t="str">
        <f>VLOOKUP(F618, 'RM &amp; SF'!B:H, 4, 0)</f>
        <v>غم</v>
      </c>
      <c r="J618" s="90">
        <f t="shared" si="57"/>
        <v>12.857142857142858</v>
      </c>
      <c r="K618" s="91">
        <f>VLOOKUP(F618, 'RM &amp; SF'!B:H, 7, 0)</f>
        <v>4.0000000000000002E-4</v>
      </c>
      <c r="L618" s="92">
        <f t="shared" si="51"/>
        <v>5.1428571428571435E-3</v>
      </c>
      <c r="M618" s="30" t="s">
        <v>810</v>
      </c>
    </row>
    <row r="619" spans="1:13" ht="14">
      <c r="A619" s="88" t="s">
        <v>2428</v>
      </c>
      <c r="B619" s="188" t="s">
        <v>632</v>
      </c>
      <c r="C619" s="30"/>
      <c r="D619" s="30" t="str">
        <f>VLOOKUP(B619, 'RM &amp; SF'!B:C, 2, 0)</f>
        <v>شوربة خضار</v>
      </c>
      <c r="E619" s="30" t="s">
        <v>2411</v>
      </c>
      <c r="F619" s="110" t="s">
        <v>606</v>
      </c>
      <c r="G619" s="30" t="str">
        <f>VLOOKUP(F619, 'RM &amp; SF'!B:C, 2, 0)</f>
        <v>كوسا مخشي</v>
      </c>
      <c r="H619" s="89">
        <v>1</v>
      </c>
      <c r="I619" s="30" t="str">
        <f>VLOOKUP(F619, 'RM &amp; SF'!B:H, 4, 0)</f>
        <v>قطعة</v>
      </c>
      <c r="J619" s="90">
        <f t="shared" si="57"/>
        <v>0.14285714285714285</v>
      </c>
      <c r="K619" s="91">
        <f>VLOOKUP(F619, 'RM &amp; SF'!B:H, 7, 0)</f>
        <v>0.33828979999999997</v>
      </c>
      <c r="L619" s="92">
        <f t="shared" si="51"/>
        <v>4.8327114285714276E-2</v>
      </c>
      <c r="M619" s="30" t="s">
        <v>810</v>
      </c>
    </row>
    <row r="620" spans="1:13" ht="14">
      <c r="A620" s="88" t="s">
        <v>2428</v>
      </c>
      <c r="B620" s="188" t="s">
        <v>632</v>
      </c>
      <c r="C620" s="30"/>
      <c r="D620" s="30" t="str">
        <f>VLOOKUP(B620, 'RM &amp; SF'!B:C, 2, 0)</f>
        <v>شوربة خضار</v>
      </c>
      <c r="E620" s="30" t="s">
        <v>2203</v>
      </c>
      <c r="F620" s="110">
        <v>4152</v>
      </c>
      <c r="G620" s="30" t="str">
        <f>VLOOKUP(F620, 'RM &amp; SF'!B:C, 2, 0)</f>
        <v>ملح طعام 750غم*****</v>
      </c>
      <c r="H620" s="89">
        <v>30</v>
      </c>
      <c r="I620" s="30" t="str">
        <f>VLOOKUP(F620, 'RM &amp; SF'!B:H, 4, 0)</f>
        <v>غم</v>
      </c>
      <c r="J620" s="90">
        <f t="shared" si="57"/>
        <v>4.2857142857142856</v>
      </c>
      <c r="K620" s="91">
        <f>VLOOKUP(F620, 'RM &amp; SF'!B:H, 7, 0)</f>
        <v>1.7066666666666665E-4</v>
      </c>
      <c r="L620" s="92">
        <f t="shared" si="51"/>
        <v>7.3142857142857135E-4</v>
      </c>
      <c r="M620" s="30" t="s">
        <v>810</v>
      </c>
    </row>
    <row r="621" spans="1:13" ht="14">
      <c r="A621" s="88" t="s">
        <v>2428</v>
      </c>
      <c r="B621" s="188" t="s">
        <v>632</v>
      </c>
      <c r="C621" s="30"/>
      <c r="D621" s="30" t="str">
        <f>VLOOKUP(B621, 'RM &amp; SF'!B:C, 2, 0)</f>
        <v>شوربة خضار</v>
      </c>
      <c r="E621" s="30" t="s">
        <v>3058</v>
      </c>
      <c r="F621" s="110">
        <v>3</v>
      </c>
      <c r="G621" s="30" t="str">
        <f>VLOOKUP(F621, 'RM &amp; SF'!B:C, 2, 0)</f>
        <v>مياه حنفية</v>
      </c>
      <c r="H621" s="89">
        <v>2000</v>
      </c>
      <c r="I621" s="30" t="str">
        <f>VLOOKUP(F621, 'RM &amp; SF'!B:H, 4, 0)</f>
        <v>مل</v>
      </c>
      <c r="J621" s="90">
        <f t="shared" si="57"/>
        <v>285.71428571428572</v>
      </c>
      <c r="K621" s="91">
        <f>VLOOKUP(F621, 'RM &amp; SF'!B:H, 7, 0)</f>
        <v>0</v>
      </c>
      <c r="L621" s="92">
        <f t="shared" ref="L621:L684" si="58">K621*J621</f>
        <v>0</v>
      </c>
      <c r="M621" s="30" t="s">
        <v>810</v>
      </c>
    </row>
    <row r="622" spans="1:13" ht="14">
      <c r="A622" s="88" t="s">
        <v>2428</v>
      </c>
      <c r="B622" s="188" t="s">
        <v>632</v>
      </c>
      <c r="C622" s="30"/>
      <c r="D622" s="30" t="str">
        <f>VLOOKUP(B622, 'RM &amp; SF'!B:C, 2, 0)</f>
        <v>شوربة خضار</v>
      </c>
      <c r="E622" s="30" t="s">
        <v>2206</v>
      </c>
      <c r="F622" s="110">
        <v>4204</v>
      </c>
      <c r="G622" s="30" t="str">
        <f>VLOOKUP(F622, 'RM &amp; SF'!B:C, 2, 0)</f>
        <v>فلفل اسود ناعم*****</v>
      </c>
      <c r="H622" s="89">
        <v>5</v>
      </c>
      <c r="I622" s="30" t="str">
        <f>VLOOKUP(F622, 'RM &amp; SF'!B:H, 4, 0)</f>
        <v>غم</v>
      </c>
      <c r="J622" s="90">
        <f t="shared" si="57"/>
        <v>0.7142857142857143</v>
      </c>
      <c r="K622" s="91">
        <f>VLOOKUP(F622, 'RM &amp; SF'!B:H, 7, 0)</f>
        <v>6.8970000000000004E-3</v>
      </c>
      <c r="L622" s="92">
        <f t="shared" si="58"/>
        <v>4.9264285714285721E-3</v>
      </c>
      <c r="M622" s="30" t="s">
        <v>810</v>
      </c>
    </row>
    <row r="623" spans="1:13" ht="14">
      <c r="A623" s="88" t="s">
        <v>2428</v>
      </c>
      <c r="B623" s="188" t="s">
        <v>632</v>
      </c>
      <c r="C623" s="30"/>
      <c r="D623" s="30" t="str">
        <f>VLOOKUP(B623, 'RM &amp; SF'!B:C, 2, 0)</f>
        <v>شوربة خضار</v>
      </c>
      <c r="E623" s="30" t="s">
        <v>3058</v>
      </c>
      <c r="F623" s="110">
        <v>4022</v>
      </c>
      <c r="G623" s="30" t="str">
        <f>VLOOKUP(F623, 'RM &amp; SF'!B:C, 2, 0)</f>
        <v>مرق الدجاج بودرة 1 كغ*****</v>
      </c>
      <c r="H623" s="89">
        <v>35</v>
      </c>
      <c r="I623" s="30" t="str">
        <f>VLOOKUP(F623, 'RM &amp; SF'!B:H, 4, 0)</f>
        <v>غم</v>
      </c>
      <c r="J623" s="90">
        <f t="shared" si="57"/>
        <v>5</v>
      </c>
      <c r="K623" s="91">
        <f>VLOOKUP(F623, 'RM &amp; SF'!B:H, 7, 0)</f>
        <v>4.7054597701149427E-3</v>
      </c>
      <c r="L623" s="92">
        <f t="shared" si="58"/>
        <v>2.3527298850574713E-2</v>
      </c>
      <c r="M623" s="30" t="s">
        <v>810</v>
      </c>
    </row>
    <row r="624" spans="1:13" ht="14">
      <c r="A624" s="88" t="s">
        <v>2428</v>
      </c>
      <c r="B624" s="188" t="s">
        <v>632</v>
      </c>
      <c r="C624" s="30"/>
      <c r="D624" s="30" t="str">
        <f>VLOOKUP(B624, 'RM &amp; SF'!B:C, 2, 0)</f>
        <v>شوربة خضار</v>
      </c>
      <c r="E624" s="30" t="s">
        <v>2253</v>
      </c>
      <c r="F624" s="110">
        <v>4547</v>
      </c>
      <c r="G624" s="30" t="str">
        <f>VLOOKUP(F624, 'RM &amp; SF'!B:C, 2, 0)</f>
        <v>نعنع*****</v>
      </c>
      <c r="H624" s="89">
        <v>10</v>
      </c>
      <c r="I624" s="30" t="str">
        <f>VLOOKUP(F624, 'RM &amp; SF'!B:H, 4, 0)</f>
        <v>غم</v>
      </c>
      <c r="J624" s="90">
        <f t="shared" si="57"/>
        <v>1.4285714285714286</v>
      </c>
      <c r="K624" s="91">
        <f>VLOOKUP(F624, 'RM &amp; SF'!B:H, 7, 0)</f>
        <v>7.5000000000000002E-4</v>
      </c>
      <c r="L624" s="92">
        <f t="shared" si="58"/>
        <v>1.0714285714285715E-3</v>
      </c>
      <c r="M624" s="30" t="s">
        <v>810</v>
      </c>
    </row>
    <row r="625" spans="1:16" ht="14">
      <c r="A625" s="88" t="s">
        <v>2426</v>
      </c>
      <c r="B625" s="219" t="s">
        <v>630</v>
      </c>
      <c r="C625" s="30"/>
      <c r="D625" s="30" t="str">
        <f>VLOOKUP(B625, 'RM &amp; SF'!B:C, 2, 0)</f>
        <v>شوربة عدس</v>
      </c>
      <c r="E625" s="30" t="s">
        <v>3058</v>
      </c>
      <c r="F625" s="110">
        <v>4142</v>
      </c>
      <c r="G625" s="30" t="str">
        <f>VLOOKUP(F625, 'RM &amp; SF'!B:C, 2, 0)</f>
        <v>عدس حب*****</v>
      </c>
      <c r="H625" s="89">
        <v>1500</v>
      </c>
      <c r="I625" s="30" t="str">
        <f>VLOOKUP(F625, 'RM &amp; SF'!B:H, 4, 0)</f>
        <v>غم</v>
      </c>
      <c r="J625" s="90">
        <f t="shared" ref="J625:J632" si="59">H625/8</f>
        <v>187.5</v>
      </c>
      <c r="K625" s="91">
        <f>VLOOKUP(F625, 'RM &amp; SF'!B:H, 7, 0)</f>
        <v>1E-3</v>
      </c>
      <c r="L625" s="92">
        <f t="shared" si="58"/>
        <v>0.1875</v>
      </c>
      <c r="M625" s="30" t="s">
        <v>810</v>
      </c>
    </row>
    <row r="626" spans="1:16" ht="14">
      <c r="A626" s="88" t="s">
        <v>2426</v>
      </c>
      <c r="B626" s="219" t="s">
        <v>630</v>
      </c>
      <c r="C626" s="30"/>
      <c r="D626" s="30" t="str">
        <f>VLOOKUP(B626, 'RM &amp; SF'!B:C, 2, 0)</f>
        <v>شوربة عدس</v>
      </c>
      <c r="E626" s="30" t="s">
        <v>2246</v>
      </c>
      <c r="F626" s="110">
        <v>4524</v>
      </c>
      <c r="G626" s="30" t="str">
        <f>VLOOKUP(F626, 'RM &amp; SF'!B:C, 2, 0)</f>
        <v>كوسا*****</v>
      </c>
      <c r="H626" s="89">
        <v>150</v>
      </c>
      <c r="I626" s="30" t="str">
        <f>VLOOKUP(F626, 'RM &amp; SF'!B:H, 4, 0)</f>
        <v>غم</v>
      </c>
      <c r="J626" s="90">
        <f t="shared" si="59"/>
        <v>18.75</v>
      </c>
      <c r="K626" s="91">
        <f>VLOOKUP(F626, 'RM &amp; SF'!B:H, 7, 0)</f>
        <v>6.4999999999999997E-4</v>
      </c>
      <c r="L626" s="92">
        <f t="shared" si="58"/>
        <v>1.2187499999999999E-2</v>
      </c>
      <c r="M626" s="30" t="s">
        <v>810</v>
      </c>
    </row>
    <row r="627" spans="1:16" ht="14">
      <c r="A627" s="88" t="s">
        <v>2426</v>
      </c>
      <c r="B627" s="219" t="s">
        <v>630</v>
      </c>
      <c r="C627" s="30"/>
      <c r="D627" s="30" t="str">
        <f>VLOOKUP(B627, 'RM &amp; SF'!B:C, 2, 0)</f>
        <v>شوربة عدس</v>
      </c>
      <c r="E627" s="30" t="s">
        <v>2238</v>
      </c>
      <c r="F627" s="110">
        <v>4509</v>
      </c>
      <c r="G627" s="30" t="str">
        <f>VLOOKUP(F627, 'RM &amp; SF'!B:C, 2, 0)</f>
        <v>جزر*****</v>
      </c>
      <c r="H627" s="89">
        <v>150</v>
      </c>
      <c r="I627" s="30" t="str">
        <f>VLOOKUP(F627, 'RM &amp; SF'!B:H, 4, 0)</f>
        <v>غم</v>
      </c>
      <c r="J627" s="90">
        <f t="shared" si="59"/>
        <v>18.75</v>
      </c>
      <c r="K627" s="91">
        <f>VLOOKUP(F627, 'RM &amp; SF'!B:H, 7, 0)</f>
        <v>5.5000000000000003E-4</v>
      </c>
      <c r="L627" s="92">
        <f t="shared" si="58"/>
        <v>1.03125E-2</v>
      </c>
      <c r="M627" s="30" t="s">
        <v>810</v>
      </c>
    </row>
    <row r="628" spans="1:16" ht="14">
      <c r="A628" s="88" t="s">
        <v>2426</v>
      </c>
      <c r="B628" s="219" t="s">
        <v>630</v>
      </c>
      <c r="C628" s="30"/>
      <c r="D628" s="30" t="str">
        <f>VLOOKUP(B628, 'RM &amp; SF'!B:C, 2, 0)</f>
        <v>شوربة عدس</v>
      </c>
      <c r="E628" s="30" t="s">
        <v>2234</v>
      </c>
      <c r="F628" s="110">
        <v>4503</v>
      </c>
      <c r="G628" s="30" t="str">
        <f>VLOOKUP(F628, 'RM &amp; SF'!B:C, 2, 0)</f>
        <v>بصل ناشف دفش*****</v>
      </c>
      <c r="H628" s="89">
        <v>250</v>
      </c>
      <c r="I628" s="30" t="str">
        <f>VLOOKUP(F628, 'RM &amp; SF'!B:H, 4, 0)</f>
        <v>غم</v>
      </c>
      <c r="J628" s="90">
        <f t="shared" si="59"/>
        <v>31.25</v>
      </c>
      <c r="K628" s="91">
        <f>VLOOKUP(F628, 'RM &amp; SF'!B:H, 7, 0)</f>
        <v>2.5000000000000001E-4</v>
      </c>
      <c r="L628" s="92">
        <f t="shared" si="58"/>
        <v>7.8125E-3</v>
      </c>
      <c r="M628" s="30" t="s">
        <v>810</v>
      </c>
    </row>
    <row r="629" spans="1:16" ht="15.5">
      <c r="A629" s="88" t="s">
        <v>2426</v>
      </c>
      <c r="B629" s="219" t="s">
        <v>630</v>
      </c>
      <c r="C629" s="30"/>
      <c r="D629" s="30" t="str">
        <f>VLOOKUP(B629, 'RM &amp; SF'!B:C, 2, 0)</f>
        <v>شوربة عدس</v>
      </c>
      <c r="E629" s="30" t="s">
        <v>2321</v>
      </c>
      <c r="F629" s="67">
        <v>5292</v>
      </c>
      <c r="G629" s="30" t="str">
        <f>VLOOKUP(F629, 'RM &amp; SF'!B:C, 2, 0)</f>
        <v>ثوم مقشر*****</v>
      </c>
      <c r="H629" s="89">
        <v>50</v>
      </c>
      <c r="I629" s="30" t="str">
        <f>VLOOKUP(F629, 'RM &amp; SF'!B:H, 4, 0)</f>
        <v>غم</v>
      </c>
      <c r="J629" s="90">
        <f t="shared" si="59"/>
        <v>6.25</v>
      </c>
      <c r="K629" s="91">
        <f>VLOOKUP(F629, 'RM &amp; SF'!B:H, 7, 0)</f>
        <v>4.4999999999999997E-3</v>
      </c>
      <c r="L629" s="92">
        <f t="shared" si="58"/>
        <v>2.8124999999999997E-2</v>
      </c>
      <c r="M629" s="30" t="s">
        <v>810</v>
      </c>
    </row>
    <row r="630" spans="1:16" ht="14">
      <c r="A630" s="88" t="s">
        <v>2426</v>
      </c>
      <c r="B630" s="219" t="s">
        <v>630</v>
      </c>
      <c r="C630" s="30"/>
      <c r="D630" s="30" t="str">
        <f>VLOOKUP(B630, 'RM &amp; SF'!B:C, 2, 0)</f>
        <v>شوربة عدس</v>
      </c>
      <c r="E630" s="30" t="s">
        <v>2222</v>
      </c>
      <c r="F630" s="110">
        <v>4240</v>
      </c>
      <c r="G630" s="30" t="str">
        <f>VLOOKUP(F630, 'RM &amp; SF'!B:C, 2, 0)</f>
        <v>كركم ناعم*****</v>
      </c>
      <c r="H630" s="89">
        <v>20</v>
      </c>
      <c r="I630" s="30" t="str">
        <f>VLOOKUP(F630, 'RM &amp; SF'!B:H, 4, 0)</f>
        <v>غم</v>
      </c>
      <c r="J630" s="90">
        <f t="shared" si="59"/>
        <v>2.5</v>
      </c>
      <c r="K630" s="91">
        <f>VLOOKUP(F630, 'RM &amp; SF'!B:H, 7, 0)</f>
        <v>1.9399999999999999E-3</v>
      </c>
      <c r="L630" s="92">
        <f t="shared" si="58"/>
        <v>4.8500000000000001E-3</v>
      </c>
      <c r="M630" s="30" t="s">
        <v>810</v>
      </c>
    </row>
    <row r="631" spans="1:16" ht="14">
      <c r="A631" s="88" t="s">
        <v>2426</v>
      </c>
      <c r="B631" s="219" t="s">
        <v>630</v>
      </c>
      <c r="C631" s="30"/>
      <c r="D631" s="30" t="str">
        <f>VLOOKUP(B631, 'RM &amp; SF'!B:C, 2, 0)</f>
        <v>شوربة عدس</v>
      </c>
      <c r="E631" s="30" t="s">
        <v>3058</v>
      </c>
      <c r="F631" s="110">
        <v>4222</v>
      </c>
      <c r="G631" s="30" t="str">
        <f>VLOOKUP(F631, 'RM &amp; SF'!B:C, 2, 0)</f>
        <v>كمون ناعم*****</v>
      </c>
      <c r="H631" s="89">
        <v>20</v>
      </c>
      <c r="I631" s="30" t="str">
        <f>VLOOKUP(F631, 'RM &amp; SF'!B:H, 4, 0)</f>
        <v>غم</v>
      </c>
      <c r="J631" s="90">
        <f t="shared" si="59"/>
        <v>2.5</v>
      </c>
      <c r="K631" s="91">
        <f>VLOOKUP(F631, 'RM &amp; SF'!B:H, 7, 0)</f>
        <v>3.2330000000000002E-3</v>
      </c>
      <c r="L631" s="92">
        <f t="shared" si="58"/>
        <v>8.0825000000000011E-3</v>
      </c>
      <c r="M631" s="30" t="s">
        <v>810</v>
      </c>
    </row>
    <row r="632" spans="1:16" ht="14">
      <c r="A632" s="88" t="s">
        <v>2426</v>
      </c>
      <c r="B632" s="219" t="s">
        <v>630</v>
      </c>
      <c r="C632" s="30"/>
      <c r="D632" s="30" t="str">
        <f>VLOOKUP(B632, 'RM &amp; SF'!B:C, 2, 0)</f>
        <v>شوربة عدس</v>
      </c>
      <c r="E632" s="30" t="s">
        <v>3058</v>
      </c>
      <c r="F632" s="110">
        <v>3</v>
      </c>
      <c r="G632" s="30" t="str">
        <f>VLOOKUP(F632, 'RM &amp; SF'!B:C, 2, 0)</f>
        <v>مياه حنفية</v>
      </c>
      <c r="H632" s="89">
        <v>6</v>
      </c>
      <c r="I632" s="30" t="str">
        <f>VLOOKUP(F632, 'RM &amp; SF'!B:H, 4, 0)</f>
        <v>مل</v>
      </c>
      <c r="J632" s="90">
        <f t="shared" si="59"/>
        <v>0.75</v>
      </c>
      <c r="K632" s="91">
        <f>VLOOKUP(F632, 'RM &amp; SF'!B:H, 7, 0)</f>
        <v>0</v>
      </c>
      <c r="L632" s="92">
        <f t="shared" si="58"/>
        <v>0</v>
      </c>
      <c r="M632" s="30" t="s">
        <v>810</v>
      </c>
    </row>
    <row r="633" spans="1:16" ht="14">
      <c r="A633" s="88" t="s">
        <v>2430</v>
      </c>
      <c r="B633" s="219" t="s">
        <v>636</v>
      </c>
      <c r="C633" s="30"/>
      <c r="D633" s="30" t="str">
        <f>VLOOKUP(B633, 'RM &amp; SF'!B:C, 2, 0)</f>
        <v>صوص طحينية للصواني</v>
      </c>
      <c r="E633" s="30" t="s">
        <v>3058</v>
      </c>
      <c r="F633" s="110">
        <v>4166</v>
      </c>
      <c r="G633" s="30" t="str">
        <f>VLOOKUP(F633, 'RM &amp; SF'!B:C, 2, 0)</f>
        <v>طحينية 18 كغ*****</v>
      </c>
      <c r="H633" s="89">
        <v>515</v>
      </c>
      <c r="I633" s="30" t="str">
        <f>VLOOKUP(F633, 'RM &amp; SF'!B:H, 4, 0)</f>
        <v>غم</v>
      </c>
      <c r="J633" s="90">
        <f>H633/3</f>
        <v>171.66666666666666</v>
      </c>
      <c r="K633" s="91">
        <f>VLOOKUP(F633, 'RM &amp; SF'!B:H, 7, 0)</f>
        <v>2.0105820105820104E-3</v>
      </c>
      <c r="L633" s="92">
        <f t="shared" si="58"/>
        <v>0.34514991181657845</v>
      </c>
      <c r="M633" s="30" t="s">
        <v>810</v>
      </c>
    </row>
    <row r="634" spans="1:16" ht="14">
      <c r="A634" s="88" t="s">
        <v>2430</v>
      </c>
      <c r="B634" s="219" t="s">
        <v>636</v>
      </c>
      <c r="C634" s="30"/>
      <c r="D634" s="30" t="str">
        <f>VLOOKUP(B634, 'RM &amp; SF'!B:C, 2, 0)</f>
        <v>صوص طحينية للصواني</v>
      </c>
      <c r="E634" s="30" t="s">
        <v>2170</v>
      </c>
      <c r="F634" s="110">
        <v>4552</v>
      </c>
      <c r="G634" s="30" t="str">
        <f>VLOOKUP(F634, 'RM &amp; SF'!B:C, 2, 0)</f>
        <v>لبن رايب 5 كغ*****</v>
      </c>
      <c r="H634" s="89">
        <v>2445</v>
      </c>
      <c r="I634" s="30" t="str">
        <f>VLOOKUP(F634, 'RM &amp; SF'!B:H, 4, 0)</f>
        <v>غم</v>
      </c>
      <c r="J634" s="90">
        <f>H634/3</f>
        <v>815</v>
      </c>
      <c r="K634" s="91">
        <f>VLOOKUP(F634, 'RM &amp; SF'!B:H, 7, 0)</f>
        <v>8.0000000000000004E-4</v>
      </c>
      <c r="L634" s="92">
        <f t="shared" si="58"/>
        <v>0.65200000000000002</v>
      </c>
      <c r="M634" s="30" t="s">
        <v>810</v>
      </c>
    </row>
    <row r="635" spans="1:16" ht="14">
      <c r="A635" s="88" t="s">
        <v>2430</v>
      </c>
      <c r="B635" s="219" t="s">
        <v>636</v>
      </c>
      <c r="C635" s="30"/>
      <c r="D635" s="30" t="str">
        <f>VLOOKUP(B635, 'RM &amp; SF'!B:C, 2, 0)</f>
        <v>صوص طحينية للصواني</v>
      </c>
      <c r="E635" s="30" t="s">
        <v>2216</v>
      </c>
      <c r="F635" s="110">
        <v>4230</v>
      </c>
      <c r="G635" s="30" t="str">
        <f>VLOOKUP(F635, 'RM &amp; SF'!B:C, 2, 0)</f>
        <v>ملح ليمون*****</v>
      </c>
      <c r="H635" s="89">
        <v>30</v>
      </c>
      <c r="I635" s="30" t="str">
        <f>VLOOKUP(F635, 'RM &amp; SF'!B:H, 4, 0)</f>
        <v>غم</v>
      </c>
      <c r="J635" s="90">
        <f>H635/3</f>
        <v>10</v>
      </c>
      <c r="K635" s="91">
        <f>VLOOKUP(F635, 'RM &amp; SF'!B:H, 7, 0)</f>
        <v>1.078E-3</v>
      </c>
      <c r="L635" s="92">
        <f t="shared" si="58"/>
        <v>1.078E-2</v>
      </c>
      <c r="M635" s="30" t="s">
        <v>810</v>
      </c>
    </row>
    <row r="636" spans="1:16" ht="14">
      <c r="A636" s="88" t="s">
        <v>2430</v>
      </c>
      <c r="B636" s="219" t="s">
        <v>636</v>
      </c>
      <c r="C636" s="30"/>
      <c r="D636" s="30" t="str">
        <f>VLOOKUP(B636, 'RM &amp; SF'!B:C, 2, 0)</f>
        <v>صوص طحينية للصواني</v>
      </c>
      <c r="E636" s="30" t="s">
        <v>2216</v>
      </c>
      <c r="F636" s="110">
        <v>4230</v>
      </c>
      <c r="G636" s="30" t="str">
        <f>VLOOKUP(F636, 'RM &amp; SF'!B:C, 2, 0)</f>
        <v>ملح ليمون*****</v>
      </c>
      <c r="H636" s="89">
        <v>10</v>
      </c>
      <c r="I636" s="30" t="str">
        <f>VLOOKUP(F636, 'RM &amp; SF'!B:H, 4, 0)</f>
        <v>غم</v>
      </c>
      <c r="J636" s="90">
        <f>H636/3</f>
        <v>3.3333333333333335</v>
      </c>
      <c r="K636" s="91">
        <f>VLOOKUP(F636, 'RM &amp; SF'!B:H, 7, 0)</f>
        <v>1.078E-3</v>
      </c>
      <c r="L636" s="92">
        <f t="shared" si="58"/>
        <v>3.5933333333333334E-3</v>
      </c>
      <c r="M636" s="30" t="s">
        <v>810</v>
      </c>
    </row>
    <row r="637" spans="1:16" ht="14">
      <c r="A637" s="88" t="s">
        <v>3186</v>
      </c>
      <c r="B637" s="188" t="s">
        <v>638</v>
      </c>
      <c r="C637" s="30"/>
      <c r="D637" s="30" t="str">
        <f>VLOOKUP(B637, 'RM &amp; SF'!B:C, 2, 0)</f>
        <v>حشوة المحاشي</v>
      </c>
      <c r="E637" s="30" t="s">
        <v>2281</v>
      </c>
      <c r="F637" s="110">
        <v>4133</v>
      </c>
      <c r="G637" s="30" t="str">
        <f>VLOOKUP(F637, 'RM &amp; SF'!B:C, 2, 0)</f>
        <v>ارز بسمتي ذهبي*****</v>
      </c>
      <c r="H637" s="89">
        <v>2000</v>
      </c>
      <c r="I637" s="30" t="str">
        <f>VLOOKUP(F637, 'RM &amp; SF'!B:H, 4, 0)</f>
        <v>غم</v>
      </c>
      <c r="J637" s="90">
        <f t="shared" ref="J637:J652" si="60">H637/4.95</f>
        <v>404.04040404040404</v>
      </c>
      <c r="K637" s="91">
        <f>VLOOKUP(F637, 'RM &amp; SF'!B:H, 7, 0)</f>
        <v>1.1000000000000001E-3</v>
      </c>
      <c r="L637" s="92">
        <f t="shared" si="58"/>
        <v>0.44444444444444448</v>
      </c>
      <c r="M637" s="30" t="s">
        <v>810</v>
      </c>
      <c r="P637" s="88" t="s">
        <v>2156</v>
      </c>
    </row>
    <row r="638" spans="1:16" ht="14">
      <c r="A638" s="88" t="s">
        <v>3186</v>
      </c>
      <c r="B638" s="188" t="s">
        <v>638</v>
      </c>
      <c r="C638" s="30"/>
      <c r="D638" s="30" t="str">
        <f>VLOOKUP(B638, 'RM &amp; SF'!B:C, 2, 0)</f>
        <v>حشوة المحاشي</v>
      </c>
      <c r="E638" s="30" t="s">
        <v>2405</v>
      </c>
      <c r="F638" s="110" t="s">
        <v>494</v>
      </c>
      <c r="G638" s="30" t="str">
        <f>VLOOKUP(F638, 'RM &amp; SF'!B:C, 2, 0)</f>
        <v>لحمة مفرومة</v>
      </c>
      <c r="H638" s="89">
        <v>1000</v>
      </c>
      <c r="I638" s="30" t="str">
        <f>VLOOKUP(F638, 'RM &amp; SF'!B:H, 4, 0)</f>
        <v>غم</v>
      </c>
      <c r="J638" s="90">
        <f t="shared" si="60"/>
        <v>202.02020202020202</v>
      </c>
      <c r="K638" s="91">
        <f>VLOOKUP(F638, 'RM &amp; SF'!B:H, 7, 0)</f>
        <v>7.2070000000000007E-3</v>
      </c>
      <c r="L638" s="92">
        <f t="shared" si="58"/>
        <v>1.4559595959595961</v>
      </c>
      <c r="M638" s="30" t="s">
        <v>810</v>
      </c>
      <c r="P638" s="88" t="s">
        <v>2156</v>
      </c>
    </row>
    <row r="639" spans="1:16" ht="14">
      <c r="A639" s="88" t="s">
        <v>3186</v>
      </c>
      <c r="B639" s="188" t="s">
        <v>638</v>
      </c>
      <c r="C639" s="30"/>
      <c r="D639" s="30" t="str">
        <f>VLOOKUP(B639, 'RM &amp; SF'!B:C, 2, 0)</f>
        <v>حشوة المحاشي</v>
      </c>
      <c r="E639" s="30" t="s">
        <v>2214</v>
      </c>
      <c r="F639" s="110">
        <v>4223</v>
      </c>
      <c r="G639" s="30" t="str">
        <f>VLOOKUP(F639, 'RM &amp; SF'!B:C, 2, 0)</f>
        <v>بهارات كاري*****</v>
      </c>
      <c r="H639" s="89">
        <v>7</v>
      </c>
      <c r="I639" s="30" t="str">
        <f>VLOOKUP(F639, 'RM &amp; SF'!B:H, 4, 0)</f>
        <v>غم</v>
      </c>
      <c r="J639" s="90">
        <f t="shared" si="60"/>
        <v>1.4141414141414141</v>
      </c>
      <c r="K639" s="91">
        <f>VLOOKUP(F639, 'RM &amp; SF'!B:H, 7, 0)</f>
        <v>2.2409999999999999E-3</v>
      </c>
      <c r="L639" s="92">
        <f t="shared" si="58"/>
        <v>3.1690909090909092E-3</v>
      </c>
      <c r="M639" s="30" t="s">
        <v>810</v>
      </c>
      <c r="P639" s="88" t="s">
        <v>2156</v>
      </c>
    </row>
    <row r="640" spans="1:16" ht="14">
      <c r="A640" s="88" t="s">
        <v>3186</v>
      </c>
      <c r="B640" s="188" t="s">
        <v>638</v>
      </c>
      <c r="C640" s="30"/>
      <c r="D640" s="30" t="str">
        <f>VLOOKUP(B640, 'RM &amp; SF'!B:C, 2, 0)</f>
        <v>حشوة المحاشي</v>
      </c>
      <c r="E640" s="30" t="s">
        <v>2206</v>
      </c>
      <c r="F640" s="110">
        <v>4204</v>
      </c>
      <c r="G640" s="30" t="str">
        <f>VLOOKUP(F640, 'RM &amp; SF'!B:C, 2, 0)</f>
        <v>فلفل اسود ناعم*****</v>
      </c>
      <c r="H640" s="89">
        <v>25</v>
      </c>
      <c r="I640" s="30" t="str">
        <f>VLOOKUP(F640, 'RM &amp; SF'!B:H, 4, 0)</f>
        <v>غم</v>
      </c>
      <c r="J640" s="90">
        <f t="shared" si="60"/>
        <v>5.0505050505050502</v>
      </c>
      <c r="K640" s="91">
        <f>VLOOKUP(F640, 'RM &amp; SF'!B:H, 7, 0)</f>
        <v>6.8970000000000004E-3</v>
      </c>
      <c r="L640" s="92">
        <f t="shared" si="58"/>
        <v>3.4833333333333334E-2</v>
      </c>
      <c r="M640" s="30" t="s">
        <v>810</v>
      </c>
      <c r="P640" s="88" t="s">
        <v>2156</v>
      </c>
    </row>
    <row r="641" spans="1:16" ht="14">
      <c r="A641" s="88" t="s">
        <v>3186</v>
      </c>
      <c r="B641" s="188" t="s">
        <v>638</v>
      </c>
      <c r="C641" s="30"/>
      <c r="D641" s="30" t="str">
        <f>VLOOKUP(B641, 'RM &amp; SF'!B:C, 2, 0)</f>
        <v>حشوة المحاشي</v>
      </c>
      <c r="E641" s="30" t="s">
        <v>2222</v>
      </c>
      <c r="F641" s="110">
        <v>4240</v>
      </c>
      <c r="G641" s="30" t="str">
        <f>VLOOKUP(F641, 'RM &amp; SF'!B:C, 2, 0)</f>
        <v>كركم ناعم*****</v>
      </c>
      <c r="H641" s="89">
        <v>5</v>
      </c>
      <c r="I641" s="30" t="str">
        <f>VLOOKUP(F641, 'RM &amp; SF'!B:H, 4, 0)</f>
        <v>غم</v>
      </c>
      <c r="J641" s="90">
        <f t="shared" si="60"/>
        <v>1.0101010101010102</v>
      </c>
      <c r="K641" s="91">
        <f>VLOOKUP(F641, 'RM &amp; SF'!B:H, 7, 0)</f>
        <v>1.9399999999999999E-3</v>
      </c>
      <c r="L641" s="92">
        <f t="shared" si="58"/>
        <v>1.9595959595959597E-3</v>
      </c>
      <c r="M641" s="30" t="s">
        <v>810</v>
      </c>
      <c r="P641" s="88" t="s">
        <v>2156</v>
      </c>
    </row>
    <row r="642" spans="1:16" ht="14">
      <c r="A642" s="88" t="s">
        <v>3186</v>
      </c>
      <c r="B642" s="188" t="s">
        <v>638</v>
      </c>
      <c r="C642" s="30"/>
      <c r="D642" s="30" t="str">
        <f>VLOOKUP(B642, 'RM &amp; SF'!B:C, 2, 0)</f>
        <v>حشوة المحاشي</v>
      </c>
      <c r="E642" s="30" t="s">
        <v>3058</v>
      </c>
      <c r="F642" s="110">
        <v>5037</v>
      </c>
      <c r="G642" s="30" t="str">
        <f>VLOOKUP(F642, 'RM &amp; SF'!B:C, 2, 0)</f>
        <v>عصفر ريش*****</v>
      </c>
      <c r="H642" s="89">
        <v>10</v>
      </c>
      <c r="I642" s="30" t="str">
        <f>VLOOKUP(F642, 'RM &amp; SF'!B:H, 4, 0)</f>
        <v>غم</v>
      </c>
      <c r="J642" s="90">
        <f t="shared" si="60"/>
        <v>2.0202020202020203</v>
      </c>
      <c r="K642" s="91">
        <f>VLOOKUP(F642, 'RM &amp; SF'!B:H, 7, 0)</f>
        <v>1.7240999999999999E-2</v>
      </c>
      <c r="L642" s="92">
        <f t="shared" si="58"/>
        <v>3.4830303030303031E-2</v>
      </c>
      <c r="M642" s="30" t="s">
        <v>810</v>
      </c>
      <c r="P642" s="88" t="s">
        <v>2156</v>
      </c>
    </row>
    <row r="643" spans="1:16" ht="14">
      <c r="A643" s="88" t="s">
        <v>3186</v>
      </c>
      <c r="B643" s="188" t="s">
        <v>638</v>
      </c>
      <c r="C643" s="30"/>
      <c r="D643" s="30" t="str">
        <f>VLOOKUP(B643, 'RM &amp; SF'!B:C, 2, 0)</f>
        <v>حشوة المحاشي</v>
      </c>
      <c r="E643" s="30" t="s">
        <v>2213</v>
      </c>
      <c r="F643" s="110">
        <v>4218</v>
      </c>
      <c r="G643" s="30" t="str">
        <f>VLOOKUP(F643, 'RM &amp; SF'!B:C, 2, 0)</f>
        <v>بهارات مشكلة*****</v>
      </c>
      <c r="H643" s="89">
        <v>50</v>
      </c>
      <c r="I643" s="30" t="str">
        <f>VLOOKUP(F643, 'RM &amp; SF'!B:H, 4, 0)</f>
        <v>غم</v>
      </c>
      <c r="J643" s="90">
        <f t="shared" si="60"/>
        <v>10.1010101010101</v>
      </c>
      <c r="K643" s="91">
        <f>VLOOKUP(F643, 'RM &amp; SF'!B:H, 7, 0)</f>
        <v>3.0169999999999997E-3</v>
      </c>
      <c r="L643" s="92">
        <f t="shared" si="58"/>
        <v>3.047474747474747E-2</v>
      </c>
      <c r="M643" s="30" t="s">
        <v>810</v>
      </c>
      <c r="P643" s="88" t="s">
        <v>2156</v>
      </c>
    </row>
    <row r="644" spans="1:16" ht="14">
      <c r="A644" s="88" t="s">
        <v>3186</v>
      </c>
      <c r="B644" s="188" t="s">
        <v>638</v>
      </c>
      <c r="C644" s="30"/>
      <c r="D644" s="30" t="str">
        <f>VLOOKUP(B644, 'RM &amp; SF'!B:C, 2, 0)</f>
        <v>حشوة المحاشي</v>
      </c>
      <c r="E644" s="30" t="s">
        <v>3058</v>
      </c>
      <c r="F644" s="110">
        <v>4191</v>
      </c>
      <c r="G644" s="30" t="str">
        <f>VLOOKUP(F644, 'RM &amp; SF'!B:C, 2, 0)</f>
        <v>جوزة الطيب مطحونة*****</v>
      </c>
      <c r="H644" s="89">
        <v>5</v>
      </c>
      <c r="I644" s="30" t="str">
        <f>VLOOKUP(F644, 'RM &amp; SF'!B:H, 4, 0)</f>
        <v>غم</v>
      </c>
      <c r="J644" s="90">
        <f t="shared" si="60"/>
        <v>1.0101010101010102</v>
      </c>
      <c r="K644" s="91">
        <f>VLOOKUP(F644, 'RM &amp; SF'!B:H, 7, 0)</f>
        <v>6.0339999999999994E-3</v>
      </c>
      <c r="L644" s="92">
        <f t="shared" si="58"/>
        <v>6.0949494949494951E-3</v>
      </c>
      <c r="M644" s="30" t="s">
        <v>810</v>
      </c>
      <c r="P644" s="88" t="s">
        <v>2156</v>
      </c>
    </row>
    <row r="645" spans="1:16" ht="14">
      <c r="A645" s="88" t="s">
        <v>3186</v>
      </c>
      <c r="B645" s="188" t="s">
        <v>638</v>
      </c>
      <c r="C645" s="30"/>
      <c r="D645" s="30" t="str">
        <f>VLOOKUP(B645, 'RM &amp; SF'!B:C, 2, 0)</f>
        <v>حشوة المحاشي</v>
      </c>
      <c r="E645" s="30" t="s">
        <v>2208</v>
      </c>
      <c r="F645" s="110">
        <v>4211</v>
      </c>
      <c r="G645" s="30" t="str">
        <f>VLOOKUP(F645, 'RM &amp; SF'!B:C, 2, 0)</f>
        <v>كزبرة ناعمة*****</v>
      </c>
      <c r="H645" s="89">
        <v>10</v>
      </c>
      <c r="I645" s="30" t="str">
        <f>VLOOKUP(F645, 'RM &amp; SF'!B:H, 4, 0)</f>
        <v>غم</v>
      </c>
      <c r="J645" s="90">
        <f t="shared" si="60"/>
        <v>2.0202020202020203</v>
      </c>
      <c r="K645" s="91">
        <f>VLOOKUP(F645, 'RM &amp; SF'!B:H, 7, 0)</f>
        <v>1.5089999999999999E-3</v>
      </c>
      <c r="L645" s="92">
        <f t="shared" si="58"/>
        <v>3.0484848484848485E-3</v>
      </c>
      <c r="M645" s="30" t="s">
        <v>810</v>
      </c>
      <c r="P645" s="88" t="s">
        <v>2156</v>
      </c>
    </row>
    <row r="646" spans="1:16" ht="14">
      <c r="A646" s="88" t="s">
        <v>3186</v>
      </c>
      <c r="B646" s="188" t="s">
        <v>638</v>
      </c>
      <c r="C646" s="30"/>
      <c r="D646" s="30" t="str">
        <f>VLOOKUP(B646, 'RM &amp; SF'!B:C, 2, 0)</f>
        <v>حشوة المحاشي</v>
      </c>
      <c r="E646" s="30" t="s">
        <v>2212</v>
      </c>
      <c r="F646" s="110">
        <v>4215</v>
      </c>
      <c r="G646" s="30" t="str">
        <f>VLOOKUP(F646, 'RM &amp; SF'!B:C, 2, 0)</f>
        <v>ملح صيني*****</v>
      </c>
      <c r="H646" s="89">
        <v>10</v>
      </c>
      <c r="I646" s="30" t="str">
        <f>VLOOKUP(F646, 'RM &amp; SF'!B:H, 4, 0)</f>
        <v>غم</v>
      </c>
      <c r="J646" s="90">
        <f t="shared" si="60"/>
        <v>2.0202020202020203</v>
      </c>
      <c r="K646" s="91">
        <f>VLOOKUP(F646, 'RM &amp; SF'!B:H, 7, 0)</f>
        <v>1.7240000000000001E-3</v>
      </c>
      <c r="L646" s="92">
        <f t="shared" si="58"/>
        <v>3.4828282828282832E-3</v>
      </c>
      <c r="M646" s="30" t="s">
        <v>810</v>
      </c>
      <c r="P646" s="88" t="s">
        <v>2156</v>
      </c>
    </row>
    <row r="647" spans="1:16" ht="14">
      <c r="A647" s="88" t="s">
        <v>3186</v>
      </c>
      <c r="B647" s="188" t="s">
        <v>638</v>
      </c>
      <c r="C647" s="30"/>
      <c r="D647" s="30" t="str">
        <f>VLOOKUP(B647, 'RM &amp; SF'!B:C, 2, 0)</f>
        <v>حشوة المحاشي</v>
      </c>
      <c r="E647" s="30" t="s">
        <v>2211</v>
      </c>
      <c r="F647" s="110">
        <v>4214</v>
      </c>
      <c r="G647" s="30" t="str">
        <f>VLOOKUP(F647, 'RM &amp; SF'!B:C, 2, 0)</f>
        <v>قرفة ناعمة*****</v>
      </c>
      <c r="H647" s="89">
        <v>5</v>
      </c>
      <c r="I647" s="30" t="str">
        <f>VLOOKUP(F647, 'RM &amp; SF'!B:H, 4, 0)</f>
        <v>غم</v>
      </c>
      <c r="J647" s="90">
        <f t="shared" si="60"/>
        <v>1.0101010101010102</v>
      </c>
      <c r="K647" s="91">
        <f>VLOOKUP(F647, 'RM &amp; SF'!B:H, 7, 0)</f>
        <v>2.8020000000000002E-3</v>
      </c>
      <c r="L647" s="92">
        <f t="shared" si="58"/>
        <v>2.8303030303030306E-3</v>
      </c>
      <c r="M647" s="30" t="s">
        <v>810</v>
      </c>
      <c r="P647" s="88" t="s">
        <v>2156</v>
      </c>
    </row>
    <row r="648" spans="1:16" ht="14">
      <c r="A648" s="88" t="s">
        <v>3186</v>
      </c>
      <c r="B648" s="188" t="s">
        <v>638</v>
      </c>
      <c r="C648" s="30"/>
      <c r="D648" s="30" t="str">
        <f>VLOOKUP(B648, 'RM &amp; SF'!B:C, 2, 0)</f>
        <v>حشوة المحاشي</v>
      </c>
      <c r="E648" s="30" t="s">
        <v>3058</v>
      </c>
      <c r="F648" s="110">
        <v>4232</v>
      </c>
      <c r="G648" s="30" t="str">
        <f>VLOOKUP(F648, 'RM &amp; SF'!B:C, 2, 0)</f>
        <v>بهار سادة ناعم*****</v>
      </c>
      <c r="H648" s="89">
        <v>7</v>
      </c>
      <c r="I648" s="30" t="str">
        <f>VLOOKUP(F648, 'RM &amp; SF'!B:H, 4, 0)</f>
        <v>غم</v>
      </c>
      <c r="J648" s="90">
        <f t="shared" si="60"/>
        <v>1.4141414141414141</v>
      </c>
      <c r="K648" s="91">
        <f>VLOOKUP(F648, 'RM &amp; SF'!B:H, 7, 0)</f>
        <v>1.0345E-2</v>
      </c>
      <c r="L648" s="92">
        <f t="shared" si="58"/>
        <v>1.4629292929292929E-2</v>
      </c>
      <c r="M648" s="30" t="s">
        <v>810</v>
      </c>
      <c r="P648" s="88" t="s">
        <v>2156</v>
      </c>
    </row>
    <row r="649" spans="1:16" ht="14">
      <c r="A649" s="88" t="s">
        <v>3186</v>
      </c>
      <c r="B649" s="188" t="s">
        <v>638</v>
      </c>
      <c r="C649" s="30"/>
      <c r="D649" s="30" t="str">
        <f>VLOOKUP(B649, 'RM &amp; SF'!B:C, 2, 0)</f>
        <v>حشوة المحاشي</v>
      </c>
      <c r="E649" s="30" t="s">
        <v>2218</v>
      </c>
      <c r="F649" s="110">
        <v>4233</v>
      </c>
      <c r="G649" s="30" t="str">
        <f>VLOOKUP(F649, 'RM &amp; SF'!B:C, 2, 0)</f>
        <v>هال ناعم*****</v>
      </c>
      <c r="H649" s="89">
        <v>15</v>
      </c>
      <c r="I649" s="30" t="str">
        <f>VLOOKUP(F649, 'RM &amp; SF'!B:H, 4, 0)</f>
        <v>غم</v>
      </c>
      <c r="J649" s="90">
        <f t="shared" si="60"/>
        <v>3.0303030303030303</v>
      </c>
      <c r="K649" s="91">
        <f>VLOOKUP(F649, 'RM &amp; SF'!B:H, 7, 0)</f>
        <v>2.3E-2</v>
      </c>
      <c r="L649" s="92">
        <f t="shared" si="58"/>
        <v>6.9696969696969702E-2</v>
      </c>
      <c r="M649" s="30" t="s">
        <v>810</v>
      </c>
      <c r="P649" s="88" t="s">
        <v>2156</v>
      </c>
    </row>
    <row r="650" spans="1:16" ht="14">
      <c r="A650" s="88" t="s">
        <v>3186</v>
      </c>
      <c r="B650" s="188" t="s">
        <v>638</v>
      </c>
      <c r="C650" s="30"/>
      <c r="D650" s="30" t="str">
        <f>VLOOKUP(B650, 'RM &amp; SF'!B:C, 2, 0)</f>
        <v>حشوة المحاشي</v>
      </c>
      <c r="E650" s="30" t="s">
        <v>2203</v>
      </c>
      <c r="F650" s="110">
        <v>4152</v>
      </c>
      <c r="G650" s="30" t="str">
        <f>VLOOKUP(F650, 'RM &amp; SF'!B:C, 2, 0)</f>
        <v>ملح طعام 750غم*****</v>
      </c>
      <c r="H650" s="89">
        <v>45</v>
      </c>
      <c r="I650" s="30" t="str">
        <f>VLOOKUP(F650, 'RM &amp; SF'!B:H, 4, 0)</f>
        <v>غم</v>
      </c>
      <c r="J650" s="90">
        <f t="shared" si="60"/>
        <v>9.0909090909090899</v>
      </c>
      <c r="K650" s="91">
        <f>VLOOKUP(F650, 'RM &amp; SF'!B:H, 7, 0)</f>
        <v>1.7066666666666665E-4</v>
      </c>
      <c r="L650" s="92">
        <f t="shared" si="58"/>
        <v>1.5515151515151512E-3</v>
      </c>
      <c r="M650" s="30" t="s">
        <v>810</v>
      </c>
      <c r="P650" s="88" t="s">
        <v>2156</v>
      </c>
    </row>
    <row r="651" spans="1:16" ht="14">
      <c r="A651" s="88" t="s">
        <v>3186</v>
      </c>
      <c r="B651" s="188" t="s">
        <v>638</v>
      </c>
      <c r="C651" s="30"/>
      <c r="D651" s="30" t="str">
        <f>VLOOKUP(B651, 'RM &amp; SF'!B:C, 2, 0)</f>
        <v>حشوة المحاشي</v>
      </c>
      <c r="E651" s="30" t="s">
        <v>2261</v>
      </c>
      <c r="F651" s="110">
        <v>4163</v>
      </c>
      <c r="G651" s="30" t="str">
        <f>VLOOKUP(F651, 'RM &amp; SF'!B:C, 2, 0)</f>
        <v>سمنة بنكهة السمن البلدي 15 كغ*****</v>
      </c>
      <c r="H651" s="89">
        <v>250</v>
      </c>
      <c r="I651" s="30" t="str">
        <f>VLOOKUP(F651, 'RM &amp; SF'!B:H, 4, 0)</f>
        <v>غم</v>
      </c>
      <c r="J651" s="90">
        <f t="shared" si="60"/>
        <v>50.505050505050505</v>
      </c>
      <c r="K651" s="91">
        <f>VLOOKUP(F651, 'RM &amp; SF'!B:H, 7, 0)</f>
        <v>2.0512E-3</v>
      </c>
      <c r="L651" s="92">
        <f t="shared" si="58"/>
        <v>0.10359595959595959</v>
      </c>
      <c r="M651" s="30" t="s">
        <v>810</v>
      </c>
      <c r="P651" s="88" t="s">
        <v>2156</v>
      </c>
    </row>
    <row r="652" spans="1:16" ht="14">
      <c r="A652" s="88" t="s">
        <v>3186</v>
      </c>
      <c r="B652" s="188" t="s">
        <v>638</v>
      </c>
      <c r="C652" s="30"/>
      <c r="D652" s="30" t="str">
        <f>VLOOKUP(B652, 'RM &amp; SF'!B:C, 2, 0)</f>
        <v>حشوة المحاشي</v>
      </c>
      <c r="E652" s="30" t="s">
        <v>2260</v>
      </c>
      <c r="F652" s="110">
        <v>4160</v>
      </c>
      <c r="G652" s="30" t="str">
        <f>VLOOKUP(F652, 'RM &amp; SF'!B:C, 2, 0)</f>
        <v>زيت صويا 18 لتر*****</v>
      </c>
      <c r="H652" s="89">
        <v>250</v>
      </c>
      <c r="I652" s="30" t="str">
        <f>VLOOKUP(F652, 'RM &amp; SF'!B:H, 4, 0)</f>
        <v>مل</v>
      </c>
      <c r="J652" s="90">
        <f t="shared" si="60"/>
        <v>50.505050505050505</v>
      </c>
      <c r="K652" s="91">
        <f>VLOOKUP(F652, 'RM &amp; SF'!B:H, 7, 0)</f>
        <v>1.335E-3</v>
      </c>
      <c r="L652" s="92">
        <f t="shared" si="58"/>
        <v>6.7424242424242428E-2</v>
      </c>
      <c r="M652" s="30" t="s">
        <v>810</v>
      </c>
      <c r="P652" s="88" t="s">
        <v>2156</v>
      </c>
    </row>
    <row r="653" spans="1:16" ht="14">
      <c r="A653" s="88" t="s">
        <v>2433</v>
      </c>
      <c r="B653" s="219" t="s">
        <v>642</v>
      </c>
      <c r="C653" s="30"/>
      <c r="D653" s="30" t="str">
        <f>VLOOKUP(B653, 'RM &amp; SF'!B:C, 2, 0)</f>
        <v>اوزي صرر</v>
      </c>
      <c r="E653" s="30" t="s">
        <v>2281</v>
      </c>
      <c r="F653" s="110">
        <v>4133</v>
      </c>
      <c r="G653" s="30" t="str">
        <f>VLOOKUP(F653, 'RM &amp; SF'!B:C, 2, 0)</f>
        <v>ارز بسمتي ذهبي*****</v>
      </c>
      <c r="H653" s="89">
        <v>750</v>
      </c>
      <c r="I653" s="30" t="str">
        <f>VLOOKUP(F653, 'RM &amp; SF'!B:H, 4, 0)</f>
        <v>غم</v>
      </c>
      <c r="J653" s="90">
        <f t="shared" ref="J653:J672" si="61">H653/32</f>
        <v>23.4375</v>
      </c>
      <c r="K653" s="91">
        <f>VLOOKUP(F653, 'RM &amp; SF'!B:H, 7, 0)</f>
        <v>1.1000000000000001E-3</v>
      </c>
      <c r="L653" s="92">
        <f t="shared" si="58"/>
        <v>2.5781250000000002E-2</v>
      </c>
      <c r="M653" s="30" t="s">
        <v>810</v>
      </c>
    </row>
    <row r="654" spans="1:16" ht="14">
      <c r="A654" s="88" t="s">
        <v>2433</v>
      </c>
      <c r="B654" s="219" t="s">
        <v>642</v>
      </c>
      <c r="C654" s="30"/>
      <c r="D654" s="30" t="str">
        <f>VLOOKUP(B654, 'RM &amp; SF'!B:C, 2, 0)</f>
        <v>اوزي صرر</v>
      </c>
      <c r="E654" s="30" t="s">
        <v>2280</v>
      </c>
      <c r="F654" s="110">
        <v>4132</v>
      </c>
      <c r="G654" s="30" t="str">
        <f>VLOOKUP(F654, 'RM &amp; SF'!B:C, 2, 0)</f>
        <v>ارز حبة متوسطة*****</v>
      </c>
      <c r="H654" s="89">
        <v>750</v>
      </c>
      <c r="I654" s="30" t="str">
        <f>VLOOKUP(F654, 'RM &amp; SF'!B:H, 4, 0)</f>
        <v>غم</v>
      </c>
      <c r="J654" s="90">
        <f t="shared" si="61"/>
        <v>23.4375</v>
      </c>
      <c r="K654" s="91">
        <f>VLOOKUP(F654, 'RM &amp; SF'!B:H, 7, 0)</f>
        <v>1.1388000000000001E-3</v>
      </c>
      <c r="L654" s="92">
        <f t="shared" si="58"/>
        <v>2.6690625000000003E-2</v>
      </c>
      <c r="M654" s="30" t="s">
        <v>810</v>
      </c>
    </row>
    <row r="655" spans="1:16" ht="14">
      <c r="A655" s="88" t="s">
        <v>2433</v>
      </c>
      <c r="B655" s="219" t="s">
        <v>642</v>
      </c>
      <c r="C655" s="30"/>
      <c r="D655" s="30" t="str">
        <f>VLOOKUP(B655, 'RM &amp; SF'!B:C, 2, 0)</f>
        <v>اوزي صرر</v>
      </c>
      <c r="E655" s="30" t="s">
        <v>3058</v>
      </c>
      <c r="F655" s="110">
        <v>5373</v>
      </c>
      <c r="G655" s="30" t="str">
        <f>VLOOKUP(F655, 'RM &amp; SF'!B:C, 2, 0)</f>
        <v>قطعيات عجل مشكلة</v>
      </c>
      <c r="H655" s="89">
        <v>2000</v>
      </c>
      <c r="I655" s="30" t="str">
        <f>VLOOKUP(F655, 'RM &amp; SF'!B:H, 4, 0)</f>
        <v>غم</v>
      </c>
      <c r="J655" s="90">
        <f t="shared" si="61"/>
        <v>62.5</v>
      </c>
      <c r="K655" s="91">
        <f>VLOOKUP(F655, 'RM &amp; SF'!B:H, 7, 0)</f>
        <v>9.0100000000000006E-3</v>
      </c>
      <c r="L655" s="92">
        <f t="shared" si="58"/>
        <v>0.56312499999999999</v>
      </c>
      <c r="M655" s="30" t="s">
        <v>810</v>
      </c>
    </row>
    <row r="656" spans="1:16" ht="14">
      <c r="A656" s="88" t="s">
        <v>2433</v>
      </c>
      <c r="B656" s="219" t="s">
        <v>642</v>
      </c>
      <c r="C656" s="30"/>
      <c r="D656" s="30" t="str">
        <f>VLOOKUP(B656, 'RM &amp; SF'!B:C, 2, 0)</f>
        <v>اوزي صرر</v>
      </c>
      <c r="E656" s="30" t="s">
        <v>2261</v>
      </c>
      <c r="F656" s="110">
        <v>4163</v>
      </c>
      <c r="G656" s="30" t="str">
        <f>VLOOKUP(F656, 'RM &amp; SF'!B:C, 2, 0)</f>
        <v>سمنة بنكهة السمن البلدي 15 كغ*****</v>
      </c>
      <c r="H656" s="89">
        <v>500</v>
      </c>
      <c r="I656" s="30" t="str">
        <f>VLOOKUP(F656, 'RM &amp; SF'!B:H, 4, 0)</f>
        <v>غم</v>
      </c>
      <c r="J656" s="90">
        <f t="shared" si="61"/>
        <v>15.625</v>
      </c>
      <c r="K656" s="91">
        <f>VLOOKUP(F656, 'RM &amp; SF'!B:H, 7, 0)</f>
        <v>2.0512E-3</v>
      </c>
      <c r="L656" s="92">
        <f t="shared" si="58"/>
        <v>3.2050000000000002E-2</v>
      </c>
      <c r="M656" s="30" t="s">
        <v>810</v>
      </c>
    </row>
    <row r="657" spans="1:13" ht="14">
      <c r="A657" s="88" t="s">
        <v>2433</v>
      </c>
      <c r="B657" s="219" t="s">
        <v>642</v>
      </c>
      <c r="C657" s="30"/>
      <c r="D657" s="30" t="str">
        <f>VLOOKUP(B657, 'RM &amp; SF'!B:C, 2, 0)</f>
        <v>اوزي صرر</v>
      </c>
      <c r="E657" s="30" t="s">
        <v>3058</v>
      </c>
      <c r="F657" s="110">
        <v>1221</v>
      </c>
      <c r="G657" s="30" t="str">
        <f>VLOOKUP(F657, 'RM &amp; SF'!B:C, 2, 0)</f>
        <v>مرقة لحم</v>
      </c>
      <c r="H657" s="89">
        <v>6600</v>
      </c>
      <c r="I657" s="30" t="str">
        <f>VLOOKUP(F657, 'RM &amp; SF'!B:H, 4, 0)</f>
        <v>غم</v>
      </c>
      <c r="J657" s="90">
        <f t="shared" si="61"/>
        <v>206.25</v>
      </c>
      <c r="K657" s="91">
        <f>VLOOKUP(F657, 'RM &amp; SF'!B:H, 7, 0)</f>
        <v>0</v>
      </c>
      <c r="L657" s="92">
        <f t="shared" si="58"/>
        <v>0</v>
      </c>
      <c r="M657" s="30" t="s">
        <v>810</v>
      </c>
    </row>
    <row r="658" spans="1:13" ht="14">
      <c r="A658" s="88" t="s">
        <v>2433</v>
      </c>
      <c r="B658" s="219" t="s">
        <v>642</v>
      </c>
      <c r="C658" s="30"/>
      <c r="D658" s="30" t="str">
        <f>VLOOKUP(B658, 'RM &amp; SF'!B:C, 2, 0)</f>
        <v>اوزي صرر</v>
      </c>
      <c r="E658" s="30" t="s">
        <v>3058</v>
      </c>
      <c r="F658" s="110">
        <v>4021</v>
      </c>
      <c r="G658" s="30" t="str">
        <f>VLOOKUP(F658, 'RM &amp; SF'!B:C, 2, 0)</f>
        <v>مكعبات مرق الدجاج 24 عبوة*2 مكعب*****</v>
      </c>
      <c r="H658" s="89">
        <v>25</v>
      </c>
      <c r="I658" s="30" t="str">
        <f>VLOOKUP(F658, 'RM &amp; SF'!B:H, 4, 0)</f>
        <v>غم</v>
      </c>
      <c r="J658" s="90">
        <f t="shared" si="61"/>
        <v>0.78125</v>
      </c>
      <c r="K658" s="91">
        <f>VLOOKUP(F658, 'RM &amp; SF'!B:H, 7, 0)</f>
        <v>3.8541666666666668E-3</v>
      </c>
      <c r="L658" s="92">
        <f t="shared" si="58"/>
        <v>3.0110677083333335E-3</v>
      </c>
      <c r="M658" s="30" t="s">
        <v>810</v>
      </c>
    </row>
    <row r="659" spans="1:13" ht="14">
      <c r="A659" s="88" t="s">
        <v>2433</v>
      </c>
      <c r="B659" s="219" t="s">
        <v>642</v>
      </c>
      <c r="C659" s="30"/>
      <c r="D659" s="30" t="str">
        <f>VLOOKUP(B659, 'RM &amp; SF'!B:C, 2, 0)</f>
        <v>اوزي صرر</v>
      </c>
      <c r="E659" s="30" t="s">
        <v>2213</v>
      </c>
      <c r="F659" s="110">
        <v>4218</v>
      </c>
      <c r="G659" s="30" t="str">
        <f>VLOOKUP(F659, 'RM &amp; SF'!B:C, 2, 0)</f>
        <v>بهارات مشكلة*****</v>
      </c>
      <c r="H659" s="89">
        <v>30</v>
      </c>
      <c r="I659" s="30" t="str">
        <f>VLOOKUP(F659, 'RM &amp; SF'!B:H, 4, 0)</f>
        <v>غم</v>
      </c>
      <c r="J659" s="90">
        <f t="shared" si="61"/>
        <v>0.9375</v>
      </c>
      <c r="K659" s="91">
        <f>VLOOKUP(F659, 'RM &amp; SF'!B:H, 7, 0)</f>
        <v>3.0169999999999997E-3</v>
      </c>
      <c r="L659" s="92">
        <f t="shared" si="58"/>
        <v>2.8284374999999998E-3</v>
      </c>
      <c r="M659" s="30" t="s">
        <v>810</v>
      </c>
    </row>
    <row r="660" spans="1:13" ht="14">
      <c r="A660" s="88" t="s">
        <v>2433</v>
      </c>
      <c r="B660" s="219" t="s">
        <v>642</v>
      </c>
      <c r="C660" s="30"/>
      <c r="D660" s="30" t="str">
        <f>VLOOKUP(B660, 'RM &amp; SF'!B:C, 2, 0)</f>
        <v>اوزي صرر</v>
      </c>
      <c r="E660" s="30" t="s">
        <v>2218</v>
      </c>
      <c r="F660" s="110">
        <v>4233</v>
      </c>
      <c r="G660" s="30" t="str">
        <f>VLOOKUP(F660, 'RM &amp; SF'!B:C, 2, 0)</f>
        <v>هال ناعم*****</v>
      </c>
      <c r="H660" s="89">
        <v>20</v>
      </c>
      <c r="I660" s="30" t="str">
        <f>VLOOKUP(F660, 'RM &amp; SF'!B:H, 4, 0)</f>
        <v>غم</v>
      </c>
      <c r="J660" s="90">
        <f t="shared" si="61"/>
        <v>0.625</v>
      </c>
      <c r="K660" s="91">
        <f>VLOOKUP(F660, 'RM &amp; SF'!B:H, 7, 0)</f>
        <v>2.3E-2</v>
      </c>
      <c r="L660" s="92">
        <f t="shared" si="58"/>
        <v>1.4374999999999999E-2</v>
      </c>
      <c r="M660" s="30" t="s">
        <v>810</v>
      </c>
    </row>
    <row r="661" spans="1:13" ht="14">
      <c r="A661" s="88" t="s">
        <v>2433</v>
      </c>
      <c r="B661" s="219" t="s">
        <v>642</v>
      </c>
      <c r="C661" s="30"/>
      <c r="D661" s="30" t="str">
        <f>VLOOKUP(B661, 'RM &amp; SF'!B:C, 2, 0)</f>
        <v>اوزي صرر</v>
      </c>
      <c r="E661" s="30" t="s">
        <v>3058</v>
      </c>
      <c r="F661" s="110">
        <v>4144</v>
      </c>
      <c r="G661" s="30" t="str">
        <f>VLOOKUP(F661, 'RM &amp; SF'!B:C, 2, 0)</f>
        <v>جوز عين الجمل*****</v>
      </c>
      <c r="H661" s="89">
        <v>15</v>
      </c>
      <c r="I661" s="30" t="str">
        <f>VLOOKUP(F661, 'RM &amp; SF'!B:H, 4, 0)</f>
        <v>غم</v>
      </c>
      <c r="J661" s="90">
        <f t="shared" si="61"/>
        <v>0.46875</v>
      </c>
      <c r="K661" s="91">
        <f>VLOOKUP(F661, 'RM &amp; SF'!B:H, 7, 0)</f>
        <v>4.5259000000000002E-3</v>
      </c>
      <c r="L661" s="92">
        <f t="shared" si="58"/>
        <v>2.1215156250000001E-3</v>
      </c>
      <c r="M661" s="30" t="s">
        <v>810</v>
      </c>
    </row>
    <row r="662" spans="1:13" ht="14">
      <c r="A662" s="88" t="s">
        <v>2433</v>
      </c>
      <c r="B662" s="219" t="s">
        <v>642</v>
      </c>
      <c r="C662" s="30"/>
      <c r="D662" s="30" t="str">
        <f>VLOOKUP(B662, 'RM &amp; SF'!B:C, 2, 0)</f>
        <v>اوزي صرر</v>
      </c>
      <c r="E662" s="30" t="s">
        <v>2206</v>
      </c>
      <c r="F662" s="110">
        <v>4204</v>
      </c>
      <c r="G662" s="30" t="str">
        <f>VLOOKUP(F662, 'RM &amp; SF'!B:C, 2, 0)</f>
        <v>فلفل اسود ناعم*****</v>
      </c>
      <c r="H662" s="89">
        <v>20</v>
      </c>
      <c r="I662" s="30" t="str">
        <f>VLOOKUP(F662, 'RM &amp; SF'!B:H, 4, 0)</f>
        <v>غم</v>
      </c>
      <c r="J662" s="90">
        <f t="shared" si="61"/>
        <v>0.625</v>
      </c>
      <c r="K662" s="91">
        <f>VLOOKUP(F662, 'RM &amp; SF'!B:H, 7, 0)</f>
        <v>6.8970000000000004E-3</v>
      </c>
      <c r="L662" s="92">
        <f t="shared" si="58"/>
        <v>4.3106250000000002E-3</v>
      </c>
      <c r="M662" s="30" t="s">
        <v>810</v>
      </c>
    </row>
    <row r="663" spans="1:13" ht="14">
      <c r="A663" s="88" t="s">
        <v>2433</v>
      </c>
      <c r="B663" s="219" t="s">
        <v>642</v>
      </c>
      <c r="C663" s="30"/>
      <c r="D663" s="30" t="str">
        <f>VLOOKUP(B663, 'RM &amp; SF'!B:C, 2, 0)</f>
        <v>اوزي صرر</v>
      </c>
      <c r="E663" s="30" t="s">
        <v>2211</v>
      </c>
      <c r="F663" s="110">
        <v>4214</v>
      </c>
      <c r="G663" s="30" t="str">
        <f>VLOOKUP(F663, 'RM &amp; SF'!B:C, 2, 0)</f>
        <v>قرفة ناعمة*****</v>
      </c>
      <c r="H663" s="89">
        <v>10</v>
      </c>
      <c r="I663" s="30" t="str">
        <f>VLOOKUP(F663, 'RM &amp; SF'!B:H, 4, 0)</f>
        <v>غم</v>
      </c>
      <c r="J663" s="90">
        <f t="shared" si="61"/>
        <v>0.3125</v>
      </c>
      <c r="K663" s="91">
        <f>VLOOKUP(F663, 'RM &amp; SF'!B:H, 7, 0)</f>
        <v>2.8020000000000002E-3</v>
      </c>
      <c r="L663" s="92">
        <f t="shared" si="58"/>
        <v>8.756250000000001E-4</v>
      </c>
      <c r="M663" s="30" t="s">
        <v>810</v>
      </c>
    </row>
    <row r="664" spans="1:13" ht="14">
      <c r="A664" s="88" t="s">
        <v>2433</v>
      </c>
      <c r="B664" s="219" t="s">
        <v>642</v>
      </c>
      <c r="C664" s="30"/>
      <c r="D664" s="30" t="str">
        <f>VLOOKUP(B664, 'RM &amp; SF'!B:C, 2, 0)</f>
        <v>اوزي صرر</v>
      </c>
      <c r="E664" s="30" t="s">
        <v>2212</v>
      </c>
      <c r="F664" s="110">
        <v>4215</v>
      </c>
      <c r="G664" s="30" t="str">
        <f>VLOOKUP(F664, 'RM &amp; SF'!B:C, 2, 0)</f>
        <v>ملح صيني*****</v>
      </c>
      <c r="H664" s="89">
        <v>35</v>
      </c>
      <c r="I664" s="30" t="str">
        <f>VLOOKUP(F664, 'RM &amp; SF'!B:H, 4, 0)</f>
        <v>غم</v>
      </c>
      <c r="J664" s="90">
        <f t="shared" si="61"/>
        <v>1.09375</v>
      </c>
      <c r="K664" s="91">
        <f>VLOOKUP(F664, 'RM &amp; SF'!B:H, 7, 0)</f>
        <v>1.7240000000000001E-3</v>
      </c>
      <c r="L664" s="92">
        <f t="shared" si="58"/>
        <v>1.8856250000000001E-3</v>
      </c>
      <c r="M664" s="30" t="s">
        <v>810</v>
      </c>
    </row>
    <row r="665" spans="1:13" ht="14">
      <c r="A665" s="88" t="s">
        <v>2433</v>
      </c>
      <c r="B665" s="219" t="s">
        <v>642</v>
      </c>
      <c r="C665" s="30"/>
      <c r="D665" s="30" t="str">
        <f>VLOOKUP(B665, 'RM &amp; SF'!B:C, 2, 0)</f>
        <v>اوزي صرر</v>
      </c>
      <c r="E665" s="30" t="s">
        <v>3058</v>
      </c>
      <c r="F665" s="110">
        <v>4022</v>
      </c>
      <c r="G665" s="30" t="str">
        <f>VLOOKUP(F665, 'RM &amp; SF'!B:C, 2, 0)</f>
        <v>مرق الدجاج بودرة 1 كغ*****</v>
      </c>
      <c r="H665" s="89">
        <v>45</v>
      </c>
      <c r="I665" s="30" t="str">
        <f>VLOOKUP(F665, 'RM &amp; SF'!B:H, 4, 0)</f>
        <v>غم</v>
      </c>
      <c r="J665" s="90">
        <f t="shared" si="61"/>
        <v>1.40625</v>
      </c>
      <c r="K665" s="91">
        <f>VLOOKUP(F665, 'RM &amp; SF'!B:H, 7, 0)</f>
        <v>4.7054597701149427E-3</v>
      </c>
      <c r="L665" s="92">
        <f t="shared" si="58"/>
        <v>6.6170528017241385E-3</v>
      </c>
      <c r="M665" s="30" t="s">
        <v>810</v>
      </c>
    </row>
    <row r="666" spans="1:13" ht="14">
      <c r="A666" s="88" t="s">
        <v>2433</v>
      </c>
      <c r="B666" s="219" t="s">
        <v>642</v>
      </c>
      <c r="C666" s="30"/>
      <c r="D666" s="30" t="str">
        <f>VLOOKUP(B666, 'RM &amp; SF'!B:C, 2, 0)</f>
        <v>اوزي صرر</v>
      </c>
      <c r="E666" s="30" t="s">
        <v>2222</v>
      </c>
      <c r="F666" s="110">
        <v>4240</v>
      </c>
      <c r="G666" s="30" t="str">
        <f>VLOOKUP(F666, 'RM &amp; SF'!B:C, 2, 0)</f>
        <v>كركم ناعم*****</v>
      </c>
      <c r="H666" s="89">
        <v>10</v>
      </c>
      <c r="I666" s="30" t="str">
        <f>VLOOKUP(F666, 'RM &amp; SF'!B:H, 4, 0)</f>
        <v>غم</v>
      </c>
      <c r="J666" s="90">
        <f t="shared" si="61"/>
        <v>0.3125</v>
      </c>
      <c r="K666" s="91">
        <f>VLOOKUP(F666, 'RM &amp; SF'!B:H, 7, 0)</f>
        <v>1.9399999999999999E-3</v>
      </c>
      <c r="L666" s="92">
        <f t="shared" si="58"/>
        <v>6.0625000000000002E-4</v>
      </c>
      <c r="M666" s="30" t="s">
        <v>810</v>
      </c>
    </row>
    <row r="667" spans="1:13" ht="14">
      <c r="A667" s="88" t="s">
        <v>2433</v>
      </c>
      <c r="B667" s="219" t="s">
        <v>642</v>
      </c>
      <c r="C667" s="30"/>
      <c r="D667" s="30" t="str">
        <f>VLOOKUP(B667, 'RM &amp; SF'!B:C, 2, 0)</f>
        <v>اوزي صرر</v>
      </c>
      <c r="E667" s="30" t="s">
        <v>2205</v>
      </c>
      <c r="F667" s="110">
        <v>4193</v>
      </c>
      <c r="G667" s="30" t="str">
        <f>VLOOKUP(F667, 'RM &amp; SF'!B:C, 2, 0)</f>
        <v>زنجبيل ناعم*****</v>
      </c>
      <c r="H667" s="89">
        <v>25</v>
      </c>
      <c r="I667" s="30" t="str">
        <f>VLOOKUP(F667, 'RM &amp; SF'!B:H, 4, 0)</f>
        <v>غم</v>
      </c>
      <c r="J667" s="90">
        <f t="shared" si="61"/>
        <v>0.78125</v>
      </c>
      <c r="K667" s="91">
        <f>VLOOKUP(F667, 'RM &amp; SF'!B:H, 7, 0)</f>
        <v>3.2330000000000002E-3</v>
      </c>
      <c r="L667" s="92">
        <f t="shared" si="58"/>
        <v>2.5257812500000002E-3</v>
      </c>
      <c r="M667" s="30" t="s">
        <v>810</v>
      </c>
    </row>
    <row r="668" spans="1:13" ht="14">
      <c r="A668" s="88" t="s">
        <v>2433</v>
      </c>
      <c r="B668" s="219" t="s">
        <v>642</v>
      </c>
      <c r="C668" s="30"/>
      <c r="D668" s="30" t="str">
        <f>VLOOKUP(B668, 'RM &amp; SF'!B:C, 2, 0)</f>
        <v>اوزي صرر</v>
      </c>
      <c r="E668" s="30" t="s">
        <v>2221</v>
      </c>
      <c r="F668" s="110">
        <v>4237</v>
      </c>
      <c r="G668" s="30" t="str">
        <f>VLOOKUP(F668, 'RM &amp; SF'!B:C, 2, 0)</f>
        <v>ثوم ناعم*****</v>
      </c>
      <c r="H668" s="89">
        <v>20</v>
      </c>
      <c r="I668" s="30" t="str">
        <f>VLOOKUP(F668, 'RM &amp; SF'!B:H, 4, 0)</f>
        <v>غم</v>
      </c>
      <c r="J668" s="90">
        <f t="shared" si="61"/>
        <v>0.625</v>
      </c>
      <c r="K668" s="91">
        <f>VLOOKUP(F668, 'RM &amp; SF'!B:H, 7, 0)</f>
        <v>2.3709999999999998E-3</v>
      </c>
      <c r="L668" s="92">
        <f t="shared" si="58"/>
        <v>1.4818749999999999E-3</v>
      </c>
      <c r="M668" s="30" t="s">
        <v>810</v>
      </c>
    </row>
    <row r="669" spans="1:13" ht="14">
      <c r="A669" s="88" t="s">
        <v>2433</v>
      </c>
      <c r="B669" s="219" t="s">
        <v>642</v>
      </c>
      <c r="C669" s="30"/>
      <c r="D669" s="30" t="str">
        <f>VLOOKUP(B669, 'RM &amp; SF'!B:C, 2, 0)</f>
        <v>اوزي صرر</v>
      </c>
      <c r="E669" s="30" t="s">
        <v>2220</v>
      </c>
      <c r="F669" s="110">
        <v>4236</v>
      </c>
      <c r="G669" s="30" t="str">
        <f>VLOOKUP(F669, 'RM &amp; SF'!B:C, 2, 0)</f>
        <v>بصل ناعم*****</v>
      </c>
      <c r="H669" s="89">
        <v>20</v>
      </c>
      <c r="I669" s="30" t="str">
        <f>VLOOKUP(F669, 'RM &amp; SF'!B:H, 4, 0)</f>
        <v>غم</v>
      </c>
      <c r="J669" s="90">
        <f t="shared" si="61"/>
        <v>0.625</v>
      </c>
      <c r="K669" s="91">
        <f>VLOOKUP(F669, 'RM &amp; SF'!B:H, 7, 0)</f>
        <v>2.3709999999999998E-3</v>
      </c>
      <c r="L669" s="92">
        <f t="shared" si="58"/>
        <v>1.4818749999999999E-3</v>
      </c>
      <c r="M669" s="30" t="s">
        <v>810</v>
      </c>
    </row>
    <row r="670" spans="1:13" ht="14">
      <c r="A670" s="88" t="s">
        <v>2433</v>
      </c>
      <c r="B670" s="219" t="s">
        <v>642</v>
      </c>
      <c r="C670" s="30"/>
      <c r="D670" s="30" t="str">
        <f>VLOOKUP(B670, 'RM &amp; SF'!B:C, 2, 0)</f>
        <v>اوزي صرر</v>
      </c>
      <c r="E670" s="30" t="s">
        <v>2203</v>
      </c>
      <c r="F670" s="110">
        <v>4152</v>
      </c>
      <c r="G670" s="30" t="str">
        <f>VLOOKUP(F670, 'RM &amp; SF'!B:C, 2, 0)</f>
        <v>ملح طعام 750غم*****</v>
      </c>
      <c r="H670" s="89">
        <v>40</v>
      </c>
      <c r="I670" s="30" t="str">
        <f>VLOOKUP(F670, 'RM &amp; SF'!B:H, 4, 0)</f>
        <v>غم</v>
      </c>
      <c r="J670" s="90">
        <f t="shared" si="61"/>
        <v>1.25</v>
      </c>
      <c r="K670" s="91">
        <f>VLOOKUP(F670, 'RM &amp; SF'!B:H, 7, 0)</f>
        <v>1.7066666666666665E-4</v>
      </c>
      <c r="L670" s="92">
        <f t="shared" si="58"/>
        <v>2.1333333333333331E-4</v>
      </c>
      <c r="M670" s="30" t="s">
        <v>810</v>
      </c>
    </row>
    <row r="671" spans="1:13" ht="14">
      <c r="A671" s="88" t="s">
        <v>2433</v>
      </c>
      <c r="B671" s="219" t="s">
        <v>642</v>
      </c>
      <c r="C671" s="30"/>
      <c r="D671" s="30" t="str">
        <f>VLOOKUP(B671, 'RM &amp; SF'!B:C, 2, 0)</f>
        <v>اوزي صرر</v>
      </c>
      <c r="E671" s="30" t="s">
        <v>2292</v>
      </c>
      <c r="F671" s="110">
        <v>4639</v>
      </c>
      <c r="G671" s="30" t="str">
        <f>VLOOKUP(F671, 'RM &amp; SF'!B:C, 2, 0)</f>
        <v>بازيلاء و جزر مجمدة 350 غم*****</v>
      </c>
      <c r="H671" s="89">
        <v>2000</v>
      </c>
      <c r="I671" s="30" t="str">
        <f>VLOOKUP(F671, 'RM &amp; SF'!B:H, 4, 0)</f>
        <v>غم</v>
      </c>
      <c r="J671" s="90">
        <f t="shared" si="61"/>
        <v>62.5</v>
      </c>
      <c r="K671" s="91">
        <f>VLOOKUP(F671, 'RM &amp; SF'!B:H, 7, 0)</f>
        <v>1.8331249999999999E-3</v>
      </c>
      <c r="L671" s="92">
        <f t="shared" si="58"/>
        <v>0.11457031249999999</v>
      </c>
      <c r="M671" s="30" t="s">
        <v>810</v>
      </c>
    </row>
    <row r="672" spans="1:13" ht="14">
      <c r="A672" s="88" t="s">
        <v>2433</v>
      </c>
      <c r="B672" s="219" t="s">
        <v>642</v>
      </c>
      <c r="C672" s="30"/>
      <c r="D672" s="30" t="str">
        <f>VLOOKUP(B672, 'RM &amp; SF'!B:C, 2, 0)</f>
        <v>اوزي صرر</v>
      </c>
      <c r="E672" s="30" t="s">
        <v>3058</v>
      </c>
      <c r="F672" s="110">
        <v>4149</v>
      </c>
      <c r="G672" s="30" t="str">
        <f>VLOOKUP(F672, 'RM &amp; SF'!B:C, 2, 0)</f>
        <v>لوز انصاف 11.340 كغ*****</v>
      </c>
      <c r="H672" s="89">
        <v>1400</v>
      </c>
      <c r="I672" s="30" t="str">
        <f>VLOOKUP(F672, 'RM &amp; SF'!B:H, 4, 0)</f>
        <v>غم</v>
      </c>
      <c r="J672" s="90">
        <f t="shared" si="61"/>
        <v>43.75</v>
      </c>
      <c r="K672" s="91">
        <f>VLOOKUP(F672, 'RM &amp; SF'!B:H, 7, 0)</f>
        <v>6.233655658943015E-3</v>
      </c>
      <c r="L672" s="92">
        <f t="shared" si="58"/>
        <v>0.27272243507875693</v>
      </c>
      <c r="M672" s="30" t="s">
        <v>810</v>
      </c>
    </row>
    <row r="673" spans="1:13" ht="14">
      <c r="A673" s="88" t="s">
        <v>2332</v>
      </c>
      <c r="B673" s="219" t="s">
        <v>644</v>
      </c>
      <c r="C673" s="30"/>
      <c r="D673" s="30" t="str">
        <f>VLOOKUP(B673, 'RM &amp; SF'!B:C, 2, 0)</f>
        <v xml:space="preserve">حشوة ورق العنب </v>
      </c>
      <c r="E673" s="30" t="s">
        <v>2280</v>
      </c>
      <c r="F673" s="110">
        <v>4132</v>
      </c>
      <c r="G673" s="30" t="str">
        <f>VLOOKUP(F673, 'RM &amp; SF'!B:C, 2, 0)</f>
        <v>ارز حبة متوسطة*****</v>
      </c>
      <c r="H673" s="89">
        <v>8000</v>
      </c>
      <c r="I673" s="30" t="str">
        <f>VLOOKUP(F673, 'RM &amp; SF'!B:H, 4, 0)</f>
        <v>غم</v>
      </c>
      <c r="J673" s="90">
        <f>H673/13</f>
        <v>615.38461538461536</v>
      </c>
      <c r="K673" s="91">
        <f>VLOOKUP(F673, 'RM &amp; SF'!B:H, 7, 0)</f>
        <v>1.1388000000000001E-3</v>
      </c>
      <c r="L673" s="92">
        <f t="shared" si="58"/>
        <v>0.70080000000000009</v>
      </c>
      <c r="M673" s="30" t="s">
        <v>810</v>
      </c>
    </row>
    <row r="674" spans="1:13" ht="14">
      <c r="A674" s="88" t="s">
        <v>2332</v>
      </c>
      <c r="B674" s="219" t="s">
        <v>644</v>
      </c>
      <c r="C674" s="30"/>
      <c r="D674" s="30" t="str">
        <f>VLOOKUP(B674, 'RM &amp; SF'!B:C, 2, 0)</f>
        <v xml:space="preserve">حشوة ورق العنب </v>
      </c>
      <c r="E674" s="30" t="s">
        <v>2405</v>
      </c>
      <c r="F674" s="110" t="s">
        <v>494</v>
      </c>
      <c r="G674" s="30" t="str">
        <f>VLOOKUP(F674, 'RM &amp; SF'!B:C, 2, 0)</f>
        <v>لحمة مفرومة</v>
      </c>
      <c r="H674" s="89">
        <v>4000</v>
      </c>
      <c r="I674" s="30" t="str">
        <f>VLOOKUP(F674, 'RM &amp; SF'!B:H, 4, 0)</f>
        <v>غم</v>
      </c>
      <c r="J674" s="90">
        <f t="shared" ref="J674:J689" si="62">H674/13</f>
        <v>307.69230769230768</v>
      </c>
      <c r="K674" s="91">
        <f>VLOOKUP(F674, 'RM &amp; SF'!B:H, 7, 0)</f>
        <v>7.2070000000000007E-3</v>
      </c>
      <c r="L674" s="92">
        <f t="shared" si="58"/>
        <v>2.2175384615384615</v>
      </c>
      <c r="M674" s="30" t="s">
        <v>810</v>
      </c>
    </row>
    <row r="675" spans="1:13" ht="14">
      <c r="A675" s="88" t="s">
        <v>2332</v>
      </c>
      <c r="B675" s="219" t="s">
        <v>644</v>
      </c>
      <c r="C675" s="30"/>
      <c r="D675" s="30" t="str">
        <f>VLOOKUP(B675, 'RM &amp; SF'!B:C, 2, 0)</f>
        <v xml:space="preserve">حشوة ورق العنب </v>
      </c>
      <c r="E675" s="30" t="s">
        <v>2317</v>
      </c>
      <c r="F675" s="110">
        <v>4601</v>
      </c>
      <c r="G675" s="30" t="str">
        <f>VLOOKUP(F675, 'RM &amp; SF'!B:C, 2, 0)</f>
        <v>نتر خروف*****</v>
      </c>
      <c r="H675" s="89">
        <v>0</v>
      </c>
      <c r="I675" s="30" t="str">
        <f>VLOOKUP(F675, 'RM &amp; SF'!B:H, 4, 0)</f>
        <v>غم</v>
      </c>
      <c r="J675" s="90">
        <f t="shared" si="62"/>
        <v>0</v>
      </c>
      <c r="K675" s="91">
        <f>VLOOKUP(F675, 'RM &amp; SF'!B:H, 7, 0)</f>
        <v>3.0000000000000001E-3</v>
      </c>
      <c r="L675" s="92">
        <f t="shared" si="58"/>
        <v>0</v>
      </c>
      <c r="M675" s="30" t="s">
        <v>810</v>
      </c>
    </row>
    <row r="676" spans="1:13" ht="14">
      <c r="A676" s="88" t="s">
        <v>2332</v>
      </c>
      <c r="B676" s="219" t="s">
        <v>644</v>
      </c>
      <c r="C676" s="30"/>
      <c r="D676" s="30" t="str">
        <f>VLOOKUP(B676, 'RM &amp; SF'!B:C, 2, 0)</f>
        <v xml:space="preserve">حشوة ورق العنب </v>
      </c>
      <c r="E676" s="30" t="s">
        <v>2214</v>
      </c>
      <c r="F676" s="110">
        <v>4223</v>
      </c>
      <c r="G676" s="30" t="str">
        <f>VLOOKUP(F676, 'RM &amp; SF'!B:C, 2, 0)</f>
        <v>بهارات كاري*****</v>
      </c>
      <c r="H676" s="89">
        <v>15</v>
      </c>
      <c r="I676" s="30" t="str">
        <f>VLOOKUP(F676, 'RM &amp; SF'!B:H, 4, 0)</f>
        <v>غم</v>
      </c>
      <c r="J676" s="90">
        <f t="shared" si="62"/>
        <v>1.1538461538461537</v>
      </c>
      <c r="K676" s="91">
        <f>VLOOKUP(F676, 'RM &amp; SF'!B:H, 7, 0)</f>
        <v>2.2409999999999999E-3</v>
      </c>
      <c r="L676" s="92">
        <f t="shared" si="58"/>
        <v>2.5857692307692305E-3</v>
      </c>
      <c r="M676" s="30" t="s">
        <v>810</v>
      </c>
    </row>
    <row r="677" spans="1:13" ht="14">
      <c r="A677" s="88" t="s">
        <v>2332</v>
      </c>
      <c r="B677" s="219" t="s">
        <v>644</v>
      </c>
      <c r="C677" s="30"/>
      <c r="D677" s="30" t="str">
        <f>VLOOKUP(B677, 'RM &amp; SF'!B:C, 2, 0)</f>
        <v xml:space="preserve">حشوة ورق العنب </v>
      </c>
      <c r="E677" s="30" t="s">
        <v>2206</v>
      </c>
      <c r="F677" s="110">
        <v>4204</v>
      </c>
      <c r="G677" s="30" t="str">
        <f>VLOOKUP(F677, 'RM &amp; SF'!B:C, 2, 0)</f>
        <v>فلفل اسود ناعم*****</v>
      </c>
      <c r="H677" s="89">
        <v>50</v>
      </c>
      <c r="I677" s="30" t="str">
        <f>VLOOKUP(F677, 'RM &amp; SF'!B:H, 4, 0)</f>
        <v>غم</v>
      </c>
      <c r="J677" s="90">
        <f t="shared" si="62"/>
        <v>3.8461538461538463</v>
      </c>
      <c r="K677" s="91">
        <f>VLOOKUP(F677, 'RM &amp; SF'!B:H, 7, 0)</f>
        <v>6.8970000000000004E-3</v>
      </c>
      <c r="L677" s="92">
        <f t="shared" si="58"/>
        <v>2.652692307692308E-2</v>
      </c>
      <c r="M677" s="30" t="s">
        <v>810</v>
      </c>
    </row>
    <row r="678" spans="1:13" ht="14">
      <c r="A678" s="88" t="s">
        <v>2332</v>
      </c>
      <c r="B678" s="219" t="s">
        <v>644</v>
      </c>
      <c r="C678" s="30"/>
      <c r="D678" s="30" t="str">
        <f>VLOOKUP(B678, 'RM &amp; SF'!B:C, 2, 0)</f>
        <v xml:space="preserve">حشوة ورق العنب </v>
      </c>
      <c r="E678" s="30" t="s">
        <v>2222</v>
      </c>
      <c r="F678" s="110">
        <v>4240</v>
      </c>
      <c r="G678" s="30" t="str">
        <f>VLOOKUP(F678, 'RM &amp; SF'!B:C, 2, 0)</f>
        <v>كركم ناعم*****</v>
      </c>
      <c r="H678" s="89">
        <v>10</v>
      </c>
      <c r="I678" s="30" t="str">
        <f>VLOOKUP(F678, 'RM &amp; SF'!B:H, 4, 0)</f>
        <v>غم</v>
      </c>
      <c r="J678" s="90">
        <f t="shared" si="62"/>
        <v>0.76923076923076927</v>
      </c>
      <c r="K678" s="91">
        <f>VLOOKUP(F678, 'RM &amp; SF'!B:H, 7, 0)</f>
        <v>1.9399999999999999E-3</v>
      </c>
      <c r="L678" s="92">
        <f t="shared" si="58"/>
        <v>1.4923076923076923E-3</v>
      </c>
      <c r="M678" s="30" t="s">
        <v>810</v>
      </c>
    </row>
    <row r="679" spans="1:13" ht="14">
      <c r="A679" s="88" t="s">
        <v>2332</v>
      </c>
      <c r="B679" s="219" t="s">
        <v>644</v>
      </c>
      <c r="C679" s="30"/>
      <c r="D679" s="30" t="str">
        <f>VLOOKUP(B679, 'RM &amp; SF'!B:C, 2, 0)</f>
        <v xml:space="preserve">حشوة ورق العنب </v>
      </c>
      <c r="E679" s="30" t="s">
        <v>3058</v>
      </c>
      <c r="F679" s="110">
        <v>5037</v>
      </c>
      <c r="G679" s="30" t="str">
        <f>VLOOKUP(F679, 'RM &amp; SF'!B:C, 2, 0)</f>
        <v>عصفر ريش*****</v>
      </c>
      <c r="H679" s="89">
        <v>0</v>
      </c>
      <c r="I679" s="30" t="str">
        <f>VLOOKUP(F679, 'RM &amp; SF'!B:H, 4, 0)</f>
        <v>غم</v>
      </c>
      <c r="J679" s="90">
        <f t="shared" si="62"/>
        <v>0</v>
      </c>
      <c r="K679" s="91">
        <f>VLOOKUP(F679, 'RM &amp; SF'!B:H, 7, 0)</f>
        <v>1.7240999999999999E-2</v>
      </c>
      <c r="L679" s="92">
        <f t="shared" si="58"/>
        <v>0</v>
      </c>
      <c r="M679" s="30" t="s">
        <v>810</v>
      </c>
    </row>
    <row r="680" spans="1:13" ht="14">
      <c r="A680" s="88" t="s">
        <v>2332</v>
      </c>
      <c r="B680" s="219" t="s">
        <v>644</v>
      </c>
      <c r="C680" s="30"/>
      <c r="D680" s="30" t="str">
        <f>VLOOKUP(B680, 'RM &amp; SF'!B:C, 2, 0)</f>
        <v xml:space="preserve">حشوة ورق العنب </v>
      </c>
      <c r="E680" s="30" t="s">
        <v>2213</v>
      </c>
      <c r="F680" s="110">
        <v>4218</v>
      </c>
      <c r="G680" s="30" t="str">
        <f>VLOOKUP(F680, 'RM &amp; SF'!B:C, 2, 0)</f>
        <v>بهارات مشكلة*****</v>
      </c>
      <c r="H680" s="89">
        <v>50</v>
      </c>
      <c r="I680" s="30" t="str">
        <f>VLOOKUP(F680, 'RM &amp; SF'!B:H, 4, 0)</f>
        <v>غم</v>
      </c>
      <c r="J680" s="90">
        <f t="shared" si="62"/>
        <v>3.8461538461538463</v>
      </c>
      <c r="K680" s="91">
        <f>VLOOKUP(F680, 'RM &amp; SF'!B:H, 7, 0)</f>
        <v>3.0169999999999997E-3</v>
      </c>
      <c r="L680" s="92">
        <f t="shared" si="58"/>
        <v>1.1603846153846154E-2</v>
      </c>
      <c r="M680" s="30" t="s">
        <v>810</v>
      </c>
    </row>
    <row r="681" spans="1:13" ht="14">
      <c r="A681" s="88" t="s">
        <v>2332</v>
      </c>
      <c r="B681" s="219" t="s">
        <v>644</v>
      </c>
      <c r="C681" s="30"/>
      <c r="D681" s="30" t="str">
        <f>VLOOKUP(B681, 'RM &amp; SF'!B:C, 2, 0)</f>
        <v xml:space="preserve">حشوة ورق العنب </v>
      </c>
      <c r="E681" s="30" t="s">
        <v>3058</v>
      </c>
      <c r="F681" s="110">
        <v>4191</v>
      </c>
      <c r="G681" s="30" t="str">
        <f>VLOOKUP(F681, 'RM &amp; SF'!B:C, 2, 0)</f>
        <v>جوزة الطيب مطحونة*****</v>
      </c>
      <c r="H681" s="89">
        <v>20</v>
      </c>
      <c r="I681" s="30" t="str">
        <f>VLOOKUP(F681, 'RM &amp; SF'!B:H, 4, 0)</f>
        <v>غم</v>
      </c>
      <c r="J681" s="90">
        <f t="shared" si="62"/>
        <v>1.5384615384615385</v>
      </c>
      <c r="K681" s="91">
        <f>VLOOKUP(F681, 'RM &amp; SF'!B:H, 7, 0)</f>
        <v>6.0339999999999994E-3</v>
      </c>
      <c r="L681" s="92">
        <f t="shared" si="58"/>
        <v>9.2830769230769234E-3</v>
      </c>
      <c r="M681" s="30" t="s">
        <v>810</v>
      </c>
    </row>
    <row r="682" spans="1:13" ht="14">
      <c r="A682" s="88" t="s">
        <v>2332</v>
      </c>
      <c r="B682" s="219" t="s">
        <v>644</v>
      </c>
      <c r="C682" s="30"/>
      <c r="D682" s="30" t="str">
        <f>VLOOKUP(B682, 'RM &amp; SF'!B:C, 2, 0)</f>
        <v xml:space="preserve">حشوة ورق العنب </v>
      </c>
      <c r="E682" s="30" t="s">
        <v>2208</v>
      </c>
      <c r="F682" s="110">
        <v>4211</v>
      </c>
      <c r="G682" s="30" t="str">
        <f>VLOOKUP(F682, 'RM &amp; SF'!B:C, 2, 0)</f>
        <v>كزبرة ناعمة*****</v>
      </c>
      <c r="H682" s="89">
        <v>30</v>
      </c>
      <c r="I682" s="30" t="str">
        <f>VLOOKUP(F682, 'RM &amp; SF'!B:H, 4, 0)</f>
        <v>غم</v>
      </c>
      <c r="J682" s="90">
        <f t="shared" si="62"/>
        <v>2.3076923076923075</v>
      </c>
      <c r="K682" s="91">
        <f>VLOOKUP(F682, 'RM &amp; SF'!B:H, 7, 0)</f>
        <v>1.5089999999999999E-3</v>
      </c>
      <c r="L682" s="92">
        <f t="shared" si="58"/>
        <v>3.4823076923076917E-3</v>
      </c>
      <c r="M682" s="30" t="s">
        <v>810</v>
      </c>
    </row>
    <row r="683" spans="1:13" ht="14">
      <c r="A683" s="88" t="s">
        <v>2332</v>
      </c>
      <c r="B683" s="219" t="s">
        <v>644</v>
      </c>
      <c r="C683" s="30"/>
      <c r="D683" s="30" t="str">
        <f>VLOOKUP(B683, 'RM &amp; SF'!B:C, 2, 0)</f>
        <v xml:space="preserve">حشوة ورق العنب </v>
      </c>
      <c r="E683" s="30" t="s">
        <v>2212</v>
      </c>
      <c r="F683" s="110">
        <v>4215</v>
      </c>
      <c r="G683" s="30" t="str">
        <f>VLOOKUP(F683, 'RM &amp; SF'!B:C, 2, 0)</f>
        <v>ملح صيني*****</v>
      </c>
      <c r="H683" s="89">
        <v>20</v>
      </c>
      <c r="I683" s="30" t="str">
        <f>VLOOKUP(F683, 'RM &amp; SF'!B:H, 4, 0)</f>
        <v>غم</v>
      </c>
      <c r="J683" s="90">
        <f t="shared" si="62"/>
        <v>1.5384615384615385</v>
      </c>
      <c r="K683" s="91">
        <f>VLOOKUP(F683, 'RM &amp; SF'!B:H, 7, 0)</f>
        <v>1.7240000000000001E-3</v>
      </c>
      <c r="L683" s="92">
        <f t="shared" si="58"/>
        <v>2.6523076923076925E-3</v>
      </c>
      <c r="M683" s="30" t="s">
        <v>810</v>
      </c>
    </row>
    <row r="684" spans="1:13" ht="14">
      <c r="A684" s="88" t="s">
        <v>2332</v>
      </c>
      <c r="B684" s="219" t="s">
        <v>644</v>
      </c>
      <c r="C684" s="30"/>
      <c r="D684" s="30" t="str">
        <f>VLOOKUP(B684, 'RM &amp; SF'!B:C, 2, 0)</f>
        <v xml:space="preserve">حشوة ورق العنب </v>
      </c>
      <c r="E684" s="30" t="s">
        <v>2211</v>
      </c>
      <c r="F684" s="110">
        <v>4214</v>
      </c>
      <c r="G684" s="30" t="str">
        <f>VLOOKUP(F684, 'RM &amp; SF'!B:C, 2, 0)</f>
        <v>قرفة ناعمة*****</v>
      </c>
      <c r="H684" s="89">
        <v>10</v>
      </c>
      <c r="I684" s="30" t="str">
        <f>VLOOKUP(F684, 'RM &amp; SF'!B:H, 4, 0)</f>
        <v>غم</v>
      </c>
      <c r="J684" s="90">
        <f t="shared" si="62"/>
        <v>0.76923076923076927</v>
      </c>
      <c r="K684" s="91">
        <f>VLOOKUP(F684, 'RM &amp; SF'!B:H, 7, 0)</f>
        <v>2.8020000000000002E-3</v>
      </c>
      <c r="L684" s="92">
        <f t="shared" si="58"/>
        <v>2.1553846153846159E-3</v>
      </c>
      <c r="M684" s="30" t="s">
        <v>810</v>
      </c>
    </row>
    <row r="685" spans="1:13" ht="14">
      <c r="A685" s="88" t="s">
        <v>2332</v>
      </c>
      <c r="B685" s="219" t="s">
        <v>644</v>
      </c>
      <c r="C685" s="30"/>
      <c r="D685" s="30" t="str">
        <f>VLOOKUP(B685, 'RM &amp; SF'!B:C, 2, 0)</f>
        <v xml:space="preserve">حشوة ورق العنب </v>
      </c>
      <c r="E685" s="30" t="s">
        <v>3058</v>
      </c>
      <c r="F685" s="110">
        <v>4232</v>
      </c>
      <c r="G685" s="30" t="str">
        <f>VLOOKUP(F685, 'RM &amp; SF'!B:C, 2, 0)</f>
        <v>بهار سادة ناعم*****</v>
      </c>
      <c r="H685" s="89">
        <v>15</v>
      </c>
      <c r="I685" s="30" t="str">
        <f>VLOOKUP(F685, 'RM &amp; SF'!B:H, 4, 0)</f>
        <v>غم</v>
      </c>
      <c r="J685" s="90">
        <f t="shared" si="62"/>
        <v>1.1538461538461537</v>
      </c>
      <c r="K685" s="91">
        <f>VLOOKUP(F685, 'RM &amp; SF'!B:H, 7, 0)</f>
        <v>1.0345E-2</v>
      </c>
      <c r="L685" s="92">
        <f t="shared" ref="L685:L736" si="63">K685*J685</f>
        <v>1.193653846153846E-2</v>
      </c>
      <c r="M685" s="30" t="s">
        <v>810</v>
      </c>
    </row>
    <row r="686" spans="1:13" ht="14">
      <c r="A686" s="88" t="s">
        <v>2332</v>
      </c>
      <c r="B686" s="219" t="s">
        <v>644</v>
      </c>
      <c r="C686" s="30"/>
      <c r="D686" s="30" t="str">
        <f>VLOOKUP(B686, 'RM &amp; SF'!B:C, 2, 0)</f>
        <v xml:space="preserve">حشوة ورق العنب </v>
      </c>
      <c r="E686" s="30" t="s">
        <v>2218</v>
      </c>
      <c r="F686" s="110">
        <v>4233</v>
      </c>
      <c r="G686" s="30" t="str">
        <f>VLOOKUP(F686, 'RM &amp; SF'!B:C, 2, 0)</f>
        <v>هال ناعم*****</v>
      </c>
      <c r="H686" s="89">
        <v>30</v>
      </c>
      <c r="I686" s="30" t="str">
        <f>VLOOKUP(F686, 'RM &amp; SF'!B:H, 4, 0)</f>
        <v>غم</v>
      </c>
      <c r="J686" s="90">
        <f t="shared" si="62"/>
        <v>2.3076923076923075</v>
      </c>
      <c r="K686" s="91">
        <f>VLOOKUP(F686, 'RM &amp; SF'!B:H, 7, 0)</f>
        <v>2.3E-2</v>
      </c>
      <c r="L686" s="92">
        <f t="shared" si="63"/>
        <v>5.307692307692307E-2</v>
      </c>
      <c r="M686" s="30" t="s">
        <v>810</v>
      </c>
    </row>
    <row r="687" spans="1:13" ht="14">
      <c r="A687" s="88" t="s">
        <v>2332</v>
      </c>
      <c r="B687" s="219" t="s">
        <v>644</v>
      </c>
      <c r="C687" s="30"/>
      <c r="D687" s="30" t="str">
        <f>VLOOKUP(B687, 'RM &amp; SF'!B:C, 2, 0)</f>
        <v xml:space="preserve">حشوة ورق العنب </v>
      </c>
      <c r="E687" s="30" t="s">
        <v>2203</v>
      </c>
      <c r="F687" s="110">
        <v>4152</v>
      </c>
      <c r="G687" s="30" t="str">
        <f>VLOOKUP(F687, 'RM &amp; SF'!B:C, 2, 0)</f>
        <v>ملح طعام 750غم*****</v>
      </c>
      <c r="H687" s="89">
        <v>90</v>
      </c>
      <c r="I687" s="30" t="str">
        <f>VLOOKUP(F687, 'RM &amp; SF'!B:H, 4, 0)</f>
        <v>غم</v>
      </c>
      <c r="J687" s="90">
        <f t="shared" si="62"/>
        <v>6.9230769230769234</v>
      </c>
      <c r="K687" s="91">
        <f>VLOOKUP(F687, 'RM &amp; SF'!B:H, 7, 0)</f>
        <v>1.7066666666666665E-4</v>
      </c>
      <c r="L687" s="92">
        <f t="shared" si="63"/>
        <v>1.1815384615384615E-3</v>
      </c>
      <c r="M687" s="30" t="s">
        <v>810</v>
      </c>
    </row>
    <row r="688" spans="1:13" ht="14">
      <c r="A688" s="88" t="s">
        <v>2332</v>
      </c>
      <c r="B688" s="219" t="s">
        <v>644</v>
      </c>
      <c r="C688" s="30"/>
      <c r="D688" s="30" t="str">
        <f>VLOOKUP(B688, 'RM &amp; SF'!B:C, 2, 0)</f>
        <v xml:space="preserve">حشوة ورق العنب </v>
      </c>
      <c r="E688" s="30" t="s">
        <v>2261</v>
      </c>
      <c r="F688" s="110">
        <v>4163</v>
      </c>
      <c r="G688" s="30" t="str">
        <f>VLOOKUP(F688, 'RM &amp; SF'!B:C, 2, 0)</f>
        <v>سمنة بنكهة السمن البلدي 15 كغ*****</v>
      </c>
      <c r="H688" s="89">
        <v>700</v>
      </c>
      <c r="I688" s="30" t="str">
        <f>VLOOKUP(F688, 'RM &amp; SF'!B:H, 4, 0)</f>
        <v>غم</v>
      </c>
      <c r="J688" s="90">
        <f t="shared" si="62"/>
        <v>53.846153846153847</v>
      </c>
      <c r="K688" s="91">
        <f>VLOOKUP(F688, 'RM &amp; SF'!B:H, 7, 0)</f>
        <v>2.0512E-3</v>
      </c>
      <c r="L688" s="92">
        <f t="shared" si="63"/>
        <v>0.11044923076923077</v>
      </c>
      <c r="M688" s="30" t="s">
        <v>810</v>
      </c>
    </row>
    <row r="689" spans="1:16" ht="14">
      <c r="A689" s="88" t="s">
        <v>2332</v>
      </c>
      <c r="B689" s="219" t="s">
        <v>644</v>
      </c>
      <c r="C689" s="30"/>
      <c r="D689" s="30" t="str">
        <f>VLOOKUP(B689, 'RM &amp; SF'!B:C, 2, 0)</f>
        <v xml:space="preserve">حشوة ورق العنب </v>
      </c>
      <c r="E689" s="30" t="s">
        <v>2260</v>
      </c>
      <c r="F689" s="110">
        <v>4160</v>
      </c>
      <c r="G689" s="30" t="str">
        <f>VLOOKUP(F689, 'RM &amp; SF'!B:C, 2, 0)</f>
        <v>زيت صويا 18 لتر*****</v>
      </c>
      <c r="H689" s="89">
        <v>500</v>
      </c>
      <c r="I689" s="30" t="str">
        <f>VLOOKUP(F689, 'RM &amp; SF'!B:H, 4, 0)</f>
        <v>مل</v>
      </c>
      <c r="J689" s="90">
        <f t="shared" si="62"/>
        <v>38.46153846153846</v>
      </c>
      <c r="K689" s="91">
        <f>VLOOKUP(F689, 'RM &amp; SF'!B:H, 7, 0)</f>
        <v>1.335E-3</v>
      </c>
      <c r="L689" s="92">
        <f t="shared" si="63"/>
        <v>5.1346153846153847E-2</v>
      </c>
      <c r="M689" s="30" t="s">
        <v>810</v>
      </c>
    </row>
    <row r="690" spans="1:16" ht="14">
      <c r="A690" s="88" t="s">
        <v>3187</v>
      </c>
      <c r="B690" s="188">
        <v>4797</v>
      </c>
      <c r="C690" s="30"/>
      <c r="D690" s="30" t="str">
        <f>VLOOKUP(B690, 'RM &amp; SF'!B:C, 2, 0)</f>
        <v>صوص ترفل أسود 500 غم*****</v>
      </c>
      <c r="E690" s="30" t="s">
        <v>2234</v>
      </c>
      <c r="F690" s="110">
        <v>4503</v>
      </c>
      <c r="G690" s="30" t="str">
        <f>VLOOKUP(F690, 'RM &amp; SF'!B:C, 2, 0)</f>
        <v>بصل ناشف دفش*****</v>
      </c>
      <c r="H690" s="89">
        <v>20</v>
      </c>
      <c r="I690" s="30" t="str">
        <f>VLOOKUP(F690, 'RM &amp; SF'!B:H, 4, 0)</f>
        <v>غم</v>
      </c>
      <c r="J690" s="90">
        <f t="shared" ref="J690:J695" si="64">H690</f>
        <v>20</v>
      </c>
      <c r="K690" s="91">
        <f>VLOOKUP(F690, 'RM &amp; SF'!B:H, 7, 0)</f>
        <v>2.5000000000000001E-4</v>
      </c>
      <c r="L690" s="92">
        <f t="shared" si="63"/>
        <v>5.0000000000000001E-3</v>
      </c>
      <c r="M690" s="30" t="s">
        <v>810</v>
      </c>
      <c r="P690" s="88" t="s">
        <v>2156</v>
      </c>
    </row>
    <row r="691" spans="1:16" ht="14">
      <c r="A691" s="88" t="s">
        <v>3187</v>
      </c>
      <c r="B691" s="188">
        <v>4797</v>
      </c>
      <c r="C691" s="30"/>
      <c r="D691" s="30" t="str">
        <f>VLOOKUP(B691, 'RM &amp; SF'!B:C, 2, 0)</f>
        <v>صوص ترفل أسود 500 غم*****</v>
      </c>
      <c r="E691" s="30" t="s">
        <v>2206</v>
      </c>
      <c r="F691" s="110">
        <v>4204</v>
      </c>
      <c r="G691" s="30" t="str">
        <f>VLOOKUP(F691, 'RM &amp; SF'!B:C, 2, 0)</f>
        <v>فلفل اسود ناعم*****</v>
      </c>
      <c r="H691" s="89">
        <v>6</v>
      </c>
      <c r="I691" s="30" t="str">
        <f>VLOOKUP(F691, 'RM &amp; SF'!B:H, 4, 0)</f>
        <v>غم</v>
      </c>
      <c r="J691" s="90">
        <f t="shared" si="64"/>
        <v>6</v>
      </c>
      <c r="K691" s="91">
        <f>VLOOKUP(F691, 'RM &amp; SF'!B:H, 7, 0)</f>
        <v>6.8970000000000004E-3</v>
      </c>
      <c r="L691" s="92">
        <f t="shared" si="63"/>
        <v>4.1382000000000002E-2</v>
      </c>
      <c r="M691" s="30" t="s">
        <v>810</v>
      </c>
      <c r="P691" s="88" t="s">
        <v>2156</v>
      </c>
    </row>
    <row r="692" spans="1:16" ht="14">
      <c r="A692" s="88" t="s">
        <v>3187</v>
      </c>
      <c r="B692" s="188">
        <v>4797</v>
      </c>
      <c r="C692" s="30"/>
      <c r="D692" s="30" t="str">
        <f>VLOOKUP(B692, 'RM &amp; SF'!B:C, 2, 0)</f>
        <v>صوص ترفل أسود 500 غم*****</v>
      </c>
      <c r="E692" s="30" t="s">
        <v>2177</v>
      </c>
      <c r="F692" s="110">
        <v>4566</v>
      </c>
      <c r="G692" s="30" t="str">
        <f>VLOOKUP(F692, 'RM &amp; SF'!B:C, 2, 0)</f>
        <v>زبدة صفائح 5*2 كغ*****</v>
      </c>
      <c r="H692" s="89">
        <v>20</v>
      </c>
      <c r="I692" s="30" t="str">
        <f>VLOOKUP(F692, 'RM &amp; SF'!B:H, 4, 0)</f>
        <v>غم</v>
      </c>
      <c r="J692" s="90">
        <f t="shared" si="64"/>
        <v>20</v>
      </c>
      <c r="K692" s="91">
        <f>VLOOKUP(F692, 'RM &amp; SF'!B:H, 7, 0)</f>
        <v>2E-3</v>
      </c>
      <c r="L692" s="92">
        <f t="shared" si="63"/>
        <v>0.04</v>
      </c>
      <c r="M692" s="30" t="s">
        <v>810</v>
      </c>
      <c r="P692" s="88" t="s">
        <v>2156</v>
      </c>
    </row>
    <row r="693" spans="1:16" ht="14">
      <c r="A693" s="88" t="s">
        <v>3187</v>
      </c>
      <c r="B693" s="188">
        <v>4797</v>
      </c>
      <c r="C693" s="30"/>
      <c r="D693" s="30" t="str">
        <f>VLOOKUP(B693, 'RM &amp; SF'!B:C, 2, 0)</f>
        <v>صوص ترفل أسود 500 غم*****</v>
      </c>
      <c r="E693" s="30" t="s">
        <v>3058</v>
      </c>
      <c r="F693" s="110">
        <v>4019</v>
      </c>
      <c r="G693" s="30" t="str">
        <f>VLOOKUP(F693, 'RM &amp; SF'!B:C, 2, 0)</f>
        <v>صوص ديمي جلاس 1 كغ*****</v>
      </c>
      <c r="H693" s="89">
        <v>25</v>
      </c>
      <c r="I693" s="30" t="str">
        <f>VLOOKUP(F693, 'RM &amp; SF'!B:H, 4, 0)</f>
        <v>غم</v>
      </c>
      <c r="J693" s="90">
        <f t="shared" si="64"/>
        <v>25</v>
      </c>
      <c r="K693" s="91">
        <f>VLOOKUP(F693, 'RM &amp; SF'!B:H, 7, 0)</f>
        <v>4.7409999999999996E-3</v>
      </c>
      <c r="L693" s="92">
        <f t="shared" si="63"/>
        <v>0.11852499999999999</v>
      </c>
      <c r="M693" s="30" t="s">
        <v>810</v>
      </c>
      <c r="P693" s="88" t="s">
        <v>2156</v>
      </c>
    </row>
    <row r="694" spans="1:16" ht="14">
      <c r="A694" s="88" t="s">
        <v>3187</v>
      </c>
      <c r="B694" s="188">
        <v>4797</v>
      </c>
      <c r="C694" s="30"/>
      <c r="D694" s="30" t="str">
        <f>VLOOKUP(B694, 'RM &amp; SF'!B:C, 2, 0)</f>
        <v>صوص ترفل أسود 500 غم*****</v>
      </c>
      <c r="E694" s="30" t="s">
        <v>3058</v>
      </c>
      <c r="F694" s="110">
        <v>3</v>
      </c>
      <c r="G694" s="30" t="str">
        <f>VLOOKUP(F694, 'RM &amp; SF'!B:C, 2, 0)</f>
        <v>مياه حنفية</v>
      </c>
      <c r="H694" s="89">
        <v>300</v>
      </c>
      <c r="I694" s="30" t="str">
        <f>VLOOKUP(F694, 'RM &amp; SF'!B:H, 4, 0)</f>
        <v>مل</v>
      </c>
      <c r="J694" s="90">
        <f t="shared" si="64"/>
        <v>300</v>
      </c>
      <c r="K694" s="91">
        <f>VLOOKUP(F694, 'RM &amp; SF'!B:H, 7, 0)</f>
        <v>0</v>
      </c>
      <c r="L694" s="92">
        <f t="shared" si="63"/>
        <v>0</v>
      </c>
      <c r="M694" s="30" t="s">
        <v>810</v>
      </c>
      <c r="P694" s="88" t="s">
        <v>2156</v>
      </c>
    </row>
    <row r="695" spans="1:16" ht="14">
      <c r="A695" s="88" t="s">
        <v>3187</v>
      </c>
      <c r="B695" s="188">
        <v>4797</v>
      </c>
      <c r="C695" s="30"/>
      <c r="D695" s="30" t="str">
        <f>VLOOKUP(B695, 'RM &amp; SF'!B:C, 2, 0)</f>
        <v>صوص ترفل أسود 500 غم*****</v>
      </c>
      <c r="E695" s="30" t="s">
        <v>2291</v>
      </c>
      <c r="F695" s="110">
        <v>4556</v>
      </c>
      <c r="G695" s="30" t="str">
        <f>VLOOKUP(F695, 'RM &amp; SF'!B:C, 2, 0)</f>
        <v>كريما طبخ 1 لتر*****</v>
      </c>
      <c r="H695" s="89">
        <v>25</v>
      </c>
      <c r="I695" s="30" t="str">
        <f>VLOOKUP(F695, 'RM &amp; SF'!B:H, 4, 0)</f>
        <v>مل</v>
      </c>
      <c r="J695" s="90">
        <f t="shared" si="64"/>
        <v>25</v>
      </c>
      <c r="K695" s="91">
        <f>VLOOKUP(F695, 'RM &amp; SF'!B:H, 7, 0)</f>
        <v>2.2269999999999998E-3</v>
      </c>
      <c r="L695" s="92">
        <f t="shared" si="63"/>
        <v>5.5674999999999995E-2</v>
      </c>
      <c r="M695" s="30" t="s">
        <v>810</v>
      </c>
      <c r="P695" s="88" t="s">
        <v>2156</v>
      </c>
    </row>
    <row r="696" spans="1:16" ht="14">
      <c r="A696" s="88" t="s">
        <v>2438</v>
      </c>
      <c r="B696" s="219" t="s">
        <v>652</v>
      </c>
      <c r="C696" s="30"/>
      <c r="D696" s="30" t="str">
        <f>VLOOKUP(B696, 'RM &amp; SF'!B:C, 2, 0)</f>
        <v>تتبيلة دجاج اللاين</v>
      </c>
      <c r="E696" s="30" t="s">
        <v>2288</v>
      </c>
      <c r="F696" s="110">
        <v>4219</v>
      </c>
      <c r="G696" s="30" t="str">
        <f>VLOOKUP(F696, 'RM &amp; SF'!B:C, 2, 0)</f>
        <v>بابريكا حلوة*****</v>
      </c>
      <c r="H696" s="89">
        <v>1</v>
      </c>
      <c r="I696" s="30" t="str">
        <f>VLOOKUP(F696, 'RM &amp; SF'!B:H, 4, 0)</f>
        <v>غم</v>
      </c>
      <c r="J696" s="90">
        <f>H696/3.55</f>
        <v>0.28169014084507044</v>
      </c>
      <c r="K696" s="91">
        <f>VLOOKUP(F696, 'RM &amp; SF'!B:H, 7, 0)</f>
        <v>2.5859999999999998E-3</v>
      </c>
      <c r="L696" s="92">
        <f t="shared" si="63"/>
        <v>7.2845070422535203E-4</v>
      </c>
      <c r="M696" s="30" t="s">
        <v>810</v>
      </c>
    </row>
    <row r="697" spans="1:16" ht="14">
      <c r="A697" s="88" t="s">
        <v>2438</v>
      </c>
      <c r="B697" s="219" t="s">
        <v>652</v>
      </c>
      <c r="C697" s="30"/>
      <c r="D697" s="30" t="str">
        <f>VLOOKUP(B697, 'RM &amp; SF'!B:C, 2, 0)</f>
        <v>تتبيلة دجاج اللاين</v>
      </c>
      <c r="E697" s="30" t="s">
        <v>2214</v>
      </c>
      <c r="F697" s="110">
        <v>4223</v>
      </c>
      <c r="G697" s="30" t="str">
        <f>VLOOKUP(F697, 'RM &amp; SF'!B:C, 2, 0)</f>
        <v>بهارات كاري*****</v>
      </c>
      <c r="H697" s="89">
        <v>250</v>
      </c>
      <c r="I697" s="30" t="str">
        <f>VLOOKUP(F697, 'RM &amp; SF'!B:H, 4, 0)</f>
        <v>غم</v>
      </c>
      <c r="J697" s="90">
        <f t="shared" ref="J697:J704" si="65">H697/3.55</f>
        <v>70.422535211267615</v>
      </c>
      <c r="K697" s="91">
        <f>VLOOKUP(F697, 'RM &amp; SF'!B:H, 7, 0)</f>
        <v>2.2409999999999999E-3</v>
      </c>
      <c r="L697" s="92">
        <f t="shared" si="63"/>
        <v>0.15781690140845073</v>
      </c>
      <c r="M697" s="30" t="s">
        <v>810</v>
      </c>
    </row>
    <row r="698" spans="1:16" ht="14">
      <c r="A698" s="88" t="s">
        <v>2438</v>
      </c>
      <c r="B698" s="219" t="s">
        <v>652</v>
      </c>
      <c r="C698" s="30"/>
      <c r="D698" s="30" t="str">
        <f>VLOOKUP(B698, 'RM &amp; SF'!B:C, 2, 0)</f>
        <v>تتبيلة دجاج اللاين</v>
      </c>
      <c r="E698" s="30" t="s">
        <v>2206</v>
      </c>
      <c r="F698" s="110">
        <v>4204</v>
      </c>
      <c r="G698" s="30" t="str">
        <f>VLOOKUP(F698, 'RM &amp; SF'!B:C, 2, 0)</f>
        <v>فلفل اسود ناعم*****</v>
      </c>
      <c r="H698" s="89">
        <v>250</v>
      </c>
      <c r="I698" s="30" t="str">
        <f>VLOOKUP(F698, 'RM &amp; SF'!B:H, 4, 0)</f>
        <v>غم</v>
      </c>
      <c r="J698" s="90">
        <f t="shared" si="65"/>
        <v>70.422535211267615</v>
      </c>
      <c r="K698" s="91">
        <f>VLOOKUP(F698, 'RM &amp; SF'!B:H, 7, 0)</f>
        <v>6.8970000000000004E-3</v>
      </c>
      <c r="L698" s="92">
        <f t="shared" si="63"/>
        <v>0.48570422535211277</v>
      </c>
      <c r="M698" s="30" t="s">
        <v>810</v>
      </c>
    </row>
    <row r="699" spans="1:16" ht="14">
      <c r="A699" s="88" t="s">
        <v>2438</v>
      </c>
      <c r="B699" s="219" t="s">
        <v>652</v>
      </c>
      <c r="C699" s="30"/>
      <c r="D699" s="30" t="str">
        <f>VLOOKUP(B699, 'RM &amp; SF'!B:C, 2, 0)</f>
        <v>تتبيلة دجاج اللاين</v>
      </c>
      <c r="E699" s="30" t="s">
        <v>2212</v>
      </c>
      <c r="F699" s="110">
        <v>4215</v>
      </c>
      <c r="G699" s="30" t="str">
        <f>VLOOKUP(F699, 'RM &amp; SF'!B:C, 2, 0)</f>
        <v>ملح صيني*****</v>
      </c>
      <c r="H699" s="89">
        <v>400</v>
      </c>
      <c r="I699" s="30" t="str">
        <f>VLOOKUP(F699, 'RM &amp; SF'!B:H, 4, 0)</f>
        <v>غم</v>
      </c>
      <c r="J699" s="90">
        <f t="shared" si="65"/>
        <v>112.67605633802818</v>
      </c>
      <c r="K699" s="91">
        <f>VLOOKUP(F699, 'RM &amp; SF'!B:H, 7, 0)</f>
        <v>1.7240000000000001E-3</v>
      </c>
      <c r="L699" s="92">
        <f t="shared" si="63"/>
        <v>0.19425352112676059</v>
      </c>
      <c r="M699" s="30" t="s">
        <v>810</v>
      </c>
    </row>
    <row r="700" spans="1:16" ht="14">
      <c r="A700" s="88" t="s">
        <v>2438</v>
      </c>
      <c r="B700" s="219" t="s">
        <v>652</v>
      </c>
      <c r="C700" s="30"/>
      <c r="D700" s="30" t="str">
        <f>VLOOKUP(B700, 'RM &amp; SF'!B:C, 2, 0)</f>
        <v>تتبيلة دجاج اللاين</v>
      </c>
      <c r="E700" s="30" t="s">
        <v>2218</v>
      </c>
      <c r="F700" s="110">
        <v>4233</v>
      </c>
      <c r="G700" s="30" t="str">
        <f>VLOOKUP(F700, 'RM &amp; SF'!B:C, 2, 0)</f>
        <v>هال ناعم*****</v>
      </c>
      <c r="H700" s="89">
        <v>100</v>
      </c>
      <c r="I700" s="30" t="str">
        <f>VLOOKUP(F700, 'RM &amp; SF'!B:H, 4, 0)</f>
        <v>غم</v>
      </c>
      <c r="J700" s="90">
        <f t="shared" si="65"/>
        <v>28.169014084507044</v>
      </c>
      <c r="K700" s="91">
        <f>VLOOKUP(F700, 'RM &amp; SF'!B:H, 7, 0)</f>
        <v>2.3E-2</v>
      </c>
      <c r="L700" s="92">
        <f t="shared" si="63"/>
        <v>0.647887323943662</v>
      </c>
      <c r="M700" s="30" t="s">
        <v>810</v>
      </c>
    </row>
    <row r="701" spans="1:16" ht="14">
      <c r="A701" s="88" t="s">
        <v>2438</v>
      </c>
      <c r="B701" s="219" t="s">
        <v>652</v>
      </c>
      <c r="C701" s="30"/>
      <c r="D701" s="30" t="str">
        <f>VLOOKUP(B701, 'RM &amp; SF'!B:C, 2, 0)</f>
        <v>تتبيلة دجاج اللاين</v>
      </c>
      <c r="E701" s="30" t="s">
        <v>2203</v>
      </c>
      <c r="F701" s="110">
        <v>4152</v>
      </c>
      <c r="G701" s="30" t="str">
        <f>VLOOKUP(F701, 'RM &amp; SF'!B:C, 2, 0)</f>
        <v>ملح طعام 750غم*****</v>
      </c>
      <c r="H701" s="89">
        <v>1300</v>
      </c>
      <c r="I701" s="30" t="str">
        <f>VLOOKUP(F701, 'RM &amp; SF'!B:H, 4, 0)</f>
        <v>غم</v>
      </c>
      <c r="J701" s="90">
        <f t="shared" si="65"/>
        <v>366.19718309859155</v>
      </c>
      <c r="K701" s="91">
        <f>VLOOKUP(F701, 'RM &amp; SF'!B:H, 7, 0)</f>
        <v>1.7066666666666665E-4</v>
      </c>
      <c r="L701" s="92">
        <f t="shared" si="63"/>
        <v>6.249765258215962E-2</v>
      </c>
      <c r="M701" s="30" t="s">
        <v>810</v>
      </c>
    </row>
    <row r="702" spans="1:16" ht="14">
      <c r="A702" s="88" t="s">
        <v>2438</v>
      </c>
      <c r="B702" s="219" t="s">
        <v>652</v>
      </c>
      <c r="C702" s="30"/>
      <c r="D702" s="30" t="str">
        <f>VLOOKUP(B702, 'RM &amp; SF'!B:C, 2, 0)</f>
        <v>تتبيلة دجاج اللاين</v>
      </c>
      <c r="E702" s="30" t="s">
        <v>2221</v>
      </c>
      <c r="F702" s="110">
        <v>4237</v>
      </c>
      <c r="G702" s="30" t="str">
        <f>VLOOKUP(F702, 'RM &amp; SF'!B:C, 2, 0)</f>
        <v>ثوم ناعم*****</v>
      </c>
      <c r="H702" s="89">
        <v>50</v>
      </c>
      <c r="I702" s="30" t="str">
        <f>VLOOKUP(F702, 'RM &amp; SF'!B:H, 4, 0)</f>
        <v>غم</v>
      </c>
      <c r="J702" s="90">
        <f t="shared" si="65"/>
        <v>14.084507042253522</v>
      </c>
      <c r="K702" s="91">
        <f>VLOOKUP(F702, 'RM &amp; SF'!B:H, 7, 0)</f>
        <v>2.3709999999999998E-3</v>
      </c>
      <c r="L702" s="92">
        <f t="shared" si="63"/>
        <v>3.3394366197183098E-2</v>
      </c>
      <c r="M702" s="30" t="s">
        <v>810</v>
      </c>
    </row>
    <row r="703" spans="1:16" ht="14">
      <c r="A703" s="88" t="s">
        <v>2438</v>
      </c>
      <c r="B703" s="219" t="s">
        <v>652</v>
      </c>
      <c r="C703" s="30"/>
      <c r="D703" s="30" t="str">
        <f>VLOOKUP(B703, 'RM &amp; SF'!B:C, 2, 0)</f>
        <v>تتبيلة دجاج اللاين</v>
      </c>
      <c r="E703" s="30" t="s">
        <v>2220</v>
      </c>
      <c r="F703" s="110">
        <v>4236</v>
      </c>
      <c r="G703" s="30" t="str">
        <f>VLOOKUP(F703, 'RM &amp; SF'!B:C, 2, 0)</f>
        <v>بصل ناعم*****</v>
      </c>
      <c r="H703" s="89">
        <v>50</v>
      </c>
      <c r="I703" s="30" t="str">
        <f>VLOOKUP(F703, 'RM &amp; SF'!B:H, 4, 0)</f>
        <v>غم</v>
      </c>
      <c r="J703" s="90">
        <f t="shared" si="65"/>
        <v>14.084507042253522</v>
      </c>
      <c r="K703" s="91">
        <f>VLOOKUP(F703, 'RM &amp; SF'!B:H, 7, 0)</f>
        <v>2.3709999999999998E-3</v>
      </c>
      <c r="L703" s="92">
        <f t="shared" si="63"/>
        <v>3.3394366197183098E-2</v>
      </c>
      <c r="M703" s="30" t="s">
        <v>810</v>
      </c>
    </row>
    <row r="704" spans="1:16" ht="14">
      <c r="A704" s="88" t="s">
        <v>2438</v>
      </c>
      <c r="B704" s="219" t="s">
        <v>652</v>
      </c>
      <c r="C704" s="30"/>
      <c r="D704" s="30" t="str">
        <f>VLOOKUP(B704, 'RM &amp; SF'!B:C, 2, 0)</f>
        <v>تتبيلة دجاج اللاين</v>
      </c>
      <c r="E704" s="30" t="s">
        <v>2222</v>
      </c>
      <c r="F704" s="110">
        <v>4240</v>
      </c>
      <c r="G704" s="30" t="str">
        <f>VLOOKUP(F704, 'RM &amp; SF'!B:C, 2, 0)</f>
        <v>كركم ناعم*****</v>
      </c>
      <c r="H704" s="89">
        <v>250</v>
      </c>
      <c r="I704" s="30" t="str">
        <f>VLOOKUP(F704, 'RM &amp; SF'!B:H, 4, 0)</f>
        <v>غم</v>
      </c>
      <c r="J704" s="90">
        <f t="shared" si="65"/>
        <v>70.422535211267615</v>
      </c>
      <c r="K704" s="91">
        <f>VLOOKUP(F704, 'RM &amp; SF'!B:H, 7, 0)</f>
        <v>1.9399999999999999E-3</v>
      </c>
      <c r="L704" s="92">
        <f t="shared" si="63"/>
        <v>0.13661971830985917</v>
      </c>
      <c r="M704" s="30" t="s">
        <v>810</v>
      </c>
    </row>
    <row r="705" spans="1:13" ht="14">
      <c r="A705" s="88" t="s">
        <v>2439</v>
      </c>
      <c r="B705" s="219" t="s">
        <v>654</v>
      </c>
      <c r="C705" s="30"/>
      <c r="D705" s="30" t="str">
        <f>VLOOKUP(B705, 'RM &amp; SF'!B:C, 2, 0)</f>
        <v xml:space="preserve">صوص فتوش </v>
      </c>
      <c r="E705" s="30" t="s">
        <v>2255</v>
      </c>
      <c r="F705" s="110">
        <v>4573</v>
      </c>
      <c r="G705" s="30" t="str">
        <f>VLOOKUP(F705, 'RM &amp; SF'!B:C, 2, 0)</f>
        <v>عصير ليمون طازج 2.5 لتر*****</v>
      </c>
      <c r="H705" s="89">
        <v>1000</v>
      </c>
      <c r="I705" s="30" t="str">
        <f>VLOOKUP(F705, 'RM &amp; SF'!B:H, 4, 0)</f>
        <v>مل</v>
      </c>
      <c r="J705" s="90">
        <f>H705/1.2</f>
        <v>833.33333333333337</v>
      </c>
      <c r="K705" s="91">
        <f>VLOOKUP(F705, 'RM &amp; SF'!B:H, 7, 0)</f>
        <v>2.5999999999999999E-3</v>
      </c>
      <c r="L705" s="92">
        <f t="shared" si="63"/>
        <v>2.1666666666666665</v>
      </c>
      <c r="M705" s="30" t="s">
        <v>810</v>
      </c>
    </row>
    <row r="706" spans="1:13" ht="14">
      <c r="A706" s="88" t="s">
        <v>2439</v>
      </c>
      <c r="B706" s="219" t="s">
        <v>654</v>
      </c>
      <c r="C706" s="30"/>
      <c r="D706" s="30" t="str">
        <f>VLOOKUP(B706, 'RM &amp; SF'!B:C, 2, 0)</f>
        <v xml:space="preserve">صوص فتوش </v>
      </c>
      <c r="E706" s="30" t="s">
        <v>2203</v>
      </c>
      <c r="F706" s="110">
        <v>4152</v>
      </c>
      <c r="G706" s="30" t="str">
        <f>VLOOKUP(F706, 'RM &amp; SF'!B:C, 2, 0)</f>
        <v>ملح طعام 750غم*****</v>
      </c>
      <c r="H706" s="89">
        <v>60</v>
      </c>
      <c r="I706" s="30" t="str">
        <f>VLOOKUP(F706, 'RM &amp; SF'!B:H, 4, 0)</f>
        <v>غم</v>
      </c>
      <c r="J706" s="90">
        <f>H706/1.2</f>
        <v>50</v>
      </c>
      <c r="K706" s="91">
        <f>VLOOKUP(F706, 'RM &amp; SF'!B:H, 7, 0)</f>
        <v>1.7066666666666665E-4</v>
      </c>
      <c r="L706" s="92">
        <f t="shared" si="63"/>
        <v>8.533333333333332E-3</v>
      </c>
      <c r="M706" s="30" t="s">
        <v>810</v>
      </c>
    </row>
    <row r="707" spans="1:13" ht="14">
      <c r="A707" s="88" t="s">
        <v>2439</v>
      </c>
      <c r="B707" s="219" t="s">
        <v>654</v>
      </c>
      <c r="C707" s="30"/>
      <c r="D707" s="30" t="str">
        <f>VLOOKUP(B707, 'RM &amp; SF'!B:C, 2, 0)</f>
        <v xml:space="preserve">صوص فتوش </v>
      </c>
      <c r="E707" s="30" t="s">
        <v>2215</v>
      </c>
      <c r="F707" s="110">
        <v>4224</v>
      </c>
      <c r="G707" s="30" t="str">
        <f>VLOOKUP(F707, 'RM &amp; SF'!B:C, 2, 0)</f>
        <v>سماق*****</v>
      </c>
      <c r="H707" s="89">
        <v>30</v>
      </c>
      <c r="I707" s="30" t="str">
        <f>VLOOKUP(F707, 'RM &amp; SF'!B:H, 4, 0)</f>
        <v>غم</v>
      </c>
      <c r="J707" s="90">
        <f>H707/1.2</f>
        <v>25</v>
      </c>
      <c r="K707" s="91">
        <f>VLOOKUP(F707, 'RM &amp; SF'!B:H, 7, 0)</f>
        <v>4.3099999999999996E-3</v>
      </c>
      <c r="L707" s="92">
        <f t="shared" si="63"/>
        <v>0.10774999999999998</v>
      </c>
      <c r="M707" s="30" t="s">
        <v>810</v>
      </c>
    </row>
    <row r="708" spans="1:13" ht="14">
      <c r="A708" s="88" t="s">
        <v>2439</v>
      </c>
      <c r="B708" s="219" t="s">
        <v>654</v>
      </c>
      <c r="C708" s="30"/>
      <c r="D708" s="30" t="str">
        <f>VLOOKUP(B708, 'RM &amp; SF'!B:C, 2, 0)</f>
        <v xml:space="preserve">صوص فتوش </v>
      </c>
      <c r="E708" s="30" t="s">
        <v>2265</v>
      </c>
      <c r="F708" s="110">
        <v>4006</v>
      </c>
      <c r="G708" s="30" t="str">
        <f>VLOOKUP(F708, 'RM &amp; SF'!B:C, 2, 0)</f>
        <v>دبس رمان 5 كغ (مادة أولية)*****</v>
      </c>
      <c r="H708" s="89">
        <v>150</v>
      </c>
      <c r="I708" s="30" t="str">
        <f>VLOOKUP(F708, 'RM &amp; SF'!B:H, 4, 0)</f>
        <v>غم</v>
      </c>
      <c r="J708" s="90">
        <f>H708/1.2</f>
        <v>125</v>
      </c>
      <c r="K708" s="91">
        <f>VLOOKUP(F708, 'RM &amp; SF'!B:H, 7, 0)</f>
        <v>1.508E-3</v>
      </c>
      <c r="L708" s="92">
        <f t="shared" si="63"/>
        <v>0.1885</v>
      </c>
      <c r="M708" s="30" t="s">
        <v>810</v>
      </c>
    </row>
    <row r="709" spans="1:13" ht="14">
      <c r="A709" s="88" t="s">
        <v>2440</v>
      </c>
      <c r="B709" s="219" t="s">
        <v>656</v>
      </c>
      <c r="C709" s="30"/>
      <c r="D709" s="30" t="str">
        <f>VLOOKUP(B709, 'RM &amp; SF'!B:C, 2, 0)</f>
        <v>صوص فنجريت انترناشونال</v>
      </c>
      <c r="E709" s="30" t="s">
        <v>2264</v>
      </c>
      <c r="F709" s="110">
        <v>4005</v>
      </c>
      <c r="G709" s="30" t="str">
        <f>VLOOKUP(F709, 'RM &amp; SF'!B:C, 2, 0)</f>
        <v>خردل جالون 2.98 كغ*****</v>
      </c>
      <c r="H709" s="89">
        <v>616</v>
      </c>
      <c r="I709" s="30" t="str">
        <f>VLOOKUP(F709, 'RM &amp; SF'!B:H, 4, 0)</f>
        <v>غم</v>
      </c>
      <c r="J709" s="90">
        <f t="shared" ref="J709:J717" si="66">H709/0.83</f>
        <v>742.16867469879526</v>
      </c>
      <c r="K709" s="91">
        <f>VLOOKUP(F709, 'RM &amp; SF'!B:H, 7, 0)</f>
        <v>2.1689999999999999E-3</v>
      </c>
      <c r="L709" s="92">
        <f t="shared" si="63"/>
        <v>1.6097638554216869</v>
      </c>
      <c r="M709" s="30" t="s">
        <v>810</v>
      </c>
    </row>
    <row r="710" spans="1:13" ht="14">
      <c r="A710" s="88" t="s">
        <v>2440</v>
      </c>
      <c r="B710" s="219" t="s">
        <v>656</v>
      </c>
      <c r="C710" s="30"/>
      <c r="D710" s="30" t="str">
        <f>VLOOKUP(B710, 'RM &amp; SF'!B:C, 2, 0)</f>
        <v>صوص فنجريت انترناشونال</v>
      </c>
      <c r="E710" s="30" t="s">
        <v>2259</v>
      </c>
      <c r="F710" s="110">
        <v>4159</v>
      </c>
      <c r="G710" s="30" t="str">
        <f>VLOOKUP(F710, 'RM &amp; SF'!B:C, 2, 0)</f>
        <v>زيت زيتون 16 كغ*****</v>
      </c>
      <c r="H710" s="89">
        <v>90</v>
      </c>
      <c r="I710" s="30" t="str">
        <f>VLOOKUP(F710, 'RM &amp; SF'!B:H, 4, 0)</f>
        <v>غم</v>
      </c>
      <c r="J710" s="90">
        <f t="shared" si="66"/>
        <v>108.43373493975903</v>
      </c>
      <c r="K710" s="91">
        <f>VLOOKUP(F710, 'RM &amp; SF'!B:H, 7, 0)</f>
        <v>7.4999999999999997E-3</v>
      </c>
      <c r="L710" s="92">
        <f t="shared" si="63"/>
        <v>0.81325301204819278</v>
      </c>
      <c r="M710" s="30" t="s">
        <v>810</v>
      </c>
    </row>
    <row r="711" spans="1:13" ht="14">
      <c r="A711" s="88" t="s">
        <v>2440</v>
      </c>
      <c r="B711" s="219" t="s">
        <v>656</v>
      </c>
      <c r="C711" s="30"/>
      <c r="D711" s="30" t="str">
        <f>VLOOKUP(B711, 'RM &amp; SF'!B:C, 2, 0)</f>
        <v>صوص فنجريت انترناشونال</v>
      </c>
      <c r="E711" s="30" t="s">
        <v>2260</v>
      </c>
      <c r="F711" s="110">
        <v>4160</v>
      </c>
      <c r="G711" s="30" t="str">
        <f>VLOOKUP(F711, 'RM &amp; SF'!B:C, 2, 0)</f>
        <v>زيت صويا 18 لتر*****</v>
      </c>
      <c r="H711" s="89">
        <v>257</v>
      </c>
      <c r="I711" s="30" t="str">
        <f>VLOOKUP(F711, 'RM &amp; SF'!B:H, 4, 0)</f>
        <v>مل</v>
      </c>
      <c r="J711" s="90">
        <f t="shared" si="66"/>
        <v>309.63855421686748</v>
      </c>
      <c r="K711" s="91">
        <f>VLOOKUP(F711, 'RM &amp; SF'!B:H, 7, 0)</f>
        <v>1.335E-3</v>
      </c>
      <c r="L711" s="92">
        <f t="shared" si="63"/>
        <v>0.41336746987951811</v>
      </c>
      <c r="M711" s="30" t="s">
        <v>810</v>
      </c>
    </row>
    <row r="712" spans="1:13" ht="14">
      <c r="A712" s="88" t="s">
        <v>2440</v>
      </c>
      <c r="B712" s="219" t="s">
        <v>656</v>
      </c>
      <c r="C712" s="30"/>
      <c r="D712" s="30" t="str">
        <f>VLOOKUP(B712, 'RM &amp; SF'!B:C, 2, 0)</f>
        <v>صوص فنجريت انترناشونال</v>
      </c>
      <c r="E712" s="30" t="s">
        <v>3058</v>
      </c>
      <c r="F712" s="110">
        <v>4753</v>
      </c>
      <c r="G712" s="30" t="str">
        <f>VLOOKUP(F712, 'RM &amp; SF'!B:C, 2, 0)</f>
        <v>عسل 2 كغ*****</v>
      </c>
      <c r="H712" s="89">
        <v>17</v>
      </c>
      <c r="I712" s="30" t="str">
        <f>VLOOKUP(F712, 'RM &amp; SF'!B:H, 4, 0)</f>
        <v>غم</v>
      </c>
      <c r="J712" s="90">
        <f t="shared" si="66"/>
        <v>20.481927710843376</v>
      </c>
      <c r="K712" s="91">
        <f>VLOOKUP(F712, 'RM &amp; SF'!B:H, 7, 0)</f>
        <v>2.1549999999999998E-3</v>
      </c>
      <c r="L712" s="92">
        <f t="shared" si="63"/>
        <v>4.4138554216867472E-2</v>
      </c>
      <c r="M712" s="30" t="s">
        <v>810</v>
      </c>
    </row>
    <row r="713" spans="1:13" ht="14">
      <c r="A713" s="88" t="s">
        <v>2440</v>
      </c>
      <c r="B713" s="219" t="s">
        <v>656</v>
      </c>
      <c r="C713" s="30"/>
      <c r="D713" s="30" t="str">
        <f>VLOOKUP(B713, 'RM &amp; SF'!B:C, 2, 0)</f>
        <v>صوص فنجريت انترناشونال</v>
      </c>
      <c r="E713" s="30" t="s">
        <v>3058</v>
      </c>
      <c r="F713" s="110">
        <v>4002</v>
      </c>
      <c r="G713" s="30" t="str">
        <f>VLOOKUP(F713, 'RM &amp; SF'!B:C, 2, 0)</f>
        <v>خل ابيض 3.7 لتر*****</v>
      </c>
      <c r="H713" s="89">
        <v>15</v>
      </c>
      <c r="I713" s="30" t="str">
        <f>VLOOKUP(F713, 'RM &amp; SF'!B:H, 4, 0)</f>
        <v>مل</v>
      </c>
      <c r="J713" s="90">
        <f t="shared" si="66"/>
        <v>18.072289156626507</v>
      </c>
      <c r="K713" s="91">
        <f>VLOOKUP(F713, 'RM &amp; SF'!B:H, 7, 0)</f>
        <v>2.9121621621621617E-4</v>
      </c>
      <c r="L713" s="92">
        <f t="shared" si="63"/>
        <v>5.2629436665581238E-3</v>
      </c>
      <c r="M713" s="30" t="s">
        <v>810</v>
      </c>
    </row>
    <row r="714" spans="1:13" ht="14">
      <c r="A714" s="88" t="s">
        <v>2440</v>
      </c>
      <c r="B714" s="219" t="s">
        <v>656</v>
      </c>
      <c r="C714" s="30"/>
      <c r="D714" s="30" t="str">
        <f>VLOOKUP(B714, 'RM &amp; SF'!B:C, 2, 0)</f>
        <v>صوص فنجريت انترناشونال</v>
      </c>
      <c r="E714" s="30" t="s">
        <v>2287</v>
      </c>
      <c r="F714" s="110">
        <v>4216</v>
      </c>
      <c r="G714" s="30" t="str">
        <f>VLOOKUP(F714, 'RM &amp; SF'!B:C, 2, 0)</f>
        <v>زعتر اوريجانو*****</v>
      </c>
      <c r="H714" s="89">
        <v>18</v>
      </c>
      <c r="I714" s="30" t="str">
        <f>VLOOKUP(F714, 'RM &amp; SF'!B:H, 4, 0)</f>
        <v>غم</v>
      </c>
      <c r="J714" s="90">
        <f t="shared" si="66"/>
        <v>21.686746987951807</v>
      </c>
      <c r="K714" s="91">
        <f>VLOOKUP(F714, 'RM &amp; SF'!B:H, 7, 0)</f>
        <v>7.8429999999999993E-3</v>
      </c>
      <c r="L714" s="92">
        <f t="shared" si="63"/>
        <v>0.17008915662650601</v>
      </c>
      <c r="M714" s="30" t="s">
        <v>810</v>
      </c>
    </row>
    <row r="715" spans="1:13" ht="14">
      <c r="A715" s="88" t="s">
        <v>2440</v>
      </c>
      <c r="B715" s="219" t="s">
        <v>656</v>
      </c>
      <c r="C715" s="30"/>
      <c r="D715" s="30" t="str">
        <f>VLOOKUP(B715, 'RM &amp; SF'!B:C, 2, 0)</f>
        <v>صوص فنجريت انترناشونال</v>
      </c>
      <c r="E715" s="30" t="s">
        <v>2203</v>
      </c>
      <c r="F715" s="110">
        <v>4152</v>
      </c>
      <c r="G715" s="30" t="str">
        <f>VLOOKUP(F715, 'RM &amp; SF'!B:C, 2, 0)</f>
        <v>ملح طعام 750غم*****</v>
      </c>
      <c r="H715" s="89">
        <v>8</v>
      </c>
      <c r="I715" s="30" t="str">
        <f>VLOOKUP(F715, 'RM &amp; SF'!B:H, 4, 0)</f>
        <v>غم</v>
      </c>
      <c r="J715" s="90">
        <f t="shared" si="66"/>
        <v>9.6385542168674707</v>
      </c>
      <c r="K715" s="91">
        <f>VLOOKUP(F715, 'RM &amp; SF'!B:H, 7, 0)</f>
        <v>1.7066666666666665E-4</v>
      </c>
      <c r="L715" s="92">
        <f t="shared" si="63"/>
        <v>1.6449799196787149E-3</v>
      </c>
      <c r="M715" s="30" t="s">
        <v>810</v>
      </c>
    </row>
    <row r="716" spans="1:13" ht="14">
      <c r="A716" s="88" t="s">
        <v>2440</v>
      </c>
      <c r="B716" s="219" t="s">
        <v>656</v>
      </c>
      <c r="C716" s="30"/>
      <c r="D716" s="30" t="str">
        <f>VLOOKUP(B716, 'RM &amp; SF'!B:C, 2, 0)</f>
        <v>صوص فنجريت انترناشونال</v>
      </c>
      <c r="E716" s="30" t="s">
        <v>2206</v>
      </c>
      <c r="F716" s="110">
        <v>4204</v>
      </c>
      <c r="G716" s="30" t="str">
        <f>VLOOKUP(F716, 'RM &amp; SF'!B:C, 2, 0)</f>
        <v>فلفل اسود ناعم*****</v>
      </c>
      <c r="H716" s="89">
        <v>2</v>
      </c>
      <c r="I716" s="30" t="str">
        <f>VLOOKUP(F716, 'RM &amp; SF'!B:H, 4, 0)</f>
        <v>غم</v>
      </c>
      <c r="J716" s="90">
        <f t="shared" si="66"/>
        <v>2.4096385542168677</v>
      </c>
      <c r="K716" s="91">
        <f>VLOOKUP(F716, 'RM &amp; SF'!B:H, 7, 0)</f>
        <v>6.8970000000000004E-3</v>
      </c>
      <c r="L716" s="92">
        <f t="shared" si="63"/>
        <v>1.6619277108433736E-2</v>
      </c>
      <c r="M716" s="30" t="s">
        <v>810</v>
      </c>
    </row>
    <row r="717" spans="1:13" ht="15.5">
      <c r="A717" s="88" t="s">
        <v>2440</v>
      </c>
      <c r="B717" s="219" t="s">
        <v>656</v>
      </c>
      <c r="C717" s="30"/>
      <c r="D717" s="30" t="str">
        <f>VLOOKUP(B717, 'RM &amp; SF'!B:C, 2, 0)</f>
        <v>صوص فنجريت انترناشونال</v>
      </c>
      <c r="E717" s="30" t="s">
        <v>2321</v>
      </c>
      <c r="F717" s="67">
        <v>5292</v>
      </c>
      <c r="G717" s="30" t="str">
        <f>VLOOKUP(F717, 'RM &amp; SF'!B:C, 2, 0)</f>
        <v>ثوم مقشر*****</v>
      </c>
      <c r="H717" s="89">
        <v>3</v>
      </c>
      <c r="I717" s="30" t="str">
        <f>VLOOKUP(F717, 'RM &amp; SF'!B:H, 4, 0)</f>
        <v>غم</v>
      </c>
      <c r="J717" s="90">
        <f t="shared" si="66"/>
        <v>3.6144578313253013</v>
      </c>
      <c r="K717" s="91">
        <f>VLOOKUP(F717, 'RM &amp; SF'!B:H, 7, 0)</f>
        <v>4.4999999999999997E-3</v>
      </c>
      <c r="L717" s="92">
        <f t="shared" si="63"/>
        <v>1.6265060240963854E-2</v>
      </c>
      <c r="M717" s="30" t="s">
        <v>810</v>
      </c>
    </row>
    <row r="718" spans="1:13" ht="14">
      <c r="A718" s="88" t="s">
        <v>2441</v>
      </c>
      <c r="B718" s="219" t="s">
        <v>658</v>
      </c>
      <c r="C718" s="30"/>
      <c r="D718" s="30" t="str">
        <f>VLOOKUP(B718, 'RM &amp; SF'!B:C, 2, 0)</f>
        <v>ضربة فتوش</v>
      </c>
      <c r="E718" s="30" t="s">
        <v>2233</v>
      </c>
      <c r="F718" s="110">
        <v>4501</v>
      </c>
      <c r="G718" s="30" t="str">
        <f>VLOOKUP(F718, 'RM &amp; SF'!B:C, 2, 0)</f>
        <v>فلفل حلو احمر*****</v>
      </c>
      <c r="H718" s="89">
        <v>2500</v>
      </c>
      <c r="I718" s="30" t="str">
        <f>VLOOKUP(F718, 'RM &amp; SF'!B:H, 4, 0)</f>
        <v>غم</v>
      </c>
      <c r="J718" s="90">
        <f>H718/5.3</f>
        <v>471.69811320754718</v>
      </c>
      <c r="K718" s="91">
        <f>VLOOKUP(F718, 'RM &amp; SF'!B:H, 7, 0)</f>
        <v>7.5000000000000002E-4</v>
      </c>
      <c r="L718" s="92">
        <f t="shared" si="63"/>
        <v>0.35377358490566041</v>
      </c>
      <c r="M718" s="30" t="s">
        <v>810</v>
      </c>
    </row>
    <row r="719" spans="1:13" ht="14">
      <c r="A719" s="88" t="s">
        <v>2441</v>
      </c>
      <c r="B719" s="219" t="s">
        <v>658</v>
      </c>
      <c r="C719" s="30"/>
      <c r="D719" s="30" t="str">
        <f>VLOOKUP(B719, 'RM &amp; SF'!B:C, 2, 0)</f>
        <v>ضربة فتوش</v>
      </c>
      <c r="E719" s="30" t="s">
        <v>2228</v>
      </c>
      <c r="F719" s="110">
        <v>4493</v>
      </c>
      <c r="G719" s="30" t="str">
        <f>VLOOKUP(F719, 'RM &amp; SF'!B:C, 2, 0)</f>
        <v>خيار*****</v>
      </c>
      <c r="H719" s="89">
        <v>2100</v>
      </c>
      <c r="I719" s="30" t="str">
        <f>VLOOKUP(F719, 'RM &amp; SF'!B:H, 4, 0)</f>
        <v>غم</v>
      </c>
      <c r="J719" s="90">
        <f>H719/5.3</f>
        <v>396.22641509433964</v>
      </c>
      <c r="K719" s="91">
        <f>VLOOKUP(F719, 'RM &amp; SF'!B:H, 7, 0)</f>
        <v>4.0000000000000002E-4</v>
      </c>
      <c r="L719" s="92">
        <f t="shared" si="63"/>
        <v>0.15849056603773587</v>
      </c>
      <c r="M719" s="30" t="s">
        <v>810</v>
      </c>
    </row>
    <row r="720" spans="1:13" ht="14">
      <c r="A720" s="88" t="s">
        <v>2441</v>
      </c>
      <c r="B720" s="219" t="s">
        <v>658</v>
      </c>
      <c r="C720" s="30"/>
      <c r="D720" s="30" t="str">
        <f>VLOOKUP(B720, 'RM &amp; SF'!B:C, 2, 0)</f>
        <v>ضربة فتوش</v>
      </c>
      <c r="E720" s="30" t="s">
        <v>2309</v>
      </c>
      <c r="F720" s="110">
        <v>4491</v>
      </c>
      <c r="G720" s="30" t="str">
        <f>VLOOKUP(F720, 'RM &amp; SF'!B:C, 2, 0)</f>
        <v>بندورة جامدة*****</v>
      </c>
      <c r="H720" s="89">
        <v>2600</v>
      </c>
      <c r="I720" s="30" t="str">
        <f>VLOOKUP(F720, 'RM &amp; SF'!B:H, 4, 0)</f>
        <v>غم</v>
      </c>
      <c r="J720" s="90">
        <f>H720/5.3</f>
        <v>490.56603773584908</v>
      </c>
      <c r="K720" s="91">
        <f>VLOOKUP(F720, 'RM &amp; SF'!B:H, 7, 0)</f>
        <v>5.0000000000000001E-4</v>
      </c>
      <c r="L720" s="92">
        <f t="shared" si="63"/>
        <v>0.24528301886792456</v>
      </c>
      <c r="M720" s="30" t="s">
        <v>810</v>
      </c>
    </row>
    <row r="721" spans="1:13" ht="14">
      <c r="A721" s="88" t="s">
        <v>2442</v>
      </c>
      <c r="B721" s="219" t="s">
        <v>660</v>
      </c>
      <c r="C721" s="30"/>
      <c r="D721" s="30" t="str">
        <f>VLOOKUP(B721, 'RM &amp; SF'!B:C, 2, 0)</f>
        <v xml:space="preserve">ضربة عربية </v>
      </c>
      <c r="E721" s="30" t="s">
        <v>2233</v>
      </c>
      <c r="F721" s="110">
        <v>4501</v>
      </c>
      <c r="G721" s="30" t="str">
        <f>VLOOKUP(F721, 'RM &amp; SF'!B:C, 2, 0)</f>
        <v>فلفل حلو احمر*****</v>
      </c>
      <c r="H721" s="89">
        <v>1600</v>
      </c>
      <c r="I721" s="30" t="str">
        <f>VLOOKUP(F721, 'RM &amp; SF'!B:H, 4, 0)</f>
        <v>غم</v>
      </c>
      <c r="J721" s="90">
        <f>H721/6</f>
        <v>266.66666666666669</v>
      </c>
      <c r="K721" s="91">
        <f>VLOOKUP(F721, 'RM &amp; SF'!B:H, 7, 0)</f>
        <v>7.5000000000000002E-4</v>
      </c>
      <c r="L721" s="92">
        <f t="shared" si="63"/>
        <v>0.2</v>
      </c>
      <c r="M721" s="30" t="s">
        <v>810</v>
      </c>
    </row>
    <row r="722" spans="1:13" ht="14">
      <c r="A722" s="88" t="s">
        <v>2442</v>
      </c>
      <c r="B722" s="219" t="s">
        <v>660</v>
      </c>
      <c r="C722" s="30"/>
      <c r="D722" s="30" t="str">
        <f>VLOOKUP(B722, 'RM &amp; SF'!B:C, 2, 0)</f>
        <v xml:space="preserve">ضربة عربية </v>
      </c>
      <c r="E722" s="30" t="s">
        <v>2228</v>
      </c>
      <c r="F722" s="110">
        <v>4493</v>
      </c>
      <c r="G722" s="30" t="str">
        <f>VLOOKUP(F722, 'RM &amp; SF'!B:C, 2, 0)</f>
        <v>خيار*****</v>
      </c>
      <c r="H722" s="89">
        <v>2200</v>
      </c>
      <c r="I722" s="30" t="str">
        <f>VLOOKUP(F722, 'RM &amp; SF'!B:H, 4, 0)</f>
        <v>غم</v>
      </c>
      <c r="J722" s="90">
        <f>H722/6</f>
        <v>366.66666666666669</v>
      </c>
      <c r="K722" s="91">
        <f>VLOOKUP(F722, 'RM &amp; SF'!B:H, 7, 0)</f>
        <v>4.0000000000000002E-4</v>
      </c>
      <c r="L722" s="92">
        <f t="shared" si="63"/>
        <v>0.14666666666666667</v>
      </c>
      <c r="M722" s="30" t="s">
        <v>810</v>
      </c>
    </row>
    <row r="723" spans="1:13" ht="14">
      <c r="A723" s="88" t="s">
        <v>2442</v>
      </c>
      <c r="B723" s="219" t="s">
        <v>660</v>
      </c>
      <c r="C723" s="30"/>
      <c r="D723" s="30" t="str">
        <f>VLOOKUP(B723, 'RM &amp; SF'!B:C, 2, 0)</f>
        <v xml:space="preserve">ضربة عربية </v>
      </c>
      <c r="E723" s="30" t="s">
        <v>2309</v>
      </c>
      <c r="F723" s="110">
        <v>4491</v>
      </c>
      <c r="G723" s="30" t="str">
        <f>VLOOKUP(F723, 'RM &amp; SF'!B:C, 2, 0)</f>
        <v>بندورة جامدة*****</v>
      </c>
      <c r="H723" s="89">
        <v>3400</v>
      </c>
      <c r="I723" s="30" t="str">
        <f>VLOOKUP(F723, 'RM &amp; SF'!B:H, 4, 0)</f>
        <v>غم</v>
      </c>
      <c r="J723" s="90">
        <f>H723/6</f>
        <v>566.66666666666663</v>
      </c>
      <c r="K723" s="91">
        <f>VLOOKUP(F723, 'RM &amp; SF'!B:H, 7, 0)</f>
        <v>5.0000000000000001E-4</v>
      </c>
      <c r="L723" s="92">
        <f t="shared" si="63"/>
        <v>0.28333333333333333</v>
      </c>
      <c r="M723" s="30" t="s">
        <v>810</v>
      </c>
    </row>
    <row r="724" spans="1:13" ht="14">
      <c r="A724" s="88" t="s">
        <v>2443</v>
      </c>
      <c r="B724" s="219" t="s">
        <v>664</v>
      </c>
      <c r="C724" s="30"/>
      <c r="D724" s="30" t="str">
        <f>VLOOKUP(B724, 'RM &amp; SF'!B:C, 2, 0)</f>
        <v xml:space="preserve">ضربة تبولة </v>
      </c>
      <c r="E724" s="30" t="s">
        <v>2251</v>
      </c>
      <c r="F724" s="110">
        <v>4544</v>
      </c>
      <c r="G724" s="30" t="str">
        <f>VLOOKUP(F724, 'RM &amp; SF'!B:C, 2, 0)</f>
        <v>بقدونس*****</v>
      </c>
      <c r="H724" s="89">
        <v>84</v>
      </c>
      <c r="I724" s="30" t="str">
        <f>VLOOKUP(F724, 'RM &amp; SF'!B:H, 4, 0)</f>
        <v>غم</v>
      </c>
      <c r="J724" s="90">
        <f>H724/5.6</f>
        <v>15.000000000000002</v>
      </c>
      <c r="K724" s="91">
        <f>VLOOKUP(F724, 'RM &amp; SF'!B:H, 7, 0)</f>
        <v>7.5000000000000002E-4</v>
      </c>
      <c r="L724" s="92">
        <f t="shared" si="63"/>
        <v>1.1250000000000001E-2</v>
      </c>
      <c r="M724" s="30" t="s">
        <v>810</v>
      </c>
    </row>
    <row r="725" spans="1:13" ht="14">
      <c r="A725" s="88" t="s">
        <v>2443</v>
      </c>
      <c r="B725" s="219" t="s">
        <v>664</v>
      </c>
      <c r="C725" s="30"/>
      <c r="D725" s="30" t="str">
        <f>VLOOKUP(B725, 'RM &amp; SF'!B:C, 2, 0)</f>
        <v xml:space="preserve">ضربة تبولة </v>
      </c>
      <c r="E725" s="30" t="s">
        <v>2309</v>
      </c>
      <c r="F725" s="110">
        <v>4491</v>
      </c>
      <c r="G725" s="30" t="str">
        <f>VLOOKUP(F725, 'RM &amp; SF'!B:C, 2, 0)</f>
        <v>بندورة جامدة*****</v>
      </c>
      <c r="H725" s="89">
        <v>1500</v>
      </c>
      <c r="I725" s="30" t="str">
        <f>VLOOKUP(F725, 'RM &amp; SF'!B:H, 4, 0)</f>
        <v>غم</v>
      </c>
      <c r="J725" s="90">
        <f>H725/5.6</f>
        <v>267.85714285714289</v>
      </c>
      <c r="K725" s="91">
        <f>VLOOKUP(F725, 'RM &amp; SF'!B:H, 7, 0)</f>
        <v>5.0000000000000001E-4</v>
      </c>
      <c r="L725" s="92">
        <f t="shared" si="63"/>
        <v>0.13392857142857145</v>
      </c>
      <c r="M725" s="30" t="s">
        <v>810</v>
      </c>
    </row>
    <row r="726" spans="1:13" ht="14">
      <c r="A726" s="88" t="s">
        <v>2443</v>
      </c>
      <c r="B726" s="219" t="s">
        <v>664</v>
      </c>
      <c r="C726" s="30"/>
      <c r="D726" s="30" t="str">
        <f>VLOOKUP(B726, 'RM &amp; SF'!B:C, 2, 0)</f>
        <v xml:space="preserve">ضربة تبولة </v>
      </c>
      <c r="E726" s="30" t="s">
        <v>2283</v>
      </c>
      <c r="F726" s="110">
        <v>4139</v>
      </c>
      <c r="G726" s="30" t="str">
        <f>VLOOKUP(F726, 'RM &amp; SF'!B:C, 2, 0)</f>
        <v>برغل ناعم*****</v>
      </c>
      <c r="H726" s="89">
        <v>500</v>
      </c>
      <c r="I726" s="30" t="str">
        <f>VLOOKUP(F726, 'RM &amp; SF'!B:H, 4, 0)</f>
        <v>غم</v>
      </c>
      <c r="J726" s="90">
        <f>H726/5.6</f>
        <v>89.285714285714292</v>
      </c>
      <c r="K726" s="91">
        <f>VLOOKUP(F726, 'RM &amp; SF'!B:H, 7, 0)</f>
        <v>5.6863999999999992E-4</v>
      </c>
      <c r="L726" s="92">
        <f t="shared" si="63"/>
        <v>5.0771428571428565E-2</v>
      </c>
      <c r="M726" s="30" t="s">
        <v>810</v>
      </c>
    </row>
    <row r="727" spans="1:13" ht="14">
      <c r="A727" s="88" t="s">
        <v>2444</v>
      </c>
      <c r="B727" s="219" t="s">
        <v>666</v>
      </c>
      <c r="C727" s="30"/>
      <c r="D727" s="30" t="str">
        <f>VLOOKUP(B727, 'RM &amp; SF'!B:C, 2, 0)</f>
        <v>صوص التين</v>
      </c>
      <c r="E727" s="30" t="s">
        <v>2272</v>
      </c>
      <c r="F727" s="110">
        <v>4042</v>
      </c>
      <c r="G727" s="30" t="str">
        <f>VLOOKUP(F727, 'RM &amp; SF'!B:C, 2, 0)</f>
        <v>مربى التين 2 كغ*****</v>
      </c>
      <c r="H727" s="89">
        <v>2000</v>
      </c>
      <c r="I727" s="30" t="str">
        <f>VLOOKUP(F727, 'RM &amp; SF'!B:H, 4, 0)</f>
        <v>غم</v>
      </c>
      <c r="J727" s="90">
        <f>H727/2.5</f>
        <v>800</v>
      </c>
      <c r="K727" s="91">
        <f>VLOOKUP(F727, 'RM &amp; SF'!B:H, 7, 0)</f>
        <v>1.7749999999999999E-3</v>
      </c>
      <c r="L727" s="92">
        <f t="shared" si="63"/>
        <v>1.42</v>
      </c>
      <c r="M727" s="30" t="s">
        <v>810</v>
      </c>
    </row>
    <row r="728" spans="1:13" ht="14">
      <c r="A728" s="88" t="s">
        <v>2444</v>
      </c>
      <c r="B728" s="219" t="s">
        <v>666</v>
      </c>
      <c r="C728" s="30"/>
      <c r="D728" s="30" t="str">
        <f>VLOOKUP(B728, 'RM &amp; SF'!B:C, 2, 0)</f>
        <v>صوص التين</v>
      </c>
      <c r="E728" s="30" t="s">
        <v>2274</v>
      </c>
      <c r="F728" s="110">
        <v>4063</v>
      </c>
      <c r="G728" s="30" t="str">
        <f>VLOOKUP(F728, 'RM &amp; SF'!B:C, 2, 0)</f>
        <v>خل بلسمك 500 مل*****</v>
      </c>
      <c r="H728" s="89">
        <v>500</v>
      </c>
      <c r="I728" s="30" t="str">
        <f>VLOOKUP(F728, 'RM &amp; SF'!B:H, 4, 0)</f>
        <v>مل</v>
      </c>
      <c r="J728" s="90">
        <f>H728/2.5</f>
        <v>200</v>
      </c>
      <c r="K728" s="91">
        <f>VLOOKUP(F728, 'RM &amp; SF'!B:H, 7, 0)</f>
        <v>5.6035E-3</v>
      </c>
      <c r="L728" s="92">
        <f t="shared" si="63"/>
        <v>1.1207</v>
      </c>
      <c r="M728" s="30" t="s">
        <v>810</v>
      </c>
    </row>
    <row r="729" spans="1:13" ht="14">
      <c r="A729" s="88" t="s">
        <v>2445</v>
      </c>
      <c r="B729" s="219" t="s">
        <v>668</v>
      </c>
      <c r="C729" s="30"/>
      <c r="D729" s="30" t="str">
        <f>VLOOKUP(B729, 'RM &amp; SF'!B:C, 2, 0)</f>
        <v>دجاج مسحب بالفرن انترناشونال</v>
      </c>
      <c r="E729" s="30" t="s">
        <v>2264</v>
      </c>
      <c r="F729" s="110">
        <v>4005</v>
      </c>
      <c r="G729" s="30" t="str">
        <f>VLOOKUP(F729, 'RM &amp; SF'!B:C, 2, 0)</f>
        <v>خردل جالون 2.98 كغ*****</v>
      </c>
      <c r="H729" s="89">
        <v>365</v>
      </c>
      <c r="I729" s="30" t="str">
        <f>VLOOKUP(F729, 'RM &amp; SF'!B:H, 4, 0)</f>
        <v>غم</v>
      </c>
      <c r="J729" s="90">
        <f t="shared" ref="J729:J734" si="67">H729/3</f>
        <v>121.66666666666667</v>
      </c>
      <c r="K729" s="91">
        <f>VLOOKUP(F729, 'RM &amp; SF'!B:H, 7, 0)</f>
        <v>2.1689999999999999E-3</v>
      </c>
      <c r="L729" s="92">
        <f t="shared" si="63"/>
        <v>0.26389499999999999</v>
      </c>
      <c r="M729" s="30" t="s">
        <v>810</v>
      </c>
    </row>
    <row r="730" spans="1:13" ht="14">
      <c r="A730" s="88" t="s">
        <v>2445</v>
      </c>
      <c r="B730" s="219" t="s">
        <v>668</v>
      </c>
      <c r="C730" s="30"/>
      <c r="D730" s="30" t="str">
        <f>VLOOKUP(B730, 'RM &amp; SF'!B:C, 2, 0)</f>
        <v>دجاج مسحب بالفرن انترناشونال</v>
      </c>
      <c r="E730" s="30" t="s">
        <v>2260</v>
      </c>
      <c r="F730" s="110">
        <v>4160</v>
      </c>
      <c r="G730" s="30" t="str">
        <f>VLOOKUP(F730, 'RM &amp; SF'!B:C, 2, 0)</f>
        <v>زيت صويا 18 لتر*****</v>
      </c>
      <c r="H730" s="89">
        <v>280</v>
      </c>
      <c r="I730" s="30" t="str">
        <f>VLOOKUP(F730, 'RM &amp; SF'!B:H, 4, 0)</f>
        <v>مل</v>
      </c>
      <c r="J730" s="90">
        <f t="shared" si="67"/>
        <v>93.333333333333329</v>
      </c>
      <c r="K730" s="91">
        <f>VLOOKUP(F730, 'RM &amp; SF'!B:H, 7, 0)</f>
        <v>1.335E-3</v>
      </c>
      <c r="L730" s="92">
        <f t="shared" si="63"/>
        <v>0.1246</v>
      </c>
      <c r="M730" s="30" t="s">
        <v>810</v>
      </c>
    </row>
    <row r="731" spans="1:13" ht="14">
      <c r="A731" s="88" t="s">
        <v>2445</v>
      </c>
      <c r="B731" s="219" t="s">
        <v>668</v>
      </c>
      <c r="C731" s="30"/>
      <c r="D731" s="30" t="str">
        <f>VLOOKUP(B731, 'RM &amp; SF'!B:C, 2, 0)</f>
        <v>دجاج مسحب بالفرن انترناشونال</v>
      </c>
      <c r="E731" s="30" t="s">
        <v>2287</v>
      </c>
      <c r="F731" s="110">
        <v>4216</v>
      </c>
      <c r="G731" s="30" t="str">
        <f>VLOOKUP(F731, 'RM &amp; SF'!B:C, 2, 0)</f>
        <v>زعتر اوريجانو*****</v>
      </c>
      <c r="H731" s="89">
        <v>1</v>
      </c>
      <c r="I731" s="30" t="str">
        <f>VLOOKUP(F731, 'RM &amp; SF'!B:H, 4, 0)</f>
        <v>غم</v>
      </c>
      <c r="J731" s="90">
        <f t="shared" si="67"/>
        <v>0.33333333333333331</v>
      </c>
      <c r="K731" s="91">
        <f>VLOOKUP(F731, 'RM &amp; SF'!B:H, 7, 0)</f>
        <v>7.8429999999999993E-3</v>
      </c>
      <c r="L731" s="92">
        <f t="shared" si="63"/>
        <v>2.6143333333333331E-3</v>
      </c>
      <c r="M731" s="30" t="s">
        <v>810</v>
      </c>
    </row>
    <row r="732" spans="1:13" ht="14">
      <c r="A732" s="88" t="s">
        <v>2445</v>
      </c>
      <c r="B732" s="219" t="s">
        <v>668</v>
      </c>
      <c r="C732" s="30"/>
      <c r="D732" s="30" t="str">
        <f>VLOOKUP(B732, 'RM &amp; SF'!B:C, 2, 0)</f>
        <v>دجاج مسحب بالفرن انترناشونال</v>
      </c>
      <c r="E732" s="30" t="s">
        <v>2206</v>
      </c>
      <c r="F732" s="110">
        <v>4204</v>
      </c>
      <c r="G732" s="30" t="str">
        <f>VLOOKUP(F732, 'RM &amp; SF'!B:C, 2, 0)</f>
        <v>فلفل اسود ناعم*****</v>
      </c>
      <c r="H732" s="89">
        <v>1.5</v>
      </c>
      <c r="I732" s="30" t="str">
        <f>VLOOKUP(F732, 'RM &amp; SF'!B:H, 4, 0)</f>
        <v>غم</v>
      </c>
      <c r="J732" s="90">
        <f t="shared" si="67"/>
        <v>0.5</v>
      </c>
      <c r="K732" s="91">
        <f>VLOOKUP(F732, 'RM &amp; SF'!B:H, 7, 0)</f>
        <v>6.8970000000000004E-3</v>
      </c>
      <c r="L732" s="92">
        <f t="shared" si="63"/>
        <v>3.4485000000000002E-3</v>
      </c>
      <c r="M732" s="30" t="s">
        <v>810</v>
      </c>
    </row>
    <row r="733" spans="1:13" ht="14">
      <c r="A733" s="88" t="s">
        <v>2445</v>
      </c>
      <c r="B733" s="219" t="s">
        <v>668</v>
      </c>
      <c r="C733" s="30"/>
      <c r="D733" s="30" t="str">
        <f>VLOOKUP(B733, 'RM &amp; SF'!B:C, 2, 0)</f>
        <v>دجاج مسحب بالفرن انترناشونال</v>
      </c>
      <c r="E733" s="30" t="s">
        <v>2203</v>
      </c>
      <c r="F733" s="110">
        <v>4152</v>
      </c>
      <c r="G733" s="30" t="str">
        <f>VLOOKUP(F733, 'RM &amp; SF'!B:C, 2, 0)</f>
        <v>ملح طعام 750غم*****</v>
      </c>
      <c r="H733" s="89">
        <v>4</v>
      </c>
      <c r="I733" s="30" t="str">
        <f>VLOOKUP(F733, 'RM &amp; SF'!B:H, 4, 0)</f>
        <v>غم</v>
      </c>
      <c r="J733" s="90">
        <f t="shared" si="67"/>
        <v>1.3333333333333333</v>
      </c>
      <c r="K733" s="91">
        <f>VLOOKUP(F733, 'RM &amp; SF'!B:H, 7, 0)</f>
        <v>1.7066666666666665E-4</v>
      </c>
      <c r="L733" s="92">
        <f t="shared" si="63"/>
        <v>2.2755555555555552E-4</v>
      </c>
      <c r="M733" s="30" t="s">
        <v>810</v>
      </c>
    </row>
    <row r="734" spans="1:13" ht="14">
      <c r="A734" s="88" t="s">
        <v>2445</v>
      </c>
      <c r="B734" s="219" t="s">
        <v>668</v>
      </c>
      <c r="C734" s="30"/>
      <c r="D734" s="30" t="str">
        <f>VLOOKUP(B734, 'RM &amp; SF'!B:C, 2, 0)</f>
        <v>دجاج مسحب بالفرن انترناشونال</v>
      </c>
      <c r="E734" s="30" t="s">
        <v>3058</v>
      </c>
      <c r="F734" s="110">
        <v>5386</v>
      </c>
      <c r="G734" s="30" t="str">
        <f>VLOOKUP(F734, 'RM &amp; SF'!B:C, 2, 0)</f>
        <v>مسحب الطاحونة - طلبات مارت</v>
      </c>
      <c r="H734" s="89">
        <v>3000</v>
      </c>
      <c r="I734" s="30" t="str">
        <f>VLOOKUP(F734, 'RM &amp; SF'!B:H, 4, 0)</f>
        <v>غم</v>
      </c>
      <c r="J734" s="90">
        <f t="shared" si="67"/>
        <v>1000</v>
      </c>
      <c r="K734" s="91">
        <f>VLOOKUP(F734, 'RM &amp; SF'!B:H, 7, 0)</f>
        <v>4.2000000000000006E-3</v>
      </c>
      <c r="L734" s="92">
        <f t="shared" si="63"/>
        <v>4.2</v>
      </c>
      <c r="M734" s="30" t="s">
        <v>810</v>
      </c>
    </row>
    <row r="735" spans="1:13" ht="14">
      <c r="A735" s="88" t="s">
        <v>2446</v>
      </c>
      <c r="B735" s="219" t="s">
        <v>670</v>
      </c>
      <c r="C735" s="30"/>
      <c r="D735" s="30" t="str">
        <f>VLOOKUP(B735, 'RM &amp; SF'!B:C, 2, 0)</f>
        <v xml:space="preserve">صوص مطفى </v>
      </c>
      <c r="E735" s="30" t="s">
        <v>2177</v>
      </c>
      <c r="F735" s="110">
        <v>4566</v>
      </c>
      <c r="G735" s="30" t="str">
        <f>VLOOKUP(F735, 'RM &amp; SF'!B:C, 2, 0)</f>
        <v>زبدة صفائح 5*2 كغ*****</v>
      </c>
      <c r="H735" s="89">
        <v>20</v>
      </c>
      <c r="I735" s="30" t="str">
        <f>VLOOKUP(F735, 'RM &amp; SF'!B:H, 4, 0)</f>
        <v>غم</v>
      </c>
      <c r="J735" s="90">
        <f t="shared" ref="J735:J740" si="68">H735/0.5</f>
        <v>40</v>
      </c>
      <c r="K735" s="91">
        <f>VLOOKUP(F735, 'RM &amp; SF'!B:H, 7, 0)</f>
        <v>2E-3</v>
      </c>
      <c r="L735" s="92">
        <f t="shared" si="63"/>
        <v>0.08</v>
      </c>
      <c r="M735" s="30" t="s">
        <v>810</v>
      </c>
    </row>
    <row r="736" spans="1:13" ht="14">
      <c r="A736" s="88" t="s">
        <v>2446</v>
      </c>
      <c r="B736" s="219" t="s">
        <v>670</v>
      </c>
      <c r="C736" s="30"/>
      <c r="D736" s="30" t="str">
        <f>VLOOKUP(B736, 'RM &amp; SF'!B:C, 2, 0)</f>
        <v xml:space="preserve">صوص مطفى </v>
      </c>
      <c r="E736" s="30" t="s">
        <v>3058</v>
      </c>
      <c r="F736" s="110">
        <v>4146</v>
      </c>
      <c r="G736" s="30" t="str">
        <f>VLOOKUP(F736, 'RM &amp; SF'!B:C, 2, 0)</f>
        <v>طحين ابيض زهرة متعدد الاستخدامات*****</v>
      </c>
      <c r="H736" s="89">
        <v>30</v>
      </c>
      <c r="I736" s="30" t="str">
        <f>VLOOKUP(F736, 'RM &amp; SF'!B:H, 4, 0)</f>
        <v>غم</v>
      </c>
      <c r="J736" s="90">
        <f t="shared" si="68"/>
        <v>60</v>
      </c>
      <c r="K736" s="91">
        <f>VLOOKUP(F736, 'RM &amp; SF'!B:H, 7, 0)</f>
        <v>3.2000000000000003E-4</v>
      </c>
      <c r="L736" s="92">
        <f t="shared" si="63"/>
        <v>1.9200000000000002E-2</v>
      </c>
      <c r="M736" s="30" t="s">
        <v>810</v>
      </c>
    </row>
    <row r="737" spans="1:16" ht="14">
      <c r="A737" s="88" t="s">
        <v>2446</v>
      </c>
      <c r="B737" s="219" t="s">
        <v>670</v>
      </c>
      <c r="C737" s="30"/>
      <c r="D737" s="30" t="str">
        <f>VLOOKUP(B737, 'RM &amp; SF'!B:C, 2, 0)</f>
        <v xml:space="preserve">صوص مطفى </v>
      </c>
      <c r="E737" s="30" t="s">
        <v>2255</v>
      </c>
      <c r="F737" s="110">
        <v>4573</v>
      </c>
      <c r="G737" s="30" t="str">
        <f>VLOOKUP(F737, 'RM &amp; SF'!B:C, 2, 0)</f>
        <v>عصير ليمون طازج 2.5 لتر*****</v>
      </c>
      <c r="H737" s="89">
        <v>280</v>
      </c>
      <c r="I737" s="30" t="str">
        <f>VLOOKUP(F737, 'RM &amp; SF'!B:H, 4, 0)</f>
        <v>مل</v>
      </c>
      <c r="J737" s="90">
        <f t="shared" si="68"/>
        <v>560</v>
      </c>
      <c r="K737" s="91">
        <f>VLOOKUP(F737, 'RM &amp; SF'!B:H, 7, 0)</f>
        <v>2.5999999999999999E-3</v>
      </c>
      <c r="L737" s="92">
        <f t="shared" ref="L737:L775" si="69">K737*J737</f>
        <v>1.456</v>
      </c>
      <c r="M737" s="30" t="s">
        <v>810</v>
      </c>
    </row>
    <row r="738" spans="1:16" ht="14">
      <c r="A738" s="88" t="s">
        <v>2446</v>
      </c>
      <c r="B738" s="219" t="s">
        <v>670</v>
      </c>
      <c r="C738" s="30"/>
      <c r="D738" s="30" t="str">
        <f>VLOOKUP(B738, 'RM &amp; SF'!B:C, 2, 0)</f>
        <v xml:space="preserve">صوص مطفى </v>
      </c>
      <c r="E738" s="30" t="s">
        <v>3058</v>
      </c>
      <c r="F738" s="110">
        <v>3</v>
      </c>
      <c r="G738" s="30" t="str">
        <f>VLOOKUP(F738, 'RM &amp; SF'!B:C, 2, 0)</f>
        <v>مياه حنفية</v>
      </c>
      <c r="H738" s="89">
        <v>50</v>
      </c>
      <c r="I738" s="30" t="str">
        <f>VLOOKUP(F738, 'RM &amp; SF'!B:H, 4, 0)</f>
        <v>مل</v>
      </c>
      <c r="J738" s="90">
        <f t="shared" si="68"/>
        <v>100</v>
      </c>
      <c r="K738" s="91">
        <f>VLOOKUP(F738, 'RM &amp; SF'!B:H, 7, 0)</f>
        <v>0</v>
      </c>
      <c r="L738" s="92">
        <f t="shared" si="69"/>
        <v>0</v>
      </c>
      <c r="M738" s="30" t="s">
        <v>810</v>
      </c>
    </row>
    <row r="739" spans="1:16" ht="14">
      <c r="A739" s="88" t="s">
        <v>2446</v>
      </c>
      <c r="B739" s="219" t="s">
        <v>670</v>
      </c>
      <c r="C739" s="30"/>
      <c r="D739" s="30" t="str">
        <f>VLOOKUP(B739, 'RM &amp; SF'!B:C, 2, 0)</f>
        <v xml:space="preserve">صوص مطفى </v>
      </c>
      <c r="E739" s="30" t="s">
        <v>2251</v>
      </c>
      <c r="F739" s="110">
        <v>4544</v>
      </c>
      <c r="G739" s="30" t="str">
        <f>VLOOKUP(F739, 'RM &amp; SF'!B:C, 2, 0)</f>
        <v>بقدونس*****</v>
      </c>
      <c r="H739" s="89">
        <v>0.05</v>
      </c>
      <c r="I739" s="30" t="str">
        <f>VLOOKUP(F739, 'RM &amp; SF'!B:H, 4, 0)</f>
        <v>غم</v>
      </c>
      <c r="J739" s="90">
        <f t="shared" si="68"/>
        <v>0.1</v>
      </c>
      <c r="K739" s="91">
        <f>VLOOKUP(F739, 'RM &amp; SF'!B:H, 7, 0)</f>
        <v>7.5000000000000002E-4</v>
      </c>
      <c r="L739" s="92">
        <f t="shared" si="69"/>
        <v>7.5000000000000007E-5</v>
      </c>
      <c r="M739" s="30" t="s">
        <v>810</v>
      </c>
    </row>
    <row r="740" spans="1:16" ht="14">
      <c r="A740" s="88" t="s">
        <v>2446</v>
      </c>
      <c r="B740" s="219" t="s">
        <v>670</v>
      </c>
      <c r="C740" s="30"/>
      <c r="D740" s="30" t="str">
        <f>VLOOKUP(B740, 'RM &amp; SF'!B:C, 2, 0)</f>
        <v xml:space="preserve">صوص مطفى </v>
      </c>
      <c r="E740" s="30" t="s">
        <v>2222</v>
      </c>
      <c r="F740" s="110">
        <v>4240</v>
      </c>
      <c r="G740" s="30" t="str">
        <f>VLOOKUP(F740, 'RM &amp; SF'!B:C, 2, 0)</f>
        <v>كركم ناعم*****</v>
      </c>
      <c r="H740" s="89">
        <v>2</v>
      </c>
      <c r="I740" s="30" t="str">
        <f>VLOOKUP(F740, 'RM &amp; SF'!B:H, 4, 0)</f>
        <v>غم</v>
      </c>
      <c r="J740" s="90">
        <f t="shared" si="68"/>
        <v>4</v>
      </c>
      <c r="K740" s="91">
        <f>VLOOKUP(F740, 'RM &amp; SF'!B:H, 7, 0)</f>
        <v>1.9399999999999999E-3</v>
      </c>
      <c r="L740" s="92">
        <f t="shared" si="69"/>
        <v>7.7599999999999995E-3</v>
      </c>
      <c r="M740" s="30" t="s">
        <v>810</v>
      </c>
    </row>
    <row r="741" spans="1:16" ht="15.5">
      <c r="A741" s="88" t="s">
        <v>2447</v>
      </c>
      <c r="B741" s="219" t="s">
        <v>672</v>
      </c>
      <c r="C741" s="30"/>
      <c r="D741" s="30" t="str">
        <f>VLOOKUP(B741, 'RM &amp; SF'!B:C, 2, 0)</f>
        <v>خلطة متبل شمندر</v>
      </c>
      <c r="E741" s="30" t="s">
        <v>2276</v>
      </c>
      <c r="F741" s="110">
        <v>4077</v>
      </c>
      <c r="G741" s="30" t="str">
        <f>VLOOKUP(F741, 'RM &amp; SF'!B:C, 2, 0)</f>
        <v>شمندر شرائح 425 غم*****</v>
      </c>
      <c r="H741" s="104">
        <v>850</v>
      </c>
      <c r="I741" s="30" t="str">
        <f>VLOOKUP(F741, 'RM &amp; SF'!B:H, 4, 0)</f>
        <v>غم</v>
      </c>
      <c r="J741" s="105">
        <f>H741/5.5</f>
        <v>154.54545454545453</v>
      </c>
      <c r="K741" s="91">
        <f>VLOOKUP(F741, 'RM &amp; SF'!B:H, 7, 0)</f>
        <v>3.5505882352941174E-3</v>
      </c>
      <c r="L741" s="92">
        <f t="shared" si="69"/>
        <v>0.54872727272727262</v>
      </c>
      <c r="M741" s="30" t="s">
        <v>810</v>
      </c>
    </row>
    <row r="742" spans="1:16" ht="15.5">
      <c r="A742" s="88" t="s">
        <v>2447</v>
      </c>
      <c r="B742" s="219" t="s">
        <v>672</v>
      </c>
      <c r="C742" s="30"/>
      <c r="D742" s="30" t="str">
        <f>VLOOKUP(B742, 'RM &amp; SF'!B:C, 2, 0)</f>
        <v>خلطة متبل شمندر</v>
      </c>
      <c r="E742" s="30" t="s">
        <v>2181</v>
      </c>
      <c r="F742" s="110">
        <v>4935</v>
      </c>
      <c r="G742" s="30" t="str">
        <f>VLOOKUP(F742, 'RM &amp; SF'!B:C, 2, 0)</f>
        <v>لبنة طرية 1 كغ*****</v>
      </c>
      <c r="H742" s="104">
        <v>1000</v>
      </c>
      <c r="I742" s="30" t="str">
        <f>VLOOKUP(F742, 'RM &amp; SF'!B:H, 4, 0)</f>
        <v>غم</v>
      </c>
      <c r="J742" s="105">
        <f>H742/5.5</f>
        <v>181.81818181818181</v>
      </c>
      <c r="K742" s="91">
        <f>VLOOKUP(F742, 'RM &amp; SF'!B:H, 7, 0)</f>
        <v>2.7499999999999998E-3</v>
      </c>
      <c r="L742" s="92">
        <f t="shared" si="69"/>
        <v>0.49999999999999994</v>
      </c>
      <c r="M742" s="30" t="s">
        <v>810</v>
      </c>
    </row>
    <row r="743" spans="1:16" ht="15.5">
      <c r="A743" s="88" t="s">
        <v>2447</v>
      </c>
      <c r="B743" s="219" t="s">
        <v>672</v>
      </c>
      <c r="C743" s="30"/>
      <c r="D743" s="30" t="str">
        <f>VLOOKUP(B743, 'RM &amp; SF'!B:C, 2, 0)</f>
        <v>خلطة متبل شمندر</v>
      </c>
      <c r="E743" s="30" t="s">
        <v>2203</v>
      </c>
      <c r="F743" s="110">
        <v>4152</v>
      </c>
      <c r="G743" s="30" t="str">
        <f>VLOOKUP(F743, 'RM &amp; SF'!B:C, 2, 0)</f>
        <v>ملح طعام 750غم*****</v>
      </c>
      <c r="H743" s="104">
        <v>60</v>
      </c>
      <c r="I743" s="30" t="str">
        <f>VLOOKUP(F743, 'RM &amp; SF'!B:H, 4, 0)</f>
        <v>غم</v>
      </c>
      <c r="J743" s="105">
        <f>H743/5.5</f>
        <v>10.909090909090908</v>
      </c>
      <c r="K743" s="91">
        <f>VLOOKUP(F743, 'RM &amp; SF'!B:H, 7, 0)</f>
        <v>1.7066666666666665E-4</v>
      </c>
      <c r="L743" s="92">
        <f t="shared" si="69"/>
        <v>1.8618181818181815E-3</v>
      </c>
      <c r="M743" s="30" t="s">
        <v>810</v>
      </c>
    </row>
    <row r="744" spans="1:16" ht="15.5">
      <c r="A744" s="88" t="s">
        <v>2447</v>
      </c>
      <c r="B744" s="219" t="s">
        <v>672</v>
      </c>
      <c r="C744" s="30"/>
      <c r="D744" s="30" t="str">
        <f>VLOOKUP(B744, 'RM &amp; SF'!B:C, 2, 0)</f>
        <v>خلطة متبل شمندر</v>
      </c>
      <c r="E744" s="30" t="s">
        <v>2216</v>
      </c>
      <c r="F744" s="110">
        <v>4230</v>
      </c>
      <c r="G744" s="30" t="str">
        <f>VLOOKUP(F744, 'RM &amp; SF'!B:C, 2, 0)</f>
        <v>ملح ليمون*****</v>
      </c>
      <c r="H744" s="104">
        <v>35</v>
      </c>
      <c r="I744" s="30" t="str">
        <f>VLOOKUP(F744, 'RM &amp; SF'!B:H, 4, 0)</f>
        <v>غم</v>
      </c>
      <c r="J744" s="105">
        <f>H744/5.5</f>
        <v>6.3636363636363633</v>
      </c>
      <c r="K744" s="91">
        <f>VLOOKUP(F744, 'RM &amp; SF'!B:H, 7, 0)</f>
        <v>1.078E-3</v>
      </c>
      <c r="L744" s="92">
        <f t="shared" si="69"/>
        <v>6.8599999999999998E-3</v>
      </c>
      <c r="M744" s="30" t="s">
        <v>810</v>
      </c>
    </row>
    <row r="745" spans="1:16" ht="15.5">
      <c r="A745" s="88" t="s">
        <v>2447</v>
      </c>
      <c r="B745" s="219" t="s">
        <v>672</v>
      </c>
      <c r="C745" s="30"/>
      <c r="D745" s="30" t="str">
        <f>VLOOKUP(B745, 'RM &amp; SF'!B:C, 2, 0)</f>
        <v>خلطة متبل شمندر</v>
      </c>
      <c r="E745" s="30" t="s">
        <v>3058</v>
      </c>
      <c r="F745" s="110">
        <v>4166</v>
      </c>
      <c r="G745" s="30" t="str">
        <f>VLOOKUP(F745, 'RM &amp; SF'!B:C, 2, 0)</f>
        <v>طحينية 18 كغ*****</v>
      </c>
      <c r="H745" s="104">
        <v>1110</v>
      </c>
      <c r="I745" s="30" t="str">
        <f>VLOOKUP(F745, 'RM &amp; SF'!B:H, 4, 0)</f>
        <v>غم</v>
      </c>
      <c r="J745" s="105">
        <f>H745/5.5</f>
        <v>201.81818181818181</v>
      </c>
      <c r="K745" s="91">
        <f>VLOOKUP(F745, 'RM &amp; SF'!B:H, 7, 0)</f>
        <v>2.0105820105820104E-3</v>
      </c>
      <c r="L745" s="92">
        <f t="shared" si="69"/>
        <v>0.40577200577200573</v>
      </c>
      <c r="M745" s="30" t="s">
        <v>810</v>
      </c>
    </row>
    <row r="746" spans="1:16" ht="14">
      <c r="A746" s="88" t="s">
        <v>3188</v>
      </c>
      <c r="B746" s="188" t="s">
        <v>678</v>
      </c>
      <c r="C746" s="30"/>
      <c r="D746" s="30" t="str">
        <f>VLOOKUP(B746, 'RM &amp; SF'!B:C, 2, 0)</f>
        <v>عجين كبة ملحمة</v>
      </c>
      <c r="E746" s="30" t="s">
        <v>3058</v>
      </c>
      <c r="F746" s="110">
        <v>5373</v>
      </c>
      <c r="G746" s="30" t="str">
        <f>VLOOKUP(F746, 'RM &amp; SF'!B:C, 2, 0)</f>
        <v>قطعيات عجل مشكلة</v>
      </c>
      <c r="H746" s="89">
        <v>500</v>
      </c>
      <c r="I746" s="30" t="str">
        <f>VLOOKUP(F746, 'RM &amp; SF'!B:H, 4, 0)</f>
        <v>غم</v>
      </c>
      <c r="J746" s="106">
        <f t="shared" ref="J746:J752" si="70">H746/1.5</f>
        <v>333.33333333333331</v>
      </c>
      <c r="K746" s="91">
        <f>VLOOKUP(F746, 'RM &amp; SF'!B:H, 7, 0)</f>
        <v>9.0100000000000006E-3</v>
      </c>
      <c r="L746" s="92">
        <f t="shared" si="69"/>
        <v>3.0033333333333334</v>
      </c>
      <c r="M746" s="30" t="s">
        <v>810</v>
      </c>
      <c r="P746" s="88" t="s">
        <v>2156</v>
      </c>
    </row>
    <row r="747" spans="1:16" ht="14">
      <c r="A747" s="88" t="s">
        <v>3188</v>
      </c>
      <c r="B747" s="188" t="s">
        <v>678</v>
      </c>
      <c r="C747" s="30"/>
      <c r="D747" s="30" t="str">
        <f>VLOOKUP(B747, 'RM &amp; SF'!B:C, 2, 0)</f>
        <v>عجين كبة ملحمة</v>
      </c>
      <c r="E747" s="30" t="s">
        <v>2239</v>
      </c>
      <c r="F747" s="110">
        <v>4513</v>
      </c>
      <c r="G747" s="30" t="str">
        <f>VLOOKUP(F747, 'RM &amp; SF'!B:C, 2, 0)</f>
        <v>ليمون اصفر*****</v>
      </c>
      <c r="H747" s="30">
        <v>30</v>
      </c>
      <c r="I747" s="30" t="str">
        <f>VLOOKUP(F747, 'RM &amp; SF'!B:H, 4, 0)</f>
        <v>غم</v>
      </c>
      <c r="J747" s="106">
        <f t="shared" si="70"/>
        <v>20</v>
      </c>
      <c r="K747" s="91">
        <f>VLOOKUP(F747, 'RM &amp; SF'!B:H, 7, 0)</f>
        <v>1.75E-3</v>
      </c>
      <c r="L747" s="92">
        <f t="shared" si="69"/>
        <v>3.5000000000000003E-2</v>
      </c>
      <c r="M747" s="30" t="s">
        <v>810</v>
      </c>
      <c r="P747" s="88" t="s">
        <v>2156</v>
      </c>
    </row>
    <row r="748" spans="1:16" ht="14">
      <c r="A748" s="88" t="s">
        <v>3188</v>
      </c>
      <c r="B748" s="188" t="s">
        <v>678</v>
      </c>
      <c r="C748" s="30"/>
      <c r="D748" s="30" t="str">
        <f>VLOOKUP(B748, 'RM &amp; SF'!B:C, 2, 0)</f>
        <v>عجين كبة ملحمة</v>
      </c>
      <c r="E748" s="30" t="s">
        <v>2234</v>
      </c>
      <c r="F748" s="110">
        <v>4503</v>
      </c>
      <c r="G748" s="30" t="str">
        <f>VLOOKUP(F748, 'RM &amp; SF'!B:C, 2, 0)</f>
        <v>بصل ناشف دفش*****</v>
      </c>
      <c r="H748" s="89">
        <v>200</v>
      </c>
      <c r="I748" s="30" t="str">
        <f>VLOOKUP(F748, 'RM &amp; SF'!B:H, 4, 0)</f>
        <v>غم</v>
      </c>
      <c r="J748" s="106">
        <f t="shared" si="70"/>
        <v>133.33333333333334</v>
      </c>
      <c r="K748" s="91">
        <f>VLOOKUP(F748, 'RM &amp; SF'!B:H, 7, 0)</f>
        <v>2.5000000000000001E-4</v>
      </c>
      <c r="L748" s="92">
        <f t="shared" si="69"/>
        <v>3.333333333333334E-2</v>
      </c>
      <c r="M748" s="30" t="s">
        <v>810</v>
      </c>
      <c r="P748" s="88" t="s">
        <v>2156</v>
      </c>
    </row>
    <row r="749" spans="1:16" ht="14">
      <c r="A749" s="88" t="s">
        <v>3188</v>
      </c>
      <c r="B749" s="188" t="s">
        <v>678</v>
      </c>
      <c r="C749" s="30"/>
      <c r="D749" s="30" t="str">
        <f>VLOOKUP(B749, 'RM &amp; SF'!B:C, 2, 0)</f>
        <v>عجين كبة ملحمة</v>
      </c>
      <c r="E749" s="30" t="s">
        <v>2203</v>
      </c>
      <c r="F749" s="110">
        <v>4152</v>
      </c>
      <c r="G749" s="30" t="str">
        <f>VLOOKUP(F749, 'RM &amp; SF'!B:C, 2, 0)</f>
        <v>ملح طعام 750غم*****</v>
      </c>
      <c r="H749" s="89">
        <v>15</v>
      </c>
      <c r="I749" s="30" t="str">
        <f>VLOOKUP(F749, 'RM &amp; SF'!B:H, 4, 0)</f>
        <v>غم</v>
      </c>
      <c r="J749" s="106">
        <f t="shared" si="70"/>
        <v>10</v>
      </c>
      <c r="K749" s="91">
        <f>VLOOKUP(F749, 'RM &amp; SF'!B:H, 7, 0)</f>
        <v>1.7066666666666665E-4</v>
      </c>
      <c r="L749" s="92">
        <f t="shared" si="69"/>
        <v>1.7066666666666664E-3</v>
      </c>
      <c r="M749" s="30" t="s">
        <v>810</v>
      </c>
      <c r="P749" s="88" t="s">
        <v>2156</v>
      </c>
    </row>
    <row r="750" spans="1:16" ht="14">
      <c r="A750" s="88" t="s">
        <v>3188</v>
      </c>
      <c r="B750" s="188" t="s">
        <v>678</v>
      </c>
      <c r="C750" s="30"/>
      <c r="D750" s="30" t="str">
        <f>VLOOKUP(B750, 'RM &amp; SF'!B:C, 2, 0)</f>
        <v>عجين كبة ملحمة</v>
      </c>
      <c r="E750" s="30" t="s">
        <v>2208</v>
      </c>
      <c r="F750" s="110">
        <v>4211</v>
      </c>
      <c r="G750" s="30" t="str">
        <f>VLOOKUP(F750, 'RM &amp; SF'!B:C, 2, 0)</f>
        <v>كزبرة ناعمة*****</v>
      </c>
      <c r="H750" s="89">
        <v>15</v>
      </c>
      <c r="I750" s="30" t="str">
        <f>VLOOKUP(F750, 'RM &amp; SF'!B:H, 4, 0)</f>
        <v>غم</v>
      </c>
      <c r="J750" s="106">
        <f t="shared" si="70"/>
        <v>10</v>
      </c>
      <c r="K750" s="91">
        <f>VLOOKUP(F750, 'RM &amp; SF'!B:H, 7, 0)</f>
        <v>1.5089999999999999E-3</v>
      </c>
      <c r="L750" s="92">
        <f t="shared" si="69"/>
        <v>1.5089999999999999E-2</v>
      </c>
      <c r="M750" s="30" t="s">
        <v>810</v>
      </c>
      <c r="P750" s="88" t="s">
        <v>2156</v>
      </c>
    </row>
    <row r="751" spans="1:16" ht="14">
      <c r="A751" s="88" t="s">
        <v>3188</v>
      </c>
      <c r="B751" s="188" t="s">
        <v>678</v>
      </c>
      <c r="C751" s="30"/>
      <c r="D751" s="30" t="str">
        <f>VLOOKUP(B751, 'RM &amp; SF'!B:C, 2, 0)</f>
        <v>عجين كبة ملحمة</v>
      </c>
      <c r="E751" s="30" t="s">
        <v>2206</v>
      </c>
      <c r="F751" s="110">
        <v>4204</v>
      </c>
      <c r="G751" s="30" t="str">
        <f>VLOOKUP(F751, 'RM &amp; SF'!B:C, 2, 0)</f>
        <v>فلفل اسود ناعم*****</v>
      </c>
      <c r="H751" s="89">
        <v>10</v>
      </c>
      <c r="I751" s="30" t="str">
        <f>VLOOKUP(F751, 'RM &amp; SF'!B:H, 4, 0)</f>
        <v>غم</v>
      </c>
      <c r="J751" s="106">
        <f t="shared" si="70"/>
        <v>6.666666666666667</v>
      </c>
      <c r="K751" s="91">
        <f>VLOOKUP(F751, 'RM &amp; SF'!B:H, 7, 0)</f>
        <v>6.8970000000000004E-3</v>
      </c>
      <c r="L751" s="92">
        <f t="shared" si="69"/>
        <v>4.5980000000000007E-2</v>
      </c>
      <c r="M751" s="30" t="s">
        <v>810</v>
      </c>
      <c r="P751" s="88" t="s">
        <v>2156</v>
      </c>
    </row>
    <row r="752" spans="1:16" ht="14">
      <c r="A752" s="88" t="s">
        <v>3188</v>
      </c>
      <c r="B752" s="188" t="s">
        <v>678</v>
      </c>
      <c r="C752" s="30"/>
      <c r="D752" s="30" t="str">
        <f>VLOOKUP(B752, 'RM &amp; SF'!B:C, 2, 0)</f>
        <v>عجين كبة ملحمة</v>
      </c>
      <c r="E752" s="30" t="s">
        <v>2283</v>
      </c>
      <c r="F752" s="110">
        <v>4139</v>
      </c>
      <c r="G752" s="30" t="str">
        <f>VLOOKUP(F752, 'RM &amp; SF'!B:C, 2, 0)</f>
        <v>برغل ناعم*****</v>
      </c>
      <c r="H752" s="89">
        <v>1000</v>
      </c>
      <c r="I752" s="30" t="str">
        <f>VLOOKUP(F752, 'RM &amp; SF'!B:H, 4, 0)</f>
        <v>غم</v>
      </c>
      <c r="J752" s="106">
        <f t="shared" si="70"/>
        <v>666.66666666666663</v>
      </c>
      <c r="K752" s="91">
        <f>VLOOKUP(F752, 'RM &amp; SF'!B:H, 7, 0)</f>
        <v>5.6863999999999992E-4</v>
      </c>
      <c r="L752" s="92">
        <f t="shared" si="69"/>
        <v>0.37909333333333328</v>
      </c>
      <c r="M752" s="30" t="s">
        <v>810</v>
      </c>
      <c r="P752" s="88" t="s">
        <v>2156</v>
      </c>
    </row>
    <row r="753" spans="1:13" ht="14">
      <c r="A753" s="88" t="s">
        <v>2432</v>
      </c>
      <c r="B753" s="219" t="s">
        <v>650</v>
      </c>
      <c r="C753" s="30"/>
      <c r="D753" s="30" t="str">
        <f>VLOOKUP(B753, 'RM &amp; SF'!B:C, 2, 0)</f>
        <v>بازيلا وجزر</v>
      </c>
      <c r="E753" s="30" t="s">
        <v>2234</v>
      </c>
      <c r="F753" s="110">
        <v>4503</v>
      </c>
      <c r="G753" s="30" t="str">
        <f>VLOOKUP(F753, 'RM &amp; SF'!B:C, 2, 0)</f>
        <v>بصل ناشف دفش*****</v>
      </c>
      <c r="H753" s="30">
        <v>500</v>
      </c>
      <c r="I753" s="30" t="str">
        <f>VLOOKUP(F753, 'RM &amp; SF'!B:H, 4, 0)</f>
        <v>غم</v>
      </c>
      <c r="J753" s="90">
        <f t="shared" ref="J753:J761" si="71">H753/12</f>
        <v>41.666666666666664</v>
      </c>
      <c r="K753" s="91">
        <f>VLOOKUP(F753, 'RM &amp; SF'!B:H, 7, 0)</f>
        <v>2.5000000000000001E-4</v>
      </c>
      <c r="L753" s="92">
        <f t="shared" si="69"/>
        <v>1.0416666666666666E-2</v>
      </c>
      <c r="M753" s="30" t="s">
        <v>810</v>
      </c>
    </row>
    <row r="754" spans="1:13" ht="14">
      <c r="A754" s="88" t="s">
        <v>2432</v>
      </c>
      <c r="B754" s="219" t="s">
        <v>650</v>
      </c>
      <c r="C754" s="30"/>
      <c r="D754" s="30" t="str">
        <f>VLOOKUP(B754, 'RM &amp; SF'!B:C, 2, 0)</f>
        <v>بازيلا وجزر</v>
      </c>
      <c r="E754" s="30" t="s">
        <v>2292</v>
      </c>
      <c r="F754" s="110">
        <v>4639</v>
      </c>
      <c r="G754" s="30" t="str">
        <f>VLOOKUP(F754, 'RM &amp; SF'!B:C, 2, 0)</f>
        <v>بازيلاء و جزر مجمدة 350 غم*****</v>
      </c>
      <c r="H754" s="30">
        <v>4000</v>
      </c>
      <c r="I754" s="30" t="str">
        <f>VLOOKUP(F754, 'RM &amp; SF'!B:H, 4, 0)</f>
        <v>غم</v>
      </c>
      <c r="J754" s="90">
        <f t="shared" si="71"/>
        <v>333.33333333333331</v>
      </c>
      <c r="K754" s="91">
        <f>VLOOKUP(F754, 'RM &amp; SF'!B:H, 7, 0)</f>
        <v>1.8331249999999999E-3</v>
      </c>
      <c r="L754" s="92">
        <f t="shared" si="69"/>
        <v>0.61104166666666659</v>
      </c>
      <c r="M754" s="30" t="s">
        <v>810</v>
      </c>
    </row>
    <row r="755" spans="1:13" ht="14">
      <c r="A755" s="88" t="s">
        <v>2432</v>
      </c>
      <c r="B755" s="219" t="s">
        <v>650</v>
      </c>
      <c r="C755" s="30"/>
      <c r="D755" s="30" t="str">
        <f>VLOOKUP(B755, 'RM &amp; SF'!B:C, 2, 0)</f>
        <v>بازيلا وجزر</v>
      </c>
      <c r="E755" s="30" t="s">
        <v>2230</v>
      </c>
      <c r="F755" s="110">
        <v>4497</v>
      </c>
      <c r="G755" s="30" t="str">
        <f>VLOOKUP(F755, 'RM &amp; SF'!B:C, 2, 0)</f>
        <v>بطاطا*****</v>
      </c>
      <c r="H755" s="30">
        <v>2000</v>
      </c>
      <c r="I755" s="30" t="str">
        <f>VLOOKUP(F755, 'RM &amp; SF'!B:H, 4, 0)</f>
        <v>غم</v>
      </c>
      <c r="J755" s="90">
        <f t="shared" si="71"/>
        <v>166.66666666666666</v>
      </c>
      <c r="K755" s="91">
        <f>VLOOKUP(F755, 'RM &amp; SF'!B:H, 7, 0)</f>
        <v>4.0000000000000002E-4</v>
      </c>
      <c r="L755" s="92">
        <f t="shared" si="69"/>
        <v>6.6666666666666666E-2</v>
      </c>
      <c r="M755" s="30" t="s">
        <v>810</v>
      </c>
    </row>
    <row r="756" spans="1:13" ht="14">
      <c r="A756" s="88" t="s">
        <v>2432</v>
      </c>
      <c r="B756" s="219" t="s">
        <v>650</v>
      </c>
      <c r="C756" s="30"/>
      <c r="D756" s="30" t="str">
        <f>VLOOKUP(B756, 'RM &amp; SF'!B:C, 2, 0)</f>
        <v>بازيلا وجزر</v>
      </c>
      <c r="E756" s="30" t="s">
        <v>2309</v>
      </c>
      <c r="F756" s="110">
        <v>4491</v>
      </c>
      <c r="G756" s="30" t="str">
        <f>VLOOKUP(F756, 'RM &amp; SF'!B:C, 2, 0)</f>
        <v>بندورة جامدة*****</v>
      </c>
      <c r="H756" s="30">
        <v>3000</v>
      </c>
      <c r="I756" s="30" t="str">
        <f>VLOOKUP(F756, 'RM &amp; SF'!B:H, 4, 0)</f>
        <v>غم</v>
      </c>
      <c r="J756" s="90">
        <f t="shared" si="71"/>
        <v>250</v>
      </c>
      <c r="K756" s="91">
        <f>VLOOKUP(F756, 'RM &amp; SF'!B:H, 7, 0)</f>
        <v>5.0000000000000001E-4</v>
      </c>
      <c r="L756" s="92">
        <f t="shared" si="69"/>
        <v>0.125</v>
      </c>
      <c r="M756" s="30" t="s">
        <v>810</v>
      </c>
    </row>
    <row r="757" spans="1:13" ht="14">
      <c r="A757" s="88" t="s">
        <v>2432</v>
      </c>
      <c r="B757" s="219" t="s">
        <v>650</v>
      </c>
      <c r="C757" s="30"/>
      <c r="D757" s="30" t="str">
        <f>VLOOKUP(B757, 'RM &amp; SF'!B:C, 2, 0)</f>
        <v>بازيلا وجزر</v>
      </c>
      <c r="E757" s="30" t="s">
        <v>3058</v>
      </c>
      <c r="F757" s="110">
        <v>4203</v>
      </c>
      <c r="G757" s="30" t="str">
        <f>VLOOKUP(F757, 'RM &amp; SF'!B:C, 2, 0)</f>
        <v>فلفل ابيض ناعم*****</v>
      </c>
      <c r="H757" s="30">
        <v>5</v>
      </c>
      <c r="I757" s="30" t="str">
        <f>VLOOKUP(F757, 'RM &amp; SF'!B:H, 4, 0)</f>
        <v>غم</v>
      </c>
      <c r="J757" s="90">
        <f t="shared" si="71"/>
        <v>0.41666666666666669</v>
      </c>
      <c r="K757" s="91">
        <f>VLOOKUP(F757, 'RM &amp; SF'!B:H, 7, 0)</f>
        <v>7.7590000000000003E-3</v>
      </c>
      <c r="L757" s="92">
        <f t="shared" si="69"/>
        <v>3.2329166666666669E-3</v>
      </c>
      <c r="M757" s="30" t="s">
        <v>810</v>
      </c>
    </row>
    <row r="758" spans="1:13" ht="14">
      <c r="A758" s="88" t="s">
        <v>2432</v>
      </c>
      <c r="B758" s="219" t="s">
        <v>650</v>
      </c>
      <c r="C758" s="30"/>
      <c r="D758" s="30" t="str">
        <f>VLOOKUP(B758, 'RM &amp; SF'!B:C, 2, 0)</f>
        <v>بازيلا وجزر</v>
      </c>
      <c r="E758" s="30" t="s">
        <v>2261</v>
      </c>
      <c r="F758" s="110">
        <v>4163</v>
      </c>
      <c r="G758" s="30" t="str">
        <f>VLOOKUP(F758, 'RM &amp; SF'!B:C, 2, 0)</f>
        <v>سمنة بنكهة السمن البلدي 15 كغ*****</v>
      </c>
      <c r="H758" s="30">
        <v>20</v>
      </c>
      <c r="I758" s="30" t="str">
        <f>VLOOKUP(F758, 'RM &amp; SF'!B:H, 4, 0)</f>
        <v>غم</v>
      </c>
      <c r="J758" s="90">
        <f t="shared" si="71"/>
        <v>1.6666666666666667</v>
      </c>
      <c r="K758" s="91">
        <f>VLOOKUP(F758, 'RM &amp; SF'!B:H, 7, 0)</f>
        <v>2.0512E-3</v>
      </c>
      <c r="L758" s="92">
        <f t="shared" si="69"/>
        <v>3.4186666666666666E-3</v>
      </c>
      <c r="M758" s="30" t="s">
        <v>810</v>
      </c>
    </row>
    <row r="759" spans="1:13" ht="14">
      <c r="A759" s="88" t="s">
        <v>2432</v>
      </c>
      <c r="B759" s="219" t="s">
        <v>650</v>
      </c>
      <c r="C759" s="30"/>
      <c r="D759" s="30" t="str">
        <f>VLOOKUP(B759, 'RM &amp; SF'!B:C, 2, 0)</f>
        <v>بازيلا وجزر</v>
      </c>
      <c r="E759" s="30" t="s">
        <v>3058</v>
      </c>
      <c r="F759" s="110">
        <v>4021</v>
      </c>
      <c r="G759" s="30" t="str">
        <f>VLOOKUP(F759, 'RM &amp; SF'!B:C, 2, 0)</f>
        <v>مكعبات مرق الدجاج 24 عبوة*2 مكعب*****</v>
      </c>
      <c r="H759" s="89">
        <v>40</v>
      </c>
      <c r="I759" s="30" t="str">
        <f>VLOOKUP(F759, 'RM &amp; SF'!B:H, 4, 0)</f>
        <v>غم</v>
      </c>
      <c r="J759" s="90">
        <f t="shared" si="71"/>
        <v>3.3333333333333335</v>
      </c>
      <c r="K759" s="91">
        <f>VLOOKUP(F759, 'RM &amp; SF'!B:H, 7, 0)</f>
        <v>3.8541666666666668E-3</v>
      </c>
      <c r="L759" s="92">
        <f t="shared" si="69"/>
        <v>1.2847222222222223E-2</v>
      </c>
      <c r="M759" s="30" t="s">
        <v>810</v>
      </c>
    </row>
    <row r="760" spans="1:13" ht="14">
      <c r="A760" s="88" t="s">
        <v>2432</v>
      </c>
      <c r="B760" s="219" t="s">
        <v>650</v>
      </c>
      <c r="C760" s="30"/>
      <c r="D760" s="30" t="str">
        <f>VLOOKUP(B760, 'RM &amp; SF'!B:C, 2, 0)</f>
        <v>بازيلا وجزر</v>
      </c>
      <c r="E760" s="30" t="s">
        <v>3058</v>
      </c>
      <c r="F760" s="110">
        <v>5373</v>
      </c>
      <c r="G760" s="30" t="str">
        <f>VLOOKUP(F760, 'RM &amp; SF'!B:C, 2, 0)</f>
        <v>قطعيات عجل مشكلة</v>
      </c>
      <c r="H760" s="30">
        <v>2000</v>
      </c>
      <c r="I760" s="30" t="str">
        <f>VLOOKUP(F760, 'RM &amp; SF'!B:H, 4, 0)</f>
        <v>غم</v>
      </c>
      <c r="J760" s="90">
        <f t="shared" si="71"/>
        <v>166.66666666666666</v>
      </c>
      <c r="K760" s="91">
        <f>VLOOKUP(F760, 'RM &amp; SF'!B:H, 7, 0)</f>
        <v>9.0100000000000006E-3</v>
      </c>
      <c r="L760" s="92">
        <f t="shared" si="69"/>
        <v>1.5016666666666667</v>
      </c>
      <c r="M760" s="30" t="s">
        <v>810</v>
      </c>
    </row>
    <row r="761" spans="1:13" ht="14">
      <c r="A761" s="88" t="s">
        <v>2432</v>
      </c>
      <c r="B761" s="219" t="s">
        <v>650</v>
      </c>
      <c r="C761" s="30"/>
      <c r="D761" s="30" t="str">
        <f>VLOOKUP(B761, 'RM &amp; SF'!B:C, 2, 0)</f>
        <v>بازيلا وجزر</v>
      </c>
      <c r="E761" s="30" t="s">
        <v>3058</v>
      </c>
      <c r="F761" s="110">
        <v>4045</v>
      </c>
      <c r="G761" s="30" t="str">
        <f>VLOOKUP(F761, 'RM &amp; SF'!B:C, 2, 0)</f>
        <v>معجون الطماطم 1375 غم*****</v>
      </c>
      <c r="H761" s="30">
        <v>2000</v>
      </c>
      <c r="I761" s="30" t="str">
        <f>VLOOKUP(F761, 'RM &amp; SF'!B:H, 4, 0)</f>
        <v>غم</v>
      </c>
      <c r="J761" s="90">
        <f t="shared" si="71"/>
        <v>166.66666666666666</v>
      </c>
      <c r="K761" s="91">
        <f>VLOOKUP(F761, 'RM &amp; SF'!B:H, 7, 0)</f>
        <v>1.3665999999999999E-3</v>
      </c>
      <c r="L761" s="92">
        <f t="shared" si="69"/>
        <v>0.22776666666666665</v>
      </c>
      <c r="M761" s="30" t="s">
        <v>810</v>
      </c>
    </row>
    <row r="762" spans="1:13" ht="14">
      <c r="A762" s="88" t="s">
        <v>3214</v>
      </c>
      <c r="B762" s="219" t="s">
        <v>530</v>
      </c>
      <c r="C762" s="30"/>
      <c r="D762" s="30" t="str">
        <f>VLOOKUP(B762, 'RM &amp; SF'!B:C, 2, 0)</f>
        <v>خبز صاج</v>
      </c>
      <c r="E762" s="30" t="s">
        <v>3058</v>
      </c>
      <c r="F762" s="110">
        <v>5303</v>
      </c>
      <c r="G762" s="30" t="str">
        <f>VLOOKUP(F762, 'RM &amp; SF'!B:C, 2, 0)</f>
        <v>طحين زيرو 50ك*****</v>
      </c>
      <c r="H762" s="89">
        <v>10000</v>
      </c>
      <c r="I762" s="30" t="str">
        <f>VLOOKUP(F762, 'RM &amp; SF'!B:H, 4, 0)</f>
        <v>غم</v>
      </c>
      <c r="J762" s="90">
        <f>H762/15.5</f>
        <v>645.16129032258061</v>
      </c>
      <c r="K762" s="91">
        <f>VLOOKUP(F762, 'RM &amp; SF'!B:H, 7, 0)</f>
        <v>2.6000000000000003E-4</v>
      </c>
      <c r="L762" s="92">
        <f t="shared" si="69"/>
        <v>0.16774193548387098</v>
      </c>
      <c r="M762" s="30" t="s">
        <v>813</v>
      </c>
    </row>
    <row r="763" spans="1:13" ht="14">
      <c r="A763" s="88" t="s">
        <v>3214</v>
      </c>
      <c r="B763" s="219" t="s">
        <v>530</v>
      </c>
      <c r="C763" s="30"/>
      <c r="D763" s="30" t="str">
        <f>VLOOKUP(B763, 'RM &amp; SF'!B:C, 2, 0)</f>
        <v>خبز صاج</v>
      </c>
      <c r="E763" s="30" t="s">
        <v>3058</v>
      </c>
      <c r="F763" s="110">
        <v>3</v>
      </c>
      <c r="G763" s="30" t="str">
        <f>VLOOKUP(F763, 'RM &amp; SF'!B:C, 2, 0)</f>
        <v>مياه حنفية</v>
      </c>
      <c r="H763" s="89">
        <v>6500</v>
      </c>
      <c r="I763" s="30" t="str">
        <f>VLOOKUP(F763, 'RM &amp; SF'!B:H, 4, 0)</f>
        <v>مل</v>
      </c>
      <c r="J763" s="90">
        <f>H763/15.5</f>
        <v>419.35483870967744</v>
      </c>
      <c r="K763" s="91">
        <f>VLOOKUP(F763, 'RM &amp; SF'!B:H, 7, 0)</f>
        <v>0</v>
      </c>
      <c r="L763" s="92">
        <f t="shared" si="69"/>
        <v>0</v>
      </c>
      <c r="M763" s="30" t="s">
        <v>810</v>
      </c>
    </row>
    <row r="764" spans="1:13" ht="14">
      <c r="A764" s="88" t="s">
        <v>3214</v>
      </c>
      <c r="B764" s="219" t="s">
        <v>530</v>
      </c>
      <c r="C764" s="30"/>
      <c r="D764" s="30" t="str">
        <f>VLOOKUP(B764, 'RM &amp; SF'!B:C, 2, 0)</f>
        <v>خبز صاج</v>
      </c>
      <c r="E764" s="30" t="s">
        <v>2284</v>
      </c>
      <c r="F764" s="110">
        <v>4153</v>
      </c>
      <c r="G764" s="30" t="str">
        <f>VLOOKUP(F764, 'RM &amp; SF'!B:C, 2, 0)</f>
        <v>سكر ابيض ناعم*****</v>
      </c>
      <c r="H764" s="89">
        <v>600</v>
      </c>
      <c r="I764" s="30" t="str">
        <f>VLOOKUP(F764, 'RM &amp; SF'!B:H, 4, 0)</f>
        <v>غم</v>
      </c>
      <c r="J764" s="90">
        <f>H764/15.5</f>
        <v>38.70967741935484</v>
      </c>
      <c r="K764" s="91">
        <f>VLOOKUP(F764, 'RM &amp; SF'!B:H, 7, 0)</f>
        <v>5.2499999999999997E-4</v>
      </c>
      <c r="L764" s="92">
        <f t="shared" si="69"/>
        <v>2.0322580645161289E-2</v>
      </c>
      <c r="M764" s="30" t="s">
        <v>813</v>
      </c>
    </row>
    <row r="765" spans="1:13" ht="14">
      <c r="A765" s="88" t="s">
        <v>2410</v>
      </c>
      <c r="B765" s="219" t="s">
        <v>524</v>
      </c>
      <c r="C765" s="30"/>
      <c r="D765" s="30" t="str">
        <f>VLOOKUP(B765, 'RM &amp; SF'!B:C, 2, 0)</f>
        <v>صوص الكينوا</v>
      </c>
      <c r="E765" s="30" t="s">
        <v>2263</v>
      </c>
      <c r="F765" s="110">
        <v>4004</v>
      </c>
      <c r="G765" s="30" t="str">
        <f>VLOOKUP(F765, 'RM &amp; SF'!B:C, 2, 0)</f>
        <v>مايونيز جالون 3.78 لتر*****</v>
      </c>
      <c r="H765" s="89">
        <v>1000</v>
      </c>
      <c r="I765" s="30" t="str">
        <f>VLOOKUP(F765, 'RM &amp; SF'!B:H, 4, 0)</f>
        <v>غم</v>
      </c>
      <c r="J765" s="90">
        <f t="shared" ref="J765:J771" si="72">H765/1.8</f>
        <v>555.55555555555554</v>
      </c>
      <c r="K765" s="91">
        <f>VLOOKUP(F765, 'RM &amp; SF'!B:H, 7, 0)</f>
        <v>2.4516E-3</v>
      </c>
      <c r="L765" s="92">
        <f t="shared" si="69"/>
        <v>1.3619999999999999</v>
      </c>
      <c r="M765" s="30" t="s">
        <v>813</v>
      </c>
    </row>
    <row r="766" spans="1:13" ht="14">
      <c r="A766" s="88" t="s">
        <v>2410</v>
      </c>
      <c r="B766" s="219" t="s">
        <v>524</v>
      </c>
      <c r="C766" s="30"/>
      <c r="D766" s="30" t="str">
        <f>VLOOKUP(B766, 'RM &amp; SF'!B:C, 2, 0)</f>
        <v>صوص الكينوا</v>
      </c>
      <c r="E766" s="30" t="s">
        <v>2256</v>
      </c>
      <c r="F766" s="110">
        <v>4574</v>
      </c>
      <c r="G766" s="30" t="str">
        <f>VLOOKUP(F766, 'RM &amp; SF'!B:C, 2, 0)</f>
        <v>عصير برتقال طازج 2.5 لتر*****</v>
      </c>
      <c r="H766" s="89">
        <v>170</v>
      </c>
      <c r="I766" s="30" t="str">
        <f>VLOOKUP(F766, 'RM &amp; SF'!B:H, 4, 0)</f>
        <v>مل</v>
      </c>
      <c r="J766" s="90">
        <f t="shared" si="72"/>
        <v>94.444444444444443</v>
      </c>
      <c r="K766" s="91">
        <f>VLOOKUP(F766, 'RM &amp; SF'!B:H, 7, 0)</f>
        <v>2E-3</v>
      </c>
      <c r="L766" s="92">
        <f t="shared" si="69"/>
        <v>0.18888888888888888</v>
      </c>
      <c r="M766" s="30" t="s">
        <v>813</v>
      </c>
    </row>
    <row r="767" spans="1:13" ht="14">
      <c r="A767" s="88" t="s">
        <v>2410</v>
      </c>
      <c r="B767" s="219" t="s">
        <v>524</v>
      </c>
      <c r="C767" s="30"/>
      <c r="D767" s="30" t="str">
        <f>VLOOKUP(B767, 'RM &amp; SF'!B:C, 2, 0)</f>
        <v>صوص الكينوا</v>
      </c>
      <c r="E767" s="30" t="s">
        <v>2255</v>
      </c>
      <c r="F767" s="110">
        <v>4573</v>
      </c>
      <c r="G767" s="30" t="str">
        <f>VLOOKUP(F767, 'RM &amp; SF'!B:C, 2, 0)</f>
        <v>عصير ليمون طازج 2.5 لتر*****</v>
      </c>
      <c r="H767" s="89">
        <v>65</v>
      </c>
      <c r="I767" s="30" t="str">
        <f>VLOOKUP(F767, 'RM &amp; SF'!B:H, 4, 0)</f>
        <v>مل</v>
      </c>
      <c r="J767" s="90">
        <f t="shared" si="72"/>
        <v>36.111111111111107</v>
      </c>
      <c r="K767" s="91">
        <f>VLOOKUP(F767, 'RM &amp; SF'!B:H, 7, 0)</f>
        <v>2.5999999999999999E-3</v>
      </c>
      <c r="L767" s="92">
        <f t="shared" si="69"/>
        <v>9.3888888888888869E-2</v>
      </c>
      <c r="M767" s="30" t="s">
        <v>813</v>
      </c>
    </row>
    <row r="768" spans="1:13" ht="14">
      <c r="A768" s="88" t="s">
        <v>2410</v>
      </c>
      <c r="B768" s="219" t="s">
        <v>524</v>
      </c>
      <c r="C768" s="30"/>
      <c r="D768" s="30" t="str">
        <f>VLOOKUP(B768, 'RM &amp; SF'!B:C, 2, 0)</f>
        <v>صوص الكينوا</v>
      </c>
      <c r="E768" s="30" t="s">
        <v>3058</v>
      </c>
      <c r="F768" s="110">
        <v>4542</v>
      </c>
      <c r="G768" s="30" t="str">
        <f>VLOOKUP(F768, 'RM &amp; SF'!B:C, 2, 0)</f>
        <v>مانجا طازجة*****</v>
      </c>
      <c r="H768" s="89">
        <v>260</v>
      </c>
      <c r="I768" s="30" t="str">
        <f>VLOOKUP(F768, 'RM &amp; SF'!B:H, 4, 0)</f>
        <v>غم</v>
      </c>
      <c r="J768" s="90">
        <f t="shared" si="72"/>
        <v>144.44444444444443</v>
      </c>
      <c r="K768" s="91">
        <f>VLOOKUP(F768, 'RM &amp; SF'!B:H, 7, 0)</f>
        <v>2.5000000000000001E-3</v>
      </c>
      <c r="L768" s="92">
        <f t="shared" si="69"/>
        <v>0.3611111111111111</v>
      </c>
      <c r="M768" s="30" t="s">
        <v>813</v>
      </c>
    </row>
    <row r="769" spans="1:13" ht="14">
      <c r="A769" s="88" t="s">
        <v>2410</v>
      </c>
      <c r="B769" s="219" t="s">
        <v>524</v>
      </c>
      <c r="C769" s="30"/>
      <c r="D769" s="30" t="str">
        <f>VLOOKUP(B769, 'RM &amp; SF'!B:C, 2, 0)</f>
        <v>صوص الكينوا</v>
      </c>
      <c r="E769" s="30" t="s">
        <v>2272</v>
      </c>
      <c r="F769" s="110">
        <v>4042</v>
      </c>
      <c r="G769" s="30" t="str">
        <f>VLOOKUP(F769, 'RM &amp; SF'!B:C, 2, 0)</f>
        <v>مربى التين 2 كغ*****</v>
      </c>
      <c r="H769" s="89">
        <v>100</v>
      </c>
      <c r="I769" s="30" t="str">
        <f>VLOOKUP(F769, 'RM &amp; SF'!B:H, 4, 0)</f>
        <v>غم</v>
      </c>
      <c r="J769" s="90">
        <f t="shared" si="72"/>
        <v>55.555555555555557</v>
      </c>
      <c r="K769" s="91">
        <f>VLOOKUP(F769, 'RM &amp; SF'!B:H, 7, 0)</f>
        <v>1.7749999999999999E-3</v>
      </c>
      <c r="L769" s="92">
        <f t="shared" si="69"/>
        <v>9.8611111111111108E-2</v>
      </c>
      <c r="M769" s="30" t="s">
        <v>813</v>
      </c>
    </row>
    <row r="770" spans="1:13" ht="14">
      <c r="A770" s="88" t="s">
        <v>2410</v>
      </c>
      <c r="B770" s="219" t="s">
        <v>524</v>
      </c>
      <c r="C770" s="30"/>
      <c r="D770" s="30" t="str">
        <f>VLOOKUP(B770, 'RM &amp; SF'!B:C, 2, 0)</f>
        <v>صوص الكينوا</v>
      </c>
      <c r="E770" s="30" t="s">
        <v>3058</v>
      </c>
      <c r="F770" s="110">
        <v>4753</v>
      </c>
      <c r="G770" s="30" t="str">
        <f>VLOOKUP(F770, 'RM &amp; SF'!B:C, 2, 0)</f>
        <v>عسل 2 كغ*****</v>
      </c>
      <c r="H770" s="89">
        <v>100</v>
      </c>
      <c r="I770" s="30" t="str">
        <f>VLOOKUP(F770, 'RM &amp; SF'!B:H, 4, 0)</f>
        <v>غم</v>
      </c>
      <c r="J770" s="90">
        <f t="shared" si="72"/>
        <v>55.555555555555557</v>
      </c>
      <c r="K770" s="91">
        <f>VLOOKUP(F770, 'RM &amp; SF'!B:H, 7, 0)</f>
        <v>2.1549999999999998E-3</v>
      </c>
      <c r="L770" s="92">
        <f t="shared" si="69"/>
        <v>0.11972222222222222</v>
      </c>
      <c r="M770" s="30" t="s">
        <v>813</v>
      </c>
    </row>
    <row r="771" spans="1:13" ht="14">
      <c r="A771" s="88" t="s">
        <v>2410</v>
      </c>
      <c r="B771" s="219" t="s">
        <v>524</v>
      </c>
      <c r="C771" s="30"/>
      <c r="D771" s="30" t="str">
        <f>VLOOKUP(B771, 'RM &amp; SF'!B:C, 2, 0)</f>
        <v>صوص الكينوا</v>
      </c>
      <c r="E771" s="30" t="s">
        <v>2259</v>
      </c>
      <c r="F771" s="110">
        <v>4159</v>
      </c>
      <c r="G771" s="30" t="str">
        <f>VLOOKUP(F771, 'RM &amp; SF'!B:C, 2, 0)</f>
        <v>زيت زيتون 16 كغ*****</v>
      </c>
      <c r="H771" s="89">
        <v>115</v>
      </c>
      <c r="I771" s="30" t="str">
        <f>VLOOKUP(F771, 'RM &amp; SF'!B:H, 4, 0)</f>
        <v>غم</v>
      </c>
      <c r="J771" s="90">
        <f t="shared" si="72"/>
        <v>63.888888888888886</v>
      </c>
      <c r="K771" s="91">
        <f>VLOOKUP(F771, 'RM &amp; SF'!B:H, 7, 0)</f>
        <v>7.4999999999999997E-3</v>
      </c>
      <c r="L771" s="92">
        <f t="shared" si="69"/>
        <v>0.47916666666666663</v>
      </c>
      <c r="M771" s="30" t="s">
        <v>813</v>
      </c>
    </row>
    <row r="772" spans="1:13" ht="14">
      <c r="A772" s="88" t="s">
        <v>2327</v>
      </c>
      <c r="B772" s="188" t="s">
        <v>684</v>
      </c>
      <c r="C772" s="30"/>
      <c r="D772" s="30" t="str">
        <f>VLOOKUP(B772, 'RM &amp; SF'!B:C, 2, 0)</f>
        <v>سمبوسك جبنة</v>
      </c>
      <c r="E772" s="30" t="s">
        <v>2173</v>
      </c>
      <c r="F772" s="110">
        <v>4624</v>
      </c>
      <c r="G772" s="30" t="str">
        <f>VLOOKUP(F772, 'RM &amp; SF'!B:C, 2, 0)</f>
        <v>جبنة موزريلا قالب 2.380 كغ*****</v>
      </c>
      <c r="H772" s="89">
        <v>6000</v>
      </c>
      <c r="I772" s="30" t="str">
        <f>VLOOKUP(F772, 'RM &amp; SF'!B:H, 4, 0)</f>
        <v>غم</v>
      </c>
      <c r="J772" s="90">
        <f t="shared" ref="J772:J781" si="73">H772/500</f>
        <v>12</v>
      </c>
      <c r="K772" s="91">
        <f>VLOOKUP(F772, 'RM &amp; SF'!B:H, 7, 0)</f>
        <v>5.1749999999999999E-3</v>
      </c>
      <c r="L772" s="92">
        <f t="shared" si="69"/>
        <v>6.2100000000000002E-2</v>
      </c>
      <c r="M772" s="30" t="s">
        <v>813</v>
      </c>
    </row>
    <row r="773" spans="1:13" ht="14">
      <c r="A773" s="88" t="s">
        <v>2327</v>
      </c>
      <c r="B773" s="188" t="s">
        <v>684</v>
      </c>
      <c r="C773" s="30"/>
      <c r="D773" s="30" t="str">
        <f>VLOOKUP(B773, 'RM &amp; SF'!B:C, 2, 0)</f>
        <v>سمبوسك جبنة</v>
      </c>
      <c r="E773" s="30" t="s">
        <v>2172</v>
      </c>
      <c r="F773" s="110">
        <v>4559</v>
      </c>
      <c r="G773" s="30" t="str">
        <f>VLOOKUP(F773, 'RM &amp; SF'!B:C, 2, 0)</f>
        <v>جبنة عكاوي 5 كغ*****</v>
      </c>
      <c r="H773" s="89">
        <v>2000</v>
      </c>
      <c r="I773" s="30" t="str">
        <f>VLOOKUP(F773, 'RM &amp; SF'!B:H, 4, 0)</f>
        <v>غم</v>
      </c>
      <c r="J773" s="90">
        <f t="shared" si="73"/>
        <v>4</v>
      </c>
      <c r="K773" s="91">
        <f>VLOOKUP(F773, 'RM &amp; SF'!B:H, 7, 0)</f>
        <v>4.7619999999999997E-3</v>
      </c>
      <c r="L773" s="92">
        <f t="shared" si="69"/>
        <v>1.9047999999999999E-2</v>
      </c>
      <c r="M773" s="30" t="s">
        <v>813</v>
      </c>
    </row>
    <row r="774" spans="1:13" ht="14">
      <c r="A774" s="88" t="s">
        <v>2327</v>
      </c>
      <c r="B774" s="188" t="s">
        <v>684</v>
      </c>
      <c r="C774" s="30"/>
      <c r="D774" s="30" t="str">
        <f>VLOOKUP(B774, 'RM &amp; SF'!B:C, 2, 0)</f>
        <v>سمبوسك جبنة</v>
      </c>
      <c r="E774" s="30" t="s">
        <v>2176</v>
      </c>
      <c r="F774" s="110">
        <v>4564</v>
      </c>
      <c r="G774" s="30" t="str">
        <f>VLOOKUP(F774, 'RM &amp; SF'!B:C, 2, 0)</f>
        <v>جبنة حلوم 250 غم*****</v>
      </c>
      <c r="H774" s="89">
        <v>2000</v>
      </c>
      <c r="I774" s="30" t="str">
        <f>VLOOKUP(F774, 'RM &amp; SF'!B:H, 4, 0)</f>
        <v>غم</v>
      </c>
      <c r="J774" s="90">
        <f t="shared" si="73"/>
        <v>4</v>
      </c>
      <c r="K774" s="91">
        <f>VLOOKUP(F774, 'RM &amp; SF'!B:H, 7, 0)</f>
        <v>8.8889999999999993E-3</v>
      </c>
      <c r="L774" s="92">
        <f t="shared" si="69"/>
        <v>3.5555999999999997E-2</v>
      </c>
      <c r="M774" s="30" t="s">
        <v>813</v>
      </c>
    </row>
    <row r="775" spans="1:13" ht="14">
      <c r="A775" s="88" t="s">
        <v>2327</v>
      </c>
      <c r="B775" s="188" t="s">
        <v>684</v>
      </c>
      <c r="C775" s="30"/>
      <c r="D775" s="30" t="str">
        <f>VLOOKUP(B775, 'RM &amp; SF'!B:C, 2, 0)</f>
        <v>سمبوسك جبنة</v>
      </c>
      <c r="E775" s="30" t="s">
        <v>2251</v>
      </c>
      <c r="F775" s="110">
        <v>4544</v>
      </c>
      <c r="G775" s="30" t="str">
        <f>VLOOKUP(F775, 'RM &amp; SF'!B:C, 2, 0)</f>
        <v>بقدونس*****</v>
      </c>
      <c r="H775" s="89">
        <v>1</v>
      </c>
      <c r="I775" s="30" t="str">
        <f>VLOOKUP(F775, 'RM &amp; SF'!B:H, 4, 0)</f>
        <v>غم</v>
      </c>
      <c r="J775" s="90">
        <f t="shared" si="73"/>
        <v>2E-3</v>
      </c>
      <c r="K775" s="91">
        <f>VLOOKUP(F775, 'RM &amp; SF'!B:H, 7, 0)</f>
        <v>7.5000000000000002E-4</v>
      </c>
      <c r="L775" s="92">
        <f t="shared" si="69"/>
        <v>1.5E-6</v>
      </c>
      <c r="M775" s="30" t="s">
        <v>813</v>
      </c>
    </row>
    <row r="776" spans="1:13" ht="14">
      <c r="A776" s="88" t="s">
        <v>2328</v>
      </c>
      <c r="B776" s="188" t="s">
        <v>686</v>
      </c>
      <c r="C776" s="30"/>
      <c r="D776" s="30" t="str">
        <f>VLOOKUP(B776, 'RM &amp; SF'!B:C, 2, 0)</f>
        <v>سمبوسك لحمة</v>
      </c>
      <c r="E776" s="30" t="s">
        <v>2234</v>
      </c>
      <c r="F776" s="110">
        <v>4503</v>
      </c>
      <c r="G776" s="30" t="str">
        <f>VLOOKUP(F776, 'RM &amp; SF'!B:C, 2, 0)</f>
        <v>بصل ناشف دفش*****</v>
      </c>
      <c r="H776" s="89">
        <v>2000</v>
      </c>
      <c r="I776" s="30" t="str">
        <f>VLOOKUP(F776, 'RM &amp; SF'!B:H, 4, 0)</f>
        <v>غم</v>
      </c>
      <c r="J776" s="90">
        <f t="shared" si="73"/>
        <v>4</v>
      </c>
      <c r="K776" s="91">
        <f>VLOOKUP(F776, 'RM &amp; SF'!B:H, 7, 0)</f>
        <v>2.5000000000000001E-4</v>
      </c>
      <c r="L776" s="92">
        <f t="shared" ref="L776:L839" si="74">K776*J776</f>
        <v>1E-3</v>
      </c>
      <c r="M776" s="30" t="s">
        <v>813</v>
      </c>
    </row>
    <row r="777" spans="1:13" ht="14">
      <c r="A777" s="88" t="s">
        <v>2328</v>
      </c>
      <c r="B777" s="188" t="s">
        <v>686</v>
      </c>
      <c r="C777" s="30"/>
      <c r="D777" s="30" t="str">
        <f>VLOOKUP(B777, 'RM &amp; SF'!B:C, 2, 0)</f>
        <v>سمبوسك لحمة</v>
      </c>
      <c r="E777" s="30" t="s">
        <v>3058</v>
      </c>
      <c r="F777" s="110">
        <v>5373</v>
      </c>
      <c r="G777" s="30" t="str">
        <f>VLOOKUP(F777, 'RM &amp; SF'!B:C, 2, 0)</f>
        <v>قطعيات عجل مشكلة</v>
      </c>
      <c r="H777" s="89">
        <v>12000</v>
      </c>
      <c r="I777" s="30" t="str">
        <f>VLOOKUP(F777, 'RM &amp; SF'!B:H, 4, 0)</f>
        <v>غم</v>
      </c>
      <c r="J777" s="90">
        <f t="shared" si="73"/>
        <v>24</v>
      </c>
      <c r="K777" s="91">
        <f>VLOOKUP(F777, 'RM &amp; SF'!B:H, 7, 0)</f>
        <v>9.0100000000000006E-3</v>
      </c>
      <c r="L777" s="92">
        <f t="shared" si="74"/>
        <v>0.21624000000000002</v>
      </c>
      <c r="M777" s="30" t="s">
        <v>813</v>
      </c>
    </row>
    <row r="778" spans="1:13" ht="14">
      <c r="A778" s="88" t="s">
        <v>2328</v>
      </c>
      <c r="B778" s="188" t="s">
        <v>686</v>
      </c>
      <c r="C778" s="30"/>
      <c r="D778" s="30" t="str">
        <f>VLOOKUP(B778, 'RM &amp; SF'!B:C, 2, 0)</f>
        <v>سمبوسك لحمة</v>
      </c>
      <c r="E778" s="30" t="s">
        <v>2203</v>
      </c>
      <c r="F778" s="110">
        <v>4152</v>
      </c>
      <c r="G778" s="30" t="str">
        <f>VLOOKUP(F778, 'RM &amp; SF'!B:C, 2, 0)</f>
        <v>ملح طعام 750غم*****</v>
      </c>
      <c r="H778" s="89">
        <v>100</v>
      </c>
      <c r="I778" s="30" t="str">
        <f>VLOOKUP(F778, 'RM &amp; SF'!B:H, 4, 0)</f>
        <v>غم</v>
      </c>
      <c r="J778" s="90">
        <f t="shared" si="73"/>
        <v>0.2</v>
      </c>
      <c r="K778" s="91">
        <f>VLOOKUP(F778, 'RM &amp; SF'!B:H, 7, 0)</f>
        <v>1.7066666666666665E-4</v>
      </c>
      <c r="L778" s="92">
        <f t="shared" si="74"/>
        <v>3.4133333333333334E-5</v>
      </c>
      <c r="M778" s="30" t="s">
        <v>813</v>
      </c>
    </row>
    <row r="779" spans="1:13" ht="14">
      <c r="A779" s="88" t="s">
        <v>2328</v>
      </c>
      <c r="B779" s="188" t="s">
        <v>686</v>
      </c>
      <c r="C779" s="30"/>
      <c r="D779" s="30" t="str">
        <f>VLOOKUP(B779, 'RM &amp; SF'!B:C, 2, 0)</f>
        <v>سمبوسك لحمة</v>
      </c>
      <c r="E779" s="30" t="s">
        <v>2206</v>
      </c>
      <c r="F779" s="110">
        <v>4204</v>
      </c>
      <c r="G779" s="30" t="str">
        <f>VLOOKUP(F779, 'RM &amp; SF'!B:C, 2, 0)</f>
        <v>فلفل اسود ناعم*****</v>
      </c>
      <c r="H779" s="89">
        <v>50</v>
      </c>
      <c r="I779" s="30" t="str">
        <f>VLOOKUP(F779, 'RM &amp; SF'!B:H, 4, 0)</f>
        <v>غم</v>
      </c>
      <c r="J779" s="90">
        <f t="shared" si="73"/>
        <v>0.1</v>
      </c>
      <c r="K779" s="91">
        <f>VLOOKUP(F779, 'RM &amp; SF'!B:H, 7, 0)</f>
        <v>6.8970000000000004E-3</v>
      </c>
      <c r="L779" s="92">
        <f t="shared" si="74"/>
        <v>6.8970000000000012E-4</v>
      </c>
      <c r="M779" s="30" t="s">
        <v>813</v>
      </c>
    </row>
    <row r="780" spans="1:13" ht="14">
      <c r="A780" s="88" t="s">
        <v>2328</v>
      </c>
      <c r="B780" s="188" t="s">
        <v>686</v>
      </c>
      <c r="C780" s="30"/>
      <c r="D780" s="30" t="str">
        <f>VLOOKUP(B780, 'RM &amp; SF'!B:C, 2, 0)</f>
        <v>سمبوسك لحمة</v>
      </c>
      <c r="E780" s="30" t="s">
        <v>2213</v>
      </c>
      <c r="F780" s="110">
        <v>4218</v>
      </c>
      <c r="G780" s="30" t="str">
        <f>VLOOKUP(F780, 'RM &amp; SF'!B:C, 2, 0)</f>
        <v>بهارات مشكلة*****</v>
      </c>
      <c r="H780" s="89">
        <v>150</v>
      </c>
      <c r="I780" s="30" t="str">
        <f>VLOOKUP(F780, 'RM &amp; SF'!B:H, 4, 0)</f>
        <v>غم</v>
      </c>
      <c r="J780" s="90">
        <f t="shared" si="73"/>
        <v>0.3</v>
      </c>
      <c r="K780" s="91">
        <f>VLOOKUP(F780, 'RM &amp; SF'!B:H, 7, 0)</f>
        <v>3.0169999999999997E-3</v>
      </c>
      <c r="L780" s="92">
        <f t="shared" si="74"/>
        <v>9.0509999999999983E-4</v>
      </c>
      <c r="M780" s="30" t="s">
        <v>813</v>
      </c>
    </row>
    <row r="781" spans="1:13" ht="14">
      <c r="A781" s="88" t="s">
        <v>2328</v>
      </c>
      <c r="B781" s="188" t="s">
        <v>686</v>
      </c>
      <c r="C781" s="30"/>
      <c r="D781" s="30" t="str">
        <f>VLOOKUP(B781, 'RM &amp; SF'!B:C, 2, 0)</f>
        <v>سمبوسك لحمة</v>
      </c>
      <c r="E781" s="30" t="s">
        <v>2260</v>
      </c>
      <c r="F781" s="110">
        <v>4160</v>
      </c>
      <c r="G781" s="30" t="str">
        <f>VLOOKUP(F781, 'RM &amp; SF'!B:C, 2, 0)</f>
        <v>زيت صويا 18 لتر*****</v>
      </c>
      <c r="H781" s="89">
        <v>500</v>
      </c>
      <c r="I781" s="30" t="str">
        <f>VLOOKUP(F781, 'RM &amp; SF'!B:H, 4, 0)</f>
        <v>مل</v>
      </c>
      <c r="J781" s="90">
        <f t="shared" si="73"/>
        <v>1</v>
      </c>
      <c r="K781" s="91">
        <f>VLOOKUP(F781, 'RM &amp; SF'!B:H, 7, 0)</f>
        <v>1.335E-3</v>
      </c>
      <c r="L781" s="92">
        <f t="shared" si="74"/>
        <v>1.335E-3</v>
      </c>
      <c r="M781" s="30" t="s">
        <v>813</v>
      </c>
    </row>
    <row r="782" spans="1:13" ht="14">
      <c r="A782" s="88" t="s">
        <v>2425</v>
      </c>
      <c r="B782" s="219" t="s">
        <v>648</v>
      </c>
      <c r="C782" s="30"/>
      <c r="D782" s="30" t="str">
        <f>VLOOKUP(B782, 'RM &amp; SF'!B:C, 2, 0)</f>
        <v xml:space="preserve">خبز تنور </v>
      </c>
      <c r="E782" s="30" t="s">
        <v>3058</v>
      </c>
      <c r="F782" s="110">
        <v>3</v>
      </c>
      <c r="G782" s="30" t="str">
        <f>VLOOKUP(F782, 'RM &amp; SF'!B:C, 2, 0)</f>
        <v>مياه حنفية</v>
      </c>
      <c r="H782" s="89">
        <v>12300</v>
      </c>
      <c r="I782" s="30" t="str">
        <f>VLOOKUP(F782, 'RM &amp; SF'!B:H, 4, 0)</f>
        <v>مل</v>
      </c>
      <c r="J782" s="90">
        <f t="shared" ref="J782:J788" si="75">(H782/35)</f>
        <v>351.42857142857144</v>
      </c>
      <c r="K782" s="91">
        <f>VLOOKUP(F782, 'RM &amp; SF'!B:H, 7, 0)</f>
        <v>0</v>
      </c>
      <c r="L782" s="92">
        <f t="shared" si="74"/>
        <v>0</v>
      </c>
      <c r="M782" s="30" t="s">
        <v>813</v>
      </c>
    </row>
    <row r="783" spans="1:13" ht="14">
      <c r="A783" s="88" t="s">
        <v>2425</v>
      </c>
      <c r="B783" s="219" t="s">
        <v>648</v>
      </c>
      <c r="C783" s="30"/>
      <c r="D783" s="30" t="str">
        <f>VLOOKUP(B783, 'RM &amp; SF'!B:C, 2, 0)</f>
        <v xml:space="preserve">خبز تنور </v>
      </c>
      <c r="E783" s="30" t="s">
        <v>2203</v>
      </c>
      <c r="F783" s="110">
        <v>4152</v>
      </c>
      <c r="G783" s="30" t="str">
        <f>VLOOKUP(F783, 'RM &amp; SF'!B:C, 2, 0)</f>
        <v>ملح طعام 750غم*****</v>
      </c>
      <c r="H783" s="89">
        <v>200</v>
      </c>
      <c r="I783" s="30" t="str">
        <f>VLOOKUP(F783, 'RM &amp; SF'!B:H, 4, 0)</f>
        <v>غم</v>
      </c>
      <c r="J783" s="90">
        <f t="shared" si="75"/>
        <v>5.7142857142857144</v>
      </c>
      <c r="K783" s="91">
        <f>VLOOKUP(F783, 'RM &amp; SF'!B:H, 7, 0)</f>
        <v>1.7066666666666665E-4</v>
      </c>
      <c r="L783" s="92">
        <f t="shared" si="74"/>
        <v>9.752380952380952E-4</v>
      </c>
      <c r="M783" s="30" t="s">
        <v>813</v>
      </c>
    </row>
    <row r="784" spans="1:13" ht="14">
      <c r="A784" s="88" t="s">
        <v>2425</v>
      </c>
      <c r="B784" s="219" t="s">
        <v>648</v>
      </c>
      <c r="C784" s="30"/>
      <c r="D784" s="30" t="str">
        <f>VLOOKUP(B784, 'RM &amp; SF'!B:C, 2, 0)</f>
        <v xml:space="preserve">خبز تنور </v>
      </c>
      <c r="E784" s="30" t="s">
        <v>3058</v>
      </c>
      <c r="F784" s="110">
        <v>4014</v>
      </c>
      <c r="G784" s="30" t="str">
        <f>VLOOKUP(F784, 'RM &amp; SF'!B:C, 2, 0)</f>
        <v>حليب بودرة 1.800 كغ*****</v>
      </c>
      <c r="H784" s="89">
        <v>60</v>
      </c>
      <c r="I784" s="30" t="str">
        <f>VLOOKUP(F784, 'RM &amp; SF'!B:H, 4, 0)</f>
        <v>غم</v>
      </c>
      <c r="J784" s="90">
        <f t="shared" si="75"/>
        <v>1.7142857142857142</v>
      </c>
      <c r="K784" s="91">
        <f>VLOOKUP(F784, 'RM &amp; SF'!B:H, 7, 0)</f>
        <v>5.0266666666666663E-3</v>
      </c>
      <c r="L784" s="92">
        <f t="shared" si="74"/>
        <v>8.6171428571428562E-3</v>
      </c>
      <c r="M784" s="30" t="s">
        <v>813</v>
      </c>
    </row>
    <row r="785" spans="1:13" ht="14">
      <c r="A785" s="88" t="s">
        <v>2425</v>
      </c>
      <c r="B785" s="219" t="s">
        <v>648</v>
      </c>
      <c r="C785" s="30"/>
      <c r="D785" s="30" t="str">
        <f>VLOOKUP(B785, 'RM &amp; SF'!B:C, 2, 0)</f>
        <v xml:space="preserve">خبز تنور </v>
      </c>
      <c r="E785" s="30" t="s">
        <v>3058</v>
      </c>
      <c r="F785" s="110">
        <v>4207</v>
      </c>
      <c r="G785" s="30" t="str">
        <f>VLOOKUP(F785, 'RM &amp; SF'!B:C, 2, 0)</f>
        <v>كربونة*****</v>
      </c>
      <c r="H785" s="89">
        <v>40</v>
      </c>
      <c r="I785" s="30" t="str">
        <f>VLOOKUP(F785, 'RM &amp; SF'!B:H, 4, 0)</f>
        <v>غم</v>
      </c>
      <c r="J785" s="90">
        <f t="shared" si="75"/>
        <v>1.1428571428571428</v>
      </c>
      <c r="K785" s="91">
        <f>VLOOKUP(F785, 'RM &amp; SF'!B:H, 7, 0)</f>
        <v>6.4700000000000001E-4</v>
      </c>
      <c r="L785" s="92">
        <f t="shared" si="74"/>
        <v>7.3942857142857144E-4</v>
      </c>
      <c r="M785" s="30" t="s">
        <v>813</v>
      </c>
    </row>
    <row r="786" spans="1:13" ht="14">
      <c r="A786" s="88" t="s">
        <v>2425</v>
      </c>
      <c r="B786" s="219" t="s">
        <v>648</v>
      </c>
      <c r="C786" s="30"/>
      <c r="D786" s="30" t="str">
        <f>VLOOKUP(B786, 'RM &amp; SF'!B:C, 2, 0)</f>
        <v xml:space="preserve">خبز تنور </v>
      </c>
      <c r="E786" s="30" t="s">
        <v>3058</v>
      </c>
      <c r="F786" s="110">
        <v>5303</v>
      </c>
      <c r="G786" s="30" t="str">
        <f>VLOOKUP(F786, 'RM &amp; SF'!B:C, 2, 0)</f>
        <v>طحين زيرو 50ك*****</v>
      </c>
      <c r="H786" s="89">
        <v>18000</v>
      </c>
      <c r="I786" s="30" t="str">
        <f>VLOOKUP(F786, 'RM &amp; SF'!B:H, 4, 0)</f>
        <v>غم</v>
      </c>
      <c r="J786" s="90">
        <f t="shared" si="75"/>
        <v>514.28571428571433</v>
      </c>
      <c r="K786" s="91">
        <f>VLOOKUP(F786, 'RM &amp; SF'!B:H, 7, 0)</f>
        <v>2.6000000000000003E-4</v>
      </c>
      <c r="L786" s="92">
        <f t="shared" si="74"/>
        <v>0.13371428571428573</v>
      </c>
      <c r="M786" s="30" t="s">
        <v>813</v>
      </c>
    </row>
    <row r="787" spans="1:13" ht="14">
      <c r="A787" s="88" t="s">
        <v>2425</v>
      </c>
      <c r="B787" s="219" t="s">
        <v>648</v>
      </c>
      <c r="C787" s="30"/>
      <c r="D787" s="30" t="str">
        <f>VLOOKUP(B787, 'RM &amp; SF'!B:C, 2, 0)</f>
        <v xml:space="preserve">خبز تنور </v>
      </c>
      <c r="E787" s="30" t="s">
        <v>2284</v>
      </c>
      <c r="F787" s="110">
        <v>4153</v>
      </c>
      <c r="G787" s="30" t="str">
        <f>VLOOKUP(F787, 'RM &amp; SF'!B:C, 2, 0)</f>
        <v>سكر ابيض ناعم*****</v>
      </c>
      <c r="H787" s="89">
        <v>175</v>
      </c>
      <c r="I787" s="30" t="str">
        <f>VLOOKUP(F787, 'RM &amp; SF'!B:H, 4, 0)</f>
        <v>غم</v>
      </c>
      <c r="J787" s="90">
        <f t="shared" si="75"/>
        <v>5</v>
      </c>
      <c r="K787" s="91">
        <f>VLOOKUP(F787, 'RM &amp; SF'!B:H, 7, 0)</f>
        <v>5.2499999999999997E-4</v>
      </c>
      <c r="L787" s="92">
        <f t="shared" si="74"/>
        <v>2.6249999999999997E-3</v>
      </c>
      <c r="M787" s="30" t="s">
        <v>813</v>
      </c>
    </row>
    <row r="788" spans="1:13" ht="14">
      <c r="A788" s="88" t="s">
        <v>2425</v>
      </c>
      <c r="B788" s="219" t="s">
        <v>648</v>
      </c>
      <c r="C788" s="30"/>
      <c r="D788" s="30" t="str">
        <f>VLOOKUP(B788, 'RM &amp; SF'!B:C, 2, 0)</f>
        <v xml:space="preserve">خبز تنور </v>
      </c>
      <c r="E788" s="30" t="s">
        <v>3058</v>
      </c>
      <c r="F788" s="110">
        <v>4801</v>
      </c>
      <c r="G788" s="30" t="str">
        <f>VLOOKUP(F788, 'RM &amp; SF'!B:C, 2, 0)</f>
        <v>*****خميرة فورية 450 غم</v>
      </c>
      <c r="H788" s="89">
        <v>40</v>
      </c>
      <c r="I788" s="30" t="str">
        <f>VLOOKUP(F788, 'RM &amp; SF'!B:H, 4, 0)</f>
        <v>غم</v>
      </c>
      <c r="J788" s="90">
        <f t="shared" si="75"/>
        <v>1.1428571428571428</v>
      </c>
      <c r="K788" s="91">
        <f>VLOOKUP(F788, 'RM &amp; SF'!B:H, 7, 0)</f>
        <v>3.8311111111111111E-3</v>
      </c>
      <c r="L788" s="92">
        <f t="shared" si="74"/>
        <v>4.3784126984126983E-3</v>
      </c>
      <c r="M788" s="30" t="s">
        <v>813</v>
      </c>
    </row>
    <row r="789" spans="1:13" ht="14">
      <c r="A789" s="88" t="s">
        <v>2427</v>
      </c>
      <c r="B789" s="219" t="s">
        <v>634</v>
      </c>
      <c r="C789" s="30"/>
      <c r="D789" s="30" t="str">
        <f>VLOOKUP(B789, 'RM &amp; SF'!B:C, 2, 0)</f>
        <v xml:space="preserve">شوربة ذرة </v>
      </c>
      <c r="E789" s="30" t="s">
        <v>2275</v>
      </c>
      <c r="F789" s="110">
        <v>4071</v>
      </c>
      <c r="G789" s="30" t="str">
        <f>VLOOKUP(F789, 'RM &amp; SF'!B:C, 2, 0)</f>
        <v>ذرة حب 340 غم*****</v>
      </c>
      <c r="H789" s="89">
        <v>150</v>
      </c>
      <c r="I789" s="30" t="str">
        <f>VLOOKUP(F789, 'RM &amp; SF'!B:H, 4, 0)</f>
        <v>غم</v>
      </c>
      <c r="J789" s="90">
        <f t="shared" ref="J789:J798" si="76">H789/0.6</f>
        <v>250</v>
      </c>
      <c r="K789" s="91">
        <f>VLOOKUP(F789, 'RM &amp; SF'!B:H, 7, 0)</f>
        <v>1.6576E-3</v>
      </c>
      <c r="L789" s="92">
        <f t="shared" si="74"/>
        <v>0.41439999999999999</v>
      </c>
      <c r="M789" s="30" t="s">
        <v>813</v>
      </c>
    </row>
    <row r="790" spans="1:13" ht="14">
      <c r="A790" s="88" t="s">
        <v>2427</v>
      </c>
      <c r="B790" s="219" t="s">
        <v>634</v>
      </c>
      <c r="C790" s="30"/>
      <c r="D790" s="30" t="str">
        <f>VLOOKUP(B790, 'RM &amp; SF'!B:C, 2, 0)</f>
        <v xml:space="preserve">شوربة ذرة </v>
      </c>
      <c r="E790" s="30" t="s">
        <v>2290</v>
      </c>
      <c r="F790" s="110">
        <v>4554</v>
      </c>
      <c r="G790" s="30" t="str">
        <f>VLOOKUP(F790, 'RM &amp; SF'!B:C, 2, 0)</f>
        <v>حليب طويل الأجل كامل الدسم 1 لتر*****</v>
      </c>
      <c r="H790" s="89">
        <v>200</v>
      </c>
      <c r="I790" s="30" t="str">
        <f>VLOOKUP(F790, 'RM &amp; SF'!B:H, 4, 0)</f>
        <v>مل</v>
      </c>
      <c r="J790" s="90">
        <f t="shared" si="76"/>
        <v>333.33333333333337</v>
      </c>
      <c r="K790" s="91">
        <f>VLOOKUP(F790, 'RM &amp; SF'!B:H, 7, 0)</f>
        <v>8.0000000000000004E-4</v>
      </c>
      <c r="L790" s="92">
        <f t="shared" si="74"/>
        <v>0.26666666666666672</v>
      </c>
      <c r="M790" s="30" t="s">
        <v>813</v>
      </c>
    </row>
    <row r="791" spans="1:13" ht="14">
      <c r="A791" s="88" t="s">
        <v>2427</v>
      </c>
      <c r="B791" s="219" t="s">
        <v>634</v>
      </c>
      <c r="C791" s="30"/>
      <c r="D791" s="30" t="str">
        <f>VLOOKUP(B791, 'RM &amp; SF'!B:C, 2, 0)</f>
        <v xml:space="preserve">شوربة ذرة </v>
      </c>
      <c r="E791" s="30" t="s">
        <v>2234</v>
      </c>
      <c r="F791" s="110">
        <v>4503</v>
      </c>
      <c r="G791" s="30" t="str">
        <f>VLOOKUP(F791, 'RM &amp; SF'!B:C, 2, 0)</f>
        <v>بصل ناشف دفش*****</v>
      </c>
      <c r="H791" s="89">
        <v>15</v>
      </c>
      <c r="I791" s="30" t="str">
        <f>VLOOKUP(F791, 'RM &amp; SF'!B:H, 4, 0)</f>
        <v>غم</v>
      </c>
      <c r="J791" s="90">
        <f t="shared" si="76"/>
        <v>25</v>
      </c>
      <c r="K791" s="91">
        <f>VLOOKUP(F791, 'RM &amp; SF'!B:H, 7, 0)</f>
        <v>2.5000000000000001E-4</v>
      </c>
      <c r="L791" s="92">
        <f t="shared" si="74"/>
        <v>6.2500000000000003E-3</v>
      </c>
      <c r="M791" s="30" t="s">
        <v>813</v>
      </c>
    </row>
    <row r="792" spans="1:13" ht="15.5">
      <c r="A792" s="88" t="s">
        <v>2427</v>
      </c>
      <c r="B792" s="219" t="s">
        <v>634</v>
      </c>
      <c r="C792" s="30"/>
      <c r="D792" s="30" t="str">
        <f>VLOOKUP(B792, 'RM &amp; SF'!B:C, 2, 0)</f>
        <v xml:space="preserve">شوربة ذرة </v>
      </c>
      <c r="E792" s="30" t="s">
        <v>2321</v>
      </c>
      <c r="F792" s="67">
        <v>5292</v>
      </c>
      <c r="G792" s="30" t="str">
        <f>VLOOKUP(F792, 'RM &amp; SF'!B:C, 2, 0)</f>
        <v>ثوم مقشر*****</v>
      </c>
      <c r="H792" s="89">
        <v>5</v>
      </c>
      <c r="I792" s="30" t="str">
        <f>VLOOKUP(F792, 'RM &amp; SF'!B:H, 4, 0)</f>
        <v>غم</v>
      </c>
      <c r="J792" s="90">
        <f t="shared" si="76"/>
        <v>8.3333333333333339</v>
      </c>
      <c r="K792" s="91">
        <f>VLOOKUP(F792, 'RM &amp; SF'!B:H, 7, 0)</f>
        <v>4.4999999999999997E-3</v>
      </c>
      <c r="L792" s="92">
        <f t="shared" si="74"/>
        <v>3.7499999999999999E-2</v>
      </c>
      <c r="M792" s="30" t="s">
        <v>813</v>
      </c>
    </row>
    <row r="793" spans="1:13" ht="14">
      <c r="A793" s="88" t="s">
        <v>2427</v>
      </c>
      <c r="B793" s="219" t="s">
        <v>634</v>
      </c>
      <c r="C793" s="30"/>
      <c r="D793" s="30" t="str">
        <f>VLOOKUP(B793, 'RM &amp; SF'!B:C, 2, 0)</f>
        <v xml:space="preserve">شوربة ذرة </v>
      </c>
      <c r="E793" s="30" t="s">
        <v>2177</v>
      </c>
      <c r="F793" s="110">
        <v>4566</v>
      </c>
      <c r="G793" s="30" t="str">
        <f>VLOOKUP(F793, 'RM &amp; SF'!B:C, 2, 0)</f>
        <v>زبدة صفائح 5*2 كغ*****</v>
      </c>
      <c r="H793" s="89">
        <v>15</v>
      </c>
      <c r="I793" s="30" t="str">
        <f>VLOOKUP(F793, 'RM &amp; SF'!B:H, 4, 0)</f>
        <v>غم</v>
      </c>
      <c r="J793" s="90">
        <f t="shared" si="76"/>
        <v>25</v>
      </c>
      <c r="K793" s="91">
        <f>VLOOKUP(F793, 'RM &amp; SF'!B:H, 7, 0)</f>
        <v>2E-3</v>
      </c>
      <c r="L793" s="92">
        <f t="shared" si="74"/>
        <v>0.05</v>
      </c>
      <c r="M793" s="30" t="s">
        <v>813</v>
      </c>
    </row>
    <row r="794" spans="1:13" ht="14">
      <c r="A794" s="88" t="s">
        <v>2427</v>
      </c>
      <c r="B794" s="219" t="s">
        <v>634</v>
      </c>
      <c r="C794" s="30"/>
      <c r="D794" s="30" t="str">
        <f>VLOOKUP(B794, 'RM &amp; SF'!B:C, 2, 0)</f>
        <v xml:space="preserve">شوربة ذرة </v>
      </c>
      <c r="E794" s="30" t="s">
        <v>2291</v>
      </c>
      <c r="F794" s="110">
        <v>4556</v>
      </c>
      <c r="G794" s="30" t="str">
        <f>VLOOKUP(F794, 'RM &amp; SF'!B:C, 2, 0)</f>
        <v>كريما طبخ 1 لتر*****</v>
      </c>
      <c r="H794" s="89">
        <v>100</v>
      </c>
      <c r="I794" s="30" t="str">
        <f>VLOOKUP(F794, 'RM &amp; SF'!B:H, 4, 0)</f>
        <v>مل</v>
      </c>
      <c r="J794" s="90">
        <f t="shared" si="76"/>
        <v>166.66666666666669</v>
      </c>
      <c r="K794" s="91">
        <f>VLOOKUP(F794, 'RM &amp; SF'!B:H, 7, 0)</f>
        <v>2.2269999999999998E-3</v>
      </c>
      <c r="L794" s="92">
        <f t="shared" si="74"/>
        <v>0.3711666666666667</v>
      </c>
      <c r="M794" s="30" t="s">
        <v>813</v>
      </c>
    </row>
    <row r="795" spans="1:13" ht="14">
      <c r="A795" s="88" t="s">
        <v>2427</v>
      </c>
      <c r="B795" s="219" t="s">
        <v>634</v>
      </c>
      <c r="C795" s="30"/>
      <c r="D795" s="30" t="str">
        <f>VLOOKUP(B795, 'RM &amp; SF'!B:C, 2, 0)</f>
        <v xml:space="preserve">شوربة ذرة </v>
      </c>
      <c r="E795" s="30" t="s">
        <v>3058</v>
      </c>
      <c r="F795" s="110">
        <v>3</v>
      </c>
      <c r="G795" s="30" t="str">
        <f>VLOOKUP(F795, 'RM &amp; SF'!B:C, 2, 0)</f>
        <v>مياه حنفية</v>
      </c>
      <c r="H795" s="89">
        <v>200</v>
      </c>
      <c r="I795" s="30" t="str">
        <f>VLOOKUP(F795, 'RM &amp; SF'!B:H, 4, 0)</f>
        <v>مل</v>
      </c>
      <c r="J795" s="90">
        <f t="shared" si="76"/>
        <v>333.33333333333337</v>
      </c>
      <c r="K795" s="91">
        <f>VLOOKUP(F795, 'RM &amp; SF'!B:H, 7, 0)</f>
        <v>0</v>
      </c>
      <c r="L795" s="92">
        <f t="shared" si="74"/>
        <v>0</v>
      </c>
      <c r="M795" s="30" t="s">
        <v>813</v>
      </c>
    </row>
    <row r="796" spans="1:13" ht="14">
      <c r="A796" s="88" t="s">
        <v>2427</v>
      </c>
      <c r="B796" s="219" t="s">
        <v>634</v>
      </c>
      <c r="C796" s="30"/>
      <c r="D796" s="30" t="str">
        <f>VLOOKUP(B796, 'RM &amp; SF'!B:C, 2, 0)</f>
        <v xml:space="preserve">شوربة ذرة </v>
      </c>
      <c r="E796" s="30" t="s">
        <v>2203</v>
      </c>
      <c r="F796" s="110">
        <v>4152</v>
      </c>
      <c r="G796" s="30" t="str">
        <f>VLOOKUP(F796, 'RM &amp; SF'!B:C, 2, 0)</f>
        <v>ملح طعام 750غم*****</v>
      </c>
      <c r="H796" s="89">
        <v>3</v>
      </c>
      <c r="I796" s="30" t="str">
        <f>VLOOKUP(F796, 'RM &amp; SF'!B:H, 4, 0)</f>
        <v>غم</v>
      </c>
      <c r="J796" s="90">
        <f t="shared" si="76"/>
        <v>5</v>
      </c>
      <c r="K796" s="91">
        <f>VLOOKUP(F796, 'RM &amp; SF'!B:H, 7, 0)</f>
        <v>1.7066666666666665E-4</v>
      </c>
      <c r="L796" s="92">
        <f t="shared" si="74"/>
        <v>8.5333333333333322E-4</v>
      </c>
      <c r="M796" s="30" t="s">
        <v>813</v>
      </c>
    </row>
    <row r="797" spans="1:13" ht="14">
      <c r="A797" s="88" t="s">
        <v>2427</v>
      </c>
      <c r="B797" s="219" t="s">
        <v>634</v>
      </c>
      <c r="C797" s="30"/>
      <c r="D797" s="30" t="str">
        <f>VLOOKUP(B797, 'RM &amp; SF'!B:C, 2, 0)</f>
        <v xml:space="preserve">شوربة ذرة </v>
      </c>
      <c r="E797" s="30" t="s">
        <v>2206</v>
      </c>
      <c r="F797" s="110">
        <v>4204</v>
      </c>
      <c r="G797" s="30" t="str">
        <f>VLOOKUP(F797, 'RM &amp; SF'!B:C, 2, 0)</f>
        <v>فلفل اسود ناعم*****</v>
      </c>
      <c r="H797" s="89">
        <v>1</v>
      </c>
      <c r="I797" s="30" t="str">
        <f>VLOOKUP(F797, 'RM &amp; SF'!B:H, 4, 0)</f>
        <v>غم</v>
      </c>
      <c r="J797" s="90">
        <f t="shared" si="76"/>
        <v>1.6666666666666667</v>
      </c>
      <c r="K797" s="91">
        <f>VLOOKUP(F797, 'RM &amp; SF'!B:H, 7, 0)</f>
        <v>6.8970000000000004E-3</v>
      </c>
      <c r="L797" s="92">
        <f t="shared" si="74"/>
        <v>1.1495000000000002E-2</v>
      </c>
      <c r="M797" s="30" t="s">
        <v>813</v>
      </c>
    </row>
    <row r="798" spans="1:13" ht="14">
      <c r="A798" s="88" t="s">
        <v>2427</v>
      </c>
      <c r="B798" s="219" t="s">
        <v>634</v>
      </c>
      <c r="C798" s="30"/>
      <c r="D798" s="30" t="str">
        <f>VLOOKUP(B798, 'RM &amp; SF'!B:C, 2, 0)</f>
        <v xml:space="preserve">شوربة ذرة </v>
      </c>
      <c r="E798" s="30" t="s">
        <v>3058</v>
      </c>
      <c r="F798" s="110">
        <v>4022</v>
      </c>
      <c r="G798" s="30" t="str">
        <f>VLOOKUP(F798, 'RM &amp; SF'!B:C, 2, 0)</f>
        <v>مرق الدجاج بودرة 1 كغ*****</v>
      </c>
      <c r="H798" s="89">
        <v>3</v>
      </c>
      <c r="I798" s="30" t="str">
        <f>VLOOKUP(F798, 'RM &amp; SF'!B:H, 4, 0)</f>
        <v>غم</v>
      </c>
      <c r="J798" s="90">
        <f t="shared" si="76"/>
        <v>5</v>
      </c>
      <c r="K798" s="91">
        <f>VLOOKUP(F798, 'RM &amp; SF'!B:H, 7, 0)</f>
        <v>4.7054597701149427E-3</v>
      </c>
      <c r="L798" s="92">
        <f t="shared" si="74"/>
        <v>2.3527298850574713E-2</v>
      </c>
      <c r="M798" s="30" t="s">
        <v>813</v>
      </c>
    </row>
    <row r="799" spans="1:13" ht="14">
      <c r="A799" s="88" t="s">
        <v>2451</v>
      </c>
      <c r="B799" s="219" t="s">
        <v>640</v>
      </c>
      <c r="C799" s="30"/>
      <c r="D799" s="30" t="str">
        <f>VLOOKUP(B799, 'RM &amp; SF'!B:C, 2, 0)</f>
        <v xml:space="preserve">دجاج محشي </v>
      </c>
      <c r="E799" s="30" t="s">
        <v>2234</v>
      </c>
      <c r="F799" s="110">
        <v>4503</v>
      </c>
      <c r="G799" s="30" t="str">
        <f>VLOOKUP(F799, 'RM &amp; SF'!B:C, 2, 0)</f>
        <v>بصل ناشف دفش*****</v>
      </c>
      <c r="H799" s="89">
        <v>350</v>
      </c>
      <c r="I799" s="30" t="str">
        <f>VLOOKUP(F799, 'RM &amp; SF'!B:H, 4, 0)</f>
        <v>غم</v>
      </c>
      <c r="J799" s="90">
        <f t="shared" ref="J799:J819" si="77">H799/14</f>
        <v>25</v>
      </c>
      <c r="K799" s="91">
        <f>VLOOKUP(F799, 'RM &amp; SF'!B:H, 7, 0)</f>
        <v>2.5000000000000001E-4</v>
      </c>
      <c r="L799" s="92">
        <f t="shared" si="74"/>
        <v>6.2500000000000003E-3</v>
      </c>
      <c r="M799" s="30" t="s">
        <v>813</v>
      </c>
    </row>
    <row r="800" spans="1:13" ht="14">
      <c r="A800" s="88" t="s">
        <v>2451</v>
      </c>
      <c r="B800" s="219" t="s">
        <v>640</v>
      </c>
      <c r="C800" s="30"/>
      <c r="D800" s="30" t="str">
        <f>VLOOKUP(B800, 'RM &amp; SF'!B:C, 2, 0)</f>
        <v xml:space="preserve">دجاج محشي </v>
      </c>
      <c r="E800" s="30" t="s">
        <v>2392</v>
      </c>
      <c r="F800" s="110" t="s">
        <v>590</v>
      </c>
      <c r="G800" s="30" t="str">
        <f>VLOOKUP(F800, 'RM &amp; SF'!B:C, 2, 0)</f>
        <v>ارز زرب</v>
      </c>
      <c r="H800" s="89">
        <v>500</v>
      </c>
      <c r="I800" s="30" t="str">
        <f>VLOOKUP(F800, 'RM &amp; SF'!B:H, 4, 0)</f>
        <v>غم</v>
      </c>
      <c r="J800" s="90">
        <f t="shared" si="77"/>
        <v>35.714285714285715</v>
      </c>
      <c r="K800" s="91">
        <f>VLOOKUP(F800, 'RM &amp; SF'!B:H, 7, 0)</f>
        <v>5.1539514056513406E-4</v>
      </c>
      <c r="L800" s="92">
        <f t="shared" si="74"/>
        <v>1.8406969305897646E-2</v>
      </c>
      <c r="M800" s="30" t="s">
        <v>813</v>
      </c>
    </row>
    <row r="801" spans="1:13" ht="14">
      <c r="A801" s="88" t="s">
        <v>2451</v>
      </c>
      <c r="B801" s="219" t="s">
        <v>640</v>
      </c>
      <c r="C801" s="30"/>
      <c r="D801" s="30" t="str">
        <f>VLOOKUP(B801, 'RM &amp; SF'!B:C, 2, 0)</f>
        <v xml:space="preserve">دجاج محشي </v>
      </c>
      <c r="E801" s="30" t="s">
        <v>2260</v>
      </c>
      <c r="F801" s="110">
        <v>4160</v>
      </c>
      <c r="G801" s="30" t="str">
        <f>VLOOKUP(F801, 'RM &amp; SF'!B:C, 2, 0)</f>
        <v>زيت صويا 18 لتر*****</v>
      </c>
      <c r="H801" s="89">
        <v>150</v>
      </c>
      <c r="I801" s="30" t="str">
        <f>VLOOKUP(F801, 'RM &amp; SF'!B:H, 4, 0)</f>
        <v>مل</v>
      </c>
      <c r="J801" s="90">
        <f t="shared" si="77"/>
        <v>10.714285714285714</v>
      </c>
      <c r="K801" s="91">
        <f>VLOOKUP(F801, 'RM &amp; SF'!B:H, 7, 0)</f>
        <v>1.335E-3</v>
      </c>
      <c r="L801" s="92">
        <f t="shared" si="74"/>
        <v>1.4303571428571428E-2</v>
      </c>
      <c r="M801" s="30" t="s">
        <v>813</v>
      </c>
    </row>
    <row r="802" spans="1:13" ht="14">
      <c r="A802" s="88" t="s">
        <v>2451</v>
      </c>
      <c r="B802" s="219" t="s">
        <v>640</v>
      </c>
      <c r="C802" s="30"/>
      <c r="D802" s="30" t="str">
        <f>VLOOKUP(B802, 'RM &amp; SF'!B:C, 2, 0)</f>
        <v xml:space="preserve">دجاج محشي </v>
      </c>
      <c r="E802" s="30" t="s">
        <v>2206</v>
      </c>
      <c r="F802" s="110">
        <v>4204</v>
      </c>
      <c r="G802" s="30" t="str">
        <f>VLOOKUP(F802, 'RM &amp; SF'!B:C, 2, 0)</f>
        <v>فلفل اسود ناعم*****</v>
      </c>
      <c r="H802" s="89">
        <v>5</v>
      </c>
      <c r="I802" s="30" t="str">
        <f>VLOOKUP(F802, 'RM &amp; SF'!B:H, 4, 0)</f>
        <v>غم</v>
      </c>
      <c r="J802" s="90">
        <f t="shared" si="77"/>
        <v>0.35714285714285715</v>
      </c>
      <c r="K802" s="91">
        <f>VLOOKUP(F802, 'RM &amp; SF'!B:H, 7, 0)</f>
        <v>6.8970000000000004E-3</v>
      </c>
      <c r="L802" s="92">
        <f t="shared" si="74"/>
        <v>2.463214285714286E-3</v>
      </c>
      <c r="M802" s="30" t="s">
        <v>813</v>
      </c>
    </row>
    <row r="803" spans="1:13" ht="14">
      <c r="A803" s="88" t="s">
        <v>2451</v>
      </c>
      <c r="B803" s="219" t="s">
        <v>640</v>
      </c>
      <c r="C803" s="30"/>
      <c r="D803" s="30" t="str">
        <f>VLOOKUP(B803, 'RM &amp; SF'!B:C, 2, 0)</f>
        <v xml:space="preserve">دجاج محشي </v>
      </c>
      <c r="E803" s="30" t="s">
        <v>2213</v>
      </c>
      <c r="F803" s="110">
        <v>4218</v>
      </c>
      <c r="G803" s="30" t="str">
        <f>VLOOKUP(F803, 'RM &amp; SF'!B:C, 2, 0)</f>
        <v>بهارات مشكلة*****</v>
      </c>
      <c r="H803" s="89">
        <v>15</v>
      </c>
      <c r="I803" s="30" t="str">
        <f>VLOOKUP(F803, 'RM &amp; SF'!B:H, 4, 0)</f>
        <v>غم</v>
      </c>
      <c r="J803" s="90">
        <f t="shared" si="77"/>
        <v>1.0714285714285714</v>
      </c>
      <c r="K803" s="91">
        <f>VLOOKUP(F803, 'RM &amp; SF'!B:H, 7, 0)</f>
        <v>3.0169999999999997E-3</v>
      </c>
      <c r="L803" s="92">
        <f t="shared" si="74"/>
        <v>3.2324999999999997E-3</v>
      </c>
      <c r="M803" s="30" t="s">
        <v>813</v>
      </c>
    </row>
    <row r="804" spans="1:13" ht="14">
      <c r="A804" s="88" t="s">
        <v>2451</v>
      </c>
      <c r="B804" s="219" t="s">
        <v>640</v>
      </c>
      <c r="C804" s="30"/>
      <c r="D804" s="30" t="str">
        <f>VLOOKUP(B804, 'RM &amp; SF'!B:C, 2, 0)</f>
        <v xml:space="preserve">دجاج محشي </v>
      </c>
      <c r="E804" s="30" t="s">
        <v>2218</v>
      </c>
      <c r="F804" s="110">
        <v>4233</v>
      </c>
      <c r="G804" s="30" t="str">
        <f>VLOOKUP(F804, 'RM &amp; SF'!B:C, 2, 0)</f>
        <v>هال ناعم*****</v>
      </c>
      <c r="H804" s="89">
        <v>5</v>
      </c>
      <c r="I804" s="30" t="str">
        <f>VLOOKUP(F804, 'RM &amp; SF'!B:H, 4, 0)</f>
        <v>غم</v>
      </c>
      <c r="J804" s="90">
        <f t="shared" si="77"/>
        <v>0.35714285714285715</v>
      </c>
      <c r="K804" s="91">
        <f>VLOOKUP(F804, 'RM &amp; SF'!B:H, 7, 0)</f>
        <v>2.3E-2</v>
      </c>
      <c r="L804" s="92">
        <f t="shared" si="74"/>
        <v>8.2142857142857139E-3</v>
      </c>
      <c r="M804" s="30" t="s">
        <v>813</v>
      </c>
    </row>
    <row r="805" spans="1:13" ht="14">
      <c r="A805" s="88" t="s">
        <v>2451</v>
      </c>
      <c r="B805" s="219" t="s">
        <v>640</v>
      </c>
      <c r="C805" s="30"/>
      <c r="D805" s="30" t="str">
        <f>VLOOKUP(B805, 'RM &amp; SF'!B:C, 2, 0)</f>
        <v xml:space="preserve">دجاج محشي </v>
      </c>
      <c r="E805" s="30" t="s">
        <v>3058</v>
      </c>
      <c r="F805" s="110">
        <v>4577</v>
      </c>
      <c r="G805" s="30" t="str">
        <f>VLOOKUP(F805, 'RM &amp; SF'!B:C, 2, 0)</f>
        <v>دجاج حب مع رقبة طازج للمشاغل 1100-1400غم*****</v>
      </c>
      <c r="H805" s="89">
        <v>14</v>
      </c>
      <c r="I805" s="30" t="str">
        <f>VLOOKUP(F805, 'RM &amp; SF'!B:H, 4, 0)</f>
        <v>غم</v>
      </c>
      <c r="J805" s="90">
        <f t="shared" si="77"/>
        <v>1</v>
      </c>
      <c r="K805" s="91">
        <f>VLOOKUP(F805, 'RM &amp; SF'!B:H, 7, 0)</f>
        <v>2.3400000000000001E-3</v>
      </c>
      <c r="L805" s="92">
        <f t="shared" si="74"/>
        <v>2.3400000000000001E-3</v>
      </c>
      <c r="M805" s="30" t="s">
        <v>813</v>
      </c>
    </row>
    <row r="806" spans="1:13" ht="14">
      <c r="A806" s="88" t="s">
        <v>2451</v>
      </c>
      <c r="B806" s="219" t="s">
        <v>640</v>
      </c>
      <c r="C806" s="30"/>
      <c r="D806" s="30" t="str">
        <f>VLOOKUP(B806, 'RM &amp; SF'!B:C, 2, 0)</f>
        <v xml:space="preserve">دجاج محشي </v>
      </c>
      <c r="E806" s="30" t="s">
        <v>2230</v>
      </c>
      <c r="F806" s="110">
        <v>4497</v>
      </c>
      <c r="G806" s="30" t="str">
        <f>VLOOKUP(F806, 'RM &amp; SF'!B:C, 2, 0)</f>
        <v>بطاطا*****</v>
      </c>
      <c r="H806" s="89">
        <v>900</v>
      </c>
      <c r="I806" s="30" t="str">
        <f>VLOOKUP(F806, 'RM &amp; SF'!B:H, 4, 0)</f>
        <v>غم</v>
      </c>
      <c r="J806" s="90">
        <f t="shared" si="77"/>
        <v>64.285714285714292</v>
      </c>
      <c r="K806" s="91">
        <f>VLOOKUP(F806, 'RM &amp; SF'!B:H, 7, 0)</f>
        <v>4.0000000000000002E-4</v>
      </c>
      <c r="L806" s="92">
        <f t="shared" si="74"/>
        <v>2.5714285714285717E-2</v>
      </c>
      <c r="M806" s="30" t="s">
        <v>813</v>
      </c>
    </row>
    <row r="807" spans="1:13" ht="14">
      <c r="A807" s="88" t="s">
        <v>2451</v>
      </c>
      <c r="B807" s="219" t="s">
        <v>640</v>
      </c>
      <c r="C807" s="30"/>
      <c r="D807" s="30" t="str">
        <f>VLOOKUP(B807, 'RM &amp; SF'!B:C, 2, 0)</f>
        <v xml:space="preserve">دجاج محشي </v>
      </c>
      <c r="E807" s="30" t="s">
        <v>2260</v>
      </c>
      <c r="F807" s="110">
        <v>4160</v>
      </c>
      <c r="G807" s="30" t="str">
        <f>VLOOKUP(F807, 'RM &amp; SF'!B:C, 2, 0)</f>
        <v>زيت صويا 18 لتر*****</v>
      </c>
      <c r="H807" s="89">
        <v>400</v>
      </c>
      <c r="I807" s="30" t="str">
        <f>VLOOKUP(F807, 'RM &amp; SF'!B:H, 4, 0)</f>
        <v>مل</v>
      </c>
      <c r="J807" s="90">
        <f t="shared" si="77"/>
        <v>28.571428571428573</v>
      </c>
      <c r="K807" s="91">
        <f>VLOOKUP(F807, 'RM &amp; SF'!B:H, 7, 0)</f>
        <v>1.335E-3</v>
      </c>
      <c r="L807" s="92">
        <f t="shared" si="74"/>
        <v>3.8142857142857145E-2</v>
      </c>
      <c r="M807" s="30" t="s">
        <v>813</v>
      </c>
    </row>
    <row r="808" spans="1:13" ht="14">
      <c r="A808" s="88" t="s">
        <v>2451</v>
      </c>
      <c r="B808" s="219" t="s">
        <v>640</v>
      </c>
      <c r="C808" s="30"/>
      <c r="D808" s="30" t="str">
        <f>VLOOKUP(B808, 'RM &amp; SF'!B:C, 2, 0)</f>
        <v xml:space="preserve">دجاج محشي </v>
      </c>
      <c r="E808" s="30" t="s">
        <v>2266</v>
      </c>
      <c r="F808" s="110">
        <v>4008</v>
      </c>
      <c r="G808" s="30" t="str">
        <f>VLOOKUP(F808, 'RM &amp; SF'!B:C, 2, 0)</f>
        <v>صويا صوص 3.79 لتر*****</v>
      </c>
      <c r="H808" s="89">
        <v>200</v>
      </c>
      <c r="I808" s="30" t="str">
        <f>VLOOKUP(F808, 'RM &amp; SF'!B:H, 4, 0)</f>
        <v>مل</v>
      </c>
      <c r="J808" s="90">
        <f t="shared" si="77"/>
        <v>14.285714285714286</v>
      </c>
      <c r="K808" s="91">
        <f>VLOOKUP(F808, 'RM &amp; SF'!B:H, 7, 0)</f>
        <v>3.0699999999999998E-3</v>
      </c>
      <c r="L808" s="92">
        <f t="shared" si="74"/>
        <v>4.3857142857142858E-2</v>
      </c>
      <c r="M808" s="30" t="s">
        <v>813</v>
      </c>
    </row>
    <row r="809" spans="1:13" ht="14">
      <c r="A809" s="88" t="s">
        <v>2451</v>
      </c>
      <c r="B809" s="219" t="s">
        <v>640</v>
      </c>
      <c r="C809" s="30"/>
      <c r="D809" s="30" t="str">
        <f>VLOOKUP(B809, 'RM &amp; SF'!B:C, 2, 0)</f>
        <v xml:space="preserve">دجاج محشي </v>
      </c>
      <c r="E809" s="30" t="s">
        <v>2269</v>
      </c>
      <c r="F809" s="110">
        <v>4011</v>
      </c>
      <c r="G809" s="30" t="str">
        <f>VLOOKUP(F809, 'RM &amp; SF'!B:C, 2, 0)</f>
        <v>كاتشب طماطم 5 كغ*****</v>
      </c>
      <c r="H809" s="89">
        <v>350</v>
      </c>
      <c r="I809" s="30" t="str">
        <f>VLOOKUP(F809, 'RM &amp; SF'!B:H, 4, 0)</f>
        <v>غم</v>
      </c>
      <c r="J809" s="90">
        <f t="shared" si="77"/>
        <v>25</v>
      </c>
      <c r="K809" s="91">
        <f>VLOOKUP(F809, 'RM &amp; SF'!B:H, 7, 0)</f>
        <v>6.8959999999999996E-4</v>
      </c>
      <c r="L809" s="92">
        <f t="shared" si="74"/>
        <v>1.7239999999999998E-2</v>
      </c>
      <c r="M809" s="30" t="s">
        <v>813</v>
      </c>
    </row>
    <row r="810" spans="1:13" ht="14">
      <c r="A810" s="88" t="s">
        <v>2451</v>
      </c>
      <c r="B810" s="219" t="s">
        <v>640</v>
      </c>
      <c r="C810" s="30"/>
      <c r="D810" s="30" t="str">
        <f>VLOOKUP(B810, 'RM &amp; SF'!B:C, 2, 0)</f>
        <v xml:space="preserve">دجاج محشي </v>
      </c>
      <c r="E810" s="30" t="s">
        <v>2206</v>
      </c>
      <c r="F810" s="110">
        <v>4204</v>
      </c>
      <c r="G810" s="30" t="str">
        <f>VLOOKUP(F810, 'RM &amp; SF'!B:C, 2, 0)</f>
        <v>فلفل اسود ناعم*****</v>
      </c>
      <c r="H810" s="89">
        <v>5</v>
      </c>
      <c r="I810" s="30" t="str">
        <f>VLOOKUP(F810, 'RM &amp; SF'!B:H, 4, 0)</f>
        <v>غم</v>
      </c>
      <c r="J810" s="90">
        <f t="shared" si="77"/>
        <v>0.35714285714285715</v>
      </c>
      <c r="K810" s="91">
        <f>VLOOKUP(F810, 'RM &amp; SF'!B:H, 7, 0)</f>
        <v>6.8970000000000004E-3</v>
      </c>
      <c r="L810" s="92">
        <f t="shared" si="74"/>
        <v>2.463214285714286E-3</v>
      </c>
      <c r="M810" s="30" t="s">
        <v>813</v>
      </c>
    </row>
    <row r="811" spans="1:13" ht="14">
      <c r="A811" s="88" t="s">
        <v>2451</v>
      </c>
      <c r="B811" s="219" t="s">
        <v>640</v>
      </c>
      <c r="C811" s="30"/>
      <c r="D811" s="30" t="str">
        <f>VLOOKUP(B811, 'RM &amp; SF'!B:C, 2, 0)</f>
        <v xml:space="preserve">دجاج محشي </v>
      </c>
      <c r="E811" s="30" t="s">
        <v>3058</v>
      </c>
      <c r="F811" s="110">
        <v>5037</v>
      </c>
      <c r="G811" s="30" t="str">
        <f>VLOOKUP(F811, 'RM &amp; SF'!B:C, 2, 0)</f>
        <v>عصفر ريش*****</v>
      </c>
      <c r="H811" s="89">
        <v>10</v>
      </c>
      <c r="I811" s="30" t="str">
        <f>VLOOKUP(F811, 'RM &amp; SF'!B:H, 4, 0)</f>
        <v>غم</v>
      </c>
      <c r="J811" s="90">
        <f t="shared" si="77"/>
        <v>0.7142857142857143</v>
      </c>
      <c r="K811" s="91">
        <f>VLOOKUP(F811, 'RM &amp; SF'!B:H, 7, 0)</f>
        <v>1.7240999999999999E-2</v>
      </c>
      <c r="L811" s="92">
        <f t="shared" si="74"/>
        <v>1.2315E-2</v>
      </c>
      <c r="M811" s="30" t="s">
        <v>813</v>
      </c>
    </row>
    <row r="812" spans="1:13" ht="14">
      <c r="A812" s="88" t="s">
        <v>2451</v>
      </c>
      <c r="B812" s="219" t="s">
        <v>640</v>
      </c>
      <c r="C812" s="30"/>
      <c r="D812" s="30" t="str">
        <f>VLOOKUP(B812, 'RM &amp; SF'!B:C, 2, 0)</f>
        <v xml:space="preserve">دجاج محشي </v>
      </c>
      <c r="E812" s="30" t="s">
        <v>3058</v>
      </c>
      <c r="F812" s="110">
        <v>4044</v>
      </c>
      <c r="G812" s="30" t="str">
        <f>VLOOKUP(F812, 'RM &amp; SF'!B:C, 2, 0)</f>
        <v>خردل ديجون الاضافي القوي 200 غم*****</v>
      </c>
      <c r="H812" s="89">
        <v>50</v>
      </c>
      <c r="I812" s="30" t="str">
        <f>VLOOKUP(F812, 'RM &amp; SF'!B:H, 4, 0)</f>
        <v>غم</v>
      </c>
      <c r="J812" s="90">
        <f t="shared" si="77"/>
        <v>3.5714285714285716</v>
      </c>
      <c r="K812" s="91">
        <f>VLOOKUP(F812, 'RM &amp; SF'!B:H, 7, 0)</f>
        <v>8.0057142857142861E-3</v>
      </c>
      <c r="L812" s="92">
        <f t="shared" si="74"/>
        <v>2.8591836734693881E-2</v>
      </c>
      <c r="M812" s="30" t="s">
        <v>813</v>
      </c>
    </row>
    <row r="813" spans="1:13" ht="14">
      <c r="A813" s="88" t="s">
        <v>2451</v>
      </c>
      <c r="B813" s="219" t="s">
        <v>640</v>
      </c>
      <c r="C813" s="30"/>
      <c r="D813" s="30" t="str">
        <f>VLOOKUP(B813, 'RM &amp; SF'!B:C, 2, 0)</f>
        <v xml:space="preserve">دجاج محشي </v>
      </c>
      <c r="E813" s="30" t="s">
        <v>2214</v>
      </c>
      <c r="F813" s="110">
        <v>4223</v>
      </c>
      <c r="G813" s="30" t="str">
        <f>VLOOKUP(F813, 'RM &amp; SF'!B:C, 2, 0)</f>
        <v>بهارات كاري*****</v>
      </c>
      <c r="H813" s="89">
        <v>10</v>
      </c>
      <c r="I813" s="30" t="str">
        <f>VLOOKUP(F813, 'RM &amp; SF'!B:H, 4, 0)</f>
        <v>غم</v>
      </c>
      <c r="J813" s="90">
        <f t="shared" si="77"/>
        <v>0.7142857142857143</v>
      </c>
      <c r="K813" s="91">
        <f>VLOOKUP(F813, 'RM &amp; SF'!B:H, 7, 0)</f>
        <v>2.2409999999999999E-3</v>
      </c>
      <c r="L813" s="92">
        <f t="shared" si="74"/>
        <v>1.6007142857142856E-3</v>
      </c>
      <c r="M813" s="30" t="s">
        <v>813</v>
      </c>
    </row>
    <row r="814" spans="1:13" ht="14">
      <c r="A814" s="88" t="s">
        <v>2451</v>
      </c>
      <c r="B814" s="219" t="s">
        <v>640</v>
      </c>
      <c r="C814" s="30"/>
      <c r="D814" s="30" t="str">
        <f>VLOOKUP(B814, 'RM &amp; SF'!B:C, 2, 0)</f>
        <v xml:space="preserve">دجاج محشي </v>
      </c>
      <c r="E814" s="30" t="s">
        <v>2220</v>
      </c>
      <c r="F814" s="110">
        <v>4236</v>
      </c>
      <c r="G814" s="30" t="str">
        <f>VLOOKUP(F814, 'RM &amp; SF'!B:C, 2, 0)</f>
        <v>بصل ناعم*****</v>
      </c>
      <c r="H814" s="89">
        <v>15</v>
      </c>
      <c r="I814" s="30" t="str">
        <f>VLOOKUP(F814, 'RM &amp; SF'!B:H, 4, 0)</f>
        <v>غم</v>
      </c>
      <c r="J814" s="90">
        <f t="shared" si="77"/>
        <v>1.0714285714285714</v>
      </c>
      <c r="K814" s="91">
        <f>VLOOKUP(F814, 'RM &amp; SF'!B:H, 7, 0)</f>
        <v>2.3709999999999998E-3</v>
      </c>
      <c r="L814" s="92">
        <f t="shared" si="74"/>
        <v>2.5403571428571428E-3</v>
      </c>
      <c r="M814" s="30" t="s">
        <v>813</v>
      </c>
    </row>
    <row r="815" spans="1:13" ht="14">
      <c r="A815" s="88" t="s">
        <v>2451</v>
      </c>
      <c r="B815" s="219" t="s">
        <v>640</v>
      </c>
      <c r="C815" s="30"/>
      <c r="D815" s="30" t="str">
        <f>VLOOKUP(B815, 'RM &amp; SF'!B:C, 2, 0)</f>
        <v xml:space="preserve">دجاج محشي </v>
      </c>
      <c r="E815" s="30" t="s">
        <v>2218</v>
      </c>
      <c r="F815" s="110">
        <v>4233</v>
      </c>
      <c r="G815" s="30" t="str">
        <f>VLOOKUP(F815, 'RM &amp; SF'!B:C, 2, 0)</f>
        <v>هال ناعم*****</v>
      </c>
      <c r="H815" s="89">
        <v>20</v>
      </c>
      <c r="I815" s="30" t="str">
        <f>VLOOKUP(F815, 'RM &amp; SF'!B:H, 4, 0)</f>
        <v>غم</v>
      </c>
      <c r="J815" s="90">
        <f t="shared" si="77"/>
        <v>1.4285714285714286</v>
      </c>
      <c r="K815" s="91">
        <f>VLOOKUP(F815, 'RM &amp; SF'!B:H, 7, 0)</f>
        <v>2.3E-2</v>
      </c>
      <c r="L815" s="92">
        <f t="shared" si="74"/>
        <v>3.2857142857142856E-2</v>
      </c>
      <c r="M815" s="30" t="s">
        <v>813</v>
      </c>
    </row>
    <row r="816" spans="1:13" ht="14">
      <c r="A816" s="88" t="s">
        <v>2451</v>
      </c>
      <c r="B816" s="219" t="s">
        <v>640</v>
      </c>
      <c r="C816" s="30"/>
      <c r="D816" s="30" t="str">
        <f>VLOOKUP(B816, 'RM &amp; SF'!B:C, 2, 0)</f>
        <v xml:space="preserve">دجاج محشي </v>
      </c>
      <c r="E816" s="30" t="s">
        <v>2211</v>
      </c>
      <c r="F816" s="110">
        <v>4214</v>
      </c>
      <c r="G816" s="30" t="str">
        <f>VLOOKUP(F816, 'RM &amp; SF'!B:C, 2, 0)</f>
        <v>قرفة ناعمة*****</v>
      </c>
      <c r="H816" s="89">
        <v>5</v>
      </c>
      <c r="I816" s="30" t="str">
        <f>VLOOKUP(F816, 'RM &amp; SF'!B:H, 4, 0)</f>
        <v>غم</v>
      </c>
      <c r="J816" s="90">
        <f t="shared" si="77"/>
        <v>0.35714285714285715</v>
      </c>
      <c r="K816" s="91">
        <f>VLOOKUP(F816, 'RM &amp; SF'!B:H, 7, 0)</f>
        <v>2.8020000000000002E-3</v>
      </c>
      <c r="L816" s="92">
        <f t="shared" si="74"/>
        <v>1.0007142857142858E-3</v>
      </c>
      <c r="M816" s="30" t="s">
        <v>813</v>
      </c>
    </row>
    <row r="817" spans="1:16" ht="14">
      <c r="A817" s="88" t="s">
        <v>2451</v>
      </c>
      <c r="B817" s="219" t="s">
        <v>640</v>
      </c>
      <c r="C817" s="30"/>
      <c r="D817" s="30" t="str">
        <f>VLOOKUP(B817, 'RM &amp; SF'!B:C, 2, 0)</f>
        <v xml:space="preserve">دجاج محشي </v>
      </c>
      <c r="E817" s="30" t="s">
        <v>2213</v>
      </c>
      <c r="F817" s="110">
        <v>4218</v>
      </c>
      <c r="G817" s="30" t="str">
        <f>VLOOKUP(F817, 'RM &amp; SF'!B:C, 2, 0)</f>
        <v>بهارات مشكلة*****</v>
      </c>
      <c r="H817" s="89">
        <v>25</v>
      </c>
      <c r="I817" s="30" t="str">
        <f>VLOOKUP(F817, 'RM &amp; SF'!B:H, 4, 0)</f>
        <v>غم</v>
      </c>
      <c r="J817" s="90">
        <f t="shared" si="77"/>
        <v>1.7857142857142858</v>
      </c>
      <c r="K817" s="91">
        <f>VLOOKUP(F817, 'RM &amp; SF'!B:H, 7, 0)</f>
        <v>3.0169999999999997E-3</v>
      </c>
      <c r="L817" s="92">
        <f t="shared" si="74"/>
        <v>5.3874999999999999E-3</v>
      </c>
      <c r="M817" s="30" t="s">
        <v>813</v>
      </c>
    </row>
    <row r="818" spans="1:16" ht="14">
      <c r="A818" s="88" t="s">
        <v>2451</v>
      </c>
      <c r="B818" s="219" t="s">
        <v>640</v>
      </c>
      <c r="C818" s="30"/>
      <c r="D818" s="30" t="str">
        <f>VLOOKUP(B818, 'RM &amp; SF'!B:C, 2, 0)</f>
        <v xml:space="preserve">دجاج محشي </v>
      </c>
      <c r="E818" s="30" t="s">
        <v>2287</v>
      </c>
      <c r="F818" s="110">
        <v>4216</v>
      </c>
      <c r="G818" s="30" t="str">
        <f>VLOOKUP(F818, 'RM &amp; SF'!B:C, 2, 0)</f>
        <v>زعتر اوريجانو*****</v>
      </c>
      <c r="H818" s="89">
        <v>25</v>
      </c>
      <c r="I818" s="30" t="str">
        <f>VLOOKUP(F818, 'RM &amp; SF'!B:H, 4, 0)</f>
        <v>غم</v>
      </c>
      <c r="J818" s="90">
        <f t="shared" si="77"/>
        <v>1.7857142857142858</v>
      </c>
      <c r="K818" s="91">
        <f>VLOOKUP(F818, 'RM &amp; SF'!B:H, 7, 0)</f>
        <v>7.8429999999999993E-3</v>
      </c>
      <c r="L818" s="92">
        <f t="shared" si="74"/>
        <v>1.4005357142857142E-2</v>
      </c>
      <c r="M818" s="30" t="s">
        <v>813</v>
      </c>
    </row>
    <row r="819" spans="1:16" ht="14">
      <c r="A819" s="88" t="s">
        <v>2451</v>
      </c>
      <c r="B819" s="219" t="s">
        <v>640</v>
      </c>
      <c r="C819" s="30"/>
      <c r="D819" s="30" t="str">
        <f>VLOOKUP(B819, 'RM &amp; SF'!B:C, 2, 0)</f>
        <v xml:space="preserve">دجاج محشي </v>
      </c>
      <c r="E819" s="30" t="s">
        <v>3058</v>
      </c>
      <c r="F819" s="110">
        <v>4022</v>
      </c>
      <c r="G819" s="30" t="str">
        <f>VLOOKUP(F819, 'RM &amp; SF'!B:C, 2, 0)</f>
        <v>مرق الدجاج بودرة 1 كغ*****</v>
      </c>
      <c r="H819" s="89">
        <v>45</v>
      </c>
      <c r="I819" s="30" t="str">
        <f>VLOOKUP(F819, 'RM &amp; SF'!B:H, 4, 0)</f>
        <v>غم</v>
      </c>
      <c r="J819" s="90">
        <f t="shared" si="77"/>
        <v>3.2142857142857144</v>
      </c>
      <c r="K819" s="91">
        <f>VLOOKUP(F819, 'RM &amp; SF'!B:H, 7, 0)</f>
        <v>4.7054597701149427E-3</v>
      </c>
      <c r="L819" s="92">
        <f t="shared" si="74"/>
        <v>1.5124692118226602E-2</v>
      </c>
      <c r="M819" s="30" t="s">
        <v>813</v>
      </c>
    </row>
    <row r="820" spans="1:16" ht="14">
      <c r="A820" s="88" t="s">
        <v>2337</v>
      </c>
      <c r="B820" s="219" t="s">
        <v>694</v>
      </c>
      <c r="C820" s="30"/>
      <c r="D820" s="30" t="str">
        <f>VLOOKUP(B820, 'RM &amp; SF'!B:C, 2, 0)</f>
        <v>شرحات خاروف بلدي</v>
      </c>
      <c r="E820" s="30" t="s">
        <v>3058</v>
      </c>
      <c r="F820" s="110">
        <v>4608</v>
      </c>
      <c r="G820" s="30" t="str">
        <f>VLOOKUP(F820, 'RM &amp; SF'!B:C, 2, 0)</f>
        <v>لحمة قطع نية بالكيلو*****</v>
      </c>
      <c r="H820" s="89">
        <v>1000</v>
      </c>
      <c r="I820" s="30" t="str">
        <f>VLOOKUP(F820, 'RM &amp; SF'!B:H, 4, 0)</f>
        <v>غم</v>
      </c>
      <c r="J820" s="90">
        <v>1000</v>
      </c>
      <c r="K820" s="91">
        <f>VLOOKUP(F820, 'RM &amp; SF'!B:H, 7, 0)</f>
        <v>1.1615493158849017E-2</v>
      </c>
      <c r="L820" s="92">
        <f t="shared" si="74"/>
        <v>11.615493158849016</v>
      </c>
      <c r="M820" s="30" t="s">
        <v>813</v>
      </c>
    </row>
    <row r="821" spans="1:16" ht="14">
      <c r="A821" s="88" t="s">
        <v>3189</v>
      </c>
      <c r="B821" s="188" t="s">
        <v>698</v>
      </c>
      <c r="C821" s="30"/>
      <c r="D821" s="30" t="str">
        <f>VLOOKUP(B821, 'RM &amp; SF'!B:C, 2, 0)</f>
        <v>لحم قص مجروم</v>
      </c>
      <c r="E821" s="30" t="s">
        <v>3058</v>
      </c>
      <c r="F821" s="110">
        <v>4606</v>
      </c>
      <c r="G821" s="30" t="str">
        <f>VLOOKUP(F821, 'RM &amp; SF'!B:C, 2, 0)</f>
        <v>أضلاع خروف (قص خروف) مع عظم*****</v>
      </c>
      <c r="H821" s="89">
        <v>17400</v>
      </c>
      <c r="I821" s="30" t="str">
        <f>VLOOKUP(F821, 'RM &amp; SF'!B:H, 4, 0)</f>
        <v>غم</v>
      </c>
      <c r="J821" s="90">
        <f>H821/13</f>
        <v>1338.4615384615386</v>
      </c>
      <c r="K821" s="91">
        <f>VLOOKUP(F821, 'RM &amp; SF'!B:H, 7, 0)</f>
        <v>1.0500000000000001E-2</v>
      </c>
      <c r="L821" s="92">
        <f t="shared" si="74"/>
        <v>14.053846153846155</v>
      </c>
      <c r="M821" s="30" t="s">
        <v>813</v>
      </c>
      <c r="P821" s="88" t="s">
        <v>2156</v>
      </c>
    </row>
    <row r="822" spans="1:16" ht="14">
      <c r="A822" s="88" t="s">
        <v>2339</v>
      </c>
      <c r="B822" s="188" t="s">
        <v>700</v>
      </c>
      <c r="C822" s="30"/>
      <c r="D822" s="30" t="str">
        <f>VLOOKUP(B822, 'RM &amp; SF'!B:C, 2, 0)</f>
        <v>حبة ملفوف</v>
      </c>
      <c r="E822" s="30" t="s">
        <v>2237</v>
      </c>
      <c r="F822" s="110">
        <v>4508</v>
      </c>
      <c r="G822" s="30" t="str">
        <f>VLOOKUP(F822, 'RM &amp; SF'!B:C, 2, 0)</f>
        <v>ملفوف ابيض*****</v>
      </c>
      <c r="H822" s="89">
        <v>10000</v>
      </c>
      <c r="I822" s="30" t="str">
        <f>VLOOKUP(F822, 'RM &amp; SF'!B:H, 4, 0)</f>
        <v>غم</v>
      </c>
      <c r="J822" s="90">
        <f t="shared" ref="J822:J828" si="78">H822/125</f>
        <v>80</v>
      </c>
      <c r="K822" s="91">
        <f>VLOOKUP(F822, 'RM &amp; SF'!B:H, 7, 0)</f>
        <v>2.9999999999999997E-4</v>
      </c>
      <c r="L822" s="92">
        <f t="shared" si="74"/>
        <v>2.3999999999999997E-2</v>
      </c>
      <c r="M822" s="30" t="s">
        <v>813</v>
      </c>
    </row>
    <row r="823" spans="1:16" ht="14">
      <c r="A823" s="88" t="s">
        <v>2339</v>
      </c>
      <c r="B823" s="188" t="s">
        <v>700</v>
      </c>
      <c r="C823" s="30"/>
      <c r="D823" s="30" t="str">
        <f>VLOOKUP(B823, 'RM &amp; SF'!B:C, 2, 0)</f>
        <v>حبة ملفوف</v>
      </c>
      <c r="E823" s="30" t="s">
        <v>3058</v>
      </c>
      <c r="F823" s="110" t="s">
        <v>638</v>
      </c>
      <c r="G823" s="30" t="str">
        <f>VLOOKUP(F823, 'RM &amp; SF'!B:C, 2, 0)</f>
        <v>حشوة المحاشي</v>
      </c>
      <c r="H823" s="89">
        <v>1000</v>
      </c>
      <c r="I823" s="30" t="str">
        <f>VLOOKUP(F823, 'RM &amp; SF'!B:H, 4, 0)</f>
        <v>غم</v>
      </c>
      <c r="J823" s="90">
        <f t="shared" si="78"/>
        <v>8</v>
      </c>
      <c r="K823" s="91">
        <f>VLOOKUP(F823, 'RM &amp; SF'!B:H, 7, 0)</f>
        <v>2.2780256565656559E-3</v>
      </c>
      <c r="L823" s="92">
        <f t="shared" si="74"/>
        <v>1.8224205252525248E-2</v>
      </c>
      <c r="M823" s="30" t="s">
        <v>813</v>
      </c>
    </row>
    <row r="824" spans="1:16" ht="14">
      <c r="A824" s="88" t="s">
        <v>2339</v>
      </c>
      <c r="B824" s="188" t="s">
        <v>700</v>
      </c>
      <c r="C824" s="30"/>
      <c r="D824" s="30" t="str">
        <f>VLOOKUP(B824, 'RM &amp; SF'!B:C, 2, 0)</f>
        <v>حبة ملفوف</v>
      </c>
      <c r="E824" s="30" t="s">
        <v>2206</v>
      </c>
      <c r="F824" s="110">
        <v>4204</v>
      </c>
      <c r="G824" s="30" t="str">
        <f>VLOOKUP(F824, 'RM &amp; SF'!B:C, 2, 0)</f>
        <v>فلفل اسود ناعم*****</v>
      </c>
      <c r="H824" s="89">
        <v>20</v>
      </c>
      <c r="I824" s="30" t="str">
        <f>VLOOKUP(F824, 'RM &amp; SF'!B:H, 4, 0)</f>
        <v>غم</v>
      </c>
      <c r="J824" s="90">
        <f t="shared" si="78"/>
        <v>0.16</v>
      </c>
      <c r="K824" s="91">
        <f>VLOOKUP(F824, 'RM &amp; SF'!B:H, 7, 0)</f>
        <v>6.8970000000000004E-3</v>
      </c>
      <c r="L824" s="92">
        <f t="shared" si="74"/>
        <v>1.10352E-3</v>
      </c>
      <c r="M824" s="30" t="s">
        <v>813</v>
      </c>
    </row>
    <row r="825" spans="1:16" ht="14">
      <c r="A825" s="88" t="s">
        <v>2339</v>
      </c>
      <c r="B825" s="188" t="s">
        <v>700</v>
      </c>
      <c r="C825" s="30"/>
      <c r="D825" s="30" t="str">
        <f>VLOOKUP(B825, 'RM &amp; SF'!B:C, 2, 0)</f>
        <v>حبة ملفوف</v>
      </c>
      <c r="E825" s="30" t="s">
        <v>3058</v>
      </c>
      <c r="F825" s="110">
        <v>4222</v>
      </c>
      <c r="G825" s="30" t="str">
        <f>VLOOKUP(F825, 'RM &amp; SF'!B:C, 2, 0)</f>
        <v>كمون ناعم*****</v>
      </c>
      <c r="H825" s="89">
        <v>20</v>
      </c>
      <c r="I825" s="30" t="str">
        <f>VLOOKUP(F825, 'RM &amp; SF'!B:H, 4, 0)</f>
        <v>غم</v>
      </c>
      <c r="J825" s="90">
        <f t="shared" si="78"/>
        <v>0.16</v>
      </c>
      <c r="K825" s="91">
        <f>VLOOKUP(F825, 'RM &amp; SF'!B:H, 7, 0)</f>
        <v>3.2330000000000002E-3</v>
      </c>
      <c r="L825" s="92">
        <f t="shared" si="74"/>
        <v>5.1728000000000006E-4</v>
      </c>
      <c r="M825" s="30" t="s">
        <v>813</v>
      </c>
    </row>
    <row r="826" spans="1:16" ht="15.5">
      <c r="A826" s="88" t="s">
        <v>2339</v>
      </c>
      <c r="B826" s="188" t="s">
        <v>700</v>
      </c>
      <c r="C826" s="30"/>
      <c r="D826" s="30" t="str">
        <f>VLOOKUP(B826, 'RM &amp; SF'!B:C, 2, 0)</f>
        <v>حبة ملفوف</v>
      </c>
      <c r="E826" s="30" t="s">
        <v>2321</v>
      </c>
      <c r="F826" s="67">
        <v>5292</v>
      </c>
      <c r="G826" s="30" t="str">
        <f>VLOOKUP(F826, 'RM &amp; SF'!B:C, 2, 0)</f>
        <v>ثوم مقشر*****</v>
      </c>
      <c r="H826" s="89">
        <v>50</v>
      </c>
      <c r="I826" s="30" t="str">
        <f>VLOOKUP(F826, 'RM &amp; SF'!B:H, 4, 0)</f>
        <v>غم</v>
      </c>
      <c r="J826" s="90">
        <f t="shared" si="78"/>
        <v>0.4</v>
      </c>
      <c r="K826" s="91">
        <f>VLOOKUP(F826, 'RM &amp; SF'!B:H, 7, 0)</f>
        <v>4.4999999999999997E-3</v>
      </c>
      <c r="L826" s="92">
        <f t="shared" si="74"/>
        <v>1.8E-3</v>
      </c>
      <c r="M826" s="30" t="s">
        <v>813</v>
      </c>
    </row>
    <row r="827" spans="1:16" ht="14">
      <c r="A827" s="88" t="s">
        <v>2339</v>
      </c>
      <c r="B827" s="188" t="s">
        <v>700</v>
      </c>
      <c r="C827" s="30"/>
      <c r="D827" s="30" t="str">
        <f>VLOOKUP(B827, 'RM &amp; SF'!B:C, 2, 0)</f>
        <v>حبة ملفوف</v>
      </c>
      <c r="E827" s="30" t="s">
        <v>3058</v>
      </c>
      <c r="F827" s="110">
        <v>4021</v>
      </c>
      <c r="G827" s="30" t="str">
        <f>VLOOKUP(F827, 'RM &amp; SF'!B:C, 2, 0)</f>
        <v>مكعبات مرق الدجاج 24 عبوة*2 مكعب*****</v>
      </c>
      <c r="H827" s="89">
        <v>30</v>
      </c>
      <c r="I827" s="30" t="str">
        <f>VLOOKUP(F827, 'RM &amp; SF'!B:H, 4, 0)</f>
        <v>غم</v>
      </c>
      <c r="J827" s="90">
        <f t="shared" si="78"/>
        <v>0.24</v>
      </c>
      <c r="K827" s="91">
        <f>VLOOKUP(F827, 'RM &amp; SF'!B:H, 7, 0)</f>
        <v>3.8541666666666668E-3</v>
      </c>
      <c r="L827" s="92">
        <f t="shared" si="74"/>
        <v>9.2500000000000004E-4</v>
      </c>
      <c r="M827" s="30" t="s">
        <v>813</v>
      </c>
    </row>
    <row r="828" spans="1:16" ht="14">
      <c r="A828" s="88" t="s">
        <v>2339</v>
      </c>
      <c r="B828" s="188" t="s">
        <v>700</v>
      </c>
      <c r="C828" s="30"/>
      <c r="D828" s="30" t="str">
        <f>VLOOKUP(B828, 'RM &amp; SF'!B:C, 2, 0)</f>
        <v>حبة ملفوف</v>
      </c>
      <c r="E828" s="30" t="s">
        <v>2239</v>
      </c>
      <c r="F828" s="110">
        <v>4513</v>
      </c>
      <c r="G828" s="30" t="str">
        <f>VLOOKUP(F828, 'RM &amp; SF'!B:C, 2, 0)</f>
        <v>ليمون اصفر*****</v>
      </c>
      <c r="H828" s="89">
        <v>150</v>
      </c>
      <c r="I828" s="30" t="str">
        <f>VLOOKUP(F828, 'RM &amp; SF'!B:H, 4, 0)</f>
        <v>غم</v>
      </c>
      <c r="J828" s="90">
        <f t="shared" si="78"/>
        <v>1.2</v>
      </c>
      <c r="K828" s="91">
        <f>VLOOKUP(F828, 'RM &amp; SF'!B:H, 7, 0)</f>
        <v>1.75E-3</v>
      </c>
      <c r="L828" s="92">
        <f t="shared" si="74"/>
        <v>2.0999999999999999E-3</v>
      </c>
      <c r="M828" s="30" t="s">
        <v>813</v>
      </c>
    </row>
    <row r="829" spans="1:16" ht="14">
      <c r="A829" s="88" t="s">
        <v>2340</v>
      </c>
      <c r="B829" s="219" t="s">
        <v>702</v>
      </c>
      <c r="C829" s="30"/>
      <c r="D829" s="30" t="str">
        <f>VLOOKUP(B829, 'RM &amp; SF'!B:C, 2, 0)</f>
        <v>ضلعة محشية رز</v>
      </c>
      <c r="E829" s="30" t="s">
        <v>2438</v>
      </c>
      <c r="F829" s="110" t="s">
        <v>652</v>
      </c>
      <c r="G829" s="30" t="str">
        <f>VLOOKUP(F829, 'RM &amp; SF'!B:C, 2, 0)</f>
        <v>تتبيلة دجاج اللاين</v>
      </c>
      <c r="H829" s="89">
        <v>20</v>
      </c>
      <c r="I829" s="30" t="str">
        <f>VLOOKUP(F829, 'RM &amp; SF'!B:H, 4, 0)</f>
        <v>غم</v>
      </c>
      <c r="J829" s="90">
        <f>H829</f>
        <v>20</v>
      </c>
      <c r="K829" s="91">
        <f>VLOOKUP(F829, 'RM &amp; SF'!B:H, 7, 0)</f>
        <v>1.7522965258215965E-3</v>
      </c>
      <c r="L829" s="92">
        <f t="shared" si="74"/>
        <v>3.5045930516431928E-2</v>
      </c>
      <c r="M829" s="30" t="s">
        <v>813</v>
      </c>
    </row>
    <row r="830" spans="1:16" ht="14">
      <c r="A830" s="88" t="s">
        <v>2340</v>
      </c>
      <c r="B830" s="219" t="s">
        <v>702</v>
      </c>
      <c r="C830" s="30"/>
      <c r="D830" s="30" t="str">
        <f>VLOOKUP(B830, 'RM &amp; SF'!B:C, 2, 0)</f>
        <v>ضلعة محشية رز</v>
      </c>
      <c r="E830" s="30" t="s">
        <v>3058</v>
      </c>
      <c r="F830" s="110">
        <v>4606</v>
      </c>
      <c r="G830" s="30" t="str">
        <f>VLOOKUP(F830, 'RM &amp; SF'!B:C, 2, 0)</f>
        <v>أضلاع خروف (قص خروف) مع عظم*****</v>
      </c>
      <c r="H830" s="89">
        <v>500</v>
      </c>
      <c r="I830" s="30" t="str">
        <f>VLOOKUP(F830, 'RM &amp; SF'!B:H, 4, 0)</f>
        <v>غم</v>
      </c>
      <c r="J830" s="90">
        <f>H830</f>
        <v>500</v>
      </c>
      <c r="K830" s="91">
        <f>VLOOKUP(F830, 'RM &amp; SF'!B:H, 7, 0)</f>
        <v>1.0500000000000001E-2</v>
      </c>
      <c r="L830" s="92">
        <f t="shared" si="74"/>
        <v>5.25</v>
      </c>
      <c r="M830" s="30" t="s">
        <v>813</v>
      </c>
    </row>
    <row r="831" spans="1:16" ht="14">
      <c r="A831" s="88" t="s">
        <v>2340</v>
      </c>
      <c r="B831" s="219" t="s">
        <v>702</v>
      </c>
      <c r="C831" s="30"/>
      <c r="D831" s="30" t="str">
        <f>VLOOKUP(B831, 'RM &amp; SF'!B:C, 2, 0)</f>
        <v>ضلعة محشية رز</v>
      </c>
      <c r="E831" s="30" t="s">
        <v>2412</v>
      </c>
      <c r="F831" s="110" t="s">
        <v>598</v>
      </c>
      <c r="G831" s="30" t="str">
        <f>VLOOKUP(F831, 'RM &amp; SF'!B:C, 2, 0)</f>
        <v>رز اوزي</v>
      </c>
      <c r="H831" s="89">
        <v>115</v>
      </c>
      <c r="I831" s="30" t="str">
        <f>VLOOKUP(F831, 'RM &amp; SF'!B:H, 4, 0)</f>
        <v>غم</v>
      </c>
      <c r="J831" s="90">
        <f>H831</f>
        <v>115</v>
      </c>
      <c r="K831" s="91">
        <f>VLOOKUP(F831, 'RM &amp; SF'!B:H, 7, 0)</f>
        <v>1.1675619256756756E-3</v>
      </c>
      <c r="L831" s="92">
        <f t="shared" si="74"/>
        <v>0.13426962145270269</v>
      </c>
      <c r="M831" s="30" t="s">
        <v>813</v>
      </c>
    </row>
    <row r="832" spans="1:16" ht="14">
      <c r="A832" s="88" t="s">
        <v>2340</v>
      </c>
      <c r="B832" s="219" t="s">
        <v>702</v>
      </c>
      <c r="C832" s="30"/>
      <c r="D832" s="30" t="str">
        <f>VLOOKUP(B832, 'RM &amp; SF'!B:C, 2, 0)</f>
        <v>ضلعة محشية رز</v>
      </c>
      <c r="E832" s="30" t="s">
        <v>2194</v>
      </c>
      <c r="F832" s="110">
        <v>4323</v>
      </c>
      <c r="G832" s="30" t="str">
        <f>VLOOKUP(F832, 'RM &amp; SF'!B:C, 2, 0)</f>
        <v>قصدير رول 45 سم*2كغ*****</v>
      </c>
      <c r="H832" s="89">
        <v>0.06</v>
      </c>
      <c r="I832" s="30" t="str">
        <f>VLOOKUP(F832, 'RM &amp; SF'!B:H, 4, 0)</f>
        <v>غم</v>
      </c>
      <c r="J832" s="90">
        <f>H832</f>
        <v>0.06</v>
      </c>
      <c r="K832" s="91">
        <f>VLOOKUP(F832, 'RM &amp; SF'!B:H, 7, 0)</f>
        <v>1.7240000000000001E-3</v>
      </c>
      <c r="L832" s="92">
        <f t="shared" si="74"/>
        <v>1.0344E-4</v>
      </c>
      <c r="M832" s="30" t="s">
        <v>813</v>
      </c>
    </row>
    <row r="833" spans="1:16" ht="14">
      <c r="A833" s="88" t="s">
        <v>2340</v>
      </c>
      <c r="B833" s="219" t="s">
        <v>702</v>
      </c>
      <c r="C833" s="30"/>
      <c r="D833" s="30" t="str">
        <f>VLOOKUP(B833, 'RM &amp; SF'!B:C, 2, 0)</f>
        <v>ضلعة محشية رز</v>
      </c>
      <c r="E833" s="30" t="s">
        <v>2260</v>
      </c>
      <c r="F833" s="110">
        <v>4160</v>
      </c>
      <c r="G833" s="30" t="str">
        <f>VLOOKUP(F833, 'RM &amp; SF'!B:C, 2, 0)</f>
        <v>زيت صويا 18 لتر*****</v>
      </c>
      <c r="H833" s="89">
        <v>30</v>
      </c>
      <c r="I833" s="30" t="str">
        <f>VLOOKUP(F833, 'RM &amp; SF'!B:H, 4, 0)</f>
        <v>مل</v>
      </c>
      <c r="J833" s="90">
        <f>H833</f>
        <v>30</v>
      </c>
      <c r="K833" s="91">
        <f>VLOOKUP(F833, 'RM &amp; SF'!B:H, 7, 0)</f>
        <v>1.335E-3</v>
      </c>
      <c r="L833" s="92">
        <f t="shared" si="74"/>
        <v>4.0050000000000002E-2</v>
      </c>
      <c r="M833" s="30" t="s">
        <v>813</v>
      </c>
    </row>
    <row r="834" spans="1:16" ht="14">
      <c r="A834" s="88" t="s">
        <v>3190</v>
      </c>
      <c r="B834" s="188" t="s">
        <v>704</v>
      </c>
      <c r="C834" s="30"/>
      <c r="D834" s="30" t="str">
        <f>VLOOKUP(B834, 'RM &amp; SF'!B:C, 2, 0)</f>
        <v>عجين كبة سفري</v>
      </c>
      <c r="E834" s="30" t="s">
        <v>2283</v>
      </c>
      <c r="F834" s="110">
        <v>4139</v>
      </c>
      <c r="G834" s="30" t="str">
        <f>VLOOKUP(F834, 'RM &amp; SF'!B:C, 2, 0)</f>
        <v>برغل ناعم*****</v>
      </c>
      <c r="H834" s="149">
        <v>7000</v>
      </c>
      <c r="I834" s="30" t="str">
        <f>VLOOKUP(F834, 'RM &amp; SF'!B:H, 4, 0)</f>
        <v>غم</v>
      </c>
      <c r="J834" s="90">
        <f>H834/19</f>
        <v>368.42105263157896</v>
      </c>
      <c r="K834" s="91">
        <f>VLOOKUP(F834, 'RM &amp; SF'!B:H, 7, 0)</f>
        <v>5.6863999999999992E-4</v>
      </c>
      <c r="L834" s="92">
        <f t="shared" si="74"/>
        <v>0.20949894736842103</v>
      </c>
      <c r="M834" s="30" t="s">
        <v>813</v>
      </c>
      <c r="P834" s="88" t="s">
        <v>2156</v>
      </c>
    </row>
    <row r="835" spans="1:16" ht="14">
      <c r="A835" s="88" t="s">
        <v>3190</v>
      </c>
      <c r="B835" s="188" t="s">
        <v>704</v>
      </c>
      <c r="C835" s="30"/>
      <c r="D835" s="30" t="str">
        <f>VLOOKUP(B835, 'RM &amp; SF'!B:C, 2, 0)</f>
        <v>عجين كبة سفري</v>
      </c>
      <c r="E835" s="30" t="s">
        <v>3058</v>
      </c>
      <c r="F835" s="110">
        <v>5373</v>
      </c>
      <c r="G835" s="30" t="str">
        <f>VLOOKUP(F835, 'RM &amp; SF'!B:C, 2, 0)</f>
        <v>قطعيات عجل مشكلة</v>
      </c>
      <c r="H835" s="149">
        <v>2000</v>
      </c>
      <c r="I835" s="30" t="str">
        <f>VLOOKUP(F835, 'RM &amp; SF'!B:H, 4, 0)</f>
        <v>غم</v>
      </c>
      <c r="J835" s="90">
        <f t="shared" ref="J835:J841" si="79">H835/19</f>
        <v>105.26315789473684</v>
      </c>
      <c r="K835" s="91">
        <f>VLOOKUP(F835, 'RM &amp; SF'!B:H, 7, 0)</f>
        <v>9.0100000000000006E-3</v>
      </c>
      <c r="L835" s="92">
        <f t="shared" si="74"/>
        <v>0.94842105263157894</v>
      </c>
      <c r="M835" s="30" t="s">
        <v>813</v>
      </c>
      <c r="P835" s="88" t="s">
        <v>2156</v>
      </c>
    </row>
    <row r="836" spans="1:16" ht="14">
      <c r="A836" s="88" t="s">
        <v>3190</v>
      </c>
      <c r="B836" s="188" t="s">
        <v>704</v>
      </c>
      <c r="C836" s="30"/>
      <c r="D836" s="30" t="str">
        <f>VLOOKUP(B836, 'RM &amp; SF'!B:C, 2, 0)</f>
        <v>عجين كبة سفري</v>
      </c>
      <c r="E836" s="30" t="s">
        <v>3058</v>
      </c>
      <c r="F836" s="110">
        <v>5386</v>
      </c>
      <c r="G836" s="30" t="str">
        <f>VLOOKUP(F836, 'RM &amp; SF'!B:C, 2, 0)</f>
        <v>مسحب الطاحونة - طلبات مارت</v>
      </c>
      <c r="H836" s="149">
        <v>1000</v>
      </c>
      <c r="I836" s="30" t="str">
        <f>VLOOKUP(F836, 'RM &amp; SF'!B:H, 4, 0)</f>
        <v>غم</v>
      </c>
      <c r="J836" s="90">
        <f t="shared" si="79"/>
        <v>52.631578947368418</v>
      </c>
      <c r="K836" s="91">
        <f>VLOOKUP(F836, 'RM &amp; SF'!B:H, 7, 0)</f>
        <v>4.2000000000000006E-3</v>
      </c>
      <c r="L836" s="92">
        <f t="shared" si="74"/>
        <v>0.22105263157894739</v>
      </c>
      <c r="M836" s="30" t="s">
        <v>813</v>
      </c>
      <c r="P836" s="88" t="s">
        <v>2156</v>
      </c>
    </row>
    <row r="837" spans="1:16" ht="14">
      <c r="A837" s="88" t="s">
        <v>3190</v>
      </c>
      <c r="B837" s="188" t="s">
        <v>704</v>
      </c>
      <c r="C837" s="30"/>
      <c r="D837" s="30" t="str">
        <f>VLOOKUP(B837, 'RM &amp; SF'!B:C, 2, 0)</f>
        <v>عجين كبة سفري</v>
      </c>
      <c r="E837" s="30" t="s">
        <v>2203</v>
      </c>
      <c r="F837" s="110">
        <v>4152</v>
      </c>
      <c r="G837" s="30" t="str">
        <f>VLOOKUP(F837, 'RM &amp; SF'!B:C, 2, 0)</f>
        <v>ملح طعام 750غم*****</v>
      </c>
      <c r="H837" s="149">
        <v>225</v>
      </c>
      <c r="I837" s="30" t="str">
        <f>VLOOKUP(F837, 'RM &amp; SF'!B:H, 4, 0)</f>
        <v>غم</v>
      </c>
      <c r="J837" s="90">
        <f t="shared" si="79"/>
        <v>11.842105263157896</v>
      </c>
      <c r="K837" s="91">
        <f>VLOOKUP(F837, 'RM &amp; SF'!B:H, 7, 0)</f>
        <v>1.7066666666666665E-4</v>
      </c>
      <c r="L837" s="92">
        <f t="shared" si="74"/>
        <v>2.0210526315789473E-3</v>
      </c>
      <c r="M837" s="30" t="s">
        <v>813</v>
      </c>
      <c r="P837" s="88" t="s">
        <v>2156</v>
      </c>
    </row>
    <row r="838" spans="1:16" ht="14">
      <c r="A838" s="88" t="s">
        <v>3190</v>
      </c>
      <c r="B838" s="188" t="s">
        <v>704</v>
      </c>
      <c r="C838" s="30"/>
      <c r="D838" s="30" t="str">
        <f>VLOOKUP(B838, 'RM &amp; SF'!B:C, 2, 0)</f>
        <v>عجين كبة سفري</v>
      </c>
      <c r="E838" s="30" t="s">
        <v>2206</v>
      </c>
      <c r="F838" s="110">
        <v>4204</v>
      </c>
      <c r="G838" s="30" t="str">
        <f>VLOOKUP(F838, 'RM &amp; SF'!B:C, 2, 0)</f>
        <v>فلفل اسود ناعم*****</v>
      </c>
      <c r="H838" s="149">
        <v>150</v>
      </c>
      <c r="I838" s="30" t="str">
        <f>VLOOKUP(F838, 'RM &amp; SF'!B:H, 4, 0)</f>
        <v>غم</v>
      </c>
      <c r="J838" s="90">
        <f t="shared" si="79"/>
        <v>7.8947368421052628</v>
      </c>
      <c r="K838" s="91">
        <f>VLOOKUP(F838, 'RM &amp; SF'!B:H, 7, 0)</f>
        <v>6.8970000000000004E-3</v>
      </c>
      <c r="L838" s="92">
        <f t="shared" si="74"/>
        <v>5.4449999999999998E-2</v>
      </c>
      <c r="M838" s="30" t="s">
        <v>813</v>
      </c>
      <c r="P838" s="88" t="s">
        <v>2156</v>
      </c>
    </row>
    <row r="839" spans="1:16" ht="14">
      <c r="A839" s="88" t="s">
        <v>3190</v>
      </c>
      <c r="B839" s="188" t="s">
        <v>704</v>
      </c>
      <c r="C839" s="30"/>
      <c r="D839" s="30" t="str">
        <f>VLOOKUP(B839, 'RM &amp; SF'!B:C, 2, 0)</f>
        <v>عجين كبة سفري</v>
      </c>
      <c r="E839" s="30" t="s">
        <v>3058</v>
      </c>
      <c r="F839" s="110">
        <v>3</v>
      </c>
      <c r="G839" s="30" t="str">
        <f>VLOOKUP(F839, 'RM &amp; SF'!B:C, 2, 0)</f>
        <v>مياه حنفية</v>
      </c>
      <c r="H839" s="149">
        <v>10500</v>
      </c>
      <c r="I839" s="30" t="str">
        <f>VLOOKUP(F839, 'RM &amp; SF'!B:H, 4, 0)</f>
        <v>مل</v>
      </c>
      <c r="J839" s="90">
        <f t="shared" si="79"/>
        <v>552.63157894736844</v>
      </c>
      <c r="K839" s="91">
        <f>VLOOKUP(F839, 'RM &amp; SF'!B:H, 7, 0)</f>
        <v>0</v>
      </c>
      <c r="L839" s="92">
        <f t="shared" si="74"/>
        <v>0</v>
      </c>
      <c r="M839" s="30" t="s">
        <v>813</v>
      </c>
      <c r="P839" s="88" t="s">
        <v>2156</v>
      </c>
    </row>
    <row r="840" spans="1:16" ht="14">
      <c r="A840" s="88" t="s">
        <v>3190</v>
      </c>
      <c r="B840" s="188" t="s">
        <v>704</v>
      </c>
      <c r="C840" s="30"/>
      <c r="D840" s="30" t="str">
        <f>VLOOKUP(B840, 'RM &amp; SF'!B:C, 2, 0)</f>
        <v>عجين كبة سفري</v>
      </c>
      <c r="E840" s="30" t="s">
        <v>2208</v>
      </c>
      <c r="F840" s="110">
        <v>4211</v>
      </c>
      <c r="G840" s="30" t="str">
        <f>VLOOKUP(F840, 'RM &amp; SF'!B:C, 2, 0)</f>
        <v>كزبرة ناعمة*****</v>
      </c>
      <c r="H840" s="149">
        <v>150</v>
      </c>
      <c r="I840" s="30" t="str">
        <f>VLOOKUP(F840, 'RM &amp; SF'!B:H, 4, 0)</f>
        <v>غم</v>
      </c>
      <c r="J840" s="90">
        <f t="shared" si="79"/>
        <v>7.8947368421052628</v>
      </c>
      <c r="K840" s="91">
        <f>VLOOKUP(F840, 'RM &amp; SF'!B:H, 7, 0)</f>
        <v>1.5089999999999999E-3</v>
      </c>
      <c r="L840" s="92">
        <f t="shared" ref="L840:L903" si="80">K840*J840</f>
        <v>1.1913157894736841E-2</v>
      </c>
      <c r="M840" s="30" t="s">
        <v>813</v>
      </c>
      <c r="P840" s="88" t="s">
        <v>2156</v>
      </c>
    </row>
    <row r="841" spans="1:16" ht="14">
      <c r="A841" s="88" t="s">
        <v>3190</v>
      </c>
      <c r="B841" s="188" t="s">
        <v>704</v>
      </c>
      <c r="C841" s="30"/>
      <c r="D841" s="30" t="str">
        <f>VLOOKUP(B841, 'RM &amp; SF'!B:C, 2, 0)</f>
        <v>عجين كبة سفري</v>
      </c>
      <c r="E841" s="30" t="s">
        <v>2234</v>
      </c>
      <c r="F841" s="110">
        <v>4503</v>
      </c>
      <c r="G841" s="30" t="str">
        <f>VLOOKUP(F841, 'RM &amp; SF'!B:C, 2, 0)</f>
        <v>بصل ناشف دفش*****</v>
      </c>
      <c r="H841" s="149">
        <v>700</v>
      </c>
      <c r="I841" s="30" t="str">
        <f>VLOOKUP(F841, 'RM &amp; SF'!B:H, 4, 0)</f>
        <v>غم</v>
      </c>
      <c r="J841" s="90">
        <f t="shared" si="79"/>
        <v>36.842105263157897</v>
      </c>
      <c r="K841" s="91">
        <f>VLOOKUP(F841, 'RM &amp; SF'!B:H, 7, 0)</f>
        <v>2.5000000000000001E-4</v>
      </c>
      <c r="L841" s="92">
        <f t="shared" si="80"/>
        <v>9.2105263157894746E-3</v>
      </c>
      <c r="M841" s="30" t="s">
        <v>813</v>
      </c>
      <c r="P841" s="88" t="s">
        <v>2156</v>
      </c>
    </row>
    <row r="842" spans="1:16" ht="14">
      <c r="A842" s="88" t="s">
        <v>2341</v>
      </c>
      <c r="B842" s="219" t="s">
        <v>706</v>
      </c>
      <c r="C842" s="30"/>
      <c r="D842" s="30" t="str">
        <f>VLOOKUP(B842, 'RM &amp; SF'!B:C, 2, 0)</f>
        <v>لوز مقلي</v>
      </c>
      <c r="E842" s="30" t="s">
        <v>3058</v>
      </c>
      <c r="F842" s="110">
        <v>4149</v>
      </c>
      <c r="G842" s="30" t="str">
        <f>VLOOKUP(F842, 'RM &amp; SF'!B:C, 2, 0)</f>
        <v>لوز انصاف 11.340 كغ*****</v>
      </c>
      <c r="H842" s="89">
        <v>11340</v>
      </c>
      <c r="I842" s="30" t="str">
        <f>VLOOKUP(F842, 'RM &amp; SF'!B:H, 4, 0)</f>
        <v>غم</v>
      </c>
      <c r="J842" s="90">
        <f>H842/40</f>
        <v>283.5</v>
      </c>
      <c r="K842" s="91">
        <f>VLOOKUP(F842, 'RM &amp; SF'!B:H, 7, 0)</f>
        <v>6.233655658943015E-3</v>
      </c>
      <c r="L842" s="92">
        <f t="shared" si="80"/>
        <v>1.7672413793103448</v>
      </c>
      <c r="M842" s="30" t="s">
        <v>813</v>
      </c>
    </row>
    <row r="843" spans="1:16" ht="14">
      <c r="A843" s="88" t="s">
        <v>2341</v>
      </c>
      <c r="B843" s="219" t="s">
        <v>706</v>
      </c>
      <c r="C843" s="30"/>
      <c r="D843" s="30" t="str">
        <f>VLOOKUP(B843, 'RM &amp; SF'!B:C, 2, 0)</f>
        <v>لوز مقلي</v>
      </c>
      <c r="E843" s="30" t="s">
        <v>3058</v>
      </c>
      <c r="F843" s="110">
        <v>4150</v>
      </c>
      <c r="G843" s="30" t="str">
        <f>VLOOKUP(F843, 'RM &amp; SF'!B:C, 2, 0)</f>
        <v>لوز ارباع 11.340 كغ*****</v>
      </c>
      <c r="H843" s="89">
        <v>11340</v>
      </c>
      <c r="I843" s="30" t="str">
        <f>VLOOKUP(F843, 'RM &amp; SF'!B:H, 4, 0)</f>
        <v>غم</v>
      </c>
      <c r="J843" s="90">
        <f>H843/40</f>
        <v>283.5</v>
      </c>
      <c r="K843" s="91">
        <f>VLOOKUP(F843, 'RM &amp; SF'!B:H, 7, 0)</f>
        <v>6.233655658943015E-3</v>
      </c>
      <c r="L843" s="92">
        <f t="shared" si="80"/>
        <v>1.7672413793103448</v>
      </c>
      <c r="M843" s="30" t="s">
        <v>813</v>
      </c>
    </row>
    <row r="844" spans="1:16" ht="14">
      <c r="A844" s="88" t="s">
        <v>2341</v>
      </c>
      <c r="B844" s="219" t="s">
        <v>706</v>
      </c>
      <c r="C844" s="30"/>
      <c r="D844" s="30" t="str">
        <f>VLOOKUP(B844, 'RM &amp; SF'!B:C, 2, 0)</f>
        <v>لوز مقلي</v>
      </c>
      <c r="E844" s="30" t="s">
        <v>2260</v>
      </c>
      <c r="F844" s="110">
        <v>4160</v>
      </c>
      <c r="G844" s="30" t="str">
        <f>VLOOKUP(F844, 'RM &amp; SF'!B:C, 2, 0)</f>
        <v>زيت صويا 18 لتر*****</v>
      </c>
      <c r="H844" s="89">
        <v>18000</v>
      </c>
      <c r="I844" s="30" t="str">
        <f>VLOOKUP(F844, 'RM &amp; SF'!B:H, 4, 0)</f>
        <v>مل</v>
      </c>
      <c r="J844" s="90">
        <f>H844/40</f>
        <v>450</v>
      </c>
      <c r="K844" s="91">
        <f>VLOOKUP(F844, 'RM &amp; SF'!B:H, 7, 0)</f>
        <v>1.335E-3</v>
      </c>
      <c r="L844" s="92">
        <f t="shared" si="80"/>
        <v>0.60075000000000001</v>
      </c>
      <c r="M844" s="30" t="s">
        <v>813</v>
      </c>
    </row>
    <row r="845" spans="1:16" ht="14">
      <c r="A845" s="88" t="s">
        <v>2342</v>
      </c>
      <c r="B845" s="219" t="s">
        <v>708</v>
      </c>
      <c r="C845" s="30"/>
      <c r="D845" s="30" t="str">
        <f>VLOOKUP(B845, 'RM &amp; SF'!B:C, 2, 0)</f>
        <v>ارز بشعيرية</v>
      </c>
      <c r="E845" s="30" t="s">
        <v>2260</v>
      </c>
      <c r="F845" s="110">
        <v>4160</v>
      </c>
      <c r="G845" s="30" t="str">
        <f>VLOOKUP(F845, 'RM &amp; SF'!B:C, 2, 0)</f>
        <v>زيت صويا 18 لتر*****</v>
      </c>
      <c r="H845" s="89">
        <v>700</v>
      </c>
      <c r="I845" s="30" t="str">
        <f>VLOOKUP(F845, 'RM &amp; SF'!B:H, 4, 0)</f>
        <v>مل</v>
      </c>
      <c r="J845" s="90">
        <f t="shared" ref="J845:J852" si="81">H845/33</f>
        <v>21.212121212121211</v>
      </c>
      <c r="K845" s="91">
        <f>VLOOKUP(F845, 'RM &amp; SF'!B:H, 7, 0)</f>
        <v>1.335E-3</v>
      </c>
      <c r="L845" s="92">
        <f t="shared" si="80"/>
        <v>2.8318181818181819E-2</v>
      </c>
      <c r="M845" s="30" t="s">
        <v>813</v>
      </c>
    </row>
    <row r="846" spans="1:16" ht="14">
      <c r="A846" s="88" t="s">
        <v>2342</v>
      </c>
      <c r="B846" s="219" t="s">
        <v>708</v>
      </c>
      <c r="C846" s="30"/>
      <c r="D846" s="30" t="str">
        <f>VLOOKUP(B846, 'RM &amp; SF'!B:C, 2, 0)</f>
        <v>ارز بشعيرية</v>
      </c>
      <c r="E846" s="30" t="s">
        <v>2281</v>
      </c>
      <c r="F846" s="110">
        <v>4133</v>
      </c>
      <c r="G846" s="30" t="str">
        <f>VLOOKUP(F846, 'RM &amp; SF'!B:C, 2, 0)</f>
        <v>ارز بسمتي ذهبي*****</v>
      </c>
      <c r="H846" s="89">
        <v>8000</v>
      </c>
      <c r="I846" s="30" t="str">
        <f>VLOOKUP(F846, 'RM &amp; SF'!B:H, 4, 0)</f>
        <v>غم</v>
      </c>
      <c r="J846" s="90">
        <f t="shared" si="81"/>
        <v>242.42424242424244</v>
      </c>
      <c r="K846" s="91">
        <f>VLOOKUP(F846, 'RM &amp; SF'!B:H, 7, 0)</f>
        <v>1.1000000000000001E-3</v>
      </c>
      <c r="L846" s="92">
        <f t="shared" si="80"/>
        <v>0.26666666666666672</v>
      </c>
      <c r="M846" s="30" t="s">
        <v>813</v>
      </c>
    </row>
    <row r="847" spans="1:16" ht="14">
      <c r="A847" s="88" t="s">
        <v>2342</v>
      </c>
      <c r="B847" s="219" t="s">
        <v>708</v>
      </c>
      <c r="C847" s="30"/>
      <c r="D847" s="30" t="str">
        <f>VLOOKUP(B847, 'RM &amp; SF'!B:C, 2, 0)</f>
        <v>ارز بشعيرية</v>
      </c>
      <c r="E847" s="30" t="s">
        <v>2279</v>
      </c>
      <c r="F847" s="110">
        <v>4100</v>
      </c>
      <c r="G847" s="30" t="str">
        <f>VLOOKUP(F847, 'RM &amp; SF'!B:C, 2, 0)</f>
        <v>معكرونة شعيرية 500 غم*****</v>
      </c>
      <c r="H847" s="89">
        <v>500</v>
      </c>
      <c r="I847" s="30" t="str">
        <f>VLOOKUP(F847, 'RM &amp; SF'!B:H, 4, 0)</f>
        <v>غم</v>
      </c>
      <c r="J847" s="90">
        <f t="shared" si="81"/>
        <v>15.151515151515152</v>
      </c>
      <c r="K847" s="91">
        <f>VLOOKUP(F847, 'RM &amp; SF'!B:H, 7, 0)</f>
        <v>9.9199999999999983E-4</v>
      </c>
      <c r="L847" s="92">
        <f t="shared" si="80"/>
        <v>1.5030303030303029E-2</v>
      </c>
      <c r="M847" s="30" t="s">
        <v>813</v>
      </c>
    </row>
    <row r="848" spans="1:16" ht="14">
      <c r="A848" s="88" t="s">
        <v>2342</v>
      </c>
      <c r="B848" s="219" t="s">
        <v>708</v>
      </c>
      <c r="C848" s="30"/>
      <c r="D848" s="30" t="str">
        <f>VLOOKUP(B848, 'RM &amp; SF'!B:C, 2, 0)</f>
        <v>ارز بشعيرية</v>
      </c>
      <c r="E848" s="30" t="s">
        <v>3058</v>
      </c>
      <c r="F848" s="110">
        <v>3</v>
      </c>
      <c r="G848" s="30" t="str">
        <f>VLOOKUP(F848, 'RM &amp; SF'!B:C, 2, 0)</f>
        <v>مياه حنفية</v>
      </c>
      <c r="H848" s="89">
        <v>15000</v>
      </c>
      <c r="I848" s="30" t="str">
        <f>VLOOKUP(F848, 'RM &amp; SF'!B:H, 4, 0)</f>
        <v>مل</v>
      </c>
      <c r="J848" s="90">
        <f t="shared" si="81"/>
        <v>454.54545454545456</v>
      </c>
      <c r="K848" s="91">
        <f>VLOOKUP(F848, 'RM &amp; SF'!B:H, 7, 0)</f>
        <v>0</v>
      </c>
      <c r="L848" s="92">
        <f t="shared" si="80"/>
        <v>0</v>
      </c>
      <c r="M848" s="30" t="s">
        <v>813</v>
      </c>
    </row>
    <row r="849" spans="1:13" ht="14">
      <c r="A849" s="88" t="s">
        <v>2342</v>
      </c>
      <c r="B849" s="219" t="s">
        <v>708</v>
      </c>
      <c r="C849" s="30"/>
      <c r="D849" s="30" t="str">
        <f>VLOOKUP(B849, 'RM &amp; SF'!B:C, 2, 0)</f>
        <v>ارز بشعيرية</v>
      </c>
      <c r="E849" s="30" t="s">
        <v>3058</v>
      </c>
      <c r="F849" s="110">
        <v>4021</v>
      </c>
      <c r="G849" s="30" t="str">
        <f>VLOOKUP(F849, 'RM &amp; SF'!B:C, 2, 0)</f>
        <v>مكعبات مرق الدجاج 24 عبوة*2 مكعب*****</v>
      </c>
      <c r="H849" s="89">
        <v>100</v>
      </c>
      <c r="I849" s="30" t="str">
        <f>VLOOKUP(F849, 'RM &amp; SF'!B:H, 4, 0)</f>
        <v>غم</v>
      </c>
      <c r="J849" s="90">
        <f t="shared" si="81"/>
        <v>3.0303030303030303</v>
      </c>
      <c r="K849" s="91">
        <f>VLOOKUP(F849, 'RM &amp; SF'!B:H, 7, 0)</f>
        <v>3.8541666666666668E-3</v>
      </c>
      <c r="L849" s="92">
        <f t="shared" si="80"/>
        <v>1.167929292929293E-2</v>
      </c>
      <c r="M849" s="30" t="s">
        <v>813</v>
      </c>
    </row>
    <row r="850" spans="1:13" ht="14">
      <c r="A850" s="88" t="s">
        <v>2342</v>
      </c>
      <c r="B850" s="219" t="s">
        <v>708</v>
      </c>
      <c r="C850" s="30"/>
      <c r="D850" s="30" t="str">
        <f>VLOOKUP(B850, 'RM &amp; SF'!B:C, 2, 0)</f>
        <v>ارز بشعيرية</v>
      </c>
      <c r="E850" s="30" t="s">
        <v>3058</v>
      </c>
      <c r="F850" s="110">
        <v>4203</v>
      </c>
      <c r="G850" s="30" t="str">
        <f>VLOOKUP(F850, 'RM &amp; SF'!B:C, 2, 0)</f>
        <v>فلفل ابيض ناعم*****</v>
      </c>
      <c r="H850" s="89">
        <v>10</v>
      </c>
      <c r="I850" s="30" t="str">
        <f>VLOOKUP(F850, 'RM &amp; SF'!B:H, 4, 0)</f>
        <v>غم</v>
      </c>
      <c r="J850" s="90">
        <f t="shared" si="81"/>
        <v>0.30303030303030304</v>
      </c>
      <c r="K850" s="91">
        <f>VLOOKUP(F850, 'RM &amp; SF'!B:H, 7, 0)</f>
        <v>7.7590000000000003E-3</v>
      </c>
      <c r="L850" s="92">
        <f t="shared" si="80"/>
        <v>2.3512121212121212E-3</v>
      </c>
      <c r="M850" s="30" t="s">
        <v>813</v>
      </c>
    </row>
    <row r="851" spans="1:13" ht="14">
      <c r="A851" s="88" t="s">
        <v>2342</v>
      </c>
      <c r="B851" s="219" t="s">
        <v>708</v>
      </c>
      <c r="C851" s="30"/>
      <c r="D851" s="30" t="str">
        <f>VLOOKUP(B851, 'RM &amp; SF'!B:C, 2, 0)</f>
        <v>ارز بشعيرية</v>
      </c>
      <c r="E851" s="30" t="s">
        <v>2218</v>
      </c>
      <c r="F851" s="110">
        <v>4233</v>
      </c>
      <c r="G851" s="30" t="str">
        <f>VLOOKUP(F851, 'RM &amp; SF'!B:C, 2, 0)</f>
        <v>هال ناعم*****</v>
      </c>
      <c r="H851" s="89">
        <v>10</v>
      </c>
      <c r="I851" s="30" t="str">
        <f>VLOOKUP(F851, 'RM &amp; SF'!B:H, 4, 0)</f>
        <v>غم</v>
      </c>
      <c r="J851" s="90">
        <f t="shared" si="81"/>
        <v>0.30303030303030304</v>
      </c>
      <c r="K851" s="91">
        <f>VLOOKUP(F851, 'RM &amp; SF'!B:H, 7, 0)</f>
        <v>2.3E-2</v>
      </c>
      <c r="L851" s="92">
        <f t="shared" si="80"/>
        <v>6.9696969696969695E-3</v>
      </c>
      <c r="M851" s="30" t="s">
        <v>813</v>
      </c>
    </row>
    <row r="852" spans="1:13" ht="14">
      <c r="A852" s="88" t="s">
        <v>2342</v>
      </c>
      <c r="B852" s="219" t="s">
        <v>708</v>
      </c>
      <c r="C852" s="30"/>
      <c r="D852" s="30" t="str">
        <f>VLOOKUP(B852, 'RM &amp; SF'!B:C, 2, 0)</f>
        <v>ارز بشعيرية</v>
      </c>
      <c r="E852" s="30" t="s">
        <v>2203</v>
      </c>
      <c r="F852" s="110">
        <v>4152</v>
      </c>
      <c r="G852" s="30" t="str">
        <f>VLOOKUP(F852, 'RM &amp; SF'!B:C, 2, 0)</f>
        <v>ملح طعام 750غم*****</v>
      </c>
      <c r="H852" s="89">
        <v>325</v>
      </c>
      <c r="I852" s="30" t="str">
        <f>VLOOKUP(F852, 'RM &amp; SF'!B:H, 4, 0)</f>
        <v>غم</v>
      </c>
      <c r="J852" s="90">
        <f t="shared" si="81"/>
        <v>9.8484848484848477</v>
      </c>
      <c r="K852" s="91">
        <f>VLOOKUP(F852, 'RM &amp; SF'!B:H, 7, 0)</f>
        <v>1.7066666666666665E-4</v>
      </c>
      <c r="L852" s="92">
        <f t="shared" si="80"/>
        <v>1.6808080808080805E-3</v>
      </c>
      <c r="M852" s="30" t="s">
        <v>813</v>
      </c>
    </row>
    <row r="853" spans="1:13" ht="14">
      <c r="A853" s="88" t="s">
        <v>2343</v>
      </c>
      <c r="B853" s="219" t="s">
        <v>710</v>
      </c>
      <c r="C853" s="30"/>
      <c r="D853" s="30" t="str">
        <f>VLOOKUP(B853, 'RM &amp; SF'!B:C, 2, 0)</f>
        <v>سمنة مكسورة</v>
      </c>
      <c r="E853" s="30" t="s">
        <v>2260</v>
      </c>
      <c r="F853" s="110">
        <v>4160</v>
      </c>
      <c r="G853" s="30" t="str">
        <f>VLOOKUP(F853, 'RM &amp; SF'!B:C, 2, 0)</f>
        <v>زيت صويا 18 لتر*****</v>
      </c>
      <c r="H853" s="90">
        <v>4000</v>
      </c>
      <c r="I853" s="30" t="str">
        <f>VLOOKUP(F853, 'RM &amp; SF'!B:H, 4, 0)</f>
        <v>مل</v>
      </c>
      <c r="J853" s="90">
        <f>H853/6</f>
        <v>666.66666666666663</v>
      </c>
      <c r="K853" s="91">
        <f>VLOOKUP(F853, 'RM &amp; SF'!B:H, 7, 0)</f>
        <v>1.335E-3</v>
      </c>
      <c r="L853" s="92">
        <f t="shared" si="80"/>
        <v>0.89</v>
      </c>
      <c r="M853" s="30" t="s">
        <v>813</v>
      </c>
    </row>
    <row r="854" spans="1:13" ht="14">
      <c r="A854" s="88" t="s">
        <v>2343</v>
      </c>
      <c r="B854" s="219" t="s">
        <v>710</v>
      </c>
      <c r="C854" s="30"/>
      <c r="D854" s="30" t="str">
        <f>VLOOKUP(B854, 'RM &amp; SF'!B:C, 2, 0)</f>
        <v>سمنة مكسورة</v>
      </c>
      <c r="E854" s="30" t="s">
        <v>2180</v>
      </c>
      <c r="F854" s="110">
        <v>4791</v>
      </c>
      <c r="G854" s="30" t="str">
        <f>VLOOKUP(F854, 'RM &amp; SF'!B:C, 2, 0)</f>
        <v>سمنة بلدية 5 كغ*****</v>
      </c>
      <c r="H854" s="90">
        <v>2000</v>
      </c>
      <c r="I854" s="30" t="str">
        <f>VLOOKUP(F854, 'RM &amp; SF'!B:H, 4, 0)</f>
        <v>غم</v>
      </c>
      <c r="J854" s="90">
        <f>H854/6</f>
        <v>333.33333333333331</v>
      </c>
      <c r="K854" s="91">
        <f>VLOOKUP(F854, 'RM &amp; SF'!B:H, 7, 0)</f>
        <v>8.3330000000000001E-3</v>
      </c>
      <c r="L854" s="92">
        <f t="shared" si="80"/>
        <v>2.7776666666666667</v>
      </c>
      <c r="M854" s="30" t="s">
        <v>813</v>
      </c>
    </row>
    <row r="855" spans="1:13" ht="14">
      <c r="A855" s="88" t="s">
        <v>2344</v>
      </c>
      <c r="B855" s="219" t="s">
        <v>712</v>
      </c>
      <c r="C855" s="30"/>
      <c r="D855" s="30" t="str">
        <f>VLOOKUP(B855, 'RM &amp; SF'!B:C, 2, 0)</f>
        <v>دقة</v>
      </c>
      <c r="E855" s="30" t="s">
        <v>2343</v>
      </c>
      <c r="F855" s="110" t="s">
        <v>710</v>
      </c>
      <c r="G855" s="30" t="str">
        <f>VLOOKUP(F855, 'RM &amp; SF'!B:C, 2, 0)</f>
        <v>سمنة مكسورة</v>
      </c>
      <c r="H855" s="90">
        <v>650</v>
      </c>
      <c r="I855" s="30" t="str">
        <f>VLOOKUP(F855, 'RM &amp; SF'!B:H, 4, 0)</f>
        <v>غم</v>
      </c>
      <c r="J855" s="90">
        <f>H855/1.4</f>
        <v>464.28571428571433</v>
      </c>
      <c r="K855" s="91">
        <f>VLOOKUP(F855, 'RM &amp; SF'!B:H, 7, 0)</f>
        <v>3.6676666666666667E-3</v>
      </c>
      <c r="L855" s="92">
        <f t="shared" si="80"/>
        <v>1.7028452380952384</v>
      </c>
      <c r="M855" s="30" t="s">
        <v>813</v>
      </c>
    </row>
    <row r="856" spans="1:13" ht="15.5">
      <c r="A856" s="88" t="s">
        <v>2344</v>
      </c>
      <c r="B856" s="219" t="s">
        <v>712</v>
      </c>
      <c r="C856" s="30"/>
      <c r="D856" s="30" t="str">
        <f>VLOOKUP(B856, 'RM &amp; SF'!B:C, 2, 0)</f>
        <v>دقة</v>
      </c>
      <c r="E856" s="30" t="s">
        <v>2321</v>
      </c>
      <c r="F856" s="67">
        <v>5292</v>
      </c>
      <c r="G856" s="30" t="str">
        <f>VLOOKUP(F856, 'RM &amp; SF'!B:C, 2, 0)</f>
        <v>ثوم مقشر*****</v>
      </c>
      <c r="H856" s="89">
        <v>1000</v>
      </c>
      <c r="I856" s="30" t="str">
        <f>VLOOKUP(F856, 'RM &amp; SF'!B:H, 4, 0)</f>
        <v>غم</v>
      </c>
      <c r="J856" s="90">
        <f>H856/1.4</f>
        <v>714.28571428571433</v>
      </c>
      <c r="K856" s="91">
        <f>VLOOKUP(F856, 'RM &amp; SF'!B:H, 7, 0)</f>
        <v>4.4999999999999997E-3</v>
      </c>
      <c r="L856" s="92">
        <f t="shared" si="80"/>
        <v>3.2142857142857144</v>
      </c>
      <c r="M856" s="30" t="s">
        <v>813</v>
      </c>
    </row>
    <row r="857" spans="1:13" ht="14">
      <c r="A857" s="88" t="s">
        <v>2344</v>
      </c>
      <c r="B857" s="219" t="s">
        <v>712</v>
      </c>
      <c r="C857" s="30"/>
      <c r="D857" s="30" t="str">
        <f>VLOOKUP(B857, 'RM &amp; SF'!B:C, 2, 0)</f>
        <v>دقة</v>
      </c>
      <c r="E857" s="30" t="s">
        <v>2209</v>
      </c>
      <c r="F857" s="110">
        <v>4546</v>
      </c>
      <c r="G857" s="30" t="str">
        <f>VLOOKUP(F857, 'RM &amp; SF'!B:C, 2, 0)</f>
        <v>كزبرة*****</v>
      </c>
      <c r="H857" s="89">
        <v>3</v>
      </c>
      <c r="I857" s="30" t="str">
        <f>VLOOKUP(F857, 'RM &amp; SF'!B:H, 4, 0)</f>
        <v>قطعة</v>
      </c>
      <c r="J857" s="90">
        <f>H857/1.4</f>
        <v>2.1428571428571428</v>
      </c>
      <c r="K857" s="91">
        <f>VLOOKUP(F857, 'RM &amp; SF'!B:H, 7, 0)</f>
        <v>1E-3</v>
      </c>
      <c r="L857" s="92">
        <f t="shared" si="80"/>
        <v>2.142857142857143E-3</v>
      </c>
      <c r="M857" s="30" t="s">
        <v>813</v>
      </c>
    </row>
    <row r="858" spans="1:13" ht="14">
      <c r="A858" s="88" t="s">
        <v>2345</v>
      </c>
      <c r="B858" s="219" t="s">
        <v>714</v>
      </c>
      <c r="C858" s="30"/>
      <c r="D858" s="30" t="str">
        <f>VLOOKUP(B858, 'RM &amp; SF'!B:C, 2, 0)</f>
        <v>ثوم وزيت</v>
      </c>
      <c r="E858" s="30" t="s">
        <v>2260</v>
      </c>
      <c r="F858" s="110">
        <v>4160</v>
      </c>
      <c r="G858" s="30" t="str">
        <f>VLOOKUP(F858, 'RM &amp; SF'!B:C, 2, 0)</f>
        <v>زيت صويا 18 لتر*****</v>
      </c>
      <c r="H858" s="89">
        <v>200</v>
      </c>
      <c r="I858" s="30" t="str">
        <f>VLOOKUP(F858, 'RM &amp; SF'!B:H, 4, 0)</f>
        <v>مل</v>
      </c>
      <c r="J858" s="90">
        <f>H858/0.5</f>
        <v>400</v>
      </c>
      <c r="K858" s="91">
        <f>VLOOKUP(F858, 'RM &amp; SF'!B:H, 7, 0)</f>
        <v>1.335E-3</v>
      </c>
      <c r="L858" s="92">
        <f t="shared" si="80"/>
        <v>0.53400000000000003</v>
      </c>
      <c r="M858" s="30" t="s">
        <v>813</v>
      </c>
    </row>
    <row r="859" spans="1:13" ht="15.5">
      <c r="A859" s="88" t="s">
        <v>2345</v>
      </c>
      <c r="B859" s="219" t="s">
        <v>714</v>
      </c>
      <c r="C859" s="30"/>
      <c r="D859" s="30" t="str">
        <f>VLOOKUP(B859, 'RM &amp; SF'!B:C, 2, 0)</f>
        <v>ثوم وزيت</v>
      </c>
      <c r="E859" s="30" t="s">
        <v>2321</v>
      </c>
      <c r="F859" s="67">
        <v>5292</v>
      </c>
      <c r="G859" s="30" t="str">
        <f>VLOOKUP(F859, 'RM &amp; SF'!B:C, 2, 0)</f>
        <v>ثوم مقشر*****</v>
      </c>
      <c r="H859" s="89">
        <v>300</v>
      </c>
      <c r="I859" s="30" t="str">
        <f>VLOOKUP(F859, 'RM &amp; SF'!B:H, 4, 0)</f>
        <v>غم</v>
      </c>
      <c r="J859" s="90">
        <f>H859/0.5</f>
        <v>600</v>
      </c>
      <c r="K859" s="91">
        <f>VLOOKUP(F859, 'RM &amp; SF'!B:H, 7, 0)</f>
        <v>4.4999999999999997E-3</v>
      </c>
      <c r="L859" s="92">
        <f t="shared" si="80"/>
        <v>2.6999999999999997</v>
      </c>
      <c r="M859" s="30" t="s">
        <v>813</v>
      </c>
    </row>
    <row r="860" spans="1:13" ht="14">
      <c r="A860" s="88" t="s">
        <v>2346</v>
      </c>
      <c r="B860" s="219" t="s">
        <v>716</v>
      </c>
      <c r="C860" s="30"/>
      <c r="D860" s="30" t="str">
        <f>VLOOKUP(B860, 'RM &amp; SF'!B:C, 2, 0)</f>
        <v>برغر دجاج</v>
      </c>
      <c r="E860" s="30" t="s">
        <v>3058</v>
      </c>
      <c r="F860" s="110">
        <v>5386</v>
      </c>
      <c r="G860" s="30" t="str">
        <f>VLOOKUP(F860, 'RM &amp; SF'!B:C, 2, 0)</f>
        <v>مسحب الطاحونة - طلبات مارت</v>
      </c>
      <c r="H860" s="30">
        <v>1400</v>
      </c>
      <c r="I860" s="30" t="str">
        <f>VLOOKUP(F860, 'RM &amp; SF'!B:H, 4, 0)</f>
        <v>غم</v>
      </c>
      <c r="J860" s="90">
        <f t="shared" ref="J860:J868" si="82">H860/2.4</f>
        <v>583.33333333333337</v>
      </c>
      <c r="K860" s="91">
        <f>VLOOKUP(F860, 'RM &amp; SF'!B:H, 7, 0)</f>
        <v>4.2000000000000006E-3</v>
      </c>
      <c r="L860" s="92">
        <f t="shared" si="80"/>
        <v>2.4500000000000006</v>
      </c>
      <c r="M860" s="30" t="s">
        <v>813</v>
      </c>
    </row>
    <row r="861" spans="1:13" ht="14">
      <c r="A861" s="88" t="s">
        <v>2346</v>
      </c>
      <c r="B861" s="219" t="s">
        <v>716</v>
      </c>
      <c r="C861" s="30"/>
      <c r="D861" s="30" t="str">
        <f>VLOOKUP(B861, 'RM &amp; SF'!B:C, 2, 0)</f>
        <v>برغر دجاج</v>
      </c>
      <c r="E861" s="30" t="s">
        <v>3058</v>
      </c>
      <c r="F861" s="110">
        <v>4598</v>
      </c>
      <c r="G861" s="30" t="str">
        <f>VLOOKUP(F861, 'RM &amp; SF'!B:C, 2, 0)</f>
        <v>لية خروف نية*****</v>
      </c>
      <c r="H861" s="30">
        <v>600</v>
      </c>
      <c r="I861" s="30" t="str">
        <f>VLOOKUP(F861, 'RM &amp; SF'!B:H, 4, 0)</f>
        <v>غم</v>
      </c>
      <c r="J861" s="90">
        <f t="shared" si="82"/>
        <v>250</v>
      </c>
      <c r="K861" s="91">
        <f>VLOOKUP(F861, 'RM &amp; SF'!B:H, 7, 0)</f>
        <v>5.0000000000000001E-3</v>
      </c>
      <c r="L861" s="92">
        <f t="shared" si="80"/>
        <v>1.25</v>
      </c>
      <c r="M861" s="30" t="s">
        <v>813</v>
      </c>
    </row>
    <row r="862" spans="1:13" ht="14">
      <c r="A862" s="88" t="s">
        <v>2346</v>
      </c>
      <c r="B862" s="219" t="s">
        <v>716</v>
      </c>
      <c r="C862" s="30"/>
      <c r="D862" s="30" t="str">
        <f>VLOOKUP(B862, 'RM &amp; SF'!B:C, 2, 0)</f>
        <v>برغر دجاج</v>
      </c>
      <c r="E862" s="30" t="s">
        <v>2287</v>
      </c>
      <c r="F862" s="110">
        <v>4216</v>
      </c>
      <c r="G862" s="30" t="str">
        <f>VLOOKUP(F862, 'RM &amp; SF'!B:C, 2, 0)</f>
        <v>زعتر اوريجانو*****</v>
      </c>
      <c r="H862" s="30">
        <v>15</v>
      </c>
      <c r="I862" s="30" t="str">
        <f>VLOOKUP(F862, 'RM &amp; SF'!B:H, 4, 0)</f>
        <v>غم</v>
      </c>
      <c r="J862" s="90">
        <f t="shared" si="82"/>
        <v>6.25</v>
      </c>
      <c r="K862" s="91">
        <f>VLOOKUP(F862, 'RM &amp; SF'!B:H, 7, 0)</f>
        <v>7.8429999999999993E-3</v>
      </c>
      <c r="L862" s="92">
        <f t="shared" si="80"/>
        <v>4.9018749999999993E-2</v>
      </c>
      <c r="M862" s="30" t="s">
        <v>813</v>
      </c>
    </row>
    <row r="863" spans="1:13" ht="14">
      <c r="A863" s="88" t="s">
        <v>2346</v>
      </c>
      <c r="B863" s="219" t="s">
        <v>716</v>
      </c>
      <c r="C863" s="30"/>
      <c r="D863" s="30" t="str">
        <f>VLOOKUP(B863, 'RM &amp; SF'!B:C, 2, 0)</f>
        <v>برغر دجاج</v>
      </c>
      <c r="E863" s="30" t="s">
        <v>2265</v>
      </c>
      <c r="F863" s="110">
        <v>4006</v>
      </c>
      <c r="G863" s="30" t="str">
        <f>VLOOKUP(F863, 'RM &amp; SF'!B:C, 2, 0)</f>
        <v>دبس رمان 5 كغ (مادة أولية)*****</v>
      </c>
      <c r="H863" s="30">
        <v>70</v>
      </c>
      <c r="I863" s="30" t="str">
        <f>VLOOKUP(F863, 'RM &amp; SF'!B:H, 4, 0)</f>
        <v>غم</v>
      </c>
      <c r="J863" s="90">
        <f t="shared" si="82"/>
        <v>29.166666666666668</v>
      </c>
      <c r="K863" s="91">
        <f>VLOOKUP(F863, 'RM &amp; SF'!B:H, 7, 0)</f>
        <v>1.508E-3</v>
      </c>
      <c r="L863" s="92">
        <f t="shared" si="80"/>
        <v>4.3983333333333333E-2</v>
      </c>
      <c r="M863" s="30" t="s">
        <v>813</v>
      </c>
    </row>
    <row r="864" spans="1:13" ht="14">
      <c r="A864" s="88" t="s">
        <v>2346</v>
      </c>
      <c r="B864" s="219" t="s">
        <v>716</v>
      </c>
      <c r="C864" s="30"/>
      <c r="D864" s="30" t="str">
        <f>VLOOKUP(B864, 'RM &amp; SF'!B:C, 2, 0)</f>
        <v>برغر دجاج</v>
      </c>
      <c r="E864" s="30" t="s">
        <v>2221</v>
      </c>
      <c r="F864" s="110">
        <v>4237</v>
      </c>
      <c r="G864" s="30" t="str">
        <f>VLOOKUP(F864, 'RM &amp; SF'!B:C, 2, 0)</f>
        <v>ثوم ناعم*****</v>
      </c>
      <c r="H864" s="30">
        <v>100</v>
      </c>
      <c r="I864" s="30" t="str">
        <f>VLOOKUP(F864, 'RM &amp; SF'!B:H, 4, 0)</f>
        <v>غم</v>
      </c>
      <c r="J864" s="90">
        <f t="shared" si="82"/>
        <v>41.666666666666671</v>
      </c>
      <c r="K864" s="91">
        <f>VLOOKUP(F864, 'RM &amp; SF'!B:H, 7, 0)</f>
        <v>2.3709999999999998E-3</v>
      </c>
      <c r="L864" s="92">
        <f t="shared" si="80"/>
        <v>9.8791666666666667E-2</v>
      </c>
      <c r="M864" s="30" t="s">
        <v>813</v>
      </c>
    </row>
    <row r="865" spans="1:28" ht="14">
      <c r="A865" s="88" t="s">
        <v>2346</v>
      </c>
      <c r="B865" s="219" t="s">
        <v>716</v>
      </c>
      <c r="C865" s="30"/>
      <c r="D865" s="30" t="str">
        <f>VLOOKUP(B865, 'RM &amp; SF'!B:C, 2, 0)</f>
        <v>برغر دجاج</v>
      </c>
      <c r="E865" s="30" t="s">
        <v>2220</v>
      </c>
      <c r="F865" s="110">
        <v>4236</v>
      </c>
      <c r="G865" s="30" t="str">
        <f>VLOOKUP(F865, 'RM &amp; SF'!B:C, 2, 0)</f>
        <v>بصل ناعم*****</v>
      </c>
      <c r="H865" s="30">
        <v>70</v>
      </c>
      <c r="I865" s="30" t="str">
        <f>VLOOKUP(F865, 'RM &amp; SF'!B:H, 4, 0)</f>
        <v>غم</v>
      </c>
      <c r="J865" s="90">
        <f t="shared" si="82"/>
        <v>29.166666666666668</v>
      </c>
      <c r="K865" s="91">
        <f>VLOOKUP(F865, 'RM &amp; SF'!B:H, 7, 0)</f>
        <v>2.3709999999999998E-3</v>
      </c>
      <c r="L865" s="92">
        <f t="shared" si="80"/>
        <v>6.9154166666666669E-2</v>
      </c>
      <c r="M865" s="30" t="s">
        <v>813</v>
      </c>
    </row>
    <row r="866" spans="1:28" ht="14">
      <c r="A866" s="88" t="s">
        <v>2346</v>
      </c>
      <c r="B866" s="219" t="s">
        <v>716</v>
      </c>
      <c r="C866" s="30"/>
      <c r="D866" s="30" t="str">
        <f>VLOOKUP(B866, 'RM &amp; SF'!B:C, 2, 0)</f>
        <v>برغر دجاج</v>
      </c>
      <c r="E866" s="30" t="s">
        <v>2222</v>
      </c>
      <c r="F866" s="110">
        <v>4240</v>
      </c>
      <c r="G866" s="30" t="str">
        <f>VLOOKUP(F866, 'RM &amp; SF'!B:C, 2, 0)</f>
        <v>كركم ناعم*****</v>
      </c>
      <c r="H866" s="30">
        <v>20</v>
      </c>
      <c r="I866" s="30" t="str">
        <f>VLOOKUP(F866, 'RM &amp; SF'!B:H, 4, 0)</f>
        <v>غم</v>
      </c>
      <c r="J866" s="90">
        <f t="shared" si="82"/>
        <v>8.3333333333333339</v>
      </c>
      <c r="K866" s="91">
        <f>VLOOKUP(F866, 'RM &amp; SF'!B:H, 7, 0)</f>
        <v>1.9399999999999999E-3</v>
      </c>
      <c r="L866" s="92">
        <f t="shared" si="80"/>
        <v>1.6166666666666666E-2</v>
      </c>
      <c r="M866" s="30" t="s">
        <v>813</v>
      </c>
    </row>
    <row r="867" spans="1:28" ht="14">
      <c r="A867" s="88" t="s">
        <v>2346</v>
      </c>
      <c r="B867" s="219" t="s">
        <v>716</v>
      </c>
      <c r="C867" s="30"/>
      <c r="D867" s="30" t="str">
        <f>VLOOKUP(B867, 'RM &amp; SF'!B:C, 2, 0)</f>
        <v>برغر دجاج</v>
      </c>
      <c r="E867" s="30" t="s">
        <v>3058</v>
      </c>
      <c r="F867" s="110">
        <v>4022</v>
      </c>
      <c r="G867" s="30" t="str">
        <f>VLOOKUP(F867, 'RM &amp; SF'!B:C, 2, 0)</f>
        <v>مرق الدجاج بودرة 1 كغ*****</v>
      </c>
      <c r="H867" s="30">
        <v>80</v>
      </c>
      <c r="I867" s="30" t="str">
        <f>VLOOKUP(F867, 'RM &amp; SF'!B:H, 4, 0)</f>
        <v>غم</v>
      </c>
      <c r="J867" s="90">
        <f t="shared" si="82"/>
        <v>33.333333333333336</v>
      </c>
      <c r="K867" s="91">
        <f>VLOOKUP(F867, 'RM &amp; SF'!B:H, 7, 0)</f>
        <v>4.7054597701149427E-3</v>
      </c>
      <c r="L867" s="92">
        <f t="shared" si="80"/>
        <v>0.15684865900383144</v>
      </c>
      <c r="M867" s="30" t="s">
        <v>813</v>
      </c>
    </row>
    <row r="868" spans="1:28" ht="14">
      <c r="A868" s="88" t="s">
        <v>2346</v>
      </c>
      <c r="B868" s="219" t="s">
        <v>716</v>
      </c>
      <c r="C868" s="30"/>
      <c r="D868" s="30" t="str">
        <f>VLOOKUP(B868, 'RM &amp; SF'!B:C, 2, 0)</f>
        <v>برغر دجاج</v>
      </c>
      <c r="E868" s="30" t="s">
        <v>3058</v>
      </c>
      <c r="F868" s="110">
        <v>4203</v>
      </c>
      <c r="G868" s="30" t="str">
        <f>VLOOKUP(F868, 'RM &amp; SF'!B:C, 2, 0)</f>
        <v>فلفل ابيض ناعم*****</v>
      </c>
      <c r="H868" s="30">
        <v>50</v>
      </c>
      <c r="I868" s="30" t="str">
        <f>VLOOKUP(F868, 'RM &amp; SF'!B:H, 4, 0)</f>
        <v>غم</v>
      </c>
      <c r="J868" s="90">
        <f t="shared" si="82"/>
        <v>20.833333333333336</v>
      </c>
      <c r="K868" s="91">
        <f>VLOOKUP(F868, 'RM &amp; SF'!B:H, 7, 0)</f>
        <v>7.7590000000000003E-3</v>
      </c>
      <c r="L868" s="92">
        <f t="shared" si="80"/>
        <v>0.16164583333333335</v>
      </c>
      <c r="M868" s="30" t="s">
        <v>813</v>
      </c>
    </row>
    <row r="869" spans="1:28" ht="14">
      <c r="A869" s="88" t="s">
        <v>2347</v>
      </c>
      <c r="B869" s="219" t="s">
        <v>718</v>
      </c>
      <c r="C869" s="30"/>
      <c r="D869" s="30" t="str">
        <f>VLOOKUP(B869, 'RM &amp; SF'!B:C, 2, 0)</f>
        <v>سكالوب دجاج</v>
      </c>
      <c r="E869" s="30" t="s">
        <v>3058</v>
      </c>
      <c r="F869" s="110">
        <v>5386</v>
      </c>
      <c r="G869" s="30" t="str">
        <f>VLOOKUP(F869, 'RM &amp; SF'!B:C, 2, 0)</f>
        <v>مسحب الطاحونة - طلبات مارت</v>
      </c>
      <c r="H869" s="30">
        <v>2000</v>
      </c>
      <c r="I869" s="30" t="str">
        <f>VLOOKUP(F869, 'RM &amp; SF'!B:H, 4, 0)</f>
        <v>غم</v>
      </c>
      <c r="J869" s="90">
        <f t="shared" ref="J869:J877" si="83">H869/4.3</f>
        <v>465.11627906976747</v>
      </c>
      <c r="K869" s="91">
        <f>VLOOKUP(F869, 'RM &amp; SF'!B:H, 7, 0)</f>
        <v>4.2000000000000006E-3</v>
      </c>
      <c r="L869" s="92">
        <f t="shared" si="80"/>
        <v>1.9534883720930236</v>
      </c>
      <c r="M869" s="30" t="s">
        <v>813</v>
      </c>
    </row>
    <row r="870" spans="1:28" ht="14">
      <c r="A870" s="88" t="s">
        <v>2347</v>
      </c>
      <c r="B870" s="219" t="s">
        <v>718</v>
      </c>
      <c r="C870" s="30"/>
      <c r="D870" s="30" t="str">
        <f>VLOOKUP(B870, 'RM &amp; SF'!B:C, 2, 0)</f>
        <v>سكالوب دجاج</v>
      </c>
      <c r="E870" s="30" t="s">
        <v>2290</v>
      </c>
      <c r="F870" s="110">
        <v>4554</v>
      </c>
      <c r="G870" s="30" t="str">
        <f>VLOOKUP(F870, 'RM &amp; SF'!B:C, 2, 0)</f>
        <v>حليب طويل الأجل كامل الدسم 1 لتر*****</v>
      </c>
      <c r="H870" s="30">
        <v>2000</v>
      </c>
      <c r="I870" s="30" t="str">
        <f>VLOOKUP(F870, 'RM &amp; SF'!B:H, 4, 0)</f>
        <v>مل</v>
      </c>
      <c r="J870" s="90">
        <f t="shared" si="83"/>
        <v>465.11627906976747</v>
      </c>
      <c r="K870" s="91">
        <f>VLOOKUP(F870, 'RM &amp; SF'!B:H, 7, 0)</f>
        <v>8.0000000000000004E-4</v>
      </c>
      <c r="L870" s="92">
        <f t="shared" si="80"/>
        <v>0.372093023255814</v>
      </c>
      <c r="M870" s="30" t="s">
        <v>813</v>
      </c>
    </row>
    <row r="871" spans="1:28" ht="14">
      <c r="A871" s="88" t="s">
        <v>2347</v>
      </c>
      <c r="B871" s="219" t="s">
        <v>718</v>
      </c>
      <c r="C871" s="30"/>
      <c r="D871" s="30" t="str">
        <f>VLOOKUP(B871, 'RM &amp; SF'!B:C, 2, 0)</f>
        <v>سكالوب دجاج</v>
      </c>
      <c r="E871" s="30" t="s">
        <v>3058</v>
      </c>
      <c r="F871" s="110">
        <v>4203</v>
      </c>
      <c r="G871" s="30" t="str">
        <f>VLOOKUP(F871, 'RM &amp; SF'!B:C, 2, 0)</f>
        <v>فلفل ابيض ناعم*****</v>
      </c>
      <c r="H871" s="30">
        <v>5</v>
      </c>
      <c r="I871" s="30" t="str">
        <f>VLOOKUP(F871, 'RM &amp; SF'!B:H, 4, 0)</f>
        <v>غم</v>
      </c>
      <c r="J871" s="90">
        <f t="shared" si="83"/>
        <v>1.1627906976744187</v>
      </c>
      <c r="K871" s="91">
        <f>VLOOKUP(F871, 'RM &amp; SF'!B:H, 7, 0)</f>
        <v>7.7590000000000003E-3</v>
      </c>
      <c r="L871" s="92">
        <f t="shared" si="80"/>
        <v>9.0220930232558141E-3</v>
      </c>
      <c r="M871" s="30" t="s">
        <v>813</v>
      </c>
    </row>
    <row r="872" spans="1:28" ht="14">
      <c r="A872" s="88" t="s">
        <v>2347</v>
      </c>
      <c r="B872" s="219" t="s">
        <v>718</v>
      </c>
      <c r="C872" s="30"/>
      <c r="D872" s="30" t="str">
        <f>VLOOKUP(B872, 'RM &amp; SF'!B:C, 2, 0)</f>
        <v>سكالوب دجاج</v>
      </c>
      <c r="E872" s="30" t="s">
        <v>3058</v>
      </c>
      <c r="F872" s="110">
        <v>4191</v>
      </c>
      <c r="G872" s="30" t="str">
        <f>VLOOKUP(F872, 'RM &amp; SF'!B:C, 2, 0)</f>
        <v>جوزة الطيب مطحونة*****</v>
      </c>
      <c r="H872" s="30">
        <v>52</v>
      </c>
      <c r="I872" s="30" t="str">
        <f>VLOOKUP(F872, 'RM &amp; SF'!B:H, 4, 0)</f>
        <v>غم</v>
      </c>
      <c r="J872" s="90">
        <f t="shared" si="83"/>
        <v>12.093023255813954</v>
      </c>
      <c r="K872" s="91">
        <f>VLOOKUP(F872, 'RM &amp; SF'!B:H, 7, 0)</f>
        <v>6.0339999999999994E-3</v>
      </c>
      <c r="L872" s="92">
        <f t="shared" si="80"/>
        <v>7.2969302325581395E-2</v>
      </c>
      <c r="M872" s="30" t="s">
        <v>813</v>
      </c>
    </row>
    <row r="873" spans="1:28" ht="14">
      <c r="A873" s="88" t="s">
        <v>2347</v>
      </c>
      <c r="B873" s="219" t="s">
        <v>718</v>
      </c>
      <c r="C873" s="30"/>
      <c r="D873" s="30" t="str">
        <f>VLOOKUP(B873, 'RM &amp; SF'!B:C, 2, 0)</f>
        <v>سكالوب دجاج</v>
      </c>
      <c r="E873" s="30" t="s">
        <v>2212</v>
      </c>
      <c r="F873" s="110">
        <v>4215</v>
      </c>
      <c r="G873" s="30" t="str">
        <f>VLOOKUP(F873, 'RM &amp; SF'!B:C, 2, 0)</f>
        <v>ملح صيني*****</v>
      </c>
      <c r="H873" s="30">
        <v>150</v>
      </c>
      <c r="I873" s="30" t="str">
        <f>VLOOKUP(F873, 'RM &amp; SF'!B:H, 4, 0)</f>
        <v>غم</v>
      </c>
      <c r="J873" s="90">
        <f t="shared" si="83"/>
        <v>34.883720930232556</v>
      </c>
      <c r="K873" s="91">
        <f>VLOOKUP(F873, 'RM &amp; SF'!B:H, 7, 0)</f>
        <v>1.7240000000000001E-3</v>
      </c>
      <c r="L873" s="92">
        <f t="shared" si="80"/>
        <v>6.0139534883720931E-2</v>
      </c>
      <c r="M873" s="30" t="s">
        <v>813</v>
      </c>
    </row>
    <row r="874" spans="1:28" ht="14">
      <c r="A874" s="88" t="s">
        <v>2347</v>
      </c>
      <c r="B874" s="219" t="s">
        <v>718</v>
      </c>
      <c r="C874" s="30"/>
      <c r="D874" s="30" t="str">
        <f>VLOOKUP(B874, 'RM &amp; SF'!B:C, 2, 0)</f>
        <v>سكالوب دجاج</v>
      </c>
      <c r="E874" s="30" t="s">
        <v>2221</v>
      </c>
      <c r="F874" s="110">
        <v>4237</v>
      </c>
      <c r="G874" s="30" t="str">
        <f>VLOOKUP(F874, 'RM &amp; SF'!B:C, 2, 0)</f>
        <v>ثوم ناعم*****</v>
      </c>
      <c r="H874" s="30">
        <v>100</v>
      </c>
      <c r="I874" s="30" t="str">
        <f>VLOOKUP(F874, 'RM &amp; SF'!B:H, 4, 0)</f>
        <v>غم</v>
      </c>
      <c r="J874" s="90">
        <f t="shared" si="83"/>
        <v>23.255813953488374</v>
      </c>
      <c r="K874" s="91">
        <f>VLOOKUP(F874, 'RM &amp; SF'!B:H, 7, 0)</f>
        <v>2.3709999999999998E-3</v>
      </c>
      <c r="L874" s="92">
        <f t="shared" si="80"/>
        <v>5.5139534883720934E-2</v>
      </c>
      <c r="M874" s="30" t="s">
        <v>813</v>
      </c>
    </row>
    <row r="875" spans="1:28" ht="14">
      <c r="A875" s="88" t="s">
        <v>2347</v>
      </c>
      <c r="B875" s="219" t="s">
        <v>718</v>
      </c>
      <c r="C875" s="30"/>
      <c r="D875" s="30" t="str">
        <f>VLOOKUP(B875, 'RM &amp; SF'!B:C, 2, 0)</f>
        <v>سكالوب دجاج</v>
      </c>
      <c r="E875" s="30" t="s">
        <v>3058</v>
      </c>
      <c r="F875" s="110">
        <v>4228</v>
      </c>
      <c r="G875" s="30" t="str">
        <f>VLOOKUP(F875, 'RM &amp; SF'!B:C, 2, 0)</f>
        <v>حلبة*****</v>
      </c>
      <c r="H875" s="30">
        <v>10</v>
      </c>
      <c r="I875" s="30" t="str">
        <f>VLOOKUP(F875, 'RM &amp; SF'!B:H, 4, 0)</f>
        <v>غم</v>
      </c>
      <c r="J875" s="90">
        <f t="shared" si="83"/>
        <v>2.3255813953488373</v>
      </c>
      <c r="K875" s="91">
        <f>VLOOKUP(F875, 'RM &amp; SF'!B:H, 7, 0)</f>
        <v>1.4660000000000001E-3</v>
      </c>
      <c r="L875" s="92">
        <f t="shared" si="80"/>
        <v>3.4093023255813955E-3</v>
      </c>
      <c r="M875" s="30" t="s">
        <v>813</v>
      </c>
    </row>
    <row r="876" spans="1:28" ht="14">
      <c r="A876" s="88" t="s">
        <v>2347</v>
      </c>
      <c r="B876" s="219" t="s">
        <v>718</v>
      </c>
      <c r="C876" s="30"/>
      <c r="D876" s="30" t="str">
        <f>VLOOKUP(B876, 'RM &amp; SF'!B:C, 2, 0)</f>
        <v>سكالوب دجاج</v>
      </c>
      <c r="E876" s="30" t="s">
        <v>2223</v>
      </c>
      <c r="F876" s="110">
        <v>4241</v>
      </c>
      <c r="G876" s="30" t="str">
        <f>VLOOKUP(F876, 'RM &amp; SF'!B:C, 2, 0)</f>
        <v>بهارات كيجن عادي*****</v>
      </c>
      <c r="H876" s="30">
        <v>50</v>
      </c>
      <c r="I876" s="30" t="str">
        <f>VLOOKUP(F876, 'RM &amp; SF'!B:H, 4, 0)</f>
        <v>غم</v>
      </c>
      <c r="J876" s="90">
        <f t="shared" si="83"/>
        <v>11.627906976744187</v>
      </c>
      <c r="K876" s="91">
        <f>VLOOKUP(F876, 'RM &amp; SF'!B:H, 7, 0)</f>
        <v>3.8790000000000001E-3</v>
      </c>
      <c r="L876" s="92">
        <f t="shared" si="80"/>
        <v>4.51046511627907E-2</v>
      </c>
      <c r="M876" s="30" t="s">
        <v>813</v>
      </c>
    </row>
    <row r="877" spans="1:28" ht="14">
      <c r="A877" s="88" t="s">
        <v>2347</v>
      </c>
      <c r="B877" s="219" t="s">
        <v>718</v>
      </c>
      <c r="C877" s="30"/>
      <c r="D877" s="30" t="str">
        <f>VLOOKUP(B877, 'RM &amp; SF'!B:C, 2, 0)</f>
        <v>سكالوب دجاج</v>
      </c>
      <c r="E877" s="30" t="s">
        <v>2227</v>
      </c>
      <c r="F877" s="110">
        <v>4217</v>
      </c>
      <c r="G877" s="30" t="str">
        <f>VLOOKUP(F877, 'RM &amp; SF'!B:C, 2, 0)</f>
        <v>زعتر بلدي*****</v>
      </c>
      <c r="H877" s="30">
        <v>15</v>
      </c>
      <c r="I877" s="30" t="str">
        <f>VLOOKUP(F877, 'RM &amp; SF'!B:H, 4, 0)</f>
        <v>غم</v>
      </c>
      <c r="J877" s="90">
        <f t="shared" si="83"/>
        <v>3.4883720930232558</v>
      </c>
      <c r="K877" s="91">
        <f>VLOOKUP(F877, 'RM &amp; SF'!B:H, 7, 0)</f>
        <v>2.941E-3</v>
      </c>
      <c r="L877" s="92">
        <f t="shared" si="80"/>
        <v>1.0259302325581395E-2</v>
      </c>
      <c r="M877" s="30" t="s">
        <v>813</v>
      </c>
    </row>
    <row r="878" spans="1:28" ht="14">
      <c r="A878" s="88" t="s">
        <v>2413</v>
      </c>
      <c r="B878" s="188" t="s">
        <v>696</v>
      </c>
      <c r="C878" s="30"/>
      <c r="D878" s="30" t="str">
        <f>VLOOKUP(B878, 'RM &amp; SF'!B:C, 2, 0)</f>
        <v>رز برياني</v>
      </c>
      <c r="E878" s="30" t="s">
        <v>2281</v>
      </c>
      <c r="F878" s="110">
        <v>4133</v>
      </c>
      <c r="G878" s="30" t="str">
        <f>VLOOKUP(F878, 'RM &amp; SF'!B:C, 2, 0)</f>
        <v>ارز بسمتي ذهبي*****</v>
      </c>
      <c r="H878" s="89">
        <v>10000</v>
      </c>
      <c r="I878" s="30" t="str">
        <f>VLOOKUP(F878, 'RM &amp; SF'!B:H, 4, 0)</f>
        <v>غم</v>
      </c>
      <c r="J878" s="90">
        <f t="shared" ref="J878:J890" si="84">H878/45</f>
        <v>222.22222222222223</v>
      </c>
      <c r="K878" s="91">
        <f>VLOOKUP(F878, 'RM &amp; SF'!B:H, 7, 0)</f>
        <v>1.1000000000000001E-3</v>
      </c>
      <c r="L878" s="92">
        <f t="shared" si="80"/>
        <v>0.24444444444444446</v>
      </c>
      <c r="M878" s="30" t="s">
        <v>813</v>
      </c>
      <c r="N878" s="107"/>
      <c r="O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</row>
    <row r="879" spans="1:28" ht="14">
      <c r="A879" s="88" t="s">
        <v>2413</v>
      </c>
      <c r="B879" s="188" t="s">
        <v>696</v>
      </c>
      <c r="C879" s="30"/>
      <c r="D879" s="30" t="str">
        <f>VLOOKUP(B879, 'RM &amp; SF'!B:C, 2, 0)</f>
        <v>رز برياني</v>
      </c>
      <c r="E879" s="30" t="s">
        <v>2233</v>
      </c>
      <c r="F879" s="110">
        <v>4501</v>
      </c>
      <c r="G879" s="30" t="str">
        <f>VLOOKUP(F879, 'RM &amp; SF'!B:C, 2, 0)</f>
        <v>فلفل حلو احمر*****</v>
      </c>
      <c r="H879" s="89">
        <v>3000</v>
      </c>
      <c r="I879" s="30" t="str">
        <f>VLOOKUP(F879, 'RM &amp; SF'!B:H, 4, 0)</f>
        <v>غم</v>
      </c>
      <c r="J879" s="90">
        <f t="shared" si="84"/>
        <v>66.666666666666671</v>
      </c>
      <c r="K879" s="91">
        <f>VLOOKUP(F879, 'RM &amp; SF'!B:H, 7, 0)</f>
        <v>7.5000000000000002E-4</v>
      </c>
      <c r="L879" s="92">
        <f t="shared" si="80"/>
        <v>0.05</v>
      </c>
      <c r="M879" s="30" t="s">
        <v>813</v>
      </c>
      <c r="N879" s="107"/>
      <c r="O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</row>
    <row r="880" spans="1:28" ht="14">
      <c r="A880" s="88" t="s">
        <v>2413</v>
      </c>
      <c r="B880" s="188" t="s">
        <v>696</v>
      </c>
      <c r="C880" s="30"/>
      <c r="D880" s="30" t="str">
        <f>VLOOKUP(B880, 'RM &amp; SF'!B:C, 2, 0)</f>
        <v>رز برياني</v>
      </c>
      <c r="E880" s="30" t="s">
        <v>2234</v>
      </c>
      <c r="F880" s="110">
        <v>4503</v>
      </c>
      <c r="G880" s="30" t="str">
        <f>VLOOKUP(F880, 'RM &amp; SF'!B:C, 2, 0)</f>
        <v>بصل ناشف دفش*****</v>
      </c>
      <c r="H880" s="89">
        <v>3000</v>
      </c>
      <c r="I880" s="30" t="str">
        <f>VLOOKUP(F880, 'RM &amp; SF'!B:H, 4, 0)</f>
        <v>غم</v>
      </c>
      <c r="J880" s="90">
        <f t="shared" si="84"/>
        <v>66.666666666666671</v>
      </c>
      <c r="K880" s="91">
        <f>VLOOKUP(F880, 'RM &amp; SF'!B:H, 7, 0)</f>
        <v>2.5000000000000001E-4</v>
      </c>
      <c r="L880" s="92">
        <f t="shared" si="80"/>
        <v>1.666666666666667E-2</v>
      </c>
      <c r="M880" s="30" t="s">
        <v>813</v>
      </c>
      <c r="N880" s="107"/>
      <c r="O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</row>
    <row r="881" spans="1:28" ht="14">
      <c r="A881" s="88" t="s">
        <v>2413</v>
      </c>
      <c r="B881" s="188" t="s">
        <v>696</v>
      </c>
      <c r="C881" s="30"/>
      <c r="D881" s="30" t="str">
        <f>VLOOKUP(B881, 'RM &amp; SF'!B:C, 2, 0)</f>
        <v>رز برياني</v>
      </c>
      <c r="E881" s="30" t="s">
        <v>2221</v>
      </c>
      <c r="F881" s="110">
        <v>4237</v>
      </c>
      <c r="G881" s="30" t="str">
        <f>VLOOKUP(F881, 'RM &amp; SF'!B:C, 2, 0)</f>
        <v>ثوم ناعم*****</v>
      </c>
      <c r="H881" s="89">
        <v>50</v>
      </c>
      <c r="I881" s="30" t="str">
        <f>VLOOKUP(F881, 'RM &amp; SF'!B:H, 4, 0)</f>
        <v>غم</v>
      </c>
      <c r="J881" s="90">
        <f t="shared" si="84"/>
        <v>1.1111111111111112</v>
      </c>
      <c r="K881" s="91">
        <f>VLOOKUP(F881, 'RM &amp; SF'!B:H, 7, 0)</f>
        <v>2.3709999999999998E-3</v>
      </c>
      <c r="L881" s="92">
        <f t="shared" si="80"/>
        <v>2.6344444444444445E-3</v>
      </c>
      <c r="M881" s="30" t="s">
        <v>813</v>
      </c>
      <c r="N881" s="107"/>
      <c r="O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</row>
    <row r="882" spans="1:28" ht="14">
      <c r="A882" s="88" t="s">
        <v>2413</v>
      </c>
      <c r="B882" s="188" t="s">
        <v>696</v>
      </c>
      <c r="C882" s="30"/>
      <c r="D882" s="30" t="str">
        <f>VLOOKUP(B882, 'RM &amp; SF'!B:C, 2, 0)</f>
        <v>رز برياني</v>
      </c>
      <c r="E882" s="30" t="s">
        <v>2231</v>
      </c>
      <c r="F882" s="110">
        <v>4499</v>
      </c>
      <c r="G882" s="30" t="str">
        <f>VLOOKUP(F882, 'RM &amp; SF'!B:C, 2, 0)</f>
        <v>فلفل حار اخضر*****</v>
      </c>
      <c r="H882" s="89">
        <v>50</v>
      </c>
      <c r="I882" s="30" t="str">
        <f>VLOOKUP(F882, 'RM &amp; SF'!B:H, 4, 0)</f>
        <v>غم</v>
      </c>
      <c r="J882" s="90">
        <f t="shared" si="84"/>
        <v>1.1111111111111112</v>
      </c>
      <c r="K882" s="91">
        <f>VLOOKUP(F882, 'RM &amp; SF'!B:H, 7, 0)</f>
        <v>5.0000000000000001E-4</v>
      </c>
      <c r="L882" s="92">
        <f t="shared" si="80"/>
        <v>5.5555555555555556E-4</v>
      </c>
      <c r="M882" s="30" t="s">
        <v>813</v>
      </c>
      <c r="N882" s="107"/>
      <c r="O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</row>
    <row r="883" spans="1:28" ht="14">
      <c r="A883" s="88" t="s">
        <v>2413</v>
      </c>
      <c r="B883" s="188" t="s">
        <v>696</v>
      </c>
      <c r="C883" s="30"/>
      <c r="D883" s="30" t="str">
        <f>VLOOKUP(B883, 'RM &amp; SF'!B:C, 2, 0)</f>
        <v>رز برياني</v>
      </c>
      <c r="E883" s="30" t="s">
        <v>3058</v>
      </c>
      <c r="F883" s="110">
        <v>4021</v>
      </c>
      <c r="G883" s="30" t="str">
        <f>VLOOKUP(F883, 'RM &amp; SF'!B:C, 2, 0)</f>
        <v>مكعبات مرق الدجاج 24 عبوة*2 مكعب*****</v>
      </c>
      <c r="H883" s="89">
        <v>60</v>
      </c>
      <c r="I883" s="30" t="str">
        <f>VLOOKUP(F883, 'RM &amp; SF'!B:H, 4, 0)</f>
        <v>غم</v>
      </c>
      <c r="J883" s="90">
        <f t="shared" si="84"/>
        <v>1.3333333333333333</v>
      </c>
      <c r="K883" s="91">
        <f>VLOOKUP(F883, 'RM &amp; SF'!B:H, 7, 0)</f>
        <v>3.8541666666666668E-3</v>
      </c>
      <c r="L883" s="92">
        <f t="shared" si="80"/>
        <v>5.138888888888889E-3</v>
      </c>
      <c r="M883" s="30" t="s">
        <v>813</v>
      </c>
      <c r="N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</row>
    <row r="884" spans="1:28" ht="14">
      <c r="A884" s="88" t="s">
        <v>2413</v>
      </c>
      <c r="B884" s="188" t="s">
        <v>696</v>
      </c>
      <c r="C884" s="30"/>
      <c r="D884" s="30" t="str">
        <f>VLOOKUP(B884, 'RM &amp; SF'!B:C, 2, 0)</f>
        <v>رز برياني</v>
      </c>
      <c r="E884" s="30" t="s">
        <v>2261</v>
      </c>
      <c r="F884" s="110">
        <v>4163</v>
      </c>
      <c r="G884" s="30" t="str">
        <f>VLOOKUP(F884, 'RM &amp; SF'!B:C, 2, 0)</f>
        <v>سمنة بنكهة السمن البلدي 15 كغ*****</v>
      </c>
      <c r="H884" s="89">
        <v>700</v>
      </c>
      <c r="I884" s="30" t="str">
        <f>VLOOKUP(F884, 'RM &amp; SF'!B:H, 4, 0)</f>
        <v>غم</v>
      </c>
      <c r="J884" s="90">
        <f t="shared" si="84"/>
        <v>15.555555555555555</v>
      </c>
      <c r="K884" s="91">
        <f>VLOOKUP(F884, 'RM &amp; SF'!B:H, 7, 0)</f>
        <v>2.0512E-3</v>
      </c>
      <c r="L884" s="92">
        <f t="shared" si="80"/>
        <v>3.1907555555555557E-2</v>
      </c>
      <c r="M884" s="30" t="s">
        <v>813</v>
      </c>
      <c r="N884" s="107"/>
      <c r="O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</row>
    <row r="885" spans="1:28" ht="14">
      <c r="A885" s="88" t="s">
        <v>2413</v>
      </c>
      <c r="B885" s="188" t="s">
        <v>696</v>
      </c>
      <c r="C885" s="30"/>
      <c r="D885" s="30" t="str">
        <f>VLOOKUP(B885, 'RM &amp; SF'!B:C, 2, 0)</f>
        <v>رز برياني</v>
      </c>
      <c r="E885" s="30" t="s">
        <v>2260</v>
      </c>
      <c r="F885" s="110">
        <v>4160</v>
      </c>
      <c r="G885" s="30" t="str">
        <f>VLOOKUP(F885, 'RM &amp; SF'!B:C, 2, 0)</f>
        <v>زيت صويا 18 لتر*****</v>
      </c>
      <c r="H885" s="89">
        <v>600</v>
      </c>
      <c r="I885" s="30" t="str">
        <f>VLOOKUP(F885, 'RM &amp; SF'!B:H, 4, 0)</f>
        <v>مل</v>
      </c>
      <c r="J885" s="90">
        <f t="shared" si="84"/>
        <v>13.333333333333334</v>
      </c>
      <c r="K885" s="91">
        <f>VLOOKUP(F885, 'RM &amp; SF'!B:H, 7, 0)</f>
        <v>1.335E-3</v>
      </c>
      <c r="L885" s="92">
        <f t="shared" si="80"/>
        <v>1.78E-2</v>
      </c>
      <c r="M885" s="30" t="s">
        <v>813</v>
      </c>
      <c r="N885" s="107"/>
      <c r="O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</row>
    <row r="886" spans="1:28" ht="14">
      <c r="A886" s="88" t="s">
        <v>2413</v>
      </c>
      <c r="B886" s="188" t="s">
        <v>696</v>
      </c>
      <c r="C886" s="30"/>
      <c r="D886" s="30" t="str">
        <f>VLOOKUP(B886, 'RM &amp; SF'!B:C, 2, 0)</f>
        <v>رز برياني</v>
      </c>
      <c r="E886" s="30" t="s">
        <v>2206</v>
      </c>
      <c r="F886" s="110">
        <v>4204</v>
      </c>
      <c r="G886" s="30" t="str">
        <f>VLOOKUP(F886, 'RM &amp; SF'!B:C, 2, 0)</f>
        <v>فلفل اسود ناعم*****</v>
      </c>
      <c r="H886" s="89">
        <v>50</v>
      </c>
      <c r="I886" s="30" t="str">
        <f>VLOOKUP(F886, 'RM &amp; SF'!B:H, 4, 0)</f>
        <v>غم</v>
      </c>
      <c r="J886" s="90">
        <f t="shared" si="84"/>
        <v>1.1111111111111112</v>
      </c>
      <c r="K886" s="91">
        <f>VLOOKUP(F886, 'RM &amp; SF'!B:H, 7, 0)</f>
        <v>6.8970000000000004E-3</v>
      </c>
      <c r="L886" s="92">
        <f t="shared" si="80"/>
        <v>7.6633333333333345E-3</v>
      </c>
      <c r="M886" s="30" t="s">
        <v>813</v>
      </c>
      <c r="N886" s="107"/>
      <c r="O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</row>
    <row r="887" spans="1:28" ht="14">
      <c r="A887" s="88" t="s">
        <v>2413</v>
      </c>
      <c r="B887" s="188" t="s">
        <v>696</v>
      </c>
      <c r="C887" s="30"/>
      <c r="D887" s="30" t="str">
        <f>VLOOKUP(B887, 'RM &amp; SF'!B:C, 2, 0)</f>
        <v>رز برياني</v>
      </c>
      <c r="E887" s="30" t="s">
        <v>2208</v>
      </c>
      <c r="F887" s="110">
        <v>4211</v>
      </c>
      <c r="G887" s="30" t="str">
        <f>VLOOKUP(F887, 'RM &amp; SF'!B:C, 2, 0)</f>
        <v>كزبرة ناعمة*****</v>
      </c>
      <c r="H887" s="89">
        <v>50</v>
      </c>
      <c r="I887" s="30" t="str">
        <f>VLOOKUP(F887, 'RM &amp; SF'!B:H, 4, 0)</f>
        <v>غم</v>
      </c>
      <c r="J887" s="90">
        <f t="shared" si="84"/>
        <v>1.1111111111111112</v>
      </c>
      <c r="K887" s="91">
        <f>VLOOKUP(F887, 'RM &amp; SF'!B:H, 7, 0)</f>
        <v>1.5089999999999999E-3</v>
      </c>
      <c r="L887" s="92">
        <f t="shared" si="80"/>
        <v>1.6766666666666666E-3</v>
      </c>
      <c r="M887" s="30" t="s">
        <v>813</v>
      </c>
      <c r="N887" s="107"/>
      <c r="O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</row>
    <row r="888" spans="1:28" ht="14">
      <c r="A888" s="88" t="s">
        <v>2413</v>
      </c>
      <c r="B888" s="188" t="s">
        <v>696</v>
      </c>
      <c r="C888" s="30"/>
      <c r="D888" s="30" t="str">
        <f>VLOOKUP(B888, 'RM &amp; SF'!B:C, 2, 0)</f>
        <v>رز برياني</v>
      </c>
      <c r="E888" s="30" t="s">
        <v>2214</v>
      </c>
      <c r="F888" s="110">
        <v>4223</v>
      </c>
      <c r="G888" s="30" t="str">
        <f>VLOOKUP(F888, 'RM &amp; SF'!B:C, 2, 0)</f>
        <v>بهارات كاري*****</v>
      </c>
      <c r="H888" s="89">
        <v>40</v>
      </c>
      <c r="I888" s="30" t="str">
        <f>VLOOKUP(F888, 'RM &amp; SF'!B:H, 4, 0)</f>
        <v>غم</v>
      </c>
      <c r="J888" s="90">
        <f t="shared" si="84"/>
        <v>0.88888888888888884</v>
      </c>
      <c r="K888" s="91">
        <f>VLOOKUP(F888, 'RM &amp; SF'!B:H, 7, 0)</f>
        <v>2.2409999999999999E-3</v>
      </c>
      <c r="L888" s="92">
        <f t="shared" si="80"/>
        <v>1.9919999999999998E-3</v>
      </c>
      <c r="M888" s="30" t="s">
        <v>813</v>
      </c>
      <c r="N888" s="107"/>
      <c r="O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</row>
    <row r="889" spans="1:28" ht="14">
      <c r="A889" s="88" t="s">
        <v>2413</v>
      </c>
      <c r="B889" s="188" t="s">
        <v>696</v>
      </c>
      <c r="C889" s="30"/>
      <c r="D889" s="30" t="str">
        <f>VLOOKUP(B889, 'RM &amp; SF'!B:C, 2, 0)</f>
        <v>رز برياني</v>
      </c>
      <c r="E889" s="30" t="s">
        <v>2218</v>
      </c>
      <c r="F889" s="110">
        <v>4233</v>
      </c>
      <c r="G889" s="30" t="str">
        <f>VLOOKUP(F889, 'RM &amp; SF'!B:C, 2, 0)</f>
        <v>هال ناعم*****</v>
      </c>
      <c r="H889" s="89">
        <v>40</v>
      </c>
      <c r="I889" s="30" t="str">
        <f>VLOOKUP(F889, 'RM &amp; SF'!B:H, 4, 0)</f>
        <v>غم</v>
      </c>
      <c r="J889" s="90">
        <f t="shared" si="84"/>
        <v>0.88888888888888884</v>
      </c>
      <c r="K889" s="91">
        <f>VLOOKUP(F889, 'RM &amp; SF'!B:H, 7, 0)</f>
        <v>2.3E-2</v>
      </c>
      <c r="L889" s="92">
        <f t="shared" si="80"/>
        <v>2.0444444444444442E-2</v>
      </c>
      <c r="M889" s="30" t="s">
        <v>813</v>
      </c>
      <c r="N889" s="107"/>
      <c r="O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</row>
    <row r="890" spans="1:28" ht="14">
      <c r="A890" s="88" t="s">
        <v>2413</v>
      </c>
      <c r="B890" s="188" t="s">
        <v>696</v>
      </c>
      <c r="C890" s="30"/>
      <c r="D890" s="30" t="str">
        <f>VLOOKUP(B890, 'RM &amp; SF'!B:C, 2, 0)</f>
        <v>رز برياني</v>
      </c>
      <c r="E890" s="30" t="s">
        <v>2212</v>
      </c>
      <c r="F890" s="110">
        <v>4215</v>
      </c>
      <c r="G890" s="30" t="str">
        <f>VLOOKUP(F890, 'RM &amp; SF'!B:C, 2, 0)</f>
        <v>ملح صيني*****</v>
      </c>
      <c r="H890" s="89">
        <v>50</v>
      </c>
      <c r="I890" s="30" t="str">
        <f>VLOOKUP(F890, 'RM &amp; SF'!B:H, 4, 0)</f>
        <v>غم</v>
      </c>
      <c r="J890" s="90">
        <f t="shared" si="84"/>
        <v>1.1111111111111112</v>
      </c>
      <c r="K890" s="91">
        <f>VLOOKUP(F890, 'RM &amp; SF'!B:H, 7, 0)</f>
        <v>1.7240000000000001E-3</v>
      </c>
      <c r="L890" s="92">
        <f t="shared" si="80"/>
        <v>1.9155555555555558E-3</v>
      </c>
      <c r="M890" s="30" t="s">
        <v>813</v>
      </c>
      <c r="N890" s="107"/>
      <c r="O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</row>
    <row r="891" spans="1:28" ht="14">
      <c r="A891" s="88" t="s">
        <v>2348</v>
      </c>
      <c r="B891" s="219" t="s">
        <v>720</v>
      </c>
      <c r="C891" s="30"/>
      <c r="D891" s="30" t="str">
        <f>VLOOKUP(B891, 'RM &amp; SF'!B:C, 2, 0)</f>
        <v>ضربة مفتول</v>
      </c>
      <c r="E891" s="30" t="s">
        <v>3058</v>
      </c>
      <c r="F891" s="110">
        <v>5377</v>
      </c>
      <c r="G891" s="30" t="str">
        <f>VLOOKUP(F891, 'RM &amp; SF'!B:C, 2, 0)</f>
        <v>مفتول</v>
      </c>
      <c r="H891" s="30">
        <v>4000</v>
      </c>
      <c r="I891" s="30" t="str">
        <f>VLOOKUP(F891, 'RM &amp; SF'!B:H, 4, 0)</f>
        <v>غم</v>
      </c>
      <c r="J891" s="90">
        <f>H891/19.8</f>
        <v>202.02020202020202</v>
      </c>
      <c r="K891" s="91">
        <f>VLOOKUP(F891, 'RM &amp; SF'!B:H, 7, 0)</f>
        <v>1.8E-3</v>
      </c>
      <c r="L891" s="92">
        <f t="shared" si="80"/>
        <v>0.36363636363636365</v>
      </c>
      <c r="M891" s="30" t="s">
        <v>813</v>
      </c>
    </row>
    <row r="892" spans="1:28" ht="14">
      <c r="A892" s="88" t="s">
        <v>2348</v>
      </c>
      <c r="B892" s="219" t="s">
        <v>720</v>
      </c>
      <c r="C892" s="30"/>
      <c r="D892" s="30" t="str">
        <f>VLOOKUP(B892, 'RM &amp; SF'!B:C, 2, 0)</f>
        <v>ضربة مفتول</v>
      </c>
      <c r="E892" s="30" t="s">
        <v>3058</v>
      </c>
      <c r="F892" s="110">
        <v>4222</v>
      </c>
      <c r="G892" s="30" t="str">
        <f>VLOOKUP(F892, 'RM &amp; SF'!B:C, 2, 0)</f>
        <v>كمون ناعم*****</v>
      </c>
      <c r="H892" s="30">
        <v>10</v>
      </c>
      <c r="I892" s="30" t="str">
        <f>VLOOKUP(F892, 'RM &amp; SF'!B:H, 4, 0)</f>
        <v>غم</v>
      </c>
      <c r="J892" s="90">
        <f>H892/19.8</f>
        <v>0.50505050505050508</v>
      </c>
      <c r="K892" s="91">
        <f>VLOOKUP(F892, 'RM &amp; SF'!B:H, 7, 0)</f>
        <v>3.2330000000000002E-3</v>
      </c>
      <c r="L892" s="92">
        <f t="shared" si="80"/>
        <v>1.6328282828282829E-3</v>
      </c>
      <c r="M892" s="30" t="s">
        <v>813</v>
      </c>
    </row>
    <row r="893" spans="1:28" ht="14">
      <c r="A893" s="88" t="s">
        <v>2348</v>
      </c>
      <c r="B893" s="219" t="s">
        <v>720</v>
      </c>
      <c r="C893" s="30"/>
      <c r="D893" s="30" t="str">
        <f>VLOOKUP(B893, 'RM &amp; SF'!B:C, 2, 0)</f>
        <v>ضربة مفتول</v>
      </c>
      <c r="E893" s="30" t="s">
        <v>2206</v>
      </c>
      <c r="F893" s="110">
        <v>4204</v>
      </c>
      <c r="G893" s="30" t="str">
        <f>VLOOKUP(F893, 'RM &amp; SF'!B:C, 2, 0)</f>
        <v>فلفل اسود ناعم*****</v>
      </c>
      <c r="H893" s="30">
        <v>5</v>
      </c>
      <c r="I893" s="30" t="str">
        <f>VLOOKUP(F893, 'RM &amp; SF'!B:H, 4, 0)</f>
        <v>غم</v>
      </c>
      <c r="J893" s="90">
        <f>H893/19.8</f>
        <v>0.25252525252525254</v>
      </c>
      <c r="K893" s="91">
        <f>VLOOKUP(F893, 'RM &amp; SF'!B:H, 7, 0)</f>
        <v>6.8970000000000004E-3</v>
      </c>
      <c r="L893" s="92">
        <f t="shared" si="80"/>
        <v>1.741666666666667E-3</v>
      </c>
      <c r="M893" s="30" t="s">
        <v>813</v>
      </c>
    </row>
    <row r="894" spans="1:28" ht="14">
      <c r="A894" s="88" t="s">
        <v>2348</v>
      </c>
      <c r="B894" s="219" t="s">
        <v>720</v>
      </c>
      <c r="C894" s="30"/>
      <c r="D894" s="30" t="str">
        <f>VLOOKUP(B894, 'RM &amp; SF'!B:C, 2, 0)</f>
        <v>ضربة مفتول</v>
      </c>
      <c r="E894" s="30" t="s">
        <v>2234</v>
      </c>
      <c r="F894" s="110">
        <v>4503</v>
      </c>
      <c r="G894" s="30" t="str">
        <f>VLOOKUP(F894, 'RM &amp; SF'!B:C, 2, 0)</f>
        <v>بصل ناشف دفش*****</v>
      </c>
      <c r="H894" s="30">
        <v>600</v>
      </c>
      <c r="I894" s="30" t="str">
        <f>VLOOKUP(F894, 'RM &amp; SF'!B:H, 4, 0)</f>
        <v>غم</v>
      </c>
      <c r="J894" s="90">
        <f>H894/19.8</f>
        <v>30.303030303030301</v>
      </c>
      <c r="K894" s="91">
        <f>VLOOKUP(F894, 'RM &amp; SF'!B:H, 7, 0)</f>
        <v>2.5000000000000001E-4</v>
      </c>
      <c r="L894" s="92">
        <f t="shared" si="80"/>
        <v>7.5757575757575751E-3</v>
      </c>
      <c r="M894" s="30" t="s">
        <v>813</v>
      </c>
    </row>
    <row r="895" spans="1:28" ht="14">
      <c r="A895" s="88" t="s">
        <v>2348</v>
      </c>
      <c r="B895" s="219" t="s">
        <v>720</v>
      </c>
      <c r="C895" s="30"/>
      <c r="D895" s="30" t="str">
        <f>VLOOKUP(B895, 'RM &amp; SF'!B:C, 2, 0)</f>
        <v>ضربة مفتول</v>
      </c>
      <c r="E895" s="30" t="s">
        <v>2260</v>
      </c>
      <c r="F895" s="110">
        <v>4160</v>
      </c>
      <c r="G895" s="30" t="str">
        <f>VLOOKUP(F895, 'RM &amp; SF'!B:C, 2, 0)</f>
        <v>زيت صويا 18 لتر*****</v>
      </c>
      <c r="H895" s="30">
        <v>200</v>
      </c>
      <c r="I895" s="30" t="str">
        <f>VLOOKUP(F895, 'RM &amp; SF'!B:H, 4, 0)</f>
        <v>مل</v>
      </c>
      <c r="J895" s="90">
        <f>H895/19.8</f>
        <v>10.1010101010101</v>
      </c>
      <c r="K895" s="91">
        <f>VLOOKUP(F895, 'RM &amp; SF'!B:H, 7, 0)</f>
        <v>1.335E-3</v>
      </c>
      <c r="L895" s="92">
        <f t="shared" si="80"/>
        <v>1.3484848484848485E-2</v>
      </c>
      <c r="M895" s="30" t="s">
        <v>813</v>
      </c>
    </row>
    <row r="896" spans="1:28" ht="14">
      <c r="A896" s="88" t="s">
        <v>2349</v>
      </c>
      <c r="B896" s="219" t="s">
        <v>722</v>
      </c>
      <c r="C896" s="30"/>
      <c r="D896" s="30" t="str">
        <f>VLOOKUP(B896, 'RM &amp; SF'!B:C, 2, 0)</f>
        <v>يخنة  مفتول</v>
      </c>
      <c r="E896" s="30" t="s">
        <v>2234</v>
      </c>
      <c r="F896" s="110">
        <v>4503</v>
      </c>
      <c r="G896" s="30" t="str">
        <f>VLOOKUP(F896, 'RM &amp; SF'!B:C, 2, 0)</f>
        <v>بصل ناشف دفش*****</v>
      </c>
      <c r="H896" s="30">
        <v>1500</v>
      </c>
      <c r="I896" s="30" t="str">
        <f>VLOOKUP(F896, 'RM &amp; SF'!B:H, 4, 0)</f>
        <v>غم</v>
      </c>
      <c r="J896" s="90">
        <f t="shared" ref="J896:J902" si="85">H896/8.6</f>
        <v>174.41860465116281</v>
      </c>
      <c r="K896" s="91">
        <f>VLOOKUP(F896, 'RM &amp; SF'!B:H, 7, 0)</f>
        <v>2.5000000000000001E-4</v>
      </c>
      <c r="L896" s="92">
        <f t="shared" si="80"/>
        <v>4.3604651162790706E-2</v>
      </c>
      <c r="M896" s="30" t="s">
        <v>813</v>
      </c>
    </row>
    <row r="897" spans="1:16" ht="14">
      <c r="A897" s="88" t="s">
        <v>2349</v>
      </c>
      <c r="B897" s="219" t="s">
        <v>722</v>
      </c>
      <c r="C897" s="30"/>
      <c r="D897" s="30" t="str">
        <f>VLOOKUP(B897, 'RM &amp; SF'!B:C, 2, 0)</f>
        <v>يخنة  مفتول</v>
      </c>
      <c r="E897" s="30" t="s">
        <v>2260</v>
      </c>
      <c r="F897" s="110">
        <v>4160</v>
      </c>
      <c r="G897" s="30" t="str">
        <f>VLOOKUP(F897, 'RM &amp; SF'!B:C, 2, 0)</f>
        <v>زيت صويا 18 لتر*****</v>
      </c>
      <c r="H897" s="30">
        <v>33</v>
      </c>
      <c r="I897" s="30" t="str">
        <f>VLOOKUP(F897, 'RM &amp; SF'!B:H, 4, 0)</f>
        <v>مل</v>
      </c>
      <c r="J897" s="90">
        <f t="shared" si="85"/>
        <v>3.8372093023255816</v>
      </c>
      <c r="K897" s="91">
        <f>VLOOKUP(F897, 'RM &amp; SF'!B:H, 7, 0)</f>
        <v>1.335E-3</v>
      </c>
      <c r="L897" s="92">
        <f t="shared" si="80"/>
        <v>5.1226744186046516E-3</v>
      </c>
      <c r="M897" s="30" t="s">
        <v>813</v>
      </c>
    </row>
    <row r="898" spans="1:16" ht="14">
      <c r="A898" s="88" t="s">
        <v>2349</v>
      </c>
      <c r="B898" s="219" t="s">
        <v>722</v>
      </c>
      <c r="C898" s="30"/>
      <c r="D898" s="30" t="str">
        <f>VLOOKUP(B898, 'RM &amp; SF'!B:C, 2, 0)</f>
        <v>يخنة  مفتول</v>
      </c>
      <c r="E898" s="30" t="s">
        <v>2309</v>
      </c>
      <c r="F898" s="110">
        <v>4491</v>
      </c>
      <c r="G898" s="30" t="str">
        <f>VLOOKUP(F898, 'RM &amp; SF'!B:C, 2, 0)</f>
        <v>بندورة جامدة*****</v>
      </c>
      <c r="H898" s="30">
        <v>3000</v>
      </c>
      <c r="I898" s="30" t="str">
        <f>VLOOKUP(F898, 'RM &amp; SF'!B:H, 4, 0)</f>
        <v>غم</v>
      </c>
      <c r="J898" s="90">
        <f t="shared" si="85"/>
        <v>348.83720930232562</v>
      </c>
      <c r="K898" s="91">
        <f>VLOOKUP(F898, 'RM &amp; SF'!B:H, 7, 0)</f>
        <v>5.0000000000000001E-4</v>
      </c>
      <c r="L898" s="92">
        <f t="shared" si="80"/>
        <v>0.17441860465116282</v>
      </c>
      <c r="M898" s="30" t="s">
        <v>813</v>
      </c>
    </row>
    <row r="899" spans="1:16" ht="14">
      <c r="A899" s="88" t="s">
        <v>2349</v>
      </c>
      <c r="B899" s="219" t="s">
        <v>722</v>
      </c>
      <c r="C899" s="30"/>
      <c r="D899" s="30" t="str">
        <f>VLOOKUP(B899, 'RM &amp; SF'!B:C, 2, 0)</f>
        <v>يخنة  مفتول</v>
      </c>
      <c r="E899" s="30" t="s">
        <v>3058</v>
      </c>
      <c r="F899" s="110" t="s">
        <v>748</v>
      </c>
      <c r="G899" s="30" t="str">
        <f>VLOOKUP(F899, 'RM &amp; SF'!B:C, 2, 0)</f>
        <v>حمص مسلوق</v>
      </c>
      <c r="H899" s="30">
        <v>1000</v>
      </c>
      <c r="I899" s="30" t="str">
        <f>VLOOKUP(F899, 'RM &amp; SF'!B:H, 4, 0)</f>
        <v>غم</v>
      </c>
      <c r="J899" s="90">
        <f t="shared" si="85"/>
        <v>116.27906976744187</v>
      </c>
      <c r="K899" s="91">
        <f>VLOOKUP(F899, 'RM &amp; SF'!B:H, 7, 0)</f>
        <v>6.896077777777778E-4</v>
      </c>
      <c r="L899" s="92">
        <f t="shared" si="80"/>
        <v>8.0186950904392776E-2</v>
      </c>
      <c r="M899" s="30" t="s">
        <v>813</v>
      </c>
    </row>
    <row r="900" spans="1:16" ht="14">
      <c r="A900" s="88" t="s">
        <v>2349</v>
      </c>
      <c r="B900" s="219" t="s">
        <v>722</v>
      </c>
      <c r="C900" s="30"/>
      <c r="D900" s="30" t="str">
        <f>VLOOKUP(B900, 'RM &amp; SF'!B:C, 2, 0)</f>
        <v>يخنة  مفتول</v>
      </c>
      <c r="E900" s="30" t="s">
        <v>2206</v>
      </c>
      <c r="F900" s="110">
        <v>4204</v>
      </c>
      <c r="G900" s="30" t="str">
        <f>VLOOKUP(F900, 'RM &amp; SF'!B:C, 2, 0)</f>
        <v>فلفل اسود ناعم*****</v>
      </c>
      <c r="H900" s="30">
        <v>3000</v>
      </c>
      <c r="I900" s="30" t="str">
        <f>VLOOKUP(F900, 'RM &amp; SF'!B:H, 4, 0)</f>
        <v>غم</v>
      </c>
      <c r="J900" s="90">
        <f t="shared" si="85"/>
        <v>348.83720930232562</v>
      </c>
      <c r="K900" s="91">
        <f>VLOOKUP(F900, 'RM &amp; SF'!B:H, 7, 0)</f>
        <v>6.8970000000000004E-3</v>
      </c>
      <c r="L900" s="92">
        <f t="shared" si="80"/>
        <v>2.40593023255814</v>
      </c>
      <c r="M900" s="30" t="s">
        <v>813</v>
      </c>
    </row>
    <row r="901" spans="1:16" ht="14">
      <c r="A901" s="88" t="s">
        <v>2349</v>
      </c>
      <c r="B901" s="219" t="s">
        <v>722</v>
      </c>
      <c r="C901" s="30"/>
      <c r="D901" s="30" t="str">
        <f>VLOOKUP(B901, 'RM &amp; SF'!B:C, 2, 0)</f>
        <v>يخنة  مفتول</v>
      </c>
      <c r="E901" s="30" t="s">
        <v>3058</v>
      </c>
      <c r="F901" s="110">
        <v>4021</v>
      </c>
      <c r="G901" s="30" t="str">
        <f>VLOOKUP(F901, 'RM &amp; SF'!B:C, 2, 0)</f>
        <v>مكعبات مرق الدجاج 24 عبوة*2 مكعب*****</v>
      </c>
      <c r="H901" s="89">
        <v>40</v>
      </c>
      <c r="I901" s="30" t="str">
        <f>VLOOKUP(F901, 'RM &amp; SF'!B:H, 4, 0)</f>
        <v>غم</v>
      </c>
      <c r="J901" s="90">
        <f t="shared" si="85"/>
        <v>4.6511627906976747</v>
      </c>
      <c r="K901" s="91">
        <f>VLOOKUP(F901, 'RM &amp; SF'!B:H, 7, 0)</f>
        <v>3.8541666666666668E-3</v>
      </c>
      <c r="L901" s="92">
        <f t="shared" si="80"/>
        <v>1.7926356589147287E-2</v>
      </c>
      <c r="M901" s="30" t="s">
        <v>813</v>
      </c>
    </row>
    <row r="902" spans="1:16" ht="14">
      <c r="A902" s="88" t="s">
        <v>2349</v>
      </c>
      <c r="B902" s="219" t="s">
        <v>722</v>
      </c>
      <c r="C902" s="30"/>
      <c r="D902" s="30" t="str">
        <f>VLOOKUP(B902, 'RM &amp; SF'!B:C, 2, 0)</f>
        <v>يخنة  مفتول</v>
      </c>
      <c r="E902" s="30" t="s">
        <v>2203</v>
      </c>
      <c r="F902" s="110">
        <v>4152</v>
      </c>
      <c r="G902" s="30" t="str">
        <f>VLOOKUP(F902, 'RM &amp; SF'!B:C, 2, 0)</f>
        <v>ملح طعام 750غم*****</v>
      </c>
      <c r="H902" s="30">
        <v>40</v>
      </c>
      <c r="I902" s="30" t="str">
        <f>VLOOKUP(F902, 'RM &amp; SF'!B:H, 4, 0)</f>
        <v>غم</v>
      </c>
      <c r="J902" s="90">
        <f t="shared" si="85"/>
        <v>4.6511627906976747</v>
      </c>
      <c r="K902" s="91">
        <f>VLOOKUP(F902, 'RM &amp; SF'!B:H, 7, 0)</f>
        <v>1.7066666666666665E-4</v>
      </c>
      <c r="L902" s="92">
        <f t="shared" si="80"/>
        <v>7.9379844961240305E-4</v>
      </c>
      <c r="M902" s="30" t="s">
        <v>813</v>
      </c>
    </row>
    <row r="903" spans="1:16" ht="14">
      <c r="A903" s="88" t="s">
        <v>2350</v>
      </c>
      <c r="B903" s="219" t="s">
        <v>724</v>
      </c>
      <c r="C903" s="30"/>
      <c r="D903" s="30" t="str">
        <f>VLOOKUP(B903, 'RM &amp; SF'!B:C, 2, 0)</f>
        <v>دجاج  مفتول</v>
      </c>
      <c r="E903" s="30" t="s">
        <v>3058</v>
      </c>
      <c r="F903" s="110">
        <v>4577</v>
      </c>
      <c r="G903" s="30" t="str">
        <f>VLOOKUP(F903, 'RM &amp; SF'!B:C, 2, 0)</f>
        <v>دجاج حب مع رقبة طازج للمشاغل 1100-1400غم*****</v>
      </c>
      <c r="H903" s="30">
        <v>3</v>
      </c>
      <c r="I903" s="30" t="str">
        <f>VLOOKUP(F903, 'RM &amp; SF'!B:H, 4, 0)</f>
        <v>غم</v>
      </c>
      <c r="J903" s="90">
        <f t="shared" ref="J903:J911" si="86">H903/3</f>
        <v>1</v>
      </c>
      <c r="K903" s="91">
        <f>VLOOKUP(F903, 'RM &amp; SF'!B:H, 7, 0)</f>
        <v>2.3400000000000001E-3</v>
      </c>
      <c r="L903" s="92">
        <f t="shared" si="80"/>
        <v>2.3400000000000001E-3</v>
      </c>
      <c r="M903" s="30" t="s">
        <v>813</v>
      </c>
    </row>
    <row r="904" spans="1:16" ht="14">
      <c r="A904" s="88" t="s">
        <v>2350</v>
      </c>
      <c r="B904" s="219" t="s">
        <v>724</v>
      </c>
      <c r="C904" s="30"/>
      <c r="D904" s="30" t="str">
        <f>VLOOKUP(B904, 'RM &amp; SF'!B:C, 2, 0)</f>
        <v>دجاج  مفتول</v>
      </c>
      <c r="E904" s="30" t="s">
        <v>2260</v>
      </c>
      <c r="F904" s="110">
        <v>4160</v>
      </c>
      <c r="G904" s="30" t="str">
        <f>VLOOKUP(F904, 'RM &amp; SF'!B:C, 2, 0)</f>
        <v>زيت صويا 18 لتر*****</v>
      </c>
      <c r="H904" s="30">
        <v>500</v>
      </c>
      <c r="I904" s="30" t="str">
        <f>VLOOKUP(F904, 'RM &amp; SF'!B:H, 4, 0)</f>
        <v>مل</v>
      </c>
      <c r="J904" s="90">
        <f t="shared" si="86"/>
        <v>166.66666666666666</v>
      </c>
      <c r="K904" s="91">
        <f>VLOOKUP(F904, 'RM &amp; SF'!B:H, 7, 0)</f>
        <v>1.335E-3</v>
      </c>
      <c r="L904" s="92">
        <f t="shared" ref="L904:L967" si="87">K904*J904</f>
        <v>0.2225</v>
      </c>
      <c r="M904" s="30" t="s">
        <v>813</v>
      </c>
    </row>
    <row r="905" spans="1:16" ht="14">
      <c r="A905" s="88" t="s">
        <v>2350</v>
      </c>
      <c r="B905" s="219" t="s">
        <v>724</v>
      </c>
      <c r="C905" s="30"/>
      <c r="D905" s="30" t="str">
        <f>VLOOKUP(B905, 'RM &amp; SF'!B:C, 2, 0)</f>
        <v>دجاج  مفتول</v>
      </c>
      <c r="E905" s="30" t="s">
        <v>2234</v>
      </c>
      <c r="F905" s="110">
        <v>4503</v>
      </c>
      <c r="G905" s="30" t="str">
        <f>VLOOKUP(F905, 'RM &amp; SF'!B:C, 2, 0)</f>
        <v>بصل ناشف دفش*****</v>
      </c>
      <c r="H905" s="30">
        <v>800</v>
      </c>
      <c r="I905" s="30" t="str">
        <f>VLOOKUP(F905, 'RM &amp; SF'!B:H, 4, 0)</f>
        <v>غم</v>
      </c>
      <c r="J905" s="90">
        <f t="shared" si="86"/>
        <v>266.66666666666669</v>
      </c>
      <c r="K905" s="91">
        <f>VLOOKUP(F905, 'RM &amp; SF'!B:H, 7, 0)</f>
        <v>2.5000000000000001E-4</v>
      </c>
      <c r="L905" s="92">
        <f t="shared" si="87"/>
        <v>6.666666666666668E-2</v>
      </c>
      <c r="M905" s="30" t="s">
        <v>813</v>
      </c>
    </row>
    <row r="906" spans="1:16" ht="14">
      <c r="A906" s="88" t="s">
        <v>2350</v>
      </c>
      <c r="B906" s="219" t="s">
        <v>724</v>
      </c>
      <c r="C906" s="30"/>
      <c r="D906" s="30" t="str">
        <f>VLOOKUP(B906, 'RM &amp; SF'!B:C, 2, 0)</f>
        <v>دجاج  مفتول</v>
      </c>
      <c r="E906" s="30" t="s">
        <v>3058</v>
      </c>
      <c r="F906" s="110">
        <v>3</v>
      </c>
      <c r="G906" s="30" t="str">
        <f>VLOOKUP(F906, 'RM &amp; SF'!B:C, 2, 0)</f>
        <v>مياه حنفية</v>
      </c>
      <c r="H906" s="30">
        <v>5000</v>
      </c>
      <c r="I906" s="30" t="str">
        <f>VLOOKUP(F906, 'RM &amp; SF'!B:H, 4, 0)</f>
        <v>مل</v>
      </c>
      <c r="J906" s="90">
        <f t="shared" si="86"/>
        <v>1666.6666666666667</v>
      </c>
      <c r="K906" s="91">
        <f>VLOOKUP(F906, 'RM &amp; SF'!B:H, 7, 0)</f>
        <v>0</v>
      </c>
      <c r="L906" s="92">
        <f t="shared" si="87"/>
        <v>0</v>
      </c>
      <c r="M906" s="30" t="s">
        <v>813</v>
      </c>
    </row>
    <row r="907" spans="1:16" ht="14">
      <c r="A907" s="88" t="s">
        <v>2350</v>
      </c>
      <c r="B907" s="219" t="s">
        <v>724</v>
      </c>
      <c r="C907" s="30"/>
      <c r="D907" s="30" t="str">
        <f>VLOOKUP(B907, 'RM &amp; SF'!B:C, 2, 0)</f>
        <v>دجاج  مفتول</v>
      </c>
      <c r="E907" s="30" t="s">
        <v>3058</v>
      </c>
      <c r="F907" s="110" t="s">
        <v>740</v>
      </c>
      <c r="G907" s="30" t="str">
        <f>VLOOKUP(F907, 'RM &amp; SF'!B:C, 2, 0)</f>
        <v>عصير بندورة</v>
      </c>
      <c r="H907" s="30">
        <v>3000</v>
      </c>
      <c r="I907" s="30" t="str">
        <f>VLOOKUP(F907, 'RM &amp; SF'!B:H, 4, 0)</f>
        <v>غم</v>
      </c>
      <c r="J907" s="90">
        <f t="shared" si="86"/>
        <v>1000</v>
      </c>
      <c r="K907" s="91">
        <f>VLOOKUP(F907, 'RM &amp; SF'!B:H, 7, 0)</f>
        <v>3.7500000000000001E-4</v>
      </c>
      <c r="L907" s="92">
        <f t="shared" si="87"/>
        <v>0.375</v>
      </c>
      <c r="M907" s="30" t="s">
        <v>813</v>
      </c>
    </row>
    <row r="908" spans="1:16" ht="14">
      <c r="A908" s="88" t="s">
        <v>2350</v>
      </c>
      <c r="B908" s="219" t="s">
        <v>724</v>
      </c>
      <c r="C908" s="30"/>
      <c r="D908" s="30" t="str">
        <f>VLOOKUP(B908, 'RM &amp; SF'!B:C, 2, 0)</f>
        <v>دجاج  مفتول</v>
      </c>
      <c r="E908" s="30" t="s">
        <v>3058</v>
      </c>
      <c r="F908" s="110">
        <v>4045</v>
      </c>
      <c r="G908" s="30" t="str">
        <f>VLOOKUP(F908, 'RM &amp; SF'!B:C, 2, 0)</f>
        <v>معجون الطماطم 1375 غم*****</v>
      </c>
      <c r="H908" s="30">
        <v>150</v>
      </c>
      <c r="I908" s="30" t="str">
        <f>VLOOKUP(F908, 'RM &amp; SF'!B:H, 4, 0)</f>
        <v>غم</v>
      </c>
      <c r="J908" s="90">
        <f t="shared" si="86"/>
        <v>50</v>
      </c>
      <c r="K908" s="91">
        <f>VLOOKUP(F908, 'RM &amp; SF'!B:H, 7, 0)</f>
        <v>1.3665999999999999E-3</v>
      </c>
      <c r="L908" s="92">
        <f t="shared" si="87"/>
        <v>6.8330000000000002E-2</v>
      </c>
      <c r="M908" s="30" t="s">
        <v>813</v>
      </c>
    </row>
    <row r="909" spans="1:16" ht="14">
      <c r="A909" s="88" t="s">
        <v>2350</v>
      </c>
      <c r="B909" s="219" t="s">
        <v>724</v>
      </c>
      <c r="C909" s="30"/>
      <c r="D909" s="30" t="str">
        <f>VLOOKUP(B909, 'RM &amp; SF'!B:C, 2, 0)</f>
        <v>دجاج  مفتول</v>
      </c>
      <c r="E909" s="30" t="s">
        <v>3058</v>
      </c>
      <c r="F909" s="110">
        <v>4021</v>
      </c>
      <c r="G909" s="30" t="str">
        <f>VLOOKUP(F909, 'RM &amp; SF'!B:C, 2, 0)</f>
        <v>مكعبات مرق الدجاج 24 عبوة*2 مكعب*****</v>
      </c>
      <c r="H909" s="89">
        <v>120</v>
      </c>
      <c r="I909" s="30" t="str">
        <f>VLOOKUP(F909, 'RM &amp; SF'!B:H, 4, 0)</f>
        <v>غم</v>
      </c>
      <c r="J909" s="90">
        <f t="shared" si="86"/>
        <v>40</v>
      </c>
      <c r="K909" s="91">
        <f>VLOOKUP(F909, 'RM &amp; SF'!B:H, 7, 0)</f>
        <v>3.8541666666666668E-3</v>
      </c>
      <c r="L909" s="92">
        <f t="shared" si="87"/>
        <v>0.15416666666666667</v>
      </c>
      <c r="M909" s="30" t="s">
        <v>813</v>
      </c>
    </row>
    <row r="910" spans="1:16" ht="14">
      <c r="A910" s="88" t="s">
        <v>2350</v>
      </c>
      <c r="B910" s="219" t="s">
        <v>724</v>
      </c>
      <c r="C910" s="30"/>
      <c r="D910" s="30" t="str">
        <f>VLOOKUP(B910, 'RM &amp; SF'!B:C, 2, 0)</f>
        <v>دجاج  مفتول</v>
      </c>
      <c r="E910" s="30" t="s">
        <v>2206</v>
      </c>
      <c r="F910" s="110">
        <v>4204</v>
      </c>
      <c r="G910" s="30" t="str">
        <f>VLOOKUP(F910, 'RM &amp; SF'!B:C, 2, 0)</f>
        <v>فلفل اسود ناعم*****</v>
      </c>
      <c r="H910" s="30">
        <v>5</v>
      </c>
      <c r="I910" s="30" t="str">
        <f>VLOOKUP(F910, 'RM &amp; SF'!B:H, 4, 0)</f>
        <v>غم</v>
      </c>
      <c r="J910" s="90">
        <f t="shared" si="86"/>
        <v>1.6666666666666667</v>
      </c>
      <c r="K910" s="91">
        <f>VLOOKUP(F910, 'RM &amp; SF'!B:H, 7, 0)</f>
        <v>6.8970000000000004E-3</v>
      </c>
      <c r="L910" s="92">
        <f t="shared" si="87"/>
        <v>1.1495000000000002E-2</v>
      </c>
      <c r="M910" s="30" t="s">
        <v>813</v>
      </c>
    </row>
    <row r="911" spans="1:16" ht="14">
      <c r="A911" s="88" t="s">
        <v>2350</v>
      </c>
      <c r="B911" s="219" t="s">
        <v>724</v>
      </c>
      <c r="C911" s="30"/>
      <c r="D911" s="30" t="str">
        <f>VLOOKUP(B911, 'RM &amp; SF'!B:C, 2, 0)</f>
        <v>دجاج  مفتول</v>
      </c>
      <c r="E911" s="30" t="s">
        <v>2203</v>
      </c>
      <c r="F911" s="110">
        <v>4152</v>
      </c>
      <c r="G911" s="30" t="str">
        <f>VLOOKUP(F911, 'RM &amp; SF'!B:C, 2, 0)</f>
        <v>ملح طعام 750غم*****</v>
      </c>
      <c r="H911" s="30">
        <v>40</v>
      </c>
      <c r="I911" s="30" t="str">
        <f>VLOOKUP(F911, 'RM &amp; SF'!B:H, 4, 0)</f>
        <v>غم</v>
      </c>
      <c r="J911" s="90">
        <f t="shared" si="86"/>
        <v>13.333333333333334</v>
      </c>
      <c r="K911" s="91">
        <f>VLOOKUP(F911, 'RM &amp; SF'!B:H, 7, 0)</f>
        <v>1.7066666666666665E-4</v>
      </c>
      <c r="L911" s="92">
        <f t="shared" si="87"/>
        <v>2.2755555555555554E-3</v>
      </c>
      <c r="M911" s="30" t="s">
        <v>813</v>
      </c>
    </row>
    <row r="912" spans="1:16" ht="14">
      <c r="A912" s="88" t="s">
        <v>3191</v>
      </c>
      <c r="B912" s="188" t="s">
        <v>726</v>
      </c>
      <c r="C912" s="30"/>
      <c r="D912" s="30" t="str">
        <f>VLOOKUP(B912, 'RM &amp; SF'!B:C, 2, 0)</f>
        <v>حشوة الكبة المشوية</v>
      </c>
      <c r="E912" s="30" t="s">
        <v>3058</v>
      </c>
      <c r="F912" s="110">
        <v>5437</v>
      </c>
      <c r="G912" s="30" t="str">
        <f>VLOOKUP(F912, 'RM &amp; SF'!B:C, 2, 0)</f>
        <v>شحمة روماني</v>
      </c>
      <c r="H912" s="30">
        <v>1000</v>
      </c>
      <c r="I912" s="30" t="str">
        <f>VLOOKUP(F912, 'RM &amp; SF'!B:H, 4, 0)</f>
        <v>غم</v>
      </c>
      <c r="J912" s="90">
        <f t="shared" ref="J912:J917" si="88">H912/1.46</f>
        <v>684.93150684931504</v>
      </c>
      <c r="K912" s="91">
        <f>VLOOKUP(F912, 'RM &amp; SF'!B:H, 7, 0)</f>
        <v>1E-3</v>
      </c>
      <c r="L912" s="92">
        <f t="shared" si="87"/>
        <v>0.68493150684931503</v>
      </c>
      <c r="M912" s="30" t="s">
        <v>813</v>
      </c>
      <c r="P912" s="88" t="s">
        <v>2156</v>
      </c>
    </row>
    <row r="913" spans="1:16" ht="14">
      <c r="A913" s="88" t="s">
        <v>3191</v>
      </c>
      <c r="B913" s="188" t="s">
        <v>726</v>
      </c>
      <c r="C913" s="30"/>
      <c r="D913" s="30" t="str">
        <f>VLOOKUP(B913, 'RM &amp; SF'!B:C, 2, 0)</f>
        <v>حشوة الكبة المشوية</v>
      </c>
      <c r="E913" s="30" t="s">
        <v>2208</v>
      </c>
      <c r="F913" s="110">
        <v>4211</v>
      </c>
      <c r="G913" s="30" t="str">
        <f>VLOOKUP(F913, 'RM &amp; SF'!B:C, 2, 0)</f>
        <v>كزبرة ناعمة*****</v>
      </c>
      <c r="H913" s="30">
        <v>20</v>
      </c>
      <c r="I913" s="30" t="str">
        <f>VLOOKUP(F913, 'RM &amp; SF'!B:H, 4, 0)</f>
        <v>غم</v>
      </c>
      <c r="J913" s="90">
        <f t="shared" si="88"/>
        <v>13.698630136986301</v>
      </c>
      <c r="K913" s="91">
        <f>VLOOKUP(F913, 'RM &amp; SF'!B:H, 7, 0)</f>
        <v>1.5089999999999999E-3</v>
      </c>
      <c r="L913" s="92">
        <f t="shared" si="87"/>
        <v>2.0671232876712329E-2</v>
      </c>
      <c r="M913" s="30" t="s">
        <v>813</v>
      </c>
      <c r="P913" s="88" t="s">
        <v>2156</v>
      </c>
    </row>
    <row r="914" spans="1:16" ht="14">
      <c r="A914" s="88" t="s">
        <v>3191</v>
      </c>
      <c r="B914" s="188" t="s">
        <v>726</v>
      </c>
      <c r="C914" s="30"/>
      <c r="D914" s="30" t="str">
        <f>VLOOKUP(B914, 'RM &amp; SF'!B:C, 2, 0)</f>
        <v>حشوة الكبة المشوية</v>
      </c>
      <c r="E914" s="30" t="s">
        <v>2288</v>
      </c>
      <c r="F914" s="110">
        <v>4219</v>
      </c>
      <c r="G914" s="30" t="str">
        <f>VLOOKUP(F914, 'RM &amp; SF'!B:C, 2, 0)</f>
        <v>بابريكا حلوة*****</v>
      </c>
      <c r="H914" s="30">
        <v>15</v>
      </c>
      <c r="I914" s="30" t="str">
        <f>VLOOKUP(F914, 'RM &amp; SF'!B:H, 4, 0)</f>
        <v>غم</v>
      </c>
      <c r="J914" s="90">
        <f t="shared" si="88"/>
        <v>10.273972602739727</v>
      </c>
      <c r="K914" s="91">
        <f>VLOOKUP(F914, 'RM &amp; SF'!B:H, 7, 0)</f>
        <v>2.5859999999999998E-3</v>
      </c>
      <c r="L914" s="92">
        <f t="shared" si="87"/>
        <v>2.6568493150684932E-2</v>
      </c>
      <c r="M914" s="30" t="s">
        <v>813</v>
      </c>
      <c r="P914" s="88" t="s">
        <v>2156</v>
      </c>
    </row>
    <row r="915" spans="1:16" ht="14">
      <c r="A915" s="88" t="s">
        <v>3191</v>
      </c>
      <c r="B915" s="188" t="s">
        <v>726</v>
      </c>
      <c r="C915" s="30"/>
      <c r="D915" s="30" t="str">
        <f>VLOOKUP(B915, 'RM &amp; SF'!B:C, 2, 0)</f>
        <v>حشوة الكبة المشوية</v>
      </c>
      <c r="E915" s="30" t="s">
        <v>2203</v>
      </c>
      <c r="F915" s="110">
        <v>4152</v>
      </c>
      <c r="G915" s="30" t="str">
        <f>VLOOKUP(F915, 'RM &amp; SF'!B:C, 2, 0)</f>
        <v>ملح طعام 750غم*****</v>
      </c>
      <c r="H915" s="30">
        <v>25</v>
      </c>
      <c r="I915" s="30" t="str">
        <f>VLOOKUP(F915, 'RM &amp; SF'!B:H, 4, 0)</f>
        <v>غم</v>
      </c>
      <c r="J915" s="90">
        <f t="shared" si="88"/>
        <v>17.123287671232877</v>
      </c>
      <c r="K915" s="91">
        <f>VLOOKUP(F915, 'RM &amp; SF'!B:H, 7, 0)</f>
        <v>1.7066666666666665E-4</v>
      </c>
      <c r="L915" s="92">
        <f t="shared" si="87"/>
        <v>2.9223744292237439E-3</v>
      </c>
      <c r="M915" s="30" t="s">
        <v>813</v>
      </c>
      <c r="P915" s="88" t="s">
        <v>2156</v>
      </c>
    </row>
    <row r="916" spans="1:16" ht="14">
      <c r="A916" s="88" t="s">
        <v>3191</v>
      </c>
      <c r="B916" s="188" t="s">
        <v>726</v>
      </c>
      <c r="C916" s="30"/>
      <c r="D916" s="30" t="str">
        <f>VLOOKUP(B916, 'RM &amp; SF'!B:C, 2, 0)</f>
        <v>حشوة الكبة المشوية</v>
      </c>
      <c r="E916" s="30" t="s">
        <v>2295</v>
      </c>
      <c r="F916" s="110">
        <v>4795</v>
      </c>
      <c r="G916" s="30" t="str">
        <f>VLOOKUP(F916, 'RM &amp; SF'!B:C, 2, 0)</f>
        <v>دبس فليفلة حلوة 650 غم*****</v>
      </c>
      <c r="H916" s="30">
        <v>50</v>
      </c>
      <c r="I916" s="30" t="str">
        <f>VLOOKUP(F916, 'RM &amp; SF'!B:H, 4, 0)</f>
        <v>غم</v>
      </c>
      <c r="J916" s="90">
        <f t="shared" si="88"/>
        <v>34.246575342465754</v>
      </c>
      <c r="K916" s="91">
        <f>VLOOKUP(F916, 'RM &amp; SF'!B:H, 7, 0)</f>
        <v>3.5918E-3</v>
      </c>
      <c r="L916" s="92">
        <f t="shared" si="87"/>
        <v>0.1230068493150685</v>
      </c>
      <c r="M916" s="30" t="s">
        <v>813</v>
      </c>
      <c r="P916" s="88" t="s">
        <v>2156</v>
      </c>
    </row>
    <row r="917" spans="1:16" ht="14">
      <c r="A917" s="88" t="s">
        <v>3191</v>
      </c>
      <c r="B917" s="188" t="s">
        <v>726</v>
      </c>
      <c r="C917" s="30"/>
      <c r="D917" s="30" t="str">
        <f>VLOOKUP(B917, 'RM &amp; SF'!B:C, 2, 0)</f>
        <v>حشوة الكبة المشوية</v>
      </c>
      <c r="E917" s="30" t="s">
        <v>2265</v>
      </c>
      <c r="F917" s="110">
        <v>4006</v>
      </c>
      <c r="G917" s="30" t="str">
        <f>VLOOKUP(F917, 'RM &amp; SF'!B:C, 2, 0)</f>
        <v>دبس رمان 5 كغ (مادة أولية)*****</v>
      </c>
      <c r="H917" s="30">
        <v>100</v>
      </c>
      <c r="I917" s="30" t="str">
        <f>VLOOKUP(F917, 'RM &amp; SF'!B:H, 4, 0)</f>
        <v>غم</v>
      </c>
      <c r="J917" s="90">
        <f t="shared" si="88"/>
        <v>68.493150684931507</v>
      </c>
      <c r="K917" s="91">
        <f>VLOOKUP(F917, 'RM &amp; SF'!B:H, 7, 0)</f>
        <v>1.508E-3</v>
      </c>
      <c r="L917" s="92">
        <f t="shared" si="87"/>
        <v>0.10328767123287672</v>
      </c>
      <c r="M917" s="30" t="s">
        <v>813</v>
      </c>
      <c r="P917" s="88" t="s">
        <v>2156</v>
      </c>
    </row>
    <row r="918" spans="1:16" ht="14">
      <c r="A918" s="88" t="s">
        <v>3191</v>
      </c>
      <c r="B918" s="188" t="s">
        <v>726</v>
      </c>
      <c r="C918" s="30"/>
      <c r="D918" s="30" t="str">
        <f>VLOOKUP(B918, 'RM &amp; SF'!B:C, 2, 0)</f>
        <v>حشوة الكبة المشوية</v>
      </c>
      <c r="E918" s="30" t="s">
        <v>3058</v>
      </c>
      <c r="F918" s="110">
        <v>4144</v>
      </c>
      <c r="G918" s="30" t="str">
        <f>VLOOKUP(F918, 'RM &amp; SF'!B:C, 2, 0)</f>
        <v>جوز عين الجمل*****</v>
      </c>
      <c r="H918" s="30">
        <v>250</v>
      </c>
      <c r="I918" s="30" t="str">
        <f>VLOOKUP(F918, 'RM &amp; SF'!B:H, 4, 0)</f>
        <v>غم</v>
      </c>
      <c r="J918" s="90">
        <f>H918/1.46</f>
        <v>171.23287671232876</v>
      </c>
      <c r="K918" s="91">
        <f>VLOOKUP(F918, 'RM &amp; SF'!B:H, 7, 0)</f>
        <v>4.5259000000000002E-3</v>
      </c>
      <c r="L918" s="92">
        <f t="shared" si="87"/>
        <v>0.77498287671232879</v>
      </c>
      <c r="M918" s="30" t="s">
        <v>813</v>
      </c>
      <c r="P918" s="88" t="s">
        <v>2156</v>
      </c>
    </row>
    <row r="919" spans="1:16" ht="14">
      <c r="A919" s="88" t="s">
        <v>2351</v>
      </c>
      <c r="B919" s="219" t="s">
        <v>728</v>
      </c>
      <c r="C919" s="30"/>
      <c r="D919" s="30" t="str">
        <f>VLOOKUP(B919, 'RM &amp; SF'!B:C, 2, 0)</f>
        <v>مثومة حارة</v>
      </c>
      <c r="E919" s="30" t="s">
        <v>2325</v>
      </c>
      <c r="F919" s="110" t="s">
        <v>534</v>
      </c>
      <c r="G919" s="30" t="str">
        <f>VLOOKUP(F919, 'RM &amp; SF'!B:C, 2, 0)</f>
        <v>مثومه</v>
      </c>
      <c r="H919" s="30">
        <v>2000</v>
      </c>
      <c r="I919" s="30" t="str">
        <f>VLOOKUP(F919, 'RM &amp; SF'!B:H, 4, 0)</f>
        <v>غم</v>
      </c>
      <c r="J919" s="90">
        <f>H919/2.21</f>
        <v>904.97737556561083</v>
      </c>
      <c r="K919" s="91">
        <f>VLOOKUP(F919, 'RM &amp; SF'!B:H, 7, 0)</f>
        <v>6.6564092227821051E-4</v>
      </c>
      <c r="L919" s="92">
        <f t="shared" si="87"/>
        <v>0.60238997491240764</v>
      </c>
      <c r="M919" s="30" t="s">
        <v>813</v>
      </c>
    </row>
    <row r="920" spans="1:16" ht="14">
      <c r="A920" s="88" t="s">
        <v>2351</v>
      </c>
      <c r="B920" s="219" t="s">
        <v>728</v>
      </c>
      <c r="C920" s="30"/>
      <c r="D920" s="30" t="str">
        <f>VLOOKUP(B920, 'RM &amp; SF'!B:C, 2, 0)</f>
        <v>مثومة حارة</v>
      </c>
      <c r="E920" s="30" t="s">
        <v>3058</v>
      </c>
      <c r="F920" s="110">
        <v>4490</v>
      </c>
      <c r="G920" s="30" t="str">
        <f>VLOOKUP(F920, 'RM &amp; SF'!B:C, 2, 0)</f>
        <v>شطة جامدة 10 كغ*****</v>
      </c>
      <c r="H920" s="30">
        <v>200</v>
      </c>
      <c r="I920" s="30" t="str">
        <f>VLOOKUP(F920, 'RM &amp; SF'!B:H, 4, 0)</f>
        <v>غم</v>
      </c>
      <c r="J920" s="90">
        <f>H920/2.21</f>
        <v>90.497737556561091</v>
      </c>
      <c r="K920" s="91">
        <f>VLOOKUP(F920, 'RM &amp; SF'!B:H, 7, 0)</f>
        <v>1E-3</v>
      </c>
      <c r="L920" s="92">
        <f t="shared" si="87"/>
        <v>9.0497737556561098E-2</v>
      </c>
      <c r="M920" s="30" t="s">
        <v>813</v>
      </c>
    </row>
    <row r="921" spans="1:16" ht="14">
      <c r="A921" s="88" t="s">
        <v>2351</v>
      </c>
      <c r="B921" s="219" t="s">
        <v>728</v>
      </c>
      <c r="C921" s="30"/>
      <c r="D921" s="30" t="str">
        <f>VLOOKUP(B921, 'RM &amp; SF'!B:C, 2, 0)</f>
        <v>مثومة حارة</v>
      </c>
      <c r="E921" s="30" t="s">
        <v>3058</v>
      </c>
      <c r="F921" s="110">
        <v>4220</v>
      </c>
      <c r="G921" s="30" t="str">
        <f>VLOOKUP(F921, 'RM &amp; SF'!B:C, 2, 0)</f>
        <v>بابريكا حارة*****</v>
      </c>
      <c r="H921" s="30">
        <v>10</v>
      </c>
      <c r="I921" s="30" t="str">
        <f>VLOOKUP(F921, 'RM &amp; SF'!B:H, 4, 0)</f>
        <v>غم</v>
      </c>
      <c r="J921" s="90">
        <f>H921/2.21</f>
        <v>4.5248868778280542</v>
      </c>
      <c r="K921" s="91">
        <f>VLOOKUP(F921, 'RM &amp; SF'!B:H, 7, 0)</f>
        <v>2.1549999999999998E-3</v>
      </c>
      <c r="L921" s="92">
        <f t="shared" si="87"/>
        <v>9.7511312217194567E-3</v>
      </c>
      <c r="M921" s="30" t="s">
        <v>813</v>
      </c>
    </row>
    <row r="922" spans="1:16" ht="14">
      <c r="A922" s="88" t="s">
        <v>2352</v>
      </c>
      <c r="B922" s="219" t="s">
        <v>730</v>
      </c>
      <c r="C922" s="30"/>
      <c r="D922" s="30" t="str">
        <f>VLOOKUP(B922, 'RM &amp; SF'!B:C, 2, 0)</f>
        <v>علبة حمص سفري 250غم</v>
      </c>
      <c r="E922" s="30" t="s">
        <v>2404</v>
      </c>
      <c r="F922" s="110" t="s">
        <v>488</v>
      </c>
      <c r="G922" s="30" t="str">
        <f>VLOOKUP(F922, 'RM &amp; SF'!B:C, 2, 0)</f>
        <v>حمص</v>
      </c>
      <c r="H922" s="30">
        <v>250</v>
      </c>
      <c r="I922" s="30" t="str">
        <f>VLOOKUP(F922, 'RM &amp; SF'!B:H, 4, 0)</f>
        <v>غم</v>
      </c>
      <c r="J922" s="90">
        <f t="shared" ref="J922:J927" si="89">H922</f>
        <v>250</v>
      </c>
      <c r="K922" s="91">
        <f>VLOOKUP(F922, 'RM &amp; SF'!B:H, 7, 0)</f>
        <v>1.3232918279569891E-3</v>
      </c>
      <c r="L922" s="92">
        <f t="shared" si="87"/>
        <v>0.3308229569892473</v>
      </c>
      <c r="M922" s="30" t="s">
        <v>813</v>
      </c>
    </row>
    <row r="923" spans="1:16" ht="14">
      <c r="A923" s="88" t="s">
        <v>2352</v>
      </c>
      <c r="B923" s="219" t="s">
        <v>730</v>
      </c>
      <c r="C923" s="30"/>
      <c r="D923" s="30" t="str">
        <f>VLOOKUP(B923, 'RM &amp; SF'!B:C, 2, 0)</f>
        <v>علبة حمص سفري 250غم</v>
      </c>
      <c r="E923" s="30" t="s">
        <v>3058</v>
      </c>
      <c r="F923" s="110" t="s">
        <v>748</v>
      </c>
      <c r="G923" s="30" t="str">
        <f>VLOOKUP(F923, 'RM &amp; SF'!B:C, 2, 0)</f>
        <v>حمص مسلوق</v>
      </c>
      <c r="H923" s="30">
        <v>10</v>
      </c>
      <c r="I923" s="30" t="str">
        <f>VLOOKUP(F923, 'RM &amp; SF'!B:H, 4, 0)</f>
        <v>غم</v>
      </c>
      <c r="J923" s="90">
        <f t="shared" si="89"/>
        <v>10</v>
      </c>
      <c r="K923" s="91">
        <f>VLOOKUP(F923, 'RM &amp; SF'!B:H, 7, 0)</f>
        <v>6.896077777777778E-4</v>
      </c>
      <c r="L923" s="92">
        <f t="shared" si="87"/>
        <v>6.8960777777777784E-3</v>
      </c>
      <c r="M923" s="30" t="s">
        <v>813</v>
      </c>
    </row>
    <row r="924" spans="1:16" ht="14">
      <c r="A924" s="88" t="s">
        <v>2352</v>
      </c>
      <c r="B924" s="219" t="s">
        <v>730</v>
      </c>
      <c r="C924" s="30"/>
      <c r="D924" s="30" t="str">
        <f>VLOOKUP(B924, 'RM &amp; SF'!B:C, 2, 0)</f>
        <v>علبة حمص سفري 250غم</v>
      </c>
      <c r="E924" s="30" t="s">
        <v>2288</v>
      </c>
      <c r="F924" s="110">
        <v>4219</v>
      </c>
      <c r="G924" s="30" t="str">
        <f>VLOOKUP(F924, 'RM &amp; SF'!B:C, 2, 0)</f>
        <v>بابريكا حلوة*****</v>
      </c>
      <c r="H924" s="30">
        <v>1</v>
      </c>
      <c r="I924" s="30" t="str">
        <f>VLOOKUP(F924, 'RM &amp; SF'!B:H, 4, 0)</f>
        <v>غم</v>
      </c>
      <c r="J924" s="90">
        <f t="shared" si="89"/>
        <v>1</v>
      </c>
      <c r="K924" s="91">
        <f>VLOOKUP(F924, 'RM &amp; SF'!B:H, 7, 0)</f>
        <v>2.5859999999999998E-3</v>
      </c>
      <c r="L924" s="92">
        <f t="shared" si="87"/>
        <v>2.5859999999999998E-3</v>
      </c>
      <c r="M924" s="30" t="s">
        <v>813</v>
      </c>
    </row>
    <row r="925" spans="1:16" ht="14">
      <c r="A925" s="88" t="s">
        <v>2352</v>
      </c>
      <c r="B925" s="219" t="s">
        <v>730</v>
      </c>
      <c r="C925" s="30"/>
      <c r="D925" s="30" t="str">
        <f>VLOOKUP(B925, 'RM &amp; SF'!B:C, 2, 0)</f>
        <v>علبة حمص سفري 250غم</v>
      </c>
      <c r="E925" s="30" t="s">
        <v>2251</v>
      </c>
      <c r="F925" s="110">
        <v>4544</v>
      </c>
      <c r="G925" s="30" t="str">
        <f>VLOOKUP(F925, 'RM &amp; SF'!B:C, 2, 0)</f>
        <v>بقدونس*****</v>
      </c>
      <c r="H925" s="30">
        <v>0.01</v>
      </c>
      <c r="I925" s="30" t="str">
        <f>VLOOKUP(F925, 'RM &amp; SF'!B:H, 4, 0)</f>
        <v>غم</v>
      </c>
      <c r="J925" s="90">
        <f t="shared" si="89"/>
        <v>0.01</v>
      </c>
      <c r="K925" s="91">
        <f>VLOOKUP(F925, 'RM &amp; SF'!B:H, 7, 0)</f>
        <v>7.5000000000000002E-4</v>
      </c>
      <c r="L925" s="92">
        <f t="shared" si="87"/>
        <v>7.5000000000000002E-6</v>
      </c>
      <c r="M925" s="30" t="s">
        <v>813</v>
      </c>
    </row>
    <row r="926" spans="1:16" ht="14">
      <c r="A926" s="88" t="s">
        <v>2352</v>
      </c>
      <c r="B926" s="219" t="s">
        <v>730</v>
      </c>
      <c r="C926" s="30"/>
      <c r="D926" s="30" t="str">
        <f>VLOOKUP(B926, 'RM &amp; SF'!B:C, 2, 0)</f>
        <v>علبة حمص سفري 250غم</v>
      </c>
      <c r="E926" s="30" t="s">
        <v>3058</v>
      </c>
      <c r="F926" s="110">
        <v>4425</v>
      </c>
      <c r="G926" s="30" t="str">
        <f>VLOOKUP(F926, 'RM &amp; SF'!B:C, 2, 0)</f>
        <v>ليبل المركزية دائري 5*5 سم*****</v>
      </c>
      <c r="H926" s="30">
        <v>1</v>
      </c>
      <c r="I926" s="30" t="str">
        <f>VLOOKUP(F926, 'RM &amp; SF'!B:H, 4, 0)</f>
        <v>قطعة</v>
      </c>
      <c r="J926" s="90">
        <f t="shared" si="89"/>
        <v>1</v>
      </c>
      <c r="K926" s="91">
        <f>VLOOKUP(F926, 'RM &amp; SF'!B:H, 7, 0)</f>
        <v>5.7000000000000002E-3</v>
      </c>
      <c r="L926" s="92">
        <f t="shared" si="87"/>
        <v>5.7000000000000002E-3</v>
      </c>
      <c r="M926" s="30" t="s">
        <v>813</v>
      </c>
    </row>
    <row r="927" spans="1:16" ht="14">
      <c r="A927" s="88" t="s">
        <v>2352</v>
      </c>
      <c r="B927" s="219" t="s">
        <v>730</v>
      </c>
      <c r="C927" s="30"/>
      <c r="D927" s="30" t="str">
        <f>VLOOKUP(B927, 'RM &amp; SF'!B:C, 2, 0)</f>
        <v>علبة حمص سفري 250غم</v>
      </c>
      <c r="E927" s="30" t="s">
        <v>2191</v>
      </c>
      <c r="F927" s="110">
        <v>4282</v>
      </c>
      <c r="G927" s="30" t="str">
        <f>VLOOKUP(F927, 'RM &amp; SF'!B:C, 2, 0)</f>
        <v>علب سوشي اسود رقم 3*****</v>
      </c>
      <c r="H927" s="30">
        <v>1</v>
      </c>
      <c r="I927" s="30" t="str">
        <f>VLOOKUP(F927, 'RM &amp; SF'!B:H, 4, 0)</f>
        <v>قطعة</v>
      </c>
      <c r="J927" s="90">
        <f t="shared" si="89"/>
        <v>1</v>
      </c>
      <c r="K927" s="91">
        <f>VLOOKUP(F927, 'RM &amp; SF'!B:H, 7, 0)</f>
        <v>8.6199999999999999E-2</v>
      </c>
      <c r="L927" s="92">
        <f t="shared" si="87"/>
        <v>8.6199999999999999E-2</v>
      </c>
      <c r="M927" s="30" t="s">
        <v>813</v>
      </c>
    </row>
    <row r="928" spans="1:16" ht="14">
      <c r="A928" s="88" t="s">
        <v>2353</v>
      </c>
      <c r="B928" s="219" t="s">
        <v>732</v>
      </c>
      <c r="C928" s="30"/>
      <c r="D928" s="30" t="str">
        <f>VLOOKUP(B928, 'RM &amp; SF'!B:C, 2, 0)</f>
        <v>صوص خبز تركي</v>
      </c>
      <c r="E928" s="30" t="s">
        <v>3058</v>
      </c>
      <c r="F928" s="110">
        <v>4045</v>
      </c>
      <c r="G928" s="30" t="str">
        <f>VLOOKUP(F928, 'RM &amp; SF'!B:C, 2, 0)</f>
        <v>معجون الطماطم 1375 غم*****</v>
      </c>
      <c r="H928" s="30">
        <v>2250</v>
      </c>
      <c r="I928" s="30" t="str">
        <f>VLOOKUP(F928, 'RM &amp; SF'!B:H, 4, 0)</f>
        <v>غم</v>
      </c>
      <c r="J928" s="90">
        <f t="shared" ref="J928:J940" si="90">H928/6.2</f>
        <v>362.90322580645159</v>
      </c>
      <c r="K928" s="91">
        <f>VLOOKUP(F928, 'RM &amp; SF'!B:H, 7, 0)</f>
        <v>1.3665999999999999E-3</v>
      </c>
      <c r="L928" s="92">
        <f t="shared" si="87"/>
        <v>0.4959435483870967</v>
      </c>
      <c r="M928" s="30" t="s">
        <v>813</v>
      </c>
    </row>
    <row r="929" spans="1:13" ht="14">
      <c r="A929" s="88" t="s">
        <v>2353</v>
      </c>
      <c r="B929" s="219" t="s">
        <v>732</v>
      </c>
      <c r="C929" s="30"/>
      <c r="D929" s="30" t="str">
        <f>VLOOKUP(B929, 'RM &amp; SF'!B:C, 2, 0)</f>
        <v>صوص خبز تركي</v>
      </c>
      <c r="E929" s="30" t="s">
        <v>2295</v>
      </c>
      <c r="F929" s="110">
        <v>4795</v>
      </c>
      <c r="G929" s="30" t="str">
        <f>VLOOKUP(F929, 'RM &amp; SF'!B:C, 2, 0)</f>
        <v>دبس فليفلة حلوة 650 غم*****</v>
      </c>
      <c r="H929" s="30">
        <v>400</v>
      </c>
      <c r="I929" s="30" t="str">
        <f>VLOOKUP(F929, 'RM &amp; SF'!B:H, 4, 0)</f>
        <v>غم</v>
      </c>
      <c r="J929" s="90">
        <f t="shared" si="90"/>
        <v>64.516129032258064</v>
      </c>
      <c r="K929" s="91">
        <f>VLOOKUP(F929, 'RM &amp; SF'!B:H, 7, 0)</f>
        <v>3.5918E-3</v>
      </c>
      <c r="L929" s="92">
        <f t="shared" si="87"/>
        <v>0.23172903225806452</v>
      </c>
      <c r="M929" s="30" t="s">
        <v>813</v>
      </c>
    </row>
    <row r="930" spans="1:13" ht="14">
      <c r="A930" s="88" t="s">
        <v>2353</v>
      </c>
      <c r="B930" s="219" t="s">
        <v>732</v>
      </c>
      <c r="C930" s="30"/>
      <c r="D930" s="30" t="str">
        <f>VLOOKUP(B930, 'RM &amp; SF'!B:C, 2, 0)</f>
        <v>صوص خبز تركي</v>
      </c>
      <c r="E930" s="30" t="s">
        <v>2287</v>
      </c>
      <c r="F930" s="110">
        <v>4216</v>
      </c>
      <c r="G930" s="30" t="str">
        <f>VLOOKUP(F930, 'RM &amp; SF'!B:C, 2, 0)</f>
        <v>زعتر اوريجانو*****</v>
      </c>
      <c r="H930" s="30">
        <v>300</v>
      </c>
      <c r="I930" s="30" t="str">
        <f>VLOOKUP(F930, 'RM &amp; SF'!B:H, 4, 0)</f>
        <v>غم</v>
      </c>
      <c r="J930" s="90">
        <f t="shared" si="90"/>
        <v>48.387096774193544</v>
      </c>
      <c r="K930" s="91">
        <f>VLOOKUP(F930, 'RM &amp; SF'!B:H, 7, 0)</f>
        <v>7.8429999999999993E-3</v>
      </c>
      <c r="L930" s="92">
        <f t="shared" si="87"/>
        <v>0.37949999999999995</v>
      </c>
      <c r="M930" s="30" t="s">
        <v>813</v>
      </c>
    </row>
    <row r="931" spans="1:13" ht="14">
      <c r="A931" s="88" t="s">
        <v>2353</v>
      </c>
      <c r="B931" s="219" t="s">
        <v>732</v>
      </c>
      <c r="C931" s="30"/>
      <c r="D931" s="30" t="str">
        <f>VLOOKUP(B931, 'RM &amp; SF'!B:C, 2, 0)</f>
        <v>صوص خبز تركي</v>
      </c>
      <c r="E931" s="30" t="s">
        <v>2253</v>
      </c>
      <c r="F931" s="110">
        <v>4251</v>
      </c>
      <c r="G931" s="30" t="str">
        <f>VLOOKUP(F931, 'RM &amp; SF'!B:C, 2, 0)</f>
        <v>نعنع ناشف*****</v>
      </c>
      <c r="H931" s="30">
        <v>300</v>
      </c>
      <c r="I931" s="30" t="str">
        <f>VLOOKUP(F931, 'RM &amp; SF'!B:H, 4, 0)</f>
        <v>غم</v>
      </c>
      <c r="J931" s="90">
        <f t="shared" si="90"/>
        <v>48.387096774193544</v>
      </c>
      <c r="K931" s="91">
        <f>VLOOKUP(F931, 'RM &amp; SF'!B:H, 7, 0)</f>
        <v>2.7269999999999998E-3</v>
      </c>
      <c r="L931" s="92">
        <f t="shared" si="87"/>
        <v>0.1319516129032258</v>
      </c>
      <c r="M931" s="30" t="s">
        <v>813</v>
      </c>
    </row>
    <row r="932" spans="1:13" ht="14">
      <c r="A932" s="88" t="s">
        <v>2353</v>
      </c>
      <c r="B932" s="219" t="s">
        <v>732</v>
      </c>
      <c r="C932" s="30"/>
      <c r="D932" s="30" t="str">
        <f>VLOOKUP(B932, 'RM &amp; SF'!B:C, 2, 0)</f>
        <v>صوص خبز تركي</v>
      </c>
      <c r="E932" s="30" t="s">
        <v>2213</v>
      </c>
      <c r="F932" s="110">
        <v>4218</v>
      </c>
      <c r="G932" s="30" t="str">
        <f>VLOOKUP(F932, 'RM &amp; SF'!B:C, 2, 0)</f>
        <v>بهارات مشكلة*****</v>
      </c>
      <c r="H932" s="30">
        <v>300</v>
      </c>
      <c r="I932" s="30" t="str">
        <f>VLOOKUP(F932, 'RM &amp; SF'!B:H, 4, 0)</f>
        <v>غم</v>
      </c>
      <c r="J932" s="90">
        <f t="shared" si="90"/>
        <v>48.387096774193544</v>
      </c>
      <c r="K932" s="91">
        <f>VLOOKUP(F932, 'RM &amp; SF'!B:H, 7, 0)</f>
        <v>3.0169999999999997E-3</v>
      </c>
      <c r="L932" s="92">
        <f t="shared" si="87"/>
        <v>0.1459838709677419</v>
      </c>
      <c r="M932" s="30" t="s">
        <v>813</v>
      </c>
    </row>
    <row r="933" spans="1:13" ht="14">
      <c r="A933" s="88" t="s">
        <v>2353</v>
      </c>
      <c r="B933" s="219" t="s">
        <v>732</v>
      </c>
      <c r="C933" s="30"/>
      <c r="D933" s="30" t="str">
        <f>VLOOKUP(B933, 'RM &amp; SF'!B:C, 2, 0)</f>
        <v>صوص خبز تركي</v>
      </c>
      <c r="E933" s="30" t="s">
        <v>2215</v>
      </c>
      <c r="F933" s="110">
        <v>4224</v>
      </c>
      <c r="G933" s="30" t="str">
        <f>VLOOKUP(F933, 'RM &amp; SF'!B:C, 2, 0)</f>
        <v>سماق*****</v>
      </c>
      <c r="H933" s="30">
        <v>500</v>
      </c>
      <c r="I933" s="30" t="str">
        <f>VLOOKUP(F933, 'RM &amp; SF'!B:H, 4, 0)</f>
        <v>غم</v>
      </c>
      <c r="J933" s="90">
        <f t="shared" si="90"/>
        <v>80.645161290322577</v>
      </c>
      <c r="K933" s="91">
        <f>VLOOKUP(F933, 'RM &amp; SF'!B:H, 7, 0)</f>
        <v>4.3099999999999996E-3</v>
      </c>
      <c r="L933" s="92">
        <f t="shared" si="87"/>
        <v>0.34758064516129028</v>
      </c>
      <c r="M933" s="30" t="s">
        <v>813</v>
      </c>
    </row>
    <row r="934" spans="1:13" ht="14">
      <c r="A934" s="88" t="s">
        <v>2353</v>
      </c>
      <c r="B934" s="219" t="s">
        <v>732</v>
      </c>
      <c r="C934" s="30"/>
      <c r="D934" s="30" t="str">
        <f>VLOOKUP(B934, 'RM &amp; SF'!B:C, 2, 0)</f>
        <v>صوص خبز تركي</v>
      </c>
      <c r="E934" s="30" t="s">
        <v>2208</v>
      </c>
      <c r="F934" s="110">
        <v>4211</v>
      </c>
      <c r="G934" s="30" t="str">
        <f>VLOOKUP(F934, 'RM &amp; SF'!B:C, 2, 0)</f>
        <v>كزبرة ناعمة*****</v>
      </c>
      <c r="H934" s="30">
        <v>500</v>
      </c>
      <c r="I934" s="30" t="str">
        <f>VLOOKUP(F934, 'RM &amp; SF'!B:H, 4, 0)</f>
        <v>غم</v>
      </c>
      <c r="J934" s="90">
        <f t="shared" si="90"/>
        <v>80.645161290322577</v>
      </c>
      <c r="K934" s="91">
        <f>VLOOKUP(F934, 'RM &amp; SF'!B:H, 7, 0)</f>
        <v>1.5089999999999999E-3</v>
      </c>
      <c r="L934" s="92">
        <f t="shared" si="87"/>
        <v>0.12169354838709676</v>
      </c>
      <c r="M934" s="30" t="s">
        <v>813</v>
      </c>
    </row>
    <row r="935" spans="1:13" ht="14">
      <c r="A935" s="88" t="s">
        <v>2353</v>
      </c>
      <c r="B935" s="219" t="s">
        <v>732</v>
      </c>
      <c r="C935" s="30"/>
      <c r="D935" s="30" t="str">
        <f>VLOOKUP(B935, 'RM &amp; SF'!B:C, 2, 0)</f>
        <v>صوص خبز تركي</v>
      </c>
      <c r="E935" s="30" t="s">
        <v>3058</v>
      </c>
      <c r="F935" s="110">
        <v>4490</v>
      </c>
      <c r="G935" s="30" t="str">
        <f>VLOOKUP(F935, 'RM &amp; SF'!B:C, 2, 0)</f>
        <v>شطة جامدة 10 كغ*****</v>
      </c>
      <c r="H935" s="30">
        <v>500</v>
      </c>
      <c r="I935" s="30" t="str">
        <f>VLOOKUP(F935, 'RM &amp; SF'!B:H, 4, 0)</f>
        <v>غم</v>
      </c>
      <c r="J935" s="90">
        <f t="shared" si="90"/>
        <v>80.645161290322577</v>
      </c>
      <c r="K935" s="91">
        <f>VLOOKUP(F935, 'RM &amp; SF'!B:H, 7, 0)</f>
        <v>1E-3</v>
      </c>
      <c r="L935" s="92">
        <f t="shared" si="87"/>
        <v>8.0645161290322578E-2</v>
      </c>
      <c r="M935" s="30" t="s">
        <v>813</v>
      </c>
    </row>
    <row r="936" spans="1:13" ht="14">
      <c r="A936" s="88" t="s">
        <v>2353</v>
      </c>
      <c r="B936" s="219" t="s">
        <v>732</v>
      </c>
      <c r="C936" s="30"/>
      <c r="D936" s="30" t="str">
        <f>VLOOKUP(B936, 'RM &amp; SF'!B:C, 2, 0)</f>
        <v>صوص خبز تركي</v>
      </c>
      <c r="E936" s="30" t="s">
        <v>2232</v>
      </c>
      <c r="F936" s="110">
        <v>4500</v>
      </c>
      <c r="G936" s="30" t="str">
        <f>VLOOKUP(F936, 'RM &amp; SF'!B:C, 2, 0)</f>
        <v>فلفل حلو اخضر*****</v>
      </c>
      <c r="H936" s="30">
        <v>200</v>
      </c>
      <c r="I936" s="30" t="str">
        <f>VLOOKUP(F936, 'RM &amp; SF'!B:H, 4, 0)</f>
        <v>غم</v>
      </c>
      <c r="J936" s="90">
        <f t="shared" si="90"/>
        <v>32.258064516129032</v>
      </c>
      <c r="K936" s="91">
        <f>VLOOKUP(F936, 'RM &amp; SF'!B:H, 7, 0)</f>
        <v>7.7999999999999999E-4</v>
      </c>
      <c r="L936" s="92">
        <f t="shared" si="87"/>
        <v>2.5161290322580646E-2</v>
      </c>
      <c r="M936" s="30" t="s">
        <v>813</v>
      </c>
    </row>
    <row r="937" spans="1:13" ht="14">
      <c r="A937" s="88" t="s">
        <v>2353</v>
      </c>
      <c r="B937" s="219" t="s">
        <v>732</v>
      </c>
      <c r="C937" s="30"/>
      <c r="D937" s="30" t="str">
        <f>VLOOKUP(B937, 'RM &amp; SF'!B:C, 2, 0)</f>
        <v>صوص خبز تركي</v>
      </c>
      <c r="E937" s="30" t="s">
        <v>2233</v>
      </c>
      <c r="F937" s="110">
        <v>4501</v>
      </c>
      <c r="G937" s="30" t="str">
        <f>VLOOKUP(F937, 'RM &amp; SF'!B:C, 2, 0)</f>
        <v>فلفل حلو احمر*****</v>
      </c>
      <c r="H937" s="30">
        <v>200</v>
      </c>
      <c r="I937" s="30" t="str">
        <f>VLOOKUP(F937, 'RM &amp; SF'!B:H, 4, 0)</f>
        <v>غم</v>
      </c>
      <c r="J937" s="90">
        <f t="shared" si="90"/>
        <v>32.258064516129032</v>
      </c>
      <c r="K937" s="91">
        <f>VLOOKUP(F937, 'RM &amp; SF'!B:H, 7, 0)</f>
        <v>7.5000000000000002E-4</v>
      </c>
      <c r="L937" s="92">
        <f t="shared" si="87"/>
        <v>2.4193548387096774E-2</v>
      </c>
      <c r="M937" s="30" t="s">
        <v>813</v>
      </c>
    </row>
    <row r="938" spans="1:13" ht="15.5">
      <c r="A938" s="88" t="s">
        <v>2353</v>
      </c>
      <c r="B938" s="219" t="s">
        <v>732</v>
      </c>
      <c r="C938" s="30"/>
      <c r="D938" s="30" t="str">
        <f>VLOOKUP(B938, 'RM &amp; SF'!B:C, 2, 0)</f>
        <v>صوص خبز تركي</v>
      </c>
      <c r="E938" s="30" t="s">
        <v>2321</v>
      </c>
      <c r="F938" s="67">
        <v>5292</v>
      </c>
      <c r="G938" s="30" t="str">
        <f>VLOOKUP(F938, 'RM &amp; SF'!B:C, 2, 0)</f>
        <v>ثوم مقشر*****</v>
      </c>
      <c r="H938" s="30">
        <v>200</v>
      </c>
      <c r="I938" s="30" t="str">
        <f>VLOOKUP(F938, 'RM &amp; SF'!B:H, 4, 0)</f>
        <v>غم</v>
      </c>
      <c r="J938" s="90">
        <f t="shared" si="90"/>
        <v>32.258064516129032</v>
      </c>
      <c r="K938" s="91">
        <f>VLOOKUP(F938, 'RM &amp; SF'!B:H, 7, 0)</f>
        <v>4.4999999999999997E-3</v>
      </c>
      <c r="L938" s="92">
        <f t="shared" si="87"/>
        <v>0.14516129032258063</v>
      </c>
      <c r="M938" s="30" t="s">
        <v>813</v>
      </c>
    </row>
    <row r="939" spans="1:13" ht="14">
      <c r="A939" s="88" t="s">
        <v>2353</v>
      </c>
      <c r="B939" s="219" t="s">
        <v>732</v>
      </c>
      <c r="C939" s="30"/>
      <c r="D939" s="30" t="str">
        <f>VLOOKUP(B939, 'RM &amp; SF'!B:C, 2, 0)</f>
        <v>صوص خبز تركي</v>
      </c>
      <c r="E939" s="30" t="s">
        <v>2260</v>
      </c>
      <c r="F939" s="110">
        <v>4160</v>
      </c>
      <c r="G939" s="30" t="str">
        <f>VLOOKUP(F939, 'RM &amp; SF'!B:C, 2, 0)</f>
        <v>زيت صويا 18 لتر*****</v>
      </c>
      <c r="H939" s="30">
        <v>500</v>
      </c>
      <c r="I939" s="30" t="str">
        <f>VLOOKUP(F939, 'RM &amp; SF'!B:H, 4, 0)</f>
        <v>مل</v>
      </c>
      <c r="J939" s="90">
        <f t="shared" si="90"/>
        <v>80.645161290322577</v>
      </c>
      <c r="K939" s="91">
        <f>VLOOKUP(F939, 'RM &amp; SF'!B:H, 7, 0)</f>
        <v>1.335E-3</v>
      </c>
      <c r="L939" s="92">
        <f t="shared" si="87"/>
        <v>0.10766129032258064</v>
      </c>
      <c r="M939" s="30" t="s">
        <v>813</v>
      </c>
    </row>
    <row r="940" spans="1:13" ht="14">
      <c r="A940" s="88" t="s">
        <v>2353</v>
      </c>
      <c r="B940" s="219" t="s">
        <v>732</v>
      </c>
      <c r="C940" s="30"/>
      <c r="D940" s="30" t="str">
        <f>VLOOKUP(B940, 'RM &amp; SF'!B:C, 2, 0)</f>
        <v>صوص خبز تركي</v>
      </c>
      <c r="E940" s="30" t="s">
        <v>3058</v>
      </c>
      <c r="F940" s="110">
        <v>4222</v>
      </c>
      <c r="G940" s="30" t="str">
        <f>VLOOKUP(F940, 'RM &amp; SF'!B:C, 2, 0)</f>
        <v>كمون ناعم*****</v>
      </c>
      <c r="H940" s="30">
        <v>50</v>
      </c>
      <c r="I940" s="30" t="str">
        <f>VLOOKUP(F940, 'RM &amp; SF'!B:H, 4, 0)</f>
        <v>غم</v>
      </c>
      <c r="J940" s="90">
        <f t="shared" si="90"/>
        <v>8.064516129032258</v>
      </c>
      <c r="K940" s="91">
        <f>VLOOKUP(F940, 'RM &amp; SF'!B:H, 7, 0)</f>
        <v>3.2330000000000002E-3</v>
      </c>
      <c r="L940" s="92">
        <f t="shared" si="87"/>
        <v>2.607258064516129E-2</v>
      </c>
      <c r="M940" s="30" t="s">
        <v>813</v>
      </c>
    </row>
    <row r="941" spans="1:13" ht="14">
      <c r="A941" s="88" t="s">
        <v>2354</v>
      </c>
      <c r="B941" s="219" t="s">
        <v>734</v>
      </c>
      <c r="C941" s="30"/>
      <c r="D941" s="30" t="str">
        <f>VLOOKUP(B941, 'RM &amp; SF'!B:C, 2, 0)</f>
        <v>دجاج اللاين متبل</v>
      </c>
      <c r="E941" s="30" t="s">
        <v>3058</v>
      </c>
      <c r="F941" s="110">
        <v>4577</v>
      </c>
      <c r="G941" s="30" t="str">
        <f>VLOOKUP(F941, 'RM &amp; SF'!B:C, 2, 0)</f>
        <v>دجاج حب مع رقبة طازج للمشاغل 1100-1400غم*****</v>
      </c>
      <c r="H941" s="30">
        <v>1200</v>
      </c>
      <c r="I941" s="30" t="str">
        <f>VLOOKUP(F941, 'RM &amp; SF'!B:H, 4, 0)</f>
        <v>غم</v>
      </c>
      <c r="J941" s="90">
        <f>H941</f>
        <v>1200</v>
      </c>
      <c r="K941" s="91">
        <f>VLOOKUP(F941, 'RM &amp; SF'!B:H, 7, 0)</f>
        <v>2.3400000000000001E-3</v>
      </c>
      <c r="L941" s="92">
        <f t="shared" si="87"/>
        <v>2.8080000000000003</v>
      </c>
      <c r="M941" s="30" t="s">
        <v>813</v>
      </c>
    </row>
    <row r="942" spans="1:13" ht="14">
      <c r="A942" s="88" t="s">
        <v>2354</v>
      </c>
      <c r="B942" s="219" t="s">
        <v>734</v>
      </c>
      <c r="C942" s="30"/>
      <c r="D942" s="30" t="str">
        <f>VLOOKUP(B942, 'RM &amp; SF'!B:C, 2, 0)</f>
        <v>دجاج اللاين متبل</v>
      </c>
      <c r="E942" s="30" t="s">
        <v>2438</v>
      </c>
      <c r="F942" s="110" t="s">
        <v>652</v>
      </c>
      <c r="G942" s="30" t="str">
        <f>VLOOKUP(F942, 'RM &amp; SF'!B:C, 2, 0)</f>
        <v>تتبيلة دجاج اللاين</v>
      </c>
      <c r="H942" s="30">
        <v>35</v>
      </c>
      <c r="I942" s="30" t="str">
        <f>VLOOKUP(F942, 'RM &amp; SF'!B:H, 4, 0)</f>
        <v>غم</v>
      </c>
      <c r="J942" s="90">
        <f>H942</f>
        <v>35</v>
      </c>
      <c r="K942" s="91">
        <f>VLOOKUP(F942, 'RM &amp; SF'!B:H, 7, 0)</f>
        <v>1.7522965258215965E-3</v>
      </c>
      <c r="L942" s="92">
        <f t="shared" si="87"/>
        <v>6.1330378403755881E-2</v>
      </c>
      <c r="M942" s="30" t="s">
        <v>813</v>
      </c>
    </row>
    <row r="943" spans="1:13" ht="14">
      <c r="A943" s="88" t="s">
        <v>2354</v>
      </c>
      <c r="B943" s="219" t="s">
        <v>734</v>
      </c>
      <c r="C943" s="30"/>
      <c r="D943" s="30" t="str">
        <f>VLOOKUP(B943, 'RM &amp; SF'!B:C, 2, 0)</f>
        <v>دجاج اللاين متبل</v>
      </c>
      <c r="E943" s="30" t="s">
        <v>2260</v>
      </c>
      <c r="F943" s="110">
        <v>4160</v>
      </c>
      <c r="G943" s="30" t="str">
        <f>VLOOKUP(F943, 'RM &amp; SF'!B:C, 2, 0)</f>
        <v>زيت صويا 18 لتر*****</v>
      </c>
      <c r="H943" s="30">
        <v>40</v>
      </c>
      <c r="I943" s="30" t="str">
        <f>VLOOKUP(F943, 'RM &amp; SF'!B:H, 4, 0)</f>
        <v>مل</v>
      </c>
      <c r="J943" s="90">
        <f>H943</f>
        <v>40</v>
      </c>
      <c r="K943" s="91">
        <f>VLOOKUP(F943, 'RM &amp; SF'!B:H, 7, 0)</f>
        <v>1.335E-3</v>
      </c>
      <c r="L943" s="92">
        <f t="shared" si="87"/>
        <v>5.3400000000000003E-2</v>
      </c>
      <c r="M943" s="30" t="s">
        <v>813</v>
      </c>
    </row>
    <row r="944" spans="1:13" ht="14">
      <c r="A944" s="88" t="s">
        <v>2355</v>
      </c>
      <c r="B944" s="219" t="s">
        <v>736</v>
      </c>
      <c r="C944" s="30"/>
      <c r="D944" s="30" t="str">
        <f>VLOOKUP(B944, 'RM &amp; SF'!B:C, 2, 0)</f>
        <v>دجاج مقلي</v>
      </c>
      <c r="E944" s="30" t="s">
        <v>2239</v>
      </c>
      <c r="F944" s="110">
        <v>4513</v>
      </c>
      <c r="G944" s="30" t="str">
        <f>VLOOKUP(F944, 'RM &amp; SF'!B:C, 2, 0)</f>
        <v>ليمون اصفر*****</v>
      </c>
      <c r="H944" s="30">
        <v>150</v>
      </c>
      <c r="I944" s="30" t="str">
        <f>VLOOKUP(F944, 'RM &amp; SF'!B:H, 4, 0)</f>
        <v>غم</v>
      </c>
      <c r="J944" s="90">
        <f>H944/6</f>
        <v>25</v>
      </c>
      <c r="K944" s="91">
        <f>VLOOKUP(F944, 'RM &amp; SF'!B:H, 7, 0)</f>
        <v>1.75E-3</v>
      </c>
      <c r="L944" s="92">
        <f t="shared" si="87"/>
        <v>4.3750000000000004E-2</v>
      </c>
      <c r="M944" s="30" t="s">
        <v>813</v>
      </c>
    </row>
    <row r="945" spans="1:16" ht="14">
      <c r="A945" s="88" t="s">
        <v>2355</v>
      </c>
      <c r="B945" s="219" t="s">
        <v>736</v>
      </c>
      <c r="C945" s="30"/>
      <c r="D945" s="30" t="str">
        <f>VLOOKUP(B945, 'RM &amp; SF'!B:C, 2, 0)</f>
        <v>دجاج مقلي</v>
      </c>
      <c r="E945" s="30" t="s">
        <v>2231</v>
      </c>
      <c r="F945" s="110">
        <v>4499</v>
      </c>
      <c r="G945" s="30" t="str">
        <f>VLOOKUP(F945, 'RM &amp; SF'!B:C, 2, 0)</f>
        <v>فلفل حار اخضر*****</v>
      </c>
      <c r="H945" s="30">
        <v>70</v>
      </c>
      <c r="I945" s="30" t="str">
        <f>VLOOKUP(F945, 'RM &amp; SF'!B:H, 4, 0)</f>
        <v>غم</v>
      </c>
      <c r="J945" s="90">
        <f>H945/6</f>
        <v>11.666666666666666</v>
      </c>
      <c r="K945" s="91">
        <f>VLOOKUP(F945, 'RM &amp; SF'!B:H, 7, 0)</f>
        <v>5.0000000000000001E-4</v>
      </c>
      <c r="L945" s="92">
        <f t="shared" si="87"/>
        <v>5.8333333333333327E-3</v>
      </c>
      <c r="M945" s="30" t="s">
        <v>813</v>
      </c>
    </row>
    <row r="946" spans="1:16" ht="14">
      <c r="A946" s="88" t="s">
        <v>2355</v>
      </c>
      <c r="B946" s="219" t="s">
        <v>736</v>
      </c>
      <c r="C946" s="30"/>
      <c r="D946" s="30" t="str">
        <f>VLOOKUP(B946, 'RM &amp; SF'!B:C, 2, 0)</f>
        <v>دجاج مقلي</v>
      </c>
      <c r="E946" s="30" t="s">
        <v>3058</v>
      </c>
      <c r="F946" s="110">
        <v>4577</v>
      </c>
      <c r="G946" s="30" t="str">
        <f>VLOOKUP(F946, 'RM &amp; SF'!B:C, 2, 0)</f>
        <v>دجاج حب مع رقبة طازج للمشاغل 1100-1400غم*****</v>
      </c>
      <c r="H946" s="30">
        <v>6</v>
      </c>
      <c r="I946" s="30" t="str">
        <f>VLOOKUP(F946, 'RM &amp; SF'!B:H, 4, 0)</f>
        <v>غم</v>
      </c>
      <c r="J946" s="90">
        <f>H946/6</f>
        <v>1</v>
      </c>
      <c r="K946" s="91">
        <f>VLOOKUP(F946, 'RM &amp; SF'!B:H, 7, 0)</f>
        <v>2.3400000000000001E-3</v>
      </c>
      <c r="L946" s="92">
        <f t="shared" si="87"/>
        <v>2.3400000000000001E-3</v>
      </c>
      <c r="M946" s="30" t="s">
        <v>813</v>
      </c>
    </row>
    <row r="947" spans="1:16" ht="14">
      <c r="A947" s="88" t="s">
        <v>2355</v>
      </c>
      <c r="B947" s="219" t="s">
        <v>736</v>
      </c>
      <c r="C947" s="30"/>
      <c r="D947" s="30" t="str">
        <f>VLOOKUP(B947, 'RM &amp; SF'!B:C, 2, 0)</f>
        <v>دجاج مقلي</v>
      </c>
      <c r="E947" s="30" t="s">
        <v>2234</v>
      </c>
      <c r="F947" s="110">
        <v>4503</v>
      </c>
      <c r="G947" s="30" t="str">
        <f>VLOOKUP(F947, 'RM &amp; SF'!B:C, 2, 0)</f>
        <v>بصل ناشف دفش*****</v>
      </c>
      <c r="H947" s="30">
        <v>200</v>
      </c>
      <c r="I947" s="30" t="str">
        <f>VLOOKUP(F947, 'RM &amp; SF'!B:H, 4, 0)</f>
        <v>غم</v>
      </c>
      <c r="J947" s="90">
        <f>H947/6</f>
        <v>33.333333333333336</v>
      </c>
      <c r="K947" s="91">
        <f>VLOOKUP(F947, 'RM &amp; SF'!B:H, 7, 0)</f>
        <v>2.5000000000000001E-4</v>
      </c>
      <c r="L947" s="92">
        <f t="shared" si="87"/>
        <v>8.333333333333335E-3</v>
      </c>
      <c r="M947" s="30" t="s">
        <v>813</v>
      </c>
    </row>
    <row r="948" spans="1:16" ht="14">
      <c r="A948" s="88" t="s">
        <v>2435</v>
      </c>
      <c r="B948" s="219" t="s">
        <v>690</v>
      </c>
      <c r="C948" s="30"/>
      <c r="D948" s="213" t="str">
        <f>VLOOKUP(B948, 'RM &amp; SF'!B:C, 2, 0)</f>
        <v>كوسا محشي بالحبة</v>
      </c>
      <c r="E948" s="30" t="s">
        <v>2246</v>
      </c>
      <c r="F948" s="214">
        <v>4524</v>
      </c>
      <c r="G948" s="30" t="str">
        <f>VLOOKUP(F948, 'RM &amp; SF'!B:C, 2, 0)</f>
        <v>كوسا*****</v>
      </c>
      <c r="H948" s="30">
        <v>70</v>
      </c>
      <c r="I948" s="30" t="str">
        <f>VLOOKUP(F948, 'RM &amp; SF'!B:H, 4, 0)</f>
        <v>غم</v>
      </c>
      <c r="J948" s="90">
        <f>H948</f>
        <v>70</v>
      </c>
      <c r="K948" s="91">
        <f>VLOOKUP(F948, 'RM &amp; SF'!B:H, 7, 0)</f>
        <v>6.4999999999999997E-4</v>
      </c>
      <c r="L948" s="92">
        <f t="shared" si="87"/>
        <v>4.5499999999999999E-2</v>
      </c>
      <c r="M948" s="30" t="s">
        <v>813</v>
      </c>
    </row>
    <row r="949" spans="1:16" ht="14">
      <c r="A949" s="88" t="s">
        <v>2435</v>
      </c>
      <c r="B949" s="219" t="s">
        <v>690</v>
      </c>
      <c r="C949" s="30"/>
      <c r="D949" s="213" t="str">
        <f>VLOOKUP(B949, 'RM &amp; SF'!B:C, 2, 0)</f>
        <v>كوسا محشي بالحبة</v>
      </c>
      <c r="E949" s="30" t="s">
        <v>2332</v>
      </c>
      <c r="F949" s="214" t="s">
        <v>644</v>
      </c>
      <c r="G949" s="30" t="str">
        <f>VLOOKUP(F949, 'RM &amp; SF'!B:C, 2, 0)</f>
        <v xml:space="preserve">حشوة ورق العنب </v>
      </c>
      <c r="H949" s="30">
        <v>50</v>
      </c>
      <c r="I949" s="30" t="str">
        <f>VLOOKUP(F949, 'RM &amp; SF'!B:H, 4, 0)</f>
        <v>غم</v>
      </c>
      <c r="J949" s="90">
        <f>H949</f>
        <v>50</v>
      </c>
      <c r="K949" s="91">
        <f>VLOOKUP(F949, 'RM &amp; SF'!B:H, 7, 0)</f>
        <v>3.2061107692307688E-3</v>
      </c>
      <c r="L949" s="92">
        <f t="shared" si="87"/>
        <v>0.16030553846153844</v>
      </c>
      <c r="M949" s="30" t="s">
        <v>813</v>
      </c>
    </row>
    <row r="950" spans="1:16" ht="14">
      <c r="A950" s="88" t="s">
        <v>2356</v>
      </c>
      <c r="B950" s="219" t="s">
        <v>738</v>
      </c>
      <c r="C950" s="30"/>
      <c r="D950" s="30" t="str">
        <f>VLOOKUP(B950, 'RM &amp; SF'!B:C, 2, 0)</f>
        <v>صوص بلسمك</v>
      </c>
      <c r="E950" s="30" t="s">
        <v>2274</v>
      </c>
      <c r="F950" s="110">
        <v>4063</v>
      </c>
      <c r="G950" s="30" t="str">
        <f>VLOOKUP(F950, 'RM &amp; SF'!B:C, 2, 0)</f>
        <v>خل بلسمك 500 مل*****</v>
      </c>
      <c r="H950" s="30">
        <v>120</v>
      </c>
      <c r="I950" s="30" t="str">
        <f>VLOOKUP(F950, 'RM &amp; SF'!B:H, 4, 0)</f>
        <v>مل</v>
      </c>
      <c r="J950" s="90">
        <f>H950/0.3</f>
        <v>400</v>
      </c>
      <c r="K950" s="91">
        <f>VLOOKUP(F950, 'RM &amp; SF'!B:H, 7, 0)</f>
        <v>5.6035E-3</v>
      </c>
      <c r="L950" s="92">
        <f t="shared" si="87"/>
        <v>2.2414000000000001</v>
      </c>
      <c r="M950" s="30" t="s">
        <v>813</v>
      </c>
    </row>
    <row r="951" spans="1:16" ht="14">
      <c r="A951" s="88" t="s">
        <v>2356</v>
      </c>
      <c r="B951" s="219" t="s">
        <v>738</v>
      </c>
      <c r="C951" s="30"/>
      <c r="D951" s="30" t="str">
        <f>VLOOKUP(B951, 'RM &amp; SF'!B:C, 2, 0)</f>
        <v>صوص بلسمك</v>
      </c>
      <c r="E951" s="30" t="s">
        <v>2357</v>
      </c>
      <c r="F951" s="110" t="s">
        <v>744</v>
      </c>
      <c r="G951" s="30" t="str">
        <f>VLOOKUP(F951, 'RM &amp; SF'!B:C, 2, 0)</f>
        <v>زيت زيتون مكسور</v>
      </c>
      <c r="H951" s="30">
        <v>100</v>
      </c>
      <c r="I951" s="30" t="str">
        <f>VLOOKUP(F951, 'RM &amp; SF'!B:H, 4, 0)</f>
        <v>غم</v>
      </c>
      <c r="J951" s="90">
        <f>H951/0.3</f>
        <v>333.33333333333337</v>
      </c>
      <c r="K951" s="91">
        <f>VLOOKUP(F951, 'RM &amp; SF'!B:H, 7, 0)</f>
        <v>3.3899999999999998E-3</v>
      </c>
      <c r="L951" s="92">
        <f t="shared" si="87"/>
        <v>1.1300000000000001</v>
      </c>
      <c r="M951" s="30" t="s">
        <v>813</v>
      </c>
    </row>
    <row r="952" spans="1:16" ht="14">
      <c r="A952" s="88" t="s">
        <v>2356</v>
      </c>
      <c r="B952" s="219" t="s">
        <v>738</v>
      </c>
      <c r="C952" s="30"/>
      <c r="D952" s="30" t="str">
        <f>VLOOKUP(B952, 'RM &amp; SF'!B:C, 2, 0)</f>
        <v>صوص بلسمك</v>
      </c>
      <c r="E952" s="30" t="s">
        <v>3058</v>
      </c>
      <c r="F952" s="110">
        <v>4753</v>
      </c>
      <c r="G952" s="30" t="str">
        <f>VLOOKUP(F952, 'RM &amp; SF'!B:C, 2, 0)</f>
        <v>عسل 2 كغ*****</v>
      </c>
      <c r="H952" s="30">
        <v>50</v>
      </c>
      <c r="I952" s="30" t="str">
        <f>VLOOKUP(F952, 'RM &amp; SF'!B:H, 4, 0)</f>
        <v>غم</v>
      </c>
      <c r="J952" s="90">
        <f>H952/0.3</f>
        <v>166.66666666666669</v>
      </c>
      <c r="K952" s="91">
        <f>VLOOKUP(F952, 'RM &amp; SF'!B:H, 7, 0)</f>
        <v>2.1549999999999998E-3</v>
      </c>
      <c r="L952" s="92">
        <f t="shared" si="87"/>
        <v>0.35916666666666669</v>
      </c>
      <c r="M952" s="30" t="s">
        <v>813</v>
      </c>
    </row>
    <row r="953" spans="1:16" ht="14">
      <c r="A953" s="88" t="s">
        <v>2356</v>
      </c>
      <c r="B953" s="219" t="s">
        <v>738</v>
      </c>
      <c r="C953" s="30"/>
      <c r="D953" s="30" t="str">
        <f>VLOOKUP(B953, 'RM &amp; SF'!B:C, 2, 0)</f>
        <v>صوص بلسمك</v>
      </c>
      <c r="E953" s="30" t="s">
        <v>2255</v>
      </c>
      <c r="F953" s="110">
        <v>4573</v>
      </c>
      <c r="G953" s="30" t="str">
        <f>VLOOKUP(F953, 'RM &amp; SF'!B:C, 2, 0)</f>
        <v>عصير ليمون طازج 2.5 لتر*****</v>
      </c>
      <c r="H953" s="30">
        <v>30</v>
      </c>
      <c r="I953" s="30" t="str">
        <f>VLOOKUP(F953, 'RM &amp; SF'!B:H, 4, 0)</f>
        <v>مل</v>
      </c>
      <c r="J953" s="90">
        <f>H953/0.3</f>
        <v>100</v>
      </c>
      <c r="K953" s="91">
        <f>VLOOKUP(F953, 'RM &amp; SF'!B:H, 7, 0)</f>
        <v>2.5999999999999999E-3</v>
      </c>
      <c r="L953" s="92">
        <f t="shared" si="87"/>
        <v>0.26</v>
      </c>
      <c r="M953" s="30" t="s">
        <v>813</v>
      </c>
    </row>
    <row r="954" spans="1:16" ht="14">
      <c r="A954" s="88" t="s">
        <v>3192</v>
      </c>
      <c r="B954" s="188" t="s">
        <v>740</v>
      </c>
      <c r="C954" s="30"/>
      <c r="D954" s="30" t="str">
        <f>VLOOKUP(B954, 'RM &amp; SF'!B:C, 2, 0)</f>
        <v>عصير بندورة</v>
      </c>
      <c r="E954" s="30" t="s">
        <v>2309</v>
      </c>
      <c r="F954" s="110">
        <v>4491</v>
      </c>
      <c r="G954" s="30" t="str">
        <f>VLOOKUP(F954, 'RM &amp; SF'!B:C, 2, 0)</f>
        <v>بندورة جامدة*****</v>
      </c>
      <c r="H954" s="30">
        <v>3000</v>
      </c>
      <c r="I954" s="30" t="str">
        <f>VLOOKUP(F954, 'RM &amp; SF'!B:H, 4, 0)</f>
        <v>غم</v>
      </c>
      <c r="J954" s="90">
        <f>H954/4</f>
        <v>750</v>
      </c>
      <c r="K954" s="91">
        <f>VLOOKUP(F954, 'RM &amp; SF'!B:H, 7, 0)</f>
        <v>5.0000000000000001E-4</v>
      </c>
      <c r="L954" s="92">
        <f t="shared" si="87"/>
        <v>0.375</v>
      </c>
      <c r="M954" s="30" t="s">
        <v>813</v>
      </c>
      <c r="P954" s="88" t="s">
        <v>2156</v>
      </c>
    </row>
    <row r="955" spans="1:16" ht="14">
      <c r="A955" s="88" t="s">
        <v>3192</v>
      </c>
      <c r="B955" s="188" t="s">
        <v>740</v>
      </c>
      <c r="C955" s="30"/>
      <c r="D955" s="30" t="str">
        <f>VLOOKUP(B955, 'RM &amp; SF'!B:C, 2, 0)</f>
        <v>عصير بندورة</v>
      </c>
      <c r="E955" s="30" t="s">
        <v>3058</v>
      </c>
      <c r="F955" s="110">
        <v>3</v>
      </c>
      <c r="G955" s="30" t="str">
        <f>VLOOKUP(F955, 'RM &amp; SF'!B:C, 2, 0)</f>
        <v>مياه حنفية</v>
      </c>
      <c r="H955" s="30">
        <v>1000</v>
      </c>
      <c r="I955" s="30" t="str">
        <f>VLOOKUP(F955, 'RM &amp; SF'!B:H, 4, 0)</f>
        <v>مل</v>
      </c>
      <c r="J955" s="90">
        <f>H955/4</f>
        <v>250</v>
      </c>
      <c r="K955" s="91">
        <f>VLOOKUP(F955, 'RM &amp; SF'!B:H, 7, 0)</f>
        <v>0</v>
      </c>
      <c r="L955" s="92">
        <f t="shared" si="87"/>
        <v>0</v>
      </c>
      <c r="M955" s="30" t="s">
        <v>813</v>
      </c>
      <c r="P955" s="88" t="s">
        <v>2156</v>
      </c>
    </row>
    <row r="956" spans="1:16" ht="14">
      <c r="A956" s="88" t="s">
        <v>2357</v>
      </c>
      <c r="B956" s="219" t="s">
        <v>744</v>
      </c>
      <c r="C956" s="30"/>
      <c r="D956" s="30" t="str">
        <f>VLOOKUP(B956, 'RM &amp; SF'!B:C, 2, 0)</f>
        <v>زيت زيتون مكسور</v>
      </c>
      <c r="E956" s="30" t="s">
        <v>2260</v>
      </c>
      <c r="F956" s="110">
        <v>4160</v>
      </c>
      <c r="G956" s="30" t="str">
        <f>VLOOKUP(F956, 'RM &amp; SF'!B:C, 2, 0)</f>
        <v>زيت صويا 18 لتر*****</v>
      </c>
      <c r="H956" s="30">
        <v>2000</v>
      </c>
      <c r="I956" s="30" t="str">
        <f>VLOOKUP(F956, 'RM &amp; SF'!B:H, 4, 0)</f>
        <v>مل</v>
      </c>
      <c r="J956" s="90">
        <f>H956/3</f>
        <v>666.66666666666663</v>
      </c>
      <c r="K956" s="91">
        <f>VLOOKUP(F956, 'RM &amp; SF'!B:H, 7, 0)</f>
        <v>1.335E-3</v>
      </c>
      <c r="L956" s="92">
        <f t="shared" si="87"/>
        <v>0.89</v>
      </c>
      <c r="M956" s="30" t="s">
        <v>813</v>
      </c>
    </row>
    <row r="957" spans="1:16" ht="14">
      <c r="A957" s="88" t="s">
        <v>2357</v>
      </c>
      <c r="B957" s="219" t="s">
        <v>744</v>
      </c>
      <c r="C957" s="30"/>
      <c r="D957" s="30" t="str">
        <f>VLOOKUP(B957, 'RM &amp; SF'!B:C, 2, 0)</f>
        <v>زيت زيتون مكسور</v>
      </c>
      <c r="E957" s="30" t="s">
        <v>2259</v>
      </c>
      <c r="F957" s="110">
        <v>4159</v>
      </c>
      <c r="G957" s="30" t="str">
        <f>VLOOKUP(F957, 'RM &amp; SF'!B:C, 2, 0)</f>
        <v>زيت زيتون 16 كغ*****</v>
      </c>
      <c r="H957" s="30">
        <v>1000</v>
      </c>
      <c r="I957" s="30" t="str">
        <f>VLOOKUP(F957, 'RM &amp; SF'!B:H, 4, 0)</f>
        <v>غم</v>
      </c>
      <c r="J957" s="90">
        <f>H957/3</f>
        <v>333.33333333333331</v>
      </c>
      <c r="K957" s="91">
        <f>VLOOKUP(F957, 'RM &amp; SF'!B:H, 7, 0)</f>
        <v>7.4999999999999997E-3</v>
      </c>
      <c r="L957" s="92">
        <f t="shared" si="87"/>
        <v>2.4999999999999996</v>
      </c>
      <c r="M957" s="30" t="s">
        <v>813</v>
      </c>
    </row>
    <row r="958" spans="1:16" ht="14">
      <c r="A958" s="88" t="s">
        <v>2358</v>
      </c>
      <c r="B958" s="219" t="s">
        <v>746</v>
      </c>
      <c r="C958" s="30"/>
      <c r="D958" s="30" t="str">
        <f>VLOOKUP(B958, 'RM &amp; SF'!B:C, 2, 0)</f>
        <v>خاروف بلدي صغير مشوي</v>
      </c>
      <c r="E958" s="30" t="s">
        <v>3058</v>
      </c>
      <c r="F958" s="110">
        <v>5315</v>
      </c>
      <c r="G958" s="30" t="str">
        <f>VLOOKUP(F958, 'RM &amp; SF'!B:C, 2, 0)</f>
        <v>خاروف بلدي صغير</v>
      </c>
      <c r="H958" s="30">
        <v>14000</v>
      </c>
      <c r="I958" s="30" t="str">
        <f>VLOOKUP(F958, 'RM &amp; SF'!B:H, 4, 0)</f>
        <v>غم</v>
      </c>
      <c r="J958" s="90">
        <f>H958/14</f>
        <v>1000</v>
      </c>
      <c r="K958" s="91">
        <f>VLOOKUP(F958, 'RM &amp; SF'!B:H, 7, 0)</f>
        <v>1.15E-2</v>
      </c>
      <c r="L958" s="92">
        <f t="shared" si="87"/>
        <v>11.5</v>
      </c>
      <c r="M958" s="30" t="s">
        <v>813</v>
      </c>
    </row>
    <row r="959" spans="1:16" ht="14">
      <c r="A959" s="88" t="s">
        <v>2358</v>
      </c>
      <c r="B959" s="219" t="s">
        <v>746</v>
      </c>
      <c r="C959" s="30"/>
      <c r="D959" s="30" t="str">
        <f>VLOOKUP(B959, 'RM &amp; SF'!B:C, 2, 0)</f>
        <v>خاروف بلدي صغير مشوي</v>
      </c>
      <c r="E959" s="30" t="s">
        <v>2438</v>
      </c>
      <c r="F959" s="110" t="s">
        <v>652</v>
      </c>
      <c r="G959" s="30" t="str">
        <f>VLOOKUP(F959, 'RM &amp; SF'!B:C, 2, 0)</f>
        <v>تتبيلة دجاج اللاين</v>
      </c>
      <c r="H959" s="30">
        <v>400</v>
      </c>
      <c r="I959" s="30" t="str">
        <f>VLOOKUP(F959, 'RM &amp; SF'!B:H, 4, 0)</f>
        <v>غم</v>
      </c>
      <c r="J959" s="90">
        <f t="shared" ref="J959:J970" si="91">H959/14</f>
        <v>28.571428571428573</v>
      </c>
      <c r="K959" s="91">
        <f>VLOOKUP(F959, 'RM &amp; SF'!B:H, 7, 0)</f>
        <v>1.7522965258215965E-3</v>
      </c>
      <c r="L959" s="92">
        <f t="shared" si="87"/>
        <v>5.0065615023474189E-2</v>
      </c>
      <c r="M959" s="30" t="s">
        <v>813</v>
      </c>
    </row>
    <row r="960" spans="1:16" ht="14">
      <c r="A960" s="88" t="s">
        <v>2358</v>
      </c>
      <c r="B960" s="219" t="s">
        <v>746</v>
      </c>
      <c r="C960" s="30"/>
      <c r="D960" s="30" t="str">
        <f>VLOOKUP(B960, 'RM &amp; SF'!B:C, 2, 0)</f>
        <v>خاروف بلدي صغير مشوي</v>
      </c>
      <c r="E960" s="30" t="s">
        <v>3058</v>
      </c>
      <c r="F960" s="110">
        <v>4234</v>
      </c>
      <c r="G960" s="30" t="str">
        <f>VLOOKUP(F960, 'RM &amp; SF'!B:C, 2, 0)</f>
        <v>هال حب اخضر*****</v>
      </c>
      <c r="H960" s="30">
        <v>20</v>
      </c>
      <c r="I960" s="30" t="str">
        <f>VLOOKUP(F960, 'RM &amp; SF'!B:H, 4, 0)</f>
        <v>غم</v>
      </c>
      <c r="J960" s="90">
        <f t="shared" si="91"/>
        <v>1.4285714285714286</v>
      </c>
      <c r="K960" s="91">
        <f>VLOOKUP(F960, 'RM &amp; SF'!B:H, 7, 0)</f>
        <v>1.9827586206896553E-2</v>
      </c>
      <c r="L960" s="92">
        <f t="shared" si="87"/>
        <v>2.8325123152709363E-2</v>
      </c>
      <c r="M960" s="30" t="s">
        <v>813</v>
      </c>
    </row>
    <row r="961" spans="1:13" ht="14">
      <c r="A961" s="88" t="s">
        <v>2358</v>
      </c>
      <c r="B961" s="219" t="s">
        <v>746</v>
      </c>
      <c r="C961" s="30"/>
      <c r="D961" s="30" t="str">
        <f>VLOOKUP(B961, 'RM &amp; SF'!B:C, 2, 0)</f>
        <v>خاروف بلدي صغير مشوي</v>
      </c>
      <c r="E961" s="30" t="s">
        <v>2412</v>
      </c>
      <c r="F961" s="110" t="s">
        <v>598</v>
      </c>
      <c r="G961" s="30" t="str">
        <f>VLOOKUP(F961, 'RM &amp; SF'!B:C, 2, 0)</f>
        <v>رز اوزي</v>
      </c>
      <c r="H961" s="30">
        <v>14000</v>
      </c>
      <c r="I961" s="30" t="str">
        <f>VLOOKUP(F961, 'RM &amp; SF'!B:H, 4, 0)</f>
        <v>غم</v>
      </c>
      <c r="J961" s="90">
        <f t="shared" si="91"/>
        <v>1000</v>
      </c>
      <c r="K961" s="91">
        <f>VLOOKUP(F961, 'RM &amp; SF'!B:H, 7, 0)</f>
        <v>1.1675619256756756E-3</v>
      </c>
      <c r="L961" s="92">
        <f t="shared" si="87"/>
        <v>1.1675619256756755</v>
      </c>
      <c r="M961" s="30" t="s">
        <v>813</v>
      </c>
    </row>
    <row r="962" spans="1:13" ht="14">
      <c r="A962" s="88" t="s">
        <v>2358</v>
      </c>
      <c r="B962" s="219" t="s">
        <v>746</v>
      </c>
      <c r="C962" s="30"/>
      <c r="D962" s="30" t="str">
        <f>VLOOKUP(B962, 'RM &amp; SF'!B:C, 2, 0)</f>
        <v>خاروف بلدي صغير مشوي</v>
      </c>
      <c r="E962" s="30" t="s">
        <v>2341</v>
      </c>
      <c r="F962" s="110" t="s">
        <v>706</v>
      </c>
      <c r="G962" s="30" t="str">
        <f>VLOOKUP(F962, 'RM &amp; SF'!B:C, 2, 0)</f>
        <v>لوز مقلي</v>
      </c>
      <c r="H962" s="30">
        <v>300</v>
      </c>
      <c r="I962" s="30" t="str">
        <f>VLOOKUP(F962, 'RM &amp; SF'!B:H, 4, 0)</f>
        <v>غم</v>
      </c>
      <c r="J962" s="90">
        <f t="shared" si="91"/>
        <v>21.428571428571427</v>
      </c>
      <c r="K962" s="91">
        <f>VLOOKUP(F962, 'RM &amp; SF'!B:H, 7, 0)</f>
        <v>4.1352327586206888E-3</v>
      </c>
      <c r="L962" s="92">
        <f t="shared" si="87"/>
        <v>8.8612130541871892E-2</v>
      </c>
      <c r="M962" s="30" t="s">
        <v>813</v>
      </c>
    </row>
    <row r="963" spans="1:13" ht="14">
      <c r="A963" s="88" t="s">
        <v>2358</v>
      </c>
      <c r="B963" s="219" t="s">
        <v>746</v>
      </c>
      <c r="C963" s="30"/>
      <c r="D963" s="30" t="str">
        <f>VLOOKUP(B963, 'RM &amp; SF'!B:C, 2, 0)</f>
        <v>خاروف بلدي صغير مشوي</v>
      </c>
      <c r="E963" s="30" t="s">
        <v>2219</v>
      </c>
      <c r="F963" s="110">
        <v>4235</v>
      </c>
      <c r="G963" s="30" t="str">
        <f>VLOOKUP(F963, 'RM &amp; SF'!B:C, 2, 0)</f>
        <v>قرفة اعواد*****</v>
      </c>
      <c r="H963" s="30">
        <v>15</v>
      </c>
      <c r="I963" s="30" t="str">
        <f>VLOOKUP(F963, 'RM &amp; SF'!B:H, 4, 0)</f>
        <v>غم</v>
      </c>
      <c r="J963" s="90">
        <f t="shared" si="91"/>
        <v>1.0714285714285714</v>
      </c>
      <c r="K963" s="91">
        <f>VLOOKUP(F963, 'RM &amp; SF'!B:H, 7, 0)</f>
        <v>2.8020000000000002E-3</v>
      </c>
      <c r="L963" s="92">
        <f t="shared" si="87"/>
        <v>3.0021428571428573E-3</v>
      </c>
      <c r="M963" s="30" t="s">
        <v>813</v>
      </c>
    </row>
    <row r="964" spans="1:13" ht="14">
      <c r="A964" s="88" t="s">
        <v>2358</v>
      </c>
      <c r="B964" s="219" t="s">
        <v>746</v>
      </c>
      <c r="C964" s="30"/>
      <c r="D964" s="30" t="str">
        <f>VLOOKUP(B964, 'RM &amp; SF'!B:C, 2, 0)</f>
        <v>خاروف بلدي صغير مشوي</v>
      </c>
      <c r="E964" s="30" t="s">
        <v>3058</v>
      </c>
      <c r="F964" s="110">
        <v>5382</v>
      </c>
      <c r="G964" s="30" t="str">
        <f>VLOOKUP(F964, 'RM &amp; SF'!B:C, 2, 0)</f>
        <v>ورق زبدة</v>
      </c>
      <c r="H964" s="30">
        <v>0.7</v>
      </c>
      <c r="I964" s="30" t="str">
        <f>VLOOKUP(F964, 'RM &amp; SF'!B:H, 4, 0)</f>
        <v>غم</v>
      </c>
      <c r="J964" s="90">
        <f t="shared" si="91"/>
        <v>4.9999999999999996E-2</v>
      </c>
      <c r="K964" s="91">
        <f>VLOOKUP(F964, 'RM &amp; SF'!B:H, 7, 0)</f>
        <v>3.2961460446247468E-3</v>
      </c>
      <c r="L964" s="92">
        <f t="shared" si="87"/>
        <v>1.6480730223123732E-4</v>
      </c>
      <c r="M964" s="30" t="s">
        <v>813</v>
      </c>
    </row>
    <row r="965" spans="1:13" ht="14">
      <c r="A965" s="88" t="s">
        <v>2358</v>
      </c>
      <c r="B965" s="219" t="s">
        <v>746</v>
      </c>
      <c r="C965" s="30"/>
      <c r="D965" s="30" t="str">
        <f>VLOOKUP(B965, 'RM &amp; SF'!B:C, 2, 0)</f>
        <v>خاروف بلدي صغير مشوي</v>
      </c>
      <c r="E965" s="30" t="s">
        <v>2194</v>
      </c>
      <c r="F965" s="110">
        <v>4323</v>
      </c>
      <c r="G965" s="30" t="str">
        <f>VLOOKUP(F965, 'RM &amp; SF'!B:C, 2, 0)</f>
        <v>قصدير رول 45 سم*2كغ*****</v>
      </c>
      <c r="H965" s="30">
        <v>9</v>
      </c>
      <c r="I965" s="30" t="str">
        <f>VLOOKUP(F965, 'RM &amp; SF'!B:H, 4, 0)</f>
        <v>غم</v>
      </c>
      <c r="J965" s="90">
        <f t="shared" si="91"/>
        <v>0.6428571428571429</v>
      </c>
      <c r="K965" s="91">
        <f>VLOOKUP(F965, 'RM &amp; SF'!B:H, 7, 0)</f>
        <v>1.7240000000000001E-3</v>
      </c>
      <c r="L965" s="92">
        <f t="shared" si="87"/>
        <v>1.1082857142857144E-3</v>
      </c>
      <c r="M965" s="30" t="s">
        <v>813</v>
      </c>
    </row>
    <row r="966" spans="1:13" ht="14">
      <c r="A966" s="88" t="s">
        <v>2358</v>
      </c>
      <c r="B966" s="219" t="s">
        <v>746</v>
      </c>
      <c r="C966" s="30"/>
      <c r="D966" s="30" t="str">
        <f>VLOOKUP(B966, 'RM &amp; SF'!B:C, 2, 0)</f>
        <v>خاروف بلدي صغير مشوي</v>
      </c>
      <c r="E966" s="30" t="s">
        <v>3058</v>
      </c>
      <c r="F966" s="110">
        <v>5274</v>
      </c>
      <c r="G966" s="30" t="str">
        <f>VLOOKUP(F966, 'RM &amp; SF'!B:C, 2, 0)</f>
        <v>نايلون للتغليف رول (رول جيلاتين) 45 سم*4 كغ*****</v>
      </c>
      <c r="H966" s="30">
        <v>9</v>
      </c>
      <c r="I966" s="30" t="str">
        <f>VLOOKUP(F966, 'RM &amp; SF'!B:H, 4, 0)</f>
        <v>غم</v>
      </c>
      <c r="J966" s="90">
        <f t="shared" si="91"/>
        <v>0.6428571428571429</v>
      </c>
      <c r="K966" s="91">
        <f>VLOOKUP(F966, 'RM &amp; SF'!B:H, 7, 0)</f>
        <v>2.0474249999999999E-3</v>
      </c>
      <c r="L966" s="92">
        <f t="shared" si="87"/>
        <v>1.3162017857142857E-3</v>
      </c>
      <c r="M966" s="30" t="s">
        <v>813</v>
      </c>
    </row>
    <row r="967" spans="1:13" ht="14">
      <c r="A967" s="88" t="s">
        <v>2358</v>
      </c>
      <c r="B967" s="219" t="s">
        <v>746</v>
      </c>
      <c r="C967" s="30"/>
      <c r="D967" s="30" t="str">
        <f>VLOOKUP(B967, 'RM &amp; SF'!B:C, 2, 0)</f>
        <v>خاروف بلدي صغير مشوي</v>
      </c>
      <c r="E967" s="30" t="s">
        <v>2292</v>
      </c>
      <c r="F967" s="110">
        <v>4639</v>
      </c>
      <c r="G967" s="30" t="str">
        <f>VLOOKUP(F967, 'RM &amp; SF'!B:C, 2, 0)</f>
        <v>بازيلاء و جزر مجمدة 350 غم*****</v>
      </c>
      <c r="H967" s="30">
        <v>200</v>
      </c>
      <c r="I967" s="30" t="str">
        <f>VLOOKUP(F967, 'RM &amp; SF'!B:H, 4, 0)</f>
        <v>غم</v>
      </c>
      <c r="J967" s="90">
        <f t="shared" si="91"/>
        <v>14.285714285714286</v>
      </c>
      <c r="K967" s="91">
        <f>VLOOKUP(F967, 'RM &amp; SF'!B:H, 7, 0)</f>
        <v>1.8331249999999999E-3</v>
      </c>
      <c r="L967" s="92">
        <f t="shared" si="87"/>
        <v>2.6187499999999999E-2</v>
      </c>
      <c r="M967" s="30" t="s">
        <v>813</v>
      </c>
    </row>
    <row r="968" spans="1:13" ht="14">
      <c r="A968" s="88" t="s">
        <v>2358</v>
      </c>
      <c r="B968" s="219" t="s">
        <v>746</v>
      </c>
      <c r="C968" s="30"/>
      <c r="D968" s="30" t="str">
        <f>VLOOKUP(B968, 'RM &amp; SF'!B:C, 2, 0)</f>
        <v>خاروف بلدي صغير مشوي</v>
      </c>
      <c r="E968" s="30" t="s">
        <v>2204</v>
      </c>
      <c r="F968" s="110">
        <v>4189</v>
      </c>
      <c r="G968" s="30" t="str">
        <f>VLOOKUP(F968, 'RM &amp; SF'!B:C, 2, 0)</f>
        <v>لومي اصفر*****</v>
      </c>
      <c r="H968" s="30">
        <v>10</v>
      </c>
      <c r="I968" s="30" t="str">
        <f>VLOOKUP(F968, 'RM &amp; SF'!B:H, 4, 0)</f>
        <v>غم</v>
      </c>
      <c r="J968" s="90">
        <f t="shared" si="91"/>
        <v>0.7142857142857143</v>
      </c>
      <c r="K968" s="91">
        <f>VLOOKUP(F968, 'RM &amp; SF'!B:H, 7, 0)</f>
        <v>1.9399999999999999E-3</v>
      </c>
      <c r="L968" s="92">
        <f t="shared" ref="L968:L1027" si="92">K968*J968</f>
        <v>1.3857142857142857E-3</v>
      </c>
      <c r="M968" s="30" t="s">
        <v>813</v>
      </c>
    </row>
    <row r="969" spans="1:13" ht="14">
      <c r="A969" s="88" t="s">
        <v>2358</v>
      </c>
      <c r="B969" s="219" t="s">
        <v>746</v>
      </c>
      <c r="C969" s="30"/>
      <c r="D969" s="30" t="str">
        <f>VLOOKUP(B969, 'RM &amp; SF'!B:C, 2, 0)</f>
        <v>خاروف بلدي صغير مشوي</v>
      </c>
      <c r="E969" s="30" t="s">
        <v>2210</v>
      </c>
      <c r="F969" s="110">
        <v>4213</v>
      </c>
      <c r="G969" s="30" t="str">
        <f>VLOOKUP(F969, 'RM &amp; SF'!B:C, 2, 0)</f>
        <v>ورق غار*****</v>
      </c>
      <c r="H969" s="30">
        <v>10</v>
      </c>
      <c r="I969" s="30" t="str">
        <f>VLOOKUP(F969, 'RM &amp; SF'!B:H, 4, 0)</f>
        <v>غم</v>
      </c>
      <c r="J969" s="90">
        <f t="shared" si="91"/>
        <v>0.7142857142857143</v>
      </c>
      <c r="K969" s="91">
        <f>VLOOKUP(F969, 'RM &amp; SF'!B:H, 7, 0)</f>
        <v>2.0690000000000001E-3</v>
      </c>
      <c r="L969" s="92">
        <f t="shared" si="92"/>
        <v>1.477857142857143E-3</v>
      </c>
      <c r="M969" s="30" t="s">
        <v>813</v>
      </c>
    </row>
    <row r="970" spans="1:13" ht="14">
      <c r="A970" s="88" t="s">
        <v>2358</v>
      </c>
      <c r="B970" s="219" t="s">
        <v>746</v>
      </c>
      <c r="C970" s="30"/>
      <c r="D970" s="30" t="str">
        <f>VLOOKUP(B970, 'RM &amp; SF'!B:C, 2, 0)</f>
        <v>خاروف بلدي صغير مشوي</v>
      </c>
      <c r="E970" s="30" t="s">
        <v>2260</v>
      </c>
      <c r="F970" s="110">
        <v>4160</v>
      </c>
      <c r="G970" s="30" t="str">
        <f>VLOOKUP(F970, 'RM &amp; SF'!B:C, 2, 0)</f>
        <v>زيت صويا 18 لتر*****</v>
      </c>
      <c r="H970" s="30">
        <v>500</v>
      </c>
      <c r="I970" s="30" t="str">
        <f>VLOOKUP(F970, 'RM &amp; SF'!B:H, 4, 0)</f>
        <v>مل</v>
      </c>
      <c r="J970" s="90">
        <f t="shared" si="91"/>
        <v>35.714285714285715</v>
      </c>
      <c r="K970" s="91">
        <f>VLOOKUP(F970, 'RM &amp; SF'!B:H, 7, 0)</f>
        <v>1.335E-3</v>
      </c>
      <c r="L970" s="92">
        <f t="shared" si="92"/>
        <v>4.7678571428571431E-2</v>
      </c>
      <c r="M970" s="30" t="s">
        <v>813</v>
      </c>
    </row>
    <row r="971" spans="1:13" ht="14">
      <c r="A971" s="88" t="s">
        <v>2367</v>
      </c>
      <c r="B971" s="219" t="s">
        <v>766</v>
      </c>
      <c r="C971" s="30"/>
      <c r="D971" s="30" t="str">
        <f>VLOOKUP(B971, 'RM &amp; SF'!B:C, 2, 0)</f>
        <v>تتبيلة المركزية</v>
      </c>
      <c r="E971" s="30" t="s">
        <v>2309</v>
      </c>
      <c r="F971" s="110">
        <v>4491</v>
      </c>
      <c r="G971" s="30" t="str">
        <f>VLOOKUP(F971, 'RM &amp; SF'!B:C, 2, 0)</f>
        <v>بندورة جامدة*****</v>
      </c>
      <c r="H971" s="30">
        <v>3000</v>
      </c>
      <c r="I971" s="30" t="str">
        <f>VLOOKUP(F971, 'RM &amp; SF'!B:H, 4, 0)</f>
        <v>غم</v>
      </c>
      <c r="J971" s="90">
        <f t="shared" ref="J971:J978" si="93">H971/28.5</f>
        <v>105.26315789473684</v>
      </c>
      <c r="K971" s="91">
        <f>VLOOKUP(F971, 'RM &amp; SF'!B:H, 7, 0)</f>
        <v>5.0000000000000001E-4</v>
      </c>
      <c r="L971" s="92">
        <f t="shared" si="92"/>
        <v>5.2631578947368418E-2</v>
      </c>
      <c r="M971" s="30" t="s">
        <v>813</v>
      </c>
    </row>
    <row r="972" spans="1:13" ht="14">
      <c r="A972" s="88" t="s">
        <v>2367</v>
      </c>
      <c r="B972" s="219" t="s">
        <v>766</v>
      </c>
      <c r="C972" s="30"/>
      <c r="D972" s="30" t="str">
        <f>VLOOKUP(B972, 'RM &amp; SF'!B:C, 2, 0)</f>
        <v>تتبيلة المركزية</v>
      </c>
      <c r="E972" s="30" t="s">
        <v>2239</v>
      </c>
      <c r="F972" s="110">
        <v>4513</v>
      </c>
      <c r="G972" s="30" t="str">
        <f>VLOOKUP(F972, 'RM &amp; SF'!B:C, 2, 0)</f>
        <v>ليمون اصفر*****</v>
      </c>
      <c r="H972" s="30">
        <v>2000</v>
      </c>
      <c r="I972" s="30" t="str">
        <f>VLOOKUP(F972, 'RM &amp; SF'!B:H, 4, 0)</f>
        <v>غم</v>
      </c>
      <c r="J972" s="90">
        <f t="shared" si="93"/>
        <v>70.175438596491233</v>
      </c>
      <c r="K972" s="91">
        <f>VLOOKUP(F972, 'RM &amp; SF'!B:H, 7, 0)</f>
        <v>1.75E-3</v>
      </c>
      <c r="L972" s="92">
        <f t="shared" si="92"/>
        <v>0.12280701754385966</v>
      </c>
      <c r="M972" s="30" t="s">
        <v>813</v>
      </c>
    </row>
    <row r="973" spans="1:13" ht="15.5">
      <c r="A973" s="88" t="s">
        <v>2367</v>
      </c>
      <c r="B973" s="219" t="s">
        <v>766</v>
      </c>
      <c r="C973" s="30"/>
      <c r="D973" s="30" t="str">
        <f>VLOOKUP(B973, 'RM &amp; SF'!B:C, 2, 0)</f>
        <v>تتبيلة المركزية</v>
      </c>
      <c r="E973" s="30" t="s">
        <v>2321</v>
      </c>
      <c r="F973" s="67">
        <v>5292</v>
      </c>
      <c r="G973" s="30" t="str">
        <f>VLOOKUP(F973, 'RM &amp; SF'!B:C, 2, 0)</f>
        <v>ثوم مقشر*****</v>
      </c>
      <c r="H973" s="30">
        <v>2000</v>
      </c>
      <c r="I973" s="30" t="str">
        <f>VLOOKUP(F973, 'RM &amp; SF'!B:H, 4, 0)</f>
        <v>غم</v>
      </c>
      <c r="J973" s="90">
        <f t="shared" si="93"/>
        <v>70.175438596491233</v>
      </c>
      <c r="K973" s="91">
        <f>VLOOKUP(F973, 'RM &amp; SF'!B:H, 7, 0)</f>
        <v>4.4999999999999997E-3</v>
      </c>
      <c r="L973" s="92">
        <f t="shared" si="92"/>
        <v>0.31578947368421051</v>
      </c>
      <c r="M973" s="30" t="s">
        <v>813</v>
      </c>
    </row>
    <row r="974" spans="1:13" ht="14">
      <c r="A974" s="88" t="s">
        <v>2367</v>
      </c>
      <c r="B974" s="219" t="s">
        <v>766</v>
      </c>
      <c r="C974" s="30"/>
      <c r="D974" s="30" t="str">
        <f>VLOOKUP(B974, 'RM &amp; SF'!B:C, 2, 0)</f>
        <v>تتبيلة المركزية</v>
      </c>
      <c r="E974" s="30" t="s">
        <v>2245</v>
      </c>
      <c r="F974" s="110">
        <v>4523</v>
      </c>
      <c r="G974" s="30" t="str">
        <f>VLOOKUP(F974, 'RM &amp; SF'!B:C, 2, 0)</f>
        <v>زنجبيل طازج*****</v>
      </c>
      <c r="H974" s="30">
        <v>500</v>
      </c>
      <c r="I974" s="30" t="str">
        <f>VLOOKUP(F974, 'RM &amp; SF'!B:H, 4, 0)</f>
        <v>غم</v>
      </c>
      <c r="J974" s="90">
        <f t="shared" si="93"/>
        <v>17.543859649122808</v>
      </c>
      <c r="K974" s="91">
        <f>VLOOKUP(F974, 'RM &amp; SF'!B:H, 7, 0)</f>
        <v>3.0000000000000001E-3</v>
      </c>
      <c r="L974" s="92">
        <f t="shared" si="92"/>
        <v>5.2631578947368425E-2</v>
      </c>
      <c r="M974" s="30" t="s">
        <v>813</v>
      </c>
    </row>
    <row r="975" spans="1:13" ht="14">
      <c r="A975" s="88" t="s">
        <v>2367</v>
      </c>
      <c r="B975" s="219" t="s">
        <v>766</v>
      </c>
      <c r="C975" s="30"/>
      <c r="D975" s="30" t="str">
        <f>VLOOKUP(B975, 'RM &amp; SF'!B:C, 2, 0)</f>
        <v>تتبيلة المركزية</v>
      </c>
      <c r="E975" s="30" t="s">
        <v>3058</v>
      </c>
      <c r="F975" s="110">
        <v>4045</v>
      </c>
      <c r="G975" s="30" t="str">
        <f>VLOOKUP(F975, 'RM &amp; SF'!B:C, 2, 0)</f>
        <v>معجون الطماطم 1375 غم*****</v>
      </c>
      <c r="H975" s="30">
        <v>4000</v>
      </c>
      <c r="I975" s="30" t="str">
        <f>VLOOKUP(F975, 'RM &amp; SF'!B:H, 4, 0)</f>
        <v>غم</v>
      </c>
      <c r="J975" s="90">
        <f t="shared" si="93"/>
        <v>140.35087719298247</v>
      </c>
      <c r="K975" s="91">
        <f>VLOOKUP(F975, 'RM &amp; SF'!B:H, 7, 0)</f>
        <v>1.3665999999999999E-3</v>
      </c>
      <c r="L975" s="92">
        <f t="shared" si="92"/>
        <v>0.19180350877192984</v>
      </c>
      <c r="M975" s="30" t="s">
        <v>813</v>
      </c>
    </row>
    <row r="976" spans="1:13" ht="14">
      <c r="A976" s="88" t="s">
        <v>2367</v>
      </c>
      <c r="B976" s="219" t="s">
        <v>766</v>
      </c>
      <c r="C976" s="30"/>
      <c r="D976" s="30" t="str">
        <f>VLOOKUP(B976, 'RM &amp; SF'!B:C, 2, 0)</f>
        <v>تتبيلة المركزية</v>
      </c>
      <c r="E976" s="30" t="s">
        <v>3058</v>
      </c>
      <c r="F976" s="110">
        <v>4001</v>
      </c>
      <c r="G976" s="30" t="str">
        <f>VLOOKUP(F976, 'RM &amp; SF'!B:C, 2, 0)</f>
        <v>خل تفاح 4 لتر*****</v>
      </c>
      <c r="H976" s="30">
        <v>6000</v>
      </c>
      <c r="I976" s="30" t="str">
        <f>VLOOKUP(F976, 'RM &amp; SF'!B:H, 4, 0)</f>
        <v>مل</v>
      </c>
      <c r="J976" s="90">
        <f t="shared" si="93"/>
        <v>210.52631578947367</v>
      </c>
      <c r="K976" s="91">
        <f>VLOOKUP(F976, 'RM &amp; SF'!B:H, 7, 0)</f>
        <v>4.3100000000000001E-4</v>
      </c>
      <c r="L976" s="92">
        <f t="shared" si="92"/>
        <v>9.0736842105263157E-2</v>
      </c>
      <c r="M976" s="30" t="s">
        <v>813</v>
      </c>
    </row>
    <row r="977" spans="1:13" ht="14">
      <c r="A977" s="88" t="s">
        <v>2367</v>
      </c>
      <c r="B977" s="219" t="s">
        <v>766</v>
      </c>
      <c r="C977" s="30"/>
      <c r="D977" s="30" t="str">
        <f>VLOOKUP(B977, 'RM &amp; SF'!B:C, 2, 0)</f>
        <v>تتبيلة المركزية</v>
      </c>
      <c r="E977" s="30" t="s">
        <v>2260</v>
      </c>
      <c r="F977" s="110">
        <v>4160</v>
      </c>
      <c r="G977" s="30" t="str">
        <f>VLOOKUP(F977, 'RM &amp; SF'!B:C, 2, 0)</f>
        <v>زيت صويا 18 لتر*****</v>
      </c>
      <c r="H977" s="30">
        <v>1000</v>
      </c>
      <c r="I977" s="30" t="str">
        <f>VLOOKUP(F977, 'RM &amp; SF'!B:H, 4, 0)</f>
        <v>مل</v>
      </c>
      <c r="J977" s="90">
        <f t="shared" si="93"/>
        <v>35.087719298245617</v>
      </c>
      <c r="K977" s="91">
        <f>VLOOKUP(F977, 'RM &amp; SF'!B:H, 7, 0)</f>
        <v>1.335E-3</v>
      </c>
      <c r="L977" s="92">
        <f t="shared" si="92"/>
        <v>4.68421052631579E-2</v>
      </c>
      <c r="M977" s="30" t="s">
        <v>813</v>
      </c>
    </row>
    <row r="978" spans="1:13" ht="14">
      <c r="A978" s="88" t="s">
        <v>2367</v>
      </c>
      <c r="B978" s="219" t="s">
        <v>766</v>
      </c>
      <c r="C978" s="30"/>
      <c r="D978" s="30" t="str">
        <f>VLOOKUP(B978, 'RM &amp; SF'!B:C, 2, 0)</f>
        <v>تتبيلة المركزية</v>
      </c>
      <c r="E978" s="30" t="s">
        <v>3058</v>
      </c>
      <c r="F978" s="110">
        <v>5381</v>
      </c>
      <c r="G978" s="30" t="str">
        <f>VLOOKUP(F978, 'RM &amp; SF'!B:C, 2, 0)</f>
        <v>بهارات المركزية</v>
      </c>
      <c r="H978" s="30">
        <v>10000</v>
      </c>
      <c r="I978" s="30" t="str">
        <f>VLOOKUP(F978, 'RM &amp; SF'!B:H, 4, 0)</f>
        <v>غم</v>
      </c>
      <c r="J978" s="90">
        <f t="shared" si="93"/>
        <v>350.87719298245617</v>
      </c>
      <c r="K978" s="91">
        <f>VLOOKUP(F978, 'RM &amp; SF'!B:H, 7, 0)</f>
        <v>3.088E-3</v>
      </c>
      <c r="L978" s="92">
        <f t="shared" si="92"/>
        <v>1.0835087719298246</v>
      </c>
      <c r="M978" s="30" t="s">
        <v>813</v>
      </c>
    </row>
    <row r="979" spans="1:13" ht="14">
      <c r="A979" s="88" t="s">
        <v>2437</v>
      </c>
      <c r="B979" s="219" t="s">
        <v>688</v>
      </c>
      <c r="C979" s="30"/>
      <c r="D979" s="30" t="str">
        <f>VLOOKUP(B979, 'RM &amp; SF'!B:C, 2, 0)</f>
        <v>دوالي محشي</v>
      </c>
      <c r="E979" s="30" t="s">
        <v>3058</v>
      </c>
      <c r="F979" s="110">
        <v>4081</v>
      </c>
      <c r="G979" s="30" t="str">
        <f>VLOOKUP(F979, 'RM &amp; SF'!B:C, 2, 0)</f>
        <v>ورق عنب 908 غم*****</v>
      </c>
      <c r="H979" s="30">
        <v>12</v>
      </c>
      <c r="I979" s="30" t="str">
        <f>VLOOKUP(F979, 'RM &amp; SF'!B:H, 4, 0)</f>
        <v>غم</v>
      </c>
      <c r="J979" s="90">
        <v>12</v>
      </c>
      <c r="K979" s="91">
        <f>VLOOKUP(F979, 'RM &amp; SF'!B:H, 7, 0)</f>
        <v>2.922907488986784E-3</v>
      </c>
      <c r="L979" s="92">
        <f t="shared" si="92"/>
        <v>3.5074889867841408E-2</v>
      </c>
      <c r="M979" s="30" t="s">
        <v>813</v>
      </c>
    </row>
    <row r="980" spans="1:13" ht="14">
      <c r="A980" s="88" t="s">
        <v>2437</v>
      </c>
      <c r="B980" s="219" t="s">
        <v>688</v>
      </c>
      <c r="C980" s="30"/>
      <c r="D980" s="30" t="str">
        <f>VLOOKUP(B980, 'RM &amp; SF'!B:C, 2, 0)</f>
        <v>دوالي محشي</v>
      </c>
      <c r="E980" s="30" t="s">
        <v>2332</v>
      </c>
      <c r="F980" s="110" t="s">
        <v>644</v>
      </c>
      <c r="G980" s="30" t="str">
        <f>VLOOKUP(F980, 'RM &amp; SF'!B:C, 2, 0)</f>
        <v xml:space="preserve">حشوة ورق العنب </v>
      </c>
      <c r="H980" s="30">
        <v>10</v>
      </c>
      <c r="I980" s="30" t="str">
        <f>VLOOKUP(F980, 'RM &amp; SF'!B:H, 4, 0)</f>
        <v>غم</v>
      </c>
      <c r="J980" s="90">
        <v>10</v>
      </c>
      <c r="K980" s="91">
        <f>VLOOKUP(F980, 'RM &amp; SF'!B:H, 7, 0)</f>
        <v>3.2061107692307688E-3</v>
      </c>
      <c r="L980" s="92">
        <f t="shared" si="92"/>
        <v>3.2061107692307689E-2</v>
      </c>
      <c r="M980" s="30" t="s">
        <v>813</v>
      </c>
    </row>
    <row r="981" spans="1:13" ht="14">
      <c r="A981" s="88" t="s">
        <v>2436</v>
      </c>
      <c r="B981" s="219" t="s">
        <v>692</v>
      </c>
      <c r="C981" s="30"/>
      <c r="D981" s="30" t="str">
        <f>VLOOKUP(B981, 'RM &amp; SF'!B:C, 2, 0)</f>
        <v xml:space="preserve">باذنجان محشي </v>
      </c>
      <c r="E981" s="30" t="s">
        <v>3058</v>
      </c>
      <c r="F981" s="110">
        <v>4496</v>
      </c>
      <c r="G981" s="30" t="str">
        <f>VLOOKUP(F981, 'RM &amp; SF'!B:C, 2, 0)</f>
        <v>باذنجان (اسود) بيبي*****</v>
      </c>
      <c r="H981" s="30">
        <v>40</v>
      </c>
      <c r="I981" s="30" t="str">
        <f>VLOOKUP(F981, 'RM &amp; SF'!B:H, 4, 0)</f>
        <v>غم</v>
      </c>
      <c r="J981" s="90">
        <f>H981</f>
        <v>40</v>
      </c>
      <c r="K981" s="91">
        <f>VLOOKUP(F981, 'RM &amp; SF'!B:H, 7, 0)</f>
        <v>1.25E-3</v>
      </c>
      <c r="L981" s="92">
        <f t="shared" si="92"/>
        <v>0.05</v>
      </c>
      <c r="M981" s="30" t="s">
        <v>813</v>
      </c>
    </row>
    <row r="982" spans="1:13" ht="14">
      <c r="A982" s="88" t="s">
        <v>2436</v>
      </c>
      <c r="B982" s="219" t="s">
        <v>692</v>
      </c>
      <c r="C982" s="30"/>
      <c r="D982" s="30" t="str">
        <f>VLOOKUP(B982, 'RM &amp; SF'!B:C, 2, 0)</f>
        <v xml:space="preserve">باذنجان محشي </v>
      </c>
      <c r="E982" s="30" t="s">
        <v>2332</v>
      </c>
      <c r="F982" s="110" t="s">
        <v>644</v>
      </c>
      <c r="G982" s="30" t="str">
        <f>VLOOKUP(F982, 'RM &amp; SF'!B:C, 2, 0)</f>
        <v xml:space="preserve">حشوة ورق العنب </v>
      </c>
      <c r="H982" s="30">
        <v>15</v>
      </c>
      <c r="I982" s="30" t="str">
        <f>VLOOKUP(F982, 'RM &amp; SF'!B:H, 4, 0)</f>
        <v>غم</v>
      </c>
      <c r="J982" s="90">
        <f>H982</f>
        <v>15</v>
      </c>
      <c r="K982" s="91">
        <f>VLOOKUP(F982, 'RM &amp; SF'!B:H, 7, 0)</f>
        <v>3.2061107692307688E-3</v>
      </c>
      <c r="L982" s="92">
        <f t="shared" si="92"/>
        <v>4.8091661538461533E-2</v>
      </c>
      <c r="M982" s="30" t="s">
        <v>813</v>
      </c>
    </row>
    <row r="983" spans="1:13" ht="14">
      <c r="A983" s="88" t="s">
        <v>2369</v>
      </c>
      <c r="B983" s="188" t="s">
        <v>770</v>
      </c>
      <c r="C983" s="30"/>
      <c r="D983" s="30" t="str">
        <f>VLOOKUP(B983, 'RM &amp; SF'!B:C, 2, 0)</f>
        <v>ضربة دولمة</v>
      </c>
      <c r="E983" s="30" t="s">
        <v>2203</v>
      </c>
      <c r="F983" s="110">
        <v>4152</v>
      </c>
      <c r="G983" s="30" t="str">
        <f>VLOOKUP(F983, 'RM &amp; SF'!B:C, 2, 0)</f>
        <v>ملح طعام 750غم*****</v>
      </c>
      <c r="H983" s="30">
        <v>50</v>
      </c>
      <c r="I983" s="30" t="str">
        <f>VLOOKUP(F983, 'RM &amp; SF'!B:H, 4, 0)</f>
        <v>غم</v>
      </c>
      <c r="J983" s="90">
        <f t="shared" ref="J983:J992" si="94">H983/11</f>
        <v>4.5454545454545459</v>
      </c>
      <c r="K983" s="91">
        <f>VLOOKUP(F983, 'RM &amp; SF'!B:H, 7, 0)</f>
        <v>1.7066666666666665E-4</v>
      </c>
      <c r="L983" s="92">
        <f t="shared" si="92"/>
        <v>7.757575757575757E-4</v>
      </c>
      <c r="M983" s="30" t="s">
        <v>813</v>
      </c>
    </row>
    <row r="984" spans="1:13" ht="14">
      <c r="A984" s="88" t="s">
        <v>2369</v>
      </c>
      <c r="B984" s="188" t="s">
        <v>770</v>
      </c>
      <c r="C984" s="30"/>
      <c r="D984" s="30" t="str">
        <f>VLOOKUP(B984, 'RM &amp; SF'!B:C, 2, 0)</f>
        <v>ضربة دولمة</v>
      </c>
      <c r="E984" s="30" t="s">
        <v>2229</v>
      </c>
      <c r="F984" s="110">
        <v>4494</v>
      </c>
      <c r="G984" s="30" t="str">
        <f>VLOOKUP(F984, 'RM &amp; SF'!B:C, 2, 0)</f>
        <v>باذنجان (اسود) كلاسك*****</v>
      </c>
      <c r="H984" s="30">
        <v>2000</v>
      </c>
      <c r="I984" s="30" t="str">
        <f>VLOOKUP(F984, 'RM &amp; SF'!B:H, 4, 0)</f>
        <v>غم</v>
      </c>
      <c r="J984" s="90">
        <f t="shared" si="94"/>
        <v>181.81818181818181</v>
      </c>
      <c r="K984" s="91">
        <f>VLOOKUP(F984, 'RM &amp; SF'!B:H, 7, 0)</f>
        <v>4.4999999999999999E-4</v>
      </c>
      <c r="L984" s="92">
        <f t="shared" si="92"/>
        <v>8.1818181818181818E-2</v>
      </c>
      <c r="M984" s="30" t="s">
        <v>813</v>
      </c>
    </row>
    <row r="985" spans="1:13" ht="14">
      <c r="A985" s="88" t="s">
        <v>2369</v>
      </c>
      <c r="B985" s="188" t="s">
        <v>770</v>
      </c>
      <c r="C985" s="30"/>
      <c r="D985" s="30" t="str">
        <f>VLOOKUP(B985, 'RM &amp; SF'!B:C, 2, 0)</f>
        <v>ضربة دولمة</v>
      </c>
      <c r="E985" s="30" t="s">
        <v>3058</v>
      </c>
      <c r="F985" s="110">
        <v>4045</v>
      </c>
      <c r="G985" s="30" t="str">
        <f>VLOOKUP(F985, 'RM &amp; SF'!B:C, 2, 0)</f>
        <v>معجون الطماطم 1375 غم*****</v>
      </c>
      <c r="H985" s="30">
        <v>700</v>
      </c>
      <c r="I985" s="30" t="str">
        <f>VLOOKUP(F985, 'RM &amp; SF'!B:H, 4, 0)</f>
        <v>غم</v>
      </c>
      <c r="J985" s="90">
        <f t="shared" si="94"/>
        <v>63.636363636363633</v>
      </c>
      <c r="K985" s="91">
        <f>VLOOKUP(F985, 'RM &amp; SF'!B:H, 7, 0)</f>
        <v>1.3665999999999999E-3</v>
      </c>
      <c r="L985" s="92">
        <f t="shared" si="92"/>
        <v>8.696545454545454E-2</v>
      </c>
      <c r="M985" s="30" t="s">
        <v>813</v>
      </c>
    </row>
    <row r="986" spans="1:13" ht="14">
      <c r="A986" s="88" t="s">
        <v>2369</v>
      </c>
      <c r="B986" s="188" t="s">
        <v>770</v>
      </c>
      <c r="C986" s="30"/>
      <c r="D986" s="30" t="str">
        <f>VLOOKUP(B986, 'RM &amp; SF'!B:C, 2, 0)</f>
        <v>ضربة دولمة</v>
      </c>
      <c r="E986" s="30" t="s">
        <v>3058</v>
      </c>
      <c r="F986" s="110">
        <v>4081</v>
      </c>
      <c r="G986" s="30" t="str">
        <f>VLOOKUP(F986, 'RM &amp; SF'!B:C, 2, 0)</f>
        <v>ورق عنب 908 غم*****</v>
      </c>
      <c r="H986" s="30">
        <v>1816</v>
      </c>
      <c r="I986" s="30" t="str">
        <f>VLOOKUP(F986, 'RM &amp; SF'!B:H, 4, 0)</f>
        <v>غم</v>
      </c>
      <c r="J986" s="90">
        <f t="shared" si="94"/>
        <v>165.09090909090909</v>
      </c>
      <c r="K986" s="91">
        <f>VLOOKUP(F986, 'RM &amp; SF'!B:H, 7, 0)</f>
        <v>2.922907488986784E-3</v>
      </c>
      <c r="L986" s="92">
        <f t="shared" si="92"/>
        <v>0.4825454545454545</v>
      </c>
      <c r="M986" s="30" t="s">
        <v>813</v>
      </c>
    </row>
    <row r="987" spans="1:13" ht="14">
      <c r="A987" s="88" t="s">
        <v>2369</v>
      </c>
      <c r="B987" s="188" t="s">
        <v>770</v>
      </c>
      <c r="C987" s="30"/>
      <c r="D987" s="30" t="str">
        <f>VLOOKUP(B987, 'RM &amp; SF'!B:C, 2, 0)</f>
        <v>ضربة دولمة</v>
      </c>
      <c r="E987" s="30" t="s">
        <v>2234</v>
      </c>
      <c r="F987" s="110">
        <v>4503</v>
      </c>
      <c r="G987" s="30" t="str">
        <f>VLOOKUP(F987, 'RM &amp; SF'!B:C, 2, 0)</f>
        <v>بصل ناشف دفش*****</v>
      </c>
      <c r="H987" s="30">
        <v>2400</v>
      </c>
      <c r="I987" s="30" t="str">
        <f>VLOOKUP(F987, 'RM &amp; SF'!B:H, 4, 0)</f>
        <v>غم</v>
      </c>
      <c r="J987" s="90">
        <f t="shared" si="94"/>
        <v>218.18181818181819</v>
      </c>
      <c r="K987" s="91">
        <f>VLOOKUP(F987, 'RM &amp; SF'!B:H, 7, 0)</f>
        <v>2.5000000000000001E-4</v>
      </c>
      <c r="L987" s="92">
        <f t="shared" si="92"/>
        <v>5.454545454545455E-2</v>
      </c>
      <c r="M987" s="30" t="s">
        <v>813</v>
      </c>
    </row>
    <row r="988" spans="1:13" ht="14">
      <c r="A988" s="88" t="s">
        <v>2369</v>
      </c>
      <c r="B988" s="188" t="s">
        <v>770</v>
      </c>
      <c r="C988" s="30"/>
      <c r="D988" s="30" t="str">
        <f>VLOOKUP(B988, 'RM &amp; SF'!B:C, 2, 0)</f>
        <v>ضربة دولمة</v>
      </c>
      <c r="E988" s="30" t="s">
        <v>2309</v>
      </c>
      <c r="F988" s="110">
        <v>4491</v>
      </c>
      <c r="G988" s="30" t="str">
        <f>VLOOKUP(F988, 'RM &amp; SF'!B:C, 2, 0)</f>
        <v>بندورة جامدة*****</v>
      </c>
      <c r="H988" s="30">
        <v>1000</v>
      </c>
      <c r="I988" s="30" t="str">
        <f>VLOOKUP(F988, 'RM &amp; SF'!B:H, 4, 0)</f>
        <v>غم</v>
      </c>
      <c r="J988" s="90">
        <f t="shared" si="94"/>
        <v>90.909090909090907</v>
      </c>
      <c r="K988" s="91">
        <f>VLOOKUP(F988, 'RM &amp; SF'!B:H, 7, 0)</f>
        <v>5.0000000000000001E-4</v>
      </c>
      <c r="L988" s="92">
        <f t="shared" si="92"/>
        <v>4.5454545454545456E-2</v>
      </c>
      <c r="M988" s="30" t="s">
        <v>813</v>
      </c>
    </row>
    <row r="989" spans="1:13" ht="14">
      <c r="A989" s="88" t="s">
        <v>2369</v>
      </c>
      <c r="B989" s="188" t="s">
        <v>770</v>
      </c>
      <c r="C989" s="30"/>
      <c r="D989" s="30" t="str">
        <f>VLOOKUP(B989, 'RM &amp; SF'!B:C, 2, 0)</f>
        <v>ضربة دولمة</v>
      </c>
      <c r="E989" s="30" t="s">
        <v>2230</v>
      </c>
      <c r="F989" s="110">
        <v>4497</v>
      </c>
      <c r="G989" s="30" t="str">
        <f>VLOOKUP(F989, 'RM &amp; SF'!B:C, 2, 0)</f>
        <v>بطاطا*****</v>
      </c>
      <c r="H989" s="30">
        <v>500</v>
      </c>
      <c r="I989" s="30" t="str">
        <f>VLOOKUP(F989, 'RM &amp; SF'!B:H, 4, 0)</f>
        <v>غم</v>
      </c>
      <c r="J989" s="90">
        <f t="shared" si="94"/>
        <v>45.454545454545453</v>
      </c>
      <c r="K989" s="91">
        <f>VLOOKUP(F989, 'RM &amp; SF'!B:H, 7, 0)</f>
        <v>4.0000000000000002E-4</v>
      </c>
      <c r="L989" s="92">
        <f t="shared" si="92"/>
        <v>1.8181818181818181E-2</v>
      </c>
      <c r="M989" s="30" t="s">
        <v>813</v>
      </c>
    </row>
    <row r="990" spans="1:13" ht="14">
      <c r="A990" s="88" t="s">
        <v>2369</v>
      </c>
      <c r="B990" s="188" t="s">
        <v>770</v>
      </c>
      <c r="C990" s="30"/>
      <c r="D990" s="30" t="str">
        <f>VLOOKUP(B990, 'RM &amp; SF'!B:C, 2, 0)</f>
        <v>ضربة دولمة</v>
      </c>
      <c r="E990" s="30" t="s">
        <v>3058</v>
      </c>
      <c r="F990" s="110">
        <v>4606</v>
      </c>
      <c r="G990" s="30" t="str">
        <f>VLOOKUP(F990, 'RM &amp; SF'!B:C, 2, 0)</f>
        <v>أضلاع خروف (قص خروف) مع عظم*****</v>
      </c>
      <c r="H990" s="30">
        <v>3000</v>
      </c>
      <c r="I990" s="30" t="str">
        <f>VLOOKUP(F990, 'RM &amp; SF'!B:H, 4, 0)</f>
        <v>غم</v>
      </c>
      <c r="J990" s="90">
        <f t="shared" si="94"/>
        <v>272.72727272727275</v>
      </c>
      <c r="K990" s="91">
        <f>VLOOKUP(F990, 'RM &amp; SF'!B:H, 7, 0)</f>
        <v>1.0500000000000001E-2</v>
      </c>
      <c r="L990" s="92">
        <f t="shared" si="92"/>
        <v>2.8636363636363642</v>
      </c>
      <c r="M990" s="30" t="s">
        <v>813</v>
      </c>
    </row>
    <row r="991" spans="1:13" ht="14">
      <c r="A991" s="88" t="s">
        <v>2369</v>
      </c>
      <c r="B991" s="188" t="s">
        <v>770</v>
      </c>
      <c r="C991" s="30"/>
      <c r="D991" s="30" t="str">
        <f>VLOOKUP(B991, 'RM &amp; SF'!B:C, 2, 0)</f>
        <v>ضربة دولمة</v>
      </c>
      <c r="E991" s="30" t="s">
        <v>2246</v>
      </c>
      <c r="F991" s="110">
        <v>4524</v>
      </c>
      <c r="G991" s="30" t="str">
        <f>VLOOKUP(F991, 'RM &amp; SF'!B:C, 2, 0)</f>
        <v>كوسا*****</v>
      </c>
      <c r="H991" s="30">
        <v>2000</v>
      </c>
      <c r="I991" s="30" t="str">
        <f>VLOOKUP(F991, 'RM &amp; SF'!B:H, 4, 0)</f>
        <v>غم</v>
      </c>
      <c r="J991" s="90">
        <f t="shared" si="94"/>
        <v>181.81818181818181</v>
      </c>
      <c r="K991" s="91">
        <f>VLOOKUP(F991, 'RM &amp; SF'!B:H, 7, 0)</f>
        <v>6.4999999999999997E-4</v>
      </c>
      <c r="L991" s="92">
        <f t="shared" si="92"/>
        <v>0.11818181818181818</v>
      </c>
      <c r="M991" s="30" t="s">
        <v>813</v>
      </c>
    </row>
    <row r="992" spans="1:13" ht="14">
      <c r="A992" s="88" t="s">
        <v>2369</v>
      </c>
      <c r="B992" s="188" t="s">
        <v>770</v>
      </c>
      <c r="C992" s="30"/>
      <c r="D992" s="30" t="str">
        <f>VLOOKUP(B992, 'RM &amp; SF'!B:C, 2, 0)</f>
        <v>ضربة دولمة</v>
      </c>
      <c r="E992" s="30" t="s">
        <v>2213</v>
      </c>
      <c r="F992" s="110">
        <v>4218</v>
      </c>
      <c r="G992" s="30" t="str">
        <f>VLOOKUP(F992, 'RM &amp; SF'!B:C, 2, 0)</f>
        <v>بهارات مشكلة*****</v>
      </c>
      <c r="H992" s="30">
        <v>25</v>
      </c>
      <c r="I992" s="30" t="str">
        <f>VLOOKUP(F992, 'RM &amp; SF'!B:H, 4, 0)</f>
        <v>غم</v>
      </c>
      <c r="J992" s="90">
        <f t="shared" si="94"/>
        <v>2.2727272727272729</v>
      </c>
      <c r="K992" s="91">
        <f>VLOOKUP(F992, 'RM &amp; SF'!B:H, 7, 0)</f>
        <v>3.0169999999999997E-3</v>
      </c>
      <c r="L992" s="92">
        <f t="shared" si="92"/>
        <v>6.8568181818181818E-3</v>
      </c>
      <c r="M992" s="30" t="s">
        <v>813</v>
      </c>
    </row>
    <row r="993" spans="1:16" ht="14">
      <c r="A993" s="88" t="s">
        <v>3193</v>
      </c>
      <c r="B993" s="188" t="s">
        <v>772</v>
      </c>
      <c r="C993" s="30"/>
      <c r="D993" s="30" t="str">
        <f>VLOOKUP(B993, 'RM &amp; SF'!B:C, 2, 0)</f>
        <v>حشوة طحالات</v>
      </c>
      <c r="E993" s="30" t="s">
        <v>2209</v>
      </c>
      <c r="F993" s="110">
        <v>4546</v>
      </c>
      <c r="G993" s="30" t="str">
        <f>VLOOKUP(F993, 'RM &amp; SF'!B:C, 2, 0)</f>
        <v>كزبرة*****</v>
      </c>
      <c r="H993" s="30">
        <v>1</v>
      </c>
      <c r="I993" s="30" t="str">
        <f>VLOOKUP(F993, 'RM &amp; SF'!B:H, 4, 0)</f>
        <v>قطعة</v>
      </c>
      <c r="J993" s="90">
        <f t="shared" ref="J993:J998" si="95">H993/0.98</f>
        <v>1.0204081632653061</v>
      </c>
      <c r="K993" s="91">
        <f>VLOOKUP(F993, 'RM &amp; SF'!B:H, 7, 0)</f>
        <v>1E-3</v>
      </c>
      <c r="L993" s="92">
        <f t="shared" si="92"/>
        <v>1.0204081632653062E-3</v>
      </c>
      <c r="M993" s="30" t="s">
        <v>813</v>
      </c>
      <c r="P993" s="88" t="s">
        <v>2156</v>
      </c>
    </row>
    <row r="994" spans="1:16" ht="14">
      <c r="A994" s="88" t="s">
        <v>3193</v>
      </c>
      <c r="B994" s="188" t="s">
        <v>772</v>
      </c>
      <c r="C994" s="30"/>
      <c r="D994" s="30" t="str">
        <f>VLOOKUP(B994, 'RM &amp; SF'!B:C, 2, 0)</f>
        <v>حشوة طحالات</v>
      </c>
      <c r="E994" s="30" t="s">
        <v>2253</v>
      </c>
      <c r="F994" s="110">
        <v>4547</v>
      </c>
      <c r="G994" s="30" t="str">
        <f>VLOOKUP(F994, 'RM &amp; SF'!B:C, 2, 0)</f>
        <v>نعنع*****</v>
      </c>
      <c r="H994" s="30">
        <v>0.3</v>
      </c>
      <c r="I994" s="30" t="str">
        <f>VLOOKUP(F994, 'RM &amp; SF'!B:H, 4, 0)</f>
        <v>غم</v>
      </c>
      <c r="J994" s="90">
        <f t="shared" si="95"/>
        <v>0.30612244897959184</v>
      </c>
      <c r="K994" s="91">
        <f>VLOOKUP(F994, 'RM &amp; SF'!B:H, 7, 0)</f>
        <v>7.5000000000000002E-4</v>
      </c>
      <c r="L994" s="92">
        <f t="shared" si="92"/>
        <v>2.2959183673469389E-4</v>
      </c>
      <c r="M994" s="30" t="s">
        <v>813</v>
      </c>
      <c r="P994" s="88" t="s">
        <v>2156</v>
      </c>
    </row>
    <row r="995" spans="1:16" ht="14">
      <c r="A995" s="88" t="s">
        <v>3193</v>
      </c>
      <c r="B995" s="188" t="s">
        <v>772</v>
      </c>
      <c r="C995" s="30"/>
      <c r="D995" s="30" t="str">
        <f>VLOOKUP(B995, 'RM &amp; SF'!B:C, 2, 0)</f>
        <v>حشوة طحالات</v>
      </c>
      <c r="E995" s="30" t="s">
        <v>2309</v>
      </c>
      <c r="F995" s="110">
        <v>4491</v>
      </c>
      <c r="G995" s="30" t="str">
        <f>VLOOKUP(F995, 'RM &amp; SF'!B:C, 2, 0)</f>
        <v>بندورة جامدة*****</v>
      </c>
      <c r="H995" s="30">
        <v>300</v>
      </c>
      <c r="I995" s="30" t="str">
        <f>VLOOKUP(F995, 'RM &amp; SF'!B:H, 4, 0)</f>
        <v>غم</v>
      </c>
      <c r="J995" s="90">
        <f t="shared" si="95"/>
        <v>306.12244897959187</v>
      </c>
      <c r="K995" s="91">
        <f>VLOOKUP(F995, 'RM &amp; SF'!B:H, 7, 0)</f>
        <v>5.0000000000000001E-4</v>
      </c>
      <c r="L995" s="92">
        <f t="shared" si="92"/>
        <v>0.15306122448979595</v>
      </c>
      <c r="M995" s="30" t="s">
        <v>813</v>
      </c>
      <c r="P995" s="88" t="s">
        <v>2156</v>
      </c>
    </row>
    <row r="996" spans="1:16" ht="14">
      <c r="A996" s="88" t="s">
        <v>3193</v>
      </c>
      <c r="B996" s="188" t="s">
        <v>772</v>
      </c>
      <c r="C996" s="30"/>
      <c r="D996" s="30" t="str">
        <f>VLOOKUP(B996, 'RM &amp; SF'!B:C, 2, 0)</f>
        <v>حشوة طحالات</v>
      </c>
      <c r="E996" s="30" t="s">
        <v>2234</v>
      </c>
      <c r="F996" s="110">
        <v>4503</v>
      </c>
      <c r="G996" s="30" t="str">
        <f>VLOOKUP(F996, 'RM &amp; SF'!B:C, 2, 0)</f>
        <v>بصل ناشف دفش*****</v>
      </c>
      <c r="H996" s="30">
        <v>250</v>
      </c>
      <c r="I996" s="30" t="str">
        <f>VLOOKUP(F996, 'RM &amp; SF'!B:H, 4, 0)</f>
        <v>غم</v>
      </c>
      <c r="J996" s="90">
        <f t="shared" si="95"/>
        <v>255.10204081632654</v>
      </c>
      <c r="K996" s="91">
        <f>VLOOKUP(F996, 'RM &amp; SF'!B:H, 7, 0)</f>
        <v>2.5000000000000001E-4</v>
      </c>
      <c r="L996" s="92">
        <f t="shared" si="92"/>
        <v>6.3775510204081634E-2</v>
      </c>
      <c r="M996" s="30" t="s">
        <v>813</v>
      </c>
      <c r="P996" s="88" t="s">
        <v>2156</v>
      </c>
    </row>
    <row r="997" spans="1:16" ht="14">
      <c r="A997" s="88" t="s">
        <v>3193</v>
      </c>
      <c r="B997" s="188" t="s">
        <v>772</v>
      </c>
      <c r="C997" s="30"/>
      <c r="D997" s="30" t="str">
        <f>VLOOKUP(B997, 'RM &amp; SF'!B:C, 2, 0)</f>
        <v>حشوة طحالات</v>
      </c>
      <c r="E997" s="30" t="s">
        <v>3058</v>
      </c>
      <c r="F997" s="110">
        <v>4490</v>
      </c>
      <c r="G997" s="30" t="str">
        <f>VLOOKUP(F997, 'RM &amp; SF'!B:C, 2, 0)</f>
        <v>شطة جامدة 10 كغ*****</v>
      </c>
      <c r="H997" s="30">
        <v>150</v>
      </c>
      <c r="I997" s="30" t="str">
        <f>VLOOKUP(F997, 'RM &amp; SF'!B:H, 4, 0)</f>
        <v>غم</v>
      </c>
      <c r="J997" s="90">
        <f t="shared" si="95"/>
        <v>153.06122448979593</v>
      </c>
      <c r="K997" s="91">
        <f>VLOOKUP(F997, 'RM &amp; SF'!B:H, 7, 0)</f>
        <v>1E-3</v>
      </c>
      <c r="L997" s="92">
        <f t="shared" si="92"/>
        <v>0.15306122448979595</v>
      </c>
      <c r="M997" s="30" t="s">
        <v>813</v>
      </c>
      <c r="P997" s="88" t="s">
        <v>2156</v>
      </c>
    </row>
    <row r="998" spans="1:16" ht="14">
      <c r="A998" s="88" t="s">
        <v>3193</v>
      </c>
      <c r="B998" s="188" t="s">
        <v>772</v>
      </c>
      <c r="C998" s="30"/>
      <c r="D998" s="30" t="str">
        <f>VLOOKUP(B998, 'RM &amp; SF'!B:C, 2, 0)</f>
        <v>حشوة طحالات</v>
      </c>
      <c r="E998" s="30" t="s">
        <v>2357</v>
      </c>
      <c r="F998" s="110" t="s">
        <v>744</v>
      </c>
      <c r="G998" s="30" t="str">
        <f>VLOOKUP(F998, 'RM &amp; SF'!B:C, 2, 0)</f>
        <v>زيت زيتون مكسور</v>
      </c>
      <c r="H998" s="30">
        <v>150</v>
      </c>
      <c r="I998" s="30" t="str">
        <f>VLOOKUP(F998, 'RM &amp; SF'!B:H, 4, 0)</f>
        <v>غم</v>
      </c>
      <c r="J998" s="90">
        <f t="shared" si="95"/>
        <v>153.06122448979593</v>
      </c>
      <c r="K998" s="91">
        <f>VLOOKUP(F998, 'RM &amp; SF'!B:H, 7, 0)</f>
        <v>3.3899999999999998E-3</v>
      </c>
      <c r="L998" s="92">
        <f t="shared" si="92"/>
        <v>0.51887755102040822</v>
      </c>
      <c r="M998" s="30" t="s">
        <v>813</v>
      </c>
      <c r="P998" s="88" t="s">
        <v>2156</v>
      </c>
    </row>
    <row r="999" spans="1:16" ht="14">
      <c r="A999" s="88" t="s">
        <v>3194</v>
      </c>
      <c r="B999" s="188" t="s">
        <v>776</v>
      </c>
      <c r="C999" s="30"/>
      <c r="D999" s="30" t="str">
        <f>VLOOKUP(B999, 'RM &amp; SF'!B:C, 2, 0)</f>
        <v>ضربة مهلبية</v>
      </c>
      <c r="E999" s="30" t="s">
        <v>2290</v>
      </c>
      <c r="F999" s="110">
        <v>4554</v>
      </c>
      <c r="G999" s="30" t="str">
        <f>VLOOKUP(F999, 'RM &amp; SF'!B:C, 2, 0)</f>
        <v>حليب طويل الأجل كامل الدسم 1 لتر*****</v>
      </c>
      <c r="H999" s="30">
        <v>4000</v>
      </c>
      <c r="I999" s="30" t="str">
        <f>VLOOKUP(F999, 'RM &amp; SF'!B:H, 4, 0)</f>
        <v>مل</v>
      </c>
      <c r="J999" s="90">
        <f t="shared" ref="J999:J1004" si="96">H999/5</f>
        <v>800</v>
      </c>
      <c r="K999" s="91">
        <f>VLOOKUP(F999, 'RM &amp; SF'!B:H, 7, 0)</f>
        <v>8.0000000000000004E-4</v>
      </c>
      <c r="L999" s="92">
        <f t="shared" si="92"/>
        <v>0.64</v>
      </c>
      <c r="M999" s="30" t="s">
        <v>813</v>
      </c>
    </row>
    <row r="1000" spans="1:16" ht="14">
      <c r="A1000" s="88" t="s">
        <v>3194</v>
      </c>
      <c r="B1000" s="188" t="s">
        <v>776</v>
      </c>
      <c r="C1000" s="30"/>
      <c r="D1000" s="30" t="str">
        <f>VLOOKUP(B1000, 'RM &amp; SF'!B:C, 2, 0)</f>
        <v>ضربة مهلبية</v>
      </c>
      <c r="E1000" s="30" t="s">
        <v>2291</v>
      </c>
      <c r="F1000" s="110">
        <v>4556</v>
      </c>
      <c r="G1000" s="30" t="str">
        <f>VLOOKUP(F1000, 'RM &amp; SF'!B:C, 2, 0)</f>
        <v>كريما طبخ 1 لتر*****</v>
      </c>
      <c r="H1000" s="30">
        <v>1000</v>
      </c>
      <c r="I1000" s="30" t="str">
        <f>VLOOKUP(F1000, 'RM &amp; SF'!B:H, 4, 0)</f>
        <v>مل</v>
      </c>
      <c r="J1000" s="90">
        <f t="shared" si="96"/>
        <v>200</v>
      </c>
      <c r="K1000" s="91">
        <f>VLOOKUP(F1000, 'RM &amp; SF'!B:H, 7, 0)</f>
        <v>2.2269999999999998E-3</v>
      </c>
      <c r="L1000" s="92">
        <f t="shared" si="92"/>
        <v>0.44539999999999996</v>
      </c>
      <c r="M1000" s="30" t="s">
        <v>813</v>
      </c>
    </row>
    <row r="1001" spans="1:16" ht="14">
      <c r="A1001" s="88" t="s">
        <v>3194</v>
      </c>
      <c r="B1001" s="188" t="s">
        <v>776</v>
      </c>
      <c r="C1001" s="30"/>
      <c r="D1001" s="30" t="str">
        <f>VLOOKUP(B1001, 'RM &amp; SF'!B:C, 2, 0)</f>
        <v>ضربة مهلبية</v>
      </c>
      <c r="E1001" s="30" t="s">
        <v>2284</v>
      </c>
      <c r="F1001" s="110">
        <v>5425</v>
      </c>
      <c r="G1001" s="30" t="str">
        <f>VLOOKUP(F1001, 'RM &amp; SF'!B:C, 2, 0)</f>
        <v>سكر عادي</v>
      </c>
      <c r="H1001" s="30">
        <v>800</v>
      </c>
      <c r="I1001" s="30" t="str">
        <f>VLOOKUP(F1001, 'RM &amp; SF'!B:H, 4, 0)</f>
        <v>غم</v>
      </c>
      <c r="J1001" s="90">
        <f t="shared" si="96"/>
        <v>160</v>
      </c>
      <c r="K1001" s="91">
        <f>VLOOKUP(F1001, 'RM &amp; SF'!B:H, 7, 0)</f>
        <v>5.2500000000000008E-4</v>
      </c>
      <c r="L1001" s="92">
        <f t="shared" si="92"/>
        <v>8.4000000000000019E-2</v>
      </c>
      <c r="M1001" s="30" t="s">
        <v>813</v>
      </c>
    </row>
    <row r="1002" spans="1:16" ht="14">
      <c r="A1002" s="88" t="s">
        <v>3194</v>
      </c>
      <c r="B1002" s="188" t="s">
        <v>776</v>
      </c>
      <c r="C1002" s="30"/>
      <c r="D1002" s="30" t="str">
        <f>VLOOKUP(B1002, 'RM &amp; SF'!B:C, 2, 0)</f>
        <v>ضربة مهلبية</v>
      </c>
      <c r="E1002" s="30" t="s">
        <v>3058</v>
      </c>
      <c r="F1002" s="110">
        <v>4145</v>
      </c>
      <c r="G1002" s="30" t="str">
        <f>VLOOKUP(F1002, 'RM &amp; SF'!B:C, 2, 0)</f>
        <v>نشا طعام*****</v>
      </c>
      <c r="H1002" s="30">
        <v>200</v>
      </c>
      <c r="I1002" s="30" t="str">
        <f>VLOOKUP(F1002, 'RM &amp; SF'!B:H, 4, 0)</f>
        <v>غم</v>
      </c>
      <c r="J1002" s="90">
        <f t="shared" si="96"/>
        <v>40</v>
      </c>
      <c r="K1002" s="91">
        <f>VLOOKUP(F1002, 'RM &amp; SF'!B:H, 7, 0)</f>
        <v>4.6551999999999997E-4</v>
      </c>
      <c r="L1002" s="92">
        <f t="shared" si="92"/>
        <v>1.86208E-2</v>
      </c>
      <c r="M1002" s="30" t="s">
        <v>813</v>
      </c>
    </row>
    <row r="1003" spans="1:16" ht="14">
      <c r="A1003" s="88" t="s">
        <v>3194</v>
      </c>
      <c r="B1003" s="188" t="s">
        <v>776</v>
      </c>
      <c r="C1003" s="30"/>
      <c r="D1003" s="30" t="str">
        <f>VLOOKUP(B1003, 'RM &amp; SF'!B:C, 2, 0)</f>
        <v>ضربة مهلبية</v>
      </c>
      <c r="E1003" s="30" t="s">
        <v>3058</v>
      </c>
      <c r="F1003" s="110">
        <v>4202</v>
      </c>
      <c r="G1003" s="30" t="str">
        <f>VLOOKUP(F1003, 'RM &amp; SF'!B:C, 2, 0)</f>
        <v>فانيلا سائلة 1 لتر*****</v>
      </c>
      <c r="H1003" s="30">
        <v>2</v>
      </c>
      <c r="I1003" s="30" t="str">
        <f>VLOOKUP(F1003, 'RM &amp; SF'!B:H, 4, 0)</f>
        <v>مل</v>
      </c>
      <c r="J1003" s="90">
        <f t="shared" si="96"/>
        <v>0.4</v>
      </c>
      <c r="K1003" s="91">
        <f>VLOOKUP(F1003, 'RM &amp; SF'!B:H, 7, 0)</f>
        <v>1.3793100000000001E-2</v>
      </c>
      <c r="L1003" s="92">
        <f t="shared" si="92"/>
        <v>5.5172400000000005E-3</v>
      </c>
      <c r="M1003" s="30" t="s">
        <v>813</v>
      </c>
    </row>
    <row r="1004" spans="1:16" ht="14">
      <c r="A1004" s="88" t="s">
        <v>3194</v>
      </c>
      <c r="B1004" s="188" t="s">
        <v>776</v>
      </c>
      <c r="C1004" s="30"/>
      <c r="D1004" s="30" t="str">
        <f>VLOOKUP(B1004, 'RM &amp; SF'!B:C, 2, 0)</f>
        <v>ضربة مهلبية</v>
      </c>
      <c r="E1004" s="30" t="s">
        <v>3058</v>
      </c>
      <c r="F1004" s="110">
        <v>4065</v>
      </c>
      <c r="G1004" s="30" t="str">
        <f>VLOOKUP(F1004, 'RM &amp; SF'!B:C, 2, 0)</f>
        <v>ماء الزهر (زهر البرتقال) 600 مل*****</v>
      </c>
      <c r="H1004" s="30">
        <v>3</v>
      </c>
      <c r="I1004" s="30" t="str">
        <f>VLOOKUP(F1004, 'RM &amp; SF'!B:H, 4, 0)</f>
        <v>مل</v>
      </c>
      <c r="J1004" s="90">
        <f t="shared" si="96"/>
        <v>0.6</v>
      </c>
      <c r="K1004" s="91">
        <f>VLOOKUP(F1004, 'RM &amp; SF'!B:H, 7, 0)</f>
        <v>3.2026666666666666E-3</v>
      </c>
      <c r="L1004" s="92">
        <f t="shared" si="92"/>
        <v>1.9215999999999999E-3</v>
      </c>
      <c r="M1004" s="30" t="s">
        <v>813</v>
      </c>
    </row>
    <row r="1005" spans="1:16" ht="14">
      <c r="A1005" s="88" t="s">
        <v>2359</v>
      </c>
      <c r="B1005" s="188" t="s">
        <v>750</v>
      </c>
      <c r="C1005" s="30"/>
      <c r="D1005" s="30" t="str">
        <f>VLOOKUP(B1005, 'RM &amp; SF'!B:C, 2, 0)</f>
        <v>زغلول محشي</v>
      </c>
      <c r="E1005" s="30" t="s">
        <v>3058</v>
      </c>
      <c r="F1005" s="110">
        <v>5426</v>
      </c>
      <c r="G1005" s="30" t="str">
        <f>VLOOKUP(F1005, 'RM &amp; SF'!B:C, 2, 0)</f>
        <v>زغلول</v>
      </c>
      <c r="H1005" s="30">
        <v>1</v>
      </c>
      <c r="I1005" s="30" t="str">
        <f>VLOOKUP(F1005, 'RM &amp; SF'!B:H, 4, 0)</f>
        <v>قطعة</v>
      </c>
      <c r="J1005" s="90">
        <f>H1005</f>
        <v>1</v>
      </c>
      <c r="K1005" s="91">
        <f>VLOOKUP(F1005, 'RM &amp; SF'!B:H, 7, 0)</f>
        <v>2</v>
      </c>
      <c r="L1005" s="92">
        <f t="shared" si="92"/>
        <v>2</v>
      </c>
      <c r="M1005" s="30" t="s">
        <v>813</v>
      </c>
    </row>
    <row r="1006" spans="1:16" ht="14">
      <c r="A1006" s="88" t="s">
        <v>2359</v>
      </c>
      <c r="B1006" s="188" t="s">
        <v>750</v>
      </c>
      <c r="C1006" s="30"/>
      <c r="D1006" s="30" t="str">
        <f>VLOOKUP(B1006, 'RM &amp; SF'!B:C, 2, 0)</f>
        <v>زغلول محشي</v>
      </c>
      <c r="E1006" s="30" t="s">
        <v>2332</v>
      </c>
      <c r="F1006" s="110" t="s">
        <v>644</v>
      </c>
      <c r="G1006" s="30" t="str">
        <f>VLOOKUP(F1006, 'RM &amp; SF'!B:C, 2, 0)</f>
        <v xml:space="preserve">حشوة ورق العنب </v>
      </c>
      <c r="H1006" s="30">
        <v>100</v>
      </c>
      <c r="I1006" s="30" t="str">
        <f>VLOOKUP(F1006, 'RM &amp; SF'!B:H, 4, 0)</f>
        <v>غم</v>
      </c>
      <c r="J1006" s="90">
        <f>H1006</f>
        <v>100</v>
      </c>
      <c r="K1006" s="91">
        <f>VLOOKUP(F1006, 'RM &amp; SF'!B:H, 7, 0)</f>
        <v>3.2061107692307688E-3</v>
      </c>
      <c r="L1006" s="92">
        <f t="shared" si="92"/>
        <v>0.32061107692307689</v>
      </c>
      <c r="M1006" s="30" t="s">
        <v>813</v>
      </c>
    </row>
    <row r="1007" spans="1:16" ht="14">
      <c r="A1007" s="88" t="s">
        <v>2368</v>
      </c>
      <c r="B1007" s="219" t="s">
        <v>768</v>
      </c>
      <c r="C1007" s="30"/>
      <c r="D1007" s="30" t="str">
        <f>VLOOKUP(B1007, 'RM &amp; SF'!B:C, 2, 0)</f>
        <v>بصل مقلي</v>
      </c>
      <c r="E1007" s="30" t="s">
        <v>2234</v>
      </c>
      <c r="F1007" s="110">
        <v>4503</v>
      </c>
      <c r="G1007" s="30" t="str">
        <f>VLOOKUP(F1007, 'RM &amp; SF'!B:C, 2, 0)</f>
        <v>بصل ناشف دفش*****</v>
      </c>
      <c r="H1007" s="30">
        <v>1000</v>
      </c>
      <c r="I1007" s="30" t="str">
        <f>VLOOKUP(F1007, 'RM &amp; SF'!B:H, 4, 0)</f>
        <v>غم</v>
      </c>
      <c r="J1007" s="90">
        <f>H1007/1.25</f>
        <v>800</v>
      </c>
      <c r="K1007" s="91">
        <f>VLOOKUP(F1007, 'RM &amp; SF'!B:H, 7, 0)</f>
        <v>2.5000000000000001E-4</v>
      </c>
      <c r="L1007" s="92">
        <f t="shared" si="92"/>
        <v>0.2</v>
      </c>
      <c r="M1007" s="30" t="s">
        <v>813</v>
      </c>
    </row>
    <row r="1008" spans="1:16" ht="14">
      <c r="A1008" s="88" t="s">
        <v>2368</v>
      </c>
      <c r="B1008" s="219" t="s">
        <v>768</v>
      </c>
      <c r="C1008" s="30"/>
      <c r="D1008" s="30" t="str">
        <f>VLOOKUP(B1008, 'RM &amp; SF'!B:C, 2, 0)</f>
        <v>بصل مقلي</v>
      </c>
      <c r="E1008" s="30" t="s">
        <v>3058</v>
      </c>
      <c r="F1008" s="110">
        <v>4146</v>
      </c>
      <c r="G1008" s="30" t="str">
        <f>VLOOKUP(F1008, 'RM &amp; SF'!B:C, 2, 0)</f>
        <v>طحين ابيض زهرة متعدد الاستخدامات*****</v>
      </c>
      <c r="H1008" s="30">
        <v>250</v>
      </c>
      <c r="I1008" s="30" t="str">
        <f>VLOOKUP(F1008, 'RM &amp; SF'!B:H, 4, 0)</f>
        <v>غم</v>
      </c>
      <c r="J1008" s="90">
        <f>H1008/1.25</f>
        <v>200</v>
      </c>
      <c r="K1008" s="91">
        <f>VLOOKUP(F1008, 'RM &amp; SF'!B:H, 7, 0)</f>
        <v>3.2000000000000003E-4</v>
      </c>
      <c r="L1008" s="92">
        <f t="shared" si="92"/>
        <v>6.4000000000000001E-2</v>
      </c>
      <c r="M1008" s="30" t="s">
        <v>813</v>
      </c>
    </row>
    <row r="1009" spans="1:13" ht="14">
      <c r="A1009" s="88" t="s">
        <v>2366</v>
      </c>
      <c r="B1009" s="219" t="s">
        <v>764</v>
      </c>
      <c r="C1009" s="30"/>
      <c r="D1009" s="30" t="str">
        <f>VLOOKUP(B1009, 'RM &amp; SF'!B:C, 2, 0)</f>
        <v>صوص برجر</v>
      </c>
      <c r="E1009" s="30" t="s">
        <v>2263</v>
      </c>
      <c r="F1009" s="110">
        <v>4004</v>
      </c>
      <c r="G1009" s="30" t="str">
        <f>VLOOKUP(F1009, 'RM &amp; SF'!B:C, 2, 0)</f>
        <v>مايونيز جالون 3.78 لتر*****</v>
      </c>
      <c r="H1009" s="30">
        <v>5000</v>
      </c>
      <c r="I1009" s="30" t="str">
        <f>VLOOKUP(F1009, 'RM &amp; SF'!B:H, 4, 0)</f>
        <v>غم</v>
      </c>
      <c r="J1009" s="90">
        <f>H1009/8.2</f>
        <v>609.75609756097572</v>
      </c>
      <c r="K1009" s="91">
        <f>VLOOKUP(F1009, 'RM &amp; SF'!B:H, 7, 0)</f>
        <v>2.4516E-3</v>
      </c>
      <c r="L1009" s="92">
        <f t="shared" si="92"/>
        <v>1.494878048780488</v>
      </c>
      <c r="M1009" s="30" t="s">
        <v>813</v>
      </c>
    </row>
    <row r="1010" spans="1:13" ht="14">
      <c r="A1010" s="88" t="s">
        <v>2366</v>
      </c>
      <c r="B1010" s="219" t="s">
        <v>764</v>
      </c>
      <c r="C1010" s="30"/>
      <c r="D1010" s="30" t="str">
        <f>VLOOKUP(B1010, 'RM &amp; SF'!B:C, 2, 0)</f>
        <v>صوص برجر</v>
      </c>
      <c r="E1010" s="30" t="s">
        <v>2269</v>
      </c>
      <c r="F1010" s="110">
        <v>4011</v>
      </c>
      <c r="G1010" s="30" t="str">
        <f>VLOOKUP(F1010, 'RM &amp; SF'!B:C, 2, 0)</f>
        <v>كاتشب طماطم 5 كغ*****</v>
      </c>
      <c r="H1010" s="30">
        <v>3000</v>
      </c>
      <c r="I1010" s="30" t="str">
        <f>VLOOKUP(F1010, 'RM &amp; SF'!B:H, 4, 0)</f>
        <v>غم</v>
      </c>
      <c r="J1010" s="90">
        <f>H1010/8.2</f>
        <v>365.85365853658539</v>
      </c>
      <c r="K1010" s="91">
        <f>VLOOKUP(F1010, 'RM &amp; SF'!B:H, 7, 0)</f>
        <v>6.8959999999999996E-4</v>
      </c>
      <c r="L1010" s="92">
        <f t="shared" si="92"/>
        <v>0.25229268292682927</v>
      </c>
      <c r="M1010" s="30" t="s">
        <v>813</v>
      </c>
    </row>
    <row r="1011" spans="1:13" ht="14">
      <c r="A1011" s="88" t="s">
        <v>2366</v>
      </c>
      <c r="B1011" s="219" t="s">
        <v>764</v>
      </c>
      <c r="C1011" s="30"/>
      <c r="D1011" s="30" t="str">
        <f>VLOOKUP(B1011, 'RM &amp; SF'!B:C, 2, 0)</f>
        <v>صوص برجر</v>
      </c>
      <c r="E1011" s="30" t="s">
        <v>2288</v>
      </c>
      <c r="F1011" s="110">
        <v>4219</v>
      </c>
      <c r="G1011" s="30" t="str">
        <f>VLOOKUP(F1011, 'RM &amp; SF'!B:C, 2, 0)</f>
        <v>بابريكا حلوة*****</v>
      </c>
      <c r="H1011" s="30">
        <v>200</v>
      </c>
      <c r="I1011" s="30" t="str">
        <f>VLOOKUP(F1011, 'RM &amp; SF'!B:H, 4, 0)</f>
        <v>غم</v>
      </c>
      <c r="J1011" s="90">
        <f>H1011/8.2</f>
        <v>24.390243902439025</v>
      </c>
      <c r="K1011" s="91">
        <f>VLOOKUP(F1011, 'RM &amp; SF'!B:H, 7, 0)</f>
        <v>2.5859999999999998E-3</v>
      </c>
      <c r="L1011" s="92">
        <f t="shared" si="92"/>
        <v>6.3073170731707318E-2</v>
      </c>
      <c r="M1011" s="30" t="s">
        <v>813</v>
      </c>
    </row>
    <row r="1012" spans="1:13" ht="14">
      <c r="A1012" s="88" t="s">
        <v>2370</v>
      </c>
      <c r="B1012" s="219" t="s">
        <v>774</v>
      </c>
      <c r="C1012" s="30"/>
      <c r="D1012" s="30" t="str">
        <f>VLOOKUP(B1012, 'RM &amp; SF'!B:C, 2, 0)</f>
        <v>بدوه</v>
      </c>
      <c r="E1012" s="30" t="s">
        <v>2170</v>
      </c>
      <c r="F1012" s="110">
        <v>4552</v>
      </c>
      <c r="G1012" s="30" t="str">
        <f>VLOOKUP(F1012, 'RM &amp; SF'!B:C, 2, 0)</f>
        <v>لبن رايب 5 كغ*****</v>
      </c>
      <c r="H1012" s="30">
        <v>5000</v>
      </c>
      <c r="I1012" s="30" t="str">
        <f>VLOOKUP(F1012, 'RM &amp; SF'!B:H, 4, 0)</f>
        <v>غم</v>
      </c>
      <c r="J1012" s="90">
        <f t="shared" ref="J1012:J1018" si="97">H1012/5.3</f>
        <v>943.39622641509436</v>
      </c>
      <c r="K1012" s="91">
        <f>VLOOKUP(F1012, 'RM &amp; SF'!B:H, 7, 0)</f>
        <v>8.0000000000000004E-4</v>
      </c>
      <c r="L1012" s="92">
        <f t="shared" si="92"/>
        <v>0.75471698113207553</v>
      </c>
      <c r="M1012" s="30" t="s">
        <v>813</v>
      </c>
    </row>
    <row r="1013" spans="1:13" ht="14">
      <c r="A1013" s="88" t="s">
        <v>2370</v>
      </c>
      <c r="B1013" s="219" t="s">
        <v>774</v>
      </c>
      <c r="C1013" s="30"/>
      <c r="D1013" s="30" t="str">
        <f>VLOOKUP(B1013, 'RM &amp; SF'!B:C, 2, 0)</f>
        <v>بدوه</v>
      </c>
      <c r="E1013" s="30" t="s">
        <v>3058</v>
      </c>
      <c r="F1013" s="110">
        <v>4166</v>
      </c>
      <c r="G1013" s="30" t="str">
        <f>VLOOKUP(F1013, 'RM &amp; SF'!B:C, 2, 0)</f>
        <v>طحينية 18 كغ*****</v>
      </c>
      <c r="H1013" s="30">
        <v>300</v>
      </c>
      <c r="I1013" s="30" t="str">
        <f>VLOOKUP(F1013, 'RM &amp; SF'!B:H, 4, 0)</f>
        <v>غم</v>
      </c>
      <c r="J1013" s="90">
        <f t="shared" si="97"/>
        <v>56.60377358490566</v>
      </c>
      <c r="K1013" s="91">
        <f>VLOOKUP(F1013, 'RM &amp; SF'!B:H, 7, 0)</f>
        <v>2.0105820105820104E-3</v>
      </c>
      <c r="L1013" s="92">
        <f t="shared" si="92"/>
        <v>0.11380652890086851</v>
      </c>
      <c r="M1013" s="30" t="s">
        <v>813</v>
      </c>
    </row>
    <row r="1014" spans="1:13" ht="14">
      <c r="A1014" s="88" t="s">
        <v>2370</v>
      </c>
      <c r="B1014" s="219" t="s">
        <v>774</v>
      </c>
      <c r="C1014" s="30"/>
      <c r="D1014" s="30" t="str">
        <f>VLOOKUP(B1014, 'RM &amp; SF'!B:C, 2, 0)</f>
        <v>بدوه</v>
      </c>
      <c r="E1014" s="30" t="s">
        <v>2206</v>
      </c>
      <c r="F1014" s="110">
        <v>4204</v>
      </c>
      <c r="G1014" s="30" t="str">
        <f>VLOOKUP(F1014, 'RM &amp; SF'!B:C, 2, 0)</f>
        <v>فلفل اسود ناعم*****</v>
      </c>
      <c r="H1014" s="30">
        <v>3</v>
      </c>
      <c r="I1014" s="30" t="str">
        <f>VLOOKUP(F1014, 'RM &amp; SF'!B:H, 4, 0)</f>
        <v>غم</v>
      </c>
      <c r="J1014" s="90">
        <f t="shared" si="97"/>
        <v>0.56603773584905659</v>
      </c>
      <c r="K1014" s="91">
        <f>VLOOKUP(F1014, 'RM &amp; SF'!B:H, 7, 0)</f>
        <v>6.8970000000000004E-3</v>
      </c>
      <c r="L1014" s="92">
        <f t="shared" si="92"/>
        <v>3.9039622641509437E-3</v>
      </c>
      <c r="M1014" s="30" t="s">
        <v>813</v>
      </c>
    </row>
    <row r="1015" spans="1:13" ht="14">
      <c r="A1015" s="88" t="s">
        <v>2370</v>
      </c>
      <c r="B1015" s="219" t="s">
        <v>774</v>
      </c>
      <c r="C1015" s="30"/>
      <c r="D1015" s="30" t="str">
        <f>VLOOKUP(B1015, 'RM &amp; SF'!B:C, 2, 0)</f>
        <v>بدوه</v>
      </c>
      <c r="E1015" s="30" t="s">
        <v>2203</v>
      </c>
      <c r="F1015" s="110">
        <v>4152</v>
      </c>
      <c r="G1015" s="30" t="str">
        <f>VLOOKUP(F1015, 'RM &amp; SF'!B:C, 2, 0)</f>
        <v>ملح طعام 750غم*****</v>
      </c>
      <c r="H1015" s="30">
        <v>3</v>
      </c>
      <c r="I1015" s="30" t="str">
        <f>VLOOKUP(F1015, 'RM &amp; SF'!B:H, 4, 0)</f>
        <v>غم</v>
      </c>
      <c r="J1015" s="90">
        <f t="shared" si="97"/>
        <v>0.56603773584905659</v>
      </c>
      <c r="K1015" s="91">
        <f>VLOOKUP(F1015, 'RM &amp; SF'!B:H, 7, 0)</f>
        <v>1.7066666666666665E-4</v>
      </c>
      <c r="L1015" s="92">
        <f t="shared" si="92"/>
        <v>9.6603773584905643E-5</v>
      </c>
      <c r="M1015" s="30" t="s">
        <v>813</v>
      </c>
    </row>
    <row r="1016" spans="1:13" ht="14">
      <c r="A1016" s="88" t="s">
        <v>2370</v>
      </c>
      <c r="B1016" s="219" t="s">
        <v>774</v>
      </c>
      <c r="C1016" s="30"/>
      <c r="D1016" s="30" t="str">
        <f>VLOOKUP(B1016, 'RM &amp; SF'!B:C, 2, 0)</f>
        <v>بدوه</v>
      </c>
      <c r="E1016" s="30" t="s">
        <v>3058</v>
      </c>
      <c r="F1016" s="110">
        <v>4021</v>
      </c>
      <c r="G1016" s="30" t="str">
        <f>VLOOKUP(F1016, 'RM &amp; SF'!B:C, 2, 0)</f>
        <v>مكعبات مرق الدجاج 24 عبوة*2 مكعب*****</v>
      </c>
      <c r="H1016" s="89">
        <v>30</v>
      </c>
      <c r="I1016" s="30" t="str">
        <f>VLOOKUP(F1016, 'RM &amp; SF'!B:H, 4, 0)</f>
        <v>غم</v>
      </c>
      <c r="J1016" s="90">
        <f t="shared" si="97"/>
        <v>5.6603773584905666</v>
      </c>
      <c r="K1016" s="91">
        <f>VLOOKUP(F1016, 'RM &amp; SF'!B:H, 7, 0)</f>
        <v>3.8541666666666668E-3</v>
      </c>
      <c r="L1016" s="92">
        <f t="shared" si="92"/>
        <v>2.1816037735849059E-2</v>
      </c>
      <c r="M1016" s="30" t="s">
        <v>813</v>
      </c>
    </row>
    <row r="1017" spans="1:13" ht="14">
      <c r="A1017" s="88" t="s">
        <v>2370</v>
      </c>
      <c r="B1017" s="219" t="s">
        <v>774</v>
      </c>
      <c r="C1017" s="30"/>
      <c r="D1017" s="30" t="str">
        <f>VLOOKUP(B1017, 'RM &amp; SF'!B:C, 2, 0)</f>
        <v>بدوه</v>
      </c>
      <c r="E1017" s="30" t="s">
        <v>2253</v>
      </c>
      <c r="F1017" s="110">
        <v>4251</v>
      </c>
      <c r="G1017" s="30" t="str">
        <f>VLOOKUP(F1017, 'RM &amp; SF'!B:C, 2, 0)</f>
        <v>نعنع ناشف*****</v>
      </c>
      <c r="H1017" s="30">
        <v>10</v>
      </c>
      <c r="I1017" s="30" t="str">
        <f>VLOOKUP(F1017, 'RM &amp; SF'!B:H, 4, 0)</f>
        <v>غم</v>
      </c>
      <c r="J1017" s="90">
        <f t="shared" si="97"/>
        <v>1.8867924528301887</v>
      </c>
      <c r="K1017" s="91">
        <f>VLOOKUP(F1017, 'RM &amp; SF'!B:H, 7, 0)</f>
        <v>2.7269999999999998E-3</v>
      </c>
      <c r="L1017" s="92">
        <f t="shared" si="92"/>
        <v>5.1452830188679242E-3</v>
      </c>
      <c r="M1017" s="30" t="s">
        <v>813</v>
      </c>
    </row>
    <row r="1018" spans="1:13" ht="14">
      <c r="A1018" s="88" t="s">
        <v>2370</v>
      </c>
      <c r="B1018" s="219" t="s">
        <v>774</v>
      </c>
      <c r="C1018" s="30"/>
      <c r="D1018" s="30" t="str">
        <f>VLOOKUP(B1018, 'RM &amp; SF'!B:C, 2, 0)</f>
        <v>بدوه</v>
      </c>
      <c r="E1018" s="30" t="s">
        <v>2216</v>
      </c>
      <c r="F1018" s="110">
        <v>4230</v>
      </c>
      <c r="G1018" s="30" t="str">
        <f>VLOOKUP(F1018, 'RM &amp; SF'!B:C, 2, 0)</f>
        <v>ملح ليمون*****</v>
      </c>
      <c r="H1018" s="30">
        <v>5</v>
      </c>
      <c r="I1018" s="30" t="str">
        <f>VLOOKUP(F1018, 'RM &amp; SF'!B:H, 4, 0)</f>
        <v>غم</v>
      </c>
      <c r="J1018" s="90">
        <f t="shared" si="97"/>
        <v>0.94339622641509435</v>
      </c>
      <c r="K1018" s="91">
        <f>VLOOKUP(F1018, 'RM &amp; SF'!B:H, 7, 0)</f>
        <v>1.078E-3</v>
      </c>
      <c r="L1018" s="92">
        <f t="shared" si="92"/>
        <v>1.0169811320754716E-3</v>
      </c>
      <c r="M1018" s="30" t="s">
        <v>813</v>
      </c>
    </row>
    <row r="1019" spans="1:13" ht="14">
      <c r="A1019" s="88" t="s">
        <v>2364</v>
      </c>
      <c r="B1019" s="219" t="s">
        <v>760</v>
      </c>
      <c r="C1019" s="30"/>
      <c r="D1019" s="30" t="str">
        <f>VLOOKUP(B1019, 'RM &amp; SF'!B:C, 2, 0)</f>
        <v>ضربة شوربة فطر بالكريمة</v>
      </c>
      <c r="E1019" s="30" t="s">
        <v>2240</v>
      </c>
      <c r="F1019" s="110">
        <v>4515</v>
      </c>
      <c r="G1019" s="30" t="str">
        <f>VLOOKUP(F1019, 'RM &amp; SF'!B:C, 2, 0)</f>
        <v>فطر طازج (فطر فرش)*****</v>
      </c>
      <c r="H1019" s="30">
        <v>2000</v>
      </c>
      <c r="I1019" s="30" t="str">
        <f>VLOOKUP(F1019, 'RM &amp; SF'!B:H, 4, 0)</f>
        <v>غم</v>
      </c>
      <c r="J1019" s="90">
        <f t="shared" ref="J1019:J1026" si="98">H1019/4</f>
        <v>500</v>
      </c>
      <c r="K1019" s="91">
        <f>VLOOKUP(F1019, 'RM &amp; SF'!B:H, 7, 0)</f>
        <v>5.9999999999999993E-3</v>
      </c>
      <c r="L1019" s="92">
        <f t="shared" si="92"/>
        <v>2.9999999999999996</v>
      </c>
      <c r="M1019" s="30" t="s">
        <v>813</v>
      </c>
    </row>
    <row r="1020" spans="1:13" ht="14">
      <c r="A1020" s="88" t="s">
        <v>2364</v>
      </c>
      <c r="B1020" s="219" t="s">
        <v>760</v>
      </c>
      <c r="C1020" s="30"/>
      <c r="D1020" s="30" t="str">
        <f>VLOOKUP(B1020, 'RM &amp; SF'!B:C, 2, 0)</f>
        <v>ضربة شوربة فطر بالكريمة</v>
      </c>
      <c r="E1020" s="30" t="s">
        <v>2291</v>
      </c>
      <c r="F1020" s="110">
        <v>4556</v>
      </c>
      <c r="G1020" s="30" t="str">
        <f>VLOOKUP(F1020, 'RM &amp; SF'!B:C, 2, 0)</f>
        <v>كريما طبخ 1 لتر*****</v>
      </c>
      <c r="H1020" s="30">
        <v>2000</v>
      </c>
      <c r="I1020" s="30" t="str">
        <f>VLOOKUP(F1020, 'RM &amp; SF'!B:H, 4, 0)</f>
        <v>مل</v>
      </c>
      <c r="J1020" s="90">
        <f t="shared" si="98"/>
        <v>500</v>
      </c>
      <c r="K1020" s="91">
        <f>VLOOKUP(F1020, 'RM &amp; SF'!B:H, 7, 0)</f>
        <v>2.2269999999999998E-3</v>
      </c>
      <c r="L1020" s="92">
        <f t="shared" si="92"/>
        <v>1.1134999999999999</v>
      </c>
      <c r="M1020" s="30" t="s">
        <v>813</v>
      </c>
    </row>
    <row r="1021" spans="1:13" ht="14">
      <c r="A1021" s="88" t="s">
        <v>2364</v>
      </c>
      <c r="B1021" s="219" t="s">
        <v>760</v>
      </c>
      <c r="C1021" s="30"/>
      <c r="D1021" s="30" t="str">
        <f>VLOOKUP(B1021, 'RM &amp; SF'!B:C, 2, 0)</f>
        <v>ضربة شوربة فطر بالكريمة</v>
      </c>
      <c r="E1021" s="30" t="s">
        <v>2290</v>
      </c>
      <c r="F1021" s="110">
        <v>4554</v>
      </c>
      <c r="G1021" s="30" t="str">
        <f>VLOOKUP(F1021, 'RM &amp; SF'!B:C, 2, 0)</f>
        <v>حليب طويل الأجل كامل الدسم 1 لتر*****</v>
      </c>
      <c r="H1021" s="30">
        <v>2000</v>
      </c>
      <c r="I1021" s="30" t="str">
        <f>VLOOKUP(F1021, 'RM &amp; SF'!B:H, 4, 0)</f>
        <v>مل</v>
      </c>
      <c r="J1021" s="90">
        <f t="shared" si="98"/>
        <v>500</v>
      </c>
      <c r="K1021" s="91">
        <f>VLOOKUP(F1021, 'RM &amp; SF'!B:H, 7, 0)</f>
        <v>8.0000000000000004E-4</v>
      </c>
      <c r="L1021" s="92">
        <f t="shared" si="92"/>
        <v>0.4</v>
      </c>
      <c r="M1021" s="30" t="s">
        <v>813</v>
      </c>
    </row>
    <row r="1022" spans="1:13" ht="14">
      <c r="A1022" s="88" t="s">
        <v>2364</v>
      </c>
      <c r="B1022" s="219" t="s">
        <v>760</v>
      </c>
      <c r="C1022" s="30"/>
      <c r="D1022" s="30" t="str">
        <f>VLOOKUP(B1022, 'RM &amp; SF'!B:C, 2, 0)</f>
        <v>ضربة شوربة فطر بالكريمة</v>
      </c>
      <c r="E1022" s="30" t="s">
        <v>3058</v>
      </c>
      <c r="F1022" s="110">
        <v>3</v>
      </c>
      <c r="G1022" s="30" t="str">
        <f>VLOOKUP(F1022, 'RM &amp; SF'!B:C, 2, 0)</f>
        <v>مياه حنفية</v>
      </c>
      <c r="H1022" s="30">
        <v>2000</v>
      </c>
      <c r="I1022" s="30" t="str">
        <f>VLOOKUP(F1022, 'RM &amp; SF'!B:H, 4, 0)</f>
        <v>مل</v>
      </c>
      <c r="J1022" s="90">
        <f t="shared" si="98"/>
        <v>500</v>
      </c>
      <c r="K1022" s="91">
        <f>VLOOKUP(F1022, 'RM &amp; SF'!B:H, 7, 0)</f>
        <v>0</v>
      </c>
      <c r="L1022" s="92">
        <f t="shared" si="92"/>
        <v>0</v>
      </c>
      <c r="M1022" s="30" t="s">
        <v>813</v>
      </c>
    </row>
    <row r="1023" spans="1:13" ht="14">
      <c r="A1023" s="88" t="s">
        <v>2364</v>
      </c>
      <c r="B1023" s="219" t="s">
        <v>760</v>
      </c>
      <c r="C1023" s="30"/>
      <c r="D1023" s="30" t="str">
        <f>VLOOKUP(B1023, 'RM &amp; SF'!B:C, 2, 0)</f>
        <v>ضربة شوربة فطر بالكريمة</v>
      </c>
      <c r="E1023" s="30" t="s">
        <v>3058</v>
      </c>
      <c r="F1023" s="110">
        <v>4022</v>
      </c>
      <c r="G1023" s="30" t="str">
        <f>VLOOKUP(F1023, 'RM &amp; SF'!B:C, 2, 0)</f>
        <v>مرق الدجاج بودرة 1 كغ*****</v>
      </c>
      <c r="H1023" s="30">
        <v>20</v>
      </c>
      <c r="I1023" s="30" t="str">
        <f>VLOOKUP(F1023, 'RM &amp; SF'!B:H, 4, 0)</f>
        <v>غم</v>
      </c>
      <c r="J1023" s="90">
        <f t="shared" si="98"/>
        <v>5</v>
      </c>
      <c r="K1023" s="91">
        <f>VLOOKUP(F1023, 'RM &amp; SF'!B:H, 7, 0)</f>
        <v>4.7054597701149427E-3</v>
      </c>
      <c r="L1023" s="92">
        <f t="shared" si="92"/>
        <v>2.3527298850574713E-2</v>
      </c>
      <c r="M1023" s="30" t="s">
        <v>813</v>
      </c>
    </row>
    <row r="1024" spans="1:13" ht="14">
      <c r="A1024" s="88" t="s">
        <v>2364</v>
      </c>
      <c r="B1024" s="219" t="s">
        <v>760</v>
      </c>
      <c r="C1024" s="30"/>
      <c r="D1024" s="30" t="str">
        <f>VLOOKUP(B1024, 'RM &amp; SF'!B:C, 2, 0)</f>
        <v>ضربة شوربة فطر بالكريمة</v>
      </c>
      <c r="E1024" s="30" t="s">
        <v>3058</v>
      </c>
      <c r="F1024" s="110">
        <v>4203</v>
      </c>
      <c r="G1024" s="30" t="str">
        <f>VLOOKUP(F1024, 'RM &amp; SF'!B:C, 2, 0)</f>
        <v>فلفل ابيض ناعم*****</v>
      </c>
      <c r="H1024" s="30">
        <v>15</v>
      </c>
      <c r="I1024" s="30" t="str">
        <f>VLOOKUP(F1024, 'RM &amp; SF'!B:H, 4, 0)</f>
        <v>غم</v>
      </c>
      <c r="J1024" s="90">
        <f t="shared" si="98"/>
        <v>3.75</v>
      </c>
      <c r="K1024" s="91">
        <f>VLOOKUP(F1024, 'RM &amp; SF'!B:H, 7, 0)</f>
        <v>7.7590000000000003E-3</v>
      </c>
      <c r="L1024" s="92">
        <f t="shared" si="92"/>
        <v>2.9096250000000001E-2</v>
      </c>
      <c r="M1024" s="30" t="s">
        <v>813</v>
      </c>
    </row>
    <row r="1025" spans="1:13" ht="14">
      <c r="A1025" s="88" t="s">
        <v>2364</v>
      </c>
      <c r="B1025" s="219" t="s">
        <v>760</v>
      </c>
      <c r="C1025" s="30"/>
      <c r="D1025" s="30" t="str">
        <f>VLOOKUP(B1025, 'RM &amp; SF'!B:C, 2, 0)</f>
        <v>ضربة شوربة فطر بالكريمة</v>
      </c>
      <c r="E1025" s="30" t="s">
        <v>2203</v>
      </c>
      <c r="F1025" s="110">
        <v>4152</v>
      </c>
      <c r="G1025" s="30" t="str">
        <f>VLOOKUP(F1025, 'RM &amp; SF'!B:C, 2, 0)</f>
        <v>ملح طعام 750غم*****</v>
      </c>
      <c r="H1025" s="30">
        <v>10</v>
      </c>
      <c r="I1025" s="30" t="str">
        <f>VLOOKUP(F1025, 'RM &amp; SF'!B:H, 4, 0)</f>
        <v>غم</v>
      </c>
      <c r="J1025" s="90">
        <f t="shared" si="98"/>
        <v>2.5</v>
      </c>
      <c r="K1025" s="91">
        <f>VLOOKUP(F1025, 'RM &amp; SF'!B:H, 7, 0)</f>
        <v>1.7066666666666665E-4</v>
      </c>
      <c r="L1025" s="92">
        <f t="shared" si="92"/>
        <v>4.2666666666666661E-4</v>
      </c>
      <c r="M1025" s="30" t="s">
        <v>813</v>
      </c>
    </row>
    <row r="1026" spans="1:13" ht="14">
      <c r="A1026" s="88" t="s">
        <v>2364</v>
      </c>
      <c r="B1026" s="219" t="s">
        <v>760</v>
      </c>
      <c r="C1026" s="30"/>
      <c r="D1026" s="30" t="str">
        <f>VLOOKUP(B1026, 'RM &amp; SF'!B:C, 2, 0)</f>
        <v>ضربة شوربة فطر بالكريمة</v>
      </c>
      <c r="E1026" s="30" t="s">
        <v>2178</v>
      </c>
      <c r="F1026" s="110">
        <v>4623</v>
      </c>
      <c r="G1026" s="30" t="str">
        <f>VLOOKUP(F1026, 'RM &amp; SF'!B:C, 2, 0)</f>
        <v>زبدة مبسترة غير مملحة 1 كغ*****</v>
      </c>
      <c r="H1026" s="30">
        <v>150</v>
      </c>
      <c r="I1026" s="30" t="str">
        <f>VLOOKUP(F1026, 'RM &amp; SF'!B:H, 4, 0)</f>
        <v>غم</v>
      </c>
      <c r="J1026" s="90">
        <f t="shared" si="98"/>
        <v>37.5</v>
      </c>
      <c r="K1026" s="91">
        <f>VLOOKUP(F1026, 'RM &amp; SF'!B:H, 7, 0)</f>
        <v>2.8839999999999998E-3</v>
      </c>
      <c r="L1026" s="92">
        <f t="shared" si="92"/>
        <v>0.10815</v>
      </c>
      <c r="M1026" s="30" t="s">
        <v>813</v>
      </c>
    </row>
    <row r="1027" spans="1:13" ht="14">
      <c r="A1027" s="88" t="s">
        <v>2363</v>
      </c>
      <c r="B1027" s="219" t="s">
        <v>758</v>
      </c>
      <c r="C1027" s="30"/>
      <c r="D1027" s="30" t="str">
        <f>VLOOKUP(B1027, 'RM &amp; SF'!B:C, 2, 0)</f>
        <v>ضربه بصل مسخن</v>
      </c>
      <c r="E1027" s="30" t="s">
        <v>2234</v>
      </c>
      <c r="F1027" s="110">
        <v>4503</v>
      </c>
      <c r="G1027" s="30" t="str">
        <f>VLOOKUP(F1027, 'RM &amp; SF'!B:C, 2, 0)</f>
        <v>بصل ناشف دفش*****</v>
      </c>
      <c r="H1027" s="30">
        <v>2000</v>
      </c>
      <c r="I1027" s="30" t="str">
        <f>VLOOKUP(F1027, 'RM &amp; SF'!B:H, 4, 0)</f>
        <v>غم</v>
      </c>
      <c r="J1027" s="90">
        <f t="shared" ref="J1027:J1034" si="99">H1027/2</f>
        <v>1000</v>
      </c>
      <c r="K1027" s="91">
        <f>VLOOKUP(F1027, 'RM &amp; SF'!B:H, 7, 0)</f>
        <v>2.5000000000000001E-4</v>
      </c>
      <c r="L1027" s="92">
        <f t="shared" si="92"/>
        <v>0.25</v>
      </c>
      <c r="M1027" s="30" t="s">
        <v>813</v>
      </c>
    </row>
    <row r="1028" spans="1:13" ht="14">
      <c r="A1028" s="88" t="s">
        <v>2363</v>
      </c>
      <c r="B1028" s="219" t="s">
        <v>758</v>
      </c>
      <c r="C1028" s="30"/>
      <c r="D1028" s="30" t="str">
        <f>VLOOKUP(B1028, 'RM &amp; SF'!B:C, 2, 0)</f>
        <v>ضربه بصل مسخن</v>
      </c>
      <c r="E1028" s="30" t="s">
        <v>2259</v>
      </c>
      <c r="F1028" s="110">
        <v>4159</v>
      </c>
      <c r="G1028" s="30" t="str">
        <f>VLOOKUP(F1028, 'RM &amp; SF'!B:C, 2, 0)</f>
        <v>زيت زيتون 16 كغ*****</v>
      </c>
      <c r="H1028" s="30">
        <v>200</v>
      </c>
      <c r="I1028" s="30" t="str">
        <f>VLOOKUP(F1028, 'RM &amp; SF'!B:H, 4, 0)</f>
        <v>غم</v>
      </c>
      <c r="J1028" s="90">
        <f t="shared" si="99"/>
        <v>100</v>
      </c>
      <c r="K1028" s="91">
        <f>VLOOKUP(F1028, 'RM &amp; SF'!B:H, 7, 0)</f>
        <v>7.4999999999999997E-3</v>
      </c>
      <c r="L1028" s="92">
        <f t="shared" ref="L1028:L1089" si="100">K1028*J1028</f>
        <v>0.75</v>
      </c>
      <c r="M1028" s="30" t="s">
        <v>813</v>
      </c>
    </row>
    <row r="1029" spans="1:13" ht="14">
      <c r="A1029" s="88" t="s">
        <v>2363</v>
      </c>
      <c r="B1029" s="219" t="s">
        <v>758</v>
      </c>
      <c r="C1029" s="30"/>
      <c r="D1029" s="30" t="str">
        <f>VLOOKUP(B1029, 'RM &amp; SF'!B:C, 2, 0)</f>
        <v>ضربه بصل مسخن</v>
      </c>
      <c r="E1029" s="30" t="s">
        <v>2260</v>
      </c>
      <c r="F1029" s="110">
        <v>4160</v>
      </c>
      <c r="G1029" s="30" t="str">
        <f>VLOOKUP(F1029, 'RM &amp; SF'!B:C, 2, 0)</f>
        <v>زيت صويا 18 لتر*****</v>
      </c>
      <c r="H1029" s="30">
        <v>200</v>
      </c>
      <c r="I1029" s="30" t="str">
        <f>VLOOKUP(F1029, 'RM &amp; SF'!B:H, 4, 0)</f>
        <v>مل</v>
      </c>
      <c r="J1029" s="90">
        <f t="shared" si="99"/>
        <v>100</v>
      </c>
      <c r="K1029" s="91">
        <f>VLOOKUP(F1029, 'RM &amp; SF'!B:H, 7, 0)</f>
        <v>1.335E-3</v>
      </c>
      <c r="L1029" s="92">
        <f t="shared" si="100"/>
        <v>0.13350000000000001</v>
      </c>
      <c r="M1029" s="30" t="s">
        <v>813</v>
      </c>
    </row>
    <row r="1030" spans="1:13" ht="14">
      <c r="A1030" s="88" t="s">
        <v>2363</v>
      </c>
      <c r="B1030" s="219" t="s">
        <v>758</v>
      </c>
      <c r="C1030" s="30"/>
      <c r="D1030" s="30" t="str">
        <f>VLOOKUP(B1030, 'RM &amp; SF'!B:C, 2, 0)</f>
        <v>ضربه بصل مسخن</v>
      </c>
      <c r="E1030" s="30" t="s">
        <v>2215</v>
      </c>
      <c r="F1030" s="110">
        <v>4224</v>
      </c>
      <c r="G1030" s="30" t="str">
        <f>VLOOKUP(F1030, 'RM &amp; SF'!B:C, 2, 0)</f>
        <v>سماق*****</v>
      </c>
      <c r="H1030" s="30">
        <v>150</v>
      </c>
      <c r="I1030" s="30" t="str">
        <f>VLOOKUP(F1030, 'RM &amp; SF'!B:H, 4, 0)</f>
        <v>غم</v>
      </c>
      <c r="J1030" s="90">
        <f t="shared" si="99"/>
        <v>75</v>
      </c>
      <c r="K1030" s="91">
        <f>VLOOKUP(F1030, 'RM &amp; SF'!B:H, 7, 0)</f>
        <v>4.3099999999999996E-3</v>
      </c>
      <c r="L1030" s="92">
        <f t="shared" si="100"/>
        <v>0.32324999999999998</v>
      </c>
      <c r="M1030" s="30" t="s">
        <v>813</v>
      </c>
    </row>
    <row r="1031" spans="1:13" ht="14">
      <c r="A1031" s="88" t="s">
        <v>2363</v>
      </c>
      <c r="B1031" s="219" t="s">
        <v>758</v>
      </c>
      <c r="C1031" s="30"/>
      <c r="D1031" s="30" t="str">
        <f>VLOOKUP(B1031, 'RM &amp; SF'!B:C, 2, 0)</f>
        <v>ضربه بصل مسخن</v>
      </c>
      <c r="E1031" s="30" t="s">
        <v>2216</v>
      </c>
      <c r="F1031" s="110">
        <v>4230</v>
      </c>
      <c r="G1031" s="30" t="str">
        <f>VLOOKUP(F1031, 'RM &amp; SF'!B:C, 2, 0)</f>
        <v>ملح ليمون*****</v>
      </c>
      <c r="H1031" s="30">
        <v>200</v>
      </c>
      <c r="I1031" s="30" t="str">
        <f>VLOOKUP(F1031, 'RM &amp; SF'!B:H, 4, 0)</f>
        <v>غم</v>
      </c>
      <c r="J1031" s="90">
        <f t="shared" si="99"/>
        <v>100</v>
      </c>
      <c r="K1031" s="91">
        <f>VLOOKUP(F1031, 'RM &amp; SF'!B:H, 7, 0)</f>
        <v>1.078E-3</v>
      </c>
      <c r="L1031" s="92">
        <f t="shared" si="100"/>
        <v>0.10779999999999999</v>
      </c>
      <c r="M1031" s="30" t="s">
        <v>813</v>
      </c>
    </row>
    <row r="1032" spans="1:13" ht="14">
      <c r="A1032" s="88" t="s">
        <v>2363</v>
      </c>
      <c r="B1032" s="219" t="s">
        <v>758</v>
      </c>
      <c r="C1032" s="30"/>
      <c r="D1032" s="30" t="str">
        <f>VLOOKUP(B1032, 'RM &amp; SF'!B:C, 2, 0)</f>
        <v>ضربه بصل مسخن</v>
      </c>
      <c r="E1032" s="30" t="s">
        <v>2214</v>
      </c>
      <c r="F1032" s="110">
        <v>4223</v>
      </c>
      <c r="G1032" s="30" t="str">
        <f>VLOOKUP(F1032, 'RM &amp; SF'!B:C, 2, 0)</f>
        <v>بهارات كاري*****</v>
      </c>
      <c r="H1032" s="30">
        <v>150</v>
      </c>
      <c r="I1032" s="30" t="str">
        <f>VLOOKUP(F1032, 'RM &amp; SF'!B:H, 4, 0)</f>
        <v>غم</v>
      </c>
      <c r="J1032" s="90">
        <f t="shared" si="99"/>
        <v>75</v>
      </c>
      <c r="K1032" s="91">
        <f>VLOOKUP(F1032, 'RM &amp; SF'!B:H, 7, 0)</f>
        <v>2.2409999999999999E-3</v>
      </c>
      <c r="L1032" s="92">
        <f t="shared" si="100"/>
        <v>0.168075</v>
      </c>
      <c r="M1032" s="30" t="s">
        <v>813</v>
      </c>
    </row>
    <row r="1033" spans="1:13" ht="14">
      <c r="A1033" s="88" t="s">
        <v>2363</v>
      </c>
      <c r="B1033" s="219" t="s">
        <v>758</v>
      </c>
      <c r="C1033" s="30"/>
      <c r="D1033" s="30" t="str">
        <f>VLOOKUP(B1033, 'RM &amp; SF'!B:C, 2, 0)</f>
        <v>ضربه بصل مسخن</v>
      </c>
      <c r="E1033" s="30" t="s">
        <v>2206</v>
      </c>
      <c r="F1033" s="110">
        <v>4204</v>
      </c>
      <c r="G1033" s="30" t="str">
        <f>VLOOKUP(F1033, 'RM &amp; SF'!B:C, 2, 0)</f>
        <v>فلفل اسود ناعم*****</v>
      </c>
      <c r="H1033" s="30">
        <v>150</v>
      </c>
      <c r="I1033" s="30" t="str">
        <f>VLOOKUP(F1033, 'RM &amp; SF'!B:H, 4, 0)</f>
        <v>غم</v>
      </c>
      <c r="J1033" s="90">
        <f t="shared" si="99"/>
        <v>75</v>
      </c>
      <c r="K1033" s="91">
        <f>VLOOKUP(F1033, 'RM &amp; SF'!B:H, 7, 0)</f>
        <v>6.8970000000000004E-3</v>
      </c>
      <c r="L1033" s="92">
        <f t="shared" si="100"/>
        <v>0.51727500000000004</v>
      </c>
      <c r="M1033" s="30" t="s">
        <v>813</v>
      </c>
    </row>
    <row r="1034" spans="1:13" ht="14">
      <c r="A1034" s="88" t="s">
        <v>2363</v>
      </c>
      <c r="B1034" s="219" t="s">
        <v>758</v>
      </c>
      <c r="C1034" s="30"/>
      <c r="D1034" s="30" t="str">
        <f>VLOOKUP(B1034, 'RM &amp; SF'!B:C, 2, 0)</f>
        <v>ضربه بصل مسخن</v>
      </c>
      <c r="E1034" s="30" t="s">
        <v>2203</v>
      </c>
      <c r="F1034" s="110">
        <v>4152</v>
      </c>
      <c r="G1034" s="30" t="str">
        <f>VLOOKUP(F1034, 'RM &amp; SF'!B:C, 2, 0)</f>
        <v>ملح طعام 750غم*****</v>
      </c>
      <c r="H1034" s="30">
        <v>200</v>
      </c>
      <c r="I1034" s="30" t="str">
        <f>VLOOKUP(F1034, 'RM &amp; SF'!B:H, 4, 0)</f>
        <v>غم</v>
      </c>
      <c r="J1034" s="90">
        <f t="shared" si="99"/>
        <v>100</v>
      </c>
      <c r="K1034" s="91">
        <f>VLOOKUP(F1034, 'RM &amp; SF'!B:H, 7, 0)</f>
        <v>1.7066666666666665E-4</v>
      </c>
      <c r="L1034" s="92">
        <f t="shared" si="100"/>
        <v>1.7066666666666664E-2</v>
      </c>
      <c r="M1034" s="30" t="s">
        <v>813</v>
      </c>
    </row>
    <row r="1035" spans="1:13" ht="14">
      <c r="A1035" s="88" t="s">
        <v>3215</v>
      </c>
      <c r="B1035" s="219" t="s">
        <v>762</v>
      </c>
      <c r="C1035" s="30"/>
      <c r="D1035" s="30" t="str">
        <f>VLOOKUP(B1035, 'RM &amp; SF'!B:C, 2, 0)</f>
        <v>برجر لحم</v>
      </c>
      <c r="E1035" s="30" t="s">
        <v>3058</v>
      </c>
      <c r="F1035" s="110">
        <v>5373</v>
      </c>
      <c r="G1035" s="30" t="str">
        <f>VLOOKUP(F1035, 'RM &amp; SF'!B:C, 2, 0)</f>
        <v>قطعيات عجل مشكلة</v>
      </c>
      <c r="H1035" s="30">
        <v>350</v>
      </c>
      <c r="I1035" s="30" t="str">
        <f>VLOOKUP(F1035, 'RM &amp; SF'!B:H, 4, 0)</f>
        <v>غم</v>
      </c>
      <c r="J1035" s="90">
        <f>H1035</f>
        <v>350</v>
      </c>
      <c r="K1035" s="91">
        <f>VLOOKUP(F1035, 'RM &amp; SF'!B:H, 7, 0)</f>
        <v>9.0100000000000006E-3</v>
      </c>
      <c r="L1035" s="92">
        <f t="shared" si="100"/>
        <v>3.1535000000000002</v>
      </c>
      <c r="M1035" s="30" t="s">
        <v>813</v>
      </c>
    </row>
    <row r="1036" spans="1:13" ht="14">
      <c r="A1036" s="88" t="s">
        <v>3215</v>
      </c>
      <c r="B1036" s="219" t="s">
        <v>762</v>
      </c>
      <c r="C1036" s="30"/>
      <c r="D1036" s="30" t="str">
        <f>VLOOKUP(B1036, 'RM &amp; SF'!B:C, 2, 0)</f>
        <v>برجر لحم</v>
      </c>
      <c r="E1036" s="30" t="s">
        <v>3058</v>
      </c>
      <c r="F1036" s="110">
        <v>4598</v>
      </c>
      <c r="G1036" s="30" t="str">
        <f>VLOOKUP(F1036, 'RM &amp; SF'!B:C, 2, 0)</f>
        <v>لية خروف نية*****</v>
      </c>
      <c r="H1036" s="30">
        <v>150</v>
      </c>
      <c r="I1036" s="30" t="str">
        <f>VLOOKUP(F1036, 'RM &amp; SF'!B:H, 4, 0)</f>
        <v>غم</v>
      </c>
      <c r="J1036" s="90">
        <f>H1036</f>
        <v>150</v>
      </c>
      <c r="K1036" s="91">
        <f>VLOOKUP(F1036, 'RM &amp; SF'!B:H, 7, 0)</f>
        <v>5.0000000000000001E-3</v>
      </c>
      <c r="L1036" s="92">
        <f t="shared" si="100"/>
        <v>0.75</v>
      </c>
      <c r="M1036" s="30" t="s">
        <v>813</v>
      </c>
    </row>
    <row r="1037" spans="1:13" ht="14">
      <c r="A1037" s="88" t="s">
        <v>3215</v>
      </c>
      <c r="B1037" s="219" t="s">
        <v>762</v>
      </c>
      <c r="C1037" s="30"/>
      <c r="D1037" s="30" t="str">
        <f>VLOOKUP(B1037, 'RM &amp; SF'!B:C, 2, 0)</f>
        <v>برجر لحم</v>
      </c>
      <c r="E1037" s="30" t="s">
        <v>2206</v>
      </c>
      <c r="F1037" s="110">
        <v>4204</v>
      </c>
      <c r="G1037" s="30" t="str">
        <f>VLOOKUP(F1037, 'RM &amp; SF'!B:C, 2, 0)</f>
        <v>فلفل اسود ناعم*****</v>
      </c>
      <c r="H1037" s="30">
        <v>5</v>
      </c>
      <c r="I1037" s="30" t="str">
        <f>VLOOKUP(F1037, 'RM &amp; SF'!B:H, 4, 0)</f>
        <v>غم</v>
      </c>
      <c r="J1037" s="90">
        <f>H1037</f>
        <v>5</v>
      </c>
      <c r="K1037" s="91">
        <f>VLOOKUP(F1037, 'RM &amp; SF'!B:H, 7, 0)</f>
        <v>6.8970000000000004E-3</v>
      </c>
      <c r="L1037" s="92">
        <f t="shared" si="100"/>
        <v>3.4485000000000002E-2</v>
      </c>
      <c r="M1037" s="30" t="s">
        <v>813</v>
      </c>
    </row>
    <row r="1038" spans="1:13" ht="14">
      <c r="A1038" s="88" t="s">
        <v>3215</v>
      </c>
      <c r="B1038" s="219" t="s">
        <v>762</v>
      </c>
      <c r="C1038" s="30"/>
      <c r="D1038" s="30" t="str">
        <f>VLOOKUP(B1038, 'RM &amp; SF'!B:C, 2, 0)</f>
        <v>برجر لحم</v>
      </c>
      <c r="E1038" s="30" t="s">
        <v>2212</v>
      </c>
      <c r="F1038" s="110">
        <v>4215</v>
      </c>
      <c r="G1038" s="30" t="str">
        <f>VLOOKUP(F1038, 'RM &amp; SF'!B:C, 2, 0)</f>
        <v>ملح صيني*****</v>
      </c>
      <c r="H1038" s="30">
        <v>13</v>
      </c>
      <c r="I1038" s="30" t="str">
        <f>VLOOKUP(F1038, 'RM &amp; SF'!B:H, 4, 0)</f>
        <v>غم</v>
      </c>
      <c r="J1038" s="90">
        <f>H1038</f>
        <v>13</v>
      </c>
      <c r="K1038" s="91">
        <f>VLOOKUP(F1038, 'RM &amp; SF'!B:H, 7, 0)</f>
        <v>1.7240000000000001E-3</v>
      </c>
      <c r="L1038" s="92">
        <f t="shared" si="100"/>
        <v>2.2412000000000001E-2</v>
      </c>
      <c r="M1038" s="30" t="s">
        <v>813</v>
      </c>
    </row>
    <row r="1039" spans="1:13" ht="14">
      <c r="A1039" s="88" t="s">
        <v>2360</v>
      </c>
      <c r="B1039" s="219" t="s">
        <v>752</v>
      </c>
      <c r="C1039" s="30"/>
      <c r="D1039" s="30" t="str">
        <f>VLOOKUP(B1039, 'RM &amp; SF'!B:C, 2, 0)</f>
        <v>يخنة فاصوليا بيضا</v>
      </c>
      <c r="E1039" s="30" t="s">
        <v>3058</v>
      </c>
      <c r="F1039" s="110">
        <v>5428</v>
      </c>
      <c r="G1039" s="30" t="str">
        <f>VLOOKUP(F1039, 'RM &amp; SF'!B:C, 2, 0)</f>
        <v>فاصوليا بيضا</v>
      </c>
      <c r="H1039" s="30">
        <v>2000</v>
      </c>
      <c r="I1039" s="30" t="str">
        <f>VLOOKUP(F1039, 'RM &amp; SF'!B:H, 4, 0)</f>
        <v>غم</v>
      </c>
      <c r="J1039" s="90">
        <f t="shared" ref="J1039:J1050" si="101">H1039/5</f>
        <v>400</v>
      </c>
      <c r="K1039" s="91">
        <f>VLOOKUP(F1039, 'RM &amp; SF'!B:H, 7, 0)</f>
        <v>1.15E-3</v>
      </c>
      <c r="L1039" s="92">
        <f t="shared" si="100"/>
        <v>0.45999999999999996</v>
      </c>
      <c r="M1039" s="30" t="s">
        <v>813</v>
      </c>
    </row>
    <row r="1040" spans="1:13" ht="14">
      <c r="A1040" s="88" t="s">
        <v>2360</v>
      </c>
      <c r="B1040" s="219" t="s">
        <v>752</v>
      </c>
      <c r="C1040" s="30"/>
      <c r="D1040" s="30" t="str">
        <f>VLOOKUP(B1040, 'RM &amp; SF'!B:C, 2, 0)</f>
        <v>يخنة فاصوليا بيضا</v>
      </c>
      <c r="E1040" s="30" t="s">
        <v>2234</v>
      </c>
      <c r="F1040" s="110">
        <v>4503</v>
      </c>
      <c r="G1040" s="30" t="str">
        <f>VLOOKUP(F1040, 'RM &amp; SF'!B:C, 2, 0)</f>
        <v>بصل ناشف دفش*****</v>
      </c>
      <c r="H1040" s="30">
        <v>500</v>
      </c>
      <c r="I1040" s="30" t="str">
        <f>VLOOKUP(F1040, 'RM &amp; SF'!B:H, 4, 0)</f>
        <v>غم</v>
      </c>
      <c r="J1040" s="90">
        <f t="shared" si="101"/>
        <v>100</v>
      </c>
      <c r="K1040" s="91">
        <f>VLOOKUP(F1040, 'RM &amp; SF'!B:H, 7, 0)</f>
        <v>2.5000000000000001E-4</v>
      </c>
      <c r="L1040" s="92">
        <f t="shared" si="100"/>
        <v>2.5000000000000001E-2</v>
      </c>
      <c r="M1040" s="30" t="s">
        <v>813</v>
      </c>
    </row>
    <row r="1041" spans="1:13" ht="14">
      <c r="A1041" s="88" t="s">
        <v>2360</v>
      </c>
      <c r="B1041" s="219" t="s">
        <v>752</v>
      </c>
      <c r="C1041" s="30"/>
      <c r="D1041" s="30" t="str">
        <f>VLOOKUP(B1041, 'RM &amp; SF'!B:C, 2, 0)</f>
        <v>يخنة فاصوليا بيضا</v>
      </c>
      <c r="E1041" s="30" t="s">
        <v>2260</v>
      </c>
      <c r="F1041" s="110">
        <v>4160</v>
      </c>
      <c r="G1041" s="30" t="str">
        <f>VLOOKUP(F1041, 'RM &amp; SF'!B:C, 2, 0)</f>
        <v>زيت صويا 18 لتر*****</v>
      </c>
      <c r="H1041" s="30">
        <v>500</v>
      </c>
      <c r="I1041" s="30" t="str">
        <f>VLOOKUP(F1041, 'RM &amp; SF'!B:H, 4, 0)</f>
        <v>مل</v>
      </c>
      <c r="J1041" s="90">
        <f t="shared" si="101"/>
        <v>100</v>
      </c>
      <c r="K1041" s="91">
        <f>VLOOKUP(F1041, 'RM &amp; SF'!B:H, 7, 0)</f>
        <v>1.335E-3</v>
      </c>
      <c r="L1041" s="92">
        <f t="shared" si="100"/>
        <v>0.13350000000000001</v>
      </c>
      <c r="M1041" s="30" t="s">
        <v>813</v>
      </c>
    </row>
    <row r="1042" spans="1:13" ht="14">
      <c r="A1042" s="88" t="s">
        <v>2360</v>
      </c>
      <c r="B1042" s="219" t="s">
        <v>752</v>
      </c>
      <c r="C1042" s="30"/>
      <c r="D1042" s="30" t="str">
        <f>VLOOKUP(B1042, 'RM &amp; SF'!B:C, 2, 0)</f>
        <v>يخنة فاصوليا بيضا</v>
      </c>
      <c r="E1042" s="30" t="s">
        <v>2309</v>
      </c>
      <c r="F1042" s="110">
        <v>4491</v>
      </c>
      <c r="G1042" s="30" t="str">
        <f>VLOOKUP(F1042, 'RM &amp; SF'!B:C, 2, 0)</f>
        <v>بندورة جامدة*****</v>
      </c>
      <c r="H1042" s="30">
        <v>2000</v>
      </c>
      <c r="I1042" s="30" t="str">
        <f>VLOOKUP(F1042, 'RM &amp; SF'!B:H, 4, 0)</f>
        <v>غم</v>
      </c>
      <c r="J1042" s="90">
        <f t="shared" si="101"/>
        <v>400</v>
      </c>
      <c r="K1042" s="91">
        <f>VLOOKUP(F1042, 'RM &amp; SF'!B:H, 7, 0)</f>
        <v>5.0000000000000001E-4</v>
      </c>
      <c r="L1042" s="92">
        <f t="shared" si="100"/>
        <v>0.2</v>
      </c>
      <c r="M1042" s="30" t="s">
        <v>813</v>
      </c>
    </row>
    <row r="1043" spans="1:13" ht="14">
      <c r="A1043" s="88" t="s">
        <v>2360</v>
      </c>
      <c r="B1043" s="219" t="s">
        <v>752</v>
      </c>
      <c r="C1043" s="30"/>
      <c r="D1043" s="30" t="str">
        <f>VLOOKUP(B1043, 'RM &amp; SF'!B:C, 2, 0)</f>
        <v>يخنة فاصوليا بيضا</v>
      </c>
      <c r="E1043" s="30" t="s">
        <v>3058</v>
      </c>
      <c r="F1043" s="110">
        <v>4021</v>
      </c>
      <c r="G1043" s="30" t="str">
        <f>VLOOKUP(F1043, 'RM &amp; SF'!B:C, 2, 0)</f>
        <v>مكعبات مرق الدجاج 24 عبوة*2 مكعب*****</v>
      </c>
      <c r="H1043" s="89">
        <v>50</v>
      </c>
      <c r="I1043" s="30" t="str">
        <f>VLOOKUP(F1043, 'RM &amp; SF'!B:H, 4, 0)</f>
        <v>غم</v>
      </c>
      <c r="J1043" s="90">
        <f t="shared" si="101"/>
        <v>10</v>
      </c>
      <c r="K1043" s="91">
        <f>VLOOKUP(F1043, 'RM &amp; SF'!B:H, 7, 0)</f>
        <v>3.8541666666666668E-3</v>
      </c>
      <c r="L1043" s="92">
        <f t="shared" si="100"/>
        <v>3.8541666666666669E-2</v>
      </c>
      <c r="M1043" s="30" t="s">
        <v>813</v>
      </c>
    </row>
    <row r="1044" spans="1:13" ht="14">
      <c r="A1044" s="88" t="s">
        <v>2360</v>
      </c>
      <c r="B1044" s="219" t="s">
        <v>752</v>
      </c>
      <c r="C1044" s="30"/>
      <c r="D1044" s="30" t="str">
        <f>VLOOKUP(B1044, 'RM &amp; SF'!B:C, 2, 0)</f>
        <v>يخنة فاصوليا بيضا</v>
      </c>
      <c r="E1044" s="30" t="s">
        <v>2209</v>
      </c>
      <c r="F1044" s="110">
        <v>4546</v>
      </c>
      <c r="G1044" s="30" t="str">
        <f>VLOOKUP(F1044, 'RM &amp; SF'!B:C, 2, 0)</f>
        <v>كزبرة*****</v>
      </c>
      <c r="H1044" s="30">
        <v>0.2</v>
      </c>
      <c r="I1044" s="30" t="str">
        <f>VLOOKUP(F1044, 'RM &amp; SF'!B:H, 4, 0)</f>
        <v>قطعة</v>
      </c>
      <c r="J1044" s="90">
        <f t="shared" si="101"/>
        <v>0.04</v>
      </c>
      <c r="K1044" s="91">
        <f>VLOOKUP(F1044, 'RM &amp; SF'!B:H, 7, 0)</f>
        <v>1E-3</v>
      </c>
      <c r="L1044" s="92">
        <f t="shared" si="100"/>
        <v>4.0000000000000003E-5</v>
      </c>
      <c r="M1044" s="30" t="s">
        <v>813</v>
      </c>
    </row>
    <row r="1045" spans="1:13" ht="14">
      <c r="A1045" s="88" t="s">
        <v>2360</v>
      </c>
      <c r="B1045" s="219" t="s">
        <v>752</v>
      </c>
      <c r="C1045" s="30"/>
      <c r="D1045" s="30" t="str">
        <f>VLOOKUP(B1045, 'RM &amp; SF'!B:C, 2, 0)</f>
        <v>يخنة فاصوليا بيضا</v>
      </c>
      <c r="E1045" s="30" t="s">
        <v>3058</v>
      </c>
      <c r="F1045" s="110">
        <v>4222</v>
      </c>
      <c r="G1045" s="30" t="str">
        <f>VLOOKUP(F1045, 'RM &amp; SF'!B:C, 2, 0)</f>
        <v>كمون ناعم*****</v>
      </c>
      <c r="H1045" s="30">
        <v>20</v>
      </c>
      <c r="I1045" s="30" t="str">
        <f>VLOOKUP(F1045, 'RM &amp; SF'!B:H, 4, 0)</f>
        <v>غم</v>
      </c>
      <c r="J1045" s="90">
        <f t="shared" si="101"/>
        <v>4</v>
      </c>
      <c r="K1045" s="91">
        <f>VLOOKUP(F1045, 'RM &amp; SF'!B:H, 7, 0)</f>
        <v>3.2330000000000002E-3</v>
      </c>
      <c r="L1045" s="92">
        <f t="shared" si="100"/>
        <v>1.2932000000000001E-2</v>
      </c>
      <c r="M1045" s="30" t="s">
        <v>813</v>
      </c>
    </row>
    <row r="1046" spans="1:13" ht="14">
      <c r="A1046" s="88" t="s">
        <v>2360</v>
      </c>
      <c r="B1046" s="219" t="s">
        <v>752</v>
      </c>
      <c r="C1046" s="30"/>
      <c r="D1046" s="30" t="str">
        <f>VLOOKUP(B1046, 'RM &amp; SF'!B:C, 2, 0)</f>
        <v>يخنة فاصوليا بيضا</v>
      </c>
      <c r="E1046" s="30" t="s">
        <v>2203</v>
      </c>
      <c r="F1046" s="110">
        <v>4152</v>
      </c>
      <c r="G1046" s="30" t="str">
        <f>VLOOKUP(F1046, 'RM &amp; SF'!B:C, 2, 0)</f>
        <v>ملح طعام 750غم*****</v>
      </c>
      <c r="H1046" s="30">
        <v>20</v>
      </c>
      <c r="I1046" s="30" t="str">
        <f>VLOOKUP(F1046, 'RM &amp; SF'!B:H, 4, 0)</f>
        <v>غم</v>
      </c>
      <c r="J1046" s="90">
        <f t="shared" si="101"/>
        <v>4</v>
      </c>
      <c r="K1046" s="91">
        <f>VLOOKUP(F1046, 'RM &amp; SF'!B:H, 7, 0)</f>
        <v>1.7066666666666665E-4</v>
      </c>
      <c r="L1046" s="92">
        <f t="shared" si="100"/>
        <v>6.826666666666666E-4</v>
      </c>
      <c r="M1046" s="30" t="s">
        <v>813</v>
      </c>
    </row>
    <row r="1047" spans="1:13" ht="14">
      <c r="A1047" s="88" t="s">
        <v>2360</v>
      </c>
      <c r="B1047" s="219" t="s">
        <v>752</v>
      </c>
      <c r="C1047" s="30"/>
      <c r="D1047" s="30" t="str">
        <f>VLOOKUP(B1047, 'RM &amp; SF'!B:C, 2, 0)</f>
        <v>يخنة فاصوليا بيضا</v>
      </c>
      <c r="E1047" s="30" t="s">
        <v>3058</v>
      </c>
      <c r="F1047" s="110">
        <v>4203</v>
      </c>
      <c r="G1047" s="30" t="str">
        <f>VLOOKUP(F1047, 'RM &amp; SF'!B:C, 2, 0)</f>
        <v>فلفل ابيض ناعم*****</v>
      </c>
      <c r="H1047" s="30">
        <v>15</v>
      </c>
      <c r="I1047" s="30" t="str">
        <f>VLOOKUP(F1047, 'RM &amp; SF'!B:H, 4, 0)</f>
        <v>غم</v>
      </c>
      <c r="J1047" s="90">
        <f t="shared" si="101"/>
        <v>3</v>
      </c>
      <c r="K1047" s="91">
        <f>VLOOKUP(F1047, 'RM &amp; SF'!B:H, 7, 0)</f>
        <v>7.7590000000000003E-3</v>
      </c>
      <c r="L1047" s="92">
        <f t="shared" si="100"/>
        <v>2.3276999999999999E-2</v>
      </c>
      <c r="M1047" s="30" t="s">
        <v>813</v>
      </c>
    </row>
    <row r="1048" spans="1:13" ht="14">
      <c r="A1048" s="88" t="s">
        <v>2360</v>
      </c>
      <c r="B1048" s="219" t="s">
        <v>752</v>
      </c>
      <c r="C1048" s="30"/>
      <c r="D1048" s="30" t="str">
        <f>VLOOKUP(B1048, 'RM &amp; SF'!B:C, 2, 0)</f>
        <v>يخنة فاصوليا بيضا</v>
      </c>
      <c r="E1048" s="30" t="s">
        <v>3058</v>
      </c>
      <c r="F1048" s="110">
        <v>4045</v>
      </c>
      <c r="G1048" s="30" t="str">
        <f>VLOOKUP(F1048, 'RM &amp; SF'!B:C, 2, 0)</f>
        <v>معجون الطماطم 1375 غم*****</v>
      </c>
      <c r="H1048" s="30">
        <v>150</v>
      </c>
      <c r="I1048" s="30" t="str">
        <f>VLOOKUP(F1048, 'RM &amp; SF'!B:H, 4, 0)</f>
        <v>غم</v>
      </c>
      <c r="J1048" s="90">
        <f t="shared" si="101"/>
        <v>30</v>
      </c>
      <c r="K1048" s="91">
        <f>VLOOKUP(F1048, 'RM &amp; SF'!B:H, 7, 0)</f>
        <v>1.3665999999999999E-3</v>
      </c>
      <c r="L1048" s="92">
        <f t="shared" si="100"/>
        <v>4.0998E-2</v>
      </c>
      <c r="M1048" s="30" t="s">
        <v>813</v>
      </c>
    </row>
    <row r="1049" spans="1:13" ht="14">
      <c r="A1049" s="88" t="s">
        <v>2360</v>
      </c>
      <c r="B1049" s="219" t="s">
        <v>752</v>
      </c>
      <c r="C1049" s="30"/>
      <c r="D1049" s="30" t="str">
        <f>VLOOKUP(B1049, 'RM &amp; SF'!B:C, 2, 0)</f>
        <v>يخنة فاصوليا بيضا</v>
      </c>
      <c r="E1049" s="30" t="s">
        <v>3058</v>
      </c>
      <c r="F1049" s="110">
        <v>5401</v>
      </c>
      <c r="G1049" s="30" t="str">
        <f>VLOOKUP(F1049, 'RM &amp; SF'!B:C, 2, 0)</f>
        <v xml:space="preserve">روز بيف  </v>
      </c>
      <c r="H1049" s="30">
        <v>1500</v>
      </c>
      <c r="I1049" s="30" t="str">
        <f>VLOOKUP(F1049, 'RM &amp; SF'!B:H, 4, 0)</f>
        <v>غم</v>
      </c>
      <c r="J1049" s="90">
        <f t="shared" si="101"/>
        <v>300</v>
      </c>
      <c r="K1049" s="91">
        <f>VLOOKUP(F1049, 'RM &amp; SF'!B:H, 7, 0)</f>
        <v>1.2580000000000001E-2</v>
      </c>
      <c r="L1049" s="92">
        <f t="shared" si="100"/>
        <v>3.7740000000000005</v>
      </c>
      <c r="M1049" s="30" t="s">
        <v>813</v>
      </c>
    </row>
    <row r="1050" spans="1:13" ht="14">
      <c r="A1050" s="88" t="s">
        <v>2360</v>
      </c>
      <c r="B1050" s="219" t="s">
        <v>752</v>
      </c>
      <c r="C1050" s="30"/>
      <c r="D1050" s="30" t="str">
        <f>VLOOKUP(B1050, 'RM &amp; SF'!B:C, 2, 0)</f>
        <v>يخنة فاصوليا بيضا</v>
      </c>
      <c r="E1050" s="30" t="s">
        <v>3058</v>
      </c>
      <c r="F1050" s="110">
        <v>3</v>
      </c>
      <c r="G1050" s="30" t="str">
        <f>VLOOKUP(F1050, 'RM &amp; SF'!B:C, 2, 0)</f>
        <v>مياه حنفية</v>
      </c>
      <c r="H1050" s="30">
        <v>5000</v>
      </c>
      <c r="I1050" s="30" t="str">
        <f>VLOOKUP(F1050, 'RM &amp; SF'!B:H, 4, 0)</f>
        <v>مل</v>
      </c>
      <c r="J1050" s="90">
        <f t="shared" si="101"/>
        <v>1000</v>
      </c>
      <c r="K1050" s="91">
        <f>VLOOKUP(F1050, 'RM &amp; SF'!B:H, 7, 0)</f>
        <v>0</v>
      </c>
      <c r="L1050" s="92">
        <f t="shared" si="100"/>
        <v>0</v>
      </c>
      <c r="M1050" s="30" t="s">
        <v>813</v>
      </c>
    </row>
    <row r="1051" spans="1:13" ht="14">
      <c r="A1051" s="88" t="s">
        <v>2362</v>
      </c>
      <c r="B1051" s="219" t="s">
        <v>756</v>
      </c>
      <c r="C1051" s="30"/>
      <c r="D1051" s="30" t="str">
        <f>VLOOKUP(B1051, 'RM &amp; SF'!B:C, 2, 0)</f>
        <v>دجاج مسخن</v>
      </c>
      <c r="E1051" s="30" t="s">
        <v>3058</v>
      </c>
      <c r="F1051" s="110">
        <v>4577</v>
      </c>
      <c r="G1051" s="30" t="str">
        <f>VLOOKUP(F1051, 'RM &amp; SF'!B:C, 2, 0)</f>
        <v>دجاج حب مع رقبة طازج للمشاغل 1100-1400غم*****</v>
      </c>
      <c r="H1051" s="30">
        <v>3</v>
      </c>
      <c r="I1051" s="30" t="str">
        <f>VLOOKUP(F1051, 'RM &amp; SF'!B:H, 4, 0)</f>
        <v>غم</v>
      </c>
      <c r="J1051" s="90">
        <f t="shared" ref="J1051:J1056" si="102">H1051/3</f>
        <v>1</v>
      </c>
      <c r="K1051" s="91">
        <f>VLOOKUP(F1051, 'RM &amp; SF'!B:H, 7, 0)</f>
        <v>2.3400000000000001E-3</v>
      </c>
      <c r="L1051" s="92">
        <f t="shared" si="100"/>
        <v>2.3400000000000001E-3</v>
      </c>
      <c r="M1051" s="30" t="s">
        <v>813</v>
      </c>
    </row>
    <row r="1052" spans="1:13" ht="14">
      <c r="A1052" s="88" t="s">
        <v>2362</v>
      </c>
      <c r="B1052" s="219" t="s">
        <v>756</v>
      </c>
      <c r="C1052" s="30"/>
      <c r="D1052" s="30" t="str">
        <f>VLOOKUP(B1052, 'RM &amp; SF'!B:C, 2, 0)</f>
        <v>دجاج مسخن</v>
      </c>
      <c r="E1052" s="30" t="s">
        <v>2288</v>
      </c>
      <c r="F1052" s="110">
        <v>4219</v>
      </c>
      <c r="G1052" s="30" t="str">
        <f>VLOOKUP(F1052, 'RM &amp; SF'!B:C, 2, 0)</f>
        <v>بابريكا حلوة*****</v>
      </c>
      <c r="H1052" s="30">
        <v>60</v>
      </c>
      <c r="I1052" s="30" t="str">
        <f>VLOOKUP(F1052, 'RM &amp; SF'!B:H, 4, 0)</f>
        <v>غم</v>
      </c>
      <c r="J1052" s="90">
        <f t="shared" si="102"/>
        <v>20</v>
      </c>
      <c r="K1052" s="91">
        <f>VLOOKUP(F1052, 'RM &amp; SF'!B:H, 7, 0)</f>
        <v>2.5859999999999998E-3</v>
      </c>
      <c r="L1052" s="92">
        <f t="shared" si="100"/>
        <v>5.1719999999999995E-2</v>
      </c>
      <c r="M1052" s="30" t="s">
        <v>813</v>
      </c>
    </row>
    <row r="1053" spans="1:13" ht="14">
      <c r="A1053" s="88" t="s">
        <v>2362</v>
      </c>
      <c r="B1053" s="219" t="s">
        <v>756</v>
      </c>
      <c r="C1053" s="30"/>
      <c r="D1053" s="30" t="str">
        <f>VLOOKUP(B1053, 'RM &amp; SF'!B:C, 2, 0)</f>
        <v>دجاج مسخن</v>
      </c>
      <c r="E1053" s="30" t="s">
        <v>2206</v>
      </c>
      <c r="F1053" s="110">
        <v>4204</v>
      </c>
      <c r="G1053" s="30" t="str">
        <f>VLOOKUP(F1053, 'RM &amp; SF'!B:C, 2, 0)</f>
        <v>فلفل اسود ناعم*****</v>
      </c>
      <c r="H1053" s="30">
        <v>30</v>
      </c>
      <c r="I1053" s="30" t="str">
        <f>VLOOKUP(F1053, 'RM &amp; SF'!B:H, 4, 0)</f>
        <v>غم</v>
      </c>
      <c r="J1053" s="90">
        <f t="shared" si="102"/>
        <v>10</v>
      </c>
      <c r="K1053" s="91">
        <f>VLOOKUP(F1053, 'RM &amp; SF'!B:H, 7, 0)</f>
        <v>6.8970000000000004E-3</v>
      </c>
      <c r="L1053" s="92">
        <f t="shared" si="100"/>
        <v>6.8970000000000004E-2</v>
      </c>
      <c r="M1053" s="30" t="s">
        <v>813</v>
      </c>
    </row>
    <row r="1054" spans="1:13" ht="14">
      <c r="A1054" s="88" t="s">
        <v>2362</v>
      </c>
      <c r="B1054" s="219" t="s">
        <v>756</v>
      </c>
      <c r="C1054" s="30"/>
      <c r="D1054" s="30" t="str">
        <f>VLOOKUP(B1054, 'RM &amp; SF'!B:C, 2, 0)</f>
        <v>دجاج مسخن</v>
      </c>
      <c r="E1054" s="30" t="s">
        <v>2203</v>
      </c>
      <c r="F1054" s="110">
        <v>4152</v>
      </c>
      <c r="G1054" s="30" t="str">
        <f>VLOOKUP(F1054, 'RM &amp; SF'!B:C, 2, 0)</f>
        <v>ملح طعام 750غم*****</v>
      </c>
      <c r="H1054" s="30">
        <v>50</v>
      </c>
      <c r="I1054" s="30" t="str">
        <f>VLOOKUP(F1054, 'RM &amp; SF'!B:H, 4, 0)</f>
        <v>غم</v>
      </c>
      <c r="J1054" s="90">
        <f t="shared" si="102"/>
        <v>16.666666666666668</v>
      </c>
      <c r="K1054" s="91">
        <f>VLOOKUP(F1054, 'RM &amp; SF'!B:H, 7, 0)</f>
        <v>1.7066666666666665E-4</v>
      </c>
      <c r="L1054" s="92">
        <f t="shared" si="100"/>
        <v>2.8444444444444446E-3</v>
      </c>
      <c r="M1054" s="30" t="s">
        <v>813</v>
      </c>
    </row>
    <row r="1055" spans="1:13" ht="14">
      <c r="A1055" s="88" t="s">
        <v>2362</v>
      </c>
      <c r="B1055" s="219" t="s">
        <v>756</v>
      </c>
      <c r="C1055" s="30"/>
      <c r="D1055" s="30" t="str">
        <f>VLOOKUP(B1055, 'RM &amp; SF'!B:C, 2, 0)</f>
        <v>دجاج مسخن</v>
      </c>
      <c r="E1055" s="30" t="s">
        <v>2218</v>
      </c>
      <c r="F1055" s="110">
        <v>4233</v>
      </c>
      <c r="G1055" s="30" t="str">
        <f>VLOOKUP(F1055, 'RM &amp; SF'!B:C, 2, 0)</f>
        <v>هال ناعم*****</v>
      </c>
      <c r="H1055" s="30">
        <v>20</v>
      </c>
      <c r="I1055" s="30" t="str">
        <f>VLOOKUP(F1055, 'RM &amp; SF'!B:H, 4, 0)</f>
        <v>غم</v>
      </c>
      <c r="J1055" s="90">
        <f t="shared" si="102"/>
        <v>6.666666666666667</v>
      </c>
      <c r="K1055" s="91">
        <f>VLOOKUP(F1055, 'RM &amp; SF'!B:H, 7, 0)</f>
        <v>2.3E-2</v>
      </c>
      <c r="L1055" s="92">
        <f t="shared" si="100"/>
        <v>0.15333333333333335</v>
      </c>
      <c r="M1055" s="30" t="s">
        <v>813</v>
      </c>
    </row>
    <row r="1056" spans="1:13" ht="14">
      <c r="A1056" s="88" t="s">
        <v>2362</v>
      </c>
      <c r="B1056" s="219" t="s">
        <v>756</v>
      </c>
      <c r="C1056" s="30"/>
      <c r="D1056" s="30" t="str">
        <f>VLOOKUP(B1056, 'RM &amp; SF'!B:C, 2, 0)</f>
        <v>دجاج مسخن</v>
      </c>
      <c r="E1056" s="30" t="s">
        <v>2260</v>
      </c>
      <c r="F1056" s="110">
        <v>4160</v>
      </c>
      <c r="G1056" s="30" t="str">
        <f>VLOOKUP(F1056, 'RM &amp; SF'!B:C, 2, 0)</f>
        <v>زيت صويا 18 لتر*****</v>
      </c>
      <c r="H1056" s="30">
        <v>150</v>
      </c>
      <c r="I1056" s="30" t="str">
        <f>VLOOKUP(F1056, 'RM &amp; SF'!B:H, 4, 0)</f>
        <v>مل</v>
      </c>
      <c r="J1056" s="90">
        <f t="shared" si="102"/>
        <v>50</v>
      </c>
      <c r="K1056" s="91">
        <f>VLOOKUP(F1056, 'RM &amp; SF'!B:H, 7, 0)</f>
        <v>1.335E-3</v>
      </c>
      <c r="L1056" s="92">
        <f t="shared" si="100"/>
        <v>6.6750000000000004E-2</v>
      </c>
      <c r="M1056" s="30" t="s">
        <v>813</v>
      </c>
    </row>
    <row r="1057" spans="1:16" ht="14">
      <c r="A1057" s="88" t="s">
        <v>2361</v>
      </c>
      <c r="B1057" s="219" t="s">
        <v>754</v>
      </c>
      <c r="C1057" s="30"/>
      <c r="D1057" s="30" t="str">
        <f>VLOOKUP(B1057, 'RM &amp; SF'!B:C, 2, 0)</f>
        <v>رقبة محشية ارز</v>
      </c>
      <c r="E1057" s="30" t="s">
        <v>3058</v>
      </c>
      <c r="F1057" s="110">
        <v>4605</v>
      </c>
      <c r="G1057" s="30" t="str">
        <f>VLOOKUP(F1057, 'RM &amp; SF'!B:C, 2, 0)</f>
        <v>رقاب خروف نية*****</v>
      </c>
      <c r="H1057" s="30">
        <v>700</v>
      </c>
      <c r="I1057" s="30" t="str">
        <f>VLOOKUP(F1057, 'RM &amp; SF'!B:H, 4, 0)</f>
        <v>غم</v>
      </c>
      <c r="J1057" s="90">
        <f>H1057</f>
        <v>700</v>
      </c>
      <c r="K1057" s="91">
        <f>VLOOKUP(F1057, 'RM &amp; SF'!B:H, 7, 0)</f>
        <v>1.1615493158849017E-2</v>
      </c>
      <c r="L1057" s="92">
        <f t="shared" si="100"/>
        <v>8.1308452111943108</v>
      </c>
      <c r="M1057" s="30" t="s">
        <v>813</v>
      </c>
    </row>
    <row r="1058" spans="1:16" ht="14">
      <c r="A1058" s="88" t="s">
        <v>2361</v>
      </c>
      <c r="B1058" s="219" t="s">
        <v>754</v>
      </c>
      <c r="C1058" s="30"/>
      <c r="D1058" s="30" t="str">
        <f>VLOOKUP(B1058, 'RM &amp; SF'!B:C, 2, 0)</f>
        <v>رقبة محشية ارز</v>
      </c>
      <c r="E1058" s="30" t="s">
        <v>2412</v>
      </c>
      <c r="F1058" s="110" t="s">
        <v>598</v>
      </c>
      <c r="G1058" s="30" t="str">
        <f>VLOOKUP(F1058, 'RM &amp; SF'!B:C, 2, 0)</f>
        <v>رز اوزي</v>
      </c>
      <c r="H1058" s="30">
        <v>84</v>
      </c>
      <c r="I1058" s="30" t="str">
        <f>VLOOKUP(F1058, 'RM &amp; SF'!B:H, 4, 0)</f>
        <v>غم</v>
      </c>
      <c r="J1058" s="90">
        <f>H1058</f>
        <v>84</v>
      </c>
      <c r="K1058" s="91">
        <f>VLOOKUP(F1058, 'RM &amp; SF'!B:H, 7, 0)</f>
        <v>1.1675619256756756E-3</v>
      </c>
      <c r="L1058" s="92">
        <f t="shared" si="100"/>
        <v>9.8075201756756741E-2</v>
      </c>
      <c r="M1058" s="30" t="s">
        <v>813</v>
      </c>
    </row>
    <row r="1059" spans="1:16" ht="14">
      <c r="A1059" s="88" t="s">
        <v>2361</v>
      </c>
      <c r="B1059" s="219" t="s">
        <v>754</v>
      </c>
      <c r="C1059" s="30"/>
      <c r="D1059" s="30" t="str">
        <f>VLOOKUP(B1059, 'RM &amp; SF'!B:C, 2, 0)</f>
        <v>رقبة محشية ارز</v>
      </c>
      <c r="E1059" s="30" t="s">
        <v>2194</v>
      </c>
      <c r="F1059" s="110">
        <v>4323</v>
      </c>
      <c r="G1059" s="30" t="str">
        <f>VLOOKUP(F1059, 'RM &amp; SF'!B:C, 2, 0)</f>
        <v>قصدير رول 45 سم*2كغ*****</v>
      </c>
      <c r="H1059" s="30">
        <v>6</v>
      </c>
      <c r="I1059" s="30" t="str">
        <f>VLOOKUP(F1059, 'RM &amp; SF'!B:H, 4, 0)</f>
        <v>غم</v>
      </c>
      <c r="J1059" s="90">
        <f>H1059</f>
        <v>6</v>
      </c>
      <c r="K1059" s="91">
        <f>VLOOKUP(F1059, 'RM &amp; SF'!B:H, 7, 0)</f>
        <v>1.7240000000000001E-3</v>
      </c>
      <c r="L1059" s="92">
        <f t="shared" si="100"/>
        <v>1.0344000000000001E-2</v>
      </c>
      <c r="M1059" s="30" t="s">
        <v>813</v>
      </c>
    </row>
    <row r="1060" spans="1:16" ht="14">
      <c r="A1060" s="88" t="s">
        <v>2361</v>
      </c>
      <c r="B1060" s="219" t="s">
        <v>754</v>
      </c>
      <c r="C1060" s="30"/>
      <c r="D1060" s="30" t="str">
        <f>VLOOKUP(B1060, 'RM &amp; SF'!B:C, 2, 0)</f>
        <v>رقبة محشية ارز</v>
      </c>
      <c r="E1060" s="30" t="s">
        <v>2438</v>
      </c>
      <c r="F1060" s="110" t="s">
        <v>652</v>
      </c>
      <c r="G1060" s="30" t="str">
        <f>VLOOKUP(F1060, 'RM &amp; SF'!B:C, 2, 0)</f>
        <v>تتبيلة دجاج اللاين</v>
      </c>
      <c r="H1060" s="30">
        <v>30</v>
      </c>
      <c r="I1060" s="30" t="str">
        <f>VLOOKUP(F1060, 'RM &amp; SF'!B:H, 4, 0)</f>
        <v>غم</v>
      </c>
      <c r="J1060" s="90">
        <f>H1060</f>
        <v>30</v>
      </c>
      <c r="K1060" s="91">
        <f>VLOOKUP(F1060, 'RM &amp; SF'!B:H, 7, 0)</f>
        <v>1.7522965258215965E-3</v>
      </c>
      <c r="L1060" s="92">
        <f t="shared" si="100"/>
        <v>5.2568895774647899E-2</v>
      </c>
      <c r="M1060" s="30" t="s">
        <v>813</v>
      </c>
    </row>
    <row r="1061" spans="1:16" ht="14">
      <c r="A1061" s="88" t="s">
        <v>2361</v>
      </c>
      <c r="B1061" s="219" t="s">
        <v>754</v>
      </c>
      <c r="C1061" s="30"/>
      <c r="D1061" s="30" t="str">
        <f>VLOOKUP(B1061, 'RM &amp; SF'!B:C, 2, 0)</f>
        <v>رقبة محشية ارز</v>
      </c>
      <c r="E1061" s="30" t="s">
        <v>2260</v>
      </c>
      <c r="F1061" s="110">
        <v>4160</v>
      </c>
      <c r="G1061" s="30" t="str">
        <f>VLOOKUP(F1061, 'RM &amp; SF'!B:C, 2, 0)</f>
        <v>زيت صويا 18 لتر*****</v>
      </c>
      <c r="H1061" s="30">
        <v>30</v>
      </c>
      <c r="I1061" s="30" t="str">
        <f>VLOOKUP(F1061, 'RM &amp; SF'!B:H, 4, 0)</f>
        <v>مل</v>
      </c>
      <c r="J1061" s="90">
        <f>H1061</f>
        <v>30</v>
      </c>
      <c r="K1061" s="91">
        <f>VLOOKUP(F1061, 'RM &amp; SF'!B:H, 7, 0)</f>
        <v>1.335E-3</v>
      </c>
      <c r="L1061" s="92">
        <f t="shared" si="100"/>
        <v>4.0050000000000002E-2</v>
      </c>
      <c r="M1061" s="30" t="s">
        <v>813</v>
      </c>
    </row>
    <row r="1062" spans="1:16" ht="14">
      <c r="A1062" s="88" t="s">
        <v>2375</v>
      </c>
      <c r="B1062" s="219" t="s">
        <v>792</v>
      </c>
      <c r="C1062" s="30"/>
      <c r="D1062" s="30" t="str">
        <f>VLOOKUP(B1062, 'RM &amp; SF'!B:C, 2, 0)</f>
        <v>شوربة فريكة</v>
      </c>
      <c r="E1062" s="30" t="s">
        <v>2282</v>
      </c>
      <c r="F1062" s="110">
        <v>4137</v>
      </c>
      <c r="G1062" s="30" t="str">
        <f>VLOOKUP(F1062, 'RM &amp; SF'!B:C, 2, 0)</f>
        <v>فريكة خشنة*****</v>
      </c>
      <c r="H1062" s="30">
        <v>2000</v>
      </c>
      <c r="I1062" s="30" t="str">
        <f>VLOOKUP(F1062, 'RM &amp; SF'!B:H, 4, 0)</f>
        <v>غم</v>
      </c>
      <c r="J1062" s="90">
        <f t="shared" ref="J1062:J1067" si="103">H1062/5</f>
        <v>400</v>
      </c>
      <c r="K1062" s="91">
        <f>VLOOKUP(F1062, 'RM &amp; SF'!B:H, 7, 0)</f>
        <v>2.2059000000000002E-3</v>
      </c>
      <c r="L1062" s="92">
        <f t="shared" si="100"/>
        <v>0.88236000000000003</v>
      </c>
      <c r="M1062" s="30" t="s">
        <v>813</v>
      </c>
    </row>
    <row r="1063" spans="1:16" ht="14">
      <c r="A1063" s="88" t="s">
        <v>2375</v>
      </c>
      <c r="B1063" s="219" t="s">
        <v>792</v>
      </c>
      <c r="C1063" s="30"/>
      <c r="D1063" s="30" t="str">
        <f>VLOOKUP(B1063, 'RM &amp; SF'!B:C, 2, 0)</f>
        <v>شوربة فريكة</v>
      </c>
      <c r="E1063" s="30" t="s">
        <v>2234</v>
      </c>
      <c r="F1063" s="110">
        <v>4503</v>
      </c>
      <c r="G1063" s="30" t="str">
        <f>VLOOKUP(F1063, 'RM &amp; SF'!B:C, 2, 0)</f>
        <v>بصل ناشف دفش*****</v>
      </c>
      <c r="H1063" s="30">
        <v>350</v>
      </c>
      <c r="I1063" s="30" t="str">
        <f>VLOOKUP(F1063, 'RM &amp; SF'!B:H, 4, 0)</f>
        <v>غم</v>
      </c>
      <c r="J1063" s="90">
        <f t="shared" si="103"/>
        <v>70</v>
      </c>
      <c r="K1063" s="91">
        <f>VLOOKUP(F1063, 'RM &amp; SF'!B:H, 7, 0)</f>
        <v>2.5000000000000001E-4</v>
      </c>
      <c r="L1063" s="92">
        <f t="shared" si="100"/>
        <v>1.7500000000000002E-2</v>
      </c>
      <c r="M1063" s="30" t="s">
        <v>813</v>
      </c>
    </row>
    <row r="1064" spans="1:16" ht="14">
      <c r="A1064" s="88" t="s">
        <v>2375</v>
      </c>
      <c r="B1064" s="219" t="s">
        <v>792</v>
      </c>
      <c r="C1064" s="30"/>
      <c r="D1064" s="30" t="str">
        <f>VLOOKUP(B1064, 'RM &amp; SF'!B:C, 2, 0)</f>
        <v>شوربة فريكة</v>
      </c>
      <c r="E1064" s="30" t="s">
        <v>2203</v>
      </c>
      <c r="F1064" s="110">
        <v>4152</v>
      </c>
      <c r="G1064" s="30" t="str">
        <f>VLOOKUP(F1064, 'RM &amp; SF'!B:C, 2, 0)</f>
        <v>ملح طعام 750غم*****</v>
      </c>
      <c r="H1064" s="30">
        <v>10</v>
      </c>
      <c r="I1064" s="30" t="str">
        <f>VLOOKUP(F1064, 'RM &amp; SF'!B:H, 4, 0)</f>
        <v>غم</v>
      </c>
      <c r="J1064" s="90">
        <f t="shared" si="103"/>
        <v>2</v>
      </c>
      <c r="K1064" s="91">
        <f>VLOOKUP(F1064, 'RM &amp; SF'!B:H, 7, 0)</f>
        <v>1.7066666666666665E-4</v>
      </c>
      <c r="L1064" s="92">
        <f t="shared" si="100"/>
        <v>3.413333333333333E-4</v>
      </c>
      <c r="M1064" s="30" t="s">
        <v>813</v>
      </c>
    </row>
    <row r="1065" spans="1:16" ht="14">
      <c r="A1065" s="88" t="s">
        <v>2375</v>
      </c>
      <c r="B1065" s="219" t="s">
        <v>792</v>
      </c>
      <c r="C1065" s="30"/>
      <c r="D1065" s="30" t="str">
        <f>VLOOKUP(B1065, 'RM &amp; SF'!B:C, 2, 0)</f>
        <v>شوربة فريكة</v>
      </c>
      <c r="E1065" s="30" t="s">
        <v>2206</v>
      </c>
      <c r="F1065" s="110">
        <v>4204</v>
      </c>
      <c r="G1065" s="30" t="str">
        <f>VLOOKUP(F1065, 'RM &amp; SF'!B:C, 2, 0)</f>
        <v>فلفل اسود ناعم*****</v>
      </c>
      <c r="H1065" s="30">
        <v>3</v>
      </c>
      <c r="I1065" s="30" t="str">
        <f>VLOOKUP(F1065, 'RM &amp; SF'!B:H, 4, 0)</f>
        <v>غم</v>
      </c>
      <c r="J1065" s="90">
        <f t="shared" si="103"/>
        <v>0.6</v>
      </c>
      <c r="K1065" s="91">
        <f>VLOOKUP(F1065, 'RM &amp; SF'!B:H, 7, 0)</f>
        <v>6.8970000000000004E-3</v>
      </c>
      <c r="L1065" s="92">
        <f t="shared" si="100"/>
        <v>4.1381999999999999E-3</v>
      </c>
      <c r="M1065" s="30" t="s">
        <v>813</v>
      </c>
    </row>
    <row r="1066" spans="1:16" ht="14">
      <c r="A1066" s="88" t="s">
        <v>2375</v>
      </c>
      <c r="B1066" s="219" t="s">
        <v>792</v>
      </c>
      <c r="C1066" s="30"/>
      <c r="D1066" s="30" t="str">
        <f>VLOOKUP(B1066, 'RM &amp; SF'!B:C, 2, 0)</f>
        <v>شوربة فريكة</v>
      </c>
      <c r="E1066" s="30" t="s">
        <v>3058</v>
      </c>
      <c r="F1066" s="110">
        <v>4022</v>
      </c>
      <c r="G1066" s="30" t="str">
        <f>VLOOKUP(F1066, 'RM &amp; SF'!B:C, 2, 0)</f>
        <v>مرق الدجاج بودرة 1 كغ*****</v>
      </c>
      <c r="H1066" s="30">
        <v>25</v>
      </c>
      <c r="I1066" s="30" t="str">
        <f>VLOOKUP(F1066, 'RM &amp; SF'!B:H, 4, 0)</f>
        <v>غم</v>
      </c>
      <c r="J1066" s="90">
        <f t="shared" si="103"/>
        <v>5</v>
      </c>
      <c r="K1066" s="91">
        <f>VLOOKUP(F1066, 'RM &amp; SF'!B:H, 7, 0)</f>
        <v>4.7054597701149427E-3</v>
      </c>
      <c r="L1066" s="92">
        <f t="shared" si="100"/>
        <v>2.3527298850574713E-2</v>
      </c>
      <c r="M1066" s="30" t="s">
        <v>813</v>
      </c>
    </row>
    <row r="1067" spans="1:16" ht="14">
      <c r="A1067" s="88" t="s">
        <v>2375</v>
      </c>
      <c r="B1067" s="219" t="s">
        <v>792</v>
      </c>
      <c r="C1067" s="30"/>
      <c r="D1067" s="30" t="str">
        <f>VLOOKUP(B1067, 'RM &amp; SF'!B:C, 2, 0)</f>
        <v>شوربة فريكة</v>
      </c>
      <c r="E1067" s="30" t="s">
        <v>3058</v>
      </c>
      <c r="F1067" s="110">
        <v>3</v>
      </c>
      <c r="G1067" s="30" t="str">
        <f>VLOOKUP(F1067, 'RM &amp; SF'!B:C, 2, 0)</f>
        <v>مياه حنفية</v>
      </c>
      <c r="H1067" s="30">
        <v>3000</v>
      </c>
      <c r="I1067" s="30" t="str">
        <f>VLOOKUP(F1067, 'RM &amp; SF'!B:H, 4, 0)</f>
        <v>مل</v>
      </c>
      <c r="J1067" s="90">
        <f t="shared" si="103"/>
        <v>600</v>
      </c>
      <c r="K1067" s="91">
        <f>VLOOKUP(F1067, 'RM &amp; SF'!B:H, 7, 0)</f>
        <v>0</v>
      </c>
      <c r="L1067" s="92">
        <f t="shared" si="100"/>
        <v>0</v>
      </c>
      <c r="M1067" s="30" t="s">
        <v>813</v>
      </c>
    </row>
    <row r="1068" spans="1:16" ht="14">
      <c r="A1068" s="88" t="s">
        <v>3195</v>
      </c>
      <c r="B1068" s="188" t="s">
        <v>748</v>
      </c>
      <c r="C1068" s="30"/>
      <c r="D1068" s="30" t="str">
        <f>VLOOKUP(B1068, 'RM &amp; SF'!B:C, 2, 0)</f>
        <v>حمص مسلوق</v>
      </c>
      <c r="E1068" s="30" t="s">
        <v>3058</v>
      </c>
      <c r="F1068" s="110">
        <v>4143</v>
      </c>
      <c r="G1068" s="30" t="str">
        <f>VLOOKUP(F1068, 'RM &amp; SF'!B:C, 2, 0)</f>
        <v>حمص حب نمرة 12*****</v>
      </c>
      <c r="H1068" s="30">
        <v>10000</v>
      </c>
      <c r="I1068" s="30" t="str">
        <f>VLOOKUP(F1068, 'RM &amp; SF'!B:H, 4, 0)</f>
        <v>غم</v>
      </c>
      <c r="J1068" s="90">
        <f>H1068/18</f>
        <v>555.55555555555554</v>
      </c>
      <c r="K1068" s="91">
        <f>VLOOKUP(F1068, 'RM &amp; SF'!B:H, 7, 0)</f>
        <v>1.24E-3</v>
      </c>
      <c r="L1068" s="92">
        <f t="shared" si="100"/>
        <v>0.68888888888888888</v>
      </c>
      <c r="M1068" s="30" t="s">
        <v>813</v>
      </c>
      <c r="P1068" s="88" t="s">
        <v>2156</v>
      </c>
    </row>
    <row r="1069" spans="1:16" ht="14">
      <c r="A1069" s="88" t="s">
        <v>3195</v>
      </c>
      <c r="B1069" s="188" t="s">
        <v>748</v>
      </c>
      <c r="C1069" s="30"/>
      <c r="D1069" s="30" t="str">
        <f>VLOOKUP(B1069, 'RM &amp; SF'!B:C, 2, 0)</f>
        <v>حمص مسلوق</v>
      </c>
      <c r="E1069" s="30" t="s">
        <v>3058</v>
      </c>
      <c r="F1069" s="110">
        <v>3</v>
      </c>
      <c r="G1069" s="30" t="str">
        <f>VLOOKUP(F1069, 'RM &amp; SF'!B:C, 2, 0)</f>
        <v>مياه حنفية</v>
      </c>
      <c r="H1069" s="30">
        <v>15000</v>
      </c>
      <c r="I1069" s="30" t="str">
        <f>VLOOKUP(F1069, 'RM &amp; SF'!B:H, 4, 0)</f>
        <v>مل</v>
      </c>
      <c r="J1069" s="90">
        <f>H1069/18</f>
        <v>833.33333333333337</v>
      </c>
      <c r="K1069" s="91">
        <f>VLOOKUP(F1069, 'RM &amp; SF'!B:H, 7, 0)</f>
        <v>0</v>
      </c>
      <c r="L1069" s="92">
        <f t="shared" si="100"/>
        <v>0</v>
      </c>
      <c r="M1069" s="30" t="s">
        <v>813</v>
      </c>
      <c r="P1069" s="88" t="s">
        <v>2156</v>
      </c>
    </row>
    <row r="1070" spans="1:16" ht="14">
      <c r="A1070" s="88" t="s">
        <v>3195</v>
      </c>
      <c r="B1070" s="188" t="s">
        <v>748</v>
      </c>
      <c r="C1070" s="30"/>
      <c r="D1070" s="30" t="str">
        <f>VLOOKUP(B1070, 'RM &amp; SF'!B:C, 2, 0)</f>
        <v>حمص مسلوق</v>
      </c>
      <c r="E1070" s="30" t="s">
        <v>3058</v>
      </c>
      <c r="F1070" s="110">
        <v>4207</v>
      </c>
      <c r="G1070" s="30" t="str">
        <f>VLOOKUP(F1070, 'RM &amp; SF'!B:C, 2, 0)</f>
        <v>كربونة*****</v>
      </c>
      <c r="H1070" s="30">
        <v>20</v>
      </c>
      <c r="I1070" s="30" t="str">
        <f>VLOOKUP(F1070, 'RM &amp; SF'!B:H, 4, 0)</f>
        <v>غم</v>
      </c>
      <c r="J1070" s="90">
        <f>H1070/18</f>
        <v>1.1111111111111112</v>
      </c>
      <c r="K1070" s="91">
        <f>VLOOKUP(F1070, 'RM &amp; SF'!B:H, 7, 0)</f>
        <v>6.4700000000000001E-4</v>
      </c>
      <c r="L1070" s="92">
        <f t="shared" si="100"/>
        <v>7.1888888888888892E-4</v>
      </c>
      <c r="M1070" s="30" t="s">
        <v>813</v>
      </c>
      <c r="P1070" s="88" t="s">
        <v>2156</v>
      </c>
    </row>
    <row r="1071" spans="1:16" ht="14">
      <c r="A1071" s="88" t="s">
        <v>2374</v>
      </c>
      <c r="B1071" s="219" t="s">
        <v>790</v>
      </c>
      <c r="C1071" s="30"/>
      <c r="D1071" s="30" t="str">
        <f>VLOOKUP(B1071, 'RM &amp; SF'!B:C, 2, 0)</f>
        <v>بطاطا مهروسة</v>
      </c>
      <c r="E1071" s="30" t="s">
        <v>2230</v>
      </c>
      <c r="F1071" s="110">
        <v>4497</v>
      </c>
      <c r="G1071" s="30" t="str">
        <f>VLOOKUP(F1071, 'RM &amp; SF'!B:C, 2, 0)</f>
        <v>بطاطا*****</v>
      </c>
      <c r="H1071" s="30">
        <v>1000</v>
      </c>
      <c r="I1071" s="30" t="str">
        <f>VLOOKUP(F1071, 'RM &amp; SF'!B:H, 4, 0)</f>
        <v>غم</v>
      </c>
      <c r="J1071" s="90">
        <f>H1071/0.95</f>
        <v>1052.6315789473686</v>
      </c>
      <c r="K1071" s="91">
        <f>VLOOKUP(F1071, 'RM &amp; SF'!B:H, 7, 0)</f>
        <v>4.0000000000000002E-4</v>
      </c>
      <c r="L1071" s="92">
        <f t="shared" si="100"/>
        <v>0.42105263157894746</v>
      </c>
      <c r="M1071" s="30" t="s">
        <v>813</v>
      </c>
    </row>
    <row r="1072" spans="1:16" ht="14">
      <c r="A1072" s="88" t="s">
        <v>2374</v>
      </c>
      <c r="B1072" s="219" t="s">
        <v>790</v>
      </c>
      <c r="C1072" s="30"/>
      <c r="D1072" s="30" t="str">
        <f>VLOOKUP(B1072, 'RM &amp; SF'!B:C, 2, 0)</f>
        <v>بطاطا مهروسة</v>
      </c>
      <c r="E1072" s="30" t="s">
        <v>2291</v>
      </c>
      <c r="F1072" s="110">
        <v>4556</v>
      </c>
      <c r="G1072" s="30" t="str">
        <f>VLOOKUP(F1072, 'RM &amp; SF'!B:C, 2, 0)</f>
        <v>كريما طبخ 1 لتر*****</v>
      </c>
      <c r="H1072" s="30">
        <v>200</v>
      </c>
      <c r="I1072" s="30" t="str">
        <f>VLOOKUP(F1072, 'RM &amp; SF'!B:H, 4, 0)</f>
        <v>مل</v>
      </c>
      <c r="J1072" s="90">
        <f>H1072/0.95</f>
        <v>210.5263157894737</v>
      </c>
      <c r="K1072" s="91">
        <f>VLOOKUP(F1072, 'RM &amp; SF'!B:H, 7, 0)</f>
        <v>2.2269999999999998E-3</v>
      </c>
      <c r="L1072" s="92">
        <f t="shared" si="100"/>
        <v>0.46884210526315789</v>
      </c>
      <c r="M1072" s="30" t="s">
        <v>813</v>
      </c>
    </row>
    <row r="1073" spans="1:13" ht="14">
      <c r="A1073" s="88" t="s">
        <v>2374</v>
      </c>
      <c r="B1073" s="219" t="s">
        <v>790</v>
      </c>
      <c r="C1073" s="30"/>
      <c r="D1073" s="30" t="str">
        <f>VLOOKUP(B1073, 'RM &amp; SF'!B:C, 2, 0)</f>
        <v>بطاطا مهروسة</v>
      </c>
      <c r="E1073" s="30" t="s">
        <v>2203</v>
      </c>
      <c r="F1073" s="110">
        <v>4152</v>
      </c>
      <c r="G1073" s="30" t="str">
        <f>VLOOKUP(F1073, 'RM &amp; SF'!B:C, 2, 0)</f>
        <v>ملح طعام 750غم*****</v>
      </c>
      <c r="H1073" s="30">
        <v>15</v>
      </c>
      <c r="I1073" s="30" t="str">
        <f>VLOOKUP(F1073, 'RM &amp; SF'!B:H, 4, 0)</f>
        <v>غم</v>
      </c>
      <c r="J1073" s="90">
        <f>H1073/0.95</f>
        <v>15.789473684210527</v>
      </c>
      <c r="K1073" s="91">
        <f>VLOOKUP(F1073, 'RM &amp; SF'!B:H, 7, 0)</f>
        <v>1.7066666666666665E-4</v>
      </c>
      <c r="L1073" s="92">
        <f t="shared" si="100"/>
        <v>2.6947368421052632E-3</v>
      </c>
      <c r="M1073" s="30" t="s">
        <v>813</v>
      </c>
    </row>
    <row r="1074" spans="1:13" ht="14">
      <c r="A1074" s="88" t="s">
        <v>2374</v>
      </c>
      <c r="B1074" s="219" t="s">
        <v>790</v>
      </c>
      <c r="C1074" s="30"/>
      <c r="D1074" s="30" t="str">
        <f>VLOOKUP(B1074, 'RM &amp; SF'!B:C, 2, 0)</f>
        <v>بطاطا مهروسة</v>
      </c>
      <c r="E1074" s="30" t="s">
        <v>3058</v>
      </c>
      <c r="F1074" s="110">
        <v>4203</v>
      </c>
      <c r="G1074" s="30" t="str">
        <f>VLOOKUP(F1074, 'RM &amp; SF'!B:C, 2, 0)</f>
        <v>فلفل ابيض ناعم*****</v>
      </c>
      <c r="H1074" s="30">
        <v>10</v>
      </c>
      <c r="I1074" s="30" t="str">
        <f>VLOOKUP(F1074, 'RM &amp; SF'!B:H, 4, 0)</f>
        <v>غم</v>
      </c>
      <c r="J1074" s="90">
        <f>H1074/0.95</f>
        <v>10.526315789473685</v>
      </c>
      <c r="K1074" s="91">
        <f>VLOOKUP(F1074, 'RM &amp; SF'!B:H, 7, 0)</f>
        <v>7.7590000000000003E-3</v>
      </c>
      <c r="L1074" s="92">
        <f t="shared" si="100"/>
        <v>8.1673684210526329E-2</v>
      </c>
      <c r="M1074" s="30" t="s">
        <v>813</v>
      </c>
    </row>
    <row r="1075" spans="1:13" ht="14">
      <c r="A1075" s="88" t="s">
        <v>2374</v>
      </c>
      <c r="B1075" s="219" t="s">
        <v>790</v>
      </c>
      <c r="C1075" s="30"/>
      <c r="D1075" s="30" t="str">
        <f>VLOOKUP(B1075, 'RM &amp; SF'!B:C, 2, 0)</f>
        <v>بطاطا مهروسة</v>
      </c>
      <c r="E1075" s="30" t="s">
        <v>2178</v>
      </c>
      <c r="F1075" s="110">
        <v>4623</v>
      </c>
      <c r="G1075" s="30" t="str">
        <f>VLOOKUP(F1075, 'RM &amp; SF'!B:C, 2, 0)</f>
        <v>زبدة مبسترة غير مملحة 1 كغ*****</v>
      </c>
      <c r="H1075" s="30">
        <v>150</v>
      </c>
      <c r="I1075" s="30" t="str">
        <f>VLOOKUP(F1075, 'RM &amp; SF'!B:H, 4, 0)</f>
        <v>غم</v>
      </c>
      <c r="J1075" s="90">
        <f>H1075/0.95</f>
        <v>157.89473684210526</v>
      </c>
      <c r="K1075" s="91">
        <f>VLOOKUP(F1075, 'RM &amp; SF'!B:H, 7, 0)</f>
        <v>2.8839999999999998E-3</v>
      </c>
      <c r="L1075" s="92">
        <f t="shared" si="100"/>
        <v>0.45536842105263153</v>
      </c>
      <c r="M1075" s="30" t="s">
        <v>813</v>
      </c>
    </row>
    <row r="1076" spans="1:13" ht="14">
      <c r="A1076" s="88" t="s">
        <v>2376</v>
      </c>
      <c r="B1076" s="219" t="s">
        <v>794</v>
      </c>
      <c r="C1076" s="30"/>
      <c r="D1076" s="30" t="str">
        <f>VLOOKUP(B1076, 'RM &amp; SF'!B:C, 2, 0)</f>
        <v>صرر اوزي</v>
      </c>
      <c r="E1076" s="30" t="s">
        <v>2280</v>
      </c>
      <c r="F1076" s="110">
        <v>4132</v>
      </c>
      <c r="G1076" s="30" t="str">
        <f>VLOOKUP(F1076, 'RM &amp; SF'!B:C, 2, 0)</f>
        <v>ارز حبة متوسطة*****</v>
      </c>
      <c r="H1076" s="30">
        <v>2000</v>
      </c>
      <c r="I1076" s="30" t="str">
        <f>VLOOKUP(F1076, 'RM &amp; SF'!B:H, 4, 0)</f>
        <v>غم</v>
      </c>
      <c r="J1076" s="90">
        <f t="shared" ref="J1076:J1086" si="104">H1076/10</f>
        <v>200</v>
      </c>
      <c r="K1076" s="91">
        <f>VLOOKUP(F1076, 'RM &amp; SF'!B:H, 7, 0)</f>
        <v>1.1388000000000001E-3</v>
      </c>
      <c r="L1076" s="92">
        <f t="shared" si="100"/>
        <v>0.22776000000000002</v>
      </c>
      <c r="M1076" s="30" t="s">
        <v>813</v>
      </c>
    </row>
    <row r="1077" spans="1:13" ht="14">
      <c r="A1077" s="88" t="s">
        <v>2376</v>
      </c>
      <c r="B1077" s="219" t="s">
        <v>794</v>
      </c>
      <c r="C1077" s="30"/>
      <c r="D1077" s="30" t="str">
        <f>VLOOKUP(B1077, 'RM &amp; SF'!B:C, 2, 0)</f>
        <v>صرر اوزي</v>
      </c>
      <c r="E1077" s="30" t="s">
        <v>2292</v>
      </c>
      <c r="F1077" s="110">
        <v>4639</v>
      </c>
      <c r="G1077" s="30" t="str">
        <f>VLOOKUP(F1077, 'RM &amp; SF'!B:C, 2, 0)</f>
        <v>بازيلاء و جزر مجمدة 350 غم*****</v>
      </c>
      <c r="H1077" s="30">
        <v>350</v>
      </c>
      <c r="I1077" s="30" t="str">
        <f>VLOOKUP(F1077, 'RM &amp; SF'!B:H, 4, 0)</f>
        <v>غم</v>
      </c>
      <c r="J1077" s="90">
        <f t="shared" si="104"/>
        <v>35</v>
      </c>
      <c r="K1077" s="91">
        <f>VLOOKUP(F1077, 'RM &amp; SF'!B:H, 7, 0)</f>
        <v>1.8331249999999999E-3</v>
      </c>
      <c r="L1077" s="92">
        <f t="shared" si="100"/>
        <v>6.4159374999999991E-2</v>
      </c>
      <c r="M1077" s="30" t="s">
        <v>813</v>
      </c>
    </row>
    <row r="1078" spans="1:13" ht="14">
      <c r="A1078" s="88" t="s">
        <v>2376</v>
      </c>
      <c r="B1078" s="219" t="s">
        <v>794</v>
      </c>
      <c r="C1078" s="30"/>
      <c r="D1078" s="30" t="str">
        <f>VLOOKUP(B1078, 'RM &amp; SF'!B:C, 2, 0)</f>
        <v>صرر اوزي</v>
      </c>
      <c r="E1078" s="30" t="s">
        <v>2203</v>
      </c>
      <c r="F1078" s="110">
        <v>4152</v>
      </c>
      <c r="G1078" s="30" t="str">
        <f>VLOOKUP(F1078, 'RM &amp; SF'!B:C, 2, 0)</f>
        <v>ملح طعام 750غم*****</v>
      </c>
      <c r="H1078" s="30">
        <v>150</v>
      </c>
      <c r="I1078" s="30" t="str">
        <f>VLOOKUP(F1078, 'RM &amp; SF'!B:H, 4, 0)</f>
        <v>غم</v>
      </c>
      <c r="J1078" s="90">
        <f t="shared" si="104"/>
        <v>15</v>
      </c>
      <c r="K1078" s="91">
        <f>VLOOKUP(F1078, 'RM &amp; SF'!B:H, 7, 0)</f>
        <v>1.7066666666666665E-4</v>
      </c>
      <c r="L1078" s="92">
        <f t="shared" si="100"/>
        <v>2.5599999999999998E-3</v>
      </c>
      <c r="M1078" s="30" t="s">
        <v>813</v>
      </c>
    </row>
    <row r="1079" spans="1:13" ht="14">
      <c r="A1079" s="88" t="s">
        <v>2376</v>
      </c>
      <c r="B1079" s="219" t="s">
        <v>794</v>
      </c>
      <c r="C1079" s="30"/>
      <c r="D1079" s="30" t="str">
        <f>VLOOKUP(B1079, 'RM &amp; SF'!B:C, 2, 0)</f>
        <v>صرر اوزي</v>
      </c>
      <c r="E1079" s="30" t="s">
        <v>3058</v>
      </c>
      <c r="F1079" s="110">
        <v>4021</v>
      </c>
      <c r="G1079" s="30" t="str">
        <f>VLOOKUP(F1079, 'RM &amp; SF'!B:C, 2, 0)</f>
        <v>مكعبات مرق الدجاج 24 عبوة*2 مكعب*****</v>
      </c>
      <c r="H1079" s="89">
        <v>20</v>
      </c>
      <c r="I1079" s="30" t="str">
        <f>VLOOKUP(F1079, 'RM &amp; SF'!B:H, 4, 0)</f>
        <v>غم</v>
      </c>
      <c r="J1079" s="90">
        <f t="shared" si="104"/>
        <v>2</v>
      </c>
      <c r="K1079" s="91">
        <f>VLOOKUP(F1079, 'RM &amp; SF'!B:H, 7, 0)</f>
        <v>3.8541666666666668E-3</v>
      </c>
      <c r="L1079" s="92">
        <f t="shared" si="100"/>
        <v>7.7083333333333335E-3</v>
      </c>
      <c r="M1079" s="30" t="s">
        <v>813</v>
      </c>
    </row>
    <row r="1080" spans="1:13" ht="14">
      <c r="A1080" s="88" t="s">
        <v>2376</v>
      </c>
      <c r="B1080" s="219" t="s">
        <v>794</v>
      </c>
      <c r="C1080" s="30"/>
      <c r="D1080" s="30" t="str">
        <f>VLOOKUP(B1080, 'RM &amp; SF'!B:C, 2, 0)</f>
        <v>صرر اوزي</v>
      </c>
      <c r="E1080" s="30" t="s">
        <v>2206</v>
      </c>
      <c r="F1080" s="110">
        <v>4204</v>
      </c>
      <c r="G1080" s="30" t="str">
        <f>VLOOKUP(F1080, 'RM &amp; SF'!B:C, 2, 0)</f>
        <v>فلفل اسود ناعم*****</v>
      </c>
      <c r="H1080" s="30">
        <v>20</v>
      </c>
      <c r="I1080" s="30" t="str">
        <f>VLOOKUP(F1080, 'RM &amp; SF'!B:H, 4, 0)</f>
        <v>غم</v>
      </c>
      <c r="J1080" s="90">
        <f t="shared" si="104"/>
        <v>2</v>
      </c>
      <c r="K1080" s="91">
        <f>VLOOKUP(F1080, 'RM &amp; SF'!B:H, 7, 0)</f>
        <v>6.8970000000000004E-3</v>
      </c>
      <c r="L1080" s="92">
        <f t="shared" si="100"/>
        <v>1.3794000000000001E-2</v>
      </c>
      <c r="M1080" s="30" t="s">
        <v>813</v>
      </c>
    </row>
    <row r="1081" spans="1:13" ht="14">
      <c r="A1081" s="88" t="s">
        <v>2376</v>
      </c>
      <c r="B1081" s="219" t="s">
        <v>794</v>
      </c>
      <c r="C1081" s="30"/>
      <c r="D1081" s="30" t="str">
        <f>VLOOKUP(B1081, 'RM &amp; SF'!B:C, 2, 0)</f>
        <v>صرر اوزي</v>
      </c>
      <c r="E1081" s="30" t="s">
        <v>2218</v>
      </c>
      <c r="F1081" s="110">
        <v>4233</v>
      </c>
      <c r="G1081" s="30" t="str">
        <f>VLOOKUP(F1081, 'RM &amp; SF'!B:C, 2, 0)</f>
        <v>هال ناعم*****</v>
      </c>
      <c r="H1081" s="30">
        <v>20</v>
      </c>
      <c r="I1081" s="30" t="str">
        <f>VLOOKUP(F1081, 'RM &amp; SF'!B:H, 4, 0)</f>
        <v>غم</v>
      </c>
      <c r="J1081" s="90">
        <f t="shared" si="104"/>
        <v>2</v>
      </c>
      <c r="K1081" s="91">
        <f>VLOOKUP(F1081, 'RM &amp; SF'!B:H, 7, 0)</f>
        <v>2.3E-2</v>
      </c>
      <c r="L1081" s="92">
        <f t="shared" si="100"/>
        <v>4.5999999999999999E-2</v>
      </c>
      <c r="M1081" s="30" t="s">
        <v>813</v>
      </c>
    </row>
    <row r="1082" spans="1:13" ht="14">
      <c r="A1082" s="88" t="s">
        <v>2376</v>
      </c>
      <c r="B1082" s="219" t="s">
        <v>794</v>
      </c>
      <c r="C1082" s="30"/>
      <c r="D1082" s="30" t="str">
        <f>VLOOKUP(B1082, 'RM &amp; SF'!B:C, 2, 0)</f>
        <v>صرر اوزي</v>
      </c>
      <c r="E1082" s="30" t="s">
        <v>2213</v>
      </c>
      <c r="F1082" s="110">
        <v>4218</v>
      </c>
      <c r="G1082" s="30" t="str">
        <f>VLOOKUP(F1082, 'RM &amp; SF'!B:C, 2, 0)</f>
        <v>بهارات مشكلة*****</v>
      </c>
      <c r="H1082" s="30">
        <v>20</v>
      </c>
      <c r="I1082" s="30" t="str">
        <f>VLOOKUP(F1082, 'RM &amp; SF'!B:H, 4, 0)</f>
        <v>غم</v>
      </c>
      <c r="J1082" s="90">
        <f t="shared" si="104"/>
        <v>2</v>
      </c>
      <c r="K1082" s="91">
        <f>VLOOKUP(F1082, 'RM &amp; SF'!B:H, 7, 0)</f>
        <v>3.0169999999999997E-3</v>
      </c>
      <c r="L1082" s="92">
        <f t="shared" si="100"/>
        <v>6.0339999999999994E-3</v>
      </c>
      <c r="M1082" s="30" t="s">
        <v>813</v>
      </c>
    </row>
    <row r="1083" spans="1:13" ht="14">
      <c r="A1083" s="88" t="s">
        <v>2376</v>
      </c>
      <c r="B1083" s="219" t="s">
        <v>794</v>
      </c>
      <c r="C1083" s="30"/>
      <c r="D1083" s="30" t="str">
        <f>VLOOKUP(B1083, 'RM &amp; SF'!B:C, 2, 0)</f>
        <v>صرر اوزي</v>
      </c>
      <c r="E1083" s="30" t="s">
        <v>2222</v>
      </c>
      <c r="F1083" s="110">
        <v>4240</v>
      </c>
      <c r="G1083" s="30" t="str">
        <f>VLOOKUP(F1083, 'RM &amp; SF'!B:C, 2, 0)</f>
        <v>كركم ناعم*****</v>
      </c>
      <c r="H1083" s="30">
        <v>10</v>
      </c>
      <c r="I1083" s="30" t="str">
        <f>VLOOKUP(F1083, 'RM &amp; SF'!B:H, 4, 0)</f>
        <v>غم</v>
      </c>
      <c r="J1083" s="90">
        <f t="shared" si="104"/>
        <v>1</v>
      </c>
      <c r="K1083" s="91">
        <f>VLOOKUP(F1083, 'RM &amp; SF'!B:H, 7, 0)</f>
        <v>1.9399999999999999E-3</v>
      </c>
      <c r="L1083" s="92">
        <f t="shared" si="100"/>
        <v>1.9399999999999999E-3</v>
      </c>
      <c r="M1083" s="30" t="s">
        <v>813</v>
      </c>
    </row>
    <row r="1084" spans="1:13" ht="14">
      <c r="A1084" s="88" t="s">
        <v>2376</v>
      </c>
      <c r="B1084" s="219" t="s">
        <v>794</v>
      </c>
      <c r="C1084" s="30"/>
      <c r="D1084" s="30" t="str">
        <f>VLOOKUP(B1084, 'RM &amp; SF'!B:C, 2, 0)</f>
        <v>صرر اوزي</v>
      </c>
      <c r="E1084" s="30" t="s">
        <v>2343</v>
      </c>
      <c r="F1084" s="110" t="s">
        <v>710</v>
      </c>
      <c r="G1084" s="30" t="str">
        <f>VLOOKUP(F1084, 'RM &amp; SF'!B:C, 2, 0)</f>
        <v>سمنة مكسورة</v>
      </c>
      <c r="H1084" s="30">
        <v>250</v>
      </c>
      <c r="I1084" s="30" t="str">
        <f>VLOOKUP(F1084, 'RM &amp; SF'!B:H, 4, 0)</f>
        <v>غم</v>
      </c>
      <c r="J1084" s="90">
        <f t="shared" si="104"/>
        <v>25</v>
      </c>
      <c r="K1084" s="91">
        <f>VLOOKUP(F1084, 'RM &amp; SF'!B:H, 7, 0)</f>
        <v>3.6676666666666667E-3</v>
      </c>
      <c r="L1084" s="92">
        <f t="shared" si="100"/>
        <v>9.1691666666666671E-2</v>
      </c>
      <c r="M1084" s="30" t="s">
        <v>813</v>
      </c>
    </row>
    <row r="1085" spans="1:13" ht="14">
      <c r="A1085" s="88" t="s">
        <v>2376</v>
      </c>
      <c r="B1085" s="219" t="s">
        <v>794</v>
      </c>
      <c r="C1085" s="30"/>
      <c r="D1085" s="30" t="str">
        <f>VLOOKUP(B1085, 'RM &amp; SF'!B:C, 2, 0)</f>
        <v>صرر اوزي</v>
      </c>
      <c r="E1085" s="30" t="s">
        <v>3058</v>
      </c>
      <c r="F1085" s="110">
        <v>4608</v>
      </c>
      <c r="G1085" s="30" t="str">
        <f>VLOOKUP(F1085, 'RM &amp; SF'!B:C, 2, 0)</f>
        <v>لحمة قطع نية بالكيلو*****</v>
      </c>
      <c r="H1085" s="30">
        <v>1000</v>
      </c>
      <c r="I1085" s="30" t="str">
        <f>VLOOKUP(F1085, 'RM &amp; SF'!B:H, 4, 0)</f>
        <v>غم</v>
      </c>
      <c r="J1085" s="90">
        <f t="shared" si="104"/>
        <v>100</v>
      </c>
      <c r="K1085" s="91">
        <f>VLOOKUP(F1085, 'RM &amp; SF'!B:H, 7, 0)</f>
        <v>1.1615493158849017E-2</v>
      </c>
      <c r="L1085" s="92">
        <f t="shared" si="100"/>
        <v>1.1615493158849017</v>
      </c>
      <c r="M1085" s="30" t="s">
        <v>813</v>
      </c>
    </row>
    <row r="1086" spans="1:13" ht="14">
      <c r="A1086" s="88" t="s">
        <v>2376</v>
      </c>
      <c r="B1086" s="219" t="s">
        <v>794</v>
      </c>
      <c r="C1086" s="30"/>
      <c r="D1086" s="30" t="str">
        <f>VLOOKUP(B1086, 'RM &amp; SF'!B:C, 2, 0)</f>
        <v>صرر اوزي</v>
      </c>
      <c r="E1086" s="30" t="s">
        <v>3058</v>
      </c>
      <c r="F1086" s="110">
        <v>5445</v>
      </c>
      <c r="G1086" s="30" t="str">
        <f>VLOOKUP(F1086, 'RM &amp; SF'!B:C, 2, 0)</f>
        <v>عجين كلاج عمر</v>
      </c>
      <c r="H1086" s="30">
        <v>1000</v>
      </c>
      <c r="I1086" s="30" t="str">
        <f>VLOOKUP(F1086, 'RM &amp; SF'!B:H, 4, 0)</f>
        <v>غم</v>
      </c>
      <c r="J1086" s="90">
        <f t="shared" si="104"/>
        <v>100</v>
      </c>
      <c r="K1086" s="91">
        <f>VLOOKUP(F1086, 'RM &amp; SF'!B:H, 7, 0)</f>
        <v>3.3750000000000004E-3</v>
      </c>
      <c r="L1086" s="92">
        <f t="shared" si="100"/>
        <v>0.33750000000000002</v>
      </c>
      <c r="M1086" s="30" t="s">
        <v>813</v>
      </c>
    </row>
    <row r="1087" spans="1:13" ht="14">
      <c r="A1087" s="88" t="s">
        <v>2373</v>
      </c>
      <c r="B1087" s="219" t="s">
        <v>782</v>
      </c>
      <c r="C1087" s="30"/>
      <c r="D1087" s="30" t="str">
        <f>VLOOKUP(B1087, 'RM &amp; SF'!B:C, 2, 0)</f>
        <v>صوص صيادية</v>
      </c>
      <c r="E1087" s="30" t="s">
        <v>2260</v>
      </c>
      <c r="F1087" s="110">
        <v>4160</v>
      </c>
      <c r="G1087" s="30" t="str">
        <f>VLOOKUP(F1087, 'RM &amp; SF'!B:C, 2, 0)</f>
        <v>زيت صويا 18 لتر*****</v>
      </c>
      <c r="H1087" s="30">
        <v>400</v>
      </c>
      <c r="I1087" s="30" t="str">
        <f>VLOOKUP(F1087, 'RM &amp; SF'!B:H, 4, 0)</f>
        <v>مل</v>
      </c>
      <c r="J1087" s="90">
        <f t="shared" ref="J1087:J1095" si="105">H1087/7.2</f>
        <v>55.555555555555557</v>
      </c>
      <c r="K1087" s="91">
        <f>VLOOKUP(F1087, 'RM &amp; SF'!B:H, 7, 0)</f>
        <v>1.335E-3</v>
      </c>
      <c r="L1087" s="92">
        <f t="shared" si="100"/>
        <v>7.4166666666666672E-2</v>
      </c>
      <c r="M1087" s="30" t="s">
        <v>813</v>
      </c>
    </row>
    <row r="1088" spans="1:13" ht="14">
      <c r="A1088" s="88" t="s">
        <v>2373</v>
      </c>
      <c r="B1088" s="219" t="s">
        <v>782</v>
      </c>
      <c r="C1088" s="30"/>
      <c r="D1088" s="30" t="str">
        <f>VLOOKUP(B1088, 'RM &amp; SF'!B:C, 2, 0)</f>
        <v>صوص صيادية</v>
      </c>
      <c r="E1088" s="30" t="s">
        <v>2234</v>
      </c>
      <c r="F1088" s="110">
        <v>4503</v>
      </c>
      <c r="G1088" s="30" t="str">
        <f>VLOOKUP(F1088, 'RM &amp; SF'!B:C, 2, 0)</f>
        <v>بصل ناشف دفش*****</v>
      </c>
      <c r="H1088" s="30">
        <v>1500</v>
      </c>
      <c r="I1088" s="30" t="str">
        <f>VLOOKUP(F1088, 'RM &amp; SF'!B:H, 4, 0)</f>
        <v>غم</v>
      </c>
      <c r="J1088" s="90">
        <f t="shared" si="105"/>
        <v>208.33333333333331</v>
      </c>
      <c r="K1088" s="91">
        <f>VLOOKUP(F1088, 'RM &amp; SF'!B:H, 7, 0)</f>
        <v>2.5000000000000001E-4</v>
      </c>
      <c r="L1088" s="92">
        <f t="shared" si="100"/>
        <v>5.2083333333333329E-2</v>
      </c>
      <c r="M1088" s="30" t="s">
        <v>813</v>
      </c>
    </row>
    <row r="1089" spans="1:13" ht="14">
      <c r="A1089" s="88" t="s">
        <v>2373</v>
      </c>
      <c r="B1089" s="219" t="s">
        <v>782</v>
      </c>
      <c r="C1089" s="30"/>
      <c r="D1089" s="30" t="str">
        <f>VLOOKUP(B1089, 'RM &amp; SF'!B:C, 2, 0)</f>
        <v>صوص صيادية</v>
      </c>
      <c r="E1089" s="30" t="s">
        <v>2345</v>
      </c>
      <c r="F1089" s="110" t="s">
        <v>714</v>
      </c>
      <c r="G1089" s="30" t="str">
        <f>VLOOKUP(F1089, 'RM &amp; SF'!B:C, 2, 0)</f>
        <v>ثوم وزيت</v>
      </c>
      <c r="H1089" s="30">
        <v>975</v>
      </c>
      <c r="I1089" s="30" t="str">
        <f>VLOOKUP(F1089, 'RM &amp; SF'!B:H, 4, 0)</f>
        <v>غم</v>
      </c>
      <c r="J1089" s="90">
        <f t="shared" si="105"/>
        <v>135.41666666666666</v>
      </c>
      <c r="K1089" s="91">
        <f>VLOOKUP(F1089, 'RM &amp; SF'!B:H, 7, 0)</f>
        <v>3.2339999999999999E-3</v>
      </c>
      <c r="L1089" s="92">
        <f t="shared" si="100"/>
        <v>0.43793749999999998</v>
      </c>
      <c r="M1089" s="30" t="s">
        <v>813</v>
      </c>
    </row>
    <row r="1090" spans="1:13" ht="14">
      <c r="A1090" s="88" t="s">
        <v>2373</v>
      </c>
      <c r="B1090" s="219" t="s">
        <v>782</v>
      </c>
      <c r="C1090" s="30"/>
      <c r="D1090" s="30" t="str">
        <f>VLOOKUP(B1090, 'RM &amp; SF'!B:C, 2, 0)</f>
        <v>صوص صيادية</v>
      </c>
      <c r="E1090" s="30" t="s">
        <v>2309</v>
      </c>
      <c r="F1090" s="110">
        <v>4491</v>
      </c>
      <c r="G1090" s="30" t="str">
        <f>VLOOKUP(F1090, 'RM &amp; SF'!B:C, 2, 0)</f>
        <v>بندورة جامدة*****</v>
      </c>
      <c r="H1090" s="30">
        <v>4000</v>
      </c>
      <c r="I1090" s="30" t="str">
        <f>VLOOKUP(F1090, 'RM &amp; SF'!B:H, 4, 0)</f>
        <v>غم</v>
      </c>
      <c r="J1090" s="90">
        <f t="shared" si="105"/>
        <v>555.55555555555554</v>
      </c>
      <c r="K1090" s="91">
        <f>VLOOKUP(F1090, 'RM &amp; SF'!B:H, 7, 0)</f>
        <v>5.0000000000000001E-4</v>
      </c>
      <c r="L1090" s="92">
        <f t="shared" ref="L1090:L1143" si="106">K1090*J1090</f>
        <v>0.27777777777777779</v>
      </c>
      <c r="M1090" s="30" t="s">
        <v>813</v>
      </c>
    </row>
    <row r="1091" spans="1:13" ht="14">
      <c r="A1091" s="88" t="s">
        <v>2373</v>
      </c>
      <c r="B1091" s="219" t="s">
        <v>782</v>
      </c>
      <c r="C1091" s="30"/>
      <c r="D1091" s="30" t="str">
        <f>VLOOKUP(B1091, 'RM &amp; SF'!B:C, 2, 0)</f>
        <v>صوص صيادية</v>
      </c>
      <c r="E1091" s="30" t="s">
        <v>2206</v>
      </c>
      <c r="F1091" s="110">
        <v>4204</v>
      </c>
      <c r="G1091" s="30" t="str">
        <f>VLOOKUP(F1091, 'RM &amp; SF'!B:C, 2, 0)</f>
        <v>فلفل اسود ناعم*****</v>
      </c>
      <c r="H1091" s="30">
        <v>10</v>
      </c>
      <c r="I1091" s="30" t="str">
        <f>VLOOKUP(F1091, 'RM &amp; SF'!B:H, 4, 0)</f>
        <v>غم</v>
      </c>
      <c r="J1091" s="90">
        <f t="shared" si="105"/>
        <v>1.3888888888888888</v>
      </c>
      <c r="K1091" s="91">
        <f>VLOOKUP(F1091, 'RM &amp; SF'!B:H, 7, 0)</f>
        <v>6.8970000000000004E-3</v>
      </c>
      <c r="L1091" s="92">
        <f t="shared" si="106"/>
        <v>9.5791666666666664E-3</v>
      </c>
      <c r="M1091" s="30" t="s">
        <v>813</v>
      </c>
    </row>
    <row r="1092" spans="1:13" ht="14">
      <c r="A1092" s="88" t="s">
        <v>2373</v>
      </c>
      <c r="B1092" s="219" t="s">
        <v>782</v>
      </c>
      <c r="C1092" s="30"/>
      <c r="D1092" s="30" t="str">
        <f>VLOOKUP(B1092, 'RM &amp; SF'!B:C, 2, 0)</f>
        <v>صوص صيادية</v>
      </c>
      <c r="E1092" s="30" t="s">
        <v>2203</v>
      </c>
      <c r="F1092" s="110">
        <v>4152</v>
      </c>
      <c r="G1092" s="30" t="str">
        <f>VLOOKUP(F1092, 'RM &amp; SF'!B:C, 2, 0)</f>
        <v>ملح طعام 750غم*****</v>
      </c>
      <c r="H1092" s="30">
        <v>50</v>
      </c>
      <c r="I1092" s="30" t="str">
        <f>VLOOKUP(F1092, 'RM &amp; SF'!B:H, 4, 0)</f>
        <v>غم</v>
      </c>
      <c r="J1092" s="90">
        <f t="shared" si="105"/>
        <v>6.9444444444444446</v>
      </c>
      <c r="K1092" s="91">
        <f>VLOOKUP(F1092, 'RM &amp; SF'!B:H, 7, 0)</f>
        <v>1.7066666666666665E-4</v>
      </c>
      <c r="L1092" s="92">
        <f t="shared" si="106"/>
        <v>1.1851851851851852E-3</v>
      </c>
      <c r="M1092" s="30" t="s">
        <v>813</v>
      </c>
    </row>
    <row r="1093" spans="1:13" ht="14">
      <c r="A1093" s="88" t="s">
        <v>2373</v>
      </c>
      <c r="B1093" s="219" t="s">
        <v>782</v>
      </c>
      <c r="C1093" s="30"/>
      <c r="D1093" s="30" t="str">
        <f>VLOOKUP(B1093, 'RM &amp; SF'!B:C, 2, 0)</f>
        <v>صوص صيادية</v>
      </c>
      <c r="E1093" s="30" t="s">
        <v>3058</v>
      </c>
      <c r="F1093" s="110">
        <v>4021</v>
      </c>
      <c r="G1093" s="30" t="str">
        <f>VLOOKUP(F1093, 'RM &amp; SF'!B:C, 2, 0)</f>
        <v>مكعبات مرق الدجاج 24 عبوة*2 مكعب*****</v>
      </c>
      <c r="H1093" s="89">
        <v>40</v>
      </c>
      <c r="I1093" s="30" t="str">
        <f>VLOOKUP(F1093, 'RM &amp; SF'!B:H, 4, 0)</f>
        <v>غم</v>
      </c>
      <c r="J1093" s="90">
        <f t="shared" si="105"/>
        <v>5.5555555555555554</v>
      </c>
      <c r="K1093" s="91">
        <f>VLOOKUP(F1093, 'RM &amp; SF'!B:H, 7, 0)</f>
        <v>3.8541666666666668E-3</v>
      </c>
      <c r="L1093" s="92">
        <f t="shared" si="106"/>
        <v>2.1412037037037038E-2</v>
      </c>
      <c r="M1093" s="30" t="s">
        <v>813</v>
      </c>
    </row>
    <row r="1094" spans="1:13" ht="14">
      <c r="A1094" s="88" t="s">
        <v>2373</v>
      </c>
      <c r="B1094" s="219" t="s">
        <v>782</v>
      </c>
      <c r="C1094" s="30"/>
      <c r="D1094" s="30" t="str">
        <f>VLOOKUP(B1094, 'RM &amp; SF'!B:C, 2, 0)</f>
        <v>صوص صيادية</v>
      </c>
      <c r="E1094" s="30" t="s">
        <v>3058</v>
      </c>
      <c r="F1094" s="110">
        <v>4045</v>
      </c>
      <c r="G1094" s="30" t="str">
        <f>VLOOKUP(F1094, 'RM &amp; SF'!B:C, 2, 0)</f>
        <v>معجون الطماطم 1375 غم*****</v>
      </c>
      <c r="H1094" s="30">
        <v>140</v>
      </c>
      <c r="I1094" s="30" t="str">
        <f>VLOOKUP(F1094, 'RM &amp; SF'!B:H, 4, 0)</f>
        <v>غم</v>
      </c>
      <c r="J1094" s="90">
        <f t="shared" si="105"/>
        <v>19.444444444444443</v>
      </c>
      <c r="K1094" s="91">
        <f>VLOOKUP(F1094, 'RM &amp; SF'!B:H, 7, 0)</f>
        <v>1.3665999999999999E-3</v>
      </c>
      <c r="L1094" s="92">
        <f t="shared" si="106"/>
        <v>2.6572777777777775E-2</v>
      </c>
      <c r="M1094" s="30" t="s">
        <v>813</v>
      </c>
    </row>
    <row r="1095" spans="1:13" ht="14">
      <c r="A1095" s="88" t="s">
        <v>2373</v>
      </c>
      <c r="B1095" s="219" t="s">
        <v>782</v>
      </c>
      <c r="C1095" s="30"/>
      <c r="D1095" s="30" t="str">
        <f>VLOOKUP(B1095, 'RM &amp; SF'!B:C, 2, 0)</f>
        <v>صوص صيادية</v>
      </c>
      <c r="E1095" s="30" t="s">
        <v>3058</v>
      </c>
      <c r="F1095" s="110">
        <v>3</v>
      </c>
      <c r="G1095" s="30" t="str">
        <f>VLOOKUP(F1095, 'RM &amp; SF'!B:C, 2, 0)</f>
        <v>مياه حنفية</v>
      </c>
      <c r="H1095" s="30">
        <v>1000</v>
      </c>
      <c r="I1095" s="30" t="str">
        <f>VLOOKUP(F1095, 'RM &amp; SF'!B:H, 4, 0)</f>
        <v>مل</v>
      </c>
      <c r="J1095" s="90">
        <f t="shared" si="105"/>
        <v>138.88888888888889</v>
      </c>
      <c r="K1095" s="91">
        <f>VLOOKUP(F1095, 'RM &amp; SF'!B:H, 7, 0)</f>
        <v>0</v>
      </c>
      <c r="L1095" s="92">
        <f t="shared" si="106"/>
        <v>0</v>
      </c>
      <c r="M1095" s="30" t="s">
        <v>813</v>
      </c>
    </row>
    <row r="1096" spans="1:13" ht="14">
      <c r="A1096" s="88" t="s">
        <v>2371</v>
      </c>
      <c r="B1096" s="219" t="s">
        <v>778</v>
      </c>
      <c r="C1096" s="30"/>
      <c r="D1096" s="30" t="str">
        <f>VLOOKUP(B1096, 'RM &amp; SF'!B:C, 2, 0)</f>
        <v>ارز صيادية</v>
      </c>
      <c r="E1096" s="30" t="s">
        <v>2260</v>
      </c>
      <c r="F1096" s="110">
        <v>4160</v>
      </c>
      <c r="G1096" s="30" t="str">
        <f>VLOOKUP(F1096, 'RM &amp; SF'!B:C, 2, 0)</f>
        <v>زيت صويا 18 لتر*****</v>
      </c>
      <c r="H1096" s="30">
        <v>500</v>
      </c>
      <c r="I1096" s="30" t="str">
        <f>VLOOKUP(F1096, 'RM &amp; SF'!B:H, 4, 0)</f>
        <v>مل</v>
      </c>
      <c r="J1096" s="90">
        <f t="shared" ref="J1096:J1107" si="107">H1096/10.5</f>
        <v>47.61904761904762</v>
      </c>
      <c r="K1096" s="91">
        <f>VLOOKUP(F1096, 'RM &amp; SF'!B:H, 7, 0)</f>
        <v>1.335E-3</v>
      </c>
      <c r="L1096" s="92">
        <f t="shared" si="106"/>
        <v>6.357142857142857E-2</v>
      </c>
      <c r="M1096" s="30" t="s">
        <v>813</v>
      </c>
    </row>
    <row r="1097" spans="1:13" ht="14">
      <c r="A1097" s="88" t="s">
        <v>2371</v>
      </c>
      <c r="B1097" s="219" t="s">
        <v>778</v>
      </c>
      <c r="C1097" s="30"/>
      <c r="D1097" s="30" t="str">
        <f>VLOOKUP(B1097, 'RM &amp; SF'!B:C, 2, 0)</f>
        <v>ارز صيادية</v>
      </c>
      <c r="E1097" s="30" t="s">
        <v>2234</v>
      </c>
      <c r="F1097" s="110">
        <v>4503</v>
      </c>
      <c r="G1097" s="30" t="str">
        <f>VLOOKUP(F1097, 'RM &amp; SF'!B:C, 2, 0)</f>
        <v>بصل ناشف دفش*****</v>
      </c>
      <c r="H1097" s="30">
        <v>800</v>
      </c>
      <c r="I1097" s="30" t="str">
        <f>VLOOKUP(F1097, 'RM &amp; SF'!B:H, 4, 0)</f>
        <v>غم</v>
      </c>
      <c r="J1097" s="90">
        <f t="shared" si="107"/>
        <v>76.19047619047619</v>
      </c>
      <c r="K1097" s="91">
        <f>VLOOKUP(F1097, 'RM &amp; SF'!B:H, 7, 0)</f>
        <v>2.5000000000000001E-4</v>
      </c>
      <c r="L1097" s="92">
        <f t="shared" si="106"/>
        <v>1.9047619047619049E-2</v>
      </c>
      <c r="M1097" s="30" t="s">
        <v>813</v>
      </c>
    </row>
    <row r="1098" spans="1:13" ht="14">
      <c r="A1098" s="88" t="s">
        <v>2371</v>
      </c>
      <c r="B1098" s="219" t="s">
        <v>778</v>
      </c>
      <c r="C1098" s="30"/>
      <c r="D1098" s="30" t="str">
        <f>VLOOKUP(B1098, 'RM &amp; SF'!B:C, 2, 0)</f>
        <v>ارز صيادية</v>
      </c>
      <c r="E1098" s="30" t="s">
        <v>2281</v>
      </c>
      <c r="F1098" s="110">
        <v>4133</v>
      </c>
      <c r="G1098" s="30" t="str">
        <f>VLOOKUP(F1098, 'RM &amp; SF'!B:C, 2, 0)</f>
        <v>ارز بسمتي ذهبي*****</v>
      </c>
      <c r="H1098" s="30">
        <v>3000</v>
      </c>
      <c r="I1098" s="30" t="str">
        <f>VLOOKUP(F1098, 'RM &amp; SF'!B:H, 4, 0)</f>
        <v>غم</v>
      </c>
      <c r="J1098" s="90">
        <f t="shared" si="107"/>
        <v>285.71428571428572</v>
      </c>
      <c r="K1098" s="91">
        <f>VLOOKUP(F1098, 'RM &amp; SF'!B:H, 7, 0)</f>
        <v>1.1000000000000001E-3</v>
      </c>
      <c r="L1098" s="92">
        <f t="shared" si="106"/>
        <v>0.31428571428571433</v>
      </c>
      <c r="M1098" s="30" t="s">
        <v>813</v>
      </c>
    </row>
    <row r="1099" spans="1:13" ht="14">
      <c r="A1099" s="88" t="s">
        <v>2371</v>
      </c>
      <c r="B1099" s="219" t="s">
        <v>778</v>
      </c>
      <c r="C1099" s="30"/>
      <c r="D1099" s="30" t="str">
        <f>VLOOKUP(B1099, 'RM &amp; SF'!B:C, 2, 0)</f>
        <v>ارز صيادية</v>
      </c>
      <c r="E1099" s="30" t="s">
        <v>2345</v>
      </c>
      <c r="F1099" s="110" t="s">
        <v>714</v>
      </c>
      <c r="G1099" s="30" t="str">
        <f>VLOOKUP(F1099, 'RM &amp; SF'!B:C, 2, 0)</f>
        <v>ثوم وزيت</v>
      </c>
      <c r="H1099" s="30">
        <v>100</v>
      </c>
      <c r="I1099" s="30" t="str">
        <f>VLOOKUP(F1099, 'RM &amp; SF'!B:H, 4, 0)</f>
        <v>غم</v>
      </c>
      <c r="J1099" s="90">
        <f t="shared" si="107"/>
        <v>9.5238095238095237</v>
      </c>
      <c r="K1099" s="91">
        <f>VLOOKUP(F1099, 'RM &amp; SF'!B:H, 7, 0)</f>
        <v>3.2339999999999999E-3</v>
      </c>
      <c r="L1099" s="92">
        <f t="shared" si="106"/>
        <v>3.0799999999999998E-2</v>
      </c>
      <c r="M1099" s="30" t="s">
        <v>813</v>
      </c>
    </row>
    <row r="1100" spans="1:13" ht="14">
      <c r="A1100" s="88" t="s">
        <v>2371</v>
      </c>
      <c r="B1100" s="219" t="s">
        <v>778</v>
      </c>
      <c r="C1100" s="30"/>
      <c r="D1100" s="30" t="str">
        <f>VLOOKUP(B1100, 'RM &amp; SF'!B:C, 2, 0)</f>
        <v>ارز صيادية</v>
      </c>
      <c r="E1100" s="30" t="s">
        <v>2206</v>
      </c>
      <c r="F1100" s="110">
        <v>4204</v>
      </c>
      <c r="G1100" s="30" t="str">
        <f>VLOOKUP(F1100, 'RM &amp; SF'!B:C, 2, 0)</f>
        <v>فلفل اسود ناعم*****</v>
      </c>
      <c r="H1100" s="30">
        <v>5</v>
      </c>
      <c r="I1100" s="30" t="str">
        <f>VLOOKUP(F1100, 'RM &amp; SF'!B:H, 4, 0)</f>
        <v>غم</v>
      </c>
      <c r="J1100" s="90">
        <f t="shared" si="107"/>
        <v>0.47619047619047616</v>
      </c>
      <c r="K1100" s="91">
        <f>VLOOKUP(F1100, 'RM &amp; SF'!B:H, 7, 0)</f>
        <v>6.8970000000000004E-3</v>
      </c>
      <c r="L1100" s="92">
        <f t="shared" si="106"/>
        <v>3.2842857142857144E-3</v>
      </c>
      <c r="M1100" s="30" t="s">
        <v>813</v>
      </c>
    </row>
    <row r="1101" spans="1:13" ht="14">
      <c r="A1101" s="88" t="s">
        <v>2371</v>
      </c>
      <c r="B1101" s="219" t="s">
        <v>778</v>
      </c>
      <c r="C1101" s="30"/>
      <c r="D1101" s="30" t="str">
        <f>VLOOKUP(B1101, 'RM &amp; SF'!B:C, 2, 0)</f>
        <v>ارز صيادية</v>
      </c>
      <c r="E1101" s="30" t="s">
        <v>2222</v>
      </c>
      <c r="F1101" s="110">
        <v>4240</v>
      </c>
      <c r="G1101" s="30" t="str">
        <f>VLOOKUP(F1101, 'RM &amp; SF'!B:C, 2, 0)</f>
        <v>كركم ناعم*****</v>
      </c>
      <c r="H1101" s="30">
        <v>3</v>
      </c>
      <c r="I1101" s="30" t="str">
        <f>VLOOKUP(F1101, 'RM &amp; SF'!B:H, 4, 0)</f>
        <v>غم</v>
      </c>
      <c r="J1101" s="90">
        <f t="shared" si="107"/>
        <v>0.2857142857142857</v>
      </c>
      <c r="K1101" s="91">
        <f>VLOOKUP(F1101, 'RM &amp; SF'!B:H, 7, 0)</f>
        <v>1.9399999999999999E-3</v>
      </c>
      <c r="L1101" s="92">
        <f t="shared" si="106"/>
        <v>5.5428571428571419E-4</v>
      </c>
      <c r="M1101" s="30" t="s">
        <v>813</v>
      </c>
    </row>
    <row r="1102" spans="1:13" ht="14">
      <c r="A1102" s="88" t="s">
        <v>2371</v>
      </c>
      <c r="B1102" s="219" t="s">
        <v>778</v>
      </c>
      <c r="C1102" s="30"/>
      <c r="D1102" s="30" t="str">
        <f>VLOOKUP(B1102, 'RM &amp; SF'!B:C, 2, 0)</f>
        <v>ارز صيادية</v>
      </c>
      <c r="E1102" s="30" t="s">
        <v>2208</v>
      </c>
      <c r="F1102" s="110">
        <v>4211</v>
      </c>
      <c r="G1102" s="30" t="str">
        <f>VLOOKUP(F1102, 'RM &amp; SF'!B:C, 2, 0)</f>
        <v>كزبرة ناعمة*****</v>
      </c>
      <c r="H1102" s="30">
        <v>10</v>
      </c>
      <c r="I1102" s="30" t="str">
        <f>VLOOKUP(F1102, 'RM &amp; SF'!B:H, 4, 0)</f>
        <v>غم</v>
      </c>
      <c r="J1102" s="90">
        <f t="shared" si="107"/>
        <v>0.95238095238095233</v>
      </c>
      <c r="K1102" s="91">
        <f>VLOOKUP(F1102, 'RM &amp; SF'!B:H, 7, 0)</f>
        <v>1.5089999999999999E-3</v>
      </c>
      <c r="L1102" s="92">
        <f t="shared" si="106"/>
        <v>1.4371428571428569E-3</v>
      </c>
      <c r="M1102" s="30" t="s">
        <v>813</v>
      </c>
    </row>
    <row r="1103" spans="1:13" ht="14">
      <c r="A1103" s="88" t="s">
        <v>2371</v>
      </c>
      <c r="B1103" s="219" t="s">
        <v>778</v>
      </c>
      <c r="C1103" s="30"/>
      <c r="D1103" s="30" t="str">
        <f>VLOOKUP(B1103, 'RM &amp; SF'!B:C, 2, 0)</f>
        <v>ارز صيادية</v>
      </c>
      <c r="E1103" s="30" t="s">
        <v>2211</v>
      </c>
      <c r="F1103" s="110">
        <v>4214</v>
      </c>
      <c r="G1103" s="30" t="str">
        <f>VLOOKUP(F1103, 'RM &amp; SF'!B:C, 2, 0)</f>
        <v>قرفة ناعمة*****</v>
      </c>
      <c r="H1103" s="30">
        <v>7</v>
      </c>
      <c r="I1103" s="30" t="str">
        <f>VLOOKUP(F1103, 'RM &amp; SF'!B:H, 4, 0)</f>
        <v>غم</v>
      </c>
      <c r="J1103" s="90">
        <f t="shared" si="107"/>
        <v>0.66666666666666663</v>
      </c>
      <c r="K1103" s="91">
        <f>VLOOKUP(F1103, 'RM &amp; SF'!B:H, 7, 0)</f>
        <v>2.8020000000000002E-3</v>
      </c>
      <c r="L1103" s="92">
        <f t="shared" si="106"/>
        <v>1.8680000000000001E-3</v>
      </c>
      <c r="M1103" s="30" t="s">
        <v>813</v>
      </c>
    </row>
    <row r="1104" spans="1:13" ht="14">
      <c r="A1104" s="88" t="s">
        <v>2371</v>
      </c>
      <c r="B1104" s="219" t="s">
        <v>778</v>
      </c>
      <c r="C1104" s="30"/>
      <c r="D1104" s="30" t="str">
        <f>VLOOKUP(B1104, 'RM &amp; SF'!B:C, 2, 0)</f>
        <v>ارز صيادية</v>
      </c>
      <c r="E1104" s="30" t="s">
        <v>2203</v>
      </c>
      <c r="F1104" s="110">
        <v>4152</v>
      </c>
      <c r="G1104" s="30" t="str">
        <f>VLOOKUP(F1104, 'RM &amp; SF'!B:C, 2, 0)</f>
        <v>ملح طعام 750غم*****</v>
      </c>
      <c r="H1104" s="30">
        <v>60</v>
      </c>
      <c r="I1104" s="30" t="str">
        <f>VLOOKUP(F1104, 'RM &amp; SF'!B:H, 4, 0)</f>
        <v>غم</v>
      </c>
      <c r="J1104" s="90">
        <f t="shared" si="107"/>
        <v>5.7142857142857144</v>
      </c>
      <c r="K1104" s="91">
        <f>VLOOKUP(F1104, 'RM &amp; SF'!B:H, 7, 0)</f>
        <v>1.7066666666666665E-4</v>
      </c>
      <c r="L1104" s="92">
        <f t="shared" si="106"/>
        <v>9.752380952380952E-4</v>
      </c>
      <c r="M1104" s="30" t="s">
        <v>813</v>
      </c>
    </row>
    <row r="1105" spans="1:13" ht="14">
      <c r="A1105" s="88" t="s">
        <v>2371</v>
      </c>
      <c r="B1105" s="219" t="s">
        <v>778</v>
      </c>
      <c r="C1105" s="30"/>
      <c r="D1105" s="30" t="str">
        <f>VLOOKUP(B1105, 'RM &amp; SF'!B:C, 2, 0)</f>
        <v>ارز صيادية</v>
      </c>
      <c r="E1105" s="30" t="s">
        <v>3058</v>
      </c>
      <c r="F1105" s="110">
        <v>4021</v>
      </c>
      <c r="G1105" s="30" t="str">
        <f>VLOOKUP(F1105, 'RM &amp; SF'!B:C, 2, 0)</f>
        <v>مكعبات مرق الدجاج 24 عبوة*2 مكعب*****</v>
      </c>
      <c r="H1105" s="89">
        <v>60</v>
      </c>
      <c r="I1105" s="30" t="str">
        <f>VLOOKUP(F1105, 'RM &amp; SF'!B:H, 4, 0)</f>
        <v>غم</v>
      </c>
      <c r="J1105" s="90">
        <f t="shared" si="107"/>
        <v>5.7142857142857144</v>
      </c>
      <c r="K1105" s="91">
        <f>VLOOKUP(F1105, 'RM &amp; SF'!B:H, 7, 0)</f>
        <v>3.8541666666666668E-3</v>
      </c>
      <c r="L1105" s="92">
        <f t="shared" si="106"/>
        <v>2.2023809523809525E-2</v>
      </c>
      <c r="M1105" s="30" t="s">
        <v>813</v>
      </c>
    </row>
    <row r="1106" spans="1:13" ht="14">
      <c r="A1106" s="88" t="s">
        <v>2371</v>
      </c>
      <c r="B1106" s="219" t="s">
        <v>778</v>
      </c>
      <c r="C1106" s="30"/>
      <c r="D1106" s="30" t="str">
        <f>VLOOKUP(B1106, 'RM &amp; SF'!B:C, 2, 0)</f>
        <v>ارز صيادية</v>
      </c>
      <c r="E1106" s="30" t="s">
        <v>2209</v>
      </c>
      <c r="F1106" s="110">
        <v>4546</v>
      </c>
      <c r="G1106" s="30" t="str">
        <f>VLOOKUP(F1106, 'RM &amp; SF'!B:C, 2, 0)</f>
        <v>كزبرة*****</v>
      </c>
      <c r="H1106" s="30">
        <v>0.4</v>
      </c>
      <c r="I1106" s="30" t="str">
        <f>VLOOKUP(F1106, 'RM &amp; SF'!B:H, 4, 0)</f>
        <v>قطعة</v>
      </c>
      <c r="J1106" s="90">
        <f t="shared" si="107"/>
        <v>3.8095238095238099E-2</v>
      </c>
      <c r="K1106" s="91">
        <f>VLOOKUP(F1106, 'RM &amp; SF'!B:H, 7, 0)</f>
        <v>1E-3</v>
      </c>
      <c r="L1106" s="92">
        <f t="shared" si="106"/>
        <v>3.8095238095238099E-5</v>
      </c>
      <c r="M1106" s="30" t="s">
        <v>813</v>
      </c>
    </row>
    <row r="1107" spans="1:13" ht="14">
      <c r="A1107" s="88" t="s">
        <v>2371</v>
      </c>
      <c r="B1107" s="219" t="s">
        <v>778</v>
      </c>
      <c r="C1107" s="30"/>
      <c r="D1107" s="30" t="str">
        <f>VLOOKUP(B1107, 'RM &amp; SF'!B:C, 2, 0)</f>
        <v>ارز صيادية</v>
      </c>
      <c r="E1107" s="30" t="s">
        <v>3058</v>
      </c>
      <c r="F1107" s="110">
        <v>3</v>
      </c>
      <c r="G1107" s="30" t="str">
        <f>VLOOKUP(F1107, 'RM &amp; SF'!B:C, 2, 0)</f>
        <v>مياه حنفية</v>
      </c>
      <c r="H1107" s="30">
        <v>5500</v>
      </c>
      <c r="I1107" s="30" t="str">
        <f>VLOOKUP(F1107, 'RM &amp; SF'!B:H, 4, 0)</f>
        <v>مل</v>
      </c>
      <c r="J1107" s="90">
        <f t="shared" si="107"/>
        <v>523.80952380952385</v>
      </c>
      <c r="K1107" s="91">
        <f>VLOOKUP(F1107, 'RM &amp; SF'!B:H, 7, 0)</f>
        <v>0</v>
      </c>
      <c r="L1107" s="92">
        <f t="shared" si="106"/>
        <v>0</v>
      </c>
      <c r="M1107" s="30" t="s">
        <v>813</v>
      </c>
    </row>
    <row r="1108" spans="1:13" ht="14">
      <c r="A1108" s="88" t="s">
        <v>2377</v>
      </c>
      <c r="B1108" s="219" t="s">
        <v>796</v>
      </c>
      <c r="C1108" s="30"/>
      <c r="D1108" s="30" t="str">
        <f>VLOOKUP(B1108, 'RM &amp; SF'!B:C, 2, 0)</f>
        <v>رز مبهر</v>
      </c>
      <c r="E1108" s="30" t="s">
        <v>2281</v>
      </c>
      <c r="F1108" s="110">
        <v>4133</v>
      </c>
      <c r="G1108" s="30" t="str">
        <f>VLOOKUP(F1108, 'RM &amp; SF'!B:C, 2, 0)</f>
        <v>ارز بسمتي ذهبي*****</v>
      </c>
      <c r="H1108" s="89">
        <v>5000</v>
      </c>
      <c r="I1108" s="30" t="str">
        <f>VLOOKUP(F1108, 'RM &amp; SF'!B:H, 4, 0)</f>
        <v>غم</v>
      </c>
      <c r="J1108" s="90">
        <f>H1108/20</f>
        <v>250</v>
      </c>
      <c r="K1108" s="91">
        <f>VLOOKUP(F1108, 'RM &amp; SF'!B:H, 7, 0)</f>
        <v>1.1000000000000001E-3</v>
      </c>
      <c r="L1108" s="92">
        <f t="shared" si="106"/>
        <v>0.27500000000000002</v>
      </c>
      <c r="M1108" s="30" t="s">
        <v>810</v>
      </c>
    </row>
    <row r="1109" spans="1:13" ht="14">
      <c r="A1109" s="88" t="s">
        <v>2377</v>
      </c>
      <c r="B1109" s="219" t="s">
        <v>796</v>
      </c>
      <c r="C1109" s="30"/>
      <c r="D1109" s="30" t="str">
        <f>VLOOKUP(B1109, 'RM &amp; SF'!B:C, 2, 0)</f>
        <v>رز مبهر</v>
      </c>
      <c r="E1109" s="30" t="s">
        <v>3058</v>
      </c>
      <c r="F1109" s="110">
        <v>5373</v>
      </c>
      <c r="G1109" s="30" t="str">
        <f>VLOOKUP(F1109, 'RM &amp; SF'!B:C, 2, 0)</f>
        <v>قطعيات عجل مشكلة</v>
      </c>
      <c r="H1109" s="89">
        <v>1000</v>
      </c>
      <c r="I1109" s="30" t="str">
        <f>VLOOKUP(F1109, 'RM &amp; SF'!B:H, 4, 0)</f>
        <v>غم</v>
      </c>
      <c r="J1109" s="90">
        <f t="shared" ref="J1109:J1120" si="108">H1109/20</f>
        <v>50</v>
      </c>
      <c r="K1109" s="91">
        <f>VLOOKUP(F1109, 'RM &amp; SF'!B:H, 7, 0)</f>
        <v>9.0100000000000006E-3</v>
      </c>
      <c r="L1109" s="92">
        <f t="shared" si="106"/>
        <v>0.45050000000000001</v>
      </c>
      <c r="M1109" s="30" t="s">
        <v>810</v>
      </c>
    </row>
    <row r="1110" spans="1:13" ht="14">
      <c r="A1110" s="88" t="s">
        <v>2377</v>
      </c>
      <c r="B1110" s="219" t="s">
        <v>796</v>
      </c>
      <c r="C1110" s="30"/>
      <c r="D1110" s="30" t="str">
        <f>VLOOKUP(B1110, 'RM &amp; SF'!B:C, 2, 0)</f>
        <v>رز مبهر</v>
      </c>
      <c r="E1110" s="30" t="s">
        <v>2260</v>
      </c>
      <c r="F1110" s="110">
        <v>4160</v>
      </c>
      <c r="G1110" s="30" t="str">
        <f>VLOOKUP(F1110, 'RM &amp; SF'!B:C, 2, 0)</f>
        <v>زيت صويا 18 لتر*****</v>
      </c>
      <c r="H1110" s="89">
        <v>400</v>
      </c>
      <c r="I1110" s="30" t="str">
        <f>VLOOKUP(F1110, 'RM &amp; SF'!B:H, 4, 0)</f>
        <v>مل</v>
      </c>
      <c r="J1110" s="90">
        <f t="shared" si="108"/>
        <v>20</v>
      </c>
      <c r="K1110" s="91">
        <f>VLOOKUP(F1110, 'RM &amp; SF'!B:H, 7, 0)</f>
        <v>1.335E-3</v>
      </c>
      <c r="L1110" s="92">
        <f t="shared" si="106"/>
        <v>2.6700000000000002E-2</v>
      </c>
      <c r="M1110" s="30" t="s">
        <v>810</v>
      </c>
    </row>
    <row r="1111" spans="1:13" ht="14">
      <c r="A1111" s="88" t="s">
        <v>2377</v>
      </c>
      <c r="B1111" s="219" t="s">
        <v>796</v>
      </c>
      <c r="C1111" s="30"/>
      <c r="D1111" s="30" t="str">
        <f>VLOOKUP(B1111, 'RM &amp; SF'!B:C, 2, 0)</f>
        <v>رز مبهر</v>
      </c>
      <c r="E1111" s="30" t="s">
        <v>2261</v>
      </c>
      <c r="F1111" s="110">
        <v>4163</v>
      </c>
      <c r="G1111" s="30" t="str">
        <f>VLOOKUP(F1111, 'RM &amp; SF'!B:C, 2, 0)</f>
        <v>سمنة بنكهة السمن البلدي 15 كغ*****</v>
      </c>
      <c r="H1111" s="89">
        <v>250</v>
      </c>
      <c r="I1111" s="30" t="str">
        <f>VLOOKUP(F1111, 'RM &amp; SF'!B:H, 4, 0)</f>
        <v>غم</v>
      </c>
      <c r="J1111" s="90">
        <f t="shared" si="108"/>
        <v>12.5</v>
      </c>
      <c r="K1111" s="91">
        <f>VLOOKUP(F1111, 'RM &amp; SF'!B:H, 7, 0)</f>
        <v>2.0512E-3</v>
      </c>
      <c r="L1111" s="92">
        <f t="shared" si="106"/>
        <v>2.564E-2</v>
      </c>
      <c r="M1111" s="30" t="s">
        <v>810</v>
      </c>
    </row>
    <row r="1112" spans="1:13" ht="14">
      <c r="A1112" s="88" t="s">
        <v>2377</v>
      </c>
      <c r="B1112" s="219" t="s">
        <v>796</v>
      </c>
      <c r="C1112" s="30"/>
      <c r="D1112" s="30" t="str">
        <f>VLOOKUP(B1112, 'RM &amp; SF'!B:C, 2, 0)</f>
        <v>رز مبهر</v>
      </c>
      <c r="E1112" s="30" t="s">
        <v>2206</v>
      </c>
      <c r="F1112" s="110">
        <v>4204</v>
      </c>
      <c r="G1112" s="30" t="str">
        <f>VLOOKUP(F1112, 'RM &amp; SF'!B:C, 2, 0)</f>
        <v>فلفل اسود ناعم*****</v>
      </c>
      <c r="H1112" s="89">
        <v>19</v>
      </c>
      <c r="I1112" s="30" t="str">
        <f>VLOOKUP(F1112, 'RM &amp; SF'!B:H, 4, 0)</f>
        <v>غم</v>
      </c>
      <c r="J1112" s="90">
        <f t="shared" si="108"/>
        <v>0.95</v>
      </c>
      <c r="K1112" s="91">
        <f>VLOOKUP(F1112, 'RM &amp; SF'!B:H, 7, 0)</f>
        <v>6.8970000000000004E-3</v>
      </c>
      <c r="L1112" s="92">
        <f t="shared" si="106"/>
        <v>6.5521499999999996E-3</v>
      </c>
      <c r="M1112" s="30" t="s">
        <v>810</v>
      </c>
    </row>
    <row r="1113" spans="1:13" ht="14">
      <c r="A1113" s="88" t="s">
        <v>2377</v>
      </c>
      <c r="B1113" s="219" t="s">
        <v>796</v>
      </c>
      <c r="C1113" s="30"/>
      <c r="D1113" s="30" t="str">
        <f>VLOOKUP(B1113, 'RM &amp; SF'!B:C, 2, 0)</f>
        <v>رز مبهر</v>
      </c>
      <c r="E1113" s="30" t="s">
        <v>2213</v>
      </c>
      <c r="F1113" s="110">
        <v>4218</v>
      </c>
      <c r="G1113" s="30" t="str">
        <f>VLOOKUP(F1113, 'RM &amp; SF'!B:C, 2, 0)</f>
        <v>بهارات مشكلة*****</v>
      </c>
      <c r="H1113" s="89">
        <v>24</v>
      </c>
      <c r="I1113" s="30" t="str">
        <f>VLOOKUP(F1113, 'RM &amp; SF'!B:H, 4, 0)</f>
        <v>غم</v>
      </c>
      <c r="J1113" s="90">
        <f t="shared" si="108"/>
        <v>1.2</v>
      </c>
      <c r="K1113" s="91">
        <f>VLOOKUP(F1113, 'RM &amp; SF'!B:H, 7, 0)</f>
        <v>3.0169999999999997E-3</v>
      </c>
      <c r="L1113" s="92">
        <f t="shared" si="106"/>
        <v>3.6203999999999993E-3</v>
      </c>
      <c r="M1113" s="30" t="s">
        <v>810</v>
      </c>
    </row>
    <row r="1114" spans="1:13" ht="14">
      <c r="A1114" s="88" t="s">
        <v>2377</v>
      </c>
      <c r="B1114" s="219" t="s">
        <v>796</v>
      </c>
      <c r="C1114" s="30"/>
      <c r="D1114" s="30" t="str">
        <f>VLOOKUP(B1114, 'RM &amp; SF'!B:C, 2, 0)</f>
        <v>رز مبهر</v>
      </c>
      <c r="E1114" s="30" t="s">
        <v>2222</v>
      </c>
      <c r="F1114" s="110">
        <v>4240</v>
      </c>
      <c r="G1114" s="30" t="str">
        <f>VLOOKUP(F1114, 'RM &amp; SF'!B:C, 2, 0)</f>
        <v>كركم ناعم*****</v>
      </c>
      <c r="H1114" s="89">
        <v>8</v>
      </c>
      <c r="I1114" s="30" t="str">
        <f>VLOOKUP(F1114, 'RM &amp; SF'!B:H, 4, 0)</f>
        <v>غم</v>
      </c>
      <c r="J1114" s="90">
        <f t="shared" si="108"/>
        <v>0.4</v>
      </c>
      <c r="K1114" s="91">
        <f>VLOOKUP(F1114, 'RM &amp; SF'!B:H, 7, 0)</f>
        <v>1.9399999999999999E-3</v>
      </c>
      <c r="L1114" s="92">
        <f t="shared" si="106"/>
        <v>7.76E-4</v>
      </c>
      <c r="M1114" s="30" t="s">
        <v>810</v>
      </c>
    </row>
    <row r="1115" spans="1:13" ht="14">
      <c r="A1115" s="88" t="s">
        <v>2377</v>
      </c>
      <c r="B1115" s="219" t="s">
        <v>796</v>
      </c>
      <c r="C1115" s="30"/>
      <c r="D1115" s="30" t="str">
        <f>VLOOKUP(B1115, 'RM &amp; SF'!B:C, 2, 0)</f>
        <v>رز مبهر</v>
      </c>
      <c r="E1115" s="30" t="s">
        <v>2211</v>
      </c>
      <c r="F1115" s="110">
        <v>4214</v>
      </c>
      <c r="G1115" s="30" t="str">
        <f>VLOOKUP(F1115, 'RM &amp; SF'!B:C, 2, 0)</f>
        <v>قرفة ناعمة*****</v>
      </c>
      <c r="H1115" s="89">
        <v>9</v>
      </c>
      <c r="I1115" s="30" t="str">
        <f>VLOOKUP(F1115, 'RM &amp; SF'!B:H, 4, 0)</f>
        <v>غم</v>
      </c>
      <c r="J1115" s="90">
        <f t="shared" si="108"/>
        <v>0.45</v>
      </c>
      <c r="K1115" s="91">
        <f>VLOOKUP(F1115, 'RM &amp; SF'!B:H, 7, 0)</f>
        <v>2.8020000000000002E-3</v>
      </c>
      <c r="L1115" s="92">
        <f t="shared" si="106"/>
        <v>1.2609000000000001E-3</v>
      </c>
      <c r="M1115" s="30" t="s">
        <v>810</v>
      </c>
    </row>
    <row r="1116" spans="1:13" ht="14">
      <c r="A1116" s="88" t="s">
        <v>2377</v>
      </c>
      <c r="B1116" s="219" t="s">
        <v>796</v>
      </c>
      <c r="C1116" s="30"/>
      <c r="D1116" s="30" t="str">
        <f>VLOOKUP(B1116, 'RM &amp; SF'!B:C, 2, 0)</f>
        <v>رز مبهر</v>
      </c>
      <c r="E1116" s="30" t="s">
        <v>3058</v>
      </c>
      <c r="F1116" s="110">
        <v>4191</v>
      </c>
      <c r="G1116" s="30" t="str">
        <f>VLOOKUP(F1116, 'RM &amp; SF'!B:C, 2, 0)</f>
        <v>جوزة الطيب مطحونة*****</v>
      </c>
      <c r="H1116" s="89">
        <v>9</v>
      </c>
      <c r="I1116" s="30" t="str">
        <f>VLOOKUP(F1116, 'RM &amp; SF'!B:H, 4, 0)</f>
        <v>غم</v>
      </c>
      <c r="J1116" s="90">
        <f t="shared" si="108"/>
        <v>0.45</v>
      </c>
      <c r="K1116" s="91">
        <f>VLOOKUP(F1116, 'RM &amp; SF'!B:H, 7, 0)</f>
        <v>6.0339999999999994E-3</v>
      </c>
      <c r="L1116" s="92">
        <f t="shared" si="106"/>
        <v>2.7152999999999999E-3</v>
      </c>
      <c r="M1116" s="30" t="s">
        <v>810</v>
      </c>
    </row>
    <row r="1117" spans="1:13" ht="14">
      <c r="A1117" s="88" t="s">
        <v>2377</v>
      </c>
      <c r="B1117" s="219" t="s">
        <v>796</v>
      </c>
      <c r="C1117" s="30"/>
      <c r="D1117" s="30" t="str">
        <f>VLOOKUP(B1117, 'RM &amp; SF'!B:C, 2, 0)</f>
        <v>رز مبهر</v>
      </c>
      <c r="E1117" s="30" t="s">
        <v>2214</v>
      </c>
      <c r="F1117" s="110">
        <v>4223</v>
      </c>
      <c r="G1117" s="30" t="str">
        <f>VLOOKUP(F1117, 'RM &amp; SF'!B:C, 2, 0)</f>
        <v>بهارات كاري*****</v>
      </c>
      <c r="H1117" s="89">
        <v>0</v>
      </c>
      <c r="I1117" s="30" t="str">
        <f>VLOOKUP(F1117, 'RM &amp; SF'!B:H, 4, 0)</f>
        <v>غم</v>
      </c>
      <c r="J1117" s="90">
        <f t="shared" si="108"/>
        <v>0</v>
      </c>
      <c r="K1117" s="91">
        <f>VLOOKUP(F1117, 'RM &amp; SF'!B:H, 7, 0)</f>
        <v>2.2409999999999999E-3</v>
      </c>
      <c r="L1117" s="92">
        <f t="shared" si="106"/>
        <v>0</v>
      </c>
      <c r="M1117" s="30" t="s">
        <v>810</v>
      </c>
    </row>
    <row r="1118" spans="1:13" ht="14">
      <c r="A1118" s="88" t="s">
        <v>2377</v>
      </c>
      <c r="B1118" s="219" t="s">
        <v>796</v>
      </c>
      <c r="C1118" s="30"/>
      <c r="D1118" s="30" t="str">
        <f>VLOOKUP(B1118, 'RM &amp; SF'!B:C, 2, 0)</f>
        <v>رز مبهر</v>
      </c>
      <c r="E1118" s="30" t="s">
        <v>2203</v>
      </c>
      <c r="F1118" s="110">
        <v>4152</v>
      </c>
      <c r="G1118" s="30" t="str">
        <f>VLOOKUP(F1118, 'RM &amp; SF'!B:C, 2, 0)</f>
        <v>ملح طعام 750غم*****</v>
      </c>
      <c r="H1118" s="89">
        <v>130</v>
      </c>
      <c r="I1118" s="30" t="str">
        <f>VLOOKUP(F1118, 'RM &amp; SF'!B:H, 4, 0)</f>
        <v>غم</v>
      </c>
      <c r="J1118" s="90">
        <f t="shared" si="108"/>
        <v>6.5</v>
      </c>
      <c r="K1118" s="91">
        <f>VLOOKUP(F1118, 'RM &amp; SF'!B:H, 7, 0)</f>
        <v>1.7066666666666665E-4</v>
      </c>
      <c r="L1118" s="92">
        <f t="shared" si="106"/>
        <v>1.1093333333333333E-3</v>
      </c>
      <c r="M1118" s="30" t="s">
        <v>810</v>
      </c>
    </row>
    <row r="1119" spans="1:13" ht="14">
      <c r="A1119" s="88" t="s">
        <v>2377</v>
      </c>
      <c r="B1119" s="219" t="s">
        <v>796</v>
      </c>
      <c r="C1119" s="30"/>
      <c r="D1119" s="30" t="str">
        <f>VLOOKUP(B1119, 'RM &amp; SF'!B:C, 2, 0)</f>
        <v>رز مبهر</v>
      </c>
      <c r="E1119" s="30" t="s">
        <v>3058</v>
      </c>
      <c r="F1119" s="110">
        <v>4021</v>
      </c>
      <c r="G1119" s="30" t="str">
        <f>VLOOKUP(F1119, 'RM &amp; SF'!B:C, 2, 0)</f>
        <v>مكعبات مرق الدجاج 24 عبوة*2 مكعب*****</v>
      </c>
      <c r="H1119" s="89">
        <v>100</v>
      </c>
      <c r="I1119" s="30" t="str">
        <f>VLOOKUP(F1119, 'RM &amp; SF'!B:H, 4, 0)</f>
        <v>غم</v>
      </c>
      <c r="J1119" s="90">
        <f t="shared" si="108"/>
        <v>5</v>
      </c>
      <c r="K1119" s="91">
        <f>VLOOKUP(F1119, 'RM &amp; SF'!B:H, 7, 0)</f>
        <v>3.8541666666666668E-3</v>
      </c>
      <c r="L1119" s="92">
        <f t="shared" si="106"/>
        <v>1.9270833333333334E-2</v>
      </c>
      <c r="M1119" s="30" t="s">
        <v>810</v>
      </c>
    </row>
    <row r="1120" spans="1:13" ht="14">
      <c r="A1120" s="88" t="s">
        <v>2377</v>
      </c>
      <c r="B1120" s="219" t="s">
        <v>796</v>
      </c>
      <c r="C1120" s="30"/>
      <c r="D1120" s="30" t="str">
        <f>VLOOKUP(B1120, 'RM &amp; SF'!B:C, 2, 0)</f>
        <v>رز مبهر</v>
      </c>
      <c r="E1120" s="30" t="s">
        <v>3058</v>
      </c>
      <c r="F1120" s="110">
        <v>3</v>
      </c>
      <c r="G1120" s="30" t="str">
        <f>VLOOKUP(F1120, 'RM &amp; SF'!B:C, 2, 0)</f>
        <v>مياه حنفية</v>
      </c>
      <c r="H1120" s="89">
        <v>11.5</v>
      </c>
      <c r="I1120" s="30" t="str">
        <f>VLOOKUP(F1120, 'RM &amp; SF'!B:H, 4, 0)</f>
        <v>مل</v>
      </c>
      <c r="J1120" s="90">
        <f t="shared" si="108"/>
        <v>0.57499999999999996</v>
      </c>
      <c r="K1120" s="91">
        <f>VLOOKUP(F1120, 'RM &amp; SF'!B:H, 7, 0)</f>
        <v>0</v>
      </c>
      <c r="L1120" s="92">
        <f t="shared" si="106"/>
        <v>0</v>
      </c>
      <c r="M1120" s="30" t="s">
        <v>810</v>
      </c>
    </row>
    <row r="1121" spans="1:13" ht="14">
      <c r="A1121" s="88" t="s">
        <v>2372</v>
      </c>
      <c r="B1121" s="219" t="s">
        <v>780</v>
      </c>
      <c r="C1121" s="30"/>
      <c r="D1121" s="30" t="str">
        <f>VLOOKUP(B1121, 'RM &amp; SF'!B:C, 2, 0)</f>
        <v>سمك صيادية مقلي</v>
      </c>
      <c r="E1121" s="30" t="s">
        <v>3058</v>
      </c>
      <c r="F1121" s="110">
        <v>5261</v>
      </c>
      <c r="G1121" s="30" t="str">
        <f>VLOOKUP(F1121, 'RM &amp; SF'!B:C, 2, 0)</f>
        <v>سمك فيتنامي</v>
      </c>
      <c r="H1121" s="89">
        <v>10000</v>
      </c>
      <c r="I1121" s="30" t="str">
        <f>VLOOKUP(F1121, 'RM &amp; SF'!B:H, 4, 0)</f>
        <v>غم</v>
      </c>
      <c r="J1121" s="90">
        <f t="shared" ref="J1121:J1136" si="109">H1121/10</f>
        <v>1000</v>
      </c>
      <c r="K1121" s="91">
        <f>VLOOKUP(F1121, 'RM &amp; SF'!B:H, 7, 0)</f>
        <v>2.5999999999999999E-3</v>
      </c>
      <c r="L1121" s="92">
        <f t="shared" si="106"/>
        <v>2.6</v>
      </c>
      <c r="M1121" s="30" t="s">
        <v>810</v>
      </c>
    </row>
    <row r="1122" spans="1:13" ht="14">
      <c r="A1122" s="88" t="s">
        <v>2372</v>
      </c>
      <c r="B1122" s="219" t="s">
        <v>780</v>
      </c>
      <c r="C1122" s="30"/>
      <c r="D1122" s="30" t="str">
        <f>VLOOKUP(B1122, 'RM &amp; SF'!B:C, 2, 0)</f>
        <v>سمك صيادية مقلي</v>
      </c>
      <c r="E1122" s="30" t="s">
        <v>2213</v>
      </c>
      <c r="F1122" s="110">
        <v>4218</v>
      </c>
      <c r="G1122" s="30" t="str">
        <f>VLOOKUP(F1122, 'RM &amp; SF'!B:C, 2, 0)</f>
        <v>بهارات مشكلة*****</v>
      </c>
      <c r="H1122" s="89">
        <v>25</v>
      </c>
      <c r="I1122" s="30" t="str">
        <f>VLOOKUP(F1122, 'RM &amp; SF'!B:H, 4, 0)</f>
        <v>غم</v>
      </c>
      <c r="J1122" s="90">
        <f t="shared" si="109"/>
        <v>2.5</v>
      </c>
      <c r="K1122" s="91">
        <f>VLOOKUP(F1122, 'RM &amp; SF'!B:H, 7, 0)</f>
        <v>3.0169999999999997E-3</v>
      </c>
      <c r="L1122" s="92">
        <f t="shared" si="106"/>
        <v>7.5424999999999989E-3</v>
      </c>
      <c r="M1122" s="30" t="s">
        <v>810</v>
      </c>
    </row>
    <row r="1123" spans="1:13" ht="14">
      <c r="A1123" s="88" t="s">
        <v>2372</v>
      </c>
      <c r="B1123" s="219" t="s">
        <v>780</v>
      </c>
      <c r="C1123" s="30"/>
      <c r="D1123" s="30" t="str">
        <f>VLOOKUP(B1123, 'RM &amp; SF'!B:C, 2, 0)</f>
        <v>سمك صيادية مقلي</v>
      </c>
      <c r="E1123" s="30" t="s">
        <v>2221</v>
      </c>
      <c r="F1123" s="110">
        <v>4237</v>
      </c>
      <c r="G1123" s="30" t="str">
        <f>VLOOKUP(F1123, 'RM &amp; SF'!B:C, 2, 0)</f>
        <v>ثوم ناعم*****</v>
      </c>
      <c r="H1123" s="89">
        <v>25</v>
      </c>
      <c r="I1123" s="30" t="str">
        <f>VLOOKUP(F1123, 'RM &amp; SF'!B:H, 4, 0)</f>
        <v>غم</v>
      </c>
      <c r="J1123" s="90">
        <f t="shared" si="109"/>
        <v>2.5</v>
      </c>
      <c r="K1123" s="91">
        <f>VLOOKUP(F1123, 'RM &amp; SF'!B:H, 7, 0)</f>
        <v>2.3709999999999998E-3</v>
      </c>
      <c r="L1123" s="92">
        <f t="shared" si="106"/>
        <v>5.9274999999999996E-3</v>
      </c>
      <c r="M1123" s="30" t="s">
        <v>810</v>
      </c>
    </row>
    <row r="1124" spans="1:13" ht="14">
      <c r="A1124" s="88" t="s">
        <v>2372</v>
      </c>
      <c r="B1124" s="219" t="s">
        <v>780</v>
      </c>
      <c r="C1124" s="30"/>
      <c r="D1124" s="30" t="str">
        <f>VLOOKUP(B1124, 'RM &amp; SF'!B:C, 2, 0)</f>
        <v>سمك صيادية مقلي</v>
      </c>
      <c r="E1124" s="30" t="s">
        <v>2214</v>
      </c>
      <c r="F1124" s="110">
        <v>4223</v>
      </c>
      <c r="G1124" s="30" t="str">
        <f>VLOOKUP(F1124, 'RM &amp; SF'!B:C, 2, 0)</f>
        <v>بهارات كاري*****</v>
      </c>
      <c r="H1124" s="89">
        <v>50</v>
      </c>
      <c r="I1124" s="30" t="str">
        <f>VLOOKUP(F1124, 'RM &amp; SF'!B:H, 4, 0)</f>
        <v>غم</v>
      </c>
      <c r="J1124" s="90">
        <f t="shared" si="109"/>
        <v>5</v>
      </c>
      <c r="K1124" s="91">
        <f>VLOOKUP(F1124, 'RM &amp; SF'!B:H, 7, 0)</f>
        <v>2.2409999999999999E-3</v>
      </c>
      <c r="L1124" s="92">
        <f t="shared" si="106"/>
        <v>1.1205E-2</v>
      </c>
      <c r="M1124" s="30" t="s">
        <v>810</v>
      </c>
    </row>
    <row r="1125" spans="1:13" ht="14">
      <c r="A1125" s="88" t="s">
        <v>2372</v>
      </c>
      <c r="B1125" s="219" t="s">
        <v>780</v>
      </c>
      <c r="C1125" s="30"/>
      <c r="D1125" s="30" t="str">
        <f>VLOOKUP(B1125, 'RM &amp; SF'!B:C, 2, 0)</f>
        <v>سمك صيادية مقلي</v>
      </c>
      <c r="E1125" s="30" t="s">
        <v>3058</v>
      </c>
      <c r="F1125" s="110">
        <v>4222</v>
      </c>
      <c r="G1125" s="30" t="str">
        <f>VLOOKUP(F1125, 'RM &amp; SF'!B:C, 2, 0)</f>
        <v>كمون ناعم*****</v>
      </c>
      <c r="H1125" s="89">
        <v>50</v>
      </c>
      <c r="I1125" s="30" t="str">
        <f>VLOOKUP(F1125, 'RM &amp; SF'!B:H, 4, 0)</f>
        <v>غم</v>
      </c>
      <c r="J1125" s="90">
        <f t="shared" si="109"/>
        <v>5</v>
      </c>
      <c r="K1125" s="91">
        <f>VLOOKUP(F1125, 'RM &amp; SF'!B:H, 7, 0)</f>
        <v>3.2330000000000002E-3</v>
      </c>
      <c r="L1125" s="92">
        <f t="shared" si="106"/>
        <v>1.6165000000000002E-2</v>
      </c>
      <c r="M1125" s="30" t="s">
        <v>810</v>
      </c>
    </row>
    <row r="1126" spans="1:13" ht="14">
      <c r="A1126" s="88" t="s">
        <v>2372</v>
      </c>
      <c r="B1126" s="219" t="s">
        <v>780</v>
      </c>
      <c r="C1126" s="30"/>
      <c r="D1126" s="30" t="str">
        <f>VLOOKUP(B1126, 'RM &amp; SF'!B:C, 2, 0)</f>
        <v>سمك صيادية مقلي</v>
      </c>
      <c r="E1126" s="30" t="s">
        <v>2211</v>
      </c>
      <c r="F1126" s="110">
        <v>4214</v>
      </c>
      <c r="G1126" s="30" t="str">
        <f>VLOOKUP(F1126, 'RM &amp; SF'!B:C, 2, 0)</f>
        <v>قرفة ناعمة*****</v>
      </c>
      <c r="H1126" s="89">
        <v>10</v>
      </c>
      <c r="I1126" s="30" t="str">
        <f>VLOOKUP(F1126, 'RM &amp; SF'!B:H, 4, 0)</f>
        <v>غم</v>
      </c>
      <c r="J1126" s="90">
        <f t="shared" si="109"/>
        <v>1</v>
      </c>
      <c r="K1126" s="91">
        <f>VLOOKUP(F1126, 'RM &amp; SF'!B:H, 7, 0)</f>
        <v>2.8020000000000002E-3</v>
      </c>
      <c r="L1126" s="92">
        <f t="shared" si="106"/>
        <v>2.8020000000000002E-3</v>
      </c>
      <c r="M1126" s="30" t="s">
        <v>810</v>
      </c>
    </row>
    <row r="1127" spans="1:13" ht="14">
      <c r="A1127" s="88" t="s">
        <v>2372</v>
      </c>
      <c r="B1127" s="219" t="s">
        <v>780</v>
      </c>
      <c r="C1127" s="30"/>
      <c r="D1127" s="30" t="str">
        <f>VLOOKUP(B1127, 'RM &amp; SF'!B:C, 2, 0)</f>
        <v>سمك صيادية مقلي</v>
      </c>
      <c r="E1127" s="30" t="s">
        <v>2220</v>
      </c>
      <c r="F1127" s="110">
        <v>4236</v>
      </c>
      <c r="G1127" s="30" t="str">
        <f>VLOOKUP(F1127, 'RM &amp; SF'!B:C, 2, 0)</f>
        <v>بصل ناعم*****</v>
      </c>
      <c r="H1127" s="89">
        <v>40</v>
      </c>
      <c r="I1127" s="30" t="str">
        <f>VLOOKUP(F1127, 'RM &amp; SF'!B:H, 4, 0)</f>
        <v>غم</v>
      </c>
      <c r="J1127" s="90">
        <f t="shared" si="109"/>
        <v>4</v>
      </c>
      <c r="K1127" s="91">
        <f>VLOOKUP(F1127, 'RM &amp; SF'!B:H, 7, 0)</f>
        <v>2.3709999999999998E-3</v>
      </c>
      <c r="L1127" s="92">
        <f t="shared" si="106"/>
        <v>9.4839999999999994E-3</v>
      </c>
      <c r="M1127" s="30" t="s">
        <v>810</v>
      </c>
    </row>
    <row r="1128" spans="1:13" ht="14">
      <c r="A1128" s="88" t="s">
        <v>2372</v>
      </c>
      <c r="B1128" s="219" t="s">
        <v>780</v>
      </c>
      <c r="C1128" s="30"/>
      <c r="D1128" s="30" t="str">
        <f>VLOOKUP(B1128, 'RM &amp; SF'!B:C, 2, 0)</f>
        <v>سمك صيادية مقلي</v>
      </c>
      <c r="E1128" s="30" t="s">
        <v>3058</v>
      </c>
      <c r="F1128" s="110">
        <v>4191</v>
      </c>
      <c r="G1128" s="30" t="str">
        <f>VLOOKUP(F1128, 'RM &amp; SF'!B:C, 2, 0)</f>
        <v>جوزة الطيب مطحونة*****</v>
      </c>
      <c r="H1128" s="89">
        <v>12</v>
      </c>
      <c r="I1128" s="30" t="str">
        <f>VLOOKUP(F1128, 'RM &amp; SF'!B:H, 4, 0)</f>
        <v>غم</v>
      </c>
      <c r="J1128" s="90">
        <f t="shared" si="109"/>
        <v>1.2</v>
      </c>
      <c r="K1128" s="91">
        <f>VLOOKUP(F1128, 'RM &amp; SF'!B:H, 7, 0)</f>
        <v>6.0339999999999994E-3</v>
      </c>
      <c r="L1128" s="92">
        <f t="shared" si="106"/>
        <v>7.2407999999999986E-3</v>
      </c>
      <c r="M1128" s="30" t="s">
        <v>810</v>
      </c>
    </row>
    <row r="1129" spans="1:13" ht="14">
      <c r="A1129" s="88" t="s">
        <v>2372</v>
      </c>
      <c r="B1129" s="219" t="s">
        <v>780</v>
      </c>
      <c r="C1129" s="30"/>
      <c r="D1129" s="30" t="str">
        <f>VLOOKUP(B1129, 'RM &amp; SF'!B:C, 2, 0)</f>
        <v>سمك صيادية مقلي</v>
      </c>
      <c r="E1129" s="30" t="s">
        <v>2208</v>
      </c>
      <c r="F1129" s="110">
        <v>4211</v>
      </c>
      <c r="G1129" s="30" t="str">
        <f>VLOOKUP(F1129, 'RM &amp; SF'!B:C, 2, 0)</f>
        <v>كزبرة ناعمة*****</v>
      </c>
      <c r="H1129" s="89">
        <v>40</v>
      </c>
      <c r="I1129" s="30" t="str">
        <f>VLOOKUP(F1129, 'RM &amp; SF'!B:H, 4, 0)</f>
        <v>غم</v>
      </c>
      <c r="J1129" s="90">
        <f t="shared" si="109"/>
        <v>4</v>
      </c>
      <c r="K1129" s="91">
        <f>VLOOKUP(F1129, 'RM &amp; SF'!B:H, 7, 0)</f>
        <v>1.5089999999999999E-3</v>
      </c>
      <c r="L1129" s="92">
        <f t="shared" si="106"/>
        <v>6.0359999999999997E-3</v>
      </c>
      <c r="M1129" s="30" t="s">
        <v>810</v>
      </c>
    </row>
    <row r="1130" spans="1:13" ht="14">
      <c r="A1130" s="88" t="s">
        <v>2372</v>
      </c>
      <c r="B1130" s="219" t="s">
        <v>780</v>
      </c>
      <c r="C1130" s="30"/>
      <c r="D1130" s="30" t="str">
        <f>VLOOKUP(B1130, 'RM &amp; SF'!B:C, 2, 0)</f>
        <v>سمك صيادية مقلي</v>
      </c>
      <c r="E1130" s="30" t="s">
        <v>2216</v>
      </c>
      <c r="F1130" s="110">
        <v>4230</v>
      </c>
      <c r="G1130" s="30" t="str">
        <f>VLOOKUP(F1130, 'RM &amp; SF'!B:C, 2, 0)</f>
        <v>ملح ليمون*****</v>
      </c>
      <c r="H1130" s="89">
        <v>60</v>
      </c>
      <c r="I1130" s="30" t="str">
        <f>VLOOKUP(F1130, 'RM &amp; SF'!B:H, 4, 0)</f>
        <v>غم</v>
      </c>
      <c r="J1130" s="90">
        <f t="shared" si="109"/>
        <v>6</v>
      </c>
      <c r="K1130" s="91">
        <f>VLOOKUP(F1130, 'RM &amp; SF'!B:H, 7, 0)</f>
        <v>1.078E-3</v>
      </c>
      <c r="L1130" s="92">
        <f t="shared" si="106"/>
        <v>6.4679999999999998E-3</v>
      </c>
      <c r="M1130" s="30" t="s">
        <v>810</v>
      </c>
    </row>
    <row r="1131" spans="1:13" ht="14">
      <c r="A1131" s="88" t="s">
        <v>2372</v>
      </c>
      <c r="B1131" s="219" t="s">
        <v>780</v>
      </c>
      <c r="C1131" s="30"/>
      <c r="D1131" s="30" t="str">
        <f>VLOOKUP(B1131, 'RM &amp; SF'!B:C, 2, 0)</f>
        <v>سمك صيادية مقلي</v>
      </c>
      <c r="E1131" s="30" t="s">
        <v>2206</v>
      </c>
      <c r="F1131" s="110">
        <v>4204</v>
      </c>
      <c r="G1131" s="30" t="str">
        <f>VLOOKUP(F1131, 'RM &amp; SF'!B:C, 2, 0)</f>
        <v>فلفل اسود ناعم*****</v>
      </c>
      <c r="H1131" s="89">
        <v>10</v>
      </c>
      <c r="I1131" s="30" t="str">
        <f>VLOOKUP(F1131, 'RM &amp; SF'!B:H, 4, 0)</f>
        <v>غم</v>
      </c>
      <c r="J1131" s="90">
        <f t="shared" si="109"/>
        <v>1</v>
      </c>
      <c r="K1131" s="91">
        <f>VLOOKUP(F1131, 'RM &amp; SF'!B:H, 7, 0)</f>
        <v>6.8970000000000004E-3</v>
      </c>
      <c r="L1131" s="92">
        <f t="shared" si="106"/>
        <v>6.8970000000000004E-3</v>
      </c>
      <c r="M1131" s="30" t="s">
        <v>810</v>
      </c>
    </row>
    <row r="1132" spans="1:13" ht="14">
      <c r="A1132" s="88" t="s">
        <v>2372</v>
      </c>
      <c r="B1132" s="219" t="s">
        <v>780</v>
      </c>
      <c r="C1132" s="30"/>
      <c r="D1132" s="30" t="str">
        <f>VLOOKUP(B1132, 'RM &amp; SF'!B:C, 2, 0)</f>
        <v>سمك صيادية مقلي</v>
      </c>
      <c r="E1132" s="30" t="s">
        <v>2203</v>
      </c>
      <c r="F1132" s="110">
        <v>4152</v>
      </c>
      <c r="G1132" s="30" t="str">
        <f>VLOOKUP(F1132, 'RM &amp; SF'!B:C, 2, 0)</f>
        <v>ملح طعام 750غم*****</v>
      </c>
      <c r="H1132" s="89">
        <v>125</v>
      </c>
      <c r="I1132" s="30" t="str">
        <f>VLOOKUP(F1132, 'RM &amp; SF'!B:H, 4, 0)</f>
        <v>غم</v>
      </c>
      <c r="J1132" s="90">
        <f t="shared" si="109"/>
        <v>12.5</v>
      </c>
      <c r="K1132" s="91">
        <f>VLOOKUP(F1132, 'RM &amp; SF'!B:H, 7, 0)</f>
        <v>1.7066666666666665E-4</v>
      </c>
      <c r="L1132" s="92">
        <f t="shared" si="106"/>
        <v>2.133333333333333E-3</v>
      </c>
      <c r="M1132" s="30" t="s">
        <v>810</v>
      </c>
    </row>
    <row r="1133" spans="1:13" ht="14">
      <c r="A1133" s="88" t="s">
        <v>2372</v>
      </c>
      <c r="B1133" s="219" t="s">
        <v>780</v>
      </c>
      <c r="C1133" s="30"/>
      <c r="D1133" s="30" t="str">
        <f>VLOOKUP(B1133, 'RM &amp; SF'!B:C, 2, 0)</f>
        <v>سمك صيادية مقلي</v>
      </c>
      <c r="E1133" s="30" t="s">
        <v>3058</v>
      </c>
      <c r="F1133" s="110">
        <v>4220</v>
      </c>
      <c r="G1133" s="30" t="str">
        <f>VLOOKUP(F1133, 'RM &amp; SF'!B:C, 2, 0)</f>
        <v>بابريكا حارة*****</v>
      </c>
      <c r="H1133" s="89">
        <v>90</v>
      </c>
      <c r="I1133" s="30" t="str">
        <f>VLOOKUP(F1133, 'RM &amp; SF'!B:H, 4, 0)</f>
        <v>غم</v>
      </c>
      <c r="J1133" s="90">
        <f t="shared" si="109"/>
        <v>9</v>
      </c>
      <c r="K1133" s="91">
        <f>VLOOKUP(F1133, 'RM &amp; SF'!B:H, 7, 0)</f>
        <v>2.1549999999999998E-3</v>
      </c>
      <c r="L1133" s="92">
        <f t="shared" si="106"/>
        <v>1.9394999999999999E-2</v>
      </c>
      <c r="M1133" s="30" t="s">
        <v>810</v>
      </c>
    </row>
    <row r="1134" spans="1:13" ht="15.5">
      <c r="A1134" s="88" t="s">
        <v>2372</v>
      </c>
      <c r="B1134" s="219" t="s">
        <v>780</v>
      </c>
      <c r="C1134" s="30"/>
      <c r="D1134" s="30" t="str">
        <f>VLOOKUP(B1134, 'RM &amp; SF'!B:C, 2, 0)</f>
        <v>سمك صيادية مقلي</v>
      </c>
      <c r="E1134" s="30" t="s">
        <v>2321</v>
      </c>
      <c r="F1134" s="67">
        <v>5292</v>
      </c>
      <c r="G1134" s="30" t="str">
        <f>VLOOKUP(F1134, 'RM &amp; SF'!B:C, 2, 0)</f>
        <v>ثوم مقشر*****</v>
      </c>
      <c r="H1134" s="89">
        <v>150</v>
      </c>
      <c r="I1134" s="30" t="str">
        <f>VLOOKUP(F1134, 'RM &amp; SF'!B:H, 4, 0)</f>
        <v>غم</v>
      </c>
      <c r="J1134" s="90">
        <f t="shared" si="109"/>
        <v>15</v>
      </c>
      <c r="K1134" s="91">
        <f>VLOOKUP(F1134, 'RM &amp; SF'!B:H, 7, 0)</f>
        <v>4.4999999999999997E-3</v>
      </c>
      <c r="L1134" s="92">
        <f t="shared" si="106"/>
        <v>6.7499999999999991E-2</v>
      </c>
      <c r="M1134" s="30" t="s">
        <v>810</v>
      </c>
    </row>
    <row r="1135" spans="1:13" ht="14">
      <c r="A1135" s="88" t="s">
        <v>2372</v>
      </c>
      <c r="B1135" s="219" t="s">
        <v>780</v>
      </c>
      <c r="C1135" s="30"/>
      <c r="D1135" s="30" t="str">
        <f>VLOOKUP(B1135, 'RM &amp; SF'!B:C, 2, 0)</f>
        <v>سمك صيادية مقلي</v>
      </c>
      <c r="E1135" s="30" t="s">
        <v>3058</v>
      </c>
      <c r="F1135" s="110">
        <v>3</v>
      </c>
      <c r="G1135" s="30" t="str">
        <f>VLOOKUP(F1135, 'RM &amp; SF'!B:C, 2, 0)</f>
        <v>مياه حنفية</v>
      </c>
      <c r="H1135" s="89">
        <v>1350</v>
      </c>
      <c r="I1135" s="30" t="str">
        <f>VLOOKUP(F1135, 'RM &amp; SF'!B:H, 4, 0)</f>
        <v>مل</v>
      </c>
      <c r="J1135" s="90">
        <f t="shared" si="109"/>
        <v>135</v>
      </c>
      <c r="K1135" s="91">
        <f>VLOOKUP(F1135, 'RM &amp; SF'!B:H, 7, 0)</f>
        <v>0</v>
      </c>
      <c r="L1135" s="92">
        <f t="shared" si="106"/>
        <v>0</v>
      </c>
      <c r="M1135" s="30" t="s">
        <v>810</v>
      </c>
    </row>
    <row r="1136" spans="1:13" ht="14">
      <c r="A1136" s="88" t="s">
        <v>2372</v>
      </c>
      <c r="B1136" s="219" t="s">
        <v>780</v>
      </c>
      <c r="C1136" s="30"/>
      <c r="D1136" s="30" t="str">
        <f>VLOOKUP(B1136, 'RM &amp; SF'!B:C, 2, 0)</f>
        <v>سمك صيادية مقلي</v>
      </c>
      <c r="E1136" s="30" t="s">
        <v>2260</v>
      </c>
      <c r="F1136" s="110">
        <v>4160</v>
      </c>
      <c r="G1136" s="30" t="str">
        <f>VLOOKUP(F1136, 'RM &amp; SF'!B:C, 2, 0)</f>
        <v>زيت صويا 18 لتر*****</v>
      </c>
      <c r="H1136" s="89">
        <v>700</v>
      </c>
      <c r="I1136" s="30" t="str">
        <f>VLOOKUP(F1136, 'RM &amp; SF'!B:H, 4, 0)</f>
        <v>مل</v>
      </c>
      <c r="J1136" s="90">
        <f t="shared" si="109"/>
        <v>70</v>
      </c>
      <c r="K1136" s="91">
        <f>VLOOKUP(F1136, 'RM &amp; SF'!B:H, 7, 0)</f>
        <v>1.335E-3</v>
      </c>
      <c r="L1136" s="92">
        <f t="shared" si="106"/>
        <v>9.3450000000000005E-2</v>
      </c>
      <c r="M1136" s="30" t="s">
        <v>810</v>
      </c>
    </row>
    <row r="1137" spans="1:16" ht="14">
      <c r="A1137" s="88" t="s">
        <v>2379</v>
      </c>
      <c r="B1137" s="219" t="s">
        <v>1903</v>
      </c>
      <c r="C1137" s="30"/>
      <c r="D1137" s="30" t="str">
        <f>VLOOKUP(B1137, 'RM &amp; SF'!B:C, 2, 0)</f>
        <v>صوص الكزبرة</v>
      </c>
      <c r="E1137" s="30" t="s">
        <v>2209</v>
      </c>
      <c r="F1137" s="110">
        <v>4546</v>
      </c>
      <c r="G1137" s="30" t="str">
        <f>VLOOKUP(F1137, 'RM &amp; SF'!B:C, 2, 0)</f>
        <v>كزبرة*****</v>
      </c>
      <c r="H1137" s="94">
        <v>1.5</v>
      </c>
      <c r="I1137" s="30" t="str">
        <f>VLOOKUP(F1137, 'RM &amp; SF'!B:H, 4, 0)</f>
        <v>قطعة</v>
      </c>
      <c r="J1137" s="90">
        <f>H1137/0.55</f>
        <v>2.7272727272727271</v>
      </c>
      <c r="K1137" s="91">
        <f>VLOOKUP(F1137, 'RM &amp; SF'!B:H, 7, 0)</f>
        <v>1E-3</v>
      </c>
      <c r="L1137" s="92">
        <f t="shared" si="106"/>
        <v>2.7272727272727271E-3</v>
      </c>
      <c r="M1137" s="30" t="s">
        <v>810</v>
      </c>
    </row>
    <row r="1138" spans="1:16" ht="14">
      <c r="A1138" s="88" t="s">
        <v>2379</v>
      </c>
      <c r="B1138" s="219" t="s">
        <v>1903</v>
      </c>
      <c r="C1138" s="30"/>
      <c r="D1138" s="30" t="str">
        <f>VLOOKUP(B1138, 'RM &amp; SF'!B:C, 2, 0)</f>
        <v>صوص الكزبرة</v>
      </c>
      <c r="E1138" s="30" t="s">
        <v>2231</v>
      </c>
      <c r="F1138" s="110">
        <v>4499</v>
      </c>
      <c r="G1138" s="30" t="str">
        <f>VLOOKUP(F1138, 'RM &amp; SF'!B:C, 2, 0)</f>
        <v>فلفل حار اخضر*****</v>
      </c>
      <c r="H1138" s="89">
        <v>200</v>
      </c>
      <c r="I1138" s="30" t="str">
        <f>VLOOKUP(F1138, 'RM &amp; SF'!B:H, 4, 0)</f>
        <v>غم</v>
      </c>
      <c r="J1138" s="90">
        <f>H1138/0.55</f>
        <v>363.63636363636363</v>
      </c>
      <c r="K1138" s="91">
        <f>VLOOKUP(F1138, 'RM &amp; SF'!B:H, 7, 0)</f>
        <v>5.0000000000000001E-4</v>
      </c>
      <c r="L1138" s="92">
        <f t="shared" si="106"/>
        <v>0.18181818181818182</v>
      </c>
      <c r="M1138" s="30" t="s">
        <v>810</v>
      </c>
    </row>
    <row r="1139" spans="1:16" ht="14">
      <c r="A1139" s="88" t="s">
        <v>2379</v>
      </c>
      <c r="B1139" s="219" t="s">
        <v>1903</v>
      </c>
      <c r="C1139" s="30"/>
      <c r="D1139" s="30" t="str">
        <f>VLOOKUP(B1139, 'RM &amp; SF'!B:C, 2, 0)</f>
        <v>صوص الكزبرة</v>
      </c>
      <c r="E1139" s="30" t="s">
        <v>2357</v>
      </c>
      <c r="F1139" s="110" t="s">
        <v>744</v>
      </c>
      <c r="G1139" s="30" t="str">
        <f>VLOOKUP(F1139, 'RM &amp; SF'!B:C, 2, 0)</f>
        <v>زيت زيتون مكسور</v>
      </c>
      <c r="H1139" s="89">
        <v>200</v>
      </c>
      <c r="I1139" s="30" t="str">
        <f>VLOOKUP(F1139, 'RM &amp; SF'!B:H, 4, 0)</f>
        <v>غم</v>
      </c>
      <c r="J1139" s="90">
        <f>H1139/0.55</f>
        <v>363.63636363636363</v>
      </c>
      <c r="K1139" s="91">
        <f>VLOOKUP(F1139, 'RM &amp; SF'!B:H, 7, 0)</f>
        <v>3.3899999999999998E-3</v>
      </c>
      <c r="L1139" s="92">
        <f t="shared" si="106"/>
        <v>1.2327272727272727</v>
      </c>
      <c r="M1139" s="30" t="s">
        <v>810</v>
      </c>
    </row>
    <row r="1140" spans="1:16" ht="14">
      <c r="A1140" s="88" t="s">
        <v>3216</v>
      </c>
      <c r="B1140" s="219" t="s">
        <v>1905</v>
      </c>
      <c r="C1140" s="30"/>
      <c r="D1140" s="30" t="str">
        <f>VLOOKUP(B1140, 'RM &amp; SF'!B:C, 2, 0)</f>
        <v>دجاجة شواية</v>
      </c>
      <c r="E1140" s="30" t="s">
        <v>3058</v>
      </c>
      <c r="F1140" s="110">
        <v>5416</v>
      </c>
      <c r="G1140" s="30" t="str">
        <f>VLOOKUP(F1140, 'RM &amp; SF'!B:C, 2, 0)</f>
        <v xml:space="preserve">دجاج طازج الوطنية </v>
      </c>
      <c r="H1140" s="89">
        <v>140000</v>
      </c>
      <c r="I1140" s="30" t="str">
        <f>VLOOKUP(F1140, 'RM &amp; SF'!B:H, 4, 0)</f>
        <v>غم</v>
      </c>
      <c r="J1140" s="90">
        <f>H1140/100</f>
        <v>1400</v>
      </c>
      <c r="K1140" s="91">
        <f>VLOOKUP(F1140, 'RM &amp; SF'!B:H, 7, 0)</f>
        <v>1.75E-3</v>
      </c>
      <c r="L1140" s="92">
        <f t="shared" si="106"/>
        <v>2.4500000000000002</v>
      </c>
      <c r="M1140" s="30" t="s">
        <v>810</v>
      </c>
    </row>
    <row r="1141" spans="1:16" ht="14">
      <c r="A1141" s="88" t="s">
        <v>3216</v>
      </c>
      <c r="B1141" s="219" t="s">
        <v>1905</v>
      </c>
      <c r="C1141" s="30"/>
      <c r="D1141" s="30" t="str">
        <f>VLOOKUP(B1141, 'RM &amp; SF'!B:C, 2, 0)</f>
        <v>دجاجة شواية</v>
      </c>
      <c r="E1141" s="30" t="s">
        <v>3058</v>
      </c>
      <c r="F1141" s="110">
        <v>5417</v>
      </c>
      <c r="G1141" s="30" t="str">
        <f>VLOOKUP(F1141, 'RM &amp; SF'!B:C, 2, 0)</f>
        <v xml:space="preserve">بهارات دجاج شواية </v>
      </c>
      <c r="H1141" s="89">
        <v>1200</v>
      </c>
      <c r="I1141" s="30" t="str">
        <f>VLOOKUP(F1141, 'RM &amp; SF'!B:H, 4, 0)</f>
        <v>غم</v>
      </c>
      <c r="J1141" s="90">
        <f t="shared" ref="J1141:J1148" si="110">H1141/100</f>
        <v>12</v>
      </c>
      <c r="K1141" s="91">
        <f>VLOOKUP(F1141, 'RM &amp; SF'!B:H, 7, 0)</f>
        <v>1.2E-2</v>
      </c>
      <c r="L1141" s="92">
        <f t="shared" si="106"/>
        <v>0.14400000000000002</v>
      </c>
      <c r="M1141" s="30" t="s">
        <v>810</v>
      </c>
    </row>
    <row r="1142" spans="1:16" ht="14">
      <c r="A1142" s="88" t="s">
        <v>3216</v>
      </c>
      <c r="B1142" s="219" t="s">
        <v>1905</v>
      </c>
      <c r="C1142" s="30"/>
      <c r="D1142" s="30" t="str">
        <f>VLOOKUP(B1142, 'RM &amp; SF'!B:C, 2, 0)</f>
        <v>دجاجة شواية</v>
      </c>
      <c r="E1142" s="30" t="s">
        <v>2239</v>
      </c>
      <c r="F1142" s="110">
        <v>4513</v>
      </c>
      <c r="G1142" s="30" t="str">
        <f>VLOOKUP(F1142, 'RM &amp; SF'!B:C, 2, 0)</f>
        <v>ليمون اصفر*****</v>
      </c>
      <c r="H1142" s="89">
        <v>600</v>
      </c>
      <c r="I1142" s="30" t="str">
        <f>VLOOKUP(F1142, 'RM &amp; SF'!B:H, 4, 0)</f>
        <v>غم</v>
      </c>
      <c r="J1142" s="90">
        <f t="shared" si="110"/>
        <v>6</v>
      </c>
      <c r="K1142" s="91">
        <f>VLOOKUP(F1142, 'RM &amp; SF'!B:H, 7, 0)</f>
        <v>1.75E-3</v>
      </c>
      <c r="L1142" s="92">
        <f t="shared" si="106"/>
        <v>1.0500000000000001E-2</v>
      </c>
      <c r="M1142" s="30" t="s">
        <v>810</v>
      </c>
    </row>
    <row r="1143" spans="1:16" ht="14">
      <c r="A1143" s="88" t="s">
        <v>3216</v>
      </c>
      <c r="B1143" s="219" t="s">
        <v>1905</v>
      </c>
      <c r="C1143" s="30"/>
      <c r="D1143" s="30" t="str">
        <f>VLOOKUP(B1143, 'RM &amp; SF'!B:C, 2, 0)</f>
        <v>دجاجة شواية</v>
      </c>
      <c r="E1143" s="30" t="s">
        <v>2236</v>
      </c>
      <c r="F1143" s="110">
        <v>4505</v>
      </c>
      <c r="G1143" s="30" t="str">
        <f>VLOOKUP(F1143, 'RM &amp; SF'!B:C, 2, 0)</f>
        <v>ثوم طازج كامل*****</v>
      </c>
      <c r="H1143" s="89">
        <v>1000</v>
      </c>
      <c r="I1143" s="30" t="str">
        <f>VLOOKUP(F1143, 'RM &amp; SF'!B:H, 4, 0)</f>
        <v>غم</v>
      </c>
      <c r="J1143" s="90">
        <f t="shared" si="110"/>
        <v>10</v>
      </c>
      <c r="K1143" s="91">
        <f>VLOOKUP(F1143, 'RM &amp; SF'!B:H, 7, 0)</f>
        <v>3.5000000000000001E-3</v>
      </c>
      <c r="L1143" s="92">
        <f t="shared" si="106"/>
        <v>3.5000000000000003E-2</v>
      </c>
      <c r="M1143" s="30" t="s">
        <v>810</v>
      </c>
    </row>
    <row r="1144" spans="1:16" ht="14">
      <c r="A1144" s="88" t="s">
        <v>3216</v>
      </c>
      <c r="B1144" s="219" t="s">
        <v>1905</v>
      </c>
      <c r="C1144" s="30"/>
      <c r="D1144" s="30" t="str">
        <f>VLOOKUP(B1144, 'RM &amp; SF'!B:C, 2, 0)</f>
        <v>دجاجة شواية</v>
      </c>
      <c r="E1144" s="30" t="s">
        <v>2319</v>
      </c>
      <c r="F1144" s="110">
        <v>5283</v>
      </c>
      <c r="G1144" s="30" t="str">
        <f>VLOOKUP(F1144, 'RM &amp; SF'!B:C, 2, 0)</f>
        <v>برتقال عصير*****</v>
      </c>
      <c r="H1144" s="89">
        <v>200</v>
      </c>
      <c r="I1144" s="30" t="str">
        <f>VLOOKUP(F1144, 'RM &amp; SF'!B:H, 4, 0)</f>
        <v>غم</v>
      </c>
      <c r="J1144" s="90">
        <f t="shared" si="110"/>
        <v>2</v>
      </c>
      <c r="K1144" s="91">
        <f>VLOOKUP(F1144, 'RM &amp; SF'!B:H, 7, 0)</f>
        <v>6.4999999999999997E-4</v>
      </c>
      <c r="L1144" s="92">
        <f t="shared" ref="L1144:L1207" si="111">K1144*J1144</f>
        <v>1.2999999999999999E-3</v>
      </c>
      <c r="M1144" s="30" t="s">
        <v>810</v>
      </c>
    </row>
    <row r="1145" spans="1:16" ht="14">
      <c r="A1145" s="88" t="s">
        <v>3216</v>
      </c>
      <c r="B1145" s="219" t="s">
        <v>1905</v>
      </c>
      <c r="C1145" s="30"/>
      <c r="D1145" s="30" t="str">
        <f>VLOOKUP(B1145, 'RM &amp; SF'!B:C, 2, 0)</f>
        <v>دجاجة شواية</v>
      </c>
      <c r="E1145" s="30" t="s">
        <v>2210</v>
      </c>
      <c r="F1145" s="110">
        <v>4213</v>
      </c>
      <c r="G1145" s="30" t="str">
        <f>VLOOKUP(F1145, 'RM &amp; SF'!B:C, 2, 0)</f>
        <v>ورق غار*****</v>
      </c>
      <c r="H1145" s="89">
        <v>50</v>
      </c>
      <c r="I1145" s="30" t="str">
        <f>VLOOKUP(F1145, 'RM &amp; SF'!B:H, 4, 0)</f>
        <v>غم</v>
      </c>
      <c r="J1145" s="90">
        <f t="shared" si="110"/>
        <v>0.5</v>
      </c>
      <c r="K1145" s="91">
        <f>VLOOKUP(F1145, 'RM &amp; SF'!B:H, 7, 0)</f>
        <v>2.0690000000000001E-3</v>
      </c>
      <c r="L1145" s="92">
        <f t="shared" si="111"/>
        <v>1.0345E-3</v>
      </c>
      <c r="M1145" s="30" t="s">
        <v>810</v>
      </c>
    </row>
    <row r="1146" spans="1:16" ht="14">
      <c r="A1146" s="88" t="s">
        <v>3216</v>
      </c>
      <c r="B1146" s="219" t="s">
        <v>1905</v>
      </c>
      <c r="C1146" s="30"/>
      <c r="D1146" s="30" t="str">
        <f>VLOOKUP(B1146, 'RM &amp; SF'!B:C, 2, 0)</f>
        <v>دجاجة شواية</v>
      </c>
      <c r="E1146" s="30" t="s">
        <v>3058</v>
      </c>
      <c r="F1146" s="110">
        <v>3</v>
      </c>
      <c r="G1146" s="30" t="str">
        <f>VLOOKUP(F1146, 'RM &amp; SF'!B:C, 2, 0)</f>
        <v>مياه حنفية</v>
      </c>
      <c r="H1146" s="89">
        <v>50</v>
      </c>
      <c r="I1146" s="30" t="str">
        <f>VLOOKUP(F1146, 'RM &amp; SF'!B:H, 4, 0)</f>
        <v>مل</v>
      </c>
      <c r="J1146" s="90">
        <f t="shared" si="110"/>
        <v>0.5</v>
      </c>
      <c r="K1146" s="91">
        <f>VLOOKUP(F1146, 'RM &amp; SF'!B:H, 7, 0)</f>
        <v>0</v>
      </c>
      <c r="L1146" s="92">
        <f t="shared" si="111"/>
        <v>0</v>
      </c>
      <c r="M1146" s="30" t="s">
        <v>810</v>
      </c>
    </row>
    <row r="1147" spans="1:16" ht="14">
      <c r="A1147" s="88" t="s">
        <v>3216</v>
      </c>
      <c r="B1147" s="219" t="s">
        <v>1905</v>
      </c>
      <c r="C1147" s="30"/>
      <c r="D1147" s="30" t="str">
        <f>VLOOKUP(B1147, 'RM &amp; SF'!B:C, 2, 0)</f>
        <v>دجاجة شواية</v>
      </c>
      <c r="E1147" s="30" t="s">
        <v>2203</v>
      </c>
      <c r="F1147" s="110">
        <v>4152</v>
      </c>
      <c r="G1147" s="30" t="str">
        <f>VLOOKUP(F1147, 'RM &amp; SF'!B:C, 2, 0)</f>
        <v>ملح طعام 750غم*****</v>
      </c>
      <c r="H1147" s="89">
        <v>1700</v>
      </c>
      <c r="I1147" s="30" t="str">
        <f>VLOOKUP(F1147, 'RM &amp; SF'!B:H, 4, 0)</f>
        <v>غم</v>
      </c>
      <c r="J1147" s="90">
        <f>H1147/100</f>
        <v>17</v>
      </c>
      <c r="K1147" s="91">
        <f>VLOOKUP(F1147, 'RM &amp; SF'!B:H, 7, 0)</f>
        <v>1.7066666666666665E-4</v>
      </c>
      <c r="L1147" s="92">
        <f t="shared" si="111"/>
        <v>2.901333333333333E-3</v>
      </c>
      <c r="M1147" s="30" t="s">
        <v>810</v>
      </c>
    </row>
    <row r="1148" spans="1:16" ht="14">
      <c r="A1148" s="88" t="s">
        <v>3216</v>
      </c>
      <c r="B1148" s="219" t="s">
        <v>1905</v>
      </c>
      <c r="C1148" s="30"/>
      <c r="D1148" s="30" t="str">
        <f>VLOOKUP(B1148, 'RM &amp; SF'!B:C, 2, 0)</f>
        <v>دجاجة شواية</v>
      </c>
      <c r="E1148" s="30" t="s">
        <v>3058</v>
      </c>
      <c r="F1148" s="110">
        <v>4002</v>
      </c>
      <c r="G1148" s="30" t="str">
        <f>VLOOKUP(F1148, 'RM &amp; SF'!B:C, 2, 0)</f>
        <v>خل ابيض 3.7 لتر*****</v>
      </c>
      <c r="H1148" s="89">
        <v>1000</v>
      </c>
      <c r="I1148" s="30" t="str">
        <f>VLOOKUP(F1148, 'RM &amp; SF'!B:H, 4, 0)</f>
        <v>مل</v>
      </c>
      <c r="J1148" s="90">
        <f t="shared" si="110"/>
        <v>10</v>
      </c>
      <c r="K1148" s="91">
        <f>VLOOKUP(F1148, 'RM &amp; SF'!B:H, 7, 0)</f>
        <v>2.9121621621621617E-4</v>
      </c>
      <c r="L1148" s="92">
        <f t="shared" si="111"/>
        <v>2.9121621621621616E-3</v>
      </c>
      <c r="M1148" s="30" t="s">
        <v>810</v>
      </c>
    </row>
    <row r="1149" spans="1:16" ht="14">
      <c r="A1149" s="88" t="s">
        <v>3196</v>
      </c>
      <c r="B1149" s="188" t="s">
        <v>1908</v>
      </c>
      <c r="C1149" s="30"/>
      <c r="D1149" s="30" t="str">
        <f>VLOOKUP(B1149, 'RM &amp; SF'!B:C, 2, 0)</f>
        <v>صوص دجاج الشواية</v>
      </c>
      <c r="E1149" s="30" t="s">
        <v>3058</v>
      </c>
      <c r="F1149" s="110">
        <v>4045</v>
      </c>
      <c r="G1149" s="30" t="str">
        <f>VLOOKUP(F1149, 'RM &amp; SF'!B:C, 2, 0)</f>
        <v>معجون الطماطم 1375 غم*****</v>
      </c>
      <c r="H1149" s="89">
        <v>1375</v>
      </c>
      <c r="I1149" s="30" t="str">
        <f>VLOOKUP(F1149, 'RM &amp; SF'!B:H, 4, 0)</f>
        <v>غم</v>
      </c>
      <c r="J1149" s="90">
        <f>H1149/3</f>
        <v>458.33333333333331</v>
      </c>
      <c r="K1149" s="91">
        <f>VLOOKUP(F1149, 'RM &amp; SF'!B:H, 7, 0)</f>
        <v>1.3665999999999999E-3</v>
      </c>
      <c r="L1149" s="92">
        <f t="shared" si="111"/>
        <v>0.62635833333333324</v>
      </c>
      <c r="M1149" s="30" t="s">
        <v>810</v>
      </c>
      <c r="P1149" s="88" t="s">
        <v>2156</v>
      </c>
    </row>
    <row r="1150" spans="1:16" ht="14">
      <c r="A1150" s="88" t="s">
        <v>3196</v>
      </c>
      <c r="B1150" s="188" t="s">
        <v>1908</v>
      </c>
      <c r="C1150" s="30"/>
      <c r="D1150" s="30" t="str">
        <f>VLOOKUP(B1150, 'RM &amp; SF'!B:C, 2, 0)</f>
        <v>صوص دجاج الشواية</v>
      </c>
      <c r="E1150" s="30" t="s">
        <v>3058</v>
      </c>
      <c r="F1150" s="110">
        <v>4490</v>
      </c>
      <c r="G1150" s="30" t="str">
        <f>VLOOKUP(F1150, 'RM &amp; SF'!B:C, 2, 0)</f>
        <v>شطة جامدة 10 كغ*****</v>
      </c>
      <c r="H1150" s="89">
        <v>50</v>
      </c>
      <c r="I1150" s="30" t="str">
        <f>VLOOKUP(F1150, 'RM &amp; SF'!B:H, 4, 0)</f>
        <v>غم</v>
      </c>
      <c r="J1150" s="90">
        <f>H1150/3</f>
        <v>16.666666666666668</v>
      </c>
      <c r="K1150" s="91">
        <f>VLOOKUP(F1150, 'RM &amp; SF'!B:H, 7, 0)</f>
        <v>1E-3</v>
      </c>
      <c r="L1150" s="92">
        <f t="shared" si="111"/>
        <v>1.666666666666667E-2</v>
      </c>
      <c r="M1150" s="30" t="s">
        <v>810</v>
      </c>
      <c r="P1150" s="88" t="s">
        <v>2156</v>
      </c>
    </row>
    <row r="1151" spans="1:16" ht="14">
      <c r="A1151" s="88" t="s">
        <v>3196</v>
      </c>
      <c r="B1151" s="188" t="s">
        <v>1908</v>
      </c>
      <c r="C1151" s="30"/>
      <c r="D1151" s="30" t="str">
        <f>VLOOKUP(B1151, 'RM &amp; SF'!B:C, 2, 0)</f>
        <v>صوص دجاج الشواية</v>
      </c>
      <c r="E1151" s="30" t="s">
        <v>3058</v>
      </c>
      <c r="F1151" s="110">
        <v>4002</v>
      </c>
      <c r="G1151" s="30" t="str">
        <f>VLOOKUP(F1151, 'RM &amp; SF'!B:C, 2, 0)</f>
        <v>خل ابيض 3.7 لتر*****</v>
      </c>
      <c r="H1151" s="89">
        <v>100</v>
      </c>
      <c r="I1151" s="30" t="str">
        <f>VLOOKUP(F1151, 'RM &amp; SF'!B:H, 4, 0)</f>
        <v>مل</v>
      </c>
      <c r="J1151" s="90">
        <f>H1151/3</f>
        <v>33.333333333333336</v>
      </c>
      <c r="K1151" s="91">
        <f>VLOOKUP(F1151, 'RM &amp; SF'!B:H, 7, 0)</f>
        <v>2.9121621621621617E-4</v>
      </c>
      <c r="L1151" s="92">
        <f t="shared" si="111"/>
        <v>9.7072072072072069E-3</v>
      </c>
      <c r="M1151" s="30" t="s">
        <v>810</v>
      </c>
      <c r="P1151" s="88" t="s">
        <v>2156</v>
      </c>
    </row>
    <row r="1152" spans="1:16" ht="14">
      <c r="A1152" s="88" t="s">
        <v>3196</v>
      </c>
      <c r="B1152" s="188" t="s">
        <v>1908</v>
      </c>
      <c r="C1152" s="30"/>
      <c r="D1152" s="30" t="str">
        <f>VLOOKUP(B1152, 'RM &amp; SF'!B:C, 2, 0)</f>
        <v>صوص دجاج الشواية</v>
      </c>
      <c r="E1152" s="30" t="s">
        <v>2208</v>
      </c>
      <c r="F1152" s="110">
        <v>4211</v>
      </c>
      <c r="G1152" s="30" t="str">
        <f>VLOOKUP(F1152, 'RM &amp; SF'!B:C, 2, 0)</f>
        <v>كزبرة ناعمة*****</v>
      </c>
      <c r="H1152" s="89">
        <v>100</v>
      </c>
      <c r="I1152" s="30" t="str">
        <f>VLOOKUP(F1152, 'RM &amp; SF'!B:H, 4, 0)</f>
        <v>غم</v>
      </c>
      <c r="J1152" s="90">
        <f>H1152/3</f>
        <v>33.333333333333336</v>
      </c>
      <c r="K1152" s="91">
        <f>VLOOKUP(F1152, 'RM &amp; SF'!B:H, 7, 0)</f>
        <v>1.5089999999999999E-3</v>
      </c>
      <c r="L1152" s="92">
        <f t="shared" si="111"/>
        <v>5.0300000000000004E-2</v>
      </c>
      <c r="M1152" s="30" t="s">
        <v>810</v>
      </c>
      <c r="P1152" s="88" t="s">
        <v>2156</v>
      </c>
    </row>
    <row r="1153" spans="1:16" ht="14">
      <c r="A1153" s="88" t="s">
        <v>3196</v>
      </c>
      <c r="B1153" s="188" t="s">
        <v>1908</v>
      </c>
      <c r="C1153" s="30"/>
      <c r="D1153" s="30" t="str">
        <f>VLOOKUP(B1153, 'RM &amp; SF'!B:C, 2, 0)</f>
        <v>صوص دجاج الشواية</v>
      </c>
      <c r="E1153" s="30" t="s">
        <v>2203</v>
      </c>
      <c r="F1153" s="110">
        <v>4152</v>
      </c>
      <c r="G1153" s="30" t="str">
        <f>VLOOKUP(F1153, 'RM &amp; SF'!B:C, 2, 0)</f>
        <v>ملح طعام 750غم*****</v>
      </c>
      <c r="H1153" s="89">
        <v>30</v>
      </c>
      <c r="I1153" s="30" t="str">
        <f>VLOOKUP(F1153, 'RM &amp; SF'!B:H, 4, 0)</f>
        <v>غم</v>
      </c>
      <c r="J1153" s="90">
        <f>H1153/3</f>
        <v>10</v>
      </c>
      <c r="K1153" s="91">
        <f>VLOOKUP(F1153, 'RM &amp; SF'!B:H, 7, 0)</f>
        <v>1.7066666666666665E-4</v>
      </c>
      <c r="L1153" s="92">
        <f t="shared" si="111"/>
        <v>1.7066666666666664E-3</v>
      </c>
      <c r="M1153" s="30" t="s">
        <v>810</v>
      </c>
      <c r="P1153" s="88" t="s">
        <v>2156</v>
      </c>
    </row>
    <row r="1154" spans="1:16" ht="14">
      <c r="A1154" s="88" t="s">
        <v>2460</v>
      </c>
      <c r="B1154" s="219" t="s">
        <v>1945</v>
      </c>
      <c r="C1154" s="30"/>
      <c r="D1154" s="30" t="str">
        <f>VLOOKUP(B1154, 'RM &amp; SF'!B:C, 2, 0)</f>
        <v xml:space="preserve">طبخة فول بلبن </v>
      </c>
      <c r="E1154" s="30" t="s">
        <v>3058</v>
      </c>
      <c r="F1154" s="110">
        <v>5401</v>
      </c>
      <c r="G1154" s="30" t="str">
        <f>VLOOKUP(F1154, 'RM &amp; SF'!B:C, 2, 0)</f>
        <v xml:space="preserve">روز بيف  </v>
      </c>
      <c r="H1154" s="89">
        <v>3000</v>
      </c>
      <c r="I1154" s="30" t="str">
        <f>VLOOKUP(F1154, 'RM &amp; SF'!B:H, 4, 0)</f>
        <v>غم</v>
      </c>
      <c r="J1154" s="90">
        <f>H1154/8.5</f>
        <v>352.94117647058823</v>
      </c>
      <c r="K1154" s="91">
        <f>VLOOKUP(F1154, 'RM &amp; SF'!B:H, 7, 0)</f>
        <v>1.2580000000000001E-2</v>
      </c>
      <c r="L1154" s="92">
        <f t="shared" si="111"/>
        <v>4.4400000000000004</v>
      </c>
      <c r="M1154" s="30" t="s">
        <v>810</v>
      </c>
    </row>
    <row r="1155" spans="1:16" ht="14">
      <c r="A1155" s="88" t="s">
        <v>2460</v>
      </c>
      <c r="B1155" s="219" t="s">
        <v>1945</v>
      </c>
      <c r="C1155" s="30"/>
      <c r="D1155" s="30" t="str">
        <f>VLOOKUP(B1155, 'RM &amp; SF'!B:C, 2, 0)</f>
        <v xml:space="preserve">طبخة فول بلبن </v>
      </c>
      <c r="E1155" s="30" t="s">
        <v>3058</v>
      </c>
      <c r="F1155" s="110">
        <v>5444</v>
      </c>
      <c r="G1155" s="30" t="str">
        <f>VLOOKUP(F1155, 'RM &amp; SF'!B:C, 2, 0)</f>
        <v>فول اخضر</v>
      </c>
      <c r="H1155" s="89">
        <v>1500</v>
      </c>
      <c r="I1155" s="30" t="str">
        <f>VLOOKUP(F1155, 'RM &amp; SF'!B:H, 4, 0)</f>
        <v>غم</v>
      </c>
      <c r="J1155" s="90">
        <f t="shared" ref="J1155:J1163" si="112">H1155/8.5</f>
        <v>176.47058823529412</v>
      </c>
      <c r="K1155" s="91">
        <f>VLOOKUP(F1155, 'RM &amp; SF'!B:H, 7, 0)</f>
        <v>2.875E-3</v>
      </c>
      <c r="L1155" s="92">
        <f t="shared" si="111"/>
        <v>0.50735294117647056</v>
      </c>
      <c r="M1155" s="30" t="s">
        <v>810</v>
      </c>
    </row>
    <row r="1156" spans="1:16" ht="14">
      <c r="A1156" s="88" t="s">
        <v>2460</v>
      </c>
      <c r="B1156" s="219" t="s">
        <v>1945</v>
      </c>
      <c r="C1156" s="30"/>
      <c r="D1156" s="30" t="str">
        <f>VLOOKUP(B1156, 'RM &amp; SF'!B:C, 2, 0)</f>
        <v xml:space="preserve">طبخة فول بلبن </v>
      </c>
      <c r="E1156" s="30" t="s">
        <v>2203</v>
      </c>
      <c r="F1156" s="110">
        <v>4152</v>
      </c>
      <c r="G1156" s="30" t="str">
        <f>VLOOKUP(F1156, 'RM &amp; SF'!B:C, 2, 0)</f>
        <v>ملح طعام 750غم*****</v>
      </c>
      <c r="H1156" s="89">
        <v>30</v>
      </c>
      <c r="I1156" s="30" t="str">
        <f>VLOOKUP(F1156, 'RM &amp; SF'!B:H, 4, 0)</f>
        <v>غم</v>
      </c>
      <c r="J1156" s="90">
        <f t="shared" si="112"/>
        <v>3.5294117647058822</v>
      </c>
      <c r="K1156" s="91">
        <f>VLOOKUP(F1156, 'RM &amp; SF'!B:H, 7, 0)</f>
        <v>1.7066666666666665E-4</v>
      </c>
      <c r="L1156" s="92">
        <f t="shared" si="111"/>
        <v>6.0235294117647054E-4</v>
      </c>
      <c r="M1156" s="30" t="s">
        <v>810</v>
      </c>
    </row>
    <row r="1157" spans="1:16" ht="14">
      <c r="A1157" s="88" t="s">
        <v>2460</v>
      </c>
      <c r="B1157" s="219" t="s">
        <v>1945</v>
      </c>
      <c r="C1157" s="30"/>
      <c r="D1157" s="30" t="str">
        <f>VLOOKUP(B1157, 'RM &amp; SF'!B:C, 2, 0)</f>
        <v xml:space="preserve">طبخة فول بلبن </v>
      </c>
      <c r="E1157" s="30" t="s">
        <v>3058</v>
      </c>
      <c r="F1157" s="110">
        <v>4021</v>
      </c>
      <c r="G1157" s="30" t="str">
        <f>VLOOKUP(F1157, 'RM &amp; SF'!B:C, 2, 0)</f>
        <v>مكعبات مرق الدجاج 24 عبوة*2 مكعب*****</v>
      </c>
      <c r="H1157" s="89">
        <v>40</v>
      </c>
      <c r="I1157" s="30" t="str">
        <f>VLOOKUP(F1157, 'RM &amp; SF'!B:H, 4, 0)</f>
        <v>غم</v>
      </c>
      <c r="J1157" s="90">
        <f t="shared" si="112"/>
        <v>4.7058823529411766</v>
      </c>
      <c r="K1157" s="91">
        <f>VLOOKUP(F1157, 'RM &amp; SF'!B:H, 7, 0)</f>
        <v>3.8541666666666668E-3</v>
      </c>
      <c r="L1157" s="92">
        <f t="shared" si="111"/>
        <v>1.8137254901960786E-2</v>
      </c>
      <c r="M1157" s="30" t="s">
        <v>810</v>
      </c>
    </row>
    <row r="1158" spans="1:16" ht="14">
      <c r="A1158" s="88" t="s">
        <v>2460</v>
      </c>
      <c r="B1158" s="219" t="s">
        <v>1945</v>
      </c>
      <c r="C1158" s="30"/>
      <c r="D1158" s="30" t="str">
        <f>VLOOKUP(B1158, 'RM &amp; SF'!B:C, 2, 0)</f>
        <v xml:space="preserve">طبخة فول بلبن </v>
      </c>
      <c r="E1158" s="30" t="s">
        <v>2218</v>
      </c>
      <c r="F1158" s="110">
        <v>4233</v>
      </c>
      <c r="G1158" s="30" t="str">
        <f>VLOOKUP(F1158, 'RM &amp; SF'!B:C, 2, 0)</f>
        <v>هال ناعم*****</v>
      </c>
      <c r="H1158" s="89">
        <v>10</v>
      </c>
      <c r="I1158" s="30" t="str">
        <f>VLOOKUP(F1158, 'RM &amp; SF'!B:H, 4, 0)</f>
        <v>غم</v>
      </c>
      <c r="J1158" s="90">
        <f t="shared" si="112"/>
        <v>1.1764705882352942</v>
      </c>
      <c r="K1158" s="91">
        <f>VLOOKUP(F1158, 'RM &amp; SF'!B:H, 7, 0)</f>
        <v>2.3E-2</v>
      </c>
      <c r="L1158" s="92">
        <f t="shared" si="111"/>
        <v>2.7058823529411764E-2</v>
      </c>
      <c r="M1158" s="30" t="s">
        <v>810</v>
      </c>
    </row>
    <row r="1159" spans="1:16" ht="14">
      <c r="A1159" s="88" t="s">
        <v>2460</v>
      </c>
      <c r="B1159" s="219" t="s">
        <v>1945</v>
      </c>
      <c r="C1159" s="30"/>
      <c r="D1159" s="30" t="str">
        <f>VLOOKUP(B1159, 'RM &amp; SF'!B:C, 2, 0)</f>
        <v xml:space="preserve">طبخة فول بلبن </v>
      </c>
      <c r="E1159" s="30" t="s">
        <v>3058</v>
      </c>
      <c r="F1159" s="110">
        <v>4203</v>
      </c>
      <c r="G1159" s="30" t="str">
        <f>VLOOKUP(F1159, 'RM &amp; SF'!B:C, 2, 0)</f>
        <v>فلفل ابيض ناعم*****</v>
      </c>
      <c r="H1159" s="89">
        <v>10</v>
      </c>
      <c r="I1159" s="30" t="str">
        <f>VLOOKUP(F1159, 'RM &amp; SF'!B:H, 4, 0)</f>
        <v>غم</v>
      </c>
      <c r="J1159" s="90">
        <f t="shared" si="112"/>
        <v>1.1764705882352942</v>
      </c>
      <c r="K1159" s="91">
        <f>VLOOKUP(F1159, 'RM &amp; SF'!B:H, 7, 0)</f>
        <v>7.7590000000000003E-3</v>
      </c>
      <c r="L1159" s="92">
        <f t="shared" si="111"/>
        <v>9.1282352941176471E-3</v>
      </c>
      <c r="M1159" s="30" t="s">
        <v>810</v>
      </c>
    </row>
    <row r="1160" spans="1:16" ht="14">
      <c r="A1160" s="88" t="s">
        <v>2460</v>
      </c>
      <c r="B1160" s="219" t="s">
        <v>1945</v>
      </c>
      <c r="C1160" s="30"/>
      <c r="D1160" s="30" t="str">
        <f>VLOOKUP(B1160, 'RM &amp; SF'!B:C, 2, 0)</f>
        <v xml:space="preserve">طبخة فول بلبن </v>
      </c>
      <c r="E1160" s="30" t="s">
        <v>3058</v>
      </c>
      <c r="F1160" s="110">
        <v>4145</v>
      </c>
      <c r="G1160" s="30" t="str">
        <f>VLOOKUP(F1160, 'RM &amp; SF'!B:C, 2, 0)</f>
        <v>نشا طعام*****</v>
      </c>
      <c r="H1160" s="89">
        <v>140</v>
      </c>
      <c r="I1160" s="30" t="str">
        <f>VLOOKUP(F1160, 'RM &amp; SF'!B:H, 4, 0)</f>
        <v>غم</v>
      </c>
      <c r="J1160" s="90">
        <f t="shared" si="112"/>
        <v>16.470588235294116</v>
      </c>
      <c r="K1160" s="91">
        <f>VLOOKUP(F1160, 'RM &amp; SF'!B:H, 7, 0)</f>
        <v>4.6551999999999997E-4</v>
      </c>
      <c r="L1160" s="92">
        <f t="shared" si="111"/>
        <v>7.6673882352941165E-3</v>
      </c>
      <c r="M1160" s="30" t="s">
        <v>810</v>
      </c>
    </row>
    <row r="1161" spans="1:16" ht="14">
      <c r="A1161" s="88" t="s">
        <v>2460</v>
      </c>
      <c r="B1161" s="219" t="s">
        <v>1945</v>
      </c>
      <c r="C1161" s="30"/>
      <c r="D1161" s="30" t="str">
        <f>VLOOKUP(B1161, 'RM &amp; SF'!B:C, 2, 0)</f>
        <v xml:space="preserve">طبخة فول بلبن </v>
      </c>
      <c r="E1161" s="30" t="s">
        <v>3058</v>
      </c>
      <c r="F1161" s="110">
        <v>4567</v>
      </c>
      <c r="G1161" s="30" t="str">
        <f>VLOOKUP(F1161, 'RM &amp; SF'!B:C, 2, 0)</f>
        <v>بيض طازج 1*30 حبة*****</v>
      </c>
      <c r="H1161" s="89">
        <v>1</v>
      </c>
      <c r="I1161" s="30" t="str">
        <f>VLOOKUP(F1161, 'RM &amp; SF'!B:H, 4, 0)</f>
        <v>قطعة</v>
      </c>
      <c r="J1161" s="90">
        <f t="shared" si="112"/>
        <v>0.11764705882352941</v>
      </c>
      <c r="K1161" s="91">
        <f>VLOOKUP(F1161, 'RM &amp; SF'!B:H, 7, 0)</f>
        <v>8.8010000000000005E-2</v>
      </c>
      <c r="L1161" s="92">
        <f t="shared" si="111"/>
        <v>1.0354117647058824E-2</v>
      </c>
      <c r="M1161" s="30" t="s">
        <v>810</v>
      </c>
    </row>
    <row r="1162" spans="1:16" ht="14">
      <c r="A1162" s="88" t="s">
        <v>2460</v>
      </c>
      <c r="B1162" s="219" t="s">
        <v>1945</v>
      </c>
      <c r="C1162" s="30"/>
      <c r="D1162" s="30" t="str">
        <f>VLOOKUP(B1162, 'RM &amp; SF'!B:C, 2, 0)</f>
        <v xml:space="preserve">طبخة فول بلبن </v>
      </c>
      <c r="E1162" s="30" t="s">
        <v>2170</v>
      </c>
      <c r="F1162" s="110">
        <v>4552</v>
      </c>
      <c r="G1162" s="30" t="str">
        <f>VLOOKUP(F1162, 'RM &amp; SF'!B:C, 2, 0)</f>
        <v>لبن رايب 5 كغ*****</v>
      </c>
      <c r="H1162" s="89">
        <v>5</v>
      </c>
      <c r="I1162" s="30" t="str">
        <f>VLOOKUP(F1162, 'RM &amp; SF'!B:H, 4, 0)</f>
        <v>غم</v>
      </c>
      <c r="J1162" s="90">
        <f t="shared" si="112"/>
        <v>0.58823529411764708</v>
      </c>
      <c r="K1162" s="91">
        <f>VLOOKUP(F1162, 'RM &amp; SF'!B:H, 7, 0)</f>
        <v>8.0000000000000004E-4</v>
      </c>
      <c r="L1162" s="92">
        <f t="shared" si="111"/>
        <v>4.7058823529411766E-4</v>
      </c>
      <c r="M1162" s="30" t="s">
        <v>810</v>
      </c>
    </row>
    <row r="1163" spans="1:16" ht="14">
      <c r="A1163" s="88" t="s">
        <v>2460</v>
      </c>
      <c r="B1163" s="219" t="s">
        <v>1945</v>
      </c>
      <c r="C1163" s="30"/>
      <c r="D1163" s="30" t="str">
        <f>VLOOKUP(B1163, 'RM &amp; SF'!B:C, 2, 0)</f>
        <v xml:space="preserve">طبخة فول بلبن </v>
      </c>
      <c r="E1163" s="30" t="s">
        <v>2344</v>
      </c>
      <c r="F1163" s="110" t="s">
        <v>712</v>
      </c>
      <c r="G1163" s="30" t="str">
        <f>VLOOKUP(F1163, 'RM &amp; SF'!B:C, 2, 0)</f>
        <v>دقة</v>
      </c>
      <c r="H1163" s="89">
        <v>100</v>
      </c>
      <c r="I1163" s="30" t="str">
        <f>VLOOKUP(F1163, 'RM &amp; SF'!B:H, 4, 0)</f>
        <v>غم</v>
      </c>
      <c r="J1163" s="90">
        <f t="shared" si="112"/>
        <v>11.764705882352942</v>
      </c>
      <c r="K1163" s="91">
        <f>VLOOKUP(F1163, 'RM &amp; SF'!B:H, 7, 0)</f>
        <v>4.91927380952381E-3</v>
      </c>
      <c r="L1163" s="92">
        <f t="shared" si="111"/>
        <v>5.7873809523809536E-2</v>
      </c>
      <c r="M1163" s="30" t="s">
        <v>810</v>
      </c>
    </row>
    <row r="1164" spans="1:16" ht="15.75" customHeight="1">
      <c r="A1164" s="88" t="s">
        <v>3197</v>
      </c>
      <c r="B1164" s="218" t="s">
        <v>1949</v>
      </c>
      <c r="C1164" s="90"/>
      <c r="D1164" s="30" t="str">
        <f>VLOOKUP(B1164, 'RM &amp; SF'!B:C, 2, 0)</f>
        <v xml:space="preserve">حشوة كوسا بلبن </v>
      </c>
      <c r="E1164" s="30" t="s">
        <v>2405</v>
      </c>
      <c r="F1164" s="110" t="s">
        <v>494</v>
      </c>
      <c r="G1164" s="30" t="str">
        <f>VLOOKUP(F1164, 'RM &amp; SF'!B:C, 2, 0)</f>
        <v>لحمة مفرومة</v>
      </c>
      <c r="H1164" s="89">
        <v>10700</v>
      </c>
      <c r="I1164" s="30" t="str">
        <f>VLOOKUP(F1164, 'RM &amp; SF'!B:H, 4, 0)</f>
        <v>غم</v>
      </c>
      <c r="J1164" s="90">
        <f>H1164/12.5</f>
        <v>856</v>
      </c>
      <c r="K1164" s="91">
        <f>VLOOKUP(F1164, 'RM &amp; SF'!B:H, 7, 0)</f>
        <v>7.2070000000000007E-3</v>
      </c>
      <c r="L1164" s="92">
        <f t="shared" si="111"/>
        <v>6.1691920000000007</v>
      </c>
      <c r="M1164" s="30" t="s">
        <v>810</v>
      </c>
      <c r="P1164" s="88" t="s">
        <v>2156</v>
      </c>
    </row>
    <row r="1165" spans="1:16" ht="15.75" customHeight="1">
      <c r="A1165" s="88" t="s">
        <v>3197</v>
      </c>
      <c r="B1165" s="218" t="s">
        <v>1949</v>
      </c>
      <c r="C1165" s="90"/>
      <c r="D1165" s="30" t="str">
        <f>VLOOKUP(B1165, 'RM &amp; SF'!B:C, 2, 0)</f>
        <v xml:space="preserve">حشوة كوسا بلبن </v>
      </c>
      <c r="E1165" s="30" t="s">
        <v>2234</v>
      </c>
      <c r="F1165" s="110">
        <v>4503</v>
      </c>
      <c r="G1165" s="30" t="str">
        <f>VLOOKUP(F1165, 'RM &amp; SF'!B:C, 2, 0)</f>
        <v>بصل ناشف دفش*****</v>
      </c>
      <c r="H1165" s="89">
        <v>16000</v>
      </c>
      <c r="I1165" s="30" t="str">
        <f>VLOOKUP(F1165, 'RM &amp; SF'!B:H, 4, 0)</f>
        <v>غم</v>
      </c>
      <c r="J1165" s="90">
        <f t="shared" ref="J1165:J1175" si="113">H1165/12.5</f>
        <v>1280</v>
      </c>
      <c r="K1165" s="91">
        <f>VLOOKUP(F1165, 'RM &amp; SF'!B:H, 7, 0)</f>
        <v>2.5000000000000001E-4</v>
      </c>
      <c r="L1165" s="92">
        <f t="shared" si="111"/>
        <v>0.32</v>
      </c>
      <c r="M1165" s="30" t="s">
        <v>810</v>
      </c>
      <c r="P1165" s="88" t="s">
        <v>2156</v>
      </c>
    </row>
    <row r="1166" spans="1:16" ht="15.75" customHeight="1">
      <c r="A1166" s="88" t="s">
        <v>3197</v>
      </c>
      <c r="B1166" s="218" t="s">
        <v>1949</v>
      </c>
      <c r="C1166" s="90"/>
      <c r="D1166" s="30" t="str">
        <f>VLOOKUP(B1166, 'RM &amp; SF'!B:C, 2, 0)</f>
        <v xml:space="preserve">حشوة كوسا بلبن </v>
      </c>
      <c r="E1166" s="30" t="s">
        <v>2206</v>
      </c>
      <c r="F1166" s="110">
        <v>4204</v>
      </c>
      <c r="G1166" s="30" t="str">
        <f>VLOOKUP(F1166, 'RM &amp; SF'!B:C, 2, 0)</f>
        <v>فلفل اسود ناعم*****</v>
      </c>
      <c r="H1166" s="89">
        <v>33</v>
      </c>
      <c r="I1166" s="30" t="str">
        <f>VLOOKUP(F1166, 'RM &amp; SF'!B:H, 4, 0)</f>
        <v>غم</v>
      </c>
      <c r="J1166" s="90">
        <f t="shared" si="113"/>
        <v>2.64</v>
      </c>
      <c r="K1166" s="91">
        <f>VLOOKUP(F1166, 'RM &amp; SF'!B:H, 7, 0)</f>
        <v>6.8970000000000004E-3</v>
      </c>
      <c r="L1166" s="92">
        <f t="shared" si="111"/>
        <v>1.8208080000000001E-2</v>
      </c>
      <c r="M1166" s="30" t="s">
        <v>810</v>
      </c>
      <c r="P1166" s="88" t="s">
        <v>2156</v>
      </c>
    </row>
    <row r="1167" spans="1:16" ht="15.75" customHeight="1">
      <c r="A1167" s="88" t="s">
        <v>3197</v>
      </c>
      <c r="B1167" s="218" t="s">
        <v>1949</v>
      </c>
      <c r="C1167" s="90"/>
      <c r="D1167" s="30" t="str">
        <f>VLOOKUP(B1167, 'RM &amp; SF'!B:C, 2, 0)</f>
        <v xml:space="preserve">حشوة كوسا بلبن </v>
      </c>
      <c r="E1167" s="30" t="s">
        <v>2218</v>
      </c>
      <c r="F1167" s="110">
        <v>4233</v>
      </c>
      <c r="G1167" s="30" t="str">
        <f>VLOOKUP(F1167, 'RM &amp; SF'!B:C, 2, 0)</f>
        <v>هال ناعم*****</v>
      </c>
      <c r="H1167" s="89">
        <v>33</v>
      </c>
      <c r="I1167" s="30" t="str">
        <f>VLOOKUP(F1167, 'RM &amp; SF'!B:H, 4, 0)</f>
        <v>غم</v>
      </c>
      <c r="J1167" s="90">
        <f t="shared" si="113"/>
        <v>2.64</v>
      </c>
      <c r="K1167" s="91">
        <f>VLOOKUP(F1167, 'RM &amp; SF'!B:H, 7, 0)</f>
        <v>2.3E-2</v>
      </c>
      <c r="L1167" s="92">
        <f t="shared" si="111"/>
        <v>6.0720000000000003E-2</v>
      </c>
      <c r="M1167" s="30" t="s">
        <v>810</v>
      </c>
      <c r="P1167" s="88" t="s">
        <v>2156</v>
      </c>
    </row>
    <row r="1168" spans="1:16" ht="15.75" customHeight="1">
      <c r="A1168" s="88" t="s">
        <v>3197</v>
      </c>
      <c r="B1168" s="218" t="s">
        <v>1949</v>
      </c>
      <c r="C1168" s="90"/>
      <c r="D1168" s="30" t="str">
        <f>VLOOKUP(B1168, 'RM &amp; SF'!B:C, 2, 0)</f>
        <v xml:space="preserve">حشوة كوسا بلبن </v>
      </c>
      <c r="E1168" s="30" t="s">
        <v>2213</v>
      </c>
      <c r="F1168" s="110">
        <v>4218</v>
      </c>
      <c r="G1168" s="30" t="str">
        <f>VLOOKUP(F1168, 'RM &amp; SF'!B:C, 2, 0)</f>
        <v>بهارات مشكلة*****</v>
      </c>
      <c r="H1168" s="89">
        <v>40</v>
      </c>
      <c r="I1168" s="30" t="str">
        <f>VLOOKUP(F1168, 'RM &amp; SF'!B:H, 4, 0)</f>
        <v>غم</v>
      </c>
      <c r="J1168" s="90">
        <f t="shared" si="113"/>
        <v>3.2</v>
      </c>
      <c r="K1168" s="91">
        <f>VLOOKUP(F1168, 'RM &amp; SF'!B:H, 7, 0)</f>
        <v>3.0169999999999997E-3</v>
      </c>
      <c r="L1168" s="92">
        <f t="shared" si="111"/>
        <v>9.6544000000000005E-3</v>
      </c>
      <c r="M1168" s="30" t="s">
        <v>810</v>
      </c>
      <c r="P1168" s="88" t="s">
        <v>2156</v>
      </c>
    </row>
    <row r="1169" spans="1:16" ht="15.75" customHeight="1">
      <c r="A1169" s="88" t="s">
        <v>3197</v>
      </c>
      <c r="B1169" s="218" t="s">
        <v>1949</v>
      </c>
      <c r="C1169" s="90"/>
      <c r="D1169" s="30" t="str">
        <f>VLOOKUP(B1169, 'RM &amp; SF'!B:C, 2, 0)</f>
        <v xml:space="preserve">حشوة كوسا بلبن </v>
      </c>
      <c r="E1169" s="30" t="s">
        <v>2222</v>
      </c>
      <c r="F1169" s="110">
        <v>4240</v>
      </c>
      <c r="G1169" s="30" t="str">
        <f>VLOOKUP(F1169, 'RM &amp; SF'!B:C, 2, 0)</f>
        <v>كركم ناعم*****</v>
      </c>
      <c r="H1169" s="89">
        <v>2</v>
      </c>
      <c r="I1169" s="30" t="str">
        <f>VLOOKUP(F1169, 'RM &amp; SF'!B:H, 4, 0)</f>
        <v>غم</v>
      </c>
      <c r="J1169" s="90">
        <f t="shared" si="113"/>
        <v>0.16</v>
      </c>
      <c r="K1169" s="91">
        <f>VLOOKUP(F1169, 'RM &amp; SF'!B:H, 7, 0)</f>
        <v>1.9399999999999999E-3</v>
      </c>
      <c r="L1169" s="92">
        <f t="shared" si="111"/>
        <v>3.1040000000000001E-4</v>
      </c>
      <c r="M1169" s="30" t="s">
        <v>810</v>
      </c>
      <c r="P1169" s="88" t="s">
        <v>2156</v>
      </c>
    </row>
    <row r="1170" spans="1:16" ht="15.75" customHeight="1">
      <c r="A1170" s="88" t="s">
        <v>3197</v>
      </c>
      <c r="B1170" s="218" t="s">
        <v>1949</v>
      </c>
      <c r="C1170" s="90"/>
      <c r="D1170" s="30" t="str">
        <f>VLOOKUP(B1170, 'RM &amp; SF'!B:C, 2, 0)</f>
        <v xml:space="preserve">حشوة كوسا بلبن </v>
      </c>
      <c r="E1170" s="30" t="s">
        <v>2214</v>
      </c>
      <c r="F1170" s="110">
        <v>4223</v>
      </c>
      <c r="G1170" s="30" t="str">
        <f>VLOOKUP(F1170, 'RM &amp; SF'!B:C, 2, 0)</f>
        <v>بهارات كاري*****</v>
      </c>
      <c r="H1170" s="89">
        <v>23</v>
      </c>
      <c r="I1170" s="30" t="str">
        <f>VLOOKUP(F1170, 'RM &amp; SF'!B:H, 4, 0)</f>
        <v>غم</v>
      </c>
      <c r="J1170" s="90">
        <f t="shared" si="113"/>
        <v>1.84</v>
      </c>
      <c r="K1170" s="91">
        <f>VLOOKUP(F1170, 'RM &amp; SF'!B:H, 7, 0)</f>
        <v>2.2409999999999999E-3</v>
      </c>
      <c r="L1170" s="92">
        <f t="shared" si="111"/>
        <v>4.1234399999999999E-3</v>
      </c>
      <c r="M1170" s="30" t="s">
        <v>810</v>
      </c>
      <c r="P1170" s="88" t="s">
        <v>2156</v>
      </c>
    </row>
    <row r="1171" spans="1:16" ht="15.75" customHeight="1">
      <c r="A1171" s="88" t="s">
        <v>3197</v>
      </c>
      <c r="B1171" s="218" t="s">
        <v>1949</v>
      </c>
      <c r="C1171" s="90"/>
      <c r="D1171" s="30" t="str">
        <f>VLOOKUP(B1171, 'RM &amp; SF'!B:C, 2, 0)</f>
        <v xml:space="preserve">حشوة كوسا بلبن </v>
      </c>
      <c r="E1171" s="30" t="s">
        <v>2211</v>
      </c>
      <c r="F1171" s="110">
        <v>4214</v>
      </c>
      <c r="G1171" s="30" t="str">
        <f>VLOOKUP(F1171, 'RM &amp; SF'!B:C, 2, 0)</f>
        <v>قرفة ناعمة*****</v>
      </c>
      <c r="H1171" s="89">
        <v>17</v>
      </c>
      <c r="I1171" s="30" t="str">
        <f>VLOOKUP(F1171, 'RM &amp; SF'!B:H, 4, 0)</f>
        <v>غم</v>
      </c>
      <c r="J1171" s="90">
        <f>H1171/12.5</f>
        <v>1.36</v>
      </c>
      <c r="K1171" s="91">
        <f>VLOOKUP(F1171, 'RM &amp; SF'!B:H, 7, 0)</f>
        <v>2.8020000000000002E-3</v>
      </c>
      <c r="L1171" s="92">
        <f t="shared" si="111"/>
        <v>3.8107200000000005E-3</v>
      </c>
      <c r="M1171" s="30" t="s">
        <v>810</v>
      </c>
      <c r="P1171" s="88" t="s">
        <v>2156</v>
      </c>
    </row>
    <row r="1172" spans="1:16" ht="15.75" customHeight="1">
      <c r="A1172" s="88" t="s">
        <v>3197</v>
      </c>
      <c r="B1172" s="218" t="s">
        <v>1949</v>
      </c>
      <c r="C1172" s="90"/>
      <c r="D1172" s="30" t="str">
        <f>VLOOKUP(B1172, 'RM &amp; SF'!B:C, 2, 0)</f>
        <v xml:space="preserve">حشوة كوسا بلبن </v>
      </c>
      <c r="E1172" s="30" t="s">
        <v>2203</v>
      </c>
      <c r="F1172" s="110">
        <v>4152</v>
      </c>
      <c r="G1172" s="30" t="str">
        <f>VLOOKUP(F1172, 'RM &amp; SF'!B:C, 2, 0)</f>
        <v>ملح طعام 750غم*****</v>
      </c>
      <c r="H1172" s="88">
        <v>300</v>
      </c>
      <c r="I1172" s="30" t="str">
        <f>VLOOKUP(F1172, 'RM &amp; SF'!B:H, 4, 0)</f>
        <v>غم</v>
      </c>
      <c r="J1172" s="90">
        <f t="shared" si="113"/>
        <v>24</v>
      </c>
      <c r="K1172" s="91">
        <f>VLOOKUP(F1172, 'RM &amp; SF'!B:H, 7, 0)</f>
        <v>1.7066666666666665E-4</v>
      </c>
      <c r="L1172" s="92">
        <f t="shared" si="111"/>
        <v>4.0959999999999998E-3</v>
      </c>
      <c r="M1172" s="30" t="s">
        <v>810</v>
      </c>
      <c r="P1172" s="88" t="s">
        <v>2156</v>
      </c>
    </row>
    <row r="1173" spans="1:16" ht="15.75" customHeight="1">
      <c r="A1173" s="88" t="s">
        <v>3197</v>
      </c>
      <c r="B1173" s="218" t="s">
        <v>1949</v>
      </c>
      <c r="C1173" s="90"/>
      <c r="D1173" s="30" t="str">
        <f>VLOOKUP(B1173, 'RM &amp; SF'!B:C, 2, 0)</f>
        <v xml:space="preserve">حشوة كوسا بلبن </v>
      </c>
      <c r="E1173" s="30" t="s">
        <v>3058</v>
      </c>
      <c r="F1173" s="110">
        <v>4191</v>
      </c>
      <c r="G1173" s="30" t="str">
        <f>VLOOKUP(F1173, 'RM &amp; SF'!B:C, 2, 0)</f>
        <v>جوزة الطيب مطحونة*****</v>
      </c>
      <c r="H1173" s="88">
        <v>23</v>
      </c>
      <c r="I1173" s="30" t="str">
        <f>VLOOKUP(F1173, 'RM &amp; SF'!B:H, 4, 0)</f>
        <v>غم</v>
      </c>
      <c r="J1173" s="90">
        <f t="shared" si="113"/>
        <v>1.84</v>
      </c>
      <c r="K1173" s="91">
        <f>VLOOKUP(F1173, 'RM &amp; SF'!B:H, 7, 0)</f>
        <v>6.0339999999999994E-3</v>
      </c>
      <c r="L1173" s="92">
        <f t="shared" si="111"/>
        <v>1.1102559999999999E-2</v>
      </c>
      <c r="M1173" s="30" t="s">
        <v>810</v>
      </c>
      <c r="P1173" s="88" t="s">
        <v>2156</v>
      </c>
    </row>
    <row r="1174" spans="1:16" ht="15.75" customHeight="1">
      <c r="A1174" s="88" t="s">
        <v>3197</v>
      </c>
      <c r="B1174" s="218" t="s">
        <v>1949</v>
      </c>
      <c r="C1174" s="90"/>
      <c r="D1174" s="30" t="str">
        <f>VLOOKUP(B1174, 'RM &amp; SF'!B:C, 2, 0)</f>
        <v xml:space="preserve">حشوة كوسا بلبن </v>
      </c>
      <c r="E1174" s="30" t="s">
        <v>2212</v>
      </c>
      <c r="F1174" s="110">
        <v>4215</v>
      </c>
      <c r="G1174" s="30" t="str">
        <f>VLOOKUP(F1174, 'RM &amp; SF'!B:C, 2, 0)</f>
        <v>ملح صيني*****</v>
      </c>
      <c r="H1174" s="88">
        <v>30</v>
      </c>
      <c r="I1174" s="30" t="str">
        <f>VLOOKUP(F1174, 'RM &amp; SF'!B:H, 4, 0)</f>
        <v>غم</v>
      </c>
      <c r="J1174" s="90">
        <f t="shared" si="113"/>
        <v>2.4</v>
      </c>
      <c r="K1174" s="91">
        <f>VLOOKUP(F1174, 'RM &amp; SF'!B:H, 7, 0)</f>
        <v>1.7240000000000001E-3</v>
      </c>
      <c r="L1174" s="92">
        <f t="shared" si="111"/>
        <v>4.1376E-3</v>
      </c>
      <c r="M1174" s="30" t="s">
        <v>810</v>
      </c>
      <c r="P1174" s="88" t="s">
        <v>2156</v>
      </c>
    </row>
    <row r="1175" spans="1:16" ht="15.75" customHeight="1">
      <c r="A1175" s="88" t="s">
        <v>3197</v>
      </c>
      <c r="B1175" s="218" t="s">
        <v>1949</v>
      </c>
      <c r="C1175" s="90"/>
      <c r="D1175" s="30" t="str">
        <f>VLOOKUP(B1175, 'RM &amp; SF'!B:C, 2, 0)</f>
        <v xml:space="preserve">حشوة كوسا بلبن </v>
      </c>
      <c r="E1175" s="30" t="s">
        <v>2260</v>
      </c>
      <c r="F1175" s="110">
        <v>4160</v>
      </c>
      <c r="G1175" s="30" t="str">
        <f>VLOOKUP(F1175, 'RM &amp; SF'!B:C, 2, 0)</f>
        <v>زيت صويا 18 لتر*****</v>
      </c>
      <c r="H1175" s="88">
        <v>2000</v>
      </c>
      <c r="I1175" s="30" t="str">
        <f>VLOOKUP(F1175, 'RM &amp; SF'!B:H, 4, 0)</f>
        <v>مل</v>
      </c>
      <c r="J1175" s="90">
        <f t="shared" si="113"/>
        <v>160</v>
      </c>
      <c r="K1175" s="91">
        <f>VLOOKUP(F1175, 'RM &amp; SF'!B:H, 7, 0)</f>
        <v>1.335E-3</v>
      </c>
      <c r="L1175" s="92">
        <f t="shared" si="111"/>
        <v>0.21360000000000001</v>
      </c>
      <c r="M1175" s="30" t="s">
        <v>810</v>
      </c>
      <c r="P1175" s="88" t="s">
        <v>2156</v>
      </c>
    </row>
    <row r="1176" spans="1:16" ht="15.75" customHeight="1">
      <c r="A1176" s="88" t="s">
        <v>3198</v>
      </c>
      <c r="B1176" s="188" t="s">
        <v>1954</v>
      </c>
      <c r="D1176" s="30" t="str">
        <f>VLOOKUP(B1176, 'RM &amp; SF'!B:C, 2, 0)</f>
        <v>لحم روماني مسلوق</v>
      </c>
      <c r="E1176" s="30" t="s">
        <v>3058</v>
      </c>
      <c r="F1176" s="110">
        <v>5433</v>
      </c>
      <c r="G1176" s="30" t="str">
        <f>VLOOKUP(F1176, 'RM &amp; SF'!B:C, 2, 0)</f>
        <v>خروف مستورد</v>
      </c>
      <c r="H1176" s="88">
        <v>15000</v>
      </c>
      <c r="I1176" s="30" t="str">
        <f>VLOOKUP(F1176, 'RM &amp; SF'!B:H, 4, 0)</f>
        <v>غم</v>
      </c>
      <c r="J1176" s="90">
        <f t="shared" ref="J1176:J1181" si="114">H1176/59</f>
        <v>254.23728813559322</v>
      </c>
      <c r="K1176" s="91">
        <f>VLOOKUP(F1176, 'RM &amp; SF'!B:H, 7, 0)</f>
        <v>7.6241935483870975E-3</v>
      </c>
      <c r="L1176" s="92">
        <f t="shared" si="111"/>
        <v>1.9383542919628214</v>
      </c>
      <c r="M1176" s="30" t="s">
        <v>810</v>
      </c>
      <c r="P1176" s="88" t="s">
        <v>2156</v>
      </c>
    </row>
    <row r="1177" spans="1:16" ht="15.75" customHeight="1">
      <c r="A1177" s="88" t="s">
        <v>3198</v>
      </c>
      <c r="B1177" s="188" t="s">
        <v>1954</v>
      </c>
      <c r="D1177" s="30" t="str">
        <f>VLOOKUP(B1177, 'RM &amp; SF'!B:C, 2, 0)</f>
        <v>لحم روماني مسلوق</v>
      </c>
      <c r="E1177" s="30" t="s">
        <v>2234</v>
      </c>
      <c r="F1177" s="110">
        <v>4503</v>
      </c>
      <c r="G1177" s="30" t="str">
        <f>VLOOKUP(F1177, 'RM &amp; SF'!B:C, 2, 0)</f>
        <v>بصل ناشف دفش*****</v>
      </c>
      <c r="H1177" s="93">
        <v>200</v>
      </c>
      <c r="I1177" s="30" t="str">
        <f>VLOOKUP(F1177, 'RM &amp; SF'!B:H, 4, 0)</f>
        <v>غم</v>
      </c>
      <c r="J1177" s="90">
        <f t="shared" si="114"/>
        <v>3.3898305084745761</v>
      </c>
      <c r="K1177" s="91">
        <f>VLOOKUP(F1177, 'RM &amp; SF'!B:H, 7, 0)</f>
        <v>2.5000000000000001E-4</v>
      </c>
      <c r="L1177" s="92">
        <f t="shared" si="111"/>
        <v>8.4745762711864404E-4</v>
      </c>
      <c r="M1177" s="30" t="s">
        <v>810</v>
      </c>
      <c r="P1177" s="88" t="s">
        <v>2156</v>
      </c>
    </row>
    <row r="1178" spans="1:16" ht="15.75" customHeight="1">
      <c r="A1178" s="88" t="s">
        <v>3198</v>
      </c>
      <c r="B1178" s="188" t="s">
        <v>1954</v>
      </c>
      <c r="D1178" s="30" t="str">
        <f>VLOOKUP(B1178, 'RM &amp; SF'!B:C, 2, 0)</f>
        <v>لحم روماني مسلوق</v>
      </c>
      <c r="E1178" s="30" t="s">
        <v>2239</v>
      </c>
      <c r="F1178" s="110">
        <v>4513</v>
      </c>
      <c r="G1178" s="30" t="str">
        <f>VLOOKUP(F1178, 'RM &amp; SF'!B:C, 2, 0)</f>
        <v>ليمون اصفر*****</v>
      </c>
      <c r="H1178" s="93">
        <v>100</v>
      </c>
      <c r="I1178" s="30" t="str">
        <f>VLOOKUP(F1178, 'RM &amp; SF'!B:H, 4, 0)</f>
        <v>غم</v>
      </c>
      <c r="J1178" s="90">
        <f t="shared" si="114"/>
        <v>1.6949152542372881</v>
      </c>
      <c r="K1178" s="91">
        <f>VLOOKUP(F1178, 'RM &amp; SF'!B:H, 7, 0)</f>
        <v>1.75E-3</v>
      </c>
      <c r="L1178" s="92">
        <f t="shared" si="111"/>
        <v>2.9661016949152543E-3</v>
      </c>
      <c r="M1178" s="30" t="s">
        <v>810</v>
      </c>
      <c r="P1178" s="88" t="s">
        <v>2156</v>
      </c>
    </row>
    <row r="1179" spans="1:16" ht="15.75" customHeight="1">
      <c r="A1179" s="88" t="s">
        <v>3198</v>
      </c>
      <c r="B1179" s="188" t="s">
        <v>1954</v>
      </c>
      <c r="D1179" s="30" t="str">
        <f>VLOOKUP(B1179, 'RM &amp; SF'!B:C, 2, 0)</f>
        <v>لحم روماني مسلوق</v>
      </c>
      <c r="E1179" s="30" t="s">
        <v>3058</v>
      </c>
      <c r="F1179" s="110">
        <v>4234</v>
      </c>
      <c r="G1179" s="30" t="str">
        <f>VLOOKUP(F1179, 'RM &amp; SF'!B:C, 2, 0)</f>
        <v>هال حب اخضر*****</v>
      </c>
      <c r="H1179" s="93">
        <v>11</v>
      </c>
      <c r="I1179" s="30" t="str">
        <f>VLOOKUP(F1179, 'RM &amp; SF'!B:H, 4, 0)</f>
        <v>غم</v>
      </c>
      <c r="J1179" s="90">
        <f t="shared" si="114"/>
        <v>0.1864406779661017</v>
      </c>
      <c r="K1179" s="91">
        <f>VLOOKUP(F1179, 'RM &amp; SF'!B:H, 7, 0)</f>
        <v>1.9827586206896553E-2</v>
      </c>
      <c r="L1179" s="92">
        <f t="shared" si="111"/>
        <v>3.6966686148451203E-3</v>
      </c>
      <c r="M1179" s="30" t="s">
        <v>810</v>
      </c>
      <c r="P1179" s="88" t="s">
        <v>2156</v>
      </c>
    </row>
    <row r="1180" spans="1:16" ht="15.75" customHeight="1">
      <c r="A1180" s="88" t="s">
        <v>3198</v>
      </c>
      <c r="B1180" s="188" t="s">
        <v>1954</v>
      </c>
      <c r="D1180" s="30" t="str">
        <f>VLOOKUP(B1180, 'RM &amp; SF'!B:C, 2, 0)</f>
        <v>لحم روماني مسلوق</v>
      </c>
      <c r="E1180" s="30" t="s">
        <v>2210</v>
      </c>
      <c r="F1180" s="110">
        <v>4213</v>
      </c>
      <c r="G1180" s="30" t="str">
        <f>VLOOKUP(F1180, 'RM &amp; SF'!B:C, 2, 0)</f>
        <v>ورق غار*****</v>
      </c>
      <c r="H1180" s="93">
        <v>3</v>
      </c>
      <c r="I1180" s="30" t="str">
        <f>VLOOKUP(F1180, 'RM &amp; SF'!B:H, 4, 0)</f>
        <v>غم</v>
      </c>
      <c r="J1180" s="90">
        <f t="shared" si="114"/>
        <v>5.0847457627118647E-2</v>
      </c>
      <c r="K1180" s="91">
        <f>VLOOKUP(F1180, 'RM &amp; SF'!B:H, 7, 0)</f>
        <v>2.0690000000000001E-3</v>
      </c>
      <c r="L1180" s="92">
        <f t="shared" si="111"/>
        <v>1.0520338983050849E-4</v>
      </c>
      <c r="M1180" s="30" t="s">
        <v>810</v>
      </c>
      <c r="P1180" s="88" t="s">
        <v>2156</v>
      </c>
    </row>
    <row r="1181" spans="1:16" ht="15.75" customHeight="1">
      <c r="A1181" s="88" t="s">
        <v>3198</v>
      </c>
      <c r="B1181" s="188" t="s">
        <v>1954</v>
      </c>
      <c r="D1181" s="30" t="str">
        <f>VLOOKUP(B1181, 'RM &amp; SF'!B:C, 2, 0)</f>
        <v>لحم روماني مسلوق</v>
      </c>
      <c r="E1181" s="30" t="s">
        <v>2204</v>
      </c>
      <c r="F1181" s="110">
        <v>4189</v>
      </c>
      <c r="G1181" s="30" t="str">
        <f>VLOOKUP(F1181, 'RM &amp; SF'!B:C, 2, 0)</f>
        <v>لومي اصفر*****</v>
      </c>
      <c r="H1181" s="93">
        <v>5</v>
      </c>
      <c r="I1181" s="30" t="str">
        <f>VLOOKUP(F1181, 'RM &amp; SF'!B:H, 4, 0)</f>
        <v>غم</v>
      </c>
      <c r="J1181" s="90">
        <f t="shared" si="114"/>
        <v>8.4745762711864403E-2</v>
      </c>
      <c r="K1181" s="91">
        <f>VLOOKUP(F1181, 'RM &amp; SF'!B:H, 7, 0)</f>
        <v>1.9399999999999999E-3</v>
      </c>
      <c r="L1181" s="92">
        <f t="shared" si="111"/>
        <v>1.6440677966101692E-4</v>
      </c>
      <c r="M1181" s="30" t="s">
        <v>810</v>
      </c>
      <c r="P1181" s="88" t="s">
        <v>2156</v>
      </c>
    </row>
    <row r="1182" spans="1:16" ht="15.75" customHeight="1">
      <c r="A1182" s="88" t="s">
        <v>2461</v>
      </c>
      <c r="B1182" s="219" t="s">
        <v>2027</v>
      </c>
      <c r="D1182" s="88" t="s">
        <v>2026</v>
      </c>
      <c r="E1182" s="30" t="s">
        <v>3058</v>
      </c>
      <c r="F1182" s="110">
        <v>5373</v>
      </c>
      <c r="G1182" s="30" t="str">
        <f>VLOOKUP(F1182, 'RM &amp; SF'!B:C, 2, 0)</f>
        <v>قطعيات عجل مشكلة</v>
      </c>
      <c r="H1182" s="88">
        <v>400</v>
      </c>
      <c r="I1182" s="30" t="str">
        <f>VLOOKUP(F1182, 'RM &amp; SF'!B:H, 4, 0)</f>
        <v>غم</v>
      </c>
      <c r="J1182" s="90">
        <f>H1182/1.28</f>
        <v>312.5</v>
      </c>
      <c r="K1182" s="91">
        <f>VLOOKUP(F1182, 'RM &amp; SF'!B:H, 7, 0)</f>
        <v>9.0100000000000006E-3</v>
      </c>
      <c r="L1182" s="92">
        <f t="shared" si="111"/>
        <v>2.8156250000000003</v>
      </c>
      <c r="M1182" s="30" t="s">
        <v>810</v>
      </c>
    </row>
    <row r="1183" spans="1:16" ht="15.75" customHeight="1">
      <c r="A1183" s="88" t="s">
        <v>2461</v>
      </c>
      <c r="B1183" s="219" t="s">
        <v>2027</v>
      </c>
      <c r="D1183" s="88" t="s">
        <v>2026</v>
      </c>
      <c r="E1183" s="30" t="s">
        <v>3058</v>
      </c>
      <c r="F1183" s="110">
        <v>5430</v>
      </c>
      <c r="G1183" s="30" t="str">
        <f>VLOOKUP(F1183, 'RM &amp; SF'!B:C, 2, 0)</f>
        <v>نتر ملحمه</v>
      </c>
      <c r="H1183" s="88">
        <v>600</v>
      </c>
      <c r="I1183" s="30" t="str">
        <f>VLOOKUP(F1183, 'RM &amp; SF'!B:H, 4, 0)</f>
        <v>غم</v>
      </c>
      <c r="J1183" s="90">
        <f t="shared" ref="J1183:J1191" si="115">H1183/1.28</f>
        <v>468.75</v>
      </c>
      <c r="K1183" s="91">
        <f>VLOOKUP(F1183, 'RM &amp; SF'!B:H, 7, 0)</f>
        <v>1E-3</v>
      </c>
      <c r="L1183" s="92">
        <f t="shared" si="111"/>
        <v>0.46875</v>
      </c>
      <c r="M1183" s="30" t="s">
        <v>810</v>
      </c>
    </row>
    <row r="1184" spans="1:16" ht="15.75" customHeight="1">
      <c r="A1184" s="88" t="s">
        <v>2461</v>
      </c>
      <c r="B1184" s="219" t="s">
        <v>2027</v>
      </c>
      <c r="D1184" s="88" t="s">
        <v>2026</v>
      </c>
      <c r="E1184" s="30" t="s">
        <v>2221</v>
      </c>
      <c r="F1184" s="110">
        <v>4237</v>
      </c>
      <c r="G1184" s="30" t="str">
        <f>VLOOKUP(F1184, 'RM &amp; SF'!B:C, 2, 0)</f>
        <v>ثوم ناعم*****</v>
      </c>
      <c r="H1184" s="88">
        <v>25</v>
      </c>
      <c r="I1184" s="30" t="str">
        <f>VLOOKUP(F1184, 'RM &amp; SF'!B:H, 4, 0)</f>
        <v>غم</v>
      </c>
      <c r="J1184" s="90">
        <f t="shared" si="115"/>
        <v>19.53125</v>
      </c>
      <c r="K1184" s="91">
        <f>VLOOKUP(F1184, 'RM &amp; SF'!B:H, 7, 0)</f>
        <v>2.3709999999999998E-3</v>
      </c>
      <c r="L1184" s="92">
        <f t="shared" si="111"/>
        <v>4.6308593749999995E-2</v>
      </c>
      <c r="M1184" s="30" t="s">
        <v>810</v>
      </c>
    </row>
    <row r="1185" spans="1:13" ht="15.75" customHeight="1">
      <c r="A1185" s="88" t="s">
        <v>2461</v>
      </c>
      <c r="B1185" s="219" t="s">
        <v>2027</v>
      </c>
      <c r="D1185" s="88" t="s">
        <v>2026</v>
      </c>
      <c r="E1185" s="30" t="s">
        <v>2295</v>
      </c>
      <c r="F1185" s="110">
        <v>4795</v>
      </c>
      <c r="G1185" s="30" t="str">
        <f>VLOOKUP(F1185, 'RM &amp; SF'!B:C, 2, 0)</f>
        <v>دبس فليفلة حلوة 650 غم*****</v>
      </c>
      <c r="H1185" s="88">
        <v>70</v>
      </c>
      <c r="I1185" s="30" t="str">
        <f>VLOOKUP(F1185, 'RM &amp; SF'!B:H, 4, 0)</f>
        <v>غم</v>
      </c>
      <c r="J1185" s="90">
        <f t="shared" si="115"/>
        <v>54.6875</v>
      </c>
      <c r="K1185" s="91">
        <f>VLOOKUP(F1185, 'RM &amp; SF'!B:H, 7, 0)</f>
        <v>3.5918E-3</v>
      </c>
      <c r="L1185" s="92">
        <f t="shared" si="111"/>
        <v>0.19642656250000001</v>
      </c>
      <c r="M1185" s="30" t="s">
        <v>810</v>
      </c>
    </row>
    <row r="1186" spans="1:13" ht="15.75" customHeight="1">
      <c r="A1186" s="88" t="s">
        <v>2461</v>
      </c>
      <c r="B1186" s="219" t="s">
        <v>2027</v>
      </c>
      <c r="D1186" s="88" t="s">
        <v>2026</v>
      </c>
      <c r="E1186" s="30" t="s">
        <v>2321</v>
      </c>
      <c r="F1186" s="67">
        <v>5292</v>
      </c>
      <c r="G1186" s="30" t="str">
        <f>VLOOKUP(F1186, 'RM &amp; SF'!B:C, 2, 0)</f>
        <v>ثوم مقشر*****</v>
      </c>
      <c r="H1186" s="88">
        <v>5</v>
      </c>
      <c r="I1186" s="30" t="str">
        <f>VLOOKUP(F1186, 'RM &amp; SF'!B:H, 4, 0)</f>
        <v>غم</v>
      </c>
      <c r="J1186" s="90">
        <f t="shared" si="115"/>
        <v>3.90625</v>
      </c>
      <c r="K1186" s="91">
        <f>VLOOKUP(F1186, 'RM &amp; SF'!B:H, 7, 0)</f>
        <v>4.4999999999999997E-3</v>
      </c>
      <c r="L1186" s="92">
        <f t="shared" si="111"/>
        <v>1.7578125E-2</v>
      </c>
      <c r="M1186" s="30" t="s">
        <v>810</v>
      </c>
    </row>
    <row r="1187" spans="1:13" ht="15.75" customHeight="1">
      <c r="A1187" s="88" t="s">
        <v>2461</v>
      </c>
      <c r="B1187" s="219" t="s">
        <v>2027</v>
      </c>
      <c r="D1187" s="88" t="s">
        <v>2026</v>
      </c>
      <c r="E1187" s="30" t="s">
        <v>2251</v>
      </c>
      <c r="F1187" s="110">
        <v>4544</v>
      </c>
      <c r="G1187" s="30" t="str">
        <f>VLOOKUP(F1187, 'RM &amp; SF'!B:C, 2, 0)</f>
        <v>بقدونس*****</v>
      </c>
      <c r="H1187" s="88">
        <v>0.25</v>
      </c>
      <c r="I1187" s="30" t="str">
        <f>VLOOKUP(F1187, 'RM &amp; SF'!B:H, 4, 0)</f>
        <v>غم</v>
      </c>
      <c r="J1187" s="90">
        <f t="shared" si="115"/>
        <v>0.1953125</v>
      </c>
      <c r="K1187" s="91">
        <f>VLOOKUP(F1187, 'RM &amp; SF'!B:H, 7, 0)</f>
        <v>7.5000000000000002E-4</v>
      </c>
      <c r="L1187" s="92">
        <f t="shared" si="111"/>
        <v>1.4648437499999999E-4</v>
      </c>
      <c r="M1187" s="30" t="s">
        <v>810</v>
      </c>
    </row>
    <row r="1188" spans="1:13" ht="15.75" customHeight="1">
      <c r="A1188" s="88" t="s">
        <v>2461</v>
      </c>
      <c r="B1188" s="219" t="s">
        <v>2027</v>
      </c>
      <c r="D1188" s="88" t="s">
        <v>2026</v>
      </c>
      <c r="E1188" s="30" t="s">
        <v>2233</v>
      </c>
      <c r="F1188" s="110">
        <v>4501</v>
      </c>
      <c r="G1188" s="30" t="str">
        <f>VLOOKUP(F1188, 'RM &amp; SF'!B:C, 2, 0)</f>
        <v>فلفل حلو احمر*****</v>
      </c>
      <c r="H1188" s="88">
        <v>100</v>
      </c>
      <c r="I1188" s="30" t="str">
        <f>VLOOKUP(F1188, 'RM &amp; SF'!B:H, 4, 0)</f>
        <v>غم</v>
      </c>
      <c r="J1188" s="90">
        <f t="shared" si="115"/>
        <v>78.125</v>
      </c>
      <c r="K1188" s="91">
        <f>VLOOKUP(F1188, 'RM &amp; SF'!B:H, 7, 0)</f>
        <v>7.5000000000000002E-4</v>
      </c>
      <c r="L1188" s="92">
        <f t="shared" si="111"/>
        <v>5.859375E-2</v>
      </c>
      <c r="M1188" s="30" t="s">
        <v>810</v>
      </c>
    </row>
    <row r="1189" spans="1:13" ht="15.75" customHeight="1">
      <c r="A1189" s="88" t="s">
        <v>2461</v>
      </c>
      <c r="B1189" s="219" t="s">
        <v>2027</v>
      </c>
      <c r="D1189" s="88" t="s">
        <v>2026</v>
      </c>
      <c r="E1189" s="30" t="s">
        <v>2223</v>
      </c>
      <c r="F1189" s="110">
        <v>4241</v>
      </c>
      <c r="G1189" s="30" t="str">
        <f>VLOOKUP(F1189, 'RM &amp; SF'!B:C, 2, 0)</f>
        <v>بهارات كيجن عادي*****</v>
      </c>
      <c r="H1189" s="88">
        <v>15</v>
      </c>
      <c r="I1189" s="30" t="str">
        <f>VLOOKUP(F1189, 'RM &amp; SF'!B:H, 4, 0)</f>
        <v>غم</v>
      </c>
      <c r="J1189" s="90">
        <f t="shared" si="115"/>
        <v>11.71875</v>
      </c>
      <c r="K1189" s="91">
        <f>VLOOKUP(F1189, 'RM &amp; SF'!B:H, 7, 0)</f>
        <v>3.8790000000000001E-3</v>
      </c>
      <c r="L1189" s="92">
        <f t="shared" si="111"/>
        <v>4.5457031250000002E-2</v>
      </c>
      <c r="M1189" s="30" t="s">
        <v>810</v>
      </c>
    </row>
    <row r="1190" spans="1:13" ht="15.75" customHeight="1">
      <c r="A1190" s="88" t="s">
        <v>2461</v>
      </c>
      <c r="B1190" s="219" t="s">
        <v>2027</v>
      </c>
      <c r="D1190" s="88" t="s">
        <v>2026</v>
      </c>
      <c r="E1190" s="30" t="s">
        <v>3058</v>
      </c>
      <c r="F1190" s="110">
        <v>4250</v>
      </c>
      <c r="G1190" s="30" t="str">
        <f>VLOOKUP(F1190, 'RM &amp; SF'!B:C, 2, 0)</f>
        <v>بهارات مدخنة*****</v>
      </c>
      <c r="H1190" s="88">
        <v>35</v>
      </c>
      <c r="I1190" s="30" t="str">
        <f>VLOOKUP(F1190, 'RM &amp; SF'!B:H, 4, 0)</f>
        <v>غم</v>
      </c>
      <c r="J1190" s="90">
        <f t="shared" si="115"/>
        <v>27.34375</v>
      </c>
      <c r="K1190" s="91">
        <f>VLOOKUP(F1190, 'RM &amp; SF'!B:H, 7, 0)</f>
        <v>3.8790000000000001E-3</v>
      </c>
      <c r="L1190" s="92">
        <f t="shared" si="111"/>
        <v>0.10606640625000001</v>
      </c>
      <c r="M1190" s="30" t="s">
        <v>810</v>
      </c>
    </row>
    <row r="1191" spans="1:13" ht="15.75" customHeight="1">
      <c r="A1191" s="88" t="s">
        <v>2461</v>
      </c>
      <c r="B1191" s="219" t="s">
        <v>2027</v>
      </c>
      <c r="D1191" s="88" t="s">
        <v>2026</v>
      </c>
      <c r="E1191" s="30" t="s">
        <v>2203</v>
      </c>
      <c r="F1191" s="110">
        <v>4152</v>
      </c>
      <c r="G1191" s="30" t="str">
        <f>VLOOKUP(F1191, 'RM &amp; SF'!B:C, 2, 0)</f>
        <v>ملح طعام 750غم*****</v>
      </c>
      <c r="H1191" s="88">
        <v>5</v>
      </c>
      <c r="I1191" s="30" t="str">
        <f>VLOOKUP(F1191, 'RM &amp; SF'!B:H, 4, 0)</f>
        <v>غم</v>
      </c>
      <c r="J1191" s="90">
        <f t="shared" si="115"/>
        <v>3.90625</v>
      </c>
      <c r="K1191" s="91">
        <f>VLOOKUP(F1191, 'RM &amp; SF'!B:H, 7, 0)</f>
        <v>1.7066666666666665E-4</v>
      </c>
      <c r="L1191" s="92">
        <f t="shared" si="111"/>
        <v>6.6666666666666664E-4</v>
      </c>
      <c r="M1191" s="30" t="s">
        <v>810</v>
      </c>
    </row>
    <row r="1192" spans="1:13" ht="15.75" customHeight="1">
      <c r="A1192" s="88" t="s">
        <v>3217</v>
      </c>
      <c r="B1192" s="88" t="s">
        <v>798</v>
      </c>
      <c r="D1192" s="88" t="s">
        <v>801</v>
      </c>
      <c r="E1192" s="30" t="s">
        <v>3058</v>
      </c>
      <c r="F1192" s="88">
        <v>5373</v>
      </c>
      <c r="G1192" s="30" t="str">
        <f>VLOOKUP(F1192, 'RM &amp; SF'!B:C, 2, 0)</f>
        <v>قطعيات عجل مشكلة</v>
      </c>
      <c r="H1192" s="88">
        <v>400</v>
      </c>
      <c r="I1192" s="30" t="str">
        <f>VLOOKUP(F1192, 'RM &amp; SF'!B:H, 4, 0)</f>
        <v>غم</v>
      </c>
      <c r="J1192" s="88">
        <f>(H1192/1447)*1000</f>
        <v>276.43400138216998</v>
      </c>
      <c r="K1192" s="91">
        <f>VLOOKUP(F1192, 'RM &amp; SF'!B:H, 7, 0)</f>
        <v>9.0100000000000006E-3</v>
      </c>
      <c r="L1192" s="92">
        <f t="shared" si="111"/>
        <v>2.4906703524533516</v>
      </c>
      <c r="M1192" s="30" t="s">
        <v>810</v>
      </c>
    </row>
    <row r="1193" spans="1:13" ht="15.75" customHeight="1">
      <c r="A1193" s="88" t="s">
        <v>3217</v>
      </c>
      <c r="B1193" s="88" t="s">
        <v>798</v>
      </c>
      <c r="D1193" s="88" t="s">
        <v>801</v>
      </c>
      <c r="E1193" s="30" t="s">
        <v>3058</v>
      </c>
      <c r="F1193" s="88">
        <v>5430</v>
      </c>
      <c r="G1193" s="30" t="str">
        <f>VLOOKUP(F1193, 'RM &amp; SF'!B:C, 2, 0)</f>
        <v>نتر ملحمه</v>
      </c>
      <c r="H1193" s="88">
        <v>600</v>
      </c>
      <c r="I1193" s="30" t="str">
        <f>VLOOKUP(F1193, 'RM &amp; SF'!B:H, 4, 0)</f>
        <v>غم</v>
      </c>
      <c r="J1193" s="88">
        <f t="shared" ref="J1193:J1214" si="116">(H1193/1447)*1000</f>
        <v>414.65100207325503</v>
      </c>
      <c r="K1193" s="91">
        <f>VLOOKUP(F1193, 'RM &amp; SF'!B:H, 7, 0)</f>
        <v>1E-3</v>
      </c>
      <c r="L1193" s="92">
        <f t="shared" si="111"/>
        <v>0.41465100207325506</v>
      </c>
      <c r="M1193" s="30" t="s">
        <v>810</v>
      </c>
    </row>
    <row r="1194" spans="1:13" ht="15.75" customHeight="1">
      <c r="A1194" s="88" t="s">
        <v>3217</v>
      </c>
      <c r="B1194" s="88" t="s">
        <v>798</v>
      </c>
      <c r="D1194" s="88" t="s">
        <v>801</v>
      </c>
      <c r="E1194" s="30" t="s">
        <v>3058</v>
      </c>
      <c r="F1194" s="88">
        <v>5405</v>
      </c>
      <c r="G1194" s="30" t="str">
        <f>VLOOKUP(F1194, 'RM &amp; SF'!B:C, 2, 0)</f>
        <v>مصران</v>
      </c>
      <c r="H1194" s="88">
        <v>18</v>
      </c>
      <c r="I1194" s="30" t="str">
        <f>VLOOKUP(F1194, 'RM &amp; SF'!B:H, 4, 0)</f>
        <v>غم</v>
      </c>
      <c r="J1194" s="88">
        <f t="shared" si="116"/>
        <v>12.439530062197651</v>
      </c>
      <c r="K1194" s="91">
        <f>VLOOKUP(F1194, 'RM &amp; SF'!B:H, 7, 0)</f>
        <v>3.5000000000000001E-3</v>
      </c>
      <c r="L1194" s="92">
        <f t="shared" si="111"/>
        <v>4.3538355217691782E-2</v>
      </c>
      <c r="M1194" s="30" t="s">
        <v>810</v>
      </c>
    </row>
    <row r="1195" spans="1:13" ht="15.75" customHeight="1">
      <c r="A1195" s="88" t="s">
        <v>3217</v>
      </c>
      <c r="B1195" s="88" t="s">
        <v>798</v>
      </c>
      <c r="D1195" s="88" t="s">
        <v>801</v>
      </c>
      <c r="E1195" s="30" t="s">
        <v>2225</v>
      </c>
      <c r="F1195" s="88">
        <v>4991</v>
      </c>
      <c r="G1195" s="30" t="str">
        <f>VLOOKUP(F1195, 'RM &amp; SF'!B:C, 2, 0)</f>
        <v>خبز عربي (خبز لبناني) صغير*****</v>
      </c>
      <c r="H1195" s="88">
        <v>1</v>
      </c>
      <c r="I1195" s="30" t="str">
        <f>VLOOKUP(F1195, 'RM &amp; SF'!B:H, 4, 0)</f>
        <v>غم</v>
      </c>
      <c r="J1195" s="88">
        <f t="shared" si="116"/>
        <v>0.69108500345542501</v>
      </c>
      <c r="K1195" s="91">
        <f>VLOOKUP(F1195, 'RM &amp; SF'!B:H, 7, 0)</f>
        <v>3.2000000000000003E-4</v>
      </c>
      <c r="L1195" s="92">
        <f t="shared" si="111"/>
        <v>2.2114720110573603E-4</v>
      </c>
      <c r="M1195" s="30" t="s">
        <v>810</v>
      </c>
    </row>
    <row r="1196" spans="1:13" ht="15.75" customHeight="1">
      <c r="A1196" s="88" t="s">
        <v>3217</v>
      </c>
      <c r="B1196" s="88" t="s">
        <v>798</v>
      </c>
      <c r="D1196" s="88" t="s">
        <v>801</v>
      </c>
      <c r="E1196" s="30" t="s">
        <v>3058</v>
      </c>
      <c r="F1196" s="88">
        <v>4019</v>
      </c>
      <c r="G1196" s="30" t="str">
        <f>VLOOKUP(F1196, 'RM &amp; SF'!B:C, 2, 0)</f>
        <v>صوص ديمي جلاس 1 كغ*****</v>
      </c>
      <c r="H1196" s="88">
        <v>5</v>
      </c>
      <c r="I1196" s="30" t="str">
        <f>VLOOKUP(F1196, 'RM &amp; SF'!B:H, 4, 0)</f>
        <v>غم</v>
      </c>
      <c r="J1196" s="88">
        <f t="shared" si="116"/>
        <v>3.4554250172771255</v>
      </c>
      <c r="K1196" s="91">
        <f>VLOOKUP(F1196, 'RM &amp; SF'!B:H, 7, 0)</f>
        <v>4.7409999999999996E-3</v>
      </c>
      <c r="L1196" s="92">
        <f t="shared" si="111"/>
        <v>1.6382170006910852E-2</v>
      </c>
      <c r="M1196" s="30" t="s">
        <v>810</v>
      </c>
    </row>
    <row r="1197" spans="1:13" ht="15.75" customHeight="1">
      <c r="A1197" s="88" t="s">
        <v>3217</v>
      </c>
      <c r="B1197" s="88" t="s">
        <v>798</v>
      </c>
      <c r="D1197" s="88" t="s">
        <v>801</v>
      </c>
      <c r="E1197" s="30" t="s">
        <v>2212</v>
      </c>
      <c r="F1197" s="88">
        <v>4215</v>
      </c>
      <c r="G1197" s="30" t="str">
        <f>VLOOKUP(F1197, 'RM &amp; SF'!B:C, 2, 0)</f>
        <v>ملح صيني*****</v>
      </c>
      <c r="H1197" s="88">
        <v>12</v>
      </c>
      <c r="I1197" s="30" t="str">
        <f>VLOOKUP(F1197, 'RM &amp; SF'!B:H, 4, 0)</f>
        <v>غم</v>
      </c>
      <c r="J1197" s="88">
        <f t="shared" si="116"/>
        <v>8.2930200414651001</v>
      </c>
      <c r="K1197" s="91">
        <f>VLOOKUP(F1197, 'RM &amp; SF'!B:H, 7, 0)</f>
        <v>1.7240000000000001E-3</v>
      </c>
      <c r="L1197" s="92">
        <f t="shared" si="111"/>
        <v>1.4297166551485833E-2</v>
      </c>
      <c r="M1197" s="30" t="s">
        <v>810</v>
      </c>
    </row>
    <row r="1198" spans="1:13" ht="15.75" customHeight="1">
      <c r="A1198" s="88" t="s">
        <v>3217</v>
      </c>
      <c r="B1198" s="88" t="s">
        <v>798</v>
      </c>
      <c r="D1198" s="88" t="s">
        <v>801</v>
      </c>
      <c r="E1198" s="30" t="s">
        <v>2221</v>
      </c>
      <c r="F1198" s="88">
        <v>4237</v>
      </c>
      <c r="G1198" s="30" t="str">
        <f>VLOOKUP(F1198, 'RM &amp; SF'!B:C, 2, 0)</f>
        <v>ثوم ناعم*****</v>
      </c>
      <c r="H1198" s="88">
        <v>6</v>
      </c>
      <c r="I1198" s="30" t="str">
        <f>VLOOKUP(F1198, 'RM &amp; SF'!B:H, 4, 0)</f>
        <v>غم</v>
      </c>
      <c r="J1198" s="88">
        <f t="shared" si="116"/>
        <v>4.14651002073255</v>
      </c>
      <c r="K1198" s="91">
        <f>VLOOKUP(F1198, 'RM &amp; SF'!B:H, 7, 0)</f>
        <v>2.3709999999999998E-3</v>
      </c>
      <c r="L1198" s="92">
        <f t="shared" si="111"/>
        <v>9.8313752591568764E-3</v>
      </c>
      <c r="M1198" s="30" t="s">
        <v>810</v>
      </c>
    </row>
    <row r="1199" spans="1:13" ht="15.75" customHeight="1">
      <c r="A1199" s="88" t="s">
        <v>3217</v>
      </c>
      <c r="B1199" s="88" t="s">
        <v>798</v>
      </c>
      <c r="D1199" s="88" t="s">
        <v>801</v>
      </c>
      <c r="E1199" s="30" t="s">
        <v>2222</v>
      </c>
      <c r="F1199" s="88">
        <v>4240</v>
      </c>
      <c r="G1199" s="30" t="str">
        <f>VLOOKUP(F1199, 'RM &amp; SF'!B:C, 2, 0)</f>
        <v>كركم ناعم*****</v>
      </c>
      <c r="H1199" s="88">
        <v>3</v>
      </c>
      <c r="I1199" s="30" t="str">
        <f>VLOOKUP(F1199, 'RM &amp; SF'!B:H, 4, 0)</f>
        <v>غم</v>
      </c>
      <c r="J1199" s="88">
        <f t="shared" si="116"/>
        <v>2.073255010366275</v>
      </c>
      <c r="K1199" s="91">
        <f>VLOOKUP(F1199, 'RM &amp; SF'!B:H, 7, 0)</f>
        <v>1.9399999999999999E-3</v>
      </c>
      <c r="L1199" s="92">
        <f t="shared" si="111"/>
        <v>4.022114720110573E-3</v>
      </c>
      <c r="M1199" s="30" t="s">
        <v>810</v>
      </c>
    </row>
    <row r="1200" spans="1:13" ht="15.75" customHeight="1">
      <c r="A1200" s="88" t="s">
        <v>3217</v>
      </c>
      <c r="B1200" s="88" t="s">
        <v>798</v>
      </c>
      <c r="D1200" s="88" t="s">
        <v>801</v>
      </c>
      <c r="E1200" s="30" t="s">
        <v>3058</v>
      </c>
      <c r="F1200" s="88">
        <v>4250</v>
      </c>
      <c r="G1200" s="30" t="str">
        <f>VLOOKUP(F1200, 'RM &amp; SF'!B:C, 2, 0)</f>
        <v>بهارات مدخنة*****</v>
      </c>
      <c r="H1200" s="88">
        <v>15</v>
      </c>
      <c r="I1200" s="30" t="str">
        <f>VLOOKUP(F1200, 'RM &amp; SF'!B:H, 4, 0)</f>
        <v>غم</v>
      </c>
      <c r="J1200" s="88">
        <f t="shared" si="116"/>
        <v>10.366275051831375</v>
      </c>
      <c r="K1200" s="91">
        <f>VLOOKUP(F1200, 'RM &amp; SF'!B:H, 7, 0)</f>
        <v>3.8790000000000001E-3</v>
      </c>
      <c r="L1200" s="92">
        <f t="shared" si="111"/>
        <v>4.0210780926053902E-2</v>
      </c>
      <c r="M1200" s="30" t="s">
        <v>810</v>
      </c>
    </row>
    <row r="1201" spans="1:13" ht="15.75" customHeight="1">
      <c r="A1201" s="88" t="s">
        <v>3217</v>
      </c>
      <c r="B1201" s="88" t="s">
        <v>798</v>
      </c>
      <c r="D1201" s="88" t="s">
        <v>801</v>
      </c>
      <c r="E1201" s="30" t="s">
        <v>2223</v>
      </c>
      <c r="F1201" s="88">
        <v>4241</v>
      </c>
      <c r="G1201" s="30" t="str">
        <f>VLOOKUP(F1201, 'RM &amp; SF'!B:C, 2, 0)</f>
        <v>بهارات كيجن عادي*****</v>
      </c>
      <c r="H1201" s="88">
        <v>6</v>
      </c>
      <c r="I1201" s="30" t="str">
        <f>VLOOKUP(F1201, 'RM &amp; SF'!B:H, 4, 0)</f>
        <v>غم</v>
      </c>
      <c r="J1201" s="88">
        <f t="shared" si="116"/>
        <v>4.14651002073255</v>
      </c>
      <c r="K1201" s="91">
        <f>VLOOKUP(F1201, 'RM &amp; SF'!B:H, 7, 0)</f>
        <v>3.8790000000000001E-3</v>
      </c>
      <c r="L1201" s="92">
        <f t="shared" si="111"/>
        <v>1.6084312370421561E-2</v>
      </c>
      <c r="M1201" s="30" t="s">
        <v>810</v>
      </c>
    </row>
    <row r="1202" spans="1:13" ht="15.75" customHeight="1">
      <c r="A1202" s="88" t="s">
        <v>3217</v>
      </c>
      <c r="B1202" s="88" t="s">
        <v>798</v>
      </c>
      <c r="D1202" s="88" t="s">
        <v>801</v>
      </c>
      <c r="E1202" s="30" t="s">
        <v>3058</v>
      </c>
      <c r="F1202" s="88">
        <v>4021</v>
      </c>
      <c r="G1202" s="30" t="str">
        <f>VLOOKUP(F1202, 'RM &amp; SF'!B:C, 2, 0)</f>
        <v>مكعبات مرق الدجاج 24 عبوة*2 مكعب*****</v>
      </c>
      <c r="H1202" s="88">
        <v>6</v>
      </c>
      <c r="I1202" s="30" t="str">
        <f>VLOOKUP(F1202, 'RM &amp; SF'!B:H, 4, 0)</f>
        <v>غم</v>
      </c>
      <c r="J1202" s="88">
        <f t="shared" si="116"/>
        <v>4.14651002073255</v>
      </c>
      <c r="K1202" s="91">
        <f>VLOOKUP(F1202, 'RM &amp; SF'!B:H, 7, 0)</f>
        <v>3.8541666666666668E-3</v>
      </c>
      <c r="L1202" s="92">
        <f t="shared" si="111"/>
        <v>1.5981340704906703E-2</v>
      </c>
      <c r="M1202" s="30" t="s">
        <v>810</v>
      </c>
    </row>
    <row r="1203" spans="1:13" ht="15.75" customHeight="1">
      <c r="A1203" s="88" t="s">
        <v>3217</v>
      </c>
      <c r="B1203" s="88" t="s">
        <v>798</v>
      </c>
      <c r="D1203" s="88" t="s">
        <v>801</v>
      </c>
      <c r="E1203" s="30" t="s">
        <v>3058</v>
      </c>
      <c r="F1203" s="88">
        <v>4220</v>
      </c>
      <c r="G1203" s="30" t="str">
        <f>VLOOKUP(F1203, 'RM &amp; SF'!B:C, 2, 0)</f>
        <v>بابريكا حارة*****</v>
      </c>
      <c r="H1203" s="88">
        <v>7</v>
      </c>
      <c r="I1203" s="30" t="str">
        <f>VLOOKUP(F1203, 'RM &amp; SF'!B:H, 4, 0)</f>
        <v>غم</v>
      </c>
      <c r="J1203" s="88">
        <f t="shared" si="116"/>
        <v>4.8375950241879755</v>
      </c>
      <c r="K1203" s="91">
        <f>VLOOKUP(F1203, 'RM &amp; SF'!B:H, 7, 0)</f>
        <v>2.1549999999999998E-3</v>
      </c>
      <c r="L1203" s="92">
        <f t="shared" si="111"/>
        <v>1.0425017277125087E-2</v>
      </c>
      <c r="M1203" s="30" t="s">
        <v>810</v>
      </c>
    </row>
    <row r="1204" spans="1:13" ht="15.75" customHeight="1">
      <c r="A1204" s="88" t="s">
        <v>3217</v>
      </c>
      <c r="B1204" s="88" t="s">
        <v>798</v>
      </c>
      <c r="D1204" s="88" t="s">
        <v>801</v>
      </c>
      <c r="E1204" s="30" t="s">
        <v>3058</v>
      </c>
      <c r="F1204" s="88">
        <v>4228</v>
      </c>
      <c r="G1204" s="30" t="str">
        <f>VLOOKUP(F1204, 'RM &amp; SF'!B:C, 2, 0)</f>
        <v>حلبة*****</v>
      </c>
      <c r="H1204" s="88">
        <v>10</v>
      </c>
      <c r="I1204" s="30" t="str">
        <f>VLOOKUP(F1204, 'RM &amp; SF'!B:H, 4, 0)</f>
        <v>غم</v>
      </c>
      <c r="J1204" s="88">
        <f t="shared" si="116"/>
        <v>6.910850034554251</v>
      </c>
      <c r="K1204" s="91">
        <f>VLOOKUP(F1204, 'RM &amp; SF'!B:H, 7, 0)</f>
        <v>1.4660000000000001E-3</v>
      </c>
      <c r="L1204" s="92">
        <f t="shared" si="111"/>
        <v>1.0131306150656532E-2</v>
      </c>
      <c r="M1204" s="30" t="s">
        <v>810</v>
      </c>
    </row>
    <row r="1205" spans="1:13" ht="15.75" customHeight="1">
      <c r="A1205" s="88" t="s">
        <v>3217</v>
      </c>
      <c r="B1205" s="88" t="s">
        <v>798</v>
      </c>
      <c r="D1205" s="88" t="s">
        <v>801</v>
      </c>
      <c r="E1205" s="30" t="s">
        <v>2214</v>
      </c>
      <c r="F1205" s="88">
        <v>4223</v>
      </c>
      <c r="G1205" s="30" t="str">
        <f>VLOOKUP(F1205, 'RM &amp; SF'!B:C, 2, 0)</f>
        <v>بهارات كاري*****</v>
      </c>
      <c r="H1205" s="88">
        <v>2</v>
      </c>
      <c r="I1205" s="30" t="str">
        <f>VLOOKUP(F1205, 'RM &amp; SF'!B:H, 4, 0)</f>
        <v>غم</v>
      </c>
      <c r="J1205" s="88">
        <f t="shared" si="116"/>
        <v>1.38217000691085</v>
      </c>
      <c r="K1205" s="91">
        <f>VLOOKUP(F1205, 'RM &amp; SF'!B:H, 7, 0)</f>
        <v>2.2409999999999999E-3</v>
      </c>
      <c r="L1205" s="92">
        <f t="shared" si="111"/>
        <v>3.097442985487215E-3</v>
      </c>
      <c r="M1205" s="30" t="s">
        <v>810</v>
      </c>
    </row>
    <row r="1206" spans="1:13" ht="15.75" customHeight="1">
      <c r="A1206" s="88" t="s">
        <v>3217</v>
      </c>
      <c r="B1206" s="88" t="s">
        <v>798</v>
      </c>
      <c r="D1206" s="88" t="s">
        <v>801</v>
      </c>
      <c r="E1206" s="30" t="s">
        <v>2321</v>
      </c>
      <c r="F1206" s="67">
        <v>5292</v>
      </c>
      <c r="G1206" s="30" t="str">
        <f>VLOOKUP(F1206, 'RM &amp; SF'!B:C, 2, 0)</f>
        <v>ثوم مقشر*****</v>
      </c>
      <c r="H1206" s="88">
        <v>25</v>
      </c>
      <c r="I1206" s="30" t="str">
        <f>VLOOKUP(F1206, 'RM &amp; SF'!B:H, 4, 0)</f>
        <v>غم</v>
      </c>
      <c r="J1206" s="88">
        <f t="shared" si="116"/>
        <v>17.277125086385624</v>
      </c>
      <c r="K1206" s="91">
        <f>VLOOKUP(F1206, 'RM &amp; SF'!B:H, 7, 0)</f>
        <v>4.4999999999999997E-3</v>
      </c>
      <c r="L1206" s="92">
        <f t="shared" si="111"/>
        <v>7.7747062888735299E-2</v>
      </c>
      <c r="M1206" s="30" t="s">
        <v>810</v>
      </c>
    </row>
    <row r="1207" spans="1:13" ht="15.75" customHeight="1">
      <c r="A1207" s="88" t="s">
        <v>3217</v>
      </c>
      <c r="B1207" s="88" t="s">
        <v>798</v>
      </c>
      <c r="D1207" s="88" t="s">
        <v>801</v>
      </c>
      <c r="E1207" s="30" t="s">
        <v>2206</v>
      </c>
      <c r="F1207" s="88">
        <v>4204</v>
      </c>
      <c r="G1207" s="30" t="str">
        <f>VLOOKUP(F1207, 'RM &amp; SF'!B:C, 2, 0)</f>
        <v>فلفل اسود ناعم*****</v>
      </c>
      <c r="H1207" s="88">
        <v>1.5</v>
      </c>
      <c r="I1207" s="30" t="str">
        <f>VLOOKUP(F1207, 'RM &amp; SF'!B:H, 4, 0)</f>
        <v>غم</v>
      </c>
      <c r="J1207" s="88">
        <f t="shared" si="116"/>
        <v>1.0366275051831375</v>
      </c>
      <c r="K1207" s="91">
        <f>VLOOKUP(F1207, 'RM &amp; SF'!B:H, 7, 0)</f>
        <v>6.8970000000000004E-3</v>
      </c>
      <c r="L1207" s="92">
        <f t="shared" si="111"/>
        <v>7.1496199032480999E-3</v>
      </c>
      <c r="M1207" s="30" t="s">
        <v>810</v>
      </c>
    </row>
    <row r="1208" spans="1:13" ht="15.75" customHeight="1">
      <c r="A1208" s="88" t="s">
        <v>3217</v>
      </c>
      <c r="B1208" s="88" t="s">
        <v>798</v>
      </c>
      <c r="D1208" s="88" t="s">
        <v>801</v>
      </c>
      <c r="E1208" s="30" t="s">
        <v>3058</v>
      </c>
      <c r="F1208" s="88">
        <v>4198</v>
      </c>
      <c r="G1208" s="30" t="str">
        <f>VLOOKUP(F1208, 'RM &amp; SF'!B:C, 2, 0)</f>
        <v>صبغة صفراء بودرة*****</v>
      </c>
      <c r="H1208" s="88">
        <v>3</v>
      </c>
      <c r="I1208" s="30" t="str">
        <f>VLOOKUP(F1208, 'RM &amp; SF'!B:H, 4, 0)</f>
        <v>غم</v>
      </c>
      <c r="J1208" s="88">
        <f t="shared" si="116"/>
        <v>2.073255010366275</v>
      </c>
      <c r="K1208" s="91">
        <f>VLOOKUP(F1208, 'RM &amp; SF'!B:H, 7, 0)</f>
        <v>3.0169999999999997E-3</v>
      </c>
      <c r="L1208" s="92">
        <f t="shared" ref="L1208:L1219" si="117">K1208*J1208</f>
        <v>6.2550103662750512E-3</v>
      </c>
      <c r="M1208" s="30" t="s">
        <v>810</v>
      </c>
    </row>
    <row r="1209" spans="1:13" ht="15.75" customHeight="1">
      <c r="A1209" s="88" t="s">
        <v>3217</v>
      </c>
      <c r="B1209" s="88" t="s">
        <v>798</v>
      </c>
      <c r="D1209" s="88" t="s">
        <v>801</v>
      </c>
      <c r="E1209" s="30" t="s">
        <v>3058</v>
      </c>
      <c r="F1209" s="88">
        <v>4198</v>
      </c>
      <c r="G1209" s="30" t="str">
        <f>VLOOKUP(F1209, 'RM &amp; SF'!B:C, 2, 0)</f>
        <v>صبغة صفراء بودرة*****</v>
      </c>
      <c r="H1209" s="88">
        <v>4</v>
      </c>
      <c r="I1209" s="30" t="str">
        <f>VLOOKUP(F1209, 'RM &amp; SF'!B:H, 4, 0)</f>
        <v>غم</v>
      </c>
      <c r="J1209" s="88">
        <f t="shared" si="116"/>
        <v>2.7643400138217</v>
      </c>
      <c r="K1209" s="91">
        <f>VLOOKUP(F1209, 'RM &amp; SF'!B:H, 7, 0)</f>
        <v>3.0169999999999997E-3</v>
      </c>
      <c r="L1209" s="92">
        <f t="shared" si="117"/>
        <v>8.3400138217000677E-3</v>
      </c>
      <c r="M1209" s="30" t="s">
        <v>810</v>
      </c>
    </row>
    <row r="1210" spans="1:13" ht="15.75" customHeight="1">
      <c r="A1210" s="88" t="s">
        <v>3217</v>
      </c>
      <c r="B1210" s="88" t="s">
        <v>798</v>
      </c>
      <c r="D1210" s="88" t="s">
        <v>801</v>
      </c>
      <c r="E1210" s="30" t="s">
        <v>3058</v>
      </c>
      <c r="F1210" s="88">
        <v>4002</v>
      </c>
      <c r="G1210" s="30" t="str">
        <f>VLOOKUP(F1210, 'RM &amp; SF'!B:C, 2, 0)</f>
        <v>خل ابيض 3.7 لتر*****</v>
      </c>
      <c r="H1210" s="88">
        <v>35</v>
      </c>
      <c r="I1210" s="30" t="str">
        <f>VLOOKUP(F1210, 'RM &amp; SF'!B:H, 4, 0)</f>
        <v>مل</v>
      </c>
      <c r="J1210" s="88">
        <f t="shared" si="116"/>
        <v>24.187975120939878</v>
      </c>
      <c r="K1210" s="91">
        <f>VLOOKUP(F1210, 'RM &amp; SF'!B:H, 7, 0)</f>
        <v>2.9121621621621617E-4</v>
      </c>
      <c r="L1210" s="92">
        <f t="shared" si="117"/>
        <v>7.0439305926520849E-3</v>
      </c>
      <c r="M1210" s="30" t="s">
        <v>810</v>
      </c>
    </row>
    <row r="1211" spans="1:13" ht="15.75" customHeight="1">
      <c r="A1211" s="88" t="s">
        <v>3217</v>
      </c>
      <c r="B1211" s="88" t="s">
        <v>798</v>
      </c>
      <c r="D1211" s="88" t="s">
        <v>801</v>
      </c>
      <c r="E1211" s="30" t="s">
        <v>2260</v>
      </c>
      <c r="F1211" s="88">
        <v>4160</v>
      </c>
      <c r="G1211" s="30" t="str">
        <f>VLOOKUP(F1211, 'RM &amp; SF'!B:C, 2, 0)</f>
        <v>زيت صويا 18 لتر*****</v>
      </c>
      <c r="H1211" s="88">
        <v>25</v>
      </c>
      <c r="I1211" s="30" t="str">
        <f>VLOOKUP(F1211, 'RM &amp; SF'!B:H, 4, 0)</f>
        <v>مل</v>
      </c>
      <c r="J1211" s="88">
        <f t="shared" si="116"/>
        <v>17.277125086385624</v>
      </c>
      <c r="K1211" s="91">
        <f>VLOOKUP(F1211, 'RM &amp; SF'!B:H, 7, 0)</f>
        <v>1.335E-3</v>
      </c>
      <c r="L1211" s="92">
        <f t="shared" si="117"/>
        <v>2.3064961990324807E-2</v>
      </c>
      <c r="M1211" s="30" t="s">
        <v>810</v>
      </c>
    </row>
    <row r="1212" spans="1:13" ht="15.75" customHeight="1">
      <c r="A1212" s="88" t="s">
        <v>3217</v>
      </c>
      <c r="B1212" s="88" t="s">
        <v>798</v>
      </c>
      <c r="D1212" s="88" t="s">
        <v>801</v>
      </c>
      <c r="E1212" s="30" t="s">
        <v>3058</v>
      </c>
      <c r="F1212" s="88">
        <v>3</v>
      </c>
      <c r="G1212" s="30" t="str">
        <f>VLOOKUP(F1212, 'RM &amp; SF'!B:C, 2, 0)</f>
        <v>مياه حنفية</v>
      </c>
      <c r="H1212" s="88">
        <v>250</v>
      </c>
      <c r="I1212" s="30" t="str">
        <f>VLOOKUP(F1212, 'RM &amp; SF'!B:H, 4, 0)</f>
        <v>مل</v>
      </c>
      <c r="J1212" s="88">
        <f t="shared" si="116"/>
        <v>172.77125086385624</v>
      </c>
      <c r="K1212" s="91">
        <f>VLOOKUP(F1212, 'RM &amp; SF'!B:H, 7, 0)</f>
        <v>0</v>
      </c>
      <c r="L1212" s="92">
        <f t="shared" si="117"/>
        <v>0</v>
      </c>
      <c r="M1212" s="30" t="s">
        <v>810</v>
      </c>
    </row>
    <row r="1213" spans="1:13" ht="15.75" customHeight="1">
      <c r="A1213" s="88" t="s">
        <v>3217</v>
      </c>
      <c r="B1213" s="88" t="s">
        <v>798</v>
      </c>
      <c r="D1213" s="88" t="s">
        <v>801</v>
      </c>
      <c r="E1213" s="30" t="s">
        <v>3058</v>
      </c>
      <c r="F1213" s="88">
        <v>4191</v>
      </c>
      <c r="G1213" s="30" t="str">
        <f>VLOOKUP(F1213, 'RM &amp; SF'!B:C, 2, 0)</f>
        <v>جوزة الطيب مطحونة*****</v>
      </c>
      <c r="H1213" s="88">
        <v>7</v>
      </c>
      <c r="I1213" s="30" t="str">
        <f>VLOOKUP(F1213, 'RM &amp; SF'!B:H, 4, 0)</f>
        <v>غم</v>
      </c>
      <c r="J1213" s="88">
        <f t="shared" si="116"/>
        <v>4.8375950241879755</v>
      </c>
      <c r="K1213" s="91">
        <f>VLOOKUP(F1213, 'RM &amp; SF'!B:H, 7, 0)</f>
        <v>6.0339999999999994E-3</v>
      </c>
      <c r="L1213" s="92">
        <f t="shared" si="117"/>
        <v>2.9190048375950243E-2</v>
      </c>
      <c r="M1213" s="30" t="s">
        <v>810</v>
      </c>
    </row>
    <row r="1214" spans="1:13" ht="15.75" customHeight="1">
      <c r="A1214" s="88" t="s">
        <v>3217</v>
      </c>
      <c r="B1214" s="88" t="s">
        <v>798</v>
      </c>
      <c r="D1214" s="88" t="s">
        <v>801</v>
      </c>
      <c r="E1214" s="30" t="s">
        <v>3058</v>
      </c>
      <c r="F1214" s="88">
        <v>4249</v>
      </c>
      <c r="G1214" s="30" t="str">
        <f>VLOOKUP(F1214, 'RM &amp; SF'!B:C, 2, 0)</f>
        <v>كبش قرنفل مطحون*****</v>
      </c>
      <c r="H1214" s="88">
        <v>5</v>
      </c>
      <c r="I1214" s="30" t="str">
        <f>VLOOKUP(F1214, 'RM &amp; SF'!B:H, 4, 0)</f>
        <v>غم</v>
      </c>
      <c r="J1214" s="88">
        <f t="shared" si="116"/>
        <v>3.4554250172771255</v>
      </c>
      <c r="K1214" s="91">
        <f>VLOOKUP(F1214, 'RM &amp; SF'!B:H, 7, 0)</f>
        <v>1.0344799999999999E-2</v>
      </c>
      <c r="L1214" s="92">
        <f t="shared" si="117"/>
        <v>3.5745680718728405E-2</v>
      </c>
      <c r="M1214" s="30" t="s">
        <v>810</v>
      </c>
    </row>
    <row r="1215" spans="1:13" ht="15.75" customHeight="1">
      <c r="A1215" s="88" t="s">
        <v>3199</v>
      </c>
      <c r="B1215" s="88" t="s">
        <v>3042</v>
      </c>
      <c r="D1215" s="88" t="s">
        <v>3037</v>
      </c>
      <c r="E1215" s="30" t="s">
        <v>2341</v>
      </c>
      <c r="F1215" s="88" t="s">
        <v>706</v>
      </c>
      <c r="G1215" s="30" t="str">
        <f>VLOOKUP(F1215, 'RM &amp; SF'!B:C, 2, 0)</f>
        <v>لوز مقلي</v>
      </c>
      <c r="H1215" s="88">
        <v>60</v>
      </c>
      <c r="I1215" s="30" t="str">
        <f>VLOOKUP(F1215, 'RM &amp; SF'!B:H, 4, 0)</f>
        <v>غم</v>
      </c>
      <c r="J1215" s="88">
        <f>H1215/60</f>
        <v>1</v>
      </c>
      <c r="K1215" s="91">
        <f>VLOOKUP(F1215, 'RM &amp; SF'!B:H, 7, 0)</f>
        <v>4.1352327586206888E-3</v>
      </c>
      <c r="L1215" s="92">
        <f t="shared" si="117"/>
        <v>4.1352327586206888E-3</v>
      </c>
      <c r="M1215" s="30" t="s">
        <v>810</v>
      </c>
    </row>
    <row r="1216" spans="1:13" ht="15.75" customHeight="1">
      <c r="A1216" s="88" t="s">
        <v>3199</v>
      </c>
      <c r="B1216" s="88" t="s">
        <v>3042</v>
      </c>
      <c r="D1216" s="88" t="s">
        <v>3037</v>
      </c>
      <c r="E1216" s="30" t="s">
        <v>3058</v>
      </c>
      <c r="F1216" s="88">
        <v>4285</v>
      </c>
      <c r="G1216" s="30" t="str">
        <f>VLOOKUP(F1216, 'RM &amp; SF'!B:C, 2, 0)</f>
        <v>علب بلاستيك مربع متصل 150 مل*****</v>
      </c>
      <c r="H1216" s="88">
        <v>1</v>
      </c>
      <c r="I1216" s="30" t="str">
        <f>VLOOKUP(F1216, 'RM &amp; SF'!B:H, 4, 0)</f>
        <v>قطعة</v>
      </c>
      <c r="J1216" s="88">
        <f>H1216</f>
        <v>1</v>
      </c>
      <c r="K1216" s="91">
        <f>VLOOKUP(F1216, 'RM &amp; SF'!B:H, 7, 0)</f>
        <v>1.494E-2</v>
      </c>
      <c r="L1216" s="92">
        <f t="shared" si="117"/>
        <v>1.494E-2</v>
      </c>
      <c r="M1216" s="30" t="s">
        <v>810</v>
      </c>
    </row>
    <row r="1217" spans="1:13" ht="15.75" customHeight="1">
      <c r="A1217" s="88" t="s">
        <v>3200</v>
      </c>
      <c r="B1217" s="88" t="s">
        <v>3043</v>
      </c>
      <c r="D1217" s="88" t="s">
        <v>3038</v>
      </c>
      <c r="E1217" s="30" t="s">
        <v>2341</v>
      </c>
      <c r="F1217" s="88" t="s">
        <v>706</v>
      </c>
      <c r="G1217" s="30" t="str">
        <f>VLOOKUP(F1217, 'RM &amp; SF'!B:C, 2, 0)</f>
        <v>لوز مقلي</v>
      </c>
      <c r="H1217" s="88">
        <v>25</v>
      </c>
      <c r="I1217" s="30" t="str">
        <f>VLOOKUP(F1217, 'RM &amp; SF'!B:H, 4, 0)</f>
        <v>غم</v>
      </c>
      <c r="J1217" s="88">
        <f>H1217/60</f>
        <v>0.41666666666666669</v>
      </c>
      <c r="K1217" s="91">
        <f>VLOOKUP(F1217, 'RM &amp; SF'!B:H, 7, 0)</f>
        <v>4.1352327586206888E-3</v>
      </c>
      <c r="L1217" s="92">
        <f t="shared" si="117"/>
        <v>1.723013649425287E-3</v>
      </c>
      <c r="M1217" s="30" t="s">
        <v>810</v>
      </c>
    </row>
    <row r="1218" spans="1:13" ht="15.75" customHeight="1">
      <c r="A1218" s="88" t="s">
        <v>3200</v>
      </c>
      <c r="B1218" s="88" t="s">
        <v>3043</v>
      </c>
      <c r="D1218" s="88" t="s">
        <v>3038</v>
      </c>
      <c r="E1218" s="30" t="s">
        <v>3058</v>
      </c>
      <c r="F1218" s="88">
        <v>4289</v>
      </c>
      <c r="G1218" s="30" t="str">
        <f>VLOOKUP(F1218, 'RM &amp; SF'!B:C, 2, 0)</f>
        <v>علب صوص دائري منفصل أسود 30 مل 1*100 حبة*****</v>
      </c>
      <c r="H1218" s="88">
        <v>1</v>
      </c>
      <c r="I1218" s="30" t="str">
        <f>VLOOKUP(F1218, 'RM &amp; SF'!B:H, 4, 0)</f>
        <v>قطعة</v>
      </c>
      <c r="J1218" s="88">
        <f>H1218</f>
        <v>1</v>
      </c>
      <c r="K1218" s="91">
        <f>VLOOKUP(F1218, 'RM &amp; SF'!B:H, 7, 0)</f>
        <v>1.2E-2</v>
      </c>
      <c r="L1218" s="92">
        <f t="shared" si="117"/>
        <v>1.2E-2</v>
      </c>
      <c r="M1218" s="30" t="s">
        <v>810</v>
      </c>
    </row>
    <row r="1219" spans="1:13" ht="15.75" customHeight="1">
      <c r="A1219" s="88" t="s">
        <v>3201</v>
      </c>
      <c r="B1219" s="88" t="s">
        <v>2025</v>
      </c>
      <c r="D1219" s="88" t="s">
        <v>2024</v>
      </c>
      <c r="E1219" s="30" t="s">
        <v>3058</v>
      </c>
      <c r="F1219" s="88">
        <v>5430</v>
      </c>
      <c r="G1219" s="30" t="str">
        <f>VLOOKUP(F1219, 'RM &amp; SF'!B:C, 2, 0)</f>
        <v>نتر ملحمه</v>
      </c>
      <c r="H1219" s="88">
        <v>1000</v>
      </c>
      <c r="I1219" s="30" t="str">
        <f>VLOOKUP(F1219, 'RM &amp; SF'!B:H, 4, 0)</f>
        <v>غم</v>
      </c>
      <c r="J1219" s="88">
        <f>H1219</f>
        <v>1000</v>
      </c>
      <c r="K1219" s="91">
        <f>VLOOKUP(F1219, 'RM &amp; SF'!B:H, 7, 0)</f>
        <v>1E-3</v>
      </c>
      <c r="L1219" s="92">
        <f t="shared" si="117"/>
        <v>1</v>
      </c>
      <c r="M1219" s="30" t="s">
        <v>810</v>
      </c>
    </row>
    <row r="1220" spans="1:13" ht="15.75" customHeight="1">
      <c r="A1220" s="88" t="s">
        <v>3202</v>
      </c>
      <c r="B1220" s="88" t="s">
        <v>3057</v>
      </c>
      <c r="D1220" s="88" t="s">
        <v>3049</v>
      </c>
      <c r="E1220" s="30" t="s">
        <v>2263</v>
      </c>
      <c r="F1220" s="88">
        <v>4004</v>
      </c>
      <c r="G1220" s="30" t="str">
        <f>VLOOKUP(F1220, 'RM &amp; SF'!B:C, 2, 0)</f>
        <v>مايونيز جالون 3.78 لتر*****</v>
      </c>
      <c r="H1220" s="88">
        <v>3780</v>
      </c>
      <c r="I1220" s="30" t="str">
        <f>VLOOKUP(F1220, 'RM &amp; SF'!B:H, 4, 0)</f>
        <v>غم</v>
      </c>
      <c r="J1220" s="88">
        <v>531.64556962025313</v>
      </c>
      <c r="K1220" s="91">
        <f>VLOOKUP(F1220, 'RM &amp; SF'!B:H, 7, 0)</f>
        <v>2.4516E-3</v>
      </c>
      <c r="L1220" s="92">
        <f t="shared" ref="L1220:L1234" si="118">K1220*J1220</f>
        <v>1.3033822784810125</v>
      </c>
      <c r="M1220" s="30" t="s">
        <v>810</v>
      </c>
    </row>
    <row r="1221" spans="1:13" ht="15.75" customHeight="1">
      <c r="A1221" s="88" t="s">
        <v>3202</v>
      </c>
      <c r="B1221" s="88" t="s">
        <v>3057</v>
      </c>
      <c r="C1221" s="88" t="s">
        <v>3049</v>
      </c>
      <c r="D1221" s="88" t="s">
        <v>3049</v>
      </c>
      <c r="E1221" s="30" t="s">
        <v>2295</v>
      </c>
      <c r="F1221" s="88">
        <v>4795</v>
      </c>
      <c r="G1221" s="30" t="str">
        <f>VLOOKUP(F1221, 'RM &amp; SF'!B:C, 2, 0)</f>
        <v>دبس فليفلة حلوة 650 غم*****</v>
      </c>
      <c r="H1221" s="88">
        <v>360</v>
      </c>
      <c r="I1221" s="30" t="str">
        <f>VLOOKUP(F1221, 'RM &amp; SF'!B:H, 4, 0)</f>
        <v>غم</v>
      </c>
      <c r="J1221" s="88">
        <v>50.632911392405063</v>
      </c>
      <c r="K1221" s="91">
        <f>VLOOKUP(F1221, 'RM &amp; SF'!B:H, 7, 0)</f>
        <v>3.5918E-3</v>
      </c>
      <c r="L1221" s="92">
        <f t="shared" si="118"/>
        <v>0.18186329113924052</v>
      </c>
      <c r="M1221" s="30" t="s">
        <v>810</v>
      </c>
    </row>
    <row r="1222" spans="1:13" ht="15.75" customHeight="1">
      <c r="A1222" s="88" t="s">
        <v>3202</v>
      </c>
      <c r="B1222" s="88" t="s">
        <v>3057</v>
      </c>
      <c r="C1222" s="88" t="s">
        <v>3049</v>
      </c>
      <c r="D1222" s="88" t="s">
        <v>3049</v>
      </c>
      <c r="E1222" s="30" t="s">
        <v>3058</v>
      </c>
      <c r="F1222" s="88">
        <v>4045</v>
      </c>
      <c r="G1222" s="30" t="str">
        <f>VLOOKUP(F1222, 'RM &amp; SF'!B:C, 2, 0)</f>
        <v>معجون الطماطم 1375 غم*****</v>
      </c>
      <c r="H1222" s="88">
        <v>200</v>
      </c>
      <c r="I1222" s="30" t="str">
        <f>VLOOKUP(F1222, 'RM &amp; SF'!B:H, 4, 0)</f>
        <v>غم</v>
      </c>
      <c r="J1222" s="88">
        <v>28.129395218002813</v>
      </c>
      <c r="K1222" s="91">
        <f>VLOOKUP(F1222, 'RM &amp; SF'!B:H, 7, 0)</f>
        <v>1.3665999999999999E-3</v>
      </c>
      <c r="L1222" s="92">
        <f t="shared" si="118"/>
        <v>3.8441631504922642E-2</v>
      </c>
      <c r="M1222" s="30" t="s">
        <v>810</v>
      </c>
    </row>
    <row r="1223" spans="1:13" ht="15.75" customHeight="1">
      <c r="A1223" s="88" t="s">
        <v>3202</v>
      </c>
      <c r="B1223" s="88" t="s">
        <v>3057</v>
      </c>
      <c r="C1223" s="88" t="s">
        <v>3049</v>
      </c>
      <c r="D1223" s="88" t="s">
        <v>3049</v>
      </c>
      <c r="E1223" s="30" t="s">
        <v>2264</v>
      </c>
      <c r="F1223" s="88">
        <v>4005</v>
      </c>
      <c r="G1223" s="30" t="str">
        <f>VLOOKUP(F1223, 'RM &amp; SF'!B:C, 2, 0)</f>
        <v>خردل جالون 2.98 كغ*****</v>
      </c>
      <c r="H1223" s="88">
        <v>150</v>
      </c>
      <c r="I1223" s="30" t="str">
        <f>VLOOKUP(F1223, 'RM &amp; SF'!B:H, 4, 0)</f>
        <v>غم</v>
      </c>
      <c r="J1223" s="88">
        <v>21.09704641350211</v>
      </c>
      <c r="K1223" s="91">
        <f>VLOOKUP(F1223, 'RM &amp; SF'!B:H, 7, 0)</f>
        <v>2.1689999999999999E-3</v>
      </c>
      <c r="L1223" s="92">
        <f t="shared" si="118"/>
        <v>4.5759493670886074E-2</v>
      </c>
      <c r="M1223" s="30" t="s">
        <v>810</v>
      </c>
    </row>
    <row r="1224" spans="1:13" ht="15.75" customHeight="1">
      <c r="A1224" s="88" t="s">
        <v>3202</v>
      </c>
      <c r="B1224" s="88" t="s">
        <v>3057</v>
      </c>
      <c r="C1224" s="88" t="s">
        <v>3049</v>
      </c>
      <c r="D1224" s="88" t="s">
        <v>3049</v>
      </c>
      <c r="E1224" s="30" t="s">
        <v>2288</v>
      </c>
      <c r="F1224" s="88">
        <v>4219</v>
      </c>
      <c r="G1224" s="30" t="str">
        <f>VLOOKUP(F1224, 'RM &amp; SF'!B:C, 2, 0)</f>
        <v>بابريكا حلوة*****</v>
      </c>
      <c r="H1224" s="88">
        <v>50</v>
      </c>
      <c r="I1224" s="30" t="str">
        <f>VLOOKUP(F1224, 'RM &amp; SF'!B:H, 4, 0)</f>
        <v>غم</v>
      </c>
      <c r="J1224" s="88">
        <v>7.0323488045007032</v>
      </c>
      <c r="K1224" s="91">
        <f>VLOOKUP(F1224, 'RM &amp; SF'!B:H, 7, 0)</f>
        <v>2.5859999999999998E-3</v>
      </c>
      <c r="L1224" s="92">
        <f t="shared" si="118"/>
        <v>1.8185654008438818E-2</v>
      </c>
      <c r="M1224" s="30" t="s">
        <v>810</v>
      </c>
    </row>
    <row r="1225" spans="1:13" ht="15.75" customHeight="1">
      <c r="A1225" s="88" t="s">
        <v>3202</v>
      </c>
      <c r="B1225" s="88" t="s">
        <v>3057</v>
      </c>
      <c r="C1225" s="88" t="s">
        <v>3049</v>
      </c>
      <c r="D1225" s="88" t="s">
        <v>3049</v>
      </c>
      <c r="E1225" s="30" t="s">
        <v>2203</v>
      </c>
      <c r="F1225" s="88">
        <v>4152</v>
      </c>
      <c r="G1225" s="30" t="str">
        <f>VLOOKUP(F1225, 'RM &amp; SF'!B:C, 2, 0)</f>
        <v>ملح طعام 750غم*****</v>
      </c>
      <c r="H1225" s="88">
        <v>30</v>
      </c>
      <c r="I1225" s="30" t="str">
        <f>VLOOKUP(F1225, 'RM &amp; SF'!B:H, 4, 0)</f>
        <v>غم</v>
      </c>
      <c r="J1225" s="88">
        <v>4.2194092827004219</v>
      </c>
      <c r="K1225" s="91">
        <f>VLOOKUP(F1225, 'RM &amp; SF'!B:H, 7, 0)</f>
        <v>1.7066666666666665E-4</v>
      </c>
      <c r="L1225" s="92">
        <f t="shared" si="118"/>
        <v>7.201125175808719E-4</v>
      </c>
      <c r="M1225" s="30" t="s">
        <v>810</v>
      </c>
    </row>
    <row r="1226" spans="1:13" ht="15.75" customHeight="1">
      <c r="A1226" s="88" t="s">
        <v>3202</v>
      </c>
      <c r="B1226" s="88" t="s">
        <v>3057</v>
      </c>
      <c r="C1226" s="88" t="s">
        <v>3049</v>
      </c>
      <c r="D1226" s="88" t="s">
        <v>3049</v>
      </c>
      <c r="E1226" s="30" t="s">
        <v>2206</v>
      </c>
      <c r="F1226" s="88">
        <v>4204</v>
      </c>
      <c r="G1226" s="30" t="str">
        <f>VLOOKUP(F1226, 'RM &amp; SF'!B:C, 2, 0)</f>
        <v>فلفل اسود ناعم*****</v>
      </c>
      <c r="H1226" s="88">
        <v>10</v>
      </c>
      <c r="I1226" s="30" t="str">
        <f>VLOOKUP(F1226, 'RM &amp; SF'!B:H, 4, 0)</f>
        <v>غم</v>
      </c>
      <c r="J1226" s="88">
        <v>1.4064697609001406</v>
      </c>
      <c r="K1226" s="91">
        <f>VLOOKUP(F1226, 'RM &amp; SF'!B:H, 7, 0)</f>
        <v>6.8970000000000004E-3</v>
      </c>
      <c r="L1226" s="92">
        <f t="shared" si="118"/>
        <v>9.7004219409282701E-3</v>
      </c>
      <c r="M1226" s="30" t="s">
        <v>810</v>
      </c>
    </row>
    <row r="1227" spans="1:13" ht="15.75" customHeight="1">
      <c r="A1227" s="88" t="s">
        <v>3202</v>
      </c>
      <c r="B1227" s="88" t="s">
        <v>3057</v>
      </c>
      <c r="C1227" s="88" t="s">
        <v>3049</v>
      </c>
      <c r="D1227" s="88" t="s">
        <v>3049</v>
      </c>
      <c r="E1227" s="30" t="s">
        <v>2269</v>
      </c>
      <c r="F1227" s="88">
        <v>4011</v>
      </c>
      <c r="G1227" s="30" t="str">
        <f>VLOOKUP(F1227, 'RM &amp; SF'!B:C, 2, 0)</f>
        <v>كاتشب طماطم 5 كغ*****</v>
      </c>
      <c r="H1227" s="88">
        <v>1000</v>
      </c>
      <c r="I1227" s="30" t="str">
        <f>VLOOKUP(F1227, 'RM &amp; SF'!B:H, 4, 0)</f>
        <v>غم</v>
      </c>
      <c r="J1227" s="88">
        <v>140.64697609001405</v>
      </c>
      <c r="K1227" s="91">
        <f>VLOOKUP(F1227, 'RM &amp; SF'!B:H, 7, 0)</f>
        <v>6.8959999999999996E-4</v>
      </c>
      <c r="L1227" s="92">
        <f t="shared" si="118"/>
        <v>9.6990154711673687E-2</v>
      </c>
      <c r="M1227" s="30" t="s">
        <v>810</v>
      </c>
    </row>
    <row r="1228" spans="1:13" ht="15.75" customHeight="1">
      <c r="A1228" s="88" t="s">
        <v>3202</v>
      </c>
      <c r="B1228" s="88" t="s">
        <v>3057</v>
      </c>
      <c r="C1228" s="88" t="s">
        <v>3049</v>
      </c>
      <c r="D1228" s="88" t="s">
        <v>3049</v>
      </c>
      <c r="E1228" s="30" t="s">
        <v>2222</v>
      </c>
      <c r="F1228" s="88">
        <v>4240</v>
      </c>
      <c r="G1228" s="30" t="str">
        <f>VLOOKUP(F1228, 'RM &amp; SF'!B:C, 2, 0)</f>
        <v>كركم ناعم*****</v>
      </c>
      <c r="H1228" s="88">
        <v>20</v>
      </c>
      <c r="I1228" s="30" t="str">
        <f>VLOOKUP(F1228, 'RM &amp; SF'!B:H, 4, 0)</f>
        <v>غم</v>
      </c>
      <c r="J1228" s="88">
        <v>2.8129395218002813</v>
      </c>
      <c r="K1228" s="91">
        <f>VLOOKUP(F1228, 'RM &amp; SF'!B:H, 7, 0)</f>
        <v>1.9399999999999999E-3</v>
      </c>
      <c r="L1228" s="92">
        <f t="shared" si="118"/>
        <v>5.4571026722925456E-3</v>
      </c>
      <c r="M1228" s="30" t="s">
        <v>810</v>
      </c>
    </row>
    <row r="1229" spans="1:13" ht="15.75" customHeight="1">
      <c r="A1229" s="88" t="s">
        <v>3202</v>
      </c>
      <c r="B1229" s="88" t="s">
        <v>3057</v>
      </c>
      <c r="C1229" s="88" t="s">
        <v>3049</v>
      </c>
      <c r="D1229" s="88" t="s">
        <v>3049</v>
      </c>
      <c r="E1229" s="30" t="s">
        <v>2266</v>
      </c>
      <c r="F1229" s="88">
        <v>4008</v>
      </c>
      <c r="G1229" s="30" t="str">
        <f>VLOOKUP(F1229, 'RM &amp; SF'!B:C, 2, 0)</f>
        <v>صويا صوص 3.79 لتر*****</v>
      </c>
      <c r="H1229" s="88">
        <v>50</v>
      </c>
      <c r="I1229" s="30" t="str">
        <f>VLOOKUP(F1229, 'RM &amp; SF'!B:H, 4, 0)</f>
        <v>مل</v>
      </c>
      <c r="J1229" s="88">
        <v>7.0323488045007032</v>
      </c>
      <c r="K1229" s="91">
        <f>VLOOKUP(F1229, 'RM &amp; SF'!B:H, 7, 0)</f>
        <v>3.0699999999999998E-3</v>
      </c>
      <c r="L1229" s="92">
        <f t="shared" si="118"/>
        <v>2.1589310829817156E-2</v>
      </c>
      <c r="M1229" s="30" t="s">
        <v>810</v>
      </c>
    </row>
    <row r="1230" spans="1:13" ht="15.75" customHeight="1">
      <c r="A1230" s="88" t="s">
        <v>3202</v>
      </c>
      <c r="B1230" s="88" t="s">
        <v>3057</v>
      </c>
      <c r="C1230" s="88" t="s">
        <v>3049</v>
      </c>
      <c r="D1230" s="88" t="s">
        <v>3049</v>
      </c>
      <c r="E1230" s="30" t="s">
        <v>2297</v>
      </c>
      <c r="F1230" s="88">
        <v>4870</v>
      </c>
      <c r="G1230" s="30" t="str">
        <f>VLOOKUP(F1230, 'RM &amp; SF'!B:C, 2, 0)</f>
        <v>مخلل الهمبرجر شرائح (تشيبس) بنكهة الشبت 1100 غم = الوزن المصفى*****</v>
      </c>
      <c r="H1230" s="88">
        <v>1250</v>
      </c>
      <c r="I1230" s="30" t="str">
        <f>VLOOKUP(F1230, 'RM &amp; SF'!B:H, 4, 0)</f>
        <v>غم</v>
      </c>
      <c r="J1230" s="88">
        <v>175.80872011251759</v>
      </c>
      <c r="K1230" s="91">
        <f>VLOOKUP(F1230, 'RM &amp; SF'!B:H, 7, 0)</f>
        <v>2.568E-3</v>
      </c>
      <c r="L1230" s="92">
        <f t="shared" si="118"/>
        <v>0.45147679324894519</v>
      </c>
      <c r="M1230" s="30" t="s">
        <v>810</v>
      </c>
    </row>
    <row r="1231" spans="1:13" ht="15.75" customHeight="1">
      <c r="A1231" s="88" t="s">
        <v>3202</v>
      </c>
      <c r="B1231" s="88" t="s">
        <v>3057</v>
      </c>
      <c r="C1231" s="88" t="s">
        <v>3049</v>
      </c>
      <c r="D1231" s="88" t="s">
        <v>3049</v>
      </c>
      <c r="E1231" s="30" t="s">
        <v>3058</v>
      </c>
      <c r="F1231" s="88">
        <v>4022</v>
      </c>
      <c r="G1231" s="30" t="str">
        <f>VLOOKUP(F1231, 'RM &amp; SF'!B:C, 2, 0)</f>
        <v>مرق الدجاج بودرة 1 كغ*****</v>
      </c>
      <c r="H1231" s="88">
        <v>20</v>
      </c>
      <c r="I1231" s="30" t="str">
        <f>VLOOKUP(F1231, 'RM &amp; SF'!B:H, 4, 0)</f>
        <v>غم</v>
      </c>
      <c r="J1231" s="88">
        <v>2.8129395218002813</v>
      </c>
      <c r="K1231" s="91">
        <f>VLOOKUP(F1231, 'RM &amp; SF'!B:H, 7, 0)</f>
        <v>4.7054597701149427E-3</v>
      </c>
      <c r="L1231" s="92">
        <f t="shared" si="118"/>
        <v>1.3236173755597588E-2</v>
      </c>
      <c r="M1231" s="30" t="s">
        <v>810</v>
      </c>
    </row>
    <row r="1232" spans="1:13" ht="15.75" customHeight="1">
      <c r="A1232" s="88" t="s">
        <v>3202</v>
      </c>
      <c r="B1232" s="88" t="s">
        <v>3057</v>
      </c>
      <c r="C1232" s="88" t="s">
        <v>3049</v>
      </c>
      <c r="D1232" s="88" t="s">
        <v>3049</v>
      </c>
      <c r="E1232" s="30" t="s">
        <v>2220</v>
      </c>
      <c r="F1232" s="88">
        <v>4236</v>
      </c>
      <c r="G1232" s="30" t="str">
        <f>VLOOKUP(F1232, 'RM &amp; SF'!B:C, 2, 0)</f>
        <v>بصل ناعم*****</v>
      </c>
      <c r="H1232" s="88">
        <v>20</v>
      </c>
      <c r="I1232" s="30" t="str">
        <f>VLOOKUP(F1232, 'RM &amp; SF'!B:H, 4, 0)</f>
        <v>غم</v>
      </c>
      <c r="J1232" s="88">
        <v>2.8129395218002813</v>
      </c>
      <c r="K1232" s="91">
        <f>VLOOKUP(F1232, 'RM &amp; SF'!B:H, 7, 0)</f>
        <v>2.3709999999999998E-3</v>
      </c>
      <c r="L1232" s="92">
        <f t="shared" si="118"/>
        <v>6.6694796061884665E-3</v>
      </c>
      <c r="M1232" s="30" t="s">
        <v>810</v>
      </c>
    </row>
    <row r="1233" spans="1:13" ht="15.75" customHeight="1">
      <c r="A1233" s="88" t="s">
        <v>3202</v>
      </c>
      <c r="B1233" s="88" t="s">
        <v>3057</v>
      </c>
      <c r="C1233" s="88" t="s">
        <v>3049</v>
      </c>
      <c r="D1233" s="88" t="s">
        <v>3049</v>
      </c>
      <c r="E1233" s="30" t="s">
        <v>2221</v>
      </c>
      <c r="F1233" s="88">
        <v>4237</v>
      </c>
      <c r="G1233" s="30" t="str">
        <f>VLOOKUP(F1233, 'RM &amp; SF'!B:C, 2, 0)</f>
        <v>ثوم ناعم*****</v>
      </c>
      <c r="H1233" s="88">
        <v>20</v>
      </c>
      <c r="I1233" s="30" t="str">
        <f>VLOOKUP(F1233, 'RM &amp; SF'!B:H, 4, 0)</f>
        <v>غم</v>
      </c>
      <c r="J1233" s="88">
        <v>2.8129395218002813</v>
      </c>
      <c r="K1233" s="91">
        <f>VLOOKUP(F1233, 'RM &amp; SF'!B:H, 7, 0)</f>
        <v>2.3709999999999998E-3</v>
      </c>
      <c r="L1233" s="92">
        <f t="shared" si="118"/>
        <v>6.6694796061884665E-3</v>
      </c>
      <c r="M1233" s="30" t="s">
        <v>810</v>
      </c>
    </row>
    <row r="1234" spans="1:13" ht="15.75" customHeight="1">
      <c r="A1234" s="88" t="s">
        <v>3202</v>
      </c>
      <c r="B1234" s="88" t="s">
        <v>3057</v>
      </c>
      <c r="C1234" s="88" t="s">
        <v>3049</v>
      </c>
      <c r="D1234" s="88" t="s">
        <v>3049</v>
      </c>
      <c r="E1234" s="30" t="s">
        <v>2260</v>
      </c>
      <c r="F1234" s="88">
        <v>4160</v>
      </c>
      <c r="G1234" s="30" t="str">
        <f>VLOOKUP(F1234, 'RM &amp; SF'!B:C, 2, 0)</f>
        <v>زيت صويا 18 لتر*****</v>
      </c>
      <c r="H1234" s="88">
        <v>150</v>
      </c>
      <c r="I1234" s="30" t="str">
        <f>VLOOKUP(F1234, 'RM &amp; SF'!B:H, 4, 0)</f>
        <v>مل</v>
      </c>
      <c r="J1234" s="88">
        <v>21.09704641350211</v>
      </c>
      <c r="K1234" s="91">
        <f>VLOOKUP(F1234, 'RM &amp; SF'!B:H, 7, 0)</f>
        <v>1.335E-3</v>
      </c>
      <c r="L1234" s="92">
        <f t="shared" si="118"/>
        <v>2.8164556962025317E-2</v>
      </c>
      <c r="M1234" s="30" t="s">
        <v>810</v>
      </c>
    </row>
    <row r="1235" spans="1:13" ht="15.75" customHeight="1">
      <c r="A1235" s="88" t="s">
        <v>3203</v>
      </c>
      <c r="B1235" s="88">
        <v>1212121515</v>
      </c>
      <c r="D1235" s="88" t="s">
        <v>3181</v>
      </c>
      <c r="E1235" s="88" t="s">
        <v>3180</v>
      </c>
      <c r="F1235" s="88">
        <v>4250</v>
      </c>
      <c r="G1235" s="30" t="str">
        <f>VLOOKUP(F1235, 'RM &amp; SF'!B:C, 2, 0)</f>
        <v>بهارات مدخنة*****</v>
      </c>
      <c r="H1235" s="88">
        <v>90</v>
      </c>
      <c r="I1235" s="30" t="str">
        <f>VLOOKUP(F1235, 'RM &amp; SF'!B:H, 4, 0)</f>
        <v>غم</v>
      </c>
      <c r="J1235" s="88">
        <v>13.657056145675266</v>
      </c>
      <c r="K1235" s="91">
        <f>VLOOKUP(F1235, 'RM &amp; SF'!B:H, 7, 0)</f>
        <v>3.8790000000000001E-3</v>
      </c>
      <c r="L1235" s="92">
        <f t="shared" ref="L1235:L1242" si="119">K1235*J1235</f>
        <v>5.2975720789074358E-2</v>
      </c>
      <c r="M1235" s="30" t="s">
        <v>810</v>
      </c>
    </row>
    <row r="1236" spans="1:13" ht="15.75" customHeight="1">
      <c r="A1236" s="88" t="s">
        <v>3203</v>
      </c>
      <c r="B1236" s="88">
        <v>1212121515</v>
      </c>
      <c r="D1236" s="88" t="s">
        <v>3181</v>
      </c>
      <c r="E1236" s="88" t="s">
        <v>3180</v>
      </c>
      <c r="F1236" s="88">
        <v>4505</v>
      </c>
      <c r="G1236" s="30" t="str">
        <f>VLOOKUP(F1236, 'RM &amp; SF'!B:C, 2, 0)</f>
        <v>ثوم طازج كامل*****</v>
      </c>
      <c r="H1236" s="88">
        <v>150</v>
      </c>
      <c r="I1236" s="30" t="str">
        <f>VLOOKUP(F1236, 'RM &amp; SF'!B:H, 4, 0)</f>
        <v>غم</v>
      </c>
      <c r="J1236" s="88">
        <v>22.761760242792107</v>
      </c>
      <c r="K1236" s="91">
        <f>VLOOKUP(F1236, 'RM &amp; SF'!B:H, 7, 0)</f>
        <v>3.5000000000000001E-3</v>
      </c>
      <c r="L1236" s="92">
        <f t="shared" si="119"/>
        <v>7.9666160849772377E-2</v>
      </c>
      <c r="M1236" s="30" t="s">
        <v>810</v>
      </c>
    </row>
    <row r="1237" spans="1:13" ht="15.75" customHeight="1">
      <c r="A1237" s="88" t="s">
        <v>3203</v>
      </c>
      <c r="B1237" s="88">
        <v>1212121515</v>
      </c>
      <c r="D1237" s="88" t="s">
        <v>3181</v>
      </c>
      <c r="E1237" s="88" t="s">
        <v>3180</v>
      </c>
      <c r="F1237" s="88">
        <v>4004</v>
      </c>
      <c r="G1237" s="30" t="str">
        <f>VLOOKUP(F1237, 'RM &amp; SF'!B:C, 2, 0)</f>
        <v>مايونيز جالون 3.78 لتر*****</v>
      </c>
      <c r="H1237" s="88">
        <v>1250</v>
      </c>
      <c r="I1237" s="30" t="str">
        <f>VLOOKUP(F1237, 'RM &amp; SF'!B:H, 4, 0)</f>
        <v>غم</v>
      </c>
      <c r="J1237" s="88">
        <v>189.68133535660093</v>
      </c>
      <c r="K1237" s="91">
        <f>VLOOKUP(F1237, 'RM &amp; SF'!B:H, 7, 0)</f>
        <v>2.4516E-3</v>
      </c>
      <c r="L1237" s="92">
        <f t="shared" si="119"/>
        <v>0.46502276176024282</v>
      </c>
      <c r="M1237" s="30" t="s">
        <v>810</v>
      </c>
    </row>
    <row r="1238" spans="1:13" ht="15.75" customHeight="1">
      <c r="A1238" s="88" t="s">
        <v>3203</v>
      </c>
      <c r="B1238" s="88">
        <v>1212121515</v>
      </c>
      <c r="D1238" s="88" t="s">
        <v>3181</v>
      </c>
      <c r="E1238" s="88" t="s">
        <v>3180</v>
      </c>
      <c r="F1238" s="88">
        <v>4005</v>
      </c>
      <c r="G1238" s="30" t="str">
        <f>VLOOKUP(F1238, 'RM &amp; SF'!B:C, 2, 0)</f>
        <v>خردل جالون 2.98 كغ*****</v>
      </c>
      <c r="H1238" s="88">
        <v>600</v>
      </c>
      <c r="I1238" s="30" t="str">
        <f>VLOOKUP(F1238, 'RM &amp; SF'!B:H, 4, 0)</f>
        <v>غم</v>
      </c>
      <c r="J1238" s="88">
        <v>91.047040971168428</v>
      </c>
      <c r="K1238" s="91">
        <f>VLOOKUP(F1238, 'RM &amp; SF'!B:H, 7, 0)</f>
        <v>2.1689999999999999E-3</v>
      </c>
      <c r="L1238" s="92">
        <f t="shared" si="119"/>
        <v>0.19748103186646432</v>
      </c>
      <c r="M1238" s="30" t="s">
        <v>810</v>
      </c>
    </row>
    <row r="1239" spans="1:13" ht="15.75" customHeight="1">
      <c r="A1239" s="88" t="s">
        <v>3203</v>
      </c>
      <c r="B1239" s="88">
        <v>1212121515</v>
      </c>
      <c r="D1239" s="88" t="s">
        <v>3181</v>
      </c>
      <c r="E1239" s="88" t="s">
        <v>3180</v>
      </c>
      <c r="F1239" s="88">
        <v>4009</v>
      </c>
      <c r="G1239" s="30" t="str">
        <f>VLOOKUP(F1239, 'RM &amp; SF'!B:C, 2, 0)</f>
        <v>باربكيو صوص 3.79 لتر*****</v>
      </c>
      <c r="H1239" s="88">
        <v>2000</v>
      </c>
      <c r="I1239" s="30" t="str">
        <f>VLOOKUP(F1239, 'RM &amp; SF'!B:H, 4, 0)</f>
        <v>غم</v>
      </c>
      <c r="J1239" s="88">
        <v>303.49013657056145</v>
      </c>
      <c r="K1239" s="91">
        <f>VLOOKUP(F1239, 'RM &amp; SF'!B:H, 7, 0)</f>
        <v>3.4118E-3</v>
      </c>
      <c r="L1239" s="92">
        <f t="shared" si="119"/>
        <v>1.0354476479514416</v>
      </c>
      <c r="M1239" s="30" t="s">
        <v>810</v>
      </c>
    </row>
    <row r="1240" spans="1:13" ht="15.75" customHeight="1">
      <c r="A1240" s="88" t="s">
        <v>3203</v>
      </c>
      <c r="B1240" s="88">
        <v>1212121515</v>
      </c>
      <c r="D1240" s="88" t="s">
        <v>3181</v>
      </c>
      <c r="E1240" s="88" t="s">
        <v>3180</v>
      </c>
      <c r="F1240" s="88">
        <v>4011</v>
      </c>
      <c r="G1240" s="30" t="str">
        <f>VLOOKUP(F1240, 'RM &amp; SF'!B:C, 2, 0)</f>
        <v>كاتشب طماطم 5 كغ*****</v>
      </c>
      <c r="H1240" s="88">
        <v>1750</v>
      </c>
      <c r="I1240" s="30" t="str">
        <f>VLOOKUP(F1240, 'RM &amp; SF'!B:H, 4, 0)</f>
        <v>غم</v>
      </c>
      <c r="J1240" s="88">
        <v>265.55386949924127</v>
      </c>
      <c r="K1240" s="91">
        <f>VLOOKUP(F1240, 'RM &amp; SF'!B:H, 7, 0)</f>
        <v>6.8959999999999996E-4</v>
      </c>
      <c r="L1240" s="92">
        <f t="shared" si="119"/>
        <v>0.18312594840667676</v>
      </c>
      <c r="M1240" s="30" t="s">
        <v>810</v>
      </c>
    </row>
    <row r="1241" spans="1:13" ht="15.75" customHeight="1">
      <c r="A1241" s="88" t="s">
        <v>3203</v>
      </c>
      <c r="B1241" s="88">
        <v>1212121515</v>
      </c>
      <c r="D1241" s="88" t="s">
        <v>3181</v>
      </c>
      <c r="E1241" s="88" t="s">
        <v>3180</v>
      </c>
      <c r="F1241" s="88">
        <v>4795</v>
      </c>
      <c r="G1241" s="30" t="str">
        <f>VLOOKUP(F1241, 'RM &amp; SF'!B:C, 2, 0)</f>
        <v>دبس فليفلة حلوة 650 غم*****</v>
      </c>
      <c r="H1241" s="88">
        <v>500</v>
      </c>
      <c r="I1241" s="30" t="str">
        <f>VLOOKUP(F1241, 'RM &amp; SF'!B:H, 4, 0)</f>
        <v>غم</v>
      </c>
      <c r="J1241" s="88">
        <v>75.872534142640362</v>
      </c>
      <c r="K1241" s="91">
        <f>VLOOKUP(F1241, 'RM &amp; SF'!B:H, 7, 0)</f>
        <v>3.5918E-3</v>
      </c>
      <c r="L1241" s="92">
        <f t="shared" si="119"/>
        <v>0.27251896813353566</v>
      </c>
      <c r="M1241" s="30" t="s">
        <v>810</v>
      </c>
    </row>
    <row r="1242" spans="1:13" ht="15.75" customHeight="1">
      <c r="A1242" s="88" t="s">
        <v>3203</v>
      </c>
      <c r="B1242" s="88">
        <v>1212121515</v>
      </c>
      <c r="D1242" s="88" t="s">
        <v>3181</v>
      </c>
      <c r="E1242" s="88" t="s">
        <v>3180</v>
      </c>
      <c r="F1242" s="88">
        <v>4255</v>
      </c>
      <c r="G1242" s="30" t="str">
        <f>VLOOKUP(F1242, 'RM &amp; SF'!B:C, 2, 0)</f>
        <v>هلابينيو ناشف*****</v>
      </c>
      <c r="H1242" s="88">
        <v>250</v>
      </c>
      <c r="I1242" s="30" t="str">
        <f>VLOOKUP(F1242, 'RM &amp; SF'!B:H, 4, 0)</f>
        <v>غم</v>
      </c>
      <c r="J1242" s="88">
        <v>37.936267071320181</v>
      </c>
      <c r="K1242" s="91">
        <f>VLOOKUP(F1242, 'RM &amp; SF'!B:H, 7, 0)</f>
        <v>2E-3</v>
      </c>
      <c r="L1242" s="92">
        <f t="shared" si="119"/>
        <v>7.5872534142640363E-2</v>
      </c>
      <c r="M1242" s="30" t="s">
        <v>810</v>
      </c>
    </row>
    <row r="1243" spans="1:13" ht="15.75" customHeight="1">
      <c r="H1243" s="88">
        <f>SUBTOTAL(9,H14:H23)</f>
        <v>1076.8518518518515</v>
      </c>
      <c r="L1243" s="88">
        <f>SUBTOTAL(9,L2:L1242)</f>
        <v>366.59565183063376</v>
      </c>
    </row>
  </sheetData>
  <autoFilter ref="A1:AB1242" xr:uid="{00000000-0001-0000-0800-000000000000}"/>
  <phoneticPr fontId="17" type="noConversion"/>
  <conditionalFormatting sqref="B426:C426">
    <cfRule type="duplicateValues" dxfId="328" priority="103"/>
    <cfRule type="duplicateValues" dxfId="327" priority="102"/>
  </conditionalFormatting>
  <conditionalFormatting sqref="F608">
    <cfRule type="duplicateValues" dxfId="326" priority="41"/>
    <cfRule type="duplicateValues" dxfId="325" priority="39"/>
    <cfRule type="duplicateValues" dxfId="324" priority="40"/>
  </conditionalFormatting>
  <conditionalFormatting sqref="F629">
    <cfRule type="duplicateValues" dxfId="323" priority="36"/>
    <cfRule type="duplicateValues" dxfId="322" priority="37"/>
    <cfRule type="duplicateValues" dxfId="321" priority="38"/>
  </conditionalFormatting>
  <conditionalFormatting sqref="F673">
    <cfRule type="duplicateValues" dxfId="320" priority="137"/>
    <cfRule type="duplicateValues" dxfId="319" priority="120"/>
  </conditionalFormatting>
  <conditionalFormatting sqref="F674">
    <cfRule type="duplicateValues" dxfId="318" priority="116"/>
    <cfRule type="duplicateValues" dxfId="317" priority="115"/>
  </conditionalFormatting>
  <conditionalFormatting sqref="F696">
    <cfRule type="duplicateValues" dxfId="316" priority="92"/>
    <cfRule type="duplicateValues" dxfId="315" priority="91"/>
  </conditionalFormatting>
  <conditionalFormatting sqref="F702">
    <cfRule type="duplicateValues" dxfId="314" priority="90"/>
    <cfRule type="duplicateValues" dxfId="313" priority="89"/>
  </conditionalFormatting>
  <conditionalFormatting sqref="F703">
    <cfRule type="duplicateValues" dxfId="312" priority="88"/>
    <cfRule type="duplicateValues" dxfId="311" priority="87"/>
  </conditionalFormatting>
  <conditionalFormatting sqref="F717">
    <cfRule type="duplicateValues" dxfId="310" priority="33"/>
    <cfRule type="duplicateValues" dxfId="309" priority="34"/>
    <cfRule type="duplicateValues" dxfId="308" priority="35"/>
  </conditionalFormatting>
  <conditionalFormatting sqref="F792">
    <cfRule type="duplicateValues" dxfId="307" priority="29"/>
    <cfRule type="duplicateValues" dxfId="306" priority="27"/>
    <cfRule type="duplicateValues" dxfId="305" priority="28"/>
  </conditionalFormatting>
  <conditionalFormatting sqref="F826">
    <cfRule type="duplicateValues" dxfId="304" priority="24"/>
    <cfRule type="duplicateValues" dxfId="303" priority="25"/>
    <cfRule type="duplicateValues" dxfId="302" priority="26"/>
  </conditionalFormatting>
  <conditionalFormatting sqref="F856">
    <cfRule type="duplicateValues" dxfId="301" priority="21"/>
    <cfRule type="duplicateValues" dxfId="300" priority="22"/>
    <cfRule type="duplicateValues" dxfId="299" priority="23"/>
  </conditionalFormatting>
  <conditionalFormatting sqref="F859">
    <cfRule type="duplicateValues" dxfId="298" priority="20"/>
    <cfRule type="duplicateValues" dxfId="297" priority="19"/>
    <cfRule type="duplicateValues" dxfId="296" priority="18"/>
  </conditionalFormatting>
  <conditionalFormatting sqref="F938">
    <cfRule type="duplicateValues" dxfId="295" priority="17"/>
    <cfRule type="duplicateValues" dxfId="294" priority="16"/>
    <cfRule type="duplicateValues" dxfId="293" priority="15"/>
  </conditionalFormatting>
  <conditionalFormatting sqref="F961">
    <cfRule type="duplicateValues" dxfId="292" priority="86"/>
    <cfRule type="duplicateValues" dxfId="291" priority="85"/>
  </conditionalFormatting>
  <conditionalFormatting sqref="F962">
    <cfRule type="duplicateValues" dxfId="290" priority="84"/>
    <cfRule type="duplicateValues" dxfId="289" priority="83"/>
  </conditionalFormatting>
  <conditionalFormatting sqref="F963">
    <cfRule type="duplicateValues" dxfId="288" priority="82"/>
    <cfRule type="duplicateValues" dxfId="287" priority="81"/>
  </conditionalFormatting>
  <conditionalFormatting sqref="F964">
    <cfRule type="duplicateValues" dxfId="286" priority="80"/>
    <cfRule type="duplicateValues" dxfId="285" priority="79"/>
  </conditionalFormatting>
  <conditionalFormatting sqref="F965">
    <cfRule type="duplicateValues" dxfId="284" priority="78"/>
    <cfRule type="duplicateValues" dxfId="283" priority="77"/>
  </conditionalFormatting>
  <conditionalFormatting sqref="F966">
    <cfRule type="duplicateValues" dxfId="282" priority="75"/>
    <cfRule type="duplicateValues" dxfId="281" priority="76"/>
  </conditionalFormatting>
  <conditionalFormatting sqref="F967">
    <cfRule type="duplicateValues" dxfId="280" priority="73"/>
    <cfRule type="duplicateValues" dxfId="279" priority="74"/>
  </conditionalFormatting>
  <conditionalFormatting sqref="F973">
    <cfRule type="duplicateValues" dxfId="278" priority="14"/>
    <cfRule type="duplicateValues" dxfId="277" priority="13"/>
    <cfRule type="duplicateValues" dxfId="276" priority="12"/>
  </conditionalFormatting>
  <conditionalFormatting sqref="F1134">
    <cfRule type="duplicateValues" dxfId="275" priority="9"/>
    <cfRule type="duplicateValues" dxfId="274" priority="10"/>
    <cfRule type="duplicateValues" dxfId="273" priority="11"/>
  </conditionalFormatting>
  <conditionalFormatting sqref="F1137">
    <cfRule type="duplicateValues" dxfId="272" priority="136"/>
  </conditionalFormatting>
  <conditionalFormatting sqref="F1138">
    <cfRule type="duplicateValues" dxfId="271" priority="135"/>
  </conditionalFormatting>
  <conditionalFormatting sqref="F1139">
    <cfRule type="duplicateValues" dxfId="270" priority="134"/>
  </conditionalFormatting>
  <conditionalFormatting sqref="F1140:F1141">
    <cfRule type="duplicateValues" dxfId="269" priority="132"/>
  </conditionalFormatting>
  <conditionalFormatting sqref="F1142">
    <cfRule type="duplicateValues" dxfId="268" priority="131"/>
  </conditionalFormatting>
  <conditionalFormatting sqref="F1143">
    <cfRule type="duplicateValues" dxfId="267" priority="130"/>
  </conditionalFormatting>
  <conditionalFormatting sqref="F1144 F1146">
    <cfRule type="duplicateValues" dxfId="266" priority="128"/>
  </conditionalFormatting>
  <conditionalFormatting sqref="F1145">
    <cfRule type="duplicateValues" dxfId="265" priority="71"/>
    <cfRule type="duplicateValues" dxfId="264" priority="70"/>
  </conditionalFormatting>
  <conditionalFormatting sqref="F1147">
    <cfRule type="duplicateValues" dxfId="263" priority="72"/>
  </conditionalFormatting>
  <conditionalFormatting sqref="F1153">
    <cfRule type="duplicateValues" dxfId="262" priority="123"/>
  </conditionalFormatting>
  <conditionalFormatting sqref="F1156">
    <cfRule type="duplicateValues" dxfId="261" priority="114"/>
  </conditionalFormatting>
  <conditionalFormatting sqref="F1157">
    <cfRule type="duplicateValues" dxfId="260" priority="113"/>
    <cfRule type="duplicateValues" dxfId="259" priority="112"/>
  </conditionalFormatting>
  <conditionalFormatting sqref="F1158">
    <cfRule type="duplicateValues" dxfId="258" priority="111"/>
    <cfRule type="duplicateValues" dxfId="257" priority="110"/>
  </conditionalFormatting>
  <conditionalFormatting sqref="F1159">
    <cfRule type="duplicateValues" dxfId="256" priority="108"/>
    <cfRule type="duplicateValues" dxfId="255" priority="109"/>
  </conditionalFormatting>
  <conditionalFormatting sqref="F1160">
    <cfRule type="duplicateValues" dxfId="254" priority="107"/>
    <cfRule type="duplicateValues" dxfId="253" priority="106"/>
  </conditionalFormatting>
  <conditionalFormatting sqref="F1162">
    <cfRule type="duplicateValues" dxfId="252" priority="104"/>
    <cfRule type="duplicateValues" dxfId="251" priority="105"/>
  </conditionalFormatting>
  <conditionalFormatting sqref="F1173">
    <cfRule type="duplicateValues" dxfId="250" priority="98"/>
    <cfRule type="duplicateValues" dxfId="249" priority="97"/>
  </conditionalFormatting>
  <conditionalFormatting sqref="F1174">
    <cfRule type="duplicateValues" dxfId="248" priority="93"/>
    <cfRule type="duplicateValues" dxfId="247" priority="94"/>
  </conditionalFormatting>
  <conditionalFormatting sqref="F1178">
    <cfRule type="duplicateValues" dxfId="246" priority="68"/>
    <cfRule type="duplicateValues" dxfId="245" priority="67"/>
    <cfRule type="duplicateValues" dxfId="244" priority="66"/>
  </conditionalFormatting>
  <conditionalFormatting sqref="F1179">
    <cfRule type="duplicateValues" dxfId="243" priority="65"/>
    <cfRule type="duplicateValues" dxfId="242" priority="64"/>
    <cfRule type="duplicateValues" dxfId="241" priority="63"/>
  </conditionalFormatting>
  <conditionalFormatting sqref="F1180">
    <cfRule type="duplicateValues" dxfId="240" priority="62"/>
    <cfRule type="duplicateValues" dxfId="239" priority="61"/>
    <cfRule type="duplicateValues" dxfId="238" priority="60"/>
  </conditionalFormatting>
  <conditionalFormatting sqref="F1181">
    <cfRule type="duplicateValues" dxfId="237" priority="59"/>
    <cfRule type="duplicateValues" dxfId="236" priority="58"/>
    <cfRule type="duplicateValues" dxfId="235" priority="57"/>
  </conditionalFormatting>
  <conditionalFormatting sqref="F1186">
    <cfRule type="duplicateValues" dxfId="234" priority="3"/>
    <cfRule type="duplicateValues" dxfId="233" priority="5"/>
    <cfRule type="duplicateValues" dxfId="232" priority="4"/>
  </conditionalFormatting>
  <conditionalFormatting sqref="F1189">
    <cfRule type="duplicateValues" dxfId="231" priority="50"/>
    <cfRule type="duplicateValues" dxfId="230" priority="49"/>
    <cfRule type="duplicateValues" dxfId="229" priority="48"/>
  </conditionalFormatting>
  <conditionalFormatting sqref="F1190">
    <cfRule type="duplicateValues" dxfId="228" priority="45"/>
    <cfRule type="duplicateValues" dxfId="227" priority="47"/>
    <cfRule type="duplicateValues" dxfId="226" priority="46"/>
  </conditionalFormatting>
  <conditionalFormatting sqref="F1191">
    <cfRule type="duplicateValues" dxfId="225" priority="44"/>
    <cfRule type="duplicateValues" dxfId="224" priority="43"/>
    <cfRule type="duplicateValues" dxfId="223" priority="42"/>
  </conditionalFormatting>
  <conditionalFormatting sqref="F1206">
    <cfRule type="duplicateValues" dxfId="222" priority="8"/>
    <cfRule type="duplicateValues" dxfId="221" priority="7"/>
    <cfRule type="duplicateValues" dxfId="220" priority="6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8A73-A00F-4337-921E-FC2046BC7232}">
  <dimension ref="A1:H2"/>
  <sheetViews>
    <sheetView workbookViewId="0">
      <selection activeCell="A2" sqref="A2"/>
    </sheetView>
  </sheetViews>
  <sheetFormatPr defaultRowHeight="12.5"/>
  <cols>
    <col min="2" max="2" width="10.1796875" bestFit="1" customWidth="1"/>
  </cols>
  <sheetData>
    <row r="1" spans="1:8">
      <c r="A1" t="s">
        <v>3002</v>
      </c>
      <c r="B1" t="s">
        <v>1959</v>
      </c>
      <c r="C1" t="s">
        <v>1957</v>
      </c>
      <c r="D1" t="s">
        <v>1960</v>
      </c>
      <c r="E1" t="s">
        <v>2094</v>
      </c>
      <c r="F1" t="s">
        <v>3004</v>
      </c>
      <c r="G1" t="s">
        <v>2104</v>
      </c>
      <c r="H1" t="s">
        <v>3003</v>
      </c>
    </row>
    <row r="2" spans="1:8">
      <c r="A2">
        <v>5433</v>
      </c>
      <c r="B2" t="s">
        <v>2004</v>
      </c>
      <c r="C2">
        <v>94.54</v>
      </c>
      <c r="D2">
        <v>7.25</v>
      </c>
      <c r="E2">
        <f>D2*C2</f>
        <v>685.41500000000008</v>
      </c>
      <c r="F2">
        <v>89.9</v>
      </c>
      <c r="G2">
        <f>C2-F2</f>
        <v>4.6400000000000006</v>
      </c>
      <c r="H2">
        <f>E2/F2</f>
        <v>7.6241935483870975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 filterMode="1">
    <outlinePr summaryBelow="0" summaryRight="0"/>
  </sheetPr>
  <dimension ref="A1:R3559"/>
  <sheetViews>
    <sheetView tabSelected="1" topLeftCell="E1" zoomScale="85" zoomScaleNormal="85" workbookViewId="0">
      <pane ySplit="1" topLeftCell="A547" activePane="bottomLeft" state="frozen"/>
      <selection pane="bottomLeft" activeCell="M3486" sqref="M3486"/>
    </sheetView>
  </sheetViews>
  <sheetFormatPr defaultColWidth="5.1796875" defaultRowHeight="12.5"/>
  <cols>
    <col min="1" max="1" width="12.26953125" style="78" bestFit="1" customWidth="1"/>
    <col min="2" max="2" width="28.54296875" style="78" bestFit="1" customWidth="1"/>
    <col min="3" max="3" width="5.1796875" style="78" customWidth="1"/>
    <col min="4" max="4" width="37" style="78" customWidth="1"/>
    <col min="5" max="5" width="13.453125" style="78" bestFit="1" customWidth="1"/>
    <col min="6" max="6" width="19.453125" style="78" customWidth="1"/>
    <col min="7" max="7" width="19.453125" style="301" customWidth="1"/>
    <col min="8" max="8" width="24.81640625" style="78" bestFit="1" customWidth="1"/>
    <col min="9" max="9" width="57.54296875" style="78" bestFit="1" customWidth="1"/>
    <col min="10" max="10" width="9.54296875" style="78" customWidth="1"/>
    <col min="11" max="11" width="14.54296875" style="78" customWidth="1"/>
    <col min="12" max="12" width="19.81640625" style="78" customWidth="1"/>
    <col min="13" max="13" width="16" style="78" customWidth="1"/>
    <col min="14" max="14" width="21.81640625" style="78" customWidth="1"/>
    <col min="15" max="15" width="22.54296875" style="78" customWidth="1"/>
    <col min="16" max="16" width="14.54296875" style="78" customWidth="1"/>
    <col min="17" max="17" width="17.453125" style="78" customWidth="1"/>
    <col min="18" max="18" width="12.453125" style="78" customWidth="1"/>
    <col min="19" max="16384" width="5.1796875" style="78"/>
  </cols>
  <sheetData>
    <row r="1" spans="1:18" ht="28">
      <c r="A1" s="78" t="s">
        <v>3001</v>
      </c>
      <c r="B1" s="190" t="s">
        <v>814</v>
      </c>
      <c r="C1" s="190"/>
      <c r="D1" s="191" t="s">
        <v>815</v>
      </c>
      <c r="E1" s="190" t="s">
        <v>816</v>
      </c>
      <c r="F1" s="190" t="s">
        <v>817</v>
      </c>
      <c r="G1" s="300" t="s">
        <v>3001</v>
      </c>
      <c r="H1" s="186" t="s">
        <v>0</v>
      </c>
      <c r="I1" s="187" t="s">
        <v>1</v>
      </c>
      <c r="J1" s="1" t="s">
        <v>805</v>
      </c>
      <c r="K1" s="8" t="s">
        <v>818</v>
      </c>
      <c r="L1" s="9" t="s">
        <v>819</v>
      </c>
      <c r="M1" s="1" t="s">
        <v>808</v>
      </c>
      <c r="N1" s="1" t="s">
        <v>820</v>
      </c>
      <c r="O1" s="10" t="s">
        <v>821</v>
      </c>
      <c r="P1" s="11" t="s">
        <v>822</v>
      </c>
      <c r="Q1" s="1" t="s">
        <v>823</v>
      </c>
      <c r="R1" s="172" t="s">
        <v>1951</v>
      </c>
    </row>
    <row r="2" spans="1:18" ht="14" hidden="1">
      <c r="A2" s="78" t="s">
        <v>2464</v>
      </c>
      <c r="B2" s="220" t="s">
        <v>1107</v>
      </c>
      <c r="C2" s="185"/>
      <c r="D2" s="103" t="str">
        <f>VLOOKUP(B2, 'All Menu'!B:M, 4, 0)</f>
        <v>منسف لحمة / كيلو</v>
      </c>
      <c r="E2" s="30" t="str">
        <f>VLOOKUP(B2, 'All Menu'!B:M, 2, 0)</f>
        <v>قسم التواصي</v>
      </c>
      <c r="F2" s="103" t="str">
        <f>VLOOKUP(B2, 'All Menu'!B:M, 3, 0)</f>
        <v>التواصي سفري</v>
      </c>
      <c r="G2" s="90" t="s">
        <v>3058</v>
      </c>
      <c r="H2" s="188">
        <v>4608</v>
      </c>
      <c r="I2" s="110" t="str">
        <f>VLOOKUP(H2, 'RM &amp; SF'!B:H, 2, 0)</f>
        <v>لحمة قطع نية بالكيلو*****</v>
      </c>
      <c r="J2" s="184" t="str">
        <f>VLOOKUP(H2, 'RM &amp; SF'!B:E, 4, 0)</f>
        <v>غم</v>
      </c>
      <c r="K2" s="12">
        <v>1000</v>
      </c>
      <c r="L2" s="13">
        <f>VLOOKUP(H2, 'RM &amp; SF'!B:H, 7, 0)</f>
        <v>1.1615493158849017E-2</v>
      </c>
      <c r="M2" s="7">
        <f t="shared" ref="M2:M70" si="0">L2*K2</f>
        <v>11.615493158849016</v>
      </c>
      <c r="N2" s="4" t="s">
        <v>825</v>
      </c>
      <c r="O2" s="4">
        <f>VLOOKUP(B2, 'All Menu'!B:L, 6, 0)</f>
        <v>19.827586206896552</v>
      </c>
      <c r="P2" s="6">
        <f>VLOOKUP(B2, 'All Menu'!B:L, 9, 0)</f>
        <v>13.950857516551945</v>
      </c>
      <c r="Q2" s="14">
        <f>VLOOKUP(B2, 'All Menu'!B:M, 12, 0)</f>
        <v>0.29639153394781492</v>
      </c>
      <c r="R2" s="173">
        <f t="shared" ref="R2:R3" si="1">C2*K2</f>
        <v>0</v>
      </c>
    </row>
    <row r="3" spans="1:18" ht="14">
      <c r="A3" s="78" t="s">
        <v>2464</v>
      </c>
      <c r="B3" s="220" t="s">
        <v>1107</v>
      </c>
      <c r="C3" s="185"/>
      <c r="D3" s="103" t="str">
        <f>VLOOKUP(B3, 'All Menu'!B:M, 4, 0)</f>
        <v>منسف لحمة / كيلو</v>
      </c>
      <c r="E3" s="30" t="str">
        <f>VLOOKUP(B3, 'All Menu'!B:M, 2, 0)</f>
        <v>قسم التواصي</v>
      </c>
      <c r="F3" s="103" t="str">
        <f>VLOOKUP(B3, 'All Menu'!B:M, 3, 0)</f>
        <v>التواصي سفري</v>
      </c>
      <c r="G3" s="90" t="s">
        <v>2389</v>
      </c>
      <c r="H3" s="219" t="s">
        <v>550</v>
      </c>
      <c r="I3" s="110" t="str">
        <f>VLOOKUP(H3, 'RM &amp; SF'!B:H, 2, 0)</f>
        <v>ارز منسف</v>
      </c>
      <c r="J3" s="184" t="str">
        <f>VLOOKUP(H3, 'RM &amp; SF'!B:E, 4, 0)</f>
        <v>غم</v>
      </c>
      <c r="K3" s="22">
        <v>1750</v>
      </c>
      <c r="L3" s="13">
        <f>VLOOKUP(H3, 'RM &amp; SF'!B:H, 7, 0)</f>
        <v>4.9216375000000004E-4</v>
      </c>
      <c r="M3" s="15">
        <f t="shared" si="0"/>
        <v>0.86128656250000002</v>
      </c>
      <c r="N3" s="21" t="s">
        <v>825</v>
      </c>
      <c r="O3" s="4">
        <f>VLOOKUP(B3, 'All Menu'!B:L, 6, 0)</f>
        <v>19.827586206896552</v>
      </c>
      <c r="P3" s="6">
        <f>VLOOKUP(B3, 'All Menu'!B:L, 9, 0)</f>
        <v>13.950857516551945</v>
      </c>
      <c r="Q3" s="14">
        <f>VLOOKUP(B3, 'All Menu'!B:M, 12, 0)</f>
        <v>0.29639153394781492</v>
      </c>
      <c r="R3" s="173">
        <f t="shared" si="1"/>
        <v>0</v>
      </c>
    </row>
    <row r="4" spans="1:18" ht="14" hidden="1">
      <c r="A4" s="78" t="s">
        <v>2464</v>
      </c>
      <c r="B4" s="220" t="s">
        <v>1107</v>
      </c>
      <c r="C4" s="185"/>
      <c r="D4" s="103" t="str">
        <f>VLOOKUP(B4, 'All Menu'!B:M, 4, 0)</f>
        <v>منسف لحمة / كيلو</v>
      </c>
      <c r="E4" s="30" t="str">
        <f>VLOOKUP(B4, 'All Menu'!B:M, 2, 0)</f>
        <v>قسم التواصي</v>
      </c>
      <c r="F4" s="103" t="str">
        <f>VLOOKUP(B4, 'All Menu'!B:M, 3, 0)</f>
        <v>التواصي سفري</v>
      </c>
      <c r="G4" s="90" t="s">
        <v>2431</v>
      </c>
      <c r="H4" s="219" t="s">
        <v>552</v>
      </c>
      <c r="I4" s="110" t="str">
        <f>VLOOKUP(H4, 'RM &amp; SF'!B:H, 2, 0)</f>
        <v xml:space="preserve">لبن </v>
      </c>
      <c r="J4" s="184" t="str">
        <f>VLOOKUP(H4, 'RM &amp; SF'!B:E, 4, 0)</f>
        <v>غم</v>
      </c>
      <c r="K4" s="22">
        <v>1000</v>
      </c>
      <c r="L4" s="13">
        <f>VLOOKUP(H4, 'RM &amp; SF'!B:H, 7, 0)</f>
        <v>5.9114973451327433E-4</v>
      </c>
      <c r="M4" s="15">
        <f t="shared" si="0"/>
        <v>0.59114973451327435</v>
      </c>
      <c r="N4" s="21" t="s">
        <v>825</v>
      </c>
      <c r="O4" s="4">
        <f>VLOOKUP(B4, 'All Menu'!B:L, 6, 0)</f>
        <v>19.827586206896552</v>
      </c>
      <c r="P4" s="6">
        <f>VLOOKUP(B4, 'All Menu'!B:L, 9, 0)</f>
        <v>13.950857516551945</v>
      </c>
      <c r="Q4" s="14">
        <f>VLOOKUP(B4, 'All Menu'!B:M, 12, 0)</f>
        <v>0.29639153394781492</v>
      </c>
      <c r="R4" s="173"/>
    </row>
    <row r="5" spans="1:18" ht="14" hidden="1">
      <c r="A5" s="78" t="s">
        <v>2464</v>
      </c>
      <c r="B5" s="220" t="s">
        <v>1107</v>
      </c>
      <c r="C5" s="185"/>
      <c r="D5" s="103" t="str">
        <f>VLOOKUP(B5, 'All Menu'!B:M, 4, 0)</f>
        <v>منسف لحمة / كيلو</v>
      </c>
      <c r="E5" s="30" t="str">
        <f>VLOOKUP(B5, 'All Menu'!B:M, 2, 0)</f>
        <v>قسم التواصي</v>
      </c>
      <c r="F5" s="103" t="str">
        <f>VLOOKUP(B5, 'All Menu'!B:M, 3, 0)</f>
        <v>التواصي سفري</v>
      </c>
      <c r="G5" s="90" t="s">
        <v>3058</v>
      </c>
      <c r="H5" s="221">
        <v>4354</v>
      </c>
      <c r="I5" s="110" t="str">
        <f>VLOOKUP(H5, 'RM &amp; SF'!B:H, 2, 0)</f>
        <v>سدر بلاستيك دائري 35 سم*****</v>
      </c>
      <c r="J5" s="184" t="str">
        <f>VLOOKUP(H5, 'RM &amp; SF'!B:E, 4, 0)</f>
        <v>قطعة</v>
      </c>
      <c r="K5" s="22">
        <v>1</v>
      </c>
      <c r="L5" s="13">
        <f>VLOOKUP(H5, 'RM &amp; SF'!B:H, 7, 0)</f>
        <v>0.28016999999999997</v>
      </c>
      <c r="M5" s="15">
        <f t="shared" si="0"/>
        <v>0.28016999999999997</v>
      </c>
      <c r="N5" s="21" t="s">
        <v>825</v>
      </c>
      <c r="O5" s="4">
        <f>VLOOKUP(B5, 'All Menu'!B:L, 6, 0)</f>
        <v>19.827586206896552</v>
      </c>
      <c r="P5" s="6">
        <f>VLOOKUP(B5, 'All Menu'!B:L, 9, 0)</f>
        <v>13.950857516551945</v>
      </c>
      <c r="Q5" s="14">
        <f>VLOOKUP(B5, 'All Menu'!B:M, 12, 0)</f>
        <v>0.29639153394781492</v>
      </c>
      <c r="R5" s="173"/>
    </row>
    <row r="6" spans="1:18" ht="14" hidden="1">
      <c r="A6" s="78" t="s">
        <v>2464</v>
      </c>
      <c r="B6" s="220" t="s">
        <v>1107</v>
      </c>
      <c r="C6" s="185"/>
      <c r="D6" s="103" t="str">
        <f>VLOOKUP(B6, 'All Menu'!B:M, 4, 0)</f>
        <v>منسف لحمة / كيلو</v>
      </c>
      <c r="E6" s="30" t="str">
        <f>VLOOKUP(B6, 'All Menu'!B:M, 2, 0)</f>
        <v>قسم التواصي</v>
      </c>
      <c r="F6" s="103" t="str">
        <f>VLOOKUP(B6, 'All Menu'!B:M, 3, 0)</f>
        <v>التواصي سفري</v>
      </c>
      <c r="G6" s="90" t="s">
        <v>2341</v>
      </c>
      <c r="H6" s="219" t="s">
        <v>706</v>
      </c>
      <c r="I6" s="110" t="str">
        <f>VLOOKUP(H6, 'RM &amp; SF'!B:H, 2, 0)</f>
        <v>لوز مقلي</v>
      </c>
      <c r="J6" s="184" t="str">
        <f>VLOOKUP(H6, 'RM &amp; SF'!B:E, 4, 0)</f>
        <v>غم</v>
      </c>
      <c r="K6" s="22">
        <v>80</v>
      </c>
      <c r="L6" s="13">
        <f>VLOOKUP(H6, 'RM &amp; SF'!B:H, 7, 0)</f>
        <v>4.1352327586206888E-3</v>
      </c>
      <c r="M6" s="15">
        <f t="shared" si="0"/>
        <v>0.33081862068965512</v>
      </c>
      <c r="N6" s="21" t="s">
        <v>825</v>
      </c>
      <c r="O6" s="4">
        <f>VLOOKUP(B6, 'All Menu'!B:L, 6, 0)</f>
        <v>19.827586206896552</v>
      </c>
      <c r="P6" s="6">
        <f>VLOOKUP(B6, 'All Menu'!B:L, 9, 0)</f>
        <v>13.950857516551945</v>
      </c>
      <c r="Q6" s="14">
        <f>VLOOKUP(B6, 'All Menu'!B:M, 12, 0)</f>
        <v>0.29639153394781492</v>
      </c>
      <c r="R6" s="173"/>
    </row>
    <row r="7" spans="1:18" ht="14" hidden="1">
      <c r="A7" s="78" t="s">
        <v>2464</v>
      </c>
      <c r="B7" s="220" t="s">
        <v>1107</v>
      </c>
      <c r="C7" s="185"/>
      <c r="D7" s="103" t="str">
        <f>VLOOKUP(B7, 'All Menu'!B:M, 4, 0)</f>
        <v>منسف لحمة / كيلو</v>
      </c>
      <c r="E7" s="30" t="str">
        <f>VLOOKUP(B7, 'All Menu'!B:M, 2, 0)</f>
        <v>قسم التواصي</v>
      </c>
      <c r="F7" s="103" t="str">
        <f>VLOOKUP(B7, 'All Menu'!B:M, 3, 0)</f>
        <v>التواصي سفري</v>
      </c>
      <c r="G7" s="90" t="s">
        <v>2224</v>
      </c>
      <c r="H7" s="188">
        <v>4115</v>
      </c>
      <c r="I7" s="110" t="str">
        <f>VLOOKUP(H7, 'RM &amp; SF'!B:H, 2, 0)</f>
        <v>خبز شراك*****</v>
      </c>
      <c r="J7" s="184" t="str">
        <f>VLOOKUP(H7, 'RM &amp; SF'!B:E, 4, 0)</f>
        <v>قطعة</v>
      </c>
      <c r="K7" s="22">
        <v>2</v>
      </c>
      <c r="L7" s="13">
        <f>VLOOKUP(H7, 'RM &amp; SF'!B:H, 7, 0)</f>
        <v>0.1</v>
      </c>
      <c r="M7" s="15">
        <f t="shared" si="0"/>
        <v>0.2</v>
      </c>
      <c r="N7" s="21" t="s">
        <v>825</v>
      </c>
      <c r="O7" s="4">
        <f>VLOOKUP(B7, 'All Menu'!B:L, 6, 0)</f>
        <v>19.827586206896552</v>
      </c>
      <c r="P7" s="6">
        <f>VLOOKUP(B7, 'All Menu'!B:L, 9, 0)</f>
        <v>13.950857516551945</v>
      </c>
      <c r="Q7" s="14">
        <f>VLOOKUP(B7, 'All Menu'!B:M, 12, 0)</f>
        <v>0.29639153394781492</v>
      </c>
      <c r="R7" s="173"/>
    </row>
    <row r="8" spans="1:18" ht="14" hidden="1">
      <c r="A8" s="78" t="s">
        <v>2464</v>
      </c>
      <c r="B8" s="220" t="s">
        <v>1107</v>
      </c>
      <c r="C8" s="185"/>
      <c r="D8" s="103" t="str">
        <f>VLOOKUP(B8, 'All Menu'!B:M, 4, 0)</f>
        <v>منسف لحمة / كيلو</v>
      </c>
      <c r="E8" s="30" t="str">
        <f>VLOOKUP(B8, 'All Menu'!B:M, 2, 0)</f>
        <v>قسم التواصي</v>
      </c>
      <c r="F8" s="103" t="str">
        <f>VLOOKUP(B8, 'All Menu'!B:M, 3, 0)</f>
        <v>التواصي سفري</v>
      </c>
      <c r="G8" s="90" t="s">
        <v>3058</v>
      </c>
      <c r="H8" s="221">
        <v>4285</v>
      </c>
      <c r="I8" s="110" t="str">
        <f>VLOOKUP(H8, 'RM &amp; SF'!B:H, 2, 0)</f>
        <v>علب بلاستيك مربع متصل 150 مل*****</v>
      </c>
      <c r="J8" s="184" t="str">
        <f>VLOOKUP(H8, 'RM &amp; SF'!B:E, 4, 0)</f>
        <v>قطعة</v>
      </c>
      <c r="K8" s="22">
        <v>1</v>
      </c>
      <c r="L8" s="13">
        <f>VLOOKUP(H8, 'RM &amp; SF'!B:H, 7, 0)</f>
        <v>1.494E-2</v>
      </c>
      <c r="M8" s="15">
        <f t="shared" si="0"/>
        <v>1.494E-2</v>
      </c>
      <c r="N8" s="21" t="s">
        <v>825</v>
      </c>
      <c r="O8" s="4">
        <f>VLOOKUP(B8, 'All Menu'!B:L, 6, 0)</f>
        <v>19.827586206896552</v>
      </c>
      <c r="P8" s="6">
        <f>VLOOKUP(B8, 'All Menu'!B:L, 9, 0)</f>
        <v>13.950857516551945</v>
      </c>
      <c r="Q8" s="14">
        <f>VLOOKUP(B8, 'All Menu'!B:M, 12, 0)</f>
        <v>0.29639153394781492</v>
      </c>
      <c r="R8" s="173"/>
    </row>
    <row r="9" spans="1:18" ht="14" hidden="1">
      <c r="A9" s="78" t="s">
        <v>2464</v>
      </c>
      <c r="B9" s="220" t="s">
        <v>1107</v>
      </c>
      <c r="C9" s="185"/>
      <c r="D9" s="103" t="str">
        <f>VLOOKUP(B9, 'All Menu'!B:M, 4, 0)</f>
        <v>منسف لحمة / كيلو</v>
      </c>
      <c r="E9" s="30" t="str">
        <f>VLOOKUP(B9, 'All Menu'!B:M, 2, 0)</f>
        <v>قسم التواصي</v>
      </c>
      <c r="F9" s="103" t="str">
        <f>VLOOKUP(B9, 'All Menu'!B:M, 3, 0)</f>
        <v>التواصي سفري</v>
      </c>
      <c r="G9" s="90" t="s">
        <v>2194</v>
      </c>
      <c r="H9" s="221">
        <v>4323</v>
      </c>
      <c r="I9" s="110" t="str">
        <f>VLOOKUP(H9, 'RM &amp; SF'!B:H, 2, 0)</f>
        <v>قصدير رول 45 سم*2كغ*****</v>
      </c>
      <c r="J9" s="184" t="str">
        <f>VLOOKUP(H9, 'RM &amp; SF'!B:E, 4, 0)</f>
        <v>غم</v>
      </c>
      <c r="K9" s="12">
        <v>0.06</v>
      </c>
      <c r="L9" s="13">
        <f>VLOOKUP(H9, 'RM &amp; SF'!B:H, 7, 0)</f>
        <v>1.7240000000000001E-3</v>
      </c>
      <c r="M9" s="15">
        <f t="shared" si="0"/>
        <v>1.0344E-4</v>
      </c>
      <c r="N9" s="21" t="s">
        <v>825</v>
      </c>
      <c r="O9" s="4">
        <f>VLOOKUP(B9, 'All Menu'!B:L, 6, 0)</f>
        <v>19.827586206896552</v>
      </c>
      <c r="P9" s="6">
        <f>VLOOKUP(B9, 'All Menu'!B:L, 9, 0)</f>
        <v>13.950857516551945</v>
      </c>
      <c r="Q9" s="14">
        <f>VLOOKUP(B9, 'All Menu'!B:M, 12, 0)</f>
        <v>0.29639153394781492</v>
      </c>
      <c r="R9" s="173"/>
    </row>
    <row r="10" spans="1:18" ht="14" hidden="1">
      <c r="A10" s="78" t="s">
        <v>2464</v>
      </c>
      <c r="B10" s="220" t="s">
        <v>1107</v>
      </c>
      <c r="C10" s="185"/>
      <c r="D10" s="103" t="str">
        <f>VLOOKUP(B10, 'All Menu'!B:M, 4, 0)</f>
        <v>منسف لحمة / كيلو</v>
      </c>
      <c r="E10" s="30" t="str">
        <f>VLOOKUP(B10, 'All Menu'!B:M, 2, 0)</f>
        <v>قسم التواصي</v>
      </c>
      <c r="F10" s="103" t="str">
        <f>VLOOKUP(B10, 'All Menu'!B:M, 3, 0)</f>
        <v>التواصي سفري</v>
      </c>
      <c r="G10" s="90" t="s">
        <v>3058</v>
      </c>
      <c r="H10" s="221">
        <v>5378</v>
      </c>
      <c r="I10" s="110" t="str">
        <f>VLOOKUP(H10, 'RM &amp; SF'!B:H, 2, 0)</f>
        <v>رول مركزية تواصي</v>
      </c>
      <c r="J10" s="184" t="str">
        <f>VLOOKUP(H10, 'RM &amp; SF'!B:E, 4, 0)</f>
        <v>غم</v>
      </c>
      <c r="K10" s="22">
        <v>20</v>
      </c>
      <c r="L10" s="13">
        <f>VLOOKUP(H10, 'RM &amp; SF'!B:H, 7, 0)</f>
        <v>2.7499999999999998E-3</v>
      </c>
      <c r="M10" s="15">
        <f t="shared" si="0"/>
        <v>5.4999999999999993E-2</v>
      </c>
      <c r="N10" s="21" t="s">
        <v>825</v>
      </c>
      <c r="O10" s="4">
        <f>VLOOKUP(B10, 'All Menu'!B:L, 6, 0)</f>
        <v>19.827586206896552</v>
      </c>
      <c r="P10" s="6">
        <f>VLOOKUP(B10, 'All Menu'!B:L, 9, 0)</f>
        <v>13.950857516551945</v>
      </c>
      <c r="Q10" s="14">
        <f>VLOOKUP(B10, 'All Menu'!B:M, 12, 0)</f>
        <v>0.29639153394781492</v>
      </c>
      <c r="R10" s="173"/>
    </row>
    <row r="11" spans="1:18" ht="14" hidden="1">
      <c r="A11" s="78" t="s">
        <v>2464</v>
      </c>
      <c r="B11" s="220" t="s">
        <v>1107</v>
      </c>
      <c r="C11" s="185"/>
      <c r="D11" s="103" t="str">
        <f>VLOOKUP(B11, 'All Menu'!B:M, 4, 0)</f>
        <v>منسف لحمة / كيلو</v>
      </c>
      <c r="E11" s="30" t="str">
        <f>VLOOKUP(B11, 'All Menu'!B:M, 2, 0)</f>
        <v>قسم التواصي</v>
      </c>
      <c r="F11" s="103" t="str">
        <f>VLOOKUP(B11, 'All Menu'!B:M, 3, 0)</f>
        <v>التواصي سفري</v>
      </c>
      <c r="G11" s="90" t="s">
        <v>2195</v>
      </c>
      <c r="H11" s="221">
        <v>4329</v>
      </c>
      <c r="I11" s="110" t="str">
        <f>VLOOKUP(H11, 'RM &amp; SF'!B:H, 2, 0)</f>
        <v>ملاعق بلاستيك مع معقم مطبوع 1*500 حبة*****</v>
      </c>
      <c r="J11" s="184" t="str">
        <f>VLOOKUP(H11, 'RM &amp; SF'!B:E, 4, 0)</f>
        <v>قطعة</v>
      </c>
      <c r="K11" s="22">
        <v>4</v>
      </c>
      <c r="L11" s="13">
        <f>VLOOKUP(H11, 'RM &amp; SF'!B:H, 7, 0)</f>
        <v>4.7399999999999997E-4</v>
      </c>
      <c r="M11" s="15">
        <f t="shared" si="0"/>
        <v>1.8959999999999999E-3</v>
      </c>
      <c r="N11" s="21" t="s">
        <v>825</v>
      </c>
      <c r="O11" s="4">
        <f>VLOOKUP(B11, 'All Menu'!B:L, 6, 0)</f>
        <v>19.827586206896552</v>
      </c>
      <c r="P11" s="6">
        <f>VLOOKUP(B11, 'All Menu'!B:L, 9, 0)</f>
        <v>13.950857516551945</v>
      </c>
      <c r="Q11" s="14">
        <f>VLOOKUP(B11, 'All Menu'!B:M, 12, 0)</f>
        <v>0.29639153394781492</v>
      </c>
      <c r="R11" s="173"/>
    </row>
    <row r="12" spans="1:18" ht="14" hidden="1">
      <c r="A12" s="78" t="s">
        <v>2465</v>
      </c>
      <c r="B12" s="220" t="s">
        <v>1108</v>
      </c>
      <c r="C12" s="185"/>
      <c r="D12" s="103" t="str">
        <f>VLOOKUP(B12, 'All Menu'!B:M, 4, 0)</f>
        <v>قدرة لحم 1 كيلو</v>
      </c>
      <c r="E12" s="30" t="str">
        <f>VLOOKUP(B12, 'All Menu'!B:M, 2, 0)</f>
        <v>قسم التواصي</v>
      </c>
      <c r="F12" s="103" t="str">
        <f>VLOOKUP(B12, 'All Menu'!B:M, 3, 0)</f>
        <v>التواصي سفري</v>
      </c>
      <c r="G12" s="90" t="s">
        <v>2386</v>
      </c>
      <c r="H12" s="219" t="s">
        <v>584</v>
      </c>
      <c r="I12" s="110" t="str">
        <f>VLOOKUP(H12, 'RM &amp; SF'!B:H, 2, 0)</f>
        <v>رز قدرة</v>
      </c>
      <c r="J12" s="184" t="str">
        <f>VLOOKUP(H12, 'RM &amp; SF'!B:E, 4, 0)</f>
        <v>غم</v>
      </c>
      <c r="K12" s="12">
        <v>2000</v>
      </c>
      <c r="L12" s="13">
        <f>VLOOKUP(H12, 'RM &amp; SF'!B:H, 7, 0)</f>
        <v>4.9428737588652486E-4</v>
      </c>
      <c r="M12" s="7">
        <f t="shared" si="0"/>
        <v>0.98857475177304976</v>
      </c>
      <c r="N12" s="4" t="s">
        <v>825</v>
      </c>
      <c r="O12" s="4">
        <f>VLOOKUP(B12, 'All Menu'!B:L, 6, 0)</f>
        <v>19.827586206896552</v>
      </c>
      <c r="P12" s="6">
        <f>VLOOKUP(B12, 'All Menu'!B:L, 9, 0)</f>
        <v>13.757561773390021</v>
      </c>
      <c r="Q12" s="14">
        <f>VLOOKUP(B12, 'All Menu'!B:M, 12, 0)</f>
        <v>0.30614036273337286</v>
      </c>
      <c r="R12" s="173">
        <f t="shared" ref="R12:R80" si="2">C12*K12</f>
        <v>0</v>
      </c>
    </row>
    <row r="13" spans="1:18" ht="14" hidden="1">
      <c r="A13" s="78" t="s">
        <v>2465</v>
      </c>
      <c r="B13" s="220" t="s">
        <v>1108</v>
      </c>
      <c r="C13" s="185"/>
      <c r="D13" s="103" t="str">
        <f>VLOOKUP(B13, 'All Menu'!B:M, 4, 0)</f>
        <v>قدرة لحم 1 كيلو</v>
      </c>
      <c r="E13" s="30" t="str">
        <f>VLOOKUP(B13, 'All Menu'!B:M, 2, 0)</f>
        <v>قسم التواصي</v>
      </c>
      <c r="F13" s="103" t="str">
        <f>VLOOKUP(B13, 'All Menu'!B:M, 3, 0)</f>
        <v>التواصي سفري</v>
      </c>
      <c r="G13" s="90" t="s">
        <v>3058</v>
      </c>
      <c r="H13" s="188">
        <v>4608</v>
      </c>
      <c r="I13" s="110" t="str">
        <f>VLOOKUP(H13, 'RM &amp; SF'!B:H, 2, 0)</f>
        <v>لحمة قطع نية بالكيلو*****</v>
      </c>
      <c r="J13" s="184" t="str">
        <f>VLOOKUP(H13, 'RM &amp; SF'!B:E, 4, 0)</f>
        <v>غم</v>
      </c>
      <c r="K13" s="12">
        <v>1000</v>
      </c>
      <c r="L13" s="13">
        <f>VLOOKUP(H13, 'RM &amp; SF'!B:H, 7, 0)</f>
        <v>1.1615493158849017E-2</v>
      </c>
      <c r="M13" s="7">
        <f t="shared" si="0"/>
        <v>11.615493158849016</v>
      </c>
      <c r="N13" s="4" t="s">
        <v>825</v>
      </c>
      <c r="O13" s="4">
        <f>VLOOKUP(B13, 'All Menu'!B:L, 6, 0)</f>
        <v>19.827586206896552</v>
      </c>
      <c r="P13" s="6">
        <f>VLOOKUP(B13, 'All Menu'!B:L, 9, 0)</f>
        <v>13.757561773390021</v>
      </c>
      <c r="Q13" s="14">
        <f>VLOOKUP(B13, 'All Menu'!B:M, 12, 0)</f>
        <v>0.30614036273337286</v>
      </c>
      <c r="R13" s="173">
        <f t="shared" si="2"/>
        <v>0</v>
      </c>
    </row>
    <row r="14" spans="1:18" ht="14" hidden="1">
      <c r="A14" s="78" t="s">
        <v>2465</v>
      </c>
      <c r="B14" s="220" t="s">
        <v>1108</v>
      </c>
      <c r="C14" s="185"/>
      <c r="D14" s="103" t="str">
        <f>VLOOKUP(B14, 'All Menu'!B:M, 4, 0)</f>
        <v>قدرة لحم 1 كيلو</v>
      </c>
      <c r="E14" s="30" t="str">
        <f>VLOOKUP(B14, 'All Menu'!B:M, 2, 0)</f>
        <v>قسم التواصي</v>
      </c>
      <c r="F14" s="103" t="str">
        <f>VLOOKUP(B14, 'All Menu'!B:M, 3, 0)</f>
        <v>التواصي سفري</v>
      </c>
      <c r="G14" s="90" t="s">
        <v>2341</v>
      </c>
      <c r="H14" s="219" t="s">
        <v>706</v>
      </c>
      <c r="I14" s="110" t="str">
        <f>VLOOKUP(H14, 'RM &amp; SF'!B:H, 2, 0)</f>
        <v>لوز مقلي</v>
      </c>
      <c r="J14" s="184" t="str">
        <f>VLOOKUP(H14, 'RM &amp; SF'!B:E, 4, 0)</f>
        <v>غم</v>
      </c>
      <c r="K14" s="12">
        <v>150</v>
      </c>
      <c r="L14" s="13">
        <f>VLOOKUP(H14, 'RM &amp; SF'!B:H, 7, 0)</f>
        <v>4.1352327586206888E-3</v>
      </c>
      <c r="M14" s="7">
        <f t="shared" si="0"/>
        <v>0.62028491379310335</v>
      </c>
      <c r="N14" s="4" t="s">
        <v>825</v>
      </c>
      <c r="O14" s="4">
        <f>VLOOKUP(B14, 'All Menu'!B:L, 6, 0)</f>
        <v>19.827586206896552</v>
      </c>
      <c r="P14" s="6">
        <f>VLOOKUP(B14, 'All Menu'!B:L, 9, 0)</f>
        <v>13.757561773390021</v>
      </c>
      <c r="Q14" s="14">
        <f>VLOOKUP(B14, 'All Menu'!B:M, 12, 0)</f>
        <v>0.30614036273337286</v>
      </c>
      <c r="R14" s="173">
        <f t="shared" si="2"/>
        <v>0</v>
      </c>
    </row>
    <row r="15" spans="1:18" ht="14" hidden="1">
      <c r="A15" s="78" t="s">
        <v>2465</v>
      </c>
      <c r="B15" s="220" t="s">
        <v>1108</v>
      </c>
      <c r="C15" s="185"/>
      <c r="D15" s="103" t="str">
        <f>VLOOKUP(B15, 'All Menu'!B:M, 4, 0)</f>
        <v>قدرة لحم 1 كيلو</v>
      </c>
      <c r="E15" s="30" t="str">
        <f>VLOOKUP(B15, 'All Menu'!B:M, 2, 0)</f>
        <v>قسم التواصي</v>
      </c>
      <c r="F15" s="103" t="str">
        <f>VLOOKUP(B15, 'All Menu'!B:M, 3, 0)</f>
        <v>التواصي سفري</v>
      </c>
      <c r="G15" s="90" t="s">
        <v>2228</v>
      </c>
      <c r="H15" s="219" t="s">
        <v>566</v>
      </c>
      <c r="I15" s="110" t="str">
        <f>VLOOKUP(H15, 'RM &amp; SF'!B:H, 2, 0)</f>
        <v>خيار بلبن</v>
      </c>
      <c r="J15" s="184" t="str">
        <f>VLOOKUP(H15, 'RM &amp; SF'!B:E, 4, 0)</f>
        <v>غم</v>
      </c>
      <c r="K15" s="12">
        <v>250</v>
      </c>
      <c r="L15" s="13">
        <f>VLOOKUP(H15, 'RM &amp; SF'!B:H, 7, 0)</f>
        <v>1.0121557958994094E-3</v>
      </c>
      <c r="M15" s="7">
        <f t="shared" si="0"/>
        <v>0.25303894897485235</v>
      </c>
      <c r="N15" s="4" t="s">
        <v>825</v>
      </c>
      <c r="O15" s="4">
        <f>VLOOKUP(B15, 'All Menu'!B:L, 6, 0)</f>
        <v>19.827586206896552</v>
      </c>
      <c r="P15" s="6">
        <f>VLOOKUP(B15, 'All Menu'!B:L, 9, 0)</f>
        <v>13.757561773390021</v>
      </c>
      <c r="Q15" s="14">
        <f>VLOOKUP(B15, 'All Menu'!B:M, 12, 0)</f>
        <v>0.30614036273337286</v>
      </c>
      <c r="R15" s="173">
        <f t="shared" si="2"/>
        <v>0</v>
      </c>
    </row>
    <row r="16" spans="1:18" ht="14" hidden="1">
      <c r="A16" s="78" t="s">
        <v>2465</v>
      </c>
      <c r="B16" s="220" t="s">
        <v>1108</v>
      </c>
      <c r="C16" s="185"/>
      <c r="D16" s="103" t="str">
        <f>VLOOKUP(B16, 'All Menu'!B:M, 4, 0)</f>
        <v>قدرة لحم 1 كيلو</v>
      </c>
      <c r="E16" s="30" t="str">
        <f>VLOOKUP(B16, 'All Menu'!B:M, 2, 0)</f>
        <v>قسم التواصي</v>
      </c>
      <c r="F16" s="103" t="str">
        <f>VLOOKUP(B16, 'All Menu'!B:M, 3, 0)</f>
        <v>التواصي سفري</v>
      </c>
      <c r="G16" s="90" t="s">
        <v>3058</v>
      </c>
      <c r="H16" s="188">
        <v>4354</v>
      </c>
      <c r="I16" s="110" t="str">
        <f>VLOOKUP(H16, 'RM &amp; SF'!B:H, 2, 0)</f>
        <v>سدر بلاستيك دائري 35 سم*****</v>
      </c>
      <c r="J16" s="184" t="str">
        <f>VLOOKUP(H16, 'RM &amp; SF'!B:E, 4, 0)</f>
        <v>قطعة</v>
      </c>
      <c r="K16" s="12">
        <v>1</v>
      </c>
      <c r="L16" s="13">
        <f>VLOOKUP(H16, 'RM &amp; SF'!B:H, 7, 0)</f>
        <v>0.28016999999999997</v>
      </c>
      <c r="M16" s="7">
        <f t="shared" si="0"/>
        <v>0.28016999999999997</v>
      </c>
      <c r="N16" s="4" t="s">
        <v>825</v>
      </c>
      <c r="O16" s="4">
        <f>VLOOKUP(B16, 'All Menu'!B:L, 6, 0)</f>
        <v>19.827586206896552</v>
      </c>
      <c r="P16" s="6">
        <f>VLOOKUP(B16, 'All Menu'!B:L, 9, 0)</f>
        <v>13.757561773390021</v>
      </c>
      <c r="Q16" s="14">
        <f>VLOOKUP(B16, 'All Menu'!B:M, 12, 0)</f>
        <v>0.30614036273337286</v>
      </c>
      <c r="R16" s="173">
        <f t="shared" si="2"/>
        <v>0</v>
      </c>
    </row>
    <row r="17" spans="1:18" ht="14" hidden="1">
      <c r="A17" s="78" t="s">
        <v>2470</v>
      </c>
      <c r="B17" s="220" t="s">
        <v>1109</v>
      </c>
      <c r="C17" s="185"/>
      <c r="D17" s="103" t="str">
        <f>VLOOKUP(B17, 'All Menu'!B:M, 4, 0)</f>
        <v>زرب لحم 1 كيلو</v>
      </c>
      <c r="E17" s="30" t="str">
        <f>VLOOKUP(B17, 'All Menu'!B:M, 2, 0)</f>
        <v>قسم التواصي</v>
      </c>
      <c r="F17" s="103" t="str">
        <f>VLOOKUP(B17, 'All Menu'!B:M, 3, 0)</f>
        <v>التواصي سفري</v>
      </c>
      <c r="G17" s="90" t="s">
        <v>2392</v>
      </c>
      <c r="H17" s="219" t="s">
        <v>590</v>
      </c>
      <c r="I17" s="110" t="str">
        <f>VLOOKUP(H17, 'RM &amp; SF'!B:H, 2, 0)</f>
        <v>ارز زرب</v>
      </c>
      <c r="J17" s="184" t="str">
        <f>VLOOKUP(H17, 'RM &amp; SF'!B:E, 4, 0)</f>
        <v>غم</v>
      </c>
      <c r="K17" s="12">
        <v>2000</v>
      </c>
      <c r="L17" s="13">
        <f>VLOOKUP(H17, 'RM &amp; SF'!B:H, 7, 0)</f>
        <v>5.1539514056513406E-4</v>
      </c>
      <c r="M17" s="7">
        <f t="shared" si="0"/>
        <v>1.030790281130268</v>
      </c>
      <c r="N17" s="4" t="s">
        <v>825</v>
      </c>
      <c r="O17" s="4">
        <f>VLOOKUP(B17, 'All Menu'!B:L, 6, 0)</f>
        <v>19.827586206896552</v>
      </c>
      <c r="P17" s="6">
        <f>VLOOKUP(B17, 'All Menu'!B:L, 9, 0)</f>
        <v>13.546738353772389</v>
      </c>
      <c r="Q17" s="14">
        <f>VLOOKUP(B17, 'All Menu'!B:M, 12, 0)</f>
        <v>0.31677319607060994</v>
      </c>
      <c r="R17" s="173">
        <f t="shared" si="2"/>
        <v>0</v>
      </c>
    </row>
    <row r="18" spans="1:18" ht="14" hidden="1">
      <c r="A18" s="78" t="s">
        <v>2470</v>
      </c>
      <c r="B18" s="220" t="s">
        <v>1109</v>
      </c>
      <c r="C18" s="185"/>
      <c r="D18" s="103" t="str">
        <f>VLOOKUP(B18, 'All Menu'!B:M, 4, 0)</f>
        <v>زرب لحم 1 كيلو</v>
      </c>
      <c r="E18" s="30" t="str">
        <f>VLOOKUP(B18, 'All Menu'!B:M, 2, 0)</f>
        <v>قسم التواصي</v>
      </c>
      <c r="F18" s="103" t="str">
        <f>VLOOKUP(B18, 'All Menu'!B:M, 3, 0)</f>
        <v>التواصي سفري</v>
      </c>
      <c r="G18" s="90" t="s">
        <v>3058</v>
      </c>
      <c r="H18" s="188">
        <v>4608</v>
      </c>
      <c r="I18" s="110" t="str">
        <f>VLOOKUP(H18, 'RM &amp; SF'!B:H, 2, 0)</f>
        <v>لحمة قطع نية بالكيلو*****</v>
      </c>
      <c r="J18" s="184" t="str">
        <f>VLOOKUP(H18, 'RM &amp; SF'!B:E, 4, 0)</f>
        <v>غم</v>
      </c>
      <c r="K18" s="12">
        <v>1000</v>
      </c>
      <c r="L18" s="13">
        <f>VLOOKUP(H18, 'RM &amp; SF'!B:H, 7, 0)</f>
        <v>1.1615493158849017E-2</v>
      </c>
      <c r="M18" s="7">
        <f t="shared" si="0"/>
        <v>11.615493158849016</v>
      </c>
      <c r="N18" s="4" t="s">
        <v>825</v>
      </c>
      <c r="O18" s="4">
        <f>VLOOKUP(B18, 'All Menu'!B:L, 6, 0)</f>
        <v>19.827586206896552</v>
      </c>
      <c r="P18" s="6">
        <f>VLOOKUP(B18, 'All Menu'!B:L, 9, 0)</f>
        <v>13.546738353772389</v>
      </c>
      <c r="Q18" s="14">
        <f>VLOOKUP(B18, 'All Menu'!B:M, 12, 0)</f>
        <v>0.31677319607060994</v>
      </c>
      <c r="R18" s="173">
        <f t="shared" si="2"/>
        <v>0</v>
      </c>
    </row>
    <row r="19" spans="1:18" ht="14" hidden="1">
      <c r="A19" s="78" t="s">
        <v>2470</v>
      </c>
      <c r="B19" s="220" t="s">
        <v>1109</v>
      </c>
      <c r="C19" s="185"/>
      <c r="D19" s="103" t="str">
        <f>VLOOKUP(B19, 'All Menu'!B:M, 4, 0)</f>
        <v>زرب لحم 1 كيلو</v>
      </c>
      <c r="E19" s="30" t="str">
        <f>VLOOKUP(B19, 'All Menu'!B:M, 2, 0)</f>
        <v>قسم التواصي</v>
      </c>
      <c r="F19" s="103" t="str">
        <f>VLOOKUP(B19, 'All Menu'!B:M, 3, 0)</f>
        <v>التواصي سفري</v>
      </c>
      <c r="G19" s="90" t="s">
        <v>2341</v>
      </c>
      <c r="H19" s="219" t="s">
        <v>706</v>
      </c>
      <c r="I19" s="110" t="str">
        <f>VLOOKUP(H19, 'RM &amp; SF'!B:H, 2, 0)</f>
        <v>لوز مقلي</v>
      </c>
      <c r="J19" s="184" t="str">
        <f>VLOOKUP(H19, 'RM &amp; SF'!B:E, 4, 0)</f>
        <v>غم</v>
      </c>
      <c r="K19" s="12">
        <v>150</v>
      </c>
      <c r="L19" s="13">
        <f>VLOOKUP(H19, 'RM &amp; SF'!B:H, 7, 0)</f>
        <v>4.1352327586206888E-3</v>
      </c>
      <c r="M19" s="7">
        <f t="shared" si="0"/>
        <v>0.62028491379310335</v>
      </c>
      <c r="N19" s="4" t="s">
        <v>825</v>
      </c>
      <c r="O19" s="4">
        <f>VLOOKUP(B19, 'All Menu'!B:L, 6, 0)</f>
        <v>19.827586206896552</v>
      </c>
      <c r="P19" s="6">
        <f>VLOOKUP(B19, 'All Menu'!B:L, 9, 0)</f>
        <v>13.546738353772389</v>
      </c>
      <c r="Q19" s="14">
        <f>VLOOKUP(B19, 'All Menu'!B:M, 12, 0)</f>
        <v>0.31677319607060994</v>
      </c>
      <c r="R19" s="173">
        <f t="shared" si="2"/>
        <v>0</v>
      </c>
    </row>
    <row r="20" spans="1:18" ht="14" hidden="1">
      <c r="A20" s="78" t="s">
        <v>2470</v>
      </c>
      <c r="B20" s="220" t="s">
        <v>1109</v>
      </c>
      <c r="C20" s="185"/>
      <c r="D20" s="103" t="str">
        <f>VLOOKUP(B20, 'All Menu'!B:M, 4, 0)</f>
        <v>زرب لحم 1 كيلو</v>
      </c>
      <c r="E20" s="30" t="str">
        <f>VLOOKUP(B20, 'All Menu'!B:M, 2, 0)</f>
        <v>قسم التواصي</v>
      </c>
      <c r="F20" s="103" t="str">
        <f>VLOOKUP(B20, 'All Menu'!B:M, 3, 0)</f>
        <v>التواصي سفري</v>
      </c>
      <c r="G20" s="90" t="s">
        <v>3058</v>
      </c>
      <c r="H20" s="188">
        <v>4354</v>
      </c>
      <c r="I20" s="110" t="str">
        <f>VLOOKUP(H20, 'RM &amp; SF'!B:H, 2, 0)</f>
        <v>سدر بلاستيك دائري 35 سم*****</v>
      </c>
      <c r="J20" s="184" t="str">
        <f>VLOOKUP(H20, 'RM &amp; SF'!B:E, 4, 0)</f>
        <v>قطعة</v>
      </c>
      <c r="K20" s="12">
        <v>1</v>
      </c>
      <c r="L20" s="13">
        <f>VLOOKUP(H20, 'RM &amp; SF'!B:H, 7, 0)</f>
        <v>0.28016999999999997</v>
      </c>
      <c r="M20" s="7">
        <f t="shared" si="0"/>
        <v>0.28016999999999997</v>
      </c>
      <c r="N20" s="4" t="s">
        <v>825</v>
      </c>
      <c r="O20" s="4">
        <f>VLOOKUP(B20, 'All Menu'!B:L, 6, 0)</f>
        <v>19.827586206896552</v>
      </c>
      <c r="P20" s="6">
        <f>VLOOKUP(B20, 'All Menu'!B:L, 9, 0)</f>
        <v>13.546738353772389</v>
      </c>
      <c r="Q20" s="14">
        <f>VLOOKUP(B20, 'All Menu'!B:M, 12, 0)</f>
        <v>0.31677319607060994</v>
      </c>
      <c r="R20" s="173">
        <f t="shared" si="2"/>
        <v>0</v>
      </c>
    </row>
    <row r="21" spans="1:18" ht="14" hidden="1">
      <c r="A21" s="78" t="s">
        <v>2471</v>
      </c>
      <c r="B21" s="220" t="s">
        <v>1110</v>
      </c>
      <c r="C21" s="185"/>
      <c r="D21" s="103" t="str">
        <f>VLOOKUP(B21, 'All Menu'!B:M, 4, 0)</f>
        <v>مندي لحم 1 كيلو</v>
      </c>
      <c r="E21" s="30" t="str">
        <f>VLOOKUP(B21, 'All Menu'!B:M, 2, 0)</f>
        <v>قسم التواصي</v>
      </c>
      <c r="F21" s="103" t="str">
        <f>VLOOKUP(B21, 'All Menu'!B:M, 3, 0)</f>
        <v>التواصي سفري</v>
      </c>
      <c r="G21" s="90" t="s">
        <v>2387</v>
      </c>
      <c r="H21" s="219" t="s">
        <v>554</v>
      </c>
      <c r="I21" s="110" t="str">
        <f>VLOOKUP(H21, 'RM &amp; SF'!B:H, 2, 0)</f>
        <v>مندي</v>
      </c>
      <c r="J21" s="184" t="str">
        <f>VLOOKUP(H21, 'RM &amp; SF'!B:E, 4, 0)</f>
        <v>غم</v>
      </c>
      <c r="K21" s="12">
        <v>2000</v>
      </c>
      <c r="L21" s="13">
        <f>VLOOKUP(H21, 'RM &amp; SF'!B:H, 7, 0)</f>
        <v>4.9271573151695748E-4</v>
      </c>
      <c r="M21" s="7">
        <f t="shared" si="0"/>
        <v>0.98543146303391493</v>
      </c>
      <c r="N21" s="4" t="s">
        <v>825</v>
      </c>
      <c r="O21" s="4">
        <f>VLOOKUP(B21, 'All Menu'!B:L, 6, 0)</f>
        <v>19.827586206896552</v>
      </c>
      <c r="P21" s="6">
        <f>VLOOKUP(B21, 'All Menu'!B:L, 9, 0)</f>
        <v>13.501379535676035</v>
      </c>
      <c r="Q21" s="14">
        <f>VLOOKUP(B21, 'All Menu'!B:M, 12, 0)</f>
        <v>0.31906085820068691</v>
      </c>
      <c r="R21" s="173">
        <f t="shared" si="2"/>
        <v>0</v>
      </c>
    </row>
    <row r="22" spans="1:18" ht="14" hidden="1">
      <c r="A22" s="78" t="s">
        <v>2471</v>
      </c>
      <c r="B22" s="220" t="s">
        <v>1110</v>
      </c>
      <c r="C22" s="185"/>
      <c r="D22" s="103" t="str">
        <f>VLOOKUP(B22, 'All Menu'!B:M, 4, 0)</f>
        <v>مندي لحم 1 كيلو</v>
      </c>
      <c r="E22" s="30" t="str">
        <f>VLOOKUP(B22, 'All Menu'!B:M, 2, 0)</f>
        <v>قسم التواصي</v>
      </c>
      <c r="F22" s="103" t="str">
        <f>VLOOKUP(B22, 'All Menu'!B:M, 3, 0)</f>
        <v>التواصي سفري</v>
      </c>
      <c r="G22" s="90" t="s">
        <v>3058</v>
      </c>
      <c r="H22" s="188">
        <v>4608</v>
      </c>
      <c r="I22" s="110" t="str">
        <f>VLOOKUP(H22, 'RM &amp; SF'!B:H, 2, 0)</f>
        <v>لحمة قطع نية بالكيلو*****</v>
      </c>
      <c r="J22" s="184" t="str">
        <f>VLOOKUP(H22, 'RM &amp; SF'!B:E, 4, 0)</f>
        <v>غم</v>
      </c>
      <c r="K22" s="12">
        <v>1000</v>
      </c>
      <c r="L22" s="13">
        <f>VLOOKUP(H22, 'RM &amp; SF'!B:H, 7, 0)</f>
        <v>1.1615493158849017E-2</v>
      </c>
      <c r="M22" s="7">
        <f t="shared" si="0"/>
        <v>11.615493158849016</v>
      </c>
      <c r="N22" s="4" t="s">
        <v>825</v>
      </c>
      <c r="O22" s="4">
        <f>VLOOKUP(B22, 'All Menu'!B:L, 6, 0)</f>
        <v>19.827586206896552</v>
      </c>
      <c r="P22" s="6">
        <f>VLOOKUP(B22, 'All Menu'!B:L, 9, 0)</f>
        <v>13.501379535676035</v>
      </c>
      <c r="Q22" s="14">
        <f>VLOOKUP(B22, 'All Menu'!B:M, 12, 0)</f>
        <v>0.31906085820068691</v>
      </c>
      <c r="R22" s="173">
        <f t="shared" si="2"/>
        <v>0</v>
      </c>
    </row>
    <row r="23" spans="1:18" ht="14" hidden="1">
      <c r="A23" s="78" t="s">
        <v>2471</v>
      </c>
      <c r="B23" s="220" t="s">
        <v>1110</v>
      </c>
      <c r="C23" s="185"/>
      <c r="D23" s="103" t="str">
        <f>VLOOKUP(B23, 'All Menu'!B:M, 4, 0)</f>
        <v>مندي لحم 1 كيلو</v>
      </c>
      <c r="E23" s="30" t="str">
        <f>VLOOKUP(B23, 'All Menu'!B:M, 2, 0)</f>
        <v>قسم التواصي</v>
      </c>
      <c r="F23" s="103" t="str">
        <f>VLOOKUP(B23, 'All Menu'!B:M, 3, 0)</f>
        <v>التواصي سفري</v>
      </c>
      <c r="G23" s="90" t="s">
        <v>2341</v>
      </c>
      <c r="H23" s="219" t="s">
        <v>706</v>
      </c>
      <c r="I23" s="110" t="str">
        <f>VLOOKUP(H23, 'RM &amp; SF'!B:H, 2, 0)</f>
        <v>لوز مقلي</v>
      </c>
      <c r="J23" s="184" t="str">
        <f>VLOOKUP(H23, 'RM &amp; SF'!B:E, 4, 0)</f>
        <v>غم</v>
      </c>
      <c r="K23" s="12">
        <v>150</v>
      </c>
      <c r="L23" s="13">
        <f>VLOOKUP(H23, 'RM &amp; SF'!B:H, 7, 0)</f>
        <v>4.1352327586206888E-3</v>
      </c>
      <c r="M23" s="7">
        <f t="shared" si="0"/>
        <v>0.62028491379310335</v>
      </c>
      <c r="N23" s="4" t="s">
        <v>825</v>
      </c>
      <c r="O23" s="4">
        <f>VLOOKUP(B23, 'All Menu'!B:L, 6, 0)</f>
        <v>19.827586206896552</v>
      </c>
      <c r="P23" s="6">
        <f>VLOOKUP(B23, 'All Menu'!B:L, 9, 0)</f>
        <v>13.501379535676035</v>
      </c>
      <c r="Q23" s="14">
        <f>VLOOKUP(B23, 'All Menu'!B:M, 12, 0)</f>
        <v>0.31906085820068691</v>
      </c>
      <c r="R23" s="173">
        <f t="shared" si="2"/>
        <v>0</v>
      </c>
    </row>
    <row r="24" spans="1:18" ht="14" hidden="1">
      <c r="A24" s="78" t="s">
        <v>2471</v>
      </c>
      <c r="B24" s="220" t="s">
        <v>1110</v>
      </c>
      <c r="C24" s="185"/>
      <c r="D24" s="103" t="str">
        <f>VLOOKUP(B24, 'All Menu'!B:M, 4, 0)</f>
        <v>مندي لحم 1 كيلو</v>
      </c>
      <c r="E24" s="30" t="str">
        <f>VLOOKUP(B24, 'All Menu'!B:M, 2, 0)</f>
        <v>قسم التواصي</v>
      </c>
      <c r="F24" s="103" t="str">
        <f>VLOOKUP(B24, 'All Menu'!B:M, 3, 0)</f>
        <v>التواصي سفري</v>
      </c>
      <c r="G24" s="90" t="s">
        <v>3058</v>
      </c>
      <c r="H24" s="188">
        <v>4354</v>
      </c>
      <c r="I24" s="110" t="str">
        <f>VLOOKUP(H24, 'RM &amp; SF'!B:H, 2, 0)</f>
        <v>سدر بلاستيك دائري 35 سم*****</v>
      </c>
      <c r="J24" s="184" t="str">
        <f>VLOOKUP(H24, 'RM &amp; SF'!B:E, 4, 0)</f>
        <v>قطعة</v>
      </c>
      <c r="K24" s="12">
        <v>1</v>
      </c>
      <c r="L24" s="13">
        <f>VLOOKUP(H24, 'RM &amp; SF'!B:H, 7, 0)</f>
        <v>0.28016999999999997</v>
      </c>
      <c r="M24" s="7">
        <f t="shared" si="0"/>
        <v>0.28016999999999997</v>
      </c>
      <c r="N24" s="4" t="s">
        <v>825</v>
      </c>
      <c r="O24" s="4">
        <f>VLOOKUP(B24, 'All Menu'!B:L, 6, 0)</f>
        <v>19.827586206896552</v>
      </c>
      <c r="P24" s="6">
        <f>VLOOKUP(B24, 'All Menu'!B:L, 9, 0)</f>
        <v>13.501379535676035</v>
      </c>
      <c r="Q24" s="14">
        <f>VLOOKUP(B24, 'All Menu'!B:M, 12, 0)</f>
        <v>0.31906085820068691</v>
      </c>
      <c r="R24" s="173">
        <f t="shared" si="2"/>
        <v>0</v>
      </c>
    </row>
    <row r="25" spans="1:18" ht="14" hidden="1">
      <c r="A25" s="78" t="s">
        <v>2477</v>
      </c>
      <c r="B25" s="220" t="s">
        <v>1111</v>
      </c>
      <c r="C25" s="185"/>
      <c r="D25" s="103" t="str">
        <f>VLOOKUP(B25, 'All Menu'!B:M, 4, 0)</f>
        <v>فريكة دجاج 1 دجاجة</v>
      </c>
      <c r="E25" s="30" t="str">
        <f>VLOOKUP(B25, 'All Menu'!B:M, 2, 0)</f>
        <v>قسم التواصي</v>
      </c>
      <c r="F25" s="103" t="str">
        <f>VLOOKUP(B25, 'All Menu'!B:M, 3, 0)</f>
        <v>التواصي سفري</v>
      </c>
      <c r="G25" s="90" t="s">
        <v>2421</v>
      </c>
      <c r="H25" s="219" t="s">
        <v>622</v>
      </c>
      <c r="I25" s="110" t="str">
        <f>VLOOKUP(H25, 'RM &amp; SF'!B:H, 2, 0)</f>
        <v>فريكة مطبوخة</v>
      </c>
      <c r="J25" s="184" t="str">
        <f>VLOOKUP(H25, 'RM &amp; SF'!B:E, 4, 0)</f>
        <v>غم</v>
      </c>
      <c r="K25" s="12">
        <v>1500</v>
      </c>
      <c r="L25" s="13">
        <f>VLOOKUP(H25, 'RM &amp; SF'!B:H, 7, 0)</f>
        <v>1.2594586666666669E-3</v>
      </c>
      <c r="M25" s="7">
        <f t="shared" si="0"/>
        <v>1.8891880000000003</v>
      </c>
      <c r="N25" s="4" t="s">
        <v>825</v>
      </c>
      <c r="O25" s="4">
        <f>VLOOKUP(B25, 'All Menu'!B:L, 6, 0)</f>
        <v>10.344827586206897</v>
      </c>
      <c r="P25" s="6">
        <f>VLOOKUP(B25, 'All Menu'!B:L, 9, 0)</f>
        <v>5.9247479696645087</v>
      </c>
      <c r="Q25" s="14">
        <f>VLOOKUP(B25, 'All Menu'!B:M, 12, 0)</f>
        <v>0.42727436293243082</v>
      </c>
      <c r="R25" s="173">
        <f t="shared" si="2"/>
        <v>0</v>
      </c>
    </row>
    <row r="26" spans="1:18" ht="14" hidden="1">
      <c r="A26" s="78" t="s">
        <v>2477</v>
      </c>
      <c r="B26" s="220" t="s">
        <v>1111</v>
      </c>
      <c r="C26" s="185"/>
      <c r="D26" s="103" t="str">
        <f>VLOOKUP(B26, 'All Menu'!B:M, 4, 0)</f>
        <v>فريكة دجاج 1 دجاجة</v>
      </c>
      <c r="E26" s="30" t="str">
        <f>VLOOKUP(B26, 'All Menu'!B:M, 2, 0)</f>
        <v>قسم التواصي</v>
      </c>
      <c r="F26" s="103" t="str">
        <f>VLOOKUP(B26, 'All Menu'!B:M, 3, 0)</f>
        <v>التواصي سفري</v>
      </c>
      <c r="G26" s="90" t="s">
        <v>2417</v>
      </c>
      <c r="H26" s="219" t="s">
        <v>544</v>
      </c>
      <c r="I26" s="110" t="str">
        <f>VLOOKUP(H26, 'RM &amp; SF'!B:H, 2, 0)</f>
        <v>دجاجة متبلة</v>
      </c>
      <c r="J26" s="184" t="str">
        <f>VLOOKUP(H26, 'RM &amp; SF'!B:E, 4, 0)</f>
        <v>قطعة</v>
      </c>
      <c r="K26" s="12">
        <v>1</v>
      </c>
      <c r="L26" s="13">
        <f>VLOOKUP(H26, 'RM &amp; SF'!B:H, 7, 0)</f>
        <v>3.0853324000000004</v>
      </c>
      <c r="M26" s="7">
        <f t="shared" si="0"/>
        <v>3.0853324000000004</v>
      </c>
      <c r="N26" s="4" t="s">
        <v>825</v>
      </c>
      <c r="O26" s="4">
        <f>VLOOKUP(B26, 'All Menu'!B:L, 6, 0)</f>
        <v>10.344827586206897</v>
      </c>
      <c r="P26" s="6">
        <f>VLOOKUP(B26, 'All Menu'!B:L, 9, 0)</f>
        <v>5.9247479696645087</v>
      </c>
      <c r="Q26" s="14">
        <f>VLOOKUP(B26, 'All Menu'!B:M, 12, 0)</f>
        <v>0.42727436293243082</v>
      </c>
      <c r="R26" s="173">
        <f t="shared" si="2"/>
        <v>0</v>
      </c>
    </row>
    <row r="27" spans="1:18" ht="14" hidden="1">
      <c r="A27" s="78" t="s">
        <v>2477</v>
      </c>
      <c r="B27" s="220" t="s">
        <v>1111</v>
      </c>
      <c r="C27" s="185"/>
      <c r="D27" s="103" t="str">
        <f>VLOOKUP(B27, 'All Menu'!B:M, 4, 0)</f>
        <v>فريكة دجاج 1 دجاجة</v>
      </c>
      <c r="E27" s="30" t="str">
        <f>VLOOKUP(B27, 'All Menu'!B:M, 2, 0)</f>
        <v>قسم التواصي</v>
      </c>
      <c r="F27" s="103" t="str">
        <f>VLOOKUP(B27, 'All Menu'!B:M, 3, 0)</f>
        <v>التواصي سفري</v>
      </c>
      <c r="G27" s="90" t="s">
        <v>2341</v>
      </c>
      <c r="H27" s="219" t="s">
        <v>706</v>
      </c>
      <c r="I27" s="110" t="str">
        <f>VLOOKUP(H27, 'RM &amp; SF'!B:H, 2, 0)</f>
        <v>لوز مقلي</v>
      </c>
      <c r="J27" s="184" t="str">
        <f>VLOOKUP(H27, 'RM &amp; SF'!B:E, 4, 0)</f>
        <v>غم</v>
      </c>
      <c r="K27" s="12">
        <v>80</v>
      </c>
      <c r="L27" s="13">
        <f>VLOOKUP(H27, 'RM &amp; SF'!B:H, 7, 0)</f>
        <v>4.1352327586206888E-3</v>
      </c>
      <c r="M27" s="7">
        <f t="shared" si="0"/>
        <v>0.33081862068965512</v>
      </c>
      <c r="N27" s="4" t="s">
        <v>825</v>
      </c>
      <c r="O27" s="4">
        <f>VLOOKUP(B27, 'All Menu'!B:L, 6, 0)</f>
        <v>10.344827586206897</v>
      </c>
      <c r="P27" s="6">
        <f>VLOOKUP(B27, 'All Menu'!B:L, 9, 0)</f>
        <v>5.9247479696645087</v>
      </c>
      <c r="Q27" s="14">
        <f>VLOOKUP(B27, 'All Menu'!B:M, 12, 0)</f>
        <v>0.42727436293243082</v>
      </c>
      <c r="R27" s="173">
        <f t="shared" si="2"/>
        <v>0</v>
      </c>
    </row>
    <row r="28" spans="1:18" ht="14" hidden="1">
      <c r="A28" s="78" t="s">
        <v>2477</v>
      </c>
      <c r="B28" s="220" t="s">
        <v>1111</v>
      </c>
      <c r="C28" s="185"/>
      <c r="D28" s="103" t="str">
        <f>VLOOKUP(B28, 'All Menu'!B:M, 4, 0)</f>
        <v>فريكة دجاج 1 دجاجة</v>
      </c>
      <c r="E28" s="30" t="str">
        <f>VLOOKUP(B28, 'All Menu'!B:M, 2, 0)</f>
        <v>قسم التواصي</v>
      </c>
      <c r="F28" s="103" t="str">
        <f>VLOOKUP(B28, 'All Menu'!B:M, 3, 0)</f>
        <v>التواصي سفري</v>
      </c>
      <c r="G28" s="90" t="s">
        <v>2228</v>
      </c>
      <c r="H28" s="219" t="s">
        <v>566</v>
      </c>
      <c r="I28" s="110" t="str">
        <f>VLOOKUP(H28, 'RM &amp; SF'!B:H, 2, 0)</f>
        <v>خيار بلبن</v>
      </c>
      <c r="J28" s="184" t="str">
        <f>VLOOKUP(H28, 'RM &amp; SF'!B:E, 4, 0)</f>
        <v>غم</v>
      </c>
      <c r="K28" s="12">
        <v>250</v>
      </c>
      <c r="L28" s="13">
        <f>VLOOKUP(H28, 'RM &amp; SF'!B:H, 7, 0)</f>
        <v>1.0121557958994094E-3</v>
      </c>
      <c r="M28" s="7">
        <f t="shared" si="0"/>
        <v>0.25303894897485235</v>
      </c>
      <c r="N28" s="4" t="s">
        <v>825</v>
      </c>
      <c r="O28" s="4">
        <f>VLOOKUP(B28, 'All Menu'!B:L, 6, 0)</f>
        <v>10.344827586206897</v>
      </c>
      <c r="P28" s="6">
        <f>VLOOKUP(B28, 'All Menu'!B:L, 9, 0)</f>
        <v>5.9247479696645087</v>
      </c>
      <c r="Q28" s="14">
        <f>VLOOKUP(B28, 'All Menu'!B:M, 12, 0)</f>
        <v>0.42727436293243082</v>
      </c>
      <c r="R28" s="173">
        <f t="shared" si="2"/>
        <v>0</v>
      </c>
    </row>
    <row r="29" spans="1:18" ht="14" hidden="1">
      <c r="A29" s="78" t="s">
        <v>2477</v>
      </c>
      <c r="B29" s="220" t="s">
        <v>1111</v>
      </c>
      <c r="C29" s="185"/>
      <c r="D29" s="103" t="str">
        <f>VLOOKUP(B29, 'All Menu'!B:M, 4, 0)</f>
        <v>فريكة دجاج 1 دجاجة</v>
      </c>
      <c r="E29" s="30" t="str">
        <f>VLOOKUP(B29, 'All Menu'!B:M, 2, 0)</f>
        <v>قسم التواصي</v>
      </c>
      <c r="F29" s="103" t="str">
        <f>VLOOKUP(B29, 'All Menu'!B:M, 3, 0)</f>
        <v>التواصي سفري</v>
      </c>
      <c r="G29" s="90" t="s">
        <v>2191</v>
      </c>
      <c r="H29" s="188">
        <v>4282</v>
      </c>
      <c r="I29" s="110" t="str">
        <f>VLOOKUP(H29, 'RM &amp; SF'!B:H, 2, 0)</f>
        <v>علب سوشي اسود رقم 3*****</v>
      </c>
      <c r="J29" s="184" t="str">
        <f>VLOOKUP(H29, 'RM &amp; SF'!B:E, 4, 0)</f>
        <v>قطعة</v>
      </c>
      <c r="K29" s="12">
        <v>1</v>
      </c>
      <c r="L29" s="13">
        <f>VLOOKUP(H29, 'RM &amp; SF'!B:H, 7, 0)</f>
        <v>8.6199999999999999E-2</v>
      </c>
      <c r="M29" s="7">
        <f t="shared" si="0"/>
        <v>8.6199999999999999E-2</v>
      </c>
      <c r="N29" s="4" t="s">
        <v>825</v>
      </c>
      <c r="O29" s="4">
        <f>VLOOKUP(B29, 'All Menu'!B:L, 6, 0)</f>
        <v>10.344827586206897</v>
      </c>
      <c r="P29" s="6">
        <f>VLOOKUP(B29, 'All Menu'!B:L, 9, 0)</f>
        <v>5.9247479696645087</v>
      </c>
      <c r="Q29" s="14">
        <f>VLOOKUP(B29, 'All Menu'!B:M, 12, 0)</f>
        <v>0.42727436293243082</v>
      </c>
      <c r="R29" s="173">
        <f t="shared" si="2"/>
        <v>0</v>
      </c>
    </row>
    <row r="30" spans="1:18" ht="14" hidden="1">
      <c r="A30" s="78" t="s">
        <v>2477</v>
      </c>
      <c r="B30" s="220" t="s">
        <v>1111</v>
      </c>
      <c r="C30" s="185"/>
      <c r="D30" s="103" t="str">
        <f>VLOOKUP(B30, 'All Menu'!B:M, 4, 0)</f>
        <v>فريكة دجاج 1 دجاجة</v>
      </c>
      <c r="E30" s="30" t="str">
        <f>VLOOKUP(B30, 'All Menu'!B:M, 2, 0)</f>
        <v>قسم التواصي</v>
      </c>
      <c r="F30" s="103" t="str">
        <f>VLOOKUP(B30, 'All Menu'!B:M, 3, 0)</f>
        <v>التواصي سفري</v>
      </c>
      <c r="G30" s="90" t="s">
        <v>3058</v>
      </c>
      <c r="H30" s="188">
        <v>4354</v>
      </c>
      <c r="I30" s="110" t="str">
        <f>VLOOKUP(H30, 'RM &amp; SF'!B:H, 2, 0)</f>
        <v>سدر بلاستيك دائري 35 سم*****</v>
      </c>
      <c r="J30" s="184" t="str">
        <f>VLOOKUP(H30, 'RM &amp; SF'!B:E, 4, 0)</f>
        <v>قطعة</v>
      </c>
      <c r="K30" s="12">
        <v>1</v>
      </c>
      <c r="L30" s="13">
        <f>VLOOKUP(H30, 'RM &amp; SF'!B:H, 7, 0)</f>
        <v>0.28016999999999997</v>
      </c>
      <c r="M30" s="7">
        <f t="shared" si="0"/>
        <v>0.28016999999999997</v>
      </c>
      <c r="N30" s="4" t="s">
        <v>825</v>
      </c>
      <c r="O30" s="4">
        <f>VLOOKUP(B30, 'All Menu'!B:L, 6, 0)</f>
        <v>10.344827586206897</v>
      </c>
      <c r="P30" s="6">
        <f>VLOOKUP(B30, 'All Menu'!B:L, 9, 0)</f>
        <v>5.9247479696645087</v>
      </c>
      <c r="Q30" s="14">
        <f>VLOOKUP(B30, 'All Menu'!B:M, 12, 0)</f>
        <v>0.42727436293243082</v>
      </c>
      <c r="R30" s="173">
        <f t="shared" si="2"/>
        <v>0</v>
      </c>
    </row>
    <row r="31" spans="1:18" ht="14">
      <c r="A31" s="78" t="s">
        <v>2481</v>
      </c>
      <c r="B31" s="220" t="s">
        <v>1112</v>
      </c>
      <c r="C31" s="185"/>
      <c r="D31" s="103" t="str">
        <f>VLOOKUP(B31, 'All Menu'!B:M, 4, 0)</f>
        <v>منسف دجاج 1 دجاجة</v>
      </c>
      <c r="E31" s="30" t="str">
        <f>VLOOKUP(B31, 'All Menu'!B:M, 2, 0)</f>
        <v>قسم التواصي</v>
      </c>
      <c r="F31" s="103" t="str">
        <f>VLOOKUP(B31, 'All Menu'!B:M, 3, 0)</f>
        <v>التواصي سفري</v>
      </c>
      <c r="G31" s="90" t="s">
        <v>2389</v>
      </c>
      <c r="H31" s="219" t="s">
        <v>550</v>
      </c>
      <c r="I31" s="110" t="str">
        <f>VLOOKUP(H31, 'RM &amp; SF'!B:H, 2, 0)</f>
        <v>ارز منسف</v>
      </c>
      <c r="J31" s="184" t="str">
        <f>VLOOKUP(H31, 'RM &amp; SF'!B:E, 4, 0)</f>
        <v>غم</v>
      </c>
      <c r="K31" s="12">
        <v>1000</v>
      </c>
      <c r="L31" s="13">
        <f>VLOOKUP(H31, 'RM &amp; SF'!B:H, 7, 0)</f>
        <v>4.9216375000000004E-4</v>
      </c>
      <c r="M31" s="7">
        <f t="shared" si="0"/>
        <v>0.49216375000000001</v>
      </c>
      <c r="N31" s="4" t="s">
        <v>825</v>
      </c>
      <c r="O31" s="4">
        <f>VLOOKUP(B31, 'All Menu'!B:L, 6, 0)</f>
        <v>10.344827586206897</v>
      </c>
      <c r="P31" s="6">
        <f>VLOOKUP(B31, 'All Menu'!B:L, 9, 0)</f>
        <v>1.7921716750954024</v>
      </c>
      <c r="Q31" s="14">
        <f>VLOOKUP(B31, 'All Menu'!B:M, 12, 0)</f>
        <v>0.82675673807411099</v>
      </c>
      <c r="R31" s="173">
        <f t="shared" si="2"/>
        <v>0</v>
      </c>
    </row>
    <row r="32" spans="1:18" ht="14" hidden="1">
      <c r="A32" s="78" t="s">
        <v>2481</v>
      </c>
      <c r="B32" s="220" t="s">
        <v>1112</v>
      </c>
      <c r="C32" s="185"/>
      <c r="D32" s="103" t="str">
        <f>VLOOKUP(B32, 'All Menu'!B:M, 4, 0)</f>
        <v>منسف دجاج 1 دجاجة</v>
      </c>
      <c r="E32" s="30" t="str">
        <f>VLOOKUP(B32, 'All Menu'!B:M, 2, 0)</f>
        <v>قسم التواصي</v>
      </c>
      <c r="F32" s="103" t="str">
        <f>VLOOKUP(B32, 'All Menu'!B:M, 3, 0)</f>
        <v>التواصي سفري</v>
      </c>
      <c r="G32" s="90" t="s">
        <v>2355</v>
      </c>
      <c r="H32" s="219" t="s">
        <v>736</v>
      </c>
      <c r="I32" s="110" t="str">
        <f>VLOOKUP(H32, 'RM &amp; SF'!B:H, 2, 0)</f>
        <v>دجاج مقلي</v>
      </c>
      <c r="J32" s="184" t="str">
        <f>VLOOKUP(H32, 'RM &amp; SF'!B:E, 4, 0)</f>
        <v>قطعة</v>
      </c>
      <c r="K32" s="12">
        <v>1</v>
      </c>
      <c r="L32" s="13">
        <f>VLOOKUP(H32, 'RM &amp; SF'!B:H, 7, 0)</f>
        <v>6.0256666666666681E-2</v>
      </c>
      <c r="M32" s="7">
        <f t="shared" si="0"/>
        <v>6.0256666666666681E-2</v>
      </c>
      <c r="N32" s="4" t="s">
        <v>825</v>
      </c>
      <c r="O32" s="4">
        <f>VLOOKUP(B32, 'All Menu'!B:L, 6, 0)</f>
        <v>10.344827586206897</v>
      </c>
      <c r="P32" s="6">
        <f>VLOOKUP(B32, 'All Menu'!B:L, 9, 0)</f>
        <v>1.7921716750954024</v>
      </c>
      <c r="Q32" s="14">
        <f>VLOOKUP(B32, 'All Menu'!B:M, 12, 0)</f>
        <v>0.82675673807411099</v>
      </c>
      <c r="R32" s="173">
        <f t="shared" si="2"/>
        <v>0</v>
      </c>
    </row>
    <row r="33" spans="1:18" ht="14" hidden="1">
      <c r="A33" s="78" t="s">
        <v>2481</v>
      </c>
      <c r="B33" s="220" t="s">
        <v>1112</v>
      </c>
      <c r="C33" s="185"/>
      <c r="D33" s="103" t="str">
        <f>VLOOKUP(B33, 'All Menu'!B:M, 4, 0)</f>
        <v>منسف دجاج 1 دجاجة</v>
      </c>
      <c r="E33" s="30" t="str">
        <f>VLOOKUP(B33, 'All Menu'!B:M, 2, 0)</f>
        <v>قسم التواصي</v>
      </c>
      <c r="F33" s="103" t="str">
        <f>VLOOKUP(B33, 'All Menu'!B:M, 3, 0)</f>
        <v>التواصي سفري</v>
      </c>
      <c r="G33" s="90" t="s">
        <v>2431</v>
      </c>
      <c r="H33" s="219" t="s">
        <v>552</v>
      </c>
      <c r="I33" s="110" t="str">
        <f>VLOOKUP(H33, 'RM &amp; SF'!B:H, 2, 0)</f>
        <v xml:space="preserve">لبن </v>
      </c>
      <c r="J33" s="184" t="str">
        <f>VLOOKUP(H33, 'RM &amp; SF'!B:E, 4, 0)</f>
        <v>غم</v>
      </c>
      <c r="K33" s="12">
        <v>1000</v>
      </c>
      <c r="L33" s="13">
        <f>VLOOKUP(H33, 'RM &amp; SF'!B:H, 7, 0)</f>
        <v>5.9114973451327433E-4</v>
      </c>
      <c r="M33" s="7">
        <f t="shared" si="0"/>
        <v>0.59114973451327435</v>
      </c>
      <c r="N33" s="4" t="s">
        <v>825</v>
      </c>
      <c r="O33" s="4">
        <f>VLOOKUP(B33, 'All Menu'!B:L, 6, 0)</f>
        <v>10.344827586206897</v>
      </c>
      <c r="P33" s="6">
        <f>VLOOKUP(B33, 'All Menu'!B:L, 9, 0)</f>
        <v>1.7921716750954024</v>
      </c>
      <c r="Q33" s="14">
        <f>VLOOKUP(B33, 'All Menu'!B:M, 12, 0)</f>
        <v>0.82675673807411099</v>
      </c>
      <c r="R33" s="173">
        <f t="shared" si="2"/>
        <v>0</v>
      </c>
    </row>
    <row r="34" spans="1:18" ht="14" hidden="1">
      <c r="A34" s="78" t="s">
        <v>2481</v>
      </c>
      <c r="B34" s="220" t="s">
        <v>1112</v>
      </c>
      <c r="C34" s="185"/>
      <c r="D34" s="103" t="str">
        <f>VLOOKUP(B34, 'All Menu'!B:M, 4, 0)</f>
        <v>منسف دجاج 1 دجاجة</v>
      </c>
      <c r="E34" s="30" t="str">
        <f>VLOOKUP(B34, 'All Menu'!B:M, 2, 0)</f>
        <v>قسم التواصي</v>
      </c>
      <c r="F34" s="103" t="str">
        <f>VLOOKUP(B34, 'All Menu'!B:M, 3, 0)</f>
        <v>التواصي سفري</v>
      </c>
      <c r="G34" s="90" t="s">
        <v>2331</v>
      </c>
      <c r="H34" s="219" t="s">
        <v>530</v>
      </c>
      <c r="I34" s="110" t="str">
        <f>VLOOKUP(H34, 'RM &amp; SF'!B:H, 2, 0)</f>
        <v>خبز صاج</v>
      </c>
      <c r="J34" s="184" t="str">
        <f>VLOOKUP(H34, 'RM &amp; SF'!B:E, 4, 0)</f>
        <v>غم</v>
      </c>
      <c r="K34" s="12">
        <v>200</v>
      </c>
      <c r="L34" s="13">
        <f>VLOOKUP(H34, 'RM &amp; SF'!B:H, 7, 0)</f>
        <v>1.8806451612903227E-4</v>
      </c>
      <c r="M34" s="7">
        <f t="shared" si="0"/>
        <v>3.7612903225806453E-2</v>
      </c>
      <c r="N34" s="4" t="s">
        <v>825</v>
      </c>
      <c r="O34" s="4">
        <f>VLOOKUP(B34, 'All Menu'!B:L, 6, 0)</f>
        <v>10.344827586206897</v>
      </c>
      <c r="P34" s="6">
        <f>VLOOKUP(B34, 'All Menu'!B:L, 9, 0)</f>
        <v>1.7921716750954024</v>
      </c>
      <c r="Q34" s="14">
        <f>VLOOKUP(B34, 'All Menu'!B:M, 12, 0)</f>
        <v>0.82675673807411099</v>
      </c>
      <c r="R34" s="173">
        <f t="shared" si="2"/>
        <v>0</v>
      </c>
    </row>
    <row r="35" spans="1:18" ht="14" hidden="1">
      <c r="A35" s="78" t="s">
        <v>2481</v>
      </c>
      <c r="B35" s="220" t="s">
        <v>1112</v>
      </c>
      <c r="C35" s="185"/>
      <c r="D35" s="103" t="str">
        <f>VLOOKUP(B35, 'All Menu'!B:M, 4, 0)</f>
        <v>منسف دجاج 1 دجاجة</v>
      </c>
      <c r="E35" s="30" t="str">
        <f>VLOOKUP(B35, 'All Menu'!B:M, 2, 0)</f>
        <v>قسم التواصي</v>
      </c>
      <c r="F35" s="103" t="str">
        <f>VLOOKUP(B35, 'All Menu'!B:M, 3, 0)</f>
        <v>التواصي سفري</v>
      </c>
      <c r="G35" s="90" t="s">
        <v>2341</v>
      </c>
      <c r="H35" s="219" t="s">
        <v>706</v>
      </c>
      <c r="I35" s="110" t="str">
        <f>VLOOKUP(H35, 'RM &amp; SF'!B:H, 2, 0)</f>
        <v>لوز مقلي</v>
      </c>
      <c r="J35" s="184" t="str">
        <f>VLOOKUP(H35, 'RM &amp; SF'!B:E, 4, 0)</f>
        <v>غم</v>
      </c>
      <c r="K35" s="12">
        <v>80</v>
      </c>
      <c r="L35" s="13">
        <f>VLOOKUP(H35, 'RM &amp; SF'!B:H, 7, 0)</f>
        <v>4.1352327586206888E-3</v>
      </c>
      <c r="M35" s="7">
        <f t="shared" si="0"/>
        <v>0.33081862068965512</v>
      </c>
      <c r="N35" s="4" t="s">
        <v>825</v>
      </c>
      <c r="O35" s="4">
        <f>VLOOKUP(B35, 'All Menu'!B:L, 6, 0)</f>
        <v>10.344827586206897</v>
      </c>
      <c r="P35" s="6">
        <f>VLOOKUP(B35, 'All Menu'!B:L, 9, 0)</f>
        <v>1.7921716750954024</v>
      </c>
      <c r="Q35" s="14">
        <f>VLOOKUP(B35, 'All Menu'!B:M, 12, 0)</f>
        <v>0.82675673807411099</v>
      </c>
      <c r="R35" s="173">
        <f t="shared" si="2"/>
        <v>0</v>
      </c>
    </row>
    <row r="36" spans="1:18" ht="14" hidden="1">
      <c r="A36" s="78" t="s">
        <v>2481</v>
      </c>
      <c r="B36" s="220" t="s">
        <v>1112</v>
      </c>
      <c r="C36" s="185"/>
      <c r="D36" s="103" t="str">
        <f>VLOOKUP(B36, 'All Menu'!B:M, 4, 0)</f>
        <v>منسف دجاج 1 دجاجة</v>
      </c>
      <c r="E36" s="30" t="str">
        <f>VLOOKUP(B36, 'All Menu'!B:M, 2, 0)</f>
        <v>قسم التواصي</v>
      </c>
      <c r="F36" s="103" t="str">
        <f>VLOOKUP(B36, 'All Menu'!B:M, 3, 0)</f>
        <v>التواصي سفري</v>
      </c>
      <c r="G36" s="90" t="s">
        <v>3058</v>
      </c>
      <c r="H36" s="188">
        <v>4354</v>
      </c>
      <c r="I36" s="110" t="str">
        <f>VLOOKUP(H36, 'RM &amp; SF'!B:H, 2, 0)</f>
        <v>سدر بلاستيك دائري 35 سم*****</v>
      </c>
      <c r="J36" s="184" t="str">
        <f>VLOOKUP(H36, 'RM &amp; SF'!B:E, 4, 0)</f>
        <v>قطعة</v>
      </c>
      <c r="K36" s="12">
        <v>1</v>
      </c>
      <c r="L36" s="13">
        <f>VLOOKUP(H36, 'RM &amp; SF'!B:H, 7, 0)</f>
        <v>0.28016999999999997</v>
      </c>
      <c r="M36" s="7">
        <f t="shared" si="0"/>
        <v>0.28016999999999997</v>
      </c>
      <c r="N36" s="4" t="s">
        <v>825</v>
      </c>
      <c r="O36" s="4">
        <f>VLOOKUP(B36, 'All Menu'!B:L, 6, 0)</f>
        <v>10.344827586206897</v>
      </c>
      <c r="P36" s="6">
        <f>VLOOKUP(B36, 'All Menu'!B:L, 9, 0)</f>
        <v>1.7921716750954024</v>
      </c>
      <c r="Q36" s="14">
        <f>VLOOKUP(B36, 'All Menu'!B:M, 12, 0)</f>
        <v>0.82675673807411099</v>
      </c>
      <c r="R36" s="173">
        <f t="shared" si="2"/>
        <v>0</v>
      </c>
    </row>
    <row r="37" spans="1:18" ht="14" hidden="1">
      <c r="A37" s="78" t="s">
        <v>2475</v>
      </c>
      <c r="B37" s="220" t="s">
        <v>1113</v>
      </c>
      <c r="C37" s="185"/>
      <c r="D37" s="103" t="str">
        <f>VLOOKUP(B37, 'All Menu'!B:M, 4, 0)</f>
        <v>أوزي دجاج 1 دجاجة</v>
      </c>
      <c r="E37" s="30" t="str">
        <f>VLOOKUP(B37, 'All Menu'!B:M, 2, 0)</f>
        <v>قسم التواصي</v>
      </c>
      <c r="F37" s="103" t="str">
        <f>VLOOKUP(B37, 'All Menu'!B:M, 3, 0)</f>
        <v>التواصي سفري</v>
      </c>
      <c r="G37" s="90" t="s">
        <v>2412</v>
      </c>
      <c r="H37" s="219" t="s">
        <v>598</v>
      </c>
      <c r="I37" s="110" t="str">
        <f>VLOOKUP(H37, 'RM &amp; SF'!B:H, 2, 0)</f>
        <v>رز اوزي</v>
      </c>
      <c r="J37" s="184" t="str">
        <f>VLOOKUP(H37, 'RM &amp; SF'!B:E, 4, 0)</f>
        <v>غم</v>
      </c>
      <c r="K37" s="12">
        <v>1000</v>
      </c>
      <c r="L37" s="13">
        <f>VLOOKUP(H37, 'RM &amp; SF'!B:H, 7, 0)</f>
        <v>1.1675619256756756E-3</v>
      </c>
      <c r="M37" s="7">
        <f t="shared" si="0"/>
        <v>1.1675619256756755</v>
      </c>
      <c r="N37" s="4" t="s">
        <v>825</v>
      </c>
      <c r="O37" s="4">
        <f>VLOOKUP(B37, 'All Menu'!B:L, 6, 0)</f>
        <v>8.6206896551724146</v>
      </c>
      <c r="P37" s="6">
        <f>VLOOKUP(B37, 'All Menu'!B:L, 9, 0)</f>
        <v>5.2035958953401833</v>
      </c>
      <c r="Q37" s="14">
        <f>VLOOKUP(B37, 'All Menu'!B:M, 12, 0)</f>
        <v>0.3963828761405388</v>
      </c>
      <c r="R37" s="173">
        <f t="shared" si="2"/>
        <v>0</v>
      </c>
    </row>
    <row r="38" spans="1:18" ht="14" hidden="1">
      <c r="A38" s="78" t="s">
        <v>2475</v>
      </c>
      <c r="B38" s="220" t="s">
        <v>1113</v>
      </c>
      <c r="C38" s="185"/>
      <c r="D38" s="103" t="str">
        <f>VLOOKUP(B38, 'All Menu'!B:M, 4, 0)</f>
        <v>أوزي دجاج 1 دجاجة</v>
      </c>
      <c r="E38" s="30" t="str">
        <f>VLOOKUP(B38, 'All Menu'!B:M, 2, 0)</f>
        <v>قسم التواصي</v>
      </c>
      <c r="F38" s="103" t="str">
        <f>VLOOKUP(B38, 'All Menu'!B:M, 3, 0)</f>
        <v>التواصي سفري</v>
      </c>
      <c r="G38" s="90" t="s">
        <v>2417</v>
      </c>
      <c r="H38" s="219" t="s">
        <v>544</v>
      </c>
      <c r="I38" s="110" t="str">
        <f>VLOOKUP(H38, 'RM &amp; SF'!B:H, 2, 0)</f>
        <v>دجاجة متبلة</v>
      </c>
      <c r="J38" s="184" t="str">
        <f>VLOOKUP(H38, 'RM &amp; SF'!B:E, 4, 0)</f>
        <v>قطعة</v>
      </c>
      <c r="K38" s="12">
        <v>1</v>
      </c>
      <c r="L38" s="13">
        <f>VLOOKUP(H38, 'RM &amp; SF'!B:H, 7, 0)</f>
        <v>3.0853324000000004</v>
      </c>
      <c r="M38" s="7">
        <f t="shared" si="0"/>
        <v>3.0853324000000004</v>
      </c>
      <c r="N38" s="4" t="s">
        <v>825</v>
      </c>
      <c r="O38" s="4">
        <f>VLOOKUP(B38, 'All Menu'!B:L, 6, 0)</f>
        <v>8.6206896551724146</v>
      </c>
      <c r="P38" s="6">
        <f>VLOOKUP(B38, 'All Menu'!B:L, 9, 0)</f>
        <v>5.2035958953401833</v>
      </c>
      <c r="Q38" s="14">
        <f>VLOOKUP(B38, 'All Menu'!B:M, 12, 0)</f>
        <v>0.3963828761405388</v>
      </c>
      <c r="R38" s="173">
        <f t="shared" si="2"/>
        <v>0</v>
      </c>
    </row>
    <row r="39" spans="1:18" ht="14" hidden="1">
      <c r="A39" s="78" t="s">
        <v>2475</v>
      </c>
      <c r="B39" s="220" t="s">
        <v>1113</v>
      </c>
      <c r="C39" s="185"/>
      <c r="D39" s="103" t="str">
        <f>VLOOKUP(B39, 'All Menu'!B:M, 4, 0)</f>
        <v>أوزي دجاج 1 دجاجة</v>
      </c>
      <c r="E39" s="30" t="str">
        <f>VLOOKUP(B39, 'All Menu'!B:M, 2, 0)</f>
        <v>قسم التواصي</v>
      </c>
      <c r="F39" s="103" t="str">
        <f>VLOOKUP(B39, 'All Menu'!B:M, 3, 0)</f>
        <v>التواصي سفري</v>
      </c>
      <c r="G39" s="90" t="s">
        <v>2341</v>
      </c>
      <c r="H39" s="219" t="s">
        <v>706</v>
      </c>
      <c r="I39" s="110" t="str">
        <f>VLOOKUP(H39, 'RM &amp; SF'!B:H, 2, 0)</f>
        <v>لوز مقلي</v>
      </c>
      <c r="J39" s="184" t="str">
        <f>VLOOKUP(H39, 'RM &amp; SF'!B:E, 4, 0)</f>
        <v>غم</v>
      </c>
      <c r="K39" s="12">
        <v>80</v>
      </c>
      <c r="L39" s="13">
        <f>VLOOKUP(H39, 'RM &amp; SF'!B:H, 7, 0)</f>
        <v>4.1352327586206888E-3</v>
      </c>
      <c r="M39" s="7">
        <f t="shared" si="0"/>
        <v>0.33081862068965512</v>
      </c>
      <c r="N39" s="4" t="s">
        <v>825</v>
      </c>
      <c r="O39" s="4">
        <f>VLOOKUP(B39, 'All Menu'!B:L, 6, 0)</f>
        <v>8.6206896551724146</v>
      </c>
      <c r="P39" s="6">
        <f>VLOOKUP(B39, 'All Menu'!B:L, 9, 0)</f>
        <v>5.2035958953401833</v>
      </c>
      <c r="Q39" s="14">
        <f>VLOOKUP(B39, 'All Menu'!B:M, 12, 0)</f>
        <v>0.3963828761405388</v>
      </c>
      <c r="R39" s="173">
        <f t="shared" si="2"/>
        <v>0</v>
      </c>
    </row>
    <row r="40" spans="1:18" ht="14" hidden="1">
      <c r="A40" s="78" t="s">
        <v>2475</v>
      </c>
      <c r="B40" s="220" t="s">
        <v>1113</v>
      </c>
      <c r="C40" s="185"/>
      <c r="D40" s="103" t="str">
        <f>VLOOKUP(B40, 'All Menu'!B:M, 4, 0)</f>
        <v>أوزي دجاج 1 دجاجة</v>
      </c>
      <c r="E40" s="30" t="str">
        <f>VLOOKUP(B40, 'All Menu'!B:M, 2, 0)</f>
        <v>قسم التواصي</v>
      </c>
      <c r="F40" s="103" t="str">
        <f>VLOOKUP(B40, 'All Menu'!B:M, 3, 0)</f>
        <v>التواصي سفري</v>
      </c>
      <c r="G40" s="90" t="s">
        <v>2228</v>
      </c>
      <c r="H40" s="219" t="s">
        <v>566</v>
      </c>
      <c r="I40" s="110" t="str">
        <f>VLOOKUP(H40, 'RM &amp; SF'!B:H, 2, 0)</f>
        <v>خيار بلبن</v>
      </c>
      <c r="J40" s="184" t="str">
        <f>VLOOKUP(H40, 'RM &amp; SF'!B:E, 4, 0)</f>
        <v>غم</v>
      </c>
      <c r="K40" s="12">
        <v>250</v>
      </c>
      <c r="L40" s="13">
        <f>VLOOKUP(H40, 'RM &amp; SF'!B:H, 7, 0)</f>
        <v>1.0121557958994094E-3</v>
      </c>
      <c r="M40" s="7">
        <f t="shared" si="0"/>
        <v>0.25303894897485235</v>
      </c>
      <c r="N40" s="4" t="s">
        <v>825</v>
      </c>
      <c r="O40" s="4">
        <f>VLOOKUP(B40, 'All Menu'!B:L, 6, 0)</f>
        <v>8.6206896551724146</v>
      </c>
      <c r="P40" s="6">
        <f>VLOOKUP(B40, 'All Menu'!B:L, 9, 0)</f>
        <v>5.2035958953401833</v>
      </c>
      <c r="Q40" s="14">
        <f>VLOOKUP(B40, 'All Menu'!B:M, 12, 0)</f>
        <v>0.3963828761405388</v>
      </c>
      <c r="R40" s="173">
        <f t="shared" si="2"/>
        <v>0</v>
      </c>
    </row>
    <row r="41" spans="1:18" ht="14" hidden="1">
      <c r="A41" s="78" t="s">
        <v>2475</v>
      </c>
      <c r="B41" s="220" t="s">
        <v>1113</v>
      </c>
      <c r="C41" s="185"/>
      <c r="D41" s="103" t="str">
        <f>VLOOKUP(B41, 'All Menu'!B:M, 4, 0)</f>
        <v>أوزي دجاج 1 دجاجة</v>
      </c>
      <c r="E41" s="30" t="str">
        <f>VLOOKUP(B41, 'All Menu'!B:M, 2, 0)</f>
        <v>قسم التواصي</v>
      </c>
      <c r="F41" s="103" t="str">
        <f>VLOOKUP(B41, 'All Menu'!B:M, 3, 0)</f>
        <v>التواصي سفري</v>
      </c>
      <c r="G41" s="90" t="s">
        <v>2191</v>
      </c>
      <c r="H41" s="188">
        <v>4282</v>
      </c>
      <c r="I41" s="110" t="str">
        <f>VLOOKUP(H41, 'RM &amp; SF'!B:H, 2, 0)</f>
        <v>علب سوشي اسود رقم 3*****</v>
      </c>
      <c r="J41" s="184" t="str">
        <f>VLOOKUP(H41, 'RM &amp; SF'!B:E, 4, 0)</f>
        <v>قطعة</v>
      </c>
      <c r="K41" s="12">
        <v>1</v>
      </c>
      <c r="L41" s="13">
        <f>VLOOKUP(H41, 'RM &amp; SF'!B:H, 7, 0)</f>
        <v>8.6199999999999999E-2</v>
      </c>
      <c r="M41" s="7">
        <f t="shared" si="0"/>
        <v>8.6199999999999999E-2</v>
      </c>
      <c r="N41" s="4" t="s">
        <v>825</v>
      </c>
      <c r="O41" s="4">
        <f>VLOOKUP(B41, 'All Menu'!B:L, 6, 0)</f>
        <v>8.6206896551724146</v>
      </c>
      <c r="P41" s="6">
        <f>VLOOKUP(B41, 'All Menu'!B:L, 9, 0)</f>
        <v>5.2035958953401833</v>
      </c>
      <c r="Q41" s="14">
        <f>VLOOKUP(B41, 'All Menu'!B:M, 12, 0)</f>
        <v>0.3963828761405388</v>
      </c>
      <c r="R41" s="173">
        <f t="shared" si="2"/>
        <v>0</v>
      </c>
    </row>
    <row r="42" spans="1:18" ht="14" hidden="1">
      <c r="A42" s="78" t="s">
        <v>2475</v>
      </c>
      <c r="B42" s="220" t="s">
        <v>1113</v>
      </c>
      <c r="C42" s="185"/>
      <c r="D42" s="103" t="str">
        <f>VLOOKUP(B42, 'All Menu'!B:M, 4, 0)</f>
        <v>أوزي دجاج 1 دجاجة</v>
      </c>
      <c r="E42" s="30" t="str">
        <f>VLOOKUP(B42, 'All Menu'!B:M, 2, 0)</f>
        <v>قسم التواصي</v>
      </c>
      <c r="F42" s="103" t="str">
        <f>VLOOKUP(B42, 'All Menu'!B:M, 3, 0)</f>
        <v>التواصي سفري</v>
      </c>
      <c r="G42" s="90" t="s">
        <v>2195</v>
      </c>
      <c r="H42" s="188">
        <v>4329</v>
      </c>
      <c r="I42" s="110" t="str">
        <f>VLOOKUP(H42, 'RM &amp; SF'!B:H, 2, 0)</f>
        <v>ملاعق بلاستيك مع معقم مطبوع 1*500 حبة*****</v>
      </c>
      <c r="J42" s="184" t="str">
        <f>VLOOKUP(H42, 'RM &amp; SF'!B:E, 4, 0)</f>
        <v>قطعة</v>
      </c>
      <c r="K42" s="12">
        <v>1</v>
      </c>
      <c r="L42" s="13">
        <f>VLOOKUP(H42, 'RM &amp; SF'!B:H, 7, 0)</f>
        <v>4.7399999999999997E-4</v>
      </c>
      <c r="M42" s="7">
        <f t="shared" si="0"/>
        <v>4.7399999999999997E-4</v>
      </c>
      <c r="N42" s="4" t="s">
        <v>825</v>
      </c>
      <c r="O42" s="4">
        <f>VLOOKUP(B42, 'All Menu'!B:L, 6, 0)</f>
        <v>8.6206896551724146</v>
      </c>
      <c r="P42" s="6">
        <f>VLOOKUP(B42, 'All Menu'!B:L, 9, 0)</f>
        <v>5.2035958953401833</v>
      </c>
      <c r="Q42" s="14">
        <f>VLOOKUP(B42, 'All Menu'!B:M, 12, 0)</f>
        <v>0.3963828761405388</v>
      </c>
      <c r="R42" s="173">
        <f t="shared" si="2"/>
        <v>0</v>
      </c>
    </row>
    <row r="43" spans="1:18" ht="14" hidden="1">
      <c r="A43" s="78" t="s">
        <v>2475</v>
      </c>
      <c r="B43" s="220" t="s">
        <v>1113</v>
      </c>
      <c r="C43" s="185"/>
      <c r="D43" s="103" t="str">
        <f>VLOOKUP(B43, 'All Menu'!B:M, 4, 0)</f>
        <v>أوزي دجاج 1 دجاجة</v>
      </c>
      <c r="E43" s="30" t="str">
        <f>VLOOKUP(B43, 'All Menu'!B:M, 2, 0)</f>
        <v>قسم التواصي</v>
      </c>
      <c r="F43" s="103" t="str">
        <f>VLOOKUP(B43, 'All Menu'!B:M, 3, 0)</f>
        <v>التواصي سفري</v>
      </c>
      <c r="G43" s="90" t="s">
        <v>3058</v>
      </c>
      <c r="H43" s="188">
        <v>4354</v>
      </c>
      <c r="I43" s="110" t="str">
        <f>VLOOKUP(H43, 'RM &amp; SF'!B:H, 2, 0)</f>
        <v>سدر بلاستيك دائري 35 سم*****</v>
      </c>
      <c r="J43" s="184" t="str">
        <f>VLOOKUP(H43, 'RM &amp; SF'!B:E, 4, 0)</f>
        <v>قطعة</v>
      </c>
      <c r="K43" s="12">
        <v>1</v>
      </c>
      <c r="L43" s="13">
        <f>VLOOKUP(H43, 'RM &amp; SF'!B:H, 7, 0)</f>
        <v>0.28016999999999997</v>
      </c>
      <c r="M43" s="7">
        <f t="shared" si="0"/>
        <v>0.28016999999999997</v>
      </c>
      <c r="N43" s="4" t="s">
        <v>825</v>
      </c>
      <c r="O43" s="4">
        <f>VLOOKUP(B43, 'All Menu'!B:L, 6, 0)</f>
        <v>8.6206896551724146</v>
      </c>
      <c r="P43" s="6">
        <f>VLOOKUP(B43, 'All Menu'!B:L, 9, 0)</f>
        <v>5.2035958953401833</v>
      </c>
      <c r="Q43" s="14">
        <f>VLOOKUP(B43, 'All Menu'!B:M, 12, 0)</f>
        <v>0.3963828761405388</v>
      </c>
      <c r="R43" s="173">
        <f t="shared" si="2"/>
        <v>0</v>
      </c>
    </row>
    <row r="44" spans="1:18" ht="14" hidden="1">
      <c r="A44" s="78" t="s">
        <v>2476</v>
      </c>
      <c r="B44" s="220" t="s">
        <v>1114</v>
      </c>
      <c r="C44" s="185"/>
      <c r="D44" s="103" t="str">
        <f>VLOOKUP(B44, 'All Menu'!B:M, 4, 0)</f>
        <v>مندي دجاج 1 دجاجة</v>
      </c>
      <c r="E44" s="30" t="str">
        <f>VLOOKUP(B44, 'All Menu'!B:M, 2, 0)</f>
        <v>قسم التواصي</v>
      </c>
      <c r="F44" s="103" t="str">
        <f>VLOOKUP(B44, 'All Menu'!B:M, 3, 0)</f>
        <v>التواصي سفري</v>
      </c>
      <c r="G44" s="90" t="s">
        <v>2387</v>
      </c>
      <c r="H44" s="219" t="s">
        <v>554</v>
      </c>
      <c r="I44" s="110" t="str">
        <f>VLOOKUP(H44, 'RM &amp; SF'!B:H, 2, 0)</f>
        <v>مندي</v>
      </c>
      <c r="J44" s="184" t="str">
        <f>VLOOKUP(H44, 'RM &amp; SF'!B:E, 4, 0)</f>
        <v>غم</v>
      </c>
      <c r="K44" s="12">
        <v>1600</v>
      </c>
      <c r="L44" s="13">
        <f>VLOOKUP(H44, 'RM &amp; SF'!B:H, 7, 0)</f>
        <v>4.9271573151695748E-4</v>
      </c>
      <c r="M44" s="7">
        <f t="shared" si="0"/>
        <v>0.78834517042713192</v>
      </c>
      <c r="N44" s="4" t="s">
        <v>825</v>
      </c>
      <c r="O44" s="4">
        <f>VLOOKUP(B44, 'All Menu'!B:L, 6, 0)</f>
        <v>8.6206896551724146</v>
      </c>
      <c r="P44" s="6">
        <f>VLOOKUP(B44, 'All Menu'!B:L, 9, 0)</f>
        <v>5.5432276917402739</v>
      </c>
      <c r="Q44" s="14">
        <f>VLOOKUP(B44, 'All Menu'!B:M, 12, 0)</f>
        <v>0.35698558775812828</v>
      </c>
      <c r="R44" s="173">
        <f t="shared" si="2"/>
        <v>0</v>
      </c>
    </row>
    <row r="45" spans="1:18" ht="14" hidden="1">
      <c r="A45" s="78" t="s">
        <v>2476</v>
      </c>
      <c r="B45" s="220" t="s">
        <v>1114</v>
      </c>
      <c r="C45" s="185"/>
      <c r="D45" s="103" t="str">
        <f>VLOOKUP(B45, 'All Menu'!B:M, 4, 0)</f>
        <v>مندي دجاج 1 دجاجة</v>
      </c>
      <c r="E45" s="30" t="str">
        <f>VLOOKUP(B45, 'All Menu'!B:M, 2, 0)</f>
        <v>قسم التواصي</v>
      </c>
      <c r="F45" s="103" t="str">
        <f>VLOOKUP(B45, 'All Menu'!B:M, 3, 0)</f>
        <v>التواصي سفري</v>
      </c>
      <c r="G45" s="90" t="s">
        <v>2417</v>
      </c>
      <c r="H45" s="219" t="s">
        <v>544</v>
      </c>
      <c r="I45" s="110" t="str">
        <f>VLOOKUP(H45, 'RM &amp; SF'!B:H, 2, 0)</f>
        <v>دجاجة متبلة</v>
      </c>
      <c r="J45" s="184" t="str">
        <f>VLOOKUP(H45, 'RM &amp; SF'!B:E, 4, 0)</f>
        <v>قطعة</v>
      </c>
      <c r="K45" s="12">
        <v>1</v>
      </c>
      <c r="L45" s="13">
        <f>VLOOKUP(H45, 'RM &amp; SF'!B:H, 7, 0)</f>
        <v>3.0853324000000004</v>
      </c>
      <c r="M45" s="7">
        <f t="shared" si="0"/>
        <v>3.0853324000000004</v>
      </c>
      <c r="N45" s="4" t="s">
        <v>825</v>
      </c>
      <c r="O45" s="4">
        <f>VLOOKUP(B45, 'All Menu'!B:L, 6, 0)</f>
        <v>8.6206896551724146</v>
      </c>
      <c r="P45" s="6">
        <f>VLOOKUP(B45, 'All Menu'!B:L, 9, 0)</f>
        <v>5.5432276917402739</v>
      </c>
      <c r="Q45" s="14">
        <f>VLOOKUP(B45, 'All Menu'!B:M, 12, 0)</f>
        <v>0.35698558775812828</v>
      </c>
      <c r="R45" s="173">
        <f t="shared" si="2"/>
        <v>0</v>
      </c>
    </row>
    <row r="46" spans="1:18" ht="14" hidden="1">
      <c r="A46" s="78" t="s">
        <v>2476</v>
      </c>
      <c r="B46" s="220" t="s">
        <v>1114</v>
      </c>
      <c r="C46" s="185"/>
      <c r="D46" s="103" t="str">
        <f>VLOOKUP(B46, 'All Menu'!B:M, 4, 0)</f>
        <v>مندي دجاج 1 دجاجة</v>
      </c>
      <c r="E46" s="30" t="str">
        <f>VLOOKUP(B46, 'All Menu'!B:M, 2, 0)</f>
        <v>قسم التواصي</v>
      </c>
      <c r="F46" s="103" t="str">
        <f>VLOOKUP(B46, 'All Menu'!B:M, 3, 0)</f>
        <v>التواصي سفري</v>
      </c>
      <c r="G46" s="90" t="s">
        <v>3058</v>
      </c>
      <c r="H46" s="188">
        <v>4285</v>
      </c>
      <c r="I46" s="110" t="str">
        <f>VLOOKUP(H46, 'RM &amp; SF'!B:H, 2, 0)</f>
        <v>علب بلاستيك مربع متصل 150 مل*****</v>
      </c>
      <c r="J46" s="184" t="str">
        <f>VLOOKUP(H46, 'RM &amp; SF'!B:E, 4, 0)</f>
        <v>قطعة</v>
      </c>
      <c r="K46" s="12">
        <v>1</v>
      </c>
      <c r="L46" s="13">
        <f>VLOOKUP(H46, 'RM &amp; SF'!B:H, 7, 0)</f>
        <v>1.494E-2</v>
      </c>
      <c r="M46" s="7">
        <f>L46*K46</f>
        <v>1.494E-2</v>
      </c>
      <c r="N46" s="4" t="s">
        <v>825</v>
      </c>
      <c r="O46" s="4">
        <f>VLOOKUP(B46, 'All Menu'!B:L, 6, 0)</f>
        <v>8.6206896551724146</v>
      </c>
      <c r="P46" s="6">
        <f>VLOOKUP(B46, 'All Menu'!B:L, 9, 0)</f>
        <v>5.5432276917402739</v>
      </c>
      <c r="Q46" s="14">
        <f>VLOOKUP(B46, 'All Menu'!B:M, 12, 0)</f>
        <v>0.35698558775812828</v>
      </c>
      <c r="R46" s="173"/>
    </row>
    <row r="47" spans="1:18" ht="14" hidden="1">
      <c r="A47" s="78" t="s">
        <v>2476</v>
      </c>
      <c r="B47" s="220" t="s">
        <v>1114</v>
      </c>
      <c r="C47" s="185"/>
      <c r="D47" s="103" t="str">
        <f>VLOOKUP(B47, 'All Menu'!B:M, 4, 0)</f>
        <v>مندي دجاج 1 دجاجة</v>
      </c>
      <c r="E47" s="30" t="str">
        <f>VLOOKUP(B47, 'All Menu'!B:M, 2, 0)</f>
        <v>قسم التواصي</v>
      </c>
      <c r="F47" s="103" t="str">
        <f>VLOOKUP(B47, 'All Menu'!B:M, 3, 0)</f>
        <v>التواصي سفري</v>
      </c>
      <c r="G47" s="90" t="s">
        <v>2194</v>
      </c>
      <c r="H47" s="188">
        <v>4323</v>
      </c>
      <c r="I47" s="110" t="str">
        <f>VLOOKUP(H47, 'RM &amp; SF'!B:H, 2, 0)</f>
        <v>قصدير رول 45 سم*2كغ*****</v>
      </c>
      <c r="J47" s="184" t="str">
        <f>VLOOKUP(H47, 'RM &amp; SF'!B:E, 4, 0)</f>
        <v>غم</v>
      </c>
      <c r="K47" s="12">
        <v>60</v>
      </c>
      <c r="L47" s="13">
        <f>VLOOKUP(H47, 'RM &amp; SF'!B:H, 7, 0)</f>
        <v>1.7240000000000001E-3</v>
      </c>
      <c r="M47" s="7">
        <f>L47*K47</f>
        <v>0.10344</v>
      </c>
      <c r="N47" s="4" t="s">
        <v>825</v>
      </c>
      <c r="O47" s="4">
        <f>VLOOKUP(B47, 'All Menu'!B:L, 6, 0)</f>
        <v>8.6206896551724146</v>
      </c>
      <c r="P47" s="6">
        <f>VLOOKUP(B47, 'All Menu'!B:L, 9, 0)</f>
        <v>5.5432276917402739</v>
      </c>
      <c r="Q47" s="14">
        <f>VLOOKUP(B47, 'All Menu'!B:M, 12, 0)</f>
        <v>0.35698558775812828</v>
      </c>
      <c r="R47" s="173"/>
    </row>
    <row r="48" spans="1:18" ht="14" hidden="1">
      <c r="A48" s="78" t="s">
        <v>2476</v>
      </c>
      <c r="B48" s="220" t="s">
        <v>1114</v>
      </c>
      <c r="C48" s="185"/>
      <c r="D48" s="103" t="str">
        <f>VLOOKUP(B48, 'All Menu'!B:M, 4, 0)</f>
        <v>مندي دجاج 1 دجاجة</v>
      </c>
      <c r="E48" s="30" t="str">
        <f>VLOOKUP(B48, 'All Menu'!B:M, 2, 0)</f>
        <v>قسم التواصي</v>
      </c>
      <c r="F48" s="103" t="str">
        <f>VLOOKUP(B48, 'All Menu'!B:M, 3, 0)</f>
        <v>التواصي سفري</v>
      </c>
      <c r="G48" s="90" t="s">
        <v>2195</v>
      </c>
      <c r="H48" s="188">
        <v>4329</v>
      </c>
      <c r="I48" s="110" t="str">
        <f>VLOOKUP(H48, 'RM &amp; SF'!B:H, 2, 0)</f>
        <v>ملاعق بلاستيك مع معقم مطبوع 1*500 حبة*****</v>
      </c>
      <c r="J48" s="184" t="str">
        <f>VLOOKUP(H48, 'RM &amp; SF'!B:E, 4, 0)</f>
        <v>قطعة</v>
      </c>
      <c r="K48" s="12">
        <v>1</v>
      </c>
      <c r="L48" s="13">
        <f>VLOOKUP(H48, 'RM &amp; SF'!B:H, 7, 0)</f>
        <v>4.7399999999999997E-4</v>
      </c>
      <c r="M48" s="7">
        <f>L48*K48</f>
        <v>4.7399999999999997E-4</v>
      </c>
      <c r="N48" s="4" t="s">
        <v>825</v>
      </c>
      <c r="O48" s="4">
        <f>VLOOKUP(B48, 'All Menu'!B:L, 6, 0)</f>
        <v>8.6206896551724146</v>
      </c>
      <c r="P48" s="6">
        <f>VLOOKUP(B48, 'All Menu'!B:L, 9, 0)</f>
        <v>5.5432276917402739</v>
      </c>
      <c r="Q48" s="14">
        <f>VLOOKUP(B48, 'All Menu'!B:M, 12, 0)</f>
        <v>0.35698558775812828</v>
      </c>
      <c r="R48" s="173"/>
    </row>
    <row r="49" spans="1:18" ht="14" hidden="1">
      <c r="A49" s="78" t="s">
        <v>2476</v>
      </c>
      <c r="B49" s="220" t="s">
        <v>1114</v>
      </c>
      <c r="C49" s="185"/>
      <c r="D49" s="103" t="str">
        <f>VLOOKUP(B49, 'All Menu'!B:M, 4, 0)</f>
        <v>مندي دجاج 1 دجاجة</v>
      </c>
      <c r="E49" s="30" t="str">
        <f>VLOOKUP(B49, 'All Menu'!B:M, 2, 0)</f>
        <v>قسم التواصي</v>
      </c>
      <c r="F49" s="103" t="str">
        <f>VLOOKUP(B49, 'All Menu'!B:M, 3, 0)</f>
        <v>التواصي سفري</v>
      </c>
      <c r="G49" s="90" t="s">
        <v>2228</v>
      </c>
      <c r="H49" s="219" t="s">
        <v>566</v>
      </c>
      <c r="I49" s="110" t="str">
        <f>VLOOKUP(H49, 'RM &amp; SF'!B:H, 2, 0)</f>
        <v>خيار بلبن</v>
      </c>
      <c r="J49" s="184" t="str">
        <f>VLOOKUP(H49, 'RM &amp; SF'!B:E, 4, 0)</f>
        <v>غم</v>
      </c>
      <c r="K49" s="12">
        <v>1</v>
      </c>
      <c r="L49" s="13">
        <f>VLOOKUP(H49, 'RM &amp; SF'!B:H, 7, 0)</f>
        <v>1.0121557958994094E-3</v>
      </c>
      <c r="M49" s="7">
        <f>L49*K49</f>
        <v>1.0121557958994094E-3</v>
      </c>
      <c r="N49" s="4" t="s">
        <v>825</v>
      </c>
      <c r="O49" s="4">
        <f>VLOOKUP(B49, 'All Menu'!B:L, 6, 0)</f>
        <v>8.6206896551724146</v>
      </c>
      <c r="P49" s="6">
        <f>VLOOKUP(B49, 'All Menu'!B:L, 9, 0)</f>
        <v>5.5432276917402739</v>
      </c>
      <c r="Q49" s="14">
        <f>VLOOKUP(B49, 'All Menu'!B:M, 12, 0)</f>
        <v>0.35698558775812828</v>
      </c>
      <c r="R49" s="173"/>
    </row>
    <row r="50" spans="1:18" ht="14" hidden="1">
      <c r="A50" s="78" t="s">
        <v>2476</v>
      </c>
      <c r="B50" s="220" t="s">
        <v>1114</v>
      </c>
      <c r="C50" s="185"/>
      <c r="D50" s="103" t="str">
        <f>VLOOKUP(B50, 'All Menu'!B:M, 4, 0)</f>
        <v>مندي دجاج 1 دجاجة</v>
      </c>
      <c r="E50" s="30" t="str">
        <f>VLOOKUP(B50, 'All Menu'!B:M, 2, 0)</f>
        <v>قسم التواصي</v>
      </c>
      <c r="F50" s="103" t="str">
        <f>VLOOKUP(B50, 'All Menu'!B:M, 3, 0)</f>
        <v>التواصي سفري</v>
      </c>
      <c r="G50" s="90" t="s">
        <v>3058</v>
      </c>
      <c r="H50" s="188">
        <v>4280</v>
      </c>
      <c r="I50" s="110" t="str">
        <f>VLOOKUP(H50, 'RM &amp; SF'!B:H, 2, 0)</f>
        <v>علب ميكرويف مدورة اسود 500 مل RC2*****</v>
      </c>
      <c r="J50" s="184" t="str">
        <f>VLOOKUP(H50, 'RM &amp; SF'!B:E, 4, 0)</f>
        <v>قطعة</v>
      </c>
      <c r="K50" s="12">
        <v>1</v>
      </c>
      <c r="L50" s="13">
        <f>VLOOKUP(H50, 'RM &amp; SF'!B:H, 7, 0)</f>
        <v>0.125</v>
      </c>
      <c r="M50" s="7">
        <f>L50*K50</f>
        <v>0.125</v>
      </c>
      <c r="N50" s="4" t="s">
        <v>825</v>
      </c>
      <c r="O50" s="4">
        <f>VLOOKUP(B50, 'All Menu'!B:L, 6, 0)</f>
        <v>8.6206896551724146</v>
      </c>
      <c r="P50" s="6">
        <f>VLOOKUP(B50, 'All Menu'!B:L, 9, 0)</f>
        <v>5.5432276917402739</v>
      </c>
      <c r="Q50" s="14">
        <f>VLOOKUP(B50, 'All Menu'!B:M, 12, 0)</f>
        <v>0.35698558775812828</v>
      </c>
      <c r="R50" s="173"/>
    </row>
    <row r="51" spans="1:18" ht="14" hidden="1">
      <c r="A51" s="78" t="s">
        <v>2476</v>
      </c>
      <c r="B51" s="220" t="s">
        <v>1114</v>
      </c>
      <c r="C51" s="185"/>
      <c r="D51" s="103" t="str">
        <f>VLOOKUP(B51, 'All Menu'!B:M, 4, 0)</f>
        <v>مندي دجاج 1 دجاجة</v>
      </c>
      <c r="E51" s="30" t="str">
        <f>VLOOKUP(B51, 'All Menu'!B:M, 2, 0)</f>
        <v>قسم التواصي</v>
      </c>
      <c r="F51" s="103" t="str">
        <f>VLOOKUP(B51, 'All Menu'!B:M, 3, 0)</f>
        <v>التواصي سفري</v>
      </c>
      <c r="G51" s="90" t="s">
        <v>3058</v>
      </c>
      <c r="H51" s="219" t="s">
        <v>3042</v>
      </c>
      <c r="I51" s="110" t="str">
        <f>VLOOKUP(H51, 'RM &amp; SF'!B:H, 2, 0)</f>
        <v>علبة لوز مقلي 60 غرام</v>
      </c>
      <c r="J51" s="184" t="str">
        <f>VLOOKUP(H51, 'RM &amp; SF'!B:E, 4, 0)</f>
        <v>قطعة</v>
      </c>
      <c r="K51" s="12">
        <v>60</v>
      </c>
      <c r="L51" s="13">
        <f>VLOOKUP(H51, 'RM &amp; SF'!B:H, 7, 0)</f>
        <v>1.9075232758620688E-2</v>
      </c>
      <c r="M51" s="7">
        <f t="shared" si="0"/>
        <v>1.1445139655172414</v>
      </c>
      <c r="N51" s="4" t="s">
        <v>825</v>
      </c>
      <c r="O51" s="4">
        <f>VLOOKUP(B51, 'All Menu'!B:L, 6, 0)</f>
        <v>8.6206896551724146</v>
      </c>
      <c r="P51" s="6">
        <f>VLOOKUP(B51, 'All Menu'!B:L, 9, 0)</f>
        <v>5.5432276917402739</v>
      </c>
      <c r="Q51" s="14">
        <f>VLOOKUP(B51, 'All Menu'!B:M, 12, 0)</f>
        <v>0.35698558775812828</v>
      </c>
      <c r="R51" s="173">
        <f t="shared" si="2"/>
        <v>0</v>
      </c>
    </row>
    <row r="52" spans="1:18" ht="14" hidden="1">
      <c r="A52" s="78" t="s">
        <v>2476</v>
      </c>
      <c r="B52" s="220" t="s">
        <v>1114</v>
      </c>
      <c r="C52" s="185"/>
      <c r="D52" s="103" t="str">
        <f>VLOOKUP(B52, 'All Menu'!B:M, 4, 0)</f>
        <v>مندي دجاج 1 دجاجة</v>
      </c>
      <c r="E52" s="30" t="str">
        <f>VLOOKUP(B52, 'All Menu'!B:M, 2, 0)</f>
        <v>قسم التواصي</v>
      </c>
      <c r="F52" s="103" t="str">
        <f>VLOOKUP(B52, 'All Menu'!B:M, 3, 0)</f>
        <v>التواصي سفري</v>
      </c>
      <c r="G52" s="90" t="s">
        <v>3058</v>
      </c>
      <c r="H52" s="188">
        <v>4354</v>
      </c>
      <c r="I52" s="110" t="str">
        <f>VLOOKUP(H52, 'RM &amp; SF'!B:H, 2, 0)</f>
        <v>سدر بلاستيك دائري 35 سم*****</v>
      </c>
      <c r="J52" s="184" t="str">
        <f>VLOOKUP(H52, 'RM &amp; SF'!B:E, 4, 0)</f>
        <v>قطعة</v>
      </c>
      <c r="K52" s="12">
        <v>1</v>
      </c>
      <c r="L52" s="13">
        <f>VLOOKUP(H52, 'RM &amp; SF'!B:H, 7, 0)</f>
        <v>0.28016999999999997</v>
      </c>
      <c r="M52" s="7">
        <f t="shared" si="0"/>
        <v>0.28016999999999997</v>
      </c>
      <c r="N52" s="4" t="s">
        <v>825</v>
      </c>
      <c r="O52" s="4">
        <f>VLOOKUP(B52, 'All Menu'!B:L, 6, 0)</f>
        <v>8.6206896551724146</v>
      </c>
      <c r="P52" s="6">
        <f>VLOOKUP(B52, 'All Menu'!B:L, 9, 0)</f>
        <v>5.5432276917402739</v>
      </c>
      <c r="Q52" s="14">
        <f>VLOOKUP(B52, 'All Menu'!B:M, 12, 0)</f>
        <v>0.35698558775812828</v>
      </c>
      <c r="R52" s="173">
        <f t="shared" si="2"/>
        <v>0</v>
      </c>
    </row>
    <row r="53" spans="1:18" ht="14" hidden="1">
      <c r="A53" s="78" t="s">
        <v>2473</v>
      </c>
      <c r="B53" s="220" t="s">
        <v>1115</v>
      </c>
      <c r="C53" s="185"/>
      <c r="D53" s="103" t="str">
        <f>VLOOKUP(B53, 'All Menu'!B:M, 4, 0)</f>
        <v>كبسة دجاج 1 دجاجة</v>
      </c>
      <c r="E53" s="30" t="str">
        <f>VLOOKUP(B53, 'All Menu'!B:M, 2, 0)</f>
        <v>قسم التواصي</v>
      </c>
      <c r="F53" s="103" t="str">
        <f>VLOOKUP(B53, 'All Menu'!B:M, 3, 0)</f>
        <v>التواصي سفري</v>
      </c>
      <c r="G53" s="90" t="s">
        <v>2388</v>
      </c>
      <c r="H53" s="219" t="s">
        <v>558</v>
      </c>
      <c r="I53" s="110" t="str">
        <f>VLOOKUP(H53, 'RM &amp; SF'!B:H, 2, 0)</f>
        <v xml:space="preserve">كبسة </v>
      </c>
      <c r="J53" s="184" t="str">
        <f>VLOOKUP(H53, 'RM &amp; SF'!B:E, 4, 0)</f>
        <v>غم</v>
      </c>
      <c r="K53" s="12">
        <v>1500</v>
      </c>
      <c r="L53" s="13">
        <f>VLOOKUP(H53, 'RM &amp; SF'!B:H, 7, 0)</f>
        <v>6.3725786356821576E-4</v>
      </c>
      <c r="M53" s="7">
        <f t="shared" si="0"/>
        <v>0.95588679535232368</v>
      </c>
      <c r="N53" s="4" t="s">
        <v>825</v>
      </c>
      <c r="O53" s="4">
        <f>VLOOKUP(B53, 'All Menu'!B:L, 6, 0)</f>
        <v>8.6206896551724146</v>
      </c>
      <c r="P53" s="6">
        <f>VLOOKUP(B53, 'All Menu'!B:L, 9, 0)</f>
        <v>5.0302467650168321</v>
      </c>
      <c r="Q53" s="14">
        <f>VLOOKUP(B53, 'All Menu'!B:M, 12, 0)</f>
        <v>0.41649137525804752</v>
      </c>
      <c r="R53" s="173">
        <f t="shared" si="2"/>
        <v>0</v>
      </c>
    </row>
    <row r="54" spans="1:18" ht="14" hidden="1">
      <c r="A54" s="78" t="s">
        <v>2473</v>
      </c>
      <c r="B54" s="220" t="s">
        <v>1115</v>
      </c>
      <c r="C54" s="185"/>
      <c r="D54" s="103" t="str">
        <f>VLOOKUP(B54, 'All Menu'!B:M, 4, 0)</f>
        <v>كبسة دجاج 1 دجاجة</v>
      </c>
      <c r="E54" s="30" t="str">
        <f>VLOOKUP(B54, 'All Menu'!B:M, 2, 0)</f>
        <v>قسم التواصي</v>
      </c>
      <c r="F54" s="103" t="str">
        <f>VLOOKUP(B54, 'All Menu'!B:M, 3, 0)</f>
        <v>التواصي سفري</v>
      </c>
      <c r="G54" s="90" t="s">
        <v>2417</v>
      </c>
      <c r="H54" s="219" t="s">
        <v>544</v>
      </c>
      <c r="I54" s="110" t="str">
        <f>VLOOKUP(H54, 'RM &amp; SF'!B:H, 2, 0)</f>
        <v>دجاجة متبلة</v>
      </c>
      <c r="J54" s="184" t="str">
        <f>VLOOKUP(H54, 'RM &amp; SF'!B:E, 4, 0)</f>
        <v>قطعة</v>
      </c>
      <c r="K54" s="12">
        <v>1</v>
      </c>
      <c r="L54" s="13">
        <f>VLOOKUP(H54, 'RM &amp; SF'!B:H, 7, 0)</f>
        <v>3.0853324000000004</v>
      </c>
      <c r="M54" s="7">
        <f t="shared" si="0"/>
        <v>3.0853324000000004</v>
      </c>
      <c r="N54" s="4" t="s">
        <v>825</v>
      </c>
      <c r="O54" s="4">
        <f>VLOOKUP(B54, 'All Menu'!B:L, 6, 0)</f>
        <v>8.6206896551724146</v>
      </c>
      <c r="P54" s="6">
        <f>VLOOKUP(B54, 'All Menu'!B:L, 9, 0)</f>
        <v>5.0302467650168321</v>
      </c>
      <c r="Q54" s="14">
        <f>VLOOKUP(B54, 'All Menu'!B:M, 12, 0)</f>
        <v>0.41649137525804752</v>
      </c>
      <c r="R54" s="173">
        <f t="shared" si="2"/>
        <v>0</v>
      </c>
    </row>
    <row r="55" spans="1:18" ht="14" hidden="1">
      <c r="A55" s="78" t="s">
        <v>2473</v>
      </c>
      <c r="B55" s="220" t="s">
        <v>1115</v>
      </c>
      <c r="C55" s="185"/>
      <c r="D55" s="103" t="str">
        <f>VLOOKUP(B55, 'All Menu'!B:M, 4, 0)</f>
        <v>كبسة دجاج 1 دجاجة</v>
      </c>
      <c r="E55" s="30" t="str">
        <f>VLOOKUP(B55, 'All Menu'!B:M, 2, 0)</f>
        <v>قسم التواصي</v>
      </c>
      <c r="F55" s="103" t="str">
        <f>VLOOKUP(B55, 'All Menu'!B:M, 3, 0)</f>
        <v>التواصي سفري</v>
      </c>
      <c r="G55" s="90" t="s">
        <v>2341</v>
      </c>
      <c r="H55" s="219" t="s">
        <v>706</v>
      </c>
      <c r="I55" s="110" t="str">
        <f>VLOOKUP(H55, 'RM &amp; SF'!B:H, 2, 0)</f>
        <v>لوز مقلي</v>
      </c>
      <c r="J55" s="184" t="str">
        <f>VLOOKUP(H55, 'RM &amp; SF'!B:E, 4, 0)</f>
        <v>غم</v>
      </c>
      <c r="K55" s="12">
        <v>80</v>
      </c>
      <c r="L55" s="13">
        <f>VLOOKUP(H55, 'RM &amp; SF'!B:H, 7, 0)</f>
        <v>4.1352327586206888E-3</v>
      </c>
      <c r="M55" s="7">
        <f t="shared" si="0"/>
        <v>0.33081862068965512</v>
      </c>
      <c r="N55" s="4" t="s">
        <v>825</v>
      </c>
      <c r="O55" s="4">
        <f>VLOOKUP(B55, 'All Menu'!B:L, 6, 0)</f>
        <v>8.6206896551724146</v>
      </c>
      <c r="P55" s="6">
        <f>VLOOKUP(B55, 'All Menu'!B:L, 9, 0)</f>
        <v>5.0302467650168321</v>
      </c>
      <c r="Q55" s="14">
        <f>VLOOKUP(B55, 'All Menu'!B:M, 12, 0)</f>
        <v>0.41649137525804752</v>
      </c>
      <c r="R55" s="173">
        <f t="shared" si="2"/>
        <v>0</v>
      </c>
    </row>
    <row r="56" spans="1:18" ht="14" hidden="1">
      <c r="A56" s="78" t="s">
        <v>2473</v>
      </c>
      <c r="B56" s="220" t="s">
        <v>1115</v>
      </c>
      <c r="C56" s="185"/>
      <c r="D56" s="103" t="str">
        <f>VLOOKUP(B56, 'All Menu'!B:M, 4, 0)</f>
        <v>كبسة دجاج 1 دجاجة</v>
      </c>
      <c r="E56" s="30" t="str">
        <f>VLOOKUP(B56, 'All Menu'!B:M, 2, 0)</f>
        <v>قسم التواصي</v>
      </c>
      <c r="F56" s="103" t="str">
        <f>VLOOKUP(B56, 'All Menu'!B:M, 3, 0)</f>
        <v>التواصي سفري</v>
      </c>
      <c r="G56" s="90" t="s">
        <v>2228</v>
      </c>
      <c r="H56" s="219" t="s">
        <v>566</v>
      </c>
      <c r="I56" s="110" t="str">
        <f>VLOOKUP(H56, 'RM &amp; SF'!B:H, 2, 0)</f>
        <v>خيار بلبن</v>
      </c>
      <c r="J56" s="184" t="str">
        <f>VLOOKUP(H56, 'RM &amp; SF'!B:E, 4, 0)</f>
        <v>غم</v>
      </c>
      <c r="K56" s="12">
        <v>250</v>
      </c>
      <c r="L56" s="13">
        <f>VLOOKUP(H56, 'RM &amp; SF'!B:H, 7, 0)</f>
        <v>1.0121557958994094E-3</v>
      </c>
      <c r="M56" s="7">
        <f t="shared" si="0"/>
        <v>0.25303894897485235</v>
      </c>
      <c r="N56" s="4" t="s">
        <v>825</v>
      </c>
      <c r="O56" s="4">
        <f>VLOOKUP(B56, 'All Menu'!B:L, 6, 0)</f>
        <v>8.6206896551724146</v>
      </c>
      <c r="P56" s="6">
        <f>VLOOKUP(B56, 'All Menu'!B:L, 9, 0)</f>
        <v>5.0302467650168321</v>
      </c>
      <c r="Q56" s="14">
        <f>VLOOKUP(B56, 'All Menu'!B:M, 12, 0)</f>
        <v>0.41649137525804752</v>
      </c>
      <c r="R56" s="173">
        <f t="shared" si="2"/>
        <v>0</v>
      </c>
    </row>
    <row r="57" spans="1:18" ht="14" hidden="1">
      <c r="A57" s="78" t="s">
        <v>2473</v>
      </c>
      <c r="B57" s="220" t="s">
        <v>1115</v>
      </c>
      <c r="C57" s="185"/>
      <c r="D57" s="103" t="str">
        <f>VLOOKUP(B57, 'All Menu'!B:M, 4, 0)</f>
        <v>كبسة دجاج 1 دجاجة</v>
      </c>
      <c r="E57" s="30" t="str">
        <f>VLOOKUP(B57, 'All Menu'!B:M, 2, 0)</f>
        <v>قسم التواصي</v>
      </c>
      <c r="F57" s="103" t="str">
        <f>VLOOKUP(B57, 'All Menu'!B:M, 3, 0)</f>
        <v>التواصي سفري</v>
      </c>
      <c r="G57" s="90" t="s">
        <v>3058</v>
      </c>
      <c r="H57" s="188">
        <v>4280</v>
      </c>
      <c r="I57" s="110" t="str">
        <f>VLOOKUP(H57, 'RM &amp; SF'!B:H, 2, 0)</f>
        <v>علب ميكرويف مدورة اسود 500 مل RC2*****</v>
      </c>
      <c r="J57" s="184" t="str">
        <f>VLOOKUP(H57, 'RM &amp; SF'!B:E, 4, 0)</f>
        <v>قطعة</v>
      </c>
      <c r="K57" s="12">
        <v>1</v>
      </c>
      <c r="L57" s="13">
        <f>VLOOKUP(H57, 'RM &amp; SF'!B:H, 7, 0)</f>
        <v>0.125</v>
      </c>
      <c r="M57" s="7">
        <f t="shared" si="0"/>
        <v>0.125</v>
      </c>
      <c r="N57" s="4" t="s">
        <v>825</v>
      </c>
      <c r="O57" s="4">
        <f>VLOOKUP(B57, 'All Menu'!B:L, 6, 0)</f>
        <v>8.6206896551724146</v>
      </c>
      <c r="P57" s="6">
        <f>VLOOKUP(B57, 'All Menu'!B:L, 9, 0)</f>
        <v>5.0302467650168321</v>
      </c>
      <c r="Q57" s="14">
        <f>VLOOKUP(B57, 'All Menu'!B:M, 12, 0)</f>
        <v>0.41649137525804752</v>
      </c>
      <c r="R57" s="173">
        <f t="shared" si="2"/>
        <v>0</v>
      </c>
    </row>
    <row r="58" spans="1:18" ht="14" hidden="1">
      <c r="A58" s="78" t="s">
        <v>2473</v>
      </c>
      <c r="B58" s="220" t="s">
        <v>1115</v>
      </c>
      <c r="C58" s="185"/>
      <c r="D58" s="103" t="str">
        <f>VLOOKUP(B58, 'All Menu'!B:M, 4, 0)</f>
        <v>كبسة دجاج 1 دجاجة</v>
      </c>
      <c r="E58" s="30" t="str">
        <f>VLOOKUP(B58, 'All Menu'!B:M, 2, 0)</f>
        <v>قسم التواصي</v>
      </c>
      <c r="F58" s="103" t="str">
        <f>VLOOKUP(B58, 'All Menu'!B:M, 3, 0)</f>
        <v>التواصي سفري</v>
      </c>
      <c r="G58" s="90" t="s">
        <v>3058</v>
      </c>
      <c r="H58" s="188">
        <v>4354</v>
      </c>
      <c r="I58" s="110" t="str">
        <f>VLOOKUP(H58, 'RM &amp; SF'!B:H, 2, 0)</f>
        <v>سدر بلاستيك دائري 35 سم*****</v>
      </c>
      <c r="J58" s="184" t="str">
        <f>VLOOKUP(H58, 'RM &amp; SF'!B:E, 4, 0)</f>
        <v>قطعة</v>
      </c>
      <c r="K58" s="12">
        <v>1</v>
      </c>
      <c r="L58" s="13">
        <f>VLOOKUP(H58, 'RM &amp; SF'!B:H, 7, 0)</f>
        <v>0.28016999999999997</v>
      </c>
      <c r="M58" s="7">
        <f t="shared" si="0"/>
        <v>0.28016999999999997</v>
      </c>
      <c r="N58" s="4" t="s">
        <v>825</v>
      </c>
      <c r="O58" s="4">
        <f>VLOOKUP(B58, 'All Menu'!B:L, 6, 0)</f>
        <v>8.6206896551724146</v>
      </c>
      <c r="P58" s="6">
        <f>VLOOKUP(B58, 'All Menu'!B:L, 9, 0)</f>
        <v>5.0302467650168321</v>
      </c>
      <c r="Q58" s="14">
        <f>VLOOKUP(B58, 'All Menu'!B:M, 12, 0)</f>
        <v>0.41649137525804752</v>
      </c>
      <c r="R58" s="173">
        <f t="shared" si="2"/>
        <v>0</v>
      </c>
    </row>
    <row r="59" spans="1:18" ht="14" hidden="1">
      <c r="A59" s="78" t="s">
        <v>2479</v>
      </c>
      <c r="B59" s="220" t="s">
        <v>1116</v>
      </c>
      <c r="C59" s="185"/>
      <c r="D59" s="103" t="str">
        <f>VLOOKUP(B59, 'All Menu'!B:M, 4, 0)</f>
        <v>زرب دجاج 1 دجاجة</v>
      </c>
      <c r="E59" s="30" t="str">
        <f>VLOOKUP(B59, 'All Menu'!B:M, 2, 0)</f>
        <v>قسم التواصي</v>
      </c>
      <c r="F59" s="103" t="str">
        <f>VLOOKUP(B59, 'All Menu'!B:M, 3, 0)</f>
        <v>التواصي سفري</v>
      </c>
      <c r="G59" s="90" t="s">
        <v>2392</v>
      </c>
      <c r="H59" s="219" t="s">
        <v>590</v>
      </c>
      <c r="I59" s="110" t="str">
        <f>VLOOKUP(H59, 'RM &amp; SF'!B:H, 2, 0)</f>
        <v>ارز زرب</v>
      </c>
      <c r="J59" s="184" t="str">
        <f>VLOOKUP(H59, 'RM &amp; SF'!B:E, 4, 0)</f>
        <v>غم</v>
      </c>
      <c r="K59" s="12">
        <v>1500</v>
      </c>
      <c r="L59" s="13">
        <f>VLOOKUP(H59, 'RM &amp; SF'!B:H, 7, 0)</f>
        <v>5.1539514056513406E-4</v>
      </c>
      <c r="M59" s="7">
        <f t="shared" si="0"/>
        <v>0.77309271084770104</v>
      </c>
      <c r="N59" s="4" t="s">
        <v>825</v>
      </c>
      <c r="O59" s="4">
        <f>VLOOKUP(B59, 'All Menu'!B:L, 6, 0)</f>
        <v>8.6206896551724146</v>
      </c>
      <c r="P59" s="6">
        <f>VLOOKUP(B59, 'All Menu'!B:L, 9, 0)</f>
        <v>4.8086526805122087</v>
      </c>
      <c r="Q59" s="14">
        <f>VLOOKUP(B59, 'All Menu'!B:M, 12, 0)</f>
        <v>0.44219628906058384</v>
      </c>
      <c r="R59" s="173">
        <f t="shared" si="2"/>
        <v>0</v>
      </c>
    </row>
    <row r="60" spans="1:18" ht="14" hidden="1">
      <c r="A60" s="78" t="s">
        <v>2479</v>
      </c>
      <c r="B60" s="220" t="s">
        <v>1116</v>
      </c>
      <c r="C60" s="185"/>
      <c r="D60" s="103" t="str">
        <f>VLOOKUP(B60, 'All Menu'!B:M, 4, 0)</f>
        <v>زرب دجاج 1 دجاجة</v>
      </c>
      <c r="E60" s="30" t="str">
        <f>VLOOKUP(B60, 'All Menu'!B:M, 2, 0)</f>
        <v>قسم التواصي</v>
      </c>
      <c r="F60" s="103" t="str">
        <f>VLOOKUP(B60, 'All Menu'!B:M, 3, 0)</f>
        <v>التواصي سفري</v>
      </c>
      <c r="G60" s="90" t="s">
        <v>2417</v>
      </c>
      <c r="H60" s="219" t="s">
        <v>544</v>
      </c>
      <c r="I60" s="110" t="str">
        <f>VLOOKUP(H60, 'RM &amp; SF'!B:H, 2, 0)</f>
        <v>دجاجة متبلة</v>
      </c>
      <c r="J60" s="184" t="str">
        <f>VLOOKUP(H60, 'RM &amp; SF'!B:E, 4, 0)</f>
        <v>قطعة</v>
      </c>
      <c r="K60" s="12">
        <v>1</v>
      </c>
      <c r="L60" s="13">
        <f>VLOOKUP(H60, 'RM &amp; SF'!B:H, 7, 0)</f>
        <v>3.0853324000000004</v>
      </c>
      <c r="M60" s="7">
        <f t="shared" si="0"/>
        <v>3.0853324000000004</v>
      </c>
      <c r="N60" s="4" t="s">
        <v>825</v>
      </c>
      <c r="O60" s="4">
        <f>VLOOKUP(B60, 'All Menu'!B:L, 6, 0)</f>
        <v>8.6206896551724146</v>
      </c>
      <c r="P60" s="6">
        <f>VLOOKUP(B60, 'All Menu'!B:L, 9, 0)</f>
        <v>4.8086526805122087</v>
      </c>
      <c r="Q60" s="14">
        <f>VLOOKUP(B60, 'All Menu'!B:M, 12, 0)</f>
        <v>0.44219628906058384</v>
      </c>
      <c r="R60" s="173">
        <f t="shared" si="2"/>
        <v>0</v>
      </c>
    </row>
    <row r="61" spans="1:18" ht="14" hidden="1">
      <c r="A61" s="78" t="s">
        <v>2479</v>
      </c>
      <c r="B61" s="220" t="s">
        <v>1116</v>
      </c>
      <c r="C61" s="185"/>
      <c r="D61" s="103" t="str">
        <f>VLOOKUP(B61, 'All Menu'!B:M, 4, 0)</f>
        <v>زرب دجاج 1 دجاجة</v>
      </c>
      <c r="E61" s="30" t="str">
        <f>VLOOKUP(B61, 'All Menu'!B:M, 2, 0)</f>
        <v>قسم التواصي</v>
      </c>
      <c r="F61" s="103" t="str">
        <f>VLOOKUP(B61, 'All Menu'!B:M, 3, 0)</f>
        <v>التواصي سفري</v>
      </c>
      <c r="G61" s="90" t="s">
        <v>2341</v>
      </c>
      <c r="H61" s="219" t="s">
        <v>706</v>
      </c>
      <c r="I61" s="110" t="str">
        <f>VLOOKUP(H61, 'RM &amp; SF'!B:H, 2, 0)</f>
        <v>لوز مقلي</v>
      </c>
      <c r="J61" s="184" t="str">
        <f>VLOOKUP(H61, 'RM &amp; SF'!B:E, 4, 0)</f>
        <v>غم</v>
      </c>
      <c r="K61" s="12">
        <v>80</v>
      </c>
      <c r="L61" s="13">
        <f>VLOOKUP(H61, 'RM &amp; SF'!B:H, 7, 0)</f>
        <v>4.1352327586206888E-3</v>
      </c>
      <c r="M61" s="7">
        <f t="shared" si="0"/>
        <v>0.33081862068965512</v>
      </c>
      <c r="N61" s="4" t="s">
        <v>825</v>
      </c>
      <c r="O61" s="4">
        <f>VLOOKUP(B61, 'All Menu'!B:L, 6, 0)</f>
        <v>8.6206896551724146</v>
      </c>
      <c r="P61" s="6">
        <f>VLOOKUP(B61, 'All Menu'!B:L, 9, 0)</f>
        <v>4.8086526805122087</v>
      </c>
      <c r="Q61" s="14">
        <f>VLOOKUP(B61, 'All Menu'!B:M, 12, 0)</f>
        <v>0.44219628906058384</v>
      </c>
      <c r="R61" s="173">
        <f t="shared" si="2"/>
        <v>0</v>
      </c>
    </row>
    <row r="62" spans="1:18" ht="14" hidden="1">
      <c r="A62" s="78" t="s">
        <v>2479</v>
      </c>
      <c r="B62" s="220" t="s">
        <v>1116</v>
      </c>
      <c r="C62" s="185"/>
      <c r="D62" s="103" t="str">
        <f>VLOOKUP(B62, 'All Menu'!B:M, 4, 0)</f>
        <v>زرب دجاج 1 دجاجة</v>
      </c>
      <c r="E62" s="30" t="str">
        <f>VLOOKUP(B62, 'All Menu'!B:M, 2, 0)</f>
        <v>قسم التواصي</v>
      </c>
      <c r="F62" s="103" t="str">
        <f>VLOOKUP(B62, 'All Menu'!B:M, 3, 0)</f>
        <v>التواصي سفري</v>
      </c>
      <c r="G62" s="90" t="s">
        <v>2228</v>
      </c>
      <c r="H62" s="219" t="s">
        <v>566</v>
      </c>
      <c r="I62" s="110" t="str">
        <f>VLOOKUP(H62, 'RM &amp; SF'!B:H, 2, 0)</f>
        <v>خيار بلبن</v>
      </c>
      <c r="J62" s="184" t="str">
        <f>VLOOKUP(H62, 'RM &amp; SF'!B:E, 4, 0)</f>
        <v>غم</v>
      </c>
      <c r="K62" s="12">
        <v>250</v>
      </c>
      <c r="L62" s="13">
        <f>VLOOKUP(H62, 'RM &amp; SF'!B:H, 7, 0)</f>
        <v>1.0121557958994094E-3</v>
      </c>
      <c r="M62" s="7">
        <f t="shared" si="0"/>
        <v>0.25303894897485235</v>
      </c>
      <c r="N62" s="4" t="s">
        <v>825</v>
      </c>
      <c r="O62" s="4">
        <f>VLOOKUP(B62, 'All Menu'!B:L, 6, 0)</f>
        <v>8.6206896551724146</v>
      </c>
      <c r="P62" s="6">
        <f>VLOOKUP(B62, 'All Menu'!B:L, 9, 0)</f>
        <v>4.8086526805122087</v>
      </c>
      <c r="Q62" s="14">
        <f>VLOOKUP(B62, 'All Menu'!B:M, 12, 0)</f>
        <v>0.44219628906058384</v>
      </c>
      <c r="R62" s="173">
        <f t="shared" si="2"/>
        <v>0</v>
      </c>
    </row>
    <row r="63" spans="1:18" ht="14" hidden="1">
      <c r="A63" s="78" t="s">
        <v>2479</v>
      </c>
      <c r="B63" s="220" t="s">
        <v>1116</v>
      </c>
      <c r="C63" s="185"/>
      <c r="D63" s="103" t="str">
        <f>VLOOKUP(B63, 'All Menu'!B:M, 4, 0)</f>
        <v>زرب دجاج 1 دجاجة</v>
      </c>
      <c r="E63" s="30" t="str">
        <f>VLOOKUP(B63, 'All Menu'!B:M, 2, 0)</f>
        <v>قسم التواصي</v>
      </c>
      <c r="F63" s="103" t="str">
        <f>VLOOKUP(B63, 'All Menu'!B:M, 3, 0)</f>
        <v>التواصي سفري</v>
      </c>
      <c r="G63" s="90" t="s">
        <v>2191</v>
      </c>
      <c r="H63" s="188">
        <v>4282</v>
      </c>
      <c r="I63" s="110" t="str">
        <f>VLOOKUP(H63, 'RM &amp; SF'!B:H, 2, 0)</f>
        <v>علب سوشي اسود رقم 3*****</v>
      </c>
      <c r="J63" s="184" t="str">
        <f>VLOOKUP(H63, 'RM &amp; SF'!B:E, 4, 0)</f>
        <v>قطعة</v>
      </c>
      <c r="K63" s="12">
        <v>1</v>
      </c>
      <c r="L63" s="13">
        <f>VLOOKUP(H63, 'RM &amp; SF'!B:H, 7, 0)</f>
        <v>8.6199999999999999E-2</v>
      </c>
      <c r="M63" s="7">
        <f t="shared" si="0"/>
        <v>8.6199999999999999E-2</v>
      </c>
      <c r="N63" s="4" t="s">
        <v>825</v>
      </c>
      <c r="O63" s="4">
        <f>VLOOKUP(B63, 'All Menu'!B:L, 6, 0)</f>
        <v>8.6206896551724146</v>
      </c>
      <c r="P63" s="6">
        <f>VLOOKUP(B63, 'All Menu'!B:L, 9, 0)</f>
        <v>4.8086526805122087</v>
      </c>
      <c r="Q63" s="14">
        <f>VLOOKUP(B63, 'All Menu'!B:M, 12, 0)</f>
        <v>0.44219628906058384</v>
      </c>
      <c r="R63" s="173">
        <f t="shared" si="2"/>
        <v>0</v>
      </c>
    </row>
    <row r="64" spans="1:18" ht="14" hidden="1">
      <c r="A64" s="78" t="s">
        <v>2479</v>
      </c>
      <c r="B64" s="220" t="s">
        <v>1116</v>
      </c>
      <c r="C64" s="185"/>
      <c r="D64" s="103" t="str">
        <f>VLOOKUP(B64, 'All Menu'!B:M, 4, 0)</f>
        <v>زرب دجاج 1 دجاجة</v>
      </c>
      <c r="E64" s="30" t="str">
        <f>VLOOKUP(B64, 'All Menu'!B:M, 2, 0)</f>
        <v>قسم التواصي</v>
      </c>
      <c r="F64" s="103" t="str">
        <f>VLOOKUP(B64, 'All Menu'!B:M, 3, 0)</f>
        <v>التواصي سفري</v>
      </c>
      <c r="G64" s="90" t="s">
        <v>3058</v>
      </c>
      <c r="H64" s="188">
        <v>4354</v>
      </c>
      <c r="I64" s="110" t="str">
        <f>VLOOKUP(H64, 'RM &amp; SF'!B:H, 2, 0)</f>
        <v>سدر بلاستيك دائري 35 سم*****</v>
      </c>
      <c r="J64" s="184" t="str">
        <f>VLOOKUP(H64, 'RM &amp; SF'!B:E, 4, 0)</f>
        <v>قطعة</v>
      </c>
      <c r="K64" s="12">
        <v>1</v>
      </c>
      <c r="L64" s="13">
        <f>VLOOKUP(H64, 'RM &amp; SF'!B:H, 7, 0)</f>
        <v>0.28016999999999997</v>
      </c>
      <c r="M64" s="7">
        <f t="shared" si="0"/>
        <v>0.28016999999999997</v>
      </c>
      <c r="N64" s="4" t="s">
        <v>825</v>
      </c>
      <c r="O64" s="4">
        <f>VLOOKUP(B64, 'All Menu'!B:L, 6, 0)</f>
        <v>8.6206896551724146</v>
      </c>
      <c r="P64" s="6">
        <f>VLOOKUP(B64, 'All Menu'!B:L, 9, 0)</f>
        <v>4.8086526805122087</v>
      </c>
      <c r="Q64" s="14">
        <f>VLOOKUP(B64, 'All Menu'!B:M, 12, 0)</f>
        <v>0.44219628906058384</v>
      </c>
      <c r="R64" s="173">
        <f t="shared" si="2"/>
        <v>0</v>
      </c>
    </row>
    <row r="65" spans="1:18" ht="14" hidden="1">
      <c r="A65" s="78" t="s">
        <v>2490</v>
      </c>
      <c r="B65" s="220" t="s">
        <v>1117</v>
      </c>
      <c r="C65" s="185"/>
      <c r="D65" s="103" t="str">
        <f>VLOOKUP(B65, 'All Menu'!B:M, 4, 0)</f>
        <v>ورق عنب / كيلو</v>
      </c>
      <c r="E65" s="30" t="str">
        <f>VLOOKUP(B65, 'All Menu'!B:M, 2, 0)</f>
        <v>قسم التواصي</v>
      </c>
      <c r="F65" s="103" t="str">
        <f>VLOOKUP(B65, 'All Menu'!B:M, 3, 0)</f>
        <v>التواصي سفري2</v>
      </c>
      <c r="G65" s="90" t="s">
        <v>3058</v>
      </c>
      <c r="H65" s="188">
        <v>4081</v>
      </c>
      <c r="I65" s="110" t="str">
        <f>VLOOKUP(H65, 'RM &amp; SF'!B:H, 2, 0)</f>
        <v>ورق عنب 908 غم*****</v>
      </c>
      <c r="J65" s="184" t="str">
        <f>VLOOKUP(H65, 'RM &amp; SF'!B:E, 4, 0)</f>
        <v>غم</v>
      </c>
      <c r="K65" s="12">
        <v>1</v>
      </c>
      <c r="L65" s="13">
        <f>VLOOKUP(H65, 'RM &amp; SF'!B:H, 7, 0)</f>
        <v>2.922907488986784E-3</v>
      </c>
      <c r="M65" s="7">
        <f t="shared" si="0"/>
        <v>2.922907488986784E-3</v>
      </c>
      <c r="N65" s="4" t="s">
        <v>825</v>
      </c>
      <c r="O65" s="4">
        <f>VLOOKUP(B65, 'All Menu'!B:L, 6, 0)</f>
        <v>15.517241379310345</v>
      </c>
      <c r="P65" s="6">
        <f>VLOOKUP(B65, 'All Menu'!B:L, 9, 0)</f>
        <v>3.7891944031919045</v>
      </c>
      <c r="Q65" s="14">
        <f>VLOOKUP(B65, 'All Menu'!B:M, 12, 0)</f>
        <v>0.75580747179429941</v>
      </c>
      <c r="R65" s="173">
        <f t="shared" si="2"/>
        <v>0</v>
      </c>
    </row>
    <row r="66" spans="1:18" ht="14" hidden="1">
      <c r="A66" s="78" t="s">
        <v>2490</v>
      </c>
      <c r="B66" s="220" t="s">
        <v>1117</v>
      </c>
      <c r="C66" s="185"/>
      <c r="D66" s="103" t="str">
        <f>VLOOKUP(B66, 'All Menu'!B:M, 4, 0)</f>
        <v>ورق عنب / كيلو</v>
      </c>
      <c r="E66" s="30" t="str">
        <f>VLOOKUP(B66, 'All Menu'!B:M, 2, 0)</f>
        <v>قسم التواصي</v>
      </c>
      <c r="F66" s="103" t="str">
        <f>VLOOKUP(B66, 'All Menu'!B:M, 3, 0)</f>
        <v>التواصي سفري2</v>
      </c>
      <c r="G66" s="90" t="s">
        <v>2332</v>
      </c>
      <c r="H66" s="219" t="s">
        <v>644</v>
      </c>
      <c r="I66" s="110" t="str">
        <f>VLOOKUP(H66, 'RM &amp; SF'!B:H, 2, 0)</f>
        <v xml:space="preserve">حشوة ورق العنب </v>
      </c>
      <c r="J66" s="184" t="str">
        <f>VLOOKUP(H66, 'RM &amp; SF'!B:E, 4, 0)</f>
        <v>غم</v>
      </c>
      <c r="K66" s="12">
        <v>700</v>
      </c>
      <c r="L66" s="13">
        <f>VLOOKUP(H66, 'RM &amp; SF'!B:H, 7, 0)</f>
        <v>3.2061107692307688E-3</v>
      </c>
      <c r="M66" s="7">
        <f t="shared" si="0"/>
        <v>2.2442775384615383</v>
      </c>
      <c r="N66" s="4" t="s">
        <v>825</v>
      </c>
      <c r="O66" s="4">
        <f>VLOOKUP(B66, 'All Menu'!B:L, 6, 0)</f>
        <v>15.517241379310345</v>
      </c>
      <c r="P66" s="6">
        <f>VLOOKUP(B66, 'All Menu'!B:L, 9, 0)</f>
        <v>3.7891944031919045</v>
      </c>
      <c r="Q66" s="14">
        <f>VLOOKUP(B66, 'All Menu'!B:M, 12, 0)</f>
        <v>0.75580747179429941</v>
      </c>
      <c r="R66" s="173">
        <f t="shared" si="2"/>
        <v>0</v>
      </c>
    </row>
    <row r="67" spans="1:18" ht="14" hidden="1">
      <c r="A67" s="78" t="s">
        <v>2246</v>
      </c>
      <c r="B67" s="220" t="s">
        <v>1118</v>
      </c>
      <c r="C67" s="185"/>
      <c r="D67" s="103" t="str">
        <f>VLOOKUP(B67, 'All Menu'!B:M, 4, 0)</f>
        <v>كوسا / كيلو</v>
      </c>
      <c r="E67" s="30" t="str">
        <f>VLOOKUP(B67, 'All Menu'!B:M, 2, 0)</f>
        <v>قسم التواصي</v>
      </c>
      <c r="F67" s="103" t="str">
        <f>VLOOKUP(B67, 'All Menu'!B:M, 3, 0)</f>
        <v>التواصي سفري2</v>
      </c>
      <c r="G67" s="90" t="s">
        <v>2435</v>
      </c>
      <c r="H67" s="219" t="s">
        <v>690</v>
      </c>
      <c r="I67" s="110" t="str">
        <f>VLOOKUP(H67, 'RM &amp; SF'!B:H, 2, 0)</f>
        <v>كوسا محشي بالحبة</v>
      </c>
      <c r="J67" s="184" t="str">
        <f>VLOOKUP(H67, 'RM &amp; SF'!B:E, 4, 0)</f>
        <v>قطعة</v>
      </c>
      <c r="K67" s="12">
        <v>15</v>
      </c>
      <c r="L67" s="13">
        <f>VLOOKUP(H67, 'RM &amp; SF'!B:H, 7, 0)</f>
        <v>0.20580553846153843</v>
      </c>
      <c r="M67" s="7">
        <f t="shared" si="0"/>
        <v>3.0870830769230766</v>
      </c>
      <c r="N67" s="4" t="s">
        <v>825</v>
      </c>
      <c r="O67" s="4">
        <f>VLOOKUP(B67, 'All Menu'!B:L, 6, 0)</f>
        <v>12.068965517241381</v>
      </c>
      <c r="P67" s="6">
        <f>VLOOKUP(B67, 'All Menu'!B:L, 9, 0)</f>
        <v>3.0870830769230766</v>
      </c>
      <c r="Q67" s="14">
        <f>VLOOKUP(B67, 'All Menu'!B:M, 12, 0)</f>
        <v>0.74421311648351662</v>
      </c>
      <c r="R67" s="173">
        <f t="shared" si="2"/>
        <v>0</v>
      </c>
    </row>
    <row r="68" spans="1:18" ht="14" hidden="1">
      <c r="A68" s="78" t="s">
        <v>2492</v>
      </c>
      <c r="B68" s="220" t="s">
        <v>1119</v>
      </c>
      <c r="C68" s="185"/>
      <c r="D68" s="103" t="str">
        <f>VLOOKUP(B68, 'All Menu'!B:M, 4, 0)</f>
        <v>1ك كوسا +1ك دوالي</v>
      </c>
      <c r="E68" s="30" t="str">
        <f>VLOOKUP(B68, 'All Menu'!B:M, 2, 0)</f>
        <v>قسم التواصي</v>
      </c>
      <c r="F68" s="103" t="str">
        <f>VLOOKUP(B68, 'All Menu'!B:M, 3, 0)</f>
        <v>التواصي سفري2</v>
      </c>
      <c r="G68" s="90" t="s">
        <v>2435</v>
      </c>
      <c r="H68" s="219" t="s">
        <v>690</v>
      </c>
      <c r="I68" s="110" t="str">
        <f>VLOOKUP(H68, 'RM &amp; SF'!B:H, 2, 0)</f>
        <v>كوسا محشي بالحبة</v>
      </c>
      <c r="J68" s="184" t="str">
        <f>VLOOKUP(H68, 'RM &amp; SF'!B:E, 4, 0)</f>
        <v>قطعة</v>
      </c>
      <c r="K68" s="12">
        <v>15</v>
      </c>
      <c r="L68" s="13">
        <f>VLOOKUP(H68, 'RM &amp; SF'!B:H, 7, 0)</f>
        <v>0.20580553846153843</v>
      </c>
      <c r="M68" s="7">
        <f t="shared" si="0"/>
        <v>3.0870830769230766</v>
      </c>
      <c r="N68" s="4" t="s">
        <v>825</v>
      </c>
      <c r="O68" s="4">
        <f>VLOOKUP(B68, 'All Menu'!B:L, 6, 0)</f>
        <v>21.551724137931036</v>
      </c>
      <c r="P68" s="6">
        <f>VLOOKUP(B68, 'All Menu'!B:L, 9, 0)</f>
        <v>9.8006828329379871</v>
      </c>
      <c r="Q68" s="14">
        <f>VLOOKUP(B68, 'All Menu'!B:M, 12, 0)</f>
        <v>0.54524831655167738</v>
      </c>
      <c r="R68" s="173">
        <f t="shared" si="2"/>
        <v>0</v>
      </c>
    </row>
    <row r="69" spans="1:18" ht="14" hidden="1">
      <c r="A69" s="78" t="s">
        <v>2492</v>
      </c>
      <c r="B69" s="220" t="s">
        <v>1119</v>
      </c>
      <c r="C69" s="185"/>
      <c r="D69" s="103" t="str">
        <f>VLOOKUP(B69, 'All Menu'!B:M, 4, 0)</f>
        <v>1ك كوسا +1ك دوالي</v>
      </c>
      <c r="E69" s="30" t="str">
        <f>VLOOKUP(B69, 'All Menu'!B:M, 2, 0)</f>
        <v>قسم التواصي</v>
      </c>
      <c r="F69" s="103" t="str">
        <f>VLOOKUP(B69, 'All Menu'!B:M, 3, 0)</f>
        <v>التواصي سفري2</v>
      </c>
      <c r="G69" s="90" t="s">
        <v>2437</v>
      </c>
      <c r="H69" s="219" t="s">
        <v>688</v>
      </c>
      <c r="I69" s="110" t="str">
        <f>VLOOKUP(H69, 'RM &amp; SF'!B:H, 2, 0)</f>
        <v>دوالي محشي</v>
      </c>
      <c r="J69" s="184" t="str">
        <f>VLOOKUP(H69, 'RM &amp; SF'!B:E, 4, 0)</f>
        <v>قطعة</v>
      </c>
      <c r="K69" s="12">
        <v>100</v>
      </c>
      <c r="L69" s="13">
        <f>VLOOKUP(H69, 'RM &amp; SF'!B:H, 7, 0)</f>
        <v>6.7135997560149097E-2</v>
      </c>
      <c r="M69" s="7">
        <f t="shared" si="0"/>
        <v>6.7135997560149097</v>
      </c>
      <c r="N69" s="4" t="s">
        <v>825</v>
      </c>
      <c r="O69" s="4">
        <f>VLOOKUP(B69, 'All Menu'!B:L, 6, 0)</f>
        <v>21.551724137931036</v>
      </c>
      <c r="P69" s="6">
        <f>VLOOKUP(B69, 'All Menu'!B:L, 9, 0)</f>
        <v>9.8006828329379871</v>
      </c>
      <c r="Q69" s="14">
        <f>VLOOKUP(B69, 'All Menu'!B:M, 12, 0)</f>
        <v>0.54524831655167738</v>
      </c>
      <c r="R69" s="173">
        <f t="shared" si="2"/>
        <v>0</v>
      </c>
    </row>
    <row r="70" spans="1:18" ht="14" hidden="1">
      <c r="A70" s="78" t="s">
        <v>2466</v>
      </c>
      <c r="B70" s="220" t="s">
        <v>1120</v>
      </c>
      <c r="C70" s="185"/>
      <c r="D70" s="103" t="str">
        <f>VLOOKUP(B70, 'All Menu'!B:M, 4, 0)</f>
        <v>كبسة لحم 1 كيلو</v>
      </c>
      <c r="E70" s="30" t="str">
        <f>VLOOKUP(B70, 'All Menu'!B:M, 2, 0)</f>
        <v>قسم التواصي</v>
      </c>
      <c r="F70" s="103" t="str">
        <f>VLOOKUP(B70, 'All Menu'!B:M, 3, 0)</f>
        <v>التواصي سفري</v>
      </c>
      <c r="G70" s="90" t="s">
        <v>2388</v>
      </c>
      <c r="H70" s="219" t="s">
        <v>558</v>
      </c>
      <c r="I70" s="110" t="str">
        <f>VLOOKUP(H70, 'RM &amp; SF'!B:H, 2, 0)</f>
        <v xml:space="preserve">كبسة </v>
      </c>
      <c r="J70" s="184" t="str">
        <f>VLOOKUP(H70, 'RM &amp; SF'!B:E, 4, 0)</f>
        <v>غم</v>
      </c>
      <c r="K70" s="12">
        <v>2000</v>
      </c>
      <c r="L70" s="13">
        <f>VLOOKUP(H70, 'RM &amp; SF'!B:H, 7, 0)</f>
        <v>6.3725786356821576E-4</v>
      </c>
      <c r="M70" s="7">
        <f t="shared" si="0"/>
        <v>1.2745157271364316</v>
      </c>
      <c r="N70" s="4" t="s">
        <v>825</v>
      </c>
      <c r="O70" s="4">
        <f>VLOOKUP(B70, 'All Menu'!B:L, 6, 0)</f>
        <v>19.827586206896552</v>
      </c>
      <c r="P70" s="6">
        <f>VLOOKUP(B70, 'All Menu'!B:L, 9, 0)</f>
        <v>14.043502748753404</v>
      </c>
      <c r="Q70" s="14">
        <f>VLOOKUP(B70, 'All Menu'!B:M, 12, 0)</f>
        <v>0.29171899180200223</v>
      </c>
      <c r="R70" s="173">
        <f t="shared" si="2"/>
        <v>0</v>
      </c>
    </row>
    <row r="71" spans="1:18" ht="14" hidden="1">
      <c r="A71" s="78" t="s">
        <v>2466</v>
      </c>
      <c r="B71" s="220" t="s">
        <v>1120</v>
      </c>
      <c r="C71" s="185"/>
      <c r="D71" s="103" t="str">
        <f>VLOOKUP(B71, 'All Menu'!B:M, 4, 0)</f>
        <v>كبسة لحم 1 كيلو</v>
      </c>
      <c r="E71" s="30" t="str">
        <f>VLOOKUP(B71, 'All Menu'!B:M, 2, 0)</f>
        <v>قسم التواصي</v>
      </c>
      <c r="F71" s="103" t="str">
        <f>VLOOKUP(B71, 'All Menu'!B:M, 3, 0)</f>
        <v>التواصي سفري</v>
      </c>
      <c r="G71" s="90" t="s">
        <v>3058</v>
      </c>
      <c r="H71" s="188">
        <v>4608</v>
      </c>
      <c r="I71" s="110" t="str">
        <f>VLOOKUP(H71, 'RM &amp; SF'!B:H, 2, 0)</f>
        <v>لحمة قطع نية بالكيلو*****</v>
      </c>
      <c r="J71" s="184" t="str">
        <f>VLOOKUP(H71, 'RM &amp; SF'!B:E, 4, 0)</f>
        <v>غم</v>
      </c>
      <c r="K71" s="12">
        <v>1000</v>
      </c>
      <c r="L71" s="13">
        <f>VLOOKUP(H71, 'RM &amp; SF'!B:H, 7, 0)</f>
        <v>1.1615493158849017E-2</v>
      </c>
      <c r="M71" s="7">
        <f t="shared" ref="M71:M126" si="3">L71*K71</f>
        <v>11.615493158849016</v>
      </c>
      <c r="N71" s="4" t="s">
        <v>825</v>
      </c>
      <c r="O71" s="4">
        <f>VLOOKUP(B71, 'All Menu'!B:L, 6, 0)</f>
        <v>19.827586206896552</v>
      </c>
      <c r="P71" s="6">
        <f>VLOOKUP(B71, 'All Menu'!B:L, 9, 0)</f>
        <v>14.043502748753404</v>
      </c>
      <c r="Q71" s="14">
        <f>VLOOKUP(B71, 'All Menu'!B:M, 12, 0)</f>
        <v>0.29171899180200223</v>
      </c>
      <c r="R71" s="173">
        <f t="shared" si="2"/>
        <v>0</v>
      </c>
    </row>
    <row r="72" spans="1:18" ht="14" hidden="1">
      <c r="A72" s="78" t="s">
        <v>2466</v>
      </c>
      <c r="B72" s="220" t="s">
        <v>1120</v>
      </c>
      <c r="C72" s="185"/>
      <c r="D72" s="103" t="str">
        <f>VLOOKUP(B72, 'All Menu'!B:M, 4, 0)</f>
        <v>كبسة لحم 1 كيلو</v>
      </c>
      <c r="E72" s="30" t="str">
        <f>VLOOKUP(B72, 'All Menu'!B:M, 2, 0)</f>
        <v>قسم التواصي</v>
      </c>
      <c r="F72" s="103" t="str">
        <f>VLOOKUP(B72, 'All Menu'!B:M, 3, 0)</f>
        <v>التواصي سفري</v>
      </c>
      <c r="G72" s="90" t="s">
        <v>2228</v>
      </c>
      <c r="H72" s="219" t="s">
        <v>566</v>
      </c>
      <c r="I72" s="110" t="str">
        <f>VLOOKUP(H72, 'RM &amp; SF'!B:H, 2, 0)</f>
        <v>خيار بلبن</v>
      </c>
      <c r="J72" s="184" t="str">
        <f>VLOOKUP(H72, 'RM &amp; SF'!B:E, 4, 0)</f>
        <v>غم</v>
      </c>
      <c r="K72" s="12">
        <v>250</v>
      </c>
      <c r="L72" s="13">
        <f>VLOOKUP(H72, 'RM &amp; SF'!B:H, 7, 0)</f>
        <v>1.0121557958994094E-3</v>
      </c>
      <c r="M72" s="7">
        <f t="shared" si="3"/>
        <v>0.25303894897485235</v>
      </c>
      <c r="N72" s="4" t="s">
        <v>825</v>
      </c>
      <c r="O72" s="4">
        <f>VLOOKUP(B72, 'All Menu'!B:L, 6, 0)</f>
        <v>19.827586206896552</v>
      </c>
      <c r="P72" s="6">
        <f>VLOOKUP(B72, 'All Menu'!B:L, 9, 0)</f>
        <v>14.043502748753404</v>
      </c>
      <c r="Q72" s="14">
        <f>VLOOKUP(B72, 'All Menu'!B:M, 12, 0)</f>
        <v>0.29171899180200223</v>
      </c>
      <c r="R72" s="173">
        <f t="shared" si="2"/>
        <v>0</v>
      </c>
    </row>
    <row r="73" spans="1:18" ht="14" hidden="1">
      <c r="A73" s="78" t="s">
        <v>2466</v>
      </c>
      <c r="B73" s="220" t="s">
        <v>1120</v>
      </c>
      <c r="C73" s="185"/>
      <c r="D73" s="103" t="str">
        <f>VLOOKUP(B73, 'All Menu'!B:M, 4, 0)</f>
        <v>كبسة لحم 1 كيلو</v>
      </c>
      <c r="E73" s="30" t="str">
        <f>VLOOKUP(B73, 'All Menu'!B:M, 2, 0)</f>
        <v>قسم التواصي</v>
      </c>
      <c r="F73" s="103" t="str">
        <f>VLOOKUP(B73, 'All Menu'!B:M, 3, 0)</f>
        <v>التواصي سفري</v>
      </c>
      <c r="G73" s="90" t="s">
        <v>2341</v>
      </c>
      <c r="H73" s="219" t="s">
        <v>706</v>
      </c>
      <c r="I73" s="110" t="str">
        <f>VLOOKUP(H73, 'RM &amp; SF'!B:H, 2, 0)</f>
        <v>لوز مقلي</v>
      </c>
      <c r="J73" s="184" t="str">
        <f>VLOOKUP(H73, 'RM &amp; SF'!B:E, 4, 0)</f>
        <v>غم</v>
      </c>
      <c r="K73" s="12">
        <v>150</v>
      </c>
      <c r="L73" s="13">
        <f>VLOOKUP(H73, 'RM &amp; SF'!B:H, 7, 0)</f>
        <v>4.1352327586206888E-3</v>
      </c>
      <c r="M73" s="7">
        <f t="shared" si="3"/>
        <v>0.62028491379310335</v>
      </c>
      <c r="N73" s="4" t="s">
        <v>825</v>
      </c>
      <c r="O73" s="4">
        <f>VLOOKUP(B73, 'All Menu'!B:L, 6, 0)</f>
        <v>19.827586206896552</v>
      </c>
      <c r="P73" s="6">
        <f>VLOOKUP(B73, 'All Menu'!B:L, 9, 0)</f>
        <v>14.043502748753404</v>
      </c>
      <c r="Q73" s="14">
        <f>VLOOKUP(B73, 'All Menu'!B:M, 12, 0)</f>
        <v>0.29171899180200223</v>
      </c>
      <c r="R73" s="173">
        <f t="shared" si="2"/>
        <v>0</v>
      </c>
    </row>
    <row r="74" spans="1:18" ht="14" hidden="1">
      <c r="A74" s="78" t="s">
        <v>2466</v>
      </c>
      <c r="B74" s="220" t="s">
        <v>1120</v>
      </c>
      <c r="C74" s="185"/>
      <c r="D74" s="103" t="str">
        <f>VLOOKUP(B74, 'All Menu'!B:M, 4, 0)</f>
        <v>كبسة لحم 1 كيلو</v>
      </c>
      <c r="E74" s="30" t="str">
        <f>VLOOKUP(B74, 'All Menu'!B:M, 2, 0)</f>
        <v>قسم التواصي</v>
      </c>
      <c r="F74" s="103" t="str">
        <f>VLOOKUP(B74, 'All Menu'!B:M, 3, 0)</f>
        <v>التواصي سفري</v>
      </c>
      <c r="G74" s="90" t="s">
        <v>3058</v>
      </c>
      <c r="H74" s="188">
        <v>4354</v>
      </c>
      <c r="I74" s="110" t="str">
        <f>VLOOKUP(H74, 'RM &amp; SF'!B:H, 2, 0)</f>
        <v>سدر بلاستيك دائري 35 سم*****</v>
      </c>
      <c r="J74" s="184" t="str">
        <f>VLOOKUP(H74, 'RM &amp; SF'!B:E, 4, 0)</f>
        <v>قطعة</v>
      </c>
      <c r="K74" s="12">
        <v>1</v>
      </c>
      <c r="L74" s="13">
        <f>VLOOKUP(H74, 'RM &amp; SF'!B:H, 7, 0)</f>
        <v>0.28016999999999997</v>
      </c>
      <c r="M74" s="7">
        <f t="shared" si="3"/>
        <v>0.28016999999999997</v>
      </c>
      <c r="N74" s="4" t="s">
        <v>825</v>
      </c>
      <c r="O74" s="4">
        <f>VLOOKUP(B74, 'All Menu'!B:L, 6, 0)</f>
        <v>19.827586206896552</v>
      </c>
      <c r="P74" s="6">
        <f>VLOOKUP(B74, 'All Menu'!B:L, 9, 0)</f>
        <v>14.043502748753404</v>
      </c>
      <c r="Q74" s="14">
        <f>VLOOKUP(B74, 'All Menu'!B:M, 12, 0)</f>
        <v>0.29171899180200223</v>
      </c>
      <c r="R74" s="173">
        <f t="shared" si="2"/>
        <v>0</v>
      </c>
    </row>
    <row r="75" spans="1:18" ht="14" hidden="1">
      <c r="A75" s="78" t="s">
        <v>2467</v>
      </c>
      <c r="B75" s="220" t="s">
        <v>1121</v>
      </c>
      <c r="C75" s="185"/>
      <c r="D75" s="103" t="str">
        <f>VLOOKUP(B75, 'All Menu'!B:M, 4, 0)</f>
        <v>أوزي لحم 1 كيلو</v>
      </c>
      <c r="E75" s="30" t="str">
        <f>VLOOKUP(B75, 'All Menu'!B:M, 2, 0)</f>
        <v>قسم التواصي</v>
      </c>
      <c r="F75" s="103" t="str">
        <f>VLOOKUP(B75, 'All Menu'!B:M, 3, 0)</f>
        <v>التواصي سفري</v>
      </c>
      <c r="G75" s="90" t="s">
        <v>2412</v>
      </c>
      <c r="H75" s="219" t="s">
        <v>598</v>
      </c>
      <c r="I75" s="110" t="str">
        <f>VLOOKUP(H75, 'RM &amp; SF'!B:H, 2, 0)</f>
        <v>رز اوزي</v>
      </c>
      <c r="J75" s="184" t="str">
        <f>VLOOKUP(H75, 'RM &amp; SF'!B:E, 4, 0)</f>
        <v>غم</v>
      </c>
      <c r="K75" s="12">
        <v>2000</v>
      </c>
      <c r="L75" s="13">
        <f>VLOOKUP(H75, 'RM &amp; SF'!B:H, 7, 0)</f>
        <v>1.1675619256756756E-3</v>
      </c>
      <c r="M75" s="7">
        <f t="shared" si="3"/>
        <v>2.335123851351351</v>
      </c>
      <c r="N75" s="4" t="s">
        <v>825</v>
      </c>
      <c r="O75" s="4">
        <f>VLOOKUP(B75, 'All Menu'!B:L, 6, 0)</f>
        <v>19.827586206896552</v>
      </c>
      <c r="P75" s="6">
        <f>VLOOKUP(B75, 'All Menu'!B:L, 9, 0)</f>
        <v>14.851071923993471</v>
      </c>
      <c r="Q75" s="14">
        <f>VLOOKUP(B75, 'All Menu'!B:M, 12, 0)</f>
        <v>0.2509894160072858</v>
      </c>
      <c r="R75" s="173">
        <f t="shared" si="2"/>
        <v>0</v>
      </c>
    </row>
    <row r="76" spans="1:18" ht="14" hidden="1">
      <c r="A76" s="78" t="s">
        <v>2467</v>
      </c>
      <c r="B76" s="220" t="s">
        <v>1121</v>
      </c>
      <c r="C76" s="185"/>
      <c r="D76" s="103" t="str">
        <f>VLOOKUP(B76, 'All Menu'!B:M, 4, 0)</f>
        <v>أوزي لحم 1 كيلو</v>
      </c>
      <c r="E76" s="30" t="str">
        <f>VLOOKUP(B76, 'All Menu'!B:M, 2, 0)</f>
        <v>قسم التواصي</v>
      </c>
      <c r="F76" s="103" t="str">
        <f>VLOOKUP(B76, 'All Menu'!B:M, 3, 0)</f>
        <v>التواصي سفري</v>
      </c>
      <c r="G76" s="90" t="s">
        <v>3058</v>
      </c>
      <c r="H76" s="188">
        <v>4608</v>
      </c>
      <c r="I76" s="110" t="str">
        <f>VLOOKUP(H76, 'RM &amp; SF'!B:H, 2, 0)</f>
        <v>لحمة قطع نية بالكيلو*****</v>
      </c>
      <c r="J76" s="184" t="str">
        <f>VLOOKUP(H76, 'RM &amp; SF'!B:E, 4, 0)</f>
        <v>غم</v>
      </c>
      <c r="K76" s="12">
        <v>1000</v>
      </c>
      <c r="L76" s="13">
        <f>VLOOKUP(H76, 'RM &amp; SF'!B:H, 7, 0)</f>
        <v>1.1615493158849017E-2</v>
      </c>
      <c r="M76" s="7">
        <f t="shared" si="3"/>
        <v>11.615493158849016</v>
      </c>
      <c r="N76" s="4" t="s">
        <v>825</v>
      </c>
      <c r="O76" s="4">
        <f>VLOOKUP(B76, 'All Menu'!B:L, 6, 0)</f>
        <v>19.827586206896552</v>
      </c>
      <c r="P76" s="6">
        <f>VLOOKUP(B76, 'All Menu'!B:L, 9, 0)</f>
        <v>14.851071923993471</v>
      </c>
      <c r="Q76" s="14">
        <f>VLOOKUP(B76, 'All Menu'!B:M, 12, 0)</f>
        <v>0.2509894160072858</v>
      </c>
      <c r="R76" s="173">
        <f t="shared" si="2"/>
        <v>0</v>
      </c>
    </row>
    <row r="77" spans="1:18" ht="14" hidden="1">
      <c r="A77" s="78" t="s">
        <v>2467</v>
      </c>
      <c r="B77" s="220" t="s">
        <v>1121</v>
      </c>
      <c r="C77" s="185"/>
      <c r="D77" s="103" t="str">
        <f>VLOOKUP(B77, 'All Menu'!B:M, 4, 0)</f>
        <v>أوزي لحم 1 كيلو</v>
      </c>
      <c r="E77" s="30" t="str">
        <f>VLOOKUP(B77, 'All Menu'!B:M, 2, 0)</f>
        <v>قسم التواصي</v>
      </c>
      <c r="F77" s="103" t="str">
        <f>VLOOKUP(B77, 'All Menu'!B:M, 3, 0)</f>
        <v>التواصي سفري</v>
      </c>
      <c r="G77" s="90" t="s">
        <v>2341</v>
      </c>
      <c r="H77" s="219" t="s">
        <v>706</v>
      </c>
      <c r="I77" s="110" t="str">
        <f>VLOOKUP(H77, 'RM &amp; SF'!B:H, 2, 0)</f>
        <v>لوز مقلي</v>
      </c>
      <c r="J77" s="184" t="str">
        <f>VLOOKUP(H77, 'RM &amp; SF'!B:E, 4, 0)</f>
        <v>غم</v>
      </c>
      <c r="K77" s="12">
        <v>150</v>
      </c>
      <c r="L77" s="13">
        <f>VLOOKUP(H77, 'RM &amp; SF'!B:H, 7, 0)</f>
        <v>4.1352327586206888E-3</v>
      </c>
      <c r="M77" s="7">
        <f t="shared" si="3"/>
        <v>0.62028491379310335</v>
      </c>
      <c r="N77" s="4" t="s">
        <v>825</v>
      </c>
      <c r="O77" s="4">
        <f>VLOOKUP(B77, 'All Menu'!B:L, 6, 0)</f>
        <v>19.827586206896552</v>
      </c>
      <c r="P77" s="6">
        <f>VLOOKUP(B77, 'All Menu'!B:L, 9, 0)</f>
        <v>14.851071923993471</v>
      </c>
      <c r="Q77" s="14">
        <f>VLOOKUP(B77, 'All Menu'!B:M, 12, 0)</f>
        <v>0.2509894160072858</v>
      </c>
      <c r="R77" s="173">
        <f t="shared" si="2"/>
        <v>0</v>
      </c>
    </row>
    <row r="78" spans="1:18" ht="14" hidden="1">
      <c r="A78" s="78" t="s">
        <v>2467</v>
      </c>
      <c r="B78" s="220" t="s">
        <v>1121</v>
      </c>
      <c r="C78" s="185"/>
      <c r="D78" s="103" t="str">
        <f>VLOOKUP(B78, 'All Menu'!B:M, 4, 0)</f>
        <v>أوزي لحم 1 كيلو</v>
      </c>
      <c r="E78" s="30" t="str">
        <f>VLOOKUP(B78, 'All Menu'!B:M, 2, 0)</f>
        <v>قسم التواصي</v>
      </c>
      <c r="F78" s="103" t="str">
        <f>VLOOKUP(B78, 'All Menu'!B:M, 3, 0)</f>
        <v>التواصي سفري</v>
      </c>
      <c r="G78" s="90" t="s">
        <v>3058</v>
      </c>
      <c r="H78" s="188">
        <v>4354</v>
      </c>
      <c r="I78" s="110" t="str">
        <f>VLOOKUP(H78, 'RM &amp; SF'!B:H, 2, 0)</f>
        <v>سدر بلاستيك دائري 35 سم*****</v>
      </c>
      <c r="J78" s="184" t="str">
        <f>VLOOKUP(H78, 'RM &amp; SF'!B:E, 4, 0)</f>
        <v>قطعة</v>
      </c>
      <c r="K78" s="12">
        <v>1</v>
      </c>
      <c r="L78" s="13">
        <f>VLOOKUP(H78, 'RM &amp; SF'!B:H, 7, 0)</f>
        <v>0.28016999999999997</v>
      </c>
      <c r="M78" s="7">
        <f t="shared" si="3"/>
        <v>0.28016999999999997</v>
      </c>
      <c r="N78" s="4" t="s">
        <v>825</v>
      </c>
      <c r="O78" s="4">
        <f>VLOOKUP(B78, 'All Menu'!B:L, 6, 0)</f>
        <v>19.827586206896552</v>
      </c>
      <c r="P78" s="6">
        <f>VLOOKUP(B78, 'All Menu'!B:L, 9, 0)</f>
        <v>14.851071923993471</v>
      </c>
      <c r="Q78" s="14">
        <f>VLOOKUP(B78, 'All Menu'!B:M, 12, 0)</f>
        <v>0.2509894160072858</v>
      </c>
      <c r="R78" s="173">
        <f t="shared" si="2"/>
        <v>0</v>
      </c>
    </row>
    <row r="79" spans="1:18" ht="14" hidden="1">
      <c r="A79" s="78" t="s">
        <v>2468</v>
      </c>
      <c r="B79" s="220" t="s">
        <v>1122</v>
      </c>
      <c r="C79" s="185"/>
      <c r="D79" s="103" t="str">
        <f>VLOOKUP(B79, 'All Menu'!B:M, 4, 0)</f>
        <v>فريكة لحم 1 كيلو</v>
      </c>
      <c r="E79" s="30" t="str">
        <f>VLOOKUP(B79, 'All Menu'!B:M, 2, 0)</f>
        <v>قسم التواصي</v>
      </c>
      <c r="F79" s="103" t="str">
        <f>VLOOKUP(B79, 'All Menu'!B:M, 3, 0)</f>
        <v>التواصي سفري</v>
      </c>
      <c r="G79" s="90" t="s">
        <v>2421</v>
      </c>
      <c r="H79" s="219" t="s">
        <v>622</v>
      </c>
      <c r="I79" s="110" t="str">
        <f>VLOOKUP(H79, 'RM &amp; SF'!B:H, 2, 0)</f>
        <v>فريكة مطبوخة</v>
      </c>
      <c r="J79" s="184" t="str">
        <f>VLOOKUP(H79, 'RM &amp; SF'!B:E, 4, 0)</f>
        <v>غم</v>
      </c>
      <c r="K79" s="12">
        <v>2000</v>
      </c>
      <c r="L79" s="13">
        <f>VLOOKUP(H79, 'RM &amp; SF'!B:H, 7, 0)</f>
        <v>1.2594586666666669E-3</v>
      </c>
      <c r="M79" s="7">
        <f t="shared" si="3"/>
        <v>2.5189173333333339</v>
      </c>
      <c r="N79" s="4" t="s">
        <v>825</v>
      </c>
      <c r="O79" s="4">
        <f>VLOOKUP(B79, 'All Menu'!B:L, 6, 0)</f>
        <v>19.827586206896552</v>
      </c>
      <c r="P79" s="6">
        <f>VLOOKUP(B79, 'All Menu'!B:L, 9, 0)</f>
        <v>15.034865405975454</v>
      </c>
      <c r="Q79" s="14">
        <f>VLOOKUP(B79, 'All Menu'!B:M, 12, 0)</f>
        <v>0.24171983169862926</v>
      </c>
      <c r="R79" s="173">
        <f t="shared" si="2"/>
        <v>0</v>
      </c>
    </row>
    <row r="80" spans="1:18" ht="14" hidden="1">
      <c r="A80" s="78" t="s">
        <v>2468</v>
      </c>
      <c r="B80" s="220" t="s">
        <v>1122</v>
      </c>
      <c r="C80" s="185"/>
      <c r="D80" s="103" t="str">
        <f>VLOOKUP(B80, 'All Menu'!B:M, 4, 0)</f>
        <v>فريكة لحم 1 كيلو</v>
      </c>
      <c r="E80" s="30" t="str">
        <f>VLOOKUP(B80, 'All Menu'!B:M, 2, 0)</f>
        <v>قسم التواصي</v>
      </c>
      <c r="F80" s="103" t="str">
        <f>VLOOKUP(B80, 'All Menu'!B:M, 3, 0)</f>
        <v>التواصي سفري</v>
      </c>
      <c r="G80" s="90" t="s">
        <v>3058</v>
      </c>
      <c r="H80" s="188">
        <v>4608</v>
      </c>
      <c r="I80" s="110" t="str">
        <f>VLOOKUP(H80, 'RM &amp; SF'!B:H, 2, 0)</f>
        <v>لحمة قطع نية بالكيلو*****</v>
      </c>
      <c r="J80" s="184" t="str">
        <f>VLOOKUP(H80, 'RM &amp; SF'!B:E, 4, 0)</f>
        <v>غم</v>
      </c>
      <c r="K80" s="12">
        <v>1000</v>
      </c>
      <c r="L80" s="13">
        <f>VLOOKUP(H80, 'RM &amp; SF'!B:H, 7, 0)</f>
        <v>1.1615493158849017E-2</v>
      </c>
      <c r="M80" s="7">
        <f t="shared" si="3"/>
        <v>11.615493158849016</v>
      </c>
      <c r="N80" s="4" t="s">
        <v>825</v>
      </c>
      <c r="O80" s="4">
        <f>VLOOKUP(B80, 'All Menu'!B:L, 6, 0)</f>
        <v>19.827586206896552</v>
      </c>
      <c r="P80" s="6">
        <f>VLOOKUP(B80, 'All Menu'!B:L, 9, 0)</f>
        <v>15.034865405975454</v>
      </c>
      <c r="Q80" s="14">
        <f>VLOOKUP(B80, 'All Menu'!B:M, 12, 0)</f>
        <v>0.24171983169862926</v>
      </c>
      <c r="R80" s="173">
        <f t="shared" si="2"/>
        <v>0</v>
      </c>
    </row>
    <row r="81" spans="1:18" ht="14" hidden="1">
      <c r="A81" s="78" t="s">
        <v>2468</v>
      </c>
      <c r="B81" s="220" t="s">
        <v>1122</v>
      </c>
      <c r="C81" s="185"/>
      <c r="D81" s="103" t="str">
        <f>VLOOKUP(B81, 'All Menu'!B:M, 4, 0)</f>
        <v>فريكة لحم 1 كيلو</v>
      </c>
      <c r="E81" s="30" t="str">
        <f>VLOOKUP(B81, 'All Menu'!B:M, 2, 0)</f>
        <v>قسم التواصي</v>
      </c>
      <c r="F81" s="103" t="str">
        <f>VLOOKUP(B81, 'All Menu'!B:M, 3, 0)</f>
        <v>التواصي سفري</v>
      </c>
      <c r="G81" s="90" t="s">
        <v>2341</v>
      </c>
      <c r="H81" s="219" t="s">
        <v>706</v>
      </c>
      <c r="I81" s="110" t="str">
        <f>VLOOKUP(H81, 'RM &amp; SF'!B:H, 2, 0)</f>
        <v>لوز مقلي</v>
      </c>
      <c r="J81" s="184" t="str">
        <f>VLOOKUP(H81, 'RM &amp; SF'!B:E, 4, 0)</f>
        <v>غم</v>
      </c>
      <c r="K81" s="12">
        <v>150</v>
      </c>
      <c r="L81" s="13">
        <f>VLOOKUP(H81, 'RM &amp; SF'!B:H, 7, 0)</f>
        <v>4.1352327586206888E-3</v>
      </c>
      <c r="M81" s="7">
        <f t="shared" si="3"/>
        <v>0.62028491379310335</v>
      </c>
      <c r="N81" s="4" t="s">
        <v>825</v>
      </c>
      <c r="O81" s="4">
        <f>VLOOKUP(B81, 'All Menu'!B:L, 6, 0)</f>
        <v>19.827586206896552</v>
      </c>
      <c r="P81" s="6">
        <f>VLOOKUP(B81, 'All Menu'!B:L, 9, 0)</f>
        <v>15.034865405975454</v>
      </c>
      <c r="Q81" s="14">
        <f>VLOOKUP(B81, 'All Menu'!B:M, 12, 0)</f>
        <v>0.24171983169862926</v>
      </c>
      <c r="R81" s="173">
        <f t="shared" ref="R81:R126" si="4">C81*K81</f>
        <v>0</v>
      </c>
    </row>
    <row r="82" spans="1:18" ht="14" hidden="1">
      <c r="A82" s="78" t="s">
        <v>2468</v>
      </c>
      <c r="B82" s="220" t="s">
        <v>1122</v>
      </c>
      <c r="C82" s="185"/>
      <c r="D82" s="103" t="str">
        <f>VLOOKUP(B82, 'All Menu'!B:M, 4, 0)</f>
        <v>فريكة لحم 1 كيلو</v>
      </c>
      <c r="E82" s="30" t="str">
        <f>VLOOKUP(B82, 'All Menu'!B:M, 2, 0)</f>
        <v>قسم التواصي</v>
      </c>
      <c r="F82" s="103" t="str">
        <f>VLOOKUP(B82, 'All Menu'!B:M, 3, 0)</f>
        <v>التواصي سفري</v>
      </c>
      <c r="G82" s="90" t="s">
        <v>3058</v>
      </c>
      <c r="H82" s="188">
        <v>4354</v>
      </c>
      <c r="I82" s="110" t="str">
        <f>VLOOKUP(H82, 'RM &amp; SF'!B:H, 2, 0)</f>
        <v>سدر بلاستيك دائري 35 سم*****</v>
      </c>
      <c r="J82" s="184" t="str">
        <f>VLOOKUP(H82, 'RM &amp; SF'!B:E, 4, 0)</f>
        <v>قطعة</v>
      </c>
      <c r="K82" s="12">
        <v>1</v>
      </c>
      <c r="L82" s="13">
        <f>VLOOKUP(H82, 'RM &amp; SF'!B:H, 7, 0)</f>
        <v>0.28016999999999997</v>
      </c>
      <c r="M82" s="7">
        <f t="shared" si="3"/>
        <v>0.28016999999999997</v>
      </c>
      <c r="N82" s="4" t="s">
        <v>825</v>
      </c>
      <c r="O82" s="4">
        <f>VLOOKUP(B82, 'All Menu'!B:L, 6, 0)</f>
        <v>19.827586206896552</v>
      </c>
      <c r="P82" s="6">
        <f>VLOOKUP(B82, 'All Menu'!B:L, 9, 0)</f>
        <v>15.034865405975454</v>
      </c>
      <c r="Q82" s="14">
        <f>VLOOKUP(B82, 'All Menu'!B:M, 12, 0)</f>
        <v>0.24171983169862926</v>
      </c>
      <c r="R82" s="173">
        <f t="shared" si="4"/>
        <v>0</v>
      </c>
    </row>
    <row r="83" spans="1:18" ht="14" hidden="1">
      <c r="A83" s="78" t="s">
        <v>2474</v>
      </c>
      <c r="B83" s="220" t="s">
        <v>1123</v>
      </c>
      <c r="C83" s="185"/>
      <c r="D83" s="103" t="str">
        <f>VLOOKUP(B83, 'All Menu'!B:M, 4, 0)</f>
        <v>قدرة دجاج 1 دجاجة</v>
      </c>
      <c r="E83" s="30" t="str">
        <f>VLOOKUP(B83, 'All Menu'!B:M, 2, 0)</f>
        <v>قسم التواصي</v>
      </c>
      <c r="F83" s="103" t="str">
        <f>VLOOKUP(B83, 'All Menu'!B:M, 3, 0)</f>
        <v>التواصي سفري</v>
      </c>
      <c r="G83" s="90" t="s">
        <v>2386</v>
      </c>
      <c r="H83" s="219" t="s">
        <v>584</v>
      </c>
      <c r="I83" s="110" t="str">
        <f>VLOOKUP(H83, 'RM &amp; SF'!B:H, 2, 0)</f>
        <v>رز قدرة</v>
      </c>
      <c r="J83" s="184" t="str">
        <f>VLOOKUP(H83, 'RM &amp; SF'!B:E, 4, 0)</f>
        <v>غم</v>
      </c>
      <c r="K83" s="12">
        <v>1500</v>
      </c>
      <c r="L83" s="13">
        <f>VLOOKUP(H83, 'RM &amp; SF'!B:H, 7, 0)</f>
        <v>4.9428737588652486E-4</v>
      </c>
      <c r="M83" s="7">
        <f t="shared" si="3"/>
        <v>0.7414310638297873</v>
      </c>
      <c r="N83" s="4" t="s">
        <v>825</v>
      </c>
      <c r="O83" s="4">
        <f>VLOOKUP(B83, 'All Menu'!B:L, 6, 0)</f>
        <v>8.6206896551724146</v>
      </c>
      <c r="P83" s="6">
        <f>VLOOKUP(B83, 'All Menu'!B:L, 9, 0)</f>
        <v>4.7769910334942951</v>
      </c>
      <c r="Q83" s="14">
        <f>VLOOKUP(B83, 'All Menu'!B:M, 12, 0)</f>
        <v>0.44586904011466183</v>
      </c>
      <c r="R83" s="173">
        <f t="shared" si="4"/>
        <v>0</v>
      </c>
    </row>
    <row r="84" spans="1:18" ht="14" hidden="1">
      <c r="A84" s="78" t="s">
        <v>2474</v>
      </c>
      <c r="B84" s="220" t="s">
        <v>1123</v>
      </c>
      <c r="C84" s="185"/>
      <c r="D84" s="103" t="str">
        <f>VLOOKUP(B84, 'All Menu'!B:M, 4, 0)</f>
        <v>قدرة دجاج 1 دجاجة</v>
      </c>
      <c r="E84" s="30" t="str">
        <f>VLOOKUP(B84, 'All Menu'!B:M, 2, 0)</f>
        <v>قسم التواصي</v>
      </c>
      <c r="F84" s="103" t="str">
        <f>VLOOKUP(B84, 'All Menu'!B:M, 3, 0)</f>
        <v>التواصي سفري</v>
      </c>
      <c r="G84" s="90" t="s">
        <v>2417</v>
      </c>
      <c r="H84" s="219" t="s">
        <v>544</v>
      </c>
      <c r="I84" s="110" t="str">
        <f>VLOOKUP(H84, 'RM &amp; SF'!B:H, 2, 0)</f>
        <v>دجاجة متبلة</v>
      </c>
      <c r="J84" s="184" t="str">
        <f>VLOOKUP(H84, 'RM &amp; SF'!B:E, 4, 0)</f>
        <v>قطعة</v>
      </c>
      <c r="K84" s="12">
        <v>1</v>
      </c>
      <c r="L84" s="13">
        <f>VLOOKUP(H84, 'RM &amp; SF'!B:H, 7, 0)</f>
        <v>3.0853324000000004</v>
      </c>
      <c r="M84" s="7">
        <f t="shared" si="3"/>
        <v>3.0853324000000004</v>
      </c>
      <c r="N84" s="4" t="s">
        <v>825</v>
      </c>
      <c r="O84" s="4">
        <f>VLOOKUP(B84, 'All Menu'!B:L, 6, 0)</f>
        <v>8.6206896551724146</v>
      </c>
      <c r="P84" s="6">
        <f>VLOOKUP(B84, 'All Menu'!B:L, 9, 0)</f>
        <v>4.7769910334942951</v>
      </c>
      <c r="Q84" s="14">
        <f>VLOOKUP(B84, 'All Menu'!B:M, 12, 0)</f>
        <v>0.44586904011466183</v>
      </c>
      <c r="R84" s="173">
        <f t="shared" si="4"/>
        <v>0</v>
      </c>
    </row>
    <row r="85" spans="1:18" ht="14" hidden="1">
      <c r="A85" s="78" t="s">
        <v>2474</v>
      </c>
      <c r="B85" s="220" t="s">
        <v>1123</v>
      </c>
      <c r="C85" s="185"/>
      <c r="D85" s="103" t="str">
        <f>VLOOKUP(B85, 'All Menu'!B:M, 4, 0)</f>
        <v>قدرة دجاج 1 دجاجة</v>
      </c>
      <c r="E85" s="30" t="str">
        <f>VLOOKUP(B85, 'All Menu'!B:M, 2, 0)</f>
        <v>قسم التواصي</v>
      </c>
      <c r="F85" s="103" t="str">
        <f>VLOOKUP(B85, 'All Menu'!B:M, 3, 0)</f>
        <v>التواصي سفري</v>
      </c>
      <c r="G85" s="90" t="s">
        <v>2341</v>
      </c>
      <c r="H85" s="219" t="s">
        <v>706</v>
      </c>
      <c r="I85" s="110" t="str">
        <f>VLOOKUP(H85, 'RM &amp; SF'!B:H, 2, 0)</f>
        <v>لوز مقلي</v>
      </c>
      <c r="J85" s="184" t="str">
        <f>VLOOKUP(H85, 'RM &amp; SF'!B:E, 4, 0)</f>
        <v>غم</v>
      </c>
      <c r="K85" s="12">
        <v>80</v>
      </c>
      <c r="L85" s="13">
        <f>VLOOKUP(H85, 'RM &amp; SF'!B:H, 7, 0)</f>
        <v>4.1352327586206888E-3</v>
      </c>
      <c r="M85" s="7">
        <f t="shared" si="3"/>
        <v>0.33081862068965512</v>
      </c>
      <c r="N85" s="4" t="s">
        <v>825</v>
      </c>
      <c r="O85" s="4">
        <f>VLOOKUP(B85, 'All Menu'!B:L, 6, 0)</f>
        <v>8.6206896551724146</v>
      </c>
      <c r="P85" s="6">
        <f>VLOOKUP(B85, 'All Menu'!B:L, 9, 0)</f>
        <v>4.7769910334942951</v>
      </c>
      <c r="Q85" s="14">
        <f>VLOOKUP(B85, 'All Menu'!B:M, 12, 0)</f>
        <v>0.44586904011466183</v>
      </c>
      <c r="R85" s="173">
        <f t="shared" si="4"/>
        <v>0</v>
      </c>
    </row>
    <row r="86" spans="1:18" ht="14" hidden="1">
      <c r="A86" s="78" t="s">
        <v>2474</v>
      </c>
      <c r="B86" s="220" t="s">
        <v>1123</v>
      </c>
      <c r="C86" s="185"/>
      <c r="D86" s="103" t="str">
        <f>VLOOKUP(B86, 'All Menu'!B:M, 4, 0)</f>
        <v>قدرة دجاج 1 دجاجة</v>
      </c>
      <c r="E86" s="30" t="str">
        <f>VLOOKUP(B86, 'All Menu'!B:M, 2, 0)</f>
        <v>قسم التواصي</v>
      </c>
      <c r="F86" s="103" t="str">
        <f>VLOOKUP(B86, 'All Menu'!B:M, 3, 0)</f>
        <v>التواصي سفري</v>
      </c>
      <c r="G86" s="90" t="s">
        <v>2228</v>
      </c>
      <c r="H86" s="219" t="s">
        <v>566</v>
      </c>
      <c r="I86" s="110" t="str">
        <f>VLOOKUP(H86, 'RM &amp; SF'!B:H, 2, 0)</f>
        <v>خيار بلبن</v>
      </c>
      <c r="J86" s="184" t="str">
        <f>VLOOKUP(H86, 'RM &amp; SF'!B:E, 4, 0)</f>
        <v>غم</v>
      </c>
      <c r="K86" s="12">
        <v>250</v>
      </c>
      <c r="L86" s="13">
        <f>VLOOKUP(H86, 'RM &amp; SF'!B:H, 7, 0)</f>
        <v>1.0121557958994094E-3</v>
      </c>
      <c r="M86" s="7">
        <f t="shared" si="3"/>
        <v>0.25303894897485235</v>
      </c>
      <c r="N86" s="4" t="s">
        <v>825</v>
      </c>
      <c r="O86" s="4">
        <f>VLOOKUP(B86, 'All Menu'!B:L, 6, 0)</f>
        <v>8.6206896551724146</v>
      </c>
      <c r="P86" s="6">
        <f>VLOOKUP(B86, 'All Menu'!B:L, 9, 0)</f>
        <v>4.7769910334942951</v>
      </c>
      <c r="Q86" s="14">
        <f>VLOOKUP(B86, 'All Menu'!B:M, 12, 0)</f>
        <v>0.44586904011466183</v>
      </c>
      <c r="R86" s="173">
        <f t="shared" si="4"/>
        <v>0</v>
      </c>
    </row>
    <row r="87" spans="1:18" ht="14" hidden="1">
      <c r="A87" s="78" t="s">
        <v>2474</v>
      </c>
      <c r="B87" s="220" t="s">
        <v>1123</v>
      </c>
      <c r="C87" s="185"/>
      <c r="D87" s="103" t="str">
        <f>VLOOKUP(B87, 'All Menu'!B:M, 4, 0)</f>
        <v>قدرة دجاج 1 دجاجة</v>
      </c>
      <c r="E87" s="30" t="str">
        <f>VLOOKUP(B87, 'All Menu'!B:M, 2, 0)</f>
        <v>قسم التواصي</v>
      </c>
      <c r="F87" s="103" t="str">
        <f>VLOOKUP(B87, 'All Menu'!B:M, 3, 0)</f>
        <v>التواصي سفري</v>
      </c>
      <c r="G87" s="90" t="s">
        <v>2191</v>
      </c>
      <c r="H87" s="188">
        <v>4282</v>
      </c>
      <c r="I87" s="110" t="str">
        <f>VLOOKUP(H87, 'RM &amp; SF'!B:H, 2, 0)</f>
        <v>علب سوشي اسود رقم 3*****</v>
      </c>
      <c r="J87" s="184" t="str">
        <f>VLOOKUP(H87, 'RM &amp; SF'!B:E, 4, 0)</f>
        <v>قطعة</v>
      </c>
      <c r="K87" s="12">
        <v>1</v>
      </c>
      <c r="L87" s="13">
        <f>VLOOKUP(H87, 'RM &amp; SF'!B:H, 7, 0)</f>
        <v>8.6199999999999999E-2</v>
      </c>
      <c r="M87" s="7">
        <f t="shared" si="3"/>
        <v>8.6199999999999999E-2</v>
      </c>
      <c r="N87" s="4" t="s">
        <v>825</v>
      </c>
      <c r="O87" s="4">
        <f>VLOOKUP(B87, 'All Menu'!B:L, 6, 0)</f>
        <v>8.6206896551724146</v>
      </c>
      <c r="P87" s="6">
        <f>VLOOKUP(B87, 'All Menu'!B:L, 9, 0)</f>
        <v>4.7769910334942951</v>
      </c>
      <c r="Q87" s="14">
        <f>VLOOKUP(B87, 'All Menu'!B:M, 12, 0)</f>
        <v>0.44586904011466183</v>
      </c>
      <c r="R87" s="173">
        <f t="shared" si="4"/>
        <v>0</v>
      </c>
    </row>
    <row r="88" spans="1:18" ht="14" hidden="1">
      <c r="A88" s="78" t="s">
        <v>2474</v>
      </c>
      <c r="B88" s="220" t="s">
        <v>1123</v>
      </c>
      <c r="C88" s="185"/>
      <c r="D88" s="103" t="str">
        <f>VLOOKUP(B88, 'All Menu'!B:M, 4, 0)</f>
        <v>قدرة دجاج 1 دجاجة</v>
      </c>
      <c r="E88" s="30" t="str">
        <f>VLOOKUP(B88, 'All Menu'!B:M, 2, 0)</f>
        <v>قسم التواصي</v>
      </c>
      <c r="F88" s="103" t="str">
        <f>VLOOKUP(B88, 'All Menu'!B:M, 3, 0)</f>
        <v>التواصي سفري</v>
      </c>
      <c r="G88" s="90" t="s">
        <v>3058</v>
      </c>
      <c r="H88" s="188">
        <v>4354</v>
      </c>
      <c r="I88" s="110" t="str">
        <f>VLOOKUP(H88, 'RM &amp; SF'!B:H, 2, 0)</f>
        <v>سدر بلاستيك دائري 35 سم*****</v>
      </c>
      <c r="J88" s="184" t="str">
        <f>VLOOKUP(H88, 'RM &amp; SF'!B:E, 4, 0)</f>
        <v>قطعة</v>
      </c>
      <c r="K88" s="12">
        <v>1</v>
      </c>
      <c r="L88" s="13">
        <f>VLOOKUP(H88, 'RM &amp; SF'!B:H, 7, 0)</f>
        <v>0.28016999999999997</v>
      </c>
      <c r="M88" s="7">
        <f t="shared" si="3"/>
        <v>0.28016999999999997</v>
      </c>
      <c r="N88" s="4" t="s">
        <v>825</v>
      </c>
      <c r="O88" s="4">
        <f>VLOOKUP(B88, 'All Menu'!B:L, 6, 0)</f>
        <v>8.6206896551724146</v>
      </c>
      <c r="P88" s="6">
        <f>VLOOKUP(B88, 'All Menu'!B:L, 9, 0)</f>
        <v>4.7769910334942951</v>
      </c>
      <c r="Q88" s="14">
        <f>VLOOKUP(B88, 'All Menu'!B:M, 12, 0)</f>
        <v>0.44586904011466183</v>
      </c>
      <c r="R88" s="173">
        <f t="shared" si="4"/>
        <v>0</v>
      </c>
    </row>
    <row r="89" spans="1:18" ht="14" hidden="1">
      <c r="A89" s="78" t="s">
        <v>2478</v>
      </c>
      <c r="B89" s="220" t="s">
        <v>1124</v>
      </c>
      <c r="C89" s="185"/>
      <c r="D89" s="103" t="str">
        <f>VLOOKUP(B89, 'All Menu'!B:M, 4, 0)</f>
        <v>زربيان دجاج 1 دجاجة</v>
      </c>
      <c r="E89" s="30" t="str">
        <f>VLOOKUP(B89, 'All Menu'!B:M, 2, 0)</f>
        <v>قسم التواصي</v>
      </c>
      <c r="F89" s="103" t="str">
        <f>VLOOKUP(B89, 'All Menu'!B:M, 3, 0)</f>
        <v>التواصي سفري</v>
      </c>
      <c r="G89" s="90" t="s">
        <v>2393</v>
      </c>
      <c r="H89" s="219" t="s">
        <v>542</v>
      </c>
      <c r="I89" s="110" t="str">
        <f>VLOOKUP(H89, 'RM &amp; SF'!B:H, 2, 0)</f>
        <v>رز زربيان</v>
      </c>
      <c r="J89" s="184" t="str">
        <f>VLOOKUP(H89, 'RM &amp; SF'!B:E, 4, 0)</f>
        <v>غم</v>
      </c>
      <c r="K89" s="12">
        <v>1500</v>
      </c>
      <c r="L89" s="13">
        <f>VLOOKUP(H89, 'RM &amp; SF'!B:H, 7, 0)</f>
        <v>5.2538680076628355E-4</v>
      </c>
      <c r="M89" s="7">
        <f t="shared" si="3"/>
        <v>0.78808020114942534</v>
      </c>
      <c r="N89" s="4" t="s">
        <v>825</v>
      </c>
      <c r="O89" s="4">
        <f>VLOOKUP(B89, 'All Menu'!B:L, 6, 0)</f>
        <v>8.6206896551724146</v>
      </c>
      <c r="P89" s="6">
        <f>VLOOKUP(B89, 'All Menu'!B:L, 9, 0)</f>
        <v>4.8236401708139338</v>
      </c>
      <c r="Q89" s="14">
        <f>VLOOKUP(B89, 'All Menu'!B:M, 12, 0)</f>
        <v>0.4404577401855837</v>
      </c>
      <c r="R89" s="173">
        <f t="shared" si="4"/>
        <v>0</v>
      </c>
    </row>
    <row r="90" spans="1:18" ht="14" hidden="1">
      <c r="A90" s="78" t="s">
        <v>2478</v>
      </c>
      <c r="B90" s="220" t="s">
        <v>1124</v>
      </c>
      <c r="C90" s="185"/>
      <c r="D90" s="103" t="str">
        <f>VLOOKUP(B90, 'All Menu'!B:M, 4, 0)</f>
        <v>زربيان دجاج 1 دجاجة</v>
      </c>
      <c r="E90" s="30" t="str">
        <f>VLOOKUP(B90, 'All Menu'!B:M, 2, 0)</f>
        <v>قسم التواصي</v>
      </c>
      <c r="F90" s="103" t="str">
        <f>VLOOKUP(B90, 'All Menu'!B:M, 3, 0)</f>
        <v>التواصي سفري</v>
      </c>
      <c r="G90" s="90" t="s">
        <v>2417</v>
      </c>
      <c r="H90" s="219" t="s">
        <v>544</v>
      </c>
      <c r="I90" s="110" t="str">
        <f>VLOOKUP(H90, 'RM &amp; SF'!B:H, 2, 0)</f>
        <v>دجاجة متبلة</v>
      </c>
      <c r="J90" s="184" t="str">
        <f>VLOOKUP(H90, 'RM &amp; SF'!B:E, 4, 0)</f>
        <v>قطعة</v>
      </c>
      <c r="K90" s="12">
        <v>1</v>
      </c>
      <c r="L90" s="13">
        <f>VLOOKUP(H90, 'RM &amp; SF'!B:H, 7, 0)</f>
        <v>3.0853324000000004</v>
      </c>
      <c r="M90" s="7">
        <f t="shared" si="3"/>
        <v>3.0853324000000004</v>
      </c>
      <c r="N90" s="4" t="s">
        <v>825</v>
      </c>
      <c r="O90" s="4">
        <f>VLOOKUP(B90, 'All Menu'!B:L, 6, 0)</f>
        <v>8.6206896551724146</v>
      </c>
      <c r="P90" s="6">
        <f>VLOOKUP(B90, 'All Menu'!B:L, 9, 0)</f>
        <v>4.8236401708139338</v>
      </c>
      <c r="Q90" s="14">
        <f>VLOOKUP(B90, 'All Menu'!B:M, 12, 0)</f>
        <v>0.4404577401855837</v>
      </c>
      <c r="R90" s="173">
        <f t="shared" si="4"/>
        <v>0</v>
      </c>
    </row>
    <row r="91" spans="1:18" ht="14" hidden="1">
      <c r="A91" s="78" t="s">
        <v>2478</v>
      </c>
      <c r="B91" s="220" t="s">
        <v>1124</v>
      </c>
      <c r="C91" s="185"/>
      <c r="D91" s="103" t="str">
        <f>VLOOKUP(B91, 'All Menu'!B:M, 4, 0)</f>
        <v>زربيان دجاج 1 دجاجة</v>
      </c>
      <c r="E91" s="30" t="str">
        <f>VLOOKUP(B91, 'All Menu'!B:M, 2, 0)</f>
        <v>قسم التواصي</v>
      </c>
      <c r="F91" s="103" t="str">
        <f>VLOOKUP(B91, 'All Menu'!B:M, 3, 0)</f>
        <v>التواصي سفري</v>
      </c>
      <c r="G91" s="90" t="s">
        <v>2341</v>
      </c>
      <c r="H91" s="219" t="s">
        <v>706</v>
      </c>
      <c r="I91" s="110" t="str">
        <f>VLOOKUP(H91, 'RM &amp; SF'!B:H, 2, 0)</f>
        <v>لوز مقلي</v>
      </c>
      <c r="J91" s="184" t="str">
        <f>VLOOKUP(H91, 'RM &amp; SF'!B:E, 4, 0)</f>
        <v>غم</v>
      </c>
      <c r="K91" s="12">
        <v>80</v>
      </c>
      <c r="L91" s="13">
        <f>VLOOKUP(H91, 'RM &amp; SF'!B:H, 7, 0)</f>
        <v>4.1352327586206888E-3</v>
      </c>
      <c r="M91" s="7">
        <f t="shared" si="3"/>
        <v>0.33081862068965512</v>
      </c>
      <c r="N91" s="4" t="s">
        <v>825</v>
      </c>
      <c r="O91" s="4">
        <f>VLOOKUP(B91, 'All Menu'!B:L, 6, 0)</f>
        <v>8.6206896551724146</v>
      </c>
      <c r="P91" s="6">
        <f>VLOOKUP(B91, 'All Menu'!B:L, 9, 0)</f>
        <v>4.8236401708139338</v>
      </c>
      <c r="Q91" s="14">
        <f>VLOOKUP(B91, 'All Menu'!B:M, 12, 0)</f>
        <v>0.4404577401855837</v>
      </c>
      <c r="R91" s="173">
        <f t="shared" si="4"/>
        <v>0</v>
      </c>
    </row>
    <row r="92" spans="1:18" ht="14" hidden="1">
      <c r="A92" s="78" t="s">
        <v>2478</v>
      </c>
      <c r="B92" s="220" t="s">
        <v>1124</v>
      </c>
      <c r="C92" s="185"/>
      <c r="D92" s="103" t="str">
        <f>VLOOKUP(B92, 'All Menu'!B:M, 4, 0)</f>
        <v>زربيان دجاج 1 دجاجة</v>
      </c>
      <c r="E92" s="30" t="str">
        <f>VLOOKUP(B92, 'All Menu'!B:M, 2, 0)</f>
        <v>قسم التواصي</v>
      </c>
      <c r="F92" s="103" t="str">
        <f>VLOOKUP(B92, 'All Menu'!B:M, 3, 0)</f>
        <v>التواصي سفري</v>
      </c>
      <c r="G92" s="90" t="s">
        <v>2228</v>
      </c>
      <c r="H92" s="219" t="s">
        <v>566</v>
      </c>
      <c r="I92" s="110" t="str">
        <f>VLOOKUP(H92, 'RM &amp; SF'!B:H, 2, 0)</f>
        <v>خيار بلبن</v>
      </c>
      <c r="J92" s="184" t="str">
        <f>VLOOKUP(H92, 'RM &amp; SF'!B:E, 4, 0)</f>
        <v>غم</v>
      </c>
      <c r="K92" s="12">
        <v>250</v>
      </c>
      <c r="L92" s="13">
        <f>VLOOKUP(H92, 'RM &amp; SF'!B:H, 7, 0)</f>
        <v>1.0121557958994094E-3</v>
      </c>
      <c r="M92" s="7">
        <f t="shared" si="3"/>
        <v>0.25303894897485235</v>
      </c>
      <c r="N92" s="4" t="s">
        <v>825</v>
      </c>
      <c r="O92" s="4">
        <f>VLOOKUP(B92, 'All Menu'!B:L, 6, 0)</f>
        <v>8.6206896551724146</v>
      </c>
      <c r="P92" s="6">
        <f>VLOOKUP(B92, 'All Menu'!B:L, 9, 0)</f>
        <v>4.8236401708139338</v>
      </c>
      <c r="Q92" s="14">
        <f>VLOOKUP(B92, 'All Menu'!B:M, 12, 0)</f>
        <v>0.4404577401855837</v>
      </c>
      <c r="R92" s="173">
        <f t="shared" si="4"/>
        <v>0</v>
      </c>
    </row>
    <row r="93" spans="1:18" ht="14" hidden="1">
      <c r="A93" s="78" t="s">
        <v>2478</v>
      </c>
      <c r="B93" s="220" t="s">
        <v>1124</v>
      </c>
      <c r="C93" s="185"/>
      <c r="D93" s="103" t="str">
        <f>VLOOKUP(B93, 'All Menu'!B:M, 4, 0)</f>
        <v>زربيان دجاج 1 دجاجة</v>
      </c>
      <c r="E93" s="30" t="str">
        <f>VLOOKUP(B93, 'All Menu'!B:M, 2, 0)</f>
        <v>قسم التواصي</v>
      </c>
      <c r="F93" s="103" t="str">
        <f>VLOOKUP(B93, 'All Menu'!B:M, 3, 0)</f>
        <v>التواصي سفري</v>
      </c>
      <c r="G93" s="90" t="s">
        <v>2191</v>
      </c>
      <c r="H93" s="188">
        <v>4282</v>
      </c>
      <c r="I93" s="110" t="str">
        <f>VLOOKUP(H93, 'RM &amp; SF'!B:H, 2, 0)</f>
        <v>علب سوشي اسود رقم 3*****</v>
      </c>
      <c r="J93" s="184" t="str">
        <f>VLOOKUP(H93, 'RM &amp; SF'!B:E, 4, 0)</f>
        <v>قطعة</v>
      </c>
      <c r="K93" s="12">
        <v>1</v>
      </c>
      <c r="L93" s="13">
        <f>VLOOKUP(H93, 'RM &amp; SF'!B:H, 7, 0)</f>
        <v>8.6199999999999999E-2</v>
      </c>
      <c r="M93" s="7">
        <f t="shared" si="3"/>
        <v>8.6199999999999999E-2</v>
      </c>
      <c r="N93" s="4" t="s">
        <v>825</v>
      </c>
      <c r="O93" s="4">
        <f>VLOOKUP(B93, 'All Menu'!B:L, 6, 0)</f>
        <v>8.6206896551724146</v>
      </c>
      <c r="P93" s="6">
        <f>VLOOKUP(B93, 'All Menu'!B:L, 9, 0)</f>
        <v>4.8236401708139338</v>
      </c>
      <c r="Q93" s="14">
        <f>VLOOKUP(B93, 'All Menu'!B:M, 12, 0)</f>
        <v>0.4404577401855837</v>
      </c>
      <c r="R93" s="173">
        <f t="shared" si="4"/>
        <v>0</v>
      </c>
    </row>
    <row r="94" spans="1:18" ht="14" hidden="1">
      <c r="A94" s="78" t="s">
        <v>2478</v>
      </c>
      <c r="B94" s="220" t="s">
        <v>1124</v>
      </c>
      <c r="C94" s="185"/>
      <c r="D94" s="103" t="str">
        <f>VLOOKUP(B94, 'All Menu'!B:M, 4, 0)</f>
        <v>زربيان دجاج 1 دجاجة</v>
      </c>
      <c r="E94" s="30" t="str">
        <f>VLOOKUP(B94, 'All Menu'!B:M, 2, 0)</f>
        <v>قسم التواصي</v>
      </c>
      <c r="F94" s="103" t="str">
        <f>VLOOKUP(B94, 'All Menu'!B:M, 3, 0)</f>
        <v>التواصي سفري</v>
      </c>
      <c r="G94" s="90" t="s">
        <v>3058</v>
      </c>
      <c r="H94" s="188">
        <v>4354</v>
      </c>
      <c r="I94" s="110" t="str">
        <f>VLOOKUP(H94, 'RM &amp; SF'!B:H, 2, 0)</f>
        <v>سدر بلاستيك دائري 35 سم*****</v>
      </c>
      <c r="J94" s="184" t="str">
        <f>VLOOKUP(H94, 'RM &amp; SF'!B:E, 4, 0)</f>
        <v>قطعة</v>
      </c>
      <c r="K94" s="12">
        <v>1</v>
      </c>
      <c r="L94" s="13">
        <f>VLOOKUP(H94, 'RM &amp; SF'!B:H, 7, 0)</f>
        <v>0.28016999999999997</v>
      </c>
      <c r="M94" s="7">
        <f t="shared" si="3"/>
        <v>0.28016999999999997</v>
      </c>
      <c r="N94" s="4" t="s">
        <v>825</v>
      </c>
      <c r="O94" s="4">
        <f>VLOOKUP(B94, 'All Menu'!B:L, 6, 0)</f>
        <v>8.6206896551724146</v>
      </c>
      <c r="P94" s="6">
        <f>VLOOKUP(B94, 'All Menu'!B:L, 9, 0)</f>
        <v>4.8236401708139338</v>
      </c>
      <c r="Q94" s="14">
        <f>VLOOKUP(B94, 'All Menu'!B:M, 12, 0)</f>
        <v>0.4404577401855837</v>
      </c>
      <c r="R94" s="173">
        <f t="shared" si="4"/>
        <v>0</v>
      </c>
    </row>
    <row r="95" spans="1:18" ht="14" hidden="1">
      <c r="A95" s="78" t="s">
        <v>2491</v>
      </c>
      <c r="B95" s="220" t="s">
        <v>1156</v>
      </c>
      <c r="C95" s="185"/>
      <c r="D95" s="103" t="str">
        <f>VLOOKUP(B95, 'All Menu'!B:M, 4, 0)</f>
        <v>كوسا 1ك +دوالي 1 ك+ ريش 1 ك</v>
      </c>
      <c r="E95" s="30" t="str">
        <f>VLOOKUP(B95, 'All Menu'!B:M, 2, 0)</f>
        <v>قسم التواصي</v>
      </c>
      <c r="F95" s="103" t="str">
        <f>VLOOKUP(B95, 'All Menu'!B:M, 3, 0)</f>
        <v>التواصي سفري2</v>
      </c>
      <c r="G95" s="90" t="s">
        <v>2435</v>
      </c>
      <c r="H95" s="219" t="s">
        <v>690</v>
      </c>
      <c r="I95" s="110" t="str">
        <f>VLOOKUP(H95, 'RM &amp; SF'!B:H, 2, 0)</f>
        <v>كوسا محشي بالحبة</v>
      </c>
      <c r="J95" s="184" t="str">
        <f>VLOOKUP(H95, 'RM &amp; SF'!B:E, 4, 0)</f>
        <v>قطعة</v>
      </c>
      <c r="K95" s="12">
        <v>14</v>
      </c>
      <c r="L95" s="13">
        <f>VLOOKUP(H95, 'RM &amp; SF'!B:H, 7, 0)</f>
        <v>0.20580553846153843</v>
      </c>
      <c r="M95" s="7">
        <f t="shared" si="3"/>
        <v>2.8812775384615379</v>
      </c>
      <c r="N95" s="4" t="s">
        <v>825</v>
      </c>
      <c r="O95" s="4">
        <f>VLOOKUP(B95, 'All Menu'!B:L, 6, 0)</f>
        <v>38.793103448275865</v>
      </c>
      <c r="P95" s="6">
        <f>VLOOKUP(B95, 'All Menu'!B:L, 9, 0)</f>
        <v>23.594877294476447</v>
      </c>
      <c r="Q95" s="14">
        <f>VLOOKUP(B95, 'All Menu'!B:M, 12, 0)</f>
        <v>0.39177649640905166</v>
      </c>
      <c r="R95" s="173">
        <f t="shared" si="4"/>
        <v>0</v>
      </c>
    </row>
    <row r="96" spans="1:18" ht="14" hidden="1">
      <c r="A96" s="78" t="s">
        <v>2491</v>
      </c>
      <c r="B96" s="220" t="s">
        <v>1156</v>
      </c>
      <c r="C96" s="185"/>
      <c r="D96" s="103" t="str">
        <f>VLOOKUP(B96, 'All Menu'!B:M, 4, 0)</f>
        <v>كوسا 1ك +دوالي 1 ك+ ريش 1 ك</v>
      </c>
      <c r="E96" s="30" t="str">
        <f>VLOOKUP(B96, 'All Menu'!B:M, 2, 0)</f>
        <v>قسم التواصي</v>
      </c>
      <c r="F96" s="103" t="str">
        <f>VLOOKUP(B96, 'All Menu'!B:M, 3, 0)</f>
        <v>التواصي سفري2</v>
      </c>
      <c r="G96" s="90" t="s">
        <v>2437</v>
      </c>
      <c r="H96" s="219" t="s">
        <v>688</v>
      </c>
      <c r="I96" s="110" t="str">
        <f>VLOOKUP(H96, 'RM &amp; SF'!B:H, 2, 0)</f>
        <v>دوالي محشي</v>
      </c>
      <c r="J96" s="184" t="str">
        <f>VLOOKUP(H96, 'RM &amp; SF'!B:E, 4, 0)</f>
        <v>قطعة</v>
      </c>
      <c r="K96" s="12">
        <v>100</v>
      </c>
      <c r="L96" s="13">
        <f>VLOOKUP(H96, 'RM &amp; SF'!B:H, 7, 0)</f>
        <v>6.7135997560149097E-2</v>
      </c>
      <c r="M96" s="7">
        <f t="shared" si="3"/>
        <v>6.7135997560149097</v>
      </c>
      <c r="N96" s="4" t="s">
        <v>825</v>
      </c>
      <c r="O96" s="4">
        <f>VLOOKUP(B96, 'All Menu'!B:L, 6, 0)</f>
        <v>38.793103448275865</v>
      </c>
      <c r="P96" s="6">
        <f>VLOOKUP(B96, 'All Menu'!B:L, 9, 0)</f>
        <v>23.594877294476447</v>
      </c>
      <c r="Q96" s="14">
        <f>VLOOKUP(B96, 'All Menu'!B:M, 12, 0)</f>
        <v>0.39177649640905166</v>
      </c>
      <c r="R96" s="173">
        <f t="shared" si="4"/>
        <v>0</v>
      </c>
    </row>
    <row r="97" spans="1:18" ht="14" hidden="1">
      <c r="A97" s="78" t="s">
        <v>2491</v>
      </c>
      <c r="B97" s="220" t="s">
        <v>1156</v>
      </c>
      <c r="C97" s="185"/>
      <c r="D97" s="103" t="str">
        <f>VLOOKUP(B97, 'All Menu'!B:M, 4, 0)</f>
        <v>كوسا 1ك +دوالي 1 ك+ ريش 1 ك</v>
      </c>
      <c r="E97" s="30" t="str">
        <f>VLOOKUP(B97, 'All Menu'!B:M, 2, 0)</f>
        <v>قسم التواصي</v>
      </c>
      <c r="F97" s="103" t="str">
        <f>VLOOKUP(B97, 'All Menu'!B:M, 3, 0)</f>
        <v>التواصي سفري2</v>
      </c>
      <c r="G97" s="90" t="s">
        <v>3058</v>
      </c>
      <c r="H97" s="188">
        <v>4614</v>
      </c>
      <c r="I97" s="110" t="str">
        <f>VLOOKUP(H97, 'RM &amp; SF'!B:H, 2, 0)</f>
        <v>ريش ضأن متبلة*****</v>
      </c>
      <c r="J97" s="184" t="str">
        <f>VLOOKUP(H97, 'RM &amp; SF'!B:E, 4, 0)</f>
        <v>غم</v>
      </c>
      <c r="K97" s="12">
        <v>1000</v>
      </c>
      <c r="L97" s="13">
        <f>VLOOKUP(H97, 'RM &amp; SF'!B:H, 7, 0)</f>
        <v>1.4E-2</v>
      </c>
      <c r="M97" s="7">
        <f t="shared" si="3"/>
        <v>14</v>
      </c>
      <c r="N97" s="4" t="s">
        <v>825</v>
      </c>
      <c r="O97" s="4">
        <f>VLOOKUP(B97, 'All Menu'!B:L, 6, 0)</f>
        <v>38.793103448275865</v>
      </c>
      <c r="P97" s="6">
        <f>VLOOKUP(B97, 'All Menu'!B:L, 9, 0)</f>
        <v>23.594877294476447</v>
      </c>
      <c r="Q97" s="14">
        <f>VLOOKUP(B97, 'All Menu'!B:M, 12, 0)</f>
        <v>0.39177649640905166</v>
      </c>
      <c r="R97" s="173">
        <f t="shared" si="4"/>
        <v>0</v>
      </c>
    </row>
    <row r="98" spans="1:18" ht="14" hidden="1">
      <c r="A98" s="78" t="s">
        <v>2483</v>
      </c>
      <c r="B98" s="220" t="s">
        <v>1159</v>
      </c>
      <c r="C98" s="185"/>
      <c r="D98" s="103" t="str">
        <f>VLOOKUP(B98, 'All Menu'!B:M, 4, 0)</f>
        <v>خاروف بلدي مشوي /كيلو</v>
      </c>
      <c r="E98" s="30" t="str">
        <f>VLOOKUP(B98, 'All Menu'!B:M, 2, 0)</f>
        <v>قسم التواصي</v>
      </c>
      <c r="F98" s="103" t="str">
        <f>VLOOKUP(B98, 'All Menu'!B:M, 3, 0)</f>
        <v>التواصي سفري2</v>
      </c>
      <c r="G98" s="90" t="s">
        <v>2358</v>
      </c>
      <c r="H98" s="219" t="s">
        <v>746</v>
      </c>
      <c r="I98" s="110" t="str">
        <f>VLOOKUP(H98, 'RM &amp; SF'!B:H, 2, 0)</f>
        <v>خاروف بلدي صغير مشوي</v>
      </c>
      <c r="J98" s="184" t="str">
        <f>VLOOKUP(H98, 'RM &amp; SF'!B:E, 4, 0)</f>
        <v>غم</v>
      </c>
      <c r="K98" s="12">
        <f>2000/2</f>
        <v>1000</v>
      </c>
      <c r="L98" s="13">
        <f>VLOOKUP(H98, 'RM &amp; SF'!B:H, 7, 0)</f>
        <v>1.2916885874910251E-2</v>
      </c>
      <c r="M98" s="7">
        <f t="shared" si="3"/>
        <v>12.916885874910252</v>
      </c>
      <c r="N98" s="4" t="s">
        <v>825</v>
      </c>
      <c r="O98" s="4">
        <f>VLOOKUP(B98, 'All Menu'!B:L, 6, 0)</f>
        <v>17.241379310344829</v>
      </c>
      <c r="P98" s="6">
        <f>VLOOKUP(B98, 'All Menu'!B:L, 9, 0)</f>
        <v>12.916885874910252</v>
      </c>
      <c r="Q98" s="14">
        <f>VLOOKUP(B98, 'All Menu'!B:M, 12, 0)</f>
        <v>0.25082061925520549</v>
      </c>
      <c r="R98" s="173">
        <f t="shared" si="4"/>
        <v>0</v>
      </c>
    </row>
    <row r="99" spans="1:18" ht="14" hidden="1">
      <c r="A99" s="78" t="s">
        <v>2486</v>
      </c>
      <c r="B99" s="220" t="s">
        <v>1160</v>
      </c>
      <c r="C99" s="185"/>
      <c r="D99" s="103" t="str">
        <f>VLOOKUP(B99, 'All Menu'!B:M, 4, 0)</f>
        <v>خروف بلدي محشي</v>
      </c>
      <c r="E99" s="30" t="str">
        <f>VLOOKUP(B99, 'All Menu'!B:M, 2, 0)</f>
        <v>قسم التواصي</v>
      </c>
      <c r="F99" s="103" t="str">
        <f>VLOOKUP(B99, 'All Menu'!B:M, 3, 0)</f>
        <v>التواصي سفري2</v>
      </c>
      <c r="G99" s="90" t="s">
        <v>2358</v>
      </c>
      <c r="H99" s="219" t="s">
        <v>746</v>
      </c>
      <c r="I99" s="110" t="str">
        <f>VLOOKUP(H99, 'RM &amp; SF'!B:H, 2, 0)</f>
        <v>خاروف بلدي صغير مشوي</v>
      </c>
      <c r="J99" s="184" t="str">
        <f>VLOOKUP(H99, 'RM &amp; SF'!B:E, 4, 0)</f>
        <v>غم</v>
      </c>
      <c r="K99" s="12">
        <f>2000/2</f>
        <v>1000</v>
      </c>
      <c r="L99" s="13">
        <f>VLOOKUP(H99, 'RM &amp; SF'!B:H, 7, 0)</f>
        <v>1.2916885874910251E-2</v>
      </c>
      <c r="M99" s="7">
        <f t="shared" si="3"/>
        <v>12.916885874910252</v>
      </c>
      <c r="N99" s="4" t="s">
        <v>825</v>
      </c>
      <c r="O99" s="4">
        <f>VLOOKUP(B99, 'All Menu'!B:L, 6, 0)</f>
        <v>15.517241379310345</v>
      </c>
      <c r="P99" s="6">
        <f>VLOOKUP(B99, 'All Menu'!B:L, 9, 0)</f>
        <v>13.911673868434617</v>
      </c>
      <c r="Q99" s="14">
        <f>VLOOKUP(B99, 'All Menu'!B:M, 12, 0)</f>
        <v>0.10346990625643582</v>
      </c>
      <c r="R99" s="173">
        <f t="shared" si="4"/>
        <v>0</v>
      </c>
    </row>
    <row r="100" spans="1:18" ht="14" hidden="1">
      <c r="A100" s="78" t="s">
        <v>2486</v>
      </c>
      <c r="B100" s="220" t="s">
        <v>1160</v>
      </c>
      <c r="C100" s="185"/>
      <c r="D100" s="103" t="str">
        <f>VLOOKUP(B100, 'All Menu'!B:M, 4, 0)</f>
        <v>خروف بلدي محشي</v>
      </c>
      <c r="E100" s="30" t="str">
        <f>VLOOKUP(B100, 'All Menu'!B:M, 2, 0)</f>
        <v>قسم التواصي</v>
      </c>
      <c r="F100" s="103" t="str">
        <f>VLOOKUP(B100, 'All Menu'!B:M, 3, 0)</f>
        <v>التواصي سفري2</v>
      </c>
      <c r="G100" s="90" t="s">
        <v>2438</v>
      </c>
      <c r="H100" s="219" t="s">
        <v>652</v>
      </c>
      <c r="I100" s="110" t="str">
        <f>VLOOKUP(H100, 'RM &amp; SF'!B:H, 2, 0)</f>
        <v>تتبيلة دجاج اللاين</v>
      </c>
      <c r="J100" s="184" t="str">
        <f>VLOOKUP(H100, 'RM &amp; SF'!B:E, 4, 0)</f>
        <v>غم</v>
      </c>
      <c r="K100" s="12">
        <f>500/2</f>
        <v>250</v>
      </c>
      <c r="L100" s="13">
        <f>VLOOKUP(H100, 'RM &amp; SF'!B:H, 7, 0)</f>
        <v>1.7522965258215965E-3</v>
      </c>
      <c r="M100" s="7">
        <f t="shared" si="3"/>
        <v>0.43807413145539914</v>
      </c>
      <c r="N100" s="4" t="s">
        <v>825</v>
      </c>
      <c r="O100" s="4">
        <f>VLOOKUP(B100, 'All Menu'!B:L, 6, 0)</f>
        <v>15.517241379310345</v>
      </c>
      <c r="P100" s="6">
        <f>VLOOKUP(B100, 'All Menu'!B:L, 9, 0)</f>
        <v>13.911673868434617</v>
      </c>
      <c r="Q100" s="14">
        <f>VLOOKUP(B100, 'All Menu'!B:M, 12, 0)</f>
        <v>0.10346990625643582</v>
      </c>
      <c r="R100" s="173">
        <f t="shared" si="4"/>
        <v>0</v>
      </c>
    </row>
    <row r="101" spans="1:18" ht="14" hidden="1">
      <c r="A101" s="78" t="s">
        <v>2486</v>
      </c>
      <c r="B101" s="220" t="s">
        <v>1160</v>
      </c>
      <c r="C101" s="185"/>
      <c r="D101" s="103" t="str">
        <f>VLOOKUP(B101, 'All Menu'!B:M, 4, 0)</f>
        <v>خروف بلدي محشي</v>
      </c>
      <c r="E101" s="30" t="str">
        <f>VLOOKUP(B101, 'All Menu'!B:M, 2, 0)</f>
        <v>قسم التواصي</v>
      </c>
      <c r="F101" s="103" t="str">
        <f>VLOOKUP(B101, 'All Menu'!B:M, 3, 0)</f>
        <v>التواصي سفري2</v>
      </c>
      <c r="G101" s="90" t="s">
        <v>3058</v>
      </c>
      <c r="H101" s="188">
        <v>4234</v>
      </c>
      <c r="I101" s="110" t="str">
        <f>VLOOKUP(H101, 'RM &amp; SF'!B:H, 2, 0)</f>
        <v>هال حب اخضر*****</v>
      </c>
      <c r="J101" s="184" t="str">
        <f>VLOOKUP(H101, 'RM &amp; SF'!B:E, 4, 0)</f>
        <v>غم</v>
      </c>
      <c r="K101" s="12">
        <f>20/2</f>
        <v>10</v>
      </c>
      <c r="L101" s="13">
        <f>VLOOKUP(H101, 'RM &amp; SF'!B:H, 7, 0)</f>
        <v>1.9827586206896553E-2</v>
      </c>
      <c r="M101" s="7">
        <f t="shared" si="3"/>
        <v>0.19827586206896552</v>
      </c>
      <c r="N101" s="4" t="s">
        <v>825</v>
      </c>
      <c r="O101" s="4">
        <f>VLOOKUP(B101, 'All Menu'!B:L, 6, 0)</f>
        <v>15.517241379310345</v>
      </c>
      <c r="P101" s="6">
        <f>VLOOKUP(B101, 'All Menu'!B:L, 9, 0)</f>
        <v>13.911673868434617</v>
      </c>
      <c r="Q101" s="14">
        <f>VLOOKUP(B101, 'All Menu'!B:M, 12, 0)</f>
        <v>0.10346990625643582</v>
      </c>
      <c r="R101" s="173">
        <f t="shared" si="4"/>
        <v>0</v>
      </c>
    </row>
    <row r="102" spans="1:18" ht="14" hidden="1">
      <c r="A102" s="78" t="s">
        <v>2486</v>
      </c>
      <c r="B102" s="220" t="s">
        <v>1160</v>
      </c>
      <c r="C102" s="185"/>
      <c r="D102" s="103" t="str">
        <f>VLOOKUP(B102, 'All Menu'!B:M, 4, 0)</f>
        <v>خروف بلدي محشي</v>
      </c>
      <c r="E102" s="30" t="str">
        <f>VLOOKUP(B102, 'All Menu'!B:M, 2, 0)</f>
        <v>قسم التواصي</v>
      </c>
      <c r="F102" s="103" t="str">
        <f>VLOOKUP(B102, 'All Menu'!B:M, 3, 0)</f>
        <v>التواصي سفري2</v>
      </c>
      <c r="G102" s="90" t="s">
        <v>2204</v>
      </c>
      <c r="H102" s="188">
        <v>4189</v>
      </c>
      <c r="I102" s="110" t="str">
        <f>VLOOKUP(H102, 'RM &amp; SF'!B:H, 2, 0)</f>
        <v>لومي اصفر*****</v>
      </c>
      <c r="J102" s="184" t="str">
        <f>VLOOKUP(H102, 'RM &amp; SF'!B:E, 4, 0)</f>
        <v>غم</v>
      </c>
      <c r="K102" s="12">
        <f>90/2</f>
        <v>45</v>
      </c>
      <c r="L102" s="13">
        <f>VLOOKUP(H102, 'RM &amp; SF'!B:H, 7, 0)</f>
        <v>1.9399999999999999E-3</v>
      </c>
      <c r="M102" s="7">
        <f t="shared" si="3"/>
        <v>8.7299999999999989E-2</v>
      </c>
      <c r="N102" s="4" t="s">
        <v>825</v>
      </c>
      <c r="O102" s="4">
        <f>VLOOKUP(B102, 'All Menu'!B:L, 6, 0)</f>
        <v>15.517241379310345</v>
      </c>
      <c r="P102" s="6">
        <f>VLOOKUP(B102, 'All Menu'!B:L, 9, 0)</f>
        <v>13.911673868434617</v>
      </c>
      <c r="Q102" s="14">
        <f>VLOOKUP(B102, 'All Menu'!B:M, 12, 0)</f>
        <v>0.10346990625643582</v>
      </c>
      <c r="R102" s="173">
        <f t="shared" si="4"/>
        <v>0</v>
      </c>
    </row>
    <row r="103" spans="1:18" ht="14" hidden="1">
      <c r="A103" s="78" t="s">
        <v>2486</v>
      </c>
      <c r="B103" s="220" t="s">
        <v>1160</v>
      </c>
      <c r="C103" s="185"/>
      <c r="D103" s="103" t="str">
        <f>VLOOKUP(B103, 'All Menu'!B:M, 4, 0)</f>
        <v>خروف بلدي محشي</v>
      </c>
      <c r="E103" s="30" t="str">
        <f>VLOOKUP(B103, 'All Menu'!B:M, 2, 0)</f>
        <v>قسم التواصي</v>
      </c>
      <c r="F103" s="103" t="str">
        <f>VLOOKUP(B103, 'All Menu'!B:M, 3, 0)</f>
        <v>التواصي سفري2</v>
      </c>
      <c r="G103" s="90" t="s">
        <v>2210</v>
      </c>
      <c r="H103" s="188">
        <v>4213</v>
      </c>
      <c r="I103" s="110" t="str">
        <f>VLOOKUP(H103, 'RM &amp; SF'!B:H, 2, 0)</f>
        <v>ورق غار*****</v>
      </c>
      <c r="J103" s="184" t="str">
        <f>VLOOKUP(H103, 'RM &amp; SF'!B:E, 4, 0)</f>
        <v>غم</v>
      </c>
      <c r="K103" s="12">
        <f>4/2</f>
        <v>2</v>
      </c>
      <c r="L103" s="13">
        <f>VLOOKUP(H103, 'RM &amp; SF'!B:H, 7, 0)</f>
        <v>2.0690000000000001E-3</v>
      </c>
      <c r="M103" s="7">
        <f t="shared" si="3"/>
        <v>4.1380000000000002E-3</v>
      </c>
      <c r="N103" s="4" t="s">
        <v>825</v>
      </c>
      <c r="O103" s="4">
        <f>VLOOKUP(B103, 'All Menu'!B:L, 6, 0)</f>
        <v>15.517241379310345</v>
      </c>
      <c r="P103" s="6">
        <f>VLOOKUP(B103, 'All Menu'!B:L, 9, 0)</f>
        <v>13.911673868434617</v>
      </c>
      <c r="Q103" s="14">
        <f>VLOOKUP(B103, 'All Menu'!B:M, 12, 0)</f>
        <v>0.10346990625643582</v>
      </c>
      <c r="R103" s="173">
        <f t="shared" si="4"/>
        <v>0</v>
      </c>
    </row>
    <row r="104" spans="1:18" ht="14" hidden="1">
      <c r="A104" s="78" t="s">
        <v>2486</v>
      </c>
      <c r="B104" s="220" t="s">
        <v>1160</v>
      </c>
      <c r="C104" s="185"/>
      <c r="D104" s="103" t="str">
        <f>VLOOKUP(B104, 'All Menu'!B:M, 4, 0)</f>
        <v>خروف بلدي محشي</v>
      </c>
      <c r="E104" s="30" t="str">
        <f>VLOOKUP(B104, 'All Menu'!B:M, 2, 0)</f>
        <v>قسم التواصي</v>
      </c>
      <c r="F104" s="103" t="str">
        <f>VLOOKUP(B104, 'All Menu'!B:M, 3, 0)</f>
        <v>التواصي سفري2</v>
      </c>
      <c r="G104" s="90" t="s">
        <v>2260</v>
      </c>
      <c r="H104" s="188">
        <v>4160</v>
      </c>
      <c r="I104" s="110" t="str">
        <f>VLOOKUP(H104, 'RM &amp; SF'!B:H, 2, 0)</f>
        <v>زيت صويا 18 لتر*****</v>
      </c>
      <c r="J104" s="184" t="str">
        <f>VLOOKUP(H104, 'RM &amp; SF'!B:E, 4, 0)</f>
        <v>مل</v>
      </c>
      <c r="K104" s="12">
        <f>400/2</f>
        <v>200</v>
      </c>
      <c r="L104" s="13">
        <f>VLOOKUP(H104, 'RM &amp; SF'!B:H, 7, 0)</f>
        <v>1.335E-3</v>
      </c>
      <c r="M104" s="7">
        <f t="shared" si="3"/>
        <v>0.26700000000000002</v>
      </c>
      <c r="N104" s="4" t="s">
        <v>825</v>
      </c>
      <c r="O104" s="4">
        <f>VLOOKUP(B104, 'All Menu'!B:L, 6, 0)</f>
        <v>15.517241379310345</v>
      </c>
      <c r="P104" s="6">
        <f>VLOOKUP(B104, 'All Menu'!B:L, 9, 0)</f>
        <v>13.911673868434617</v>
      </c>
      <c r="Q104" s="14">
        <f>VLOOKUP(B104, 'All Menu'!B:M, 12, 0)</f>
        <v>0.10346990625643582</v>
      </c>
      <c r="R104" s="173">
        <f t="shared" si="4"/>
        <v>0</v>
      </c>
    </row>
    <row r="105" spans="1:18" ht="14" hidden="1">
      <c r="A105" s="78" t="s">
        <v>2486</v>
      </c>
      <c r="B105" s="220" t="s">
        <v>1160</v>
      </c>
      <c r="C105" s="185"/>
      <c r="D105" s="103" t="str">
        <f>VLOOKUP(B105, 'All Menu'!B:M, 4, 0)</f>
        <v>خروف بلدي محشي</v>
      </c>
      <c r="E105" s="30" t="str">
        <f>VLOOKUP(B105, 'All Menu'!B:M, 2, 0)</f>
        <v>قسم التواصي</v>
      </c>
      <c r="F105" s="103" t="str">
        <f>VLOOKUP(B105, 'All Menu'!B:M, 3, 0)</f>
        <v>التواصي سفري2</v>
      </c>
      <c r="G105" s="90" t="s">
        <v>3058</v>
      </c>
      <c r="H105" s="188">
        <v>3</v>
      </c>
      <c r="I105" s="110" t="str">
        <f>VLOOKUP(H105, 'RM &amp; SF'!B:H, 2, 0)</f>
        <v>مياه حنفية</v>
      </c>
      <c r="J105" s="184" t="str">
        <f>VLOOKUP(H105, 'RM &amp; SF'!B:E, 4, 0)</f>
        <v>مل</v>
      </c>
      <c r="K105" s="12">
        <f>30000/2</f>
        <v>15000</v>
      </c>
      <c r="L105" s="13">
        <f>VLOOKUP(H105, 'RM &amp; SF'!B:H, 7, 0)</f>
        <v>0</v>
      </c>
      <c r="M105" s="7">
        <f t="shared" si="3"/>
        <v>0</v>
      </c>
      <c r="N105" s="4" t="s">
        <v>825</v>
      </c>
      <c r="O105" s="4">
        <f>VLOOKUP(B105, 'All Menu'!B:L, 6, 0)</f>
        <v>15.517241379310345</v>
      </c>
      <c r="P105" s="6">
        <f>VLOOKUP(B105, 'All Menu'!B:L, 9, 0)</f>
        <v>13.911673868434617</v>
      </c>
      <c r="Q105" s="14">
        <f>VLOOKUP(B105, 'All Menu'!B:M, 12, 0)</f>
        <v>0.10346990625643582</v>
      </c>
      <c r="R105" s="173">
        <f t="shared" si="4"/>
        <v>0</v>
      </c>
    </row>
    <row r="106" spans="1:18" ht="14" hidden="1">
      <c r="A106" s="78" t="s">
        <v>2484</v>
      </c>
      <c r="B106" s="220" t="s">
        <v>1161</v>
      </c>
      <c r="C106" s="185"/>
      <c r="D106" s="103" t="str">
        <f>VLOOKUP(B106, 'All Menu'!B:M, 4, 0)</f>
        <v>ضلعة بلدية مشوية /كيلو</v>
      </c>
      <c r="E106" s="30" t="str">
        <f>VLOOKUP(B106, 'All Menu'!B:M, 2, 0)</f>
        <v>قسم التواصي</v>
      </c>
      <c r="F106" s="103" t="str">
        <f>VLOOKUP(B106, 'All Menu'!B:M, 3, 0)</f>
        <v>التواصي سفري2</v>
      </c>
      <c r="G106" s="90" t="s">
        <v>3058</v>
      </c>
      <c r="H106" s="188">
        <v>5315</v>
      </c>
      <c r="I106" s="110" t="str">
        <f>VLOOKUP(H106, 'RM &amp; SF'!B:H, 2, 0)</f>
        <v>خاروف بلدي صغير</v>
      </c>
      <c r="J106" s="184" t="str">
        <f>VLOOKUP(H106, 'RM &amp; SF'!B:E, 4, 0)</f>
        <v>غم</v>
      </c>
      <c r="K106" s="12">
        <v>1000</v>
      </c>
      <c r="L106" s="13">
        <f>VLOOKUP(H106, 'RM &amp; SF'!B:H, 7, 0)</f>
        <v>1.15E-2</v>
      </c>
      <c r="M106" s="7">
        <f t="shared" si="3"/>
        <v>11.5</v>
      </c>
      <c r="N106" s="4" t="s">
        <v>825</v>
      </c>
      <c r="O106" s="4">
        <f>VLOOKUP(B106, 'All Menu'!B:L, 6, 0)</f>
        <v>17.241379310344829</v>
      </c>
      <c r="P106" s="6">
        <f>VLOOKUP(B106, 'All Menu'!B:L, 9, 0)</f>
        <v>11.692330356220895</v>
      </c>
      <c r="Q106" s="14">
        <f>VLOOKUP(B106, 'All Menu'!B:M, 12, 0)</f>
        <v>0.32184483933918817</v>
      </c>
      <c r="R106" s="173">
        <f t="shared" si="4"/>
        <v>0</v>
      </c>
    </row>
    <row r="107" spans="1:18" ht="14" hidden="1">
      <c r="A107" s="78" t="s">
        <v>2484</v>
      </c>
      <c r="B107" s="220" t="s">
        <v>1161</v>
      </c>
      <c r="C107" s="185"/>
      <c r="D107" s="103" t="str">
        <f>VLOOKUP(B107, 'All Menu'!B:M, 4, 0)</f>
        <v>ضلعة بلدية مشوية /كيلو</v>
      </c>
      <c r="E107" s="30" t="str">
        <f>VLOOKUP(B107, 'All Menu'!B:M, 2, 0)</f>
        <v>قسم التواصي</v>
      </c>
      <c r="F107" s="103" t="str">
        <f>VLOOKUP(B107, 'All Menu'!B:M, 3, 0)</f>
        <v>التواصي سفري2</v>
      </c>
      <c r="G107" s="90" t="s">
        <v>2438</v>
      </c>
      <c r="H107" s="219" t="s">
        <v>652</v>
      </c>
      <c r="I107" s="110" t="str">
        <f>VLOOKUP(H107, 'RM &amp; SF'!B:H, 2, 0)</f>
        <v>تتبيلة دجاج اللاين</v>
      </c>
      <c r="J107" s="184" t="str">
        <f>VLOOKUP(H107, 'RM &amp; SF'!B:E, 4, 0)</f>
        <v>غم</v>
      </c>
      <c r="K107" s="12">
        <v>30</v>
      </c>
      <c r="L107" s="13">
        <f>VLOOKUP(H107, 'RM &amp; SF'!B:H, 7, 0)</f>
        <v>1.7522965258215965E-3</v>
      </c>
      <c r="M107" s="7">
        <f t="shared" si="3"/>
        <v>5.2568895774647899E-2</v>
      </c>
      <c r="N107" s="4" t="s">
        <v>825</v>
      </c>
      <c r="O107" s="4">
        <f>VLOOKUP(B107, 'All Menu'!B:L, 6, 0)</f>
        <v>17.241379310344829</v>
      </c>
      <c r="P107" s="6">
        <f>VLOOKUP(B107, 'All Menu'!B:L, 9, 0)</f>
        <v>11.692330356220895</v>
      </c>
      <c r="Q107" s="14">
        <f>VLOOKUP(B107, 'All Menu'!B:M, 12, 0)</f>
        <v>0.32184483933918817</v>
      </c>
      <c r="R107" s="173">
        <f t="shared" si="4"/>
        <v>0</v>
      </c>
    </row>
    <row r="108" spans="1:18" ht="14" hidden="1">
      <c r="A108" s="78" t="s">
        <v>2484</v>
      </c>
      <c r="B108" s="220" t="s">
        <v>1161</v>
      </c>
      <c r="C108" s="185"/>
      <c r="D108" s="103" t="str">
        <f>VLOOKUP(B108, 'All Menu'!B:M, 4, 0)</f>
        <v>ضلعة بلدية مشوية /كيلو</v>
      </c>
      <c r="E108" s="30" t="str">
        <f>VLOOKUP(B108, 'All Menu'!B:M, 2, 0)</f>
        <v>قسم التواصي</v>
      </c>
      <c r="F108" s="103" t="str">
        <f>VLOOKUP(B108, 'All Menu'!B:M, 3, 0)</f>
        <v>التواصي سفري2</v>
      </c>
      <c r="G108" s="90" t="s">
        <v>3058</v>
      </c>
      <c r="H108" s="188">
        <v>5382</v>
      </c>
      <c r="I108" s="110" t="str">
        <f>VLOOKUP(H108, 'RM &amp; SF'!B:H, 2, 0)</f>
        <v>ورق زبدة</v>
      </c>
      <c r="J108" s="184" t="str">
        <f>VLOOKUP(H108, 'RM &amp; SF'!B:E, 4, 0)</f>
        <v>غم</v>
      </c>
      <c r="K108" s="12">
        <v>10</v>
      </c>
      <c r="L108" s="13">
        <f>VLOOKUP(H108, 'RM &amp; SF'!B:H, 7, 0)</f>
        <v>3.2961460446247468E-3</v>
      </c>
      <c r="M108" s="7">
        <f t="shared" si="3"/>
        <v>3.2961460446247468E-2</v>
      </c>
      <c r="N108" s="4" t="s">
        <v>825</v>
      </c>
      <c r="O108" s="4">
        <f>VLOOKUP(B108, 'All Menu'!B:L, 6, 0)</f>
        <v>17.241379310344829</v>
      </c>
      <c r="P108" s="6">
        <f>VLOOKUP(B108, 'All Menu'!B:L, 9, 0)</f>
        <v>11.692330356220895</v>
      </c>
      <c r="Q108" s="14">
        <f>VLOOKUP(B108, 'All Menu'!B:M, 12, 0)</f>
        <v>0.32184483933918817</v>
      </c>
      <c r="R108" s="173">
        <f t="shared" si="4"/>
        <v>0</v>
      </c>
    </row>
    <row r="109" spans="1:18" ht="14" hidden="1">
      <c r="A109" s="78" t="s">
        <v>2484</v>
      </c>
      <c r="B109" s="220" t="s">
        <v>1161</v>
      </c>
      <c r="C109" s="185"/>
      <c r="D109" s="103" t="str">
        <f>VLOOKUP(B109, 'All Menu'!B:M, 4, 0)</f>
        <v>ضلعة بلدية مشوية /كيلو</v>
      </c>
      <c r="E109" s="30" t="str">
        <f>VLOOKUP(B109, 'All Menu'!B:M, 2, 0)</f>
        <v>قسم التواصي</v>
      </c>
      <c r="F109" s="103" t="str">
        <f>VLOOKUP(B109, 'All Menu'!B:M, 3, 0)</f>
        <v>التواصي سفري2</v>
      </c>
      <c r="G109" s="90" t="s">
        <v>2260</v>
      </c>
      <c r="H109" s="188">
        <v>4160</v>
      </c>
      <c r="I109" s="110" t="str">
        <f>VLOOKUP(H109, 'RM &amp; SF'!B:H, 2, 0)</f>
        <v>زيت صويا 18 لتر*****</v>
      </c>
      <c r="J109" s="184" t="str">
        <f>VLOOKUP(H109, 'RM &amp; SF'!B:E, 4, 0)</f>
        <v>مل</v>
      </c>
      <c r="K109" s="12">
        <v>80</v>
      </c>
      <c r="L109" s="13">
        <f>VLOOKUP(H109, 'RM &amp; SF'!B:H, 7, 0)</f>
        <v>1.335E-3</v>
      </c>
      <c r="M109" s="7">
        <f t="shared" si="3"/>
        <v>0.10680000000000001</v>
      </c>
      <c r="N109" s="4" t="s">
        <v>825</v>
      </c>
      <c r="O109" s="4">
        <f>VLOOKUP(B109, 'All Menu'!B:L, 6, 0)</f>
        <v>17.241379310344829</v>
      </c>
      <c r="P109" s="6">
        <f>VLOOKUP(B109, 'All Menu'!B:L, 9, 0)</f>
        <v>11.692330356220895</v>
      </c>
      <c r="Q109" s="14">
        <f>VLOOKUP(B109, 'All Menu'!B:M, 12, 0)</f>
        <v>0.32184483933918817</v>
      </c>
      <c r="R109" s="173">
        <f t="shared" si="4"/>
        <v>0</v>
      </c>
    </row>
    <row r="110" spans="1:18" ht="14" hidden="1">
      <c r="A110" s="78" t="s">
        <v>2469</v>
      </c>
      <c r="B110" s="220" t="s">
        <v>1164</v>
      </c>
      <c r="C110" s="185"/>
      <c r="D110" s="103" t="str">
        <f>VLOOKUP(B110, 'All Menu'!B:M, 4, 0)</f>
        <v>زربيان لحم 1 كيلو</v>
      </c>
      <c r="E110" s="30" t="str">
        <f>VLOOKUP(B110, 'All Menu'!B:M, 2, 0)</f>
        <v>قسم التواصي</v>
      </c>
      <c r="F110" s="103" t="str">
        <f>VLOOKUP(B110, 'All Menu'!B:M, 3, 0)</f>
        <v>التواصي سفري</v>
      </c>
      <c r="G110" s="90" t="s">
        <v>2393</v>
      </c>
      <c r="H110" s="219" t="s">
        <v>542</v>
      </c>
      <c r="I110" s="110" t="str">
        <f>VLOOKUP(H110, 'RM &amp; SF'!B:H, 2, 0)</f>
        <v>رز زربيان</v>
      </c>
      <c r="J110" s="184" t="str">
        <f>VLOOKUP(H110, 'RM &amp; SF'!B:E, 4, 0)</f>
        <v>غم</v>
      </c>
      <c r="K110" s="12">
        <v>2000</v>
      </c>
      <c r="L110" s="13">
        <f>VLOOKUP(H110, 'RM &amp; SF'!B:H, 7, 0)</f>
        <v>5.2538680076628355E-4</v>
      </c>
      <c r="M110" s="7">
        <f t="shared" si="3"/>
        <v>1.050773601532567</v>
      </c>
      <c r="N110" s="4" t="s">
        <v>825</v>
      </c>
      <c r="O110" s="4">
        <f>VLOOKUP(B110, 'All Menu'!B:L, 6, 0)</f>
        <v>19.827586206896552</v>
      </c>
      <c r="P110" s="6">
        <f>VLOOKUP(B110, 'All Menu'!B:L, 9, 0)</f>
        <v>13.566721674174687</v>
      </c>
      <c r="Q110" s="14">
        <f>VLOOKUP(B110, 'All Menu'!B:M, 12, 0)</f>
        <v>0.31576534165032011</v>
      </c>
      <c r="R110" s="173">
        <f t="shared" si="4"/>
        <v>0</v>
      </c>
    </row>
    <row r="111" spans="1:18" ht="14" hidden="1">
      <c r="A111" s="78" t="s">
        <v>2469</v>
      </c>
      <c r="B111" s="220" t="s">
        <v>1164</v>
      </c>
      <c r="C111" s="185"/>
      <c r="D111" s="103" t="str">
        <f>VLOOKUP(B111, 'All Menu'!B:M, 4, 0)</f>
        <v>زربيان لحم 1 كيلو</v>
      </c>
      <c r="E111" s="30" t="str">
        <f>VLOOKUP(B111, 'All Menu'!B:M, 2, 0)</f>
        <v>قسم التواصي</v>
      </c>
      <c r="F111" s="103" t="str">
        <f>VLOOKUP(B111, 'All Menu'!B:M, 3, 0)</f>
        <v>التواصي سفري</v>
      </c>
      <c r="G111" s="90" t="s">
        <v>3058</v>
      </c>
      <c r="H111" s="188">
        <v>4608</v>
      </c>
      <c r="I111" s="110" t="str">
        <f>VLOOKUP(H111, 'RM &amp; SF'!B:H, 2, 0)</f>
        <v>لحمة قطع نية بالكيلو*****</v>
      </c>
      <c r="J111" s="184" t="str">
        <f>VLOOKUP(H111, 'RM &amp; SF'!B:E, 4, 0)</f>
        <v>غم</v>
      </c>
      <c r="K111" s="12">
        <v>1000</v>
      </c>
      <c r="L111" s="13">
        <f>VLOOKUP(H111, 'RM &amp; SF'!B:H, 7, 0)</f>
        <v>1.1615493158849017E-2</v>
      </c>
      <c r="M111" s="7">
        <f t="shared" si="3"/>
        <v>11.615493158849016</v>
      </c>
      <c r="N111" s="4" t="s">
        <v>825</v>
      </c>
      <c r="O111" s="4">
        <f>VLOOKUP(B111, 'All Menu'!B:L, 6, 0)</f>
        <v>19.827586206896552</v>
      </c>
      <c r="P111" s="6">
        <f>VLOOKUP(B111, 'All Menu'!B:L, 9, 0)</f>
        <v>13.566721674174687</v>
      </c>
      <c r="Q111" s="14">
        <f>VLOOKUP(B111, 'All Menu'!B:M, 12, 0)</f>
        <v>0.31576534165032011</v>
      </c>
      <c r="R111" s="173">
        <f t="shared" si="4"/>
        <v>0</v>
      </c>
    </row>
    <row r="112" spans="1:18" ht="14" hidden="1">
      <c r="A112" s="78" t="s">
        <v>2469</v>
      </c>
      <c r="B112" s="220" t="s">
        <v>1164</v>
      </c>
      <c r="C112" s="185"/>
      <c r="D112" s="103" t="str">
        <f>VLOOKUP(B112, 'All Menu'!B:M, 4, 0)</f>
        <v>زربيان لحم 1 كيلو</v>
      </c>
      <c r="E112" s="30" t="str">
        <f>VLOOKUP(B112, 'All Menu'!B:M, 2, 0)</f>
        <v>قسم التواصي</v>
      </c>
      <c r="F112" s="103" t="str">
        <f>VLOOKUP(B112, 'All Menu'!B:M, 3, 0)</f>
        <v>التواصي سفري</v>
      </c>
      <c r="G112" s="90" t="s">
        <v>2341</v>
      </c>
      <c r="H112" s="219" t="s">
        <v>706</v>
      </c>
      <c r="I112" s="110" t="str">
        <f>VLOOKUP(H112, 'RM &amp; SF'!B:H, 2, 0)</f>
        <v>لوز مقلي</v>
      </c>
      <c r="J112" s="184" t="str">
        <f>VLOOKUP(H112, 'RM &amp; SF'!B:E, 4, 0)</f>
        <v>غم</v>
      </c>
      <c r="K112" s="12">
        <v>150</v>
      </c>
      <c r="L112" s="13">
        <f>VLOOKUP(H112, 'RM &amp; SF'!B:H, 7, 0)</f>
        <v>4.1352327586206888E-3</v>
      </c>
      <c r="M112" s="7">
        <f t="shared" si="3"/>
        <v>0.62028491379310335</v>
      </c>
      <c r="N112" s="4" t="s">
        <v>825</v>
      </c>
      <c r="O112" s="4">
        <f>VLOOKUP(B112, 'All Menu'!B:L, 6, 0)</f>
        <v>19.827586206896552</v>
      </c>
      <c r="P112" s="6">
        <f>VLOOKUP(B112, 'All Menu'!B:L, 9, 0)</f>
        <v>13.566721674174687</v>
      </c>
      <c r="Q112" s="14">
        <f>VLOOKUP(B112, 'All Menu'!B:M, 12, 0)</f>
        <v>0.31576534165032011</v>
      </c>
      <c r="R112" s="173">
        <f t="shared" si="4"/>
        <v>0</v>
      </c>
    </row>
    <row r="113" spans="1:18" ht="14" hidden="1">
      <c r="A113" s="78" t="s">
        <v>2469</v>
      </c>
      <c r="B113" s="220" t="s">
        <v>1164</v>
      </c>
      <c r="C113" s="185"/>
      <c r="D113" s="103" t="str">
        <f>VLOOKUP(B113, 'All Menu'!B:M, 4, 0)</f>
        <v>زربيان لحم 1 كيلو</v>
      </c>
      <c r="E113" s="30" t="str">
        <f>VLOOKUP(B113, 'All Menu'!B:M, 2, 0)</f>
        <v>قسم التواصي</v>
      </c>
      <c r="F113" s="103" t="str">
        <f>VLOOKUP(B113, 'All Menu'!B:M, 3, 0)</f>
        <v>التواصي سفري</v>
      </c>
      <c r="G113" s="90" t="s">
        <v>3058</v>
      </c>
      <c r="H113" s="188">
        <v>4354</v>
      </c>
      <c r="I113" s="110" t="str">
        <f>VLOOKUP(H113, 'RM &amp; SF'!B:H, 2, 0)</f>
        <v>سدر بلاستيك دائري 35 سم*****</v>
      </c>
      <c r="J113" s="184" t="str">
        <f>VLOOKUP(H113, 'RM &amp; SF'!B:E, 4, 0)</f>
        <v>قطعة</v>
      </c>
      <c r="K113" s="12">
        <v>1</v>
      </c>
      <c r="L113" s="13">
        <f>VLOOKUP(H113, 'RM &amp; SF'!B:H, 7, 0)</f>
        <v>0.28016999999999997</v>
      </c>
      <c r="M113" s="7">
        <f t="shared" si="3"/>
        <v>0.28016999999999997</v>
      </c>
      <c r="N113" s="4" t="s">
        <v>825</v>
      </c>
      <c r="O113" s="4">
        <f>VLOOKUP(B113, 'All Menu'!B:L, 6, 0)</f>
        <v>19.827586206896552</v>
      </c>
      <c r="P113" s="6">
        <f>VLOOKUP(B113, 'All Menu'!B:L, 9, 0)</f>
        <v>13.566721674174687</v>
      </c>
      <c r="Q113" s="14">
        <f>VLOOKUP(B113, 'All Menu'!B:M, 12, 0)</f>
        <v>0.31576534165032011</v>
      </c>
      <c r="R113" s="173">
        <f t="shared" si="4"/>
        <v>0</v>
      </c>
    </row>
    <row r="114" spans="1:18" ht="14" hidden="1">
      <c r="A114" s="78" t="s">
        <v>2488</v>
      </c>
      <c r="B114" s="220" t="s">
        <v>1168</v>
      </c>
      <c r="C114" s="185"/>
      <c r="D114" s="103" t="str">
        <f>VLOOKUP(B114, 'All Menu'!B:M, 4, 0)</f>
        <v>دجاجة على الفحم+سدر رز</v>
      </c>
      <c r="E114" s="30" t="str">
        <f>VLOOKUP(B114, 'All Menu'!B:M, 2, 0)</f>
        <v>قسم التواصي</v>
      </c>
      <c r="F114" s="103" t="str">
        <f>VLOOKUP(B114, 'All Menu'!B:M, 3, 0)</f>
        <v>التواصي سفري</v>
      </c>
      <c r="G114" s="90" t="s">
        <v>2387</v>
      </c>
      <c r="H114" s="219" t="s">
        <v>554</v>
      </c>
      <c r="I114" s="110" t="str">
        <f>VLOOKUP(H114, 'RM &amp; SF'!B:H, 2, 0)</f>
        <v>مندي</v>
      </c>
      <c r="J114" s="184" t="str">
        <f>VLOOKUP(H114, 'RM &amp; SF'!B:E, 4, 0)</f>
        <v>غم</v>
      </c>
      <c r="K114" s="12">
        <v>1700</v>
      </c>
      <c r="L114" s="13">
        <f>VLOOKUP(H114, 'RM &amp; SF'!B:H, 7, 0)</f>
        <v>4.9271573151695748E-4</v>
      </c>
      <c r="M114" s="7">
        <f t="shared" si="3"/>
        <v>0.83761674357882776</v>
      </c>
      <c r="N114" s="4" t="s">
        <v>825</v>
      </c>
      <c r="O114" s="4">
        <f>VLOOKUP(B114, 'All Menu'!B:L, 6, 0)</f>
        <v>10.344827586206897</v>
      </c>
      <c r="P114" s="6">
        <f>VLOOKUP(B114, 'All Menu'!B:L, 9, 0)</f>
        <v>5.4543656023286697</v>
      </c>
      <c r="Q114" s="14">
        <f>VLOOKUP(B114, 'All Menu'!B:M, 12, 0)</f>
        <v>0.47274465844156194</v>
      </c>
      <c r="R114" s="173">
        <f t="shared" si="4"/>
        <v>0</v>
      </c>
    </row>
    <row r="115" spans="1:18" ht="14" hidden="1">
      <c r="A115" s="78" t="s">
        <v>2488</v>
      </c>
      <c r="B115" s="220" t="s">
        <v>1168</v>
      </c>
      <c r="C115" s="185"/>
      <c r="D115" s="103" t="str">
        <f>VLOOKUP(B115, 'All Menu'!B:M, 4, 0)</f>
        <v>دجاجة على الفحم+سدر رز</v>
      </c>
      <c r="E115" s="30" t="str">
        <f>VLOOKUP(B115, 'All Menu'!B:M, 2, 0)</f>
        <v>قسم التواصي</v>
      </c>
      <c r="F115" s="103" t="str">
        <f>VLOOKUP(B115, 'All Menu'!B:M, 3, 0)</f>
        <v>التواصي سفري</v>
      </c>
      <c r="G115" s="90" t="s">
        <v>2235</v>
      </c>
      <c r="H115" s="188">
        <v>4504</v>
      </c>
      <c r="I115" s="110" t="str">
        <f>VLOOKUP(H115, 'RM &amp; SF'!B:H, 2, 0)</f>
        <v>بصل مشاوي (بصل بيبي)***</v>
      </c>
      <c r="J115" s="184" t="str">
        <f>VLOOKUP(H115, 'RM &amp; SF'!B:E, 4, 0)</f>
        <v>غم</v>
      </c>
      <c r="K115" s="12">
        <v>80</v>
      </c>
      <c r="L115" s="13">
        <f>VLOOKUP(H115, 'RM &amp; SF'!B:H, 7, 0)</f>
        <v>3.5E-4</v>
      </c>
      <c r="M115" s="7">
        <f t="shared" si="3"/>
        <v>2.8000000000000001E-2</v>
      </c>
      <c r="N115" s="4" t="s">
        <v>825</v>
      </c>
      <c r="O115" s="4">
        <f>VLOOKUP(B115, 'All Menu'!B:L, 6, 0)</f>
        <v>10.344827586206897</v>
      </c>
      <c r="P115" s="6">
        <f>VLOOKUP(B115, 'All Menu'!B:L, 9, 0)</f>
        <v>5.4543656023286697</v>
      </c>
      <c r="Q115" s="14">
        <f>VLOOKUP(B115, 'All Menu'!B:M, 12, 0)</f>
        <v>0.47274465844156194</v>
      </c>
      <c r="R115" s="173">
        <f t="shared" si="4"/>
        <v>0</v>
      </c>
    </row>
    <row r="116" spans="1:18" ht="14" hidden="1">
      <c r="A116" s="78" t="s">
        <v>2488</v>
      </c>
      <c r="B116" s="220" t="s">
        <v>1168</v>
      </c>
      <c r="C116" s="185"/>
      <c r="D116" s="103" t="str">
        <f>VLOOKUP(B116, 'All Menu'!B:M, 4, 0)</f>
        <v>دجاجة على الفحم+سدر رز</v>
      </c>
      <c r="E116" s="30" t="str">
        <f>VLOOKUP(B116, 'All Menu'!B:M, 2, 0)</f>
        <v>قسم التواصي</v>
      </c>
      <c r="F116" s="103" t="str">
        <f>VLOOKUP(B116, 'All Menu'!B:M, 3, 0)</f>
        <v>التواصي سفري</v>
      </c>
      <c r="G116" s="90" t="s">
        <v>2257</v>
      </c>
      <c r="H116" s="188">
        <v>5281</v>
      </c>
      <c r="I116" s="110" t="str">
        <f>VLOOKUP(H116, 'RM &amp; SF'!B:H, 2, 0)</f>
        <v>بندوره مشاوي</v>
      </c>
      <c r="J116" s="184" t="str">
        <f>VLOOKUP(H116, 'RM &amp; SF'!B:E, 4, 0)</f>
        <v>غم</v>
      </c>
      <c r="K116" s="12">
        <v>120</v>
      </c>
      <c r="L116" s="13">
        <f>VLOOKUP(H116, 'RM &amp; SF'!B:H, 7, 0)</f>
        <v>4.0000000000000002E-4</v>
      </c>
      <c r="M116" s="7">
        <f t="shared" si="3"/>
        <v>4.8000000000000001E-2</v>
      </c>
      <c r="N116" s="4" t="s">
        <v>825</v>
      </c>
      <c r="O116" s="4">
        <f>VLOOKUP(B116, 'All Menu'!B:L, 6, 0)</f>
        <v>10.344827586206897</v>
      </c>
      <c r="P116" s="6">
        <f>VLOOKUP(B116, 'All Menu'!B:L, 9, 0)</f>
        <v>5.4543656023286697</v>
      </c>
      <c r="Q116" s="14">
        <f>VLOOKUP(B116, 'All Menu'!B:M, 12, 0)</f>
        <v>0.47274465844156194</v>
      </c>
      <c r="R116" s="173">
        <f t="shared" si="4"/>
        <v>0</v>
      </c>
    </row>
    <row r="117" spans="1:18" ht="14" hidden="1">
      <c r="A117" s="78" t="s">
        <v>2488</v>
      </c>
      <c r="B117" s="220" t="s">
        <v>1168</v>
      </c>
      <c r="C117" s="185"/>
      <c r="D117" s="103" t="str">
        <f>VLOOKUP(B117, 'All Menu'!B:M, 4, 0)</f>
        <v>دجاجة على الفحم+سدر رز</v>
      </c>
      <c r="E117" s="30" t="str">
        <f>VLOOKUP(B117, 'All Menu'!B:M, 2, 0)</f>
        <v>قسم التواصي</v>
      </c>
      <c r="F117" s="103" t="str">
        <f>VLOOKUP(B117, 'All Menu'!B:M, 3, 0)</f>
        <v>التواصي سفري</v>
      </c>
      <c r="G117" s="90" t="s">
        <v>2231</v>
      </c>
      <c r="H117" s="188">
        <v>4499</v>
      </c>
      <c r="I117" s="110" t="str">
        <f>VLOOKUP(H117, 'RM &amp; SF'!B:H, 2, 0)</f>
        <v>فلفل حار اخضر*****</v>
      </c>
      <c r="J117" s="184" t="str">
        <f>VLOOKUP(H117, 'RM &amp; SF'!B:E, 4, 0)</f>
        <v>غم</v>
      </c>
      <c r="K117" s="12">
        <v>50</v>
      </c>
      <c r="L117" s="13">
        <f>VLOOKUP(H117, 'RM &amp; SF'!B:H, 7, 0)</f>
        <v>5.0000000000000001E-4</v>
      </c>
      <c r="M117" s="7">
        <f t="shared" si="3"/>
        <v>2.5000000000000001E-2</v>
      </c>
      <c r="N117" s="4" t="s">
        <v>825</v>
      </c>
      <c r="O117" s="4">
        <f>VLOOKUP(B117, 'All Menu'!B:L, 6, 0)</f>
        <v>10.344827586206897</v>
      </c>
      <c r="P117" s="6">
        <f>VLOOKUP(B117, 'All Menu'!B:L, 9, 0)</f>
        <v>5.4543656023286697</v>
      </c>
      <c r="Q117" s="14">
        <f>VLOOKUP(B117, 'All Menu'!B:M, 12, 0)</f>
        <v>0.47274465844156194</v>
      </c>
      <c r="R117" s="173">
        <f t="shared" si="4"/>
        <v>0</v>
      </c>
    </row>
    <row r="118" spans="1:18" ht="14" hidden="1">
      <c r="A118" s="78" t="s">
        <v>2488</v>
      </c>
      <c r="B118" s="220" t="s">
        <v>1168</v>
      </c>
      <c r="C118" s="185"/>
      <c r="D118" s="103" t="str">
        <f>VLOOKUP(B118, 'All Menu'!B:M, 4, 0)</f>
        <v>دجاجة على الفحم+سدر رز</v>
      </c>
      <c r="E118" s="30" t="str">
        <f>VLOOKUP(B118, 'All Menu'!B:M, 2, 0)</f>
        <v>قسم التواصي</v>
      </c>
      <c r="F118" s="103" t="str">
        <f>VLOOKUP(B118, 'All Menu'!B:M, 3, 0)</f>
        <v>التواصي سفري</v>
      </c>
      <c r="G118" s="90" t="s">
        <v>2341</v>
      </c>
      <c r="H118" s="219" t="s">
        <v>706</v>
      </c>
      <c r="I118" s="110" t="str">
        <f>VLOOKUP(H118, 'RM &amp; SF'!B:H, 2, 0)</f>
        <v>لوز مقلي</v>
      </c>
      <c r="J118" s="184" t="str">
        <f>VLOOKUP(H118, 'RM &amp; SF'!B:E, 4, 0)</f>
        <v>غم</v>
      </c>
      <c r="K118" s="12">
        <v>80</v>
      </c>
      <c r="L118" s="13">
        <f>VLOOKUP(H118, 'RM &amp; SF'!B:H, 7, 0)</f>
        <v>4.1352327586206888E-3</v>
      </c>
      <c r="M118" s="7">
        <f t="shared" si="3"/>
        <v>0.33081862068965512</v>
      </c>
      <c r="N118" s="4" t="s">
        <v>825</v>
      </c>
      <c r="O118" s="4">
        <f>VLOOKUP(B118, 'All Menu'!B:L, 6, 0)</f>
        <v>10.344827586206897</v>
      </c>
      <c r="P118" s="6">
        <f>VLOOKUP(B118, 'All Menu'!B:L, 9, 0)</f>
        <v>5.4543656023286697</v>
      </c>
      <c r="Q118" s="14">
        <f>VLOOKUP(B118, 'All Menu'!B:M, 12, 0)</f>
        <v>0.47274465844156194</v>
      </c>
      <c r="R118" s="173">
        <f t="shared" si="4"/>
        <v>0</v>
      </c>
    </row>
    <row r="119" spans="1:18" ht="14" hidden="1">
      <c r="A119" s="78" t="s">
        <v>2488</v>
      </c>
      <c r="B119" s="220" t="s">
        <v>1168</v>
      </c>
      <c r="C119" s="185"/>
      <c r="D119" s="103" t="str">
        <f>VLOOKUP(B119, 'All Menu'!B:M, 4, 0)</f>
        <v>دجاجة على الفحم+سدر رز</v>
      </c>
      <c r="E119" s="30" t="str">
        <f>VLOOKUP(B119, 'All Menu'!B:M, 2, 0)</f>
        <v>قسم التواصي</v>
      </c>
      <c r="F119" s="103" t="str">
        <f>VLOOKUP(B119, 'All Menu'!B:M, 3, 0)</f>
        <v>التواصي سفري</v>
      </c>
      <c r="G119" s="90" t="s">
        <v>3058</v>
      </c>
      <c r="H119" s="188">
        <v>4285</v>
      </c>
      <c r="I119" s="110" t="str">
        <f>VLOOKUP(H119, 'RM &amp; SF'!B:H, 2, 0)</f>
        <v>علب بلاستيك مربع متصل 150 مل*****</v>
      </c>
      <c r="J119" s="184" t="str">
        <f>VLOOKUP(H119, 'RM &amp; SF'!B:E, 4, 0)</f>
        <v>قطعة</v>
      </c>
      <c r="K119" s="12">
        <v>1</v>
      </c>
      <c r="L119" s="13">
        <f>VLOOKUP(H119, 'RM &amp; SF'!B:H, 7, 0)</f>
        <v>1.494E-2</v>
      </c>
      <c r="M119" s="7">
        <f t="shared" si="3"/>
        <v>1.494E-2</v>
      </c>
      <c r="N119" s="4" t="s">
        <v>825</v>
      </c>
      <c r="O119" s="4">
        <f>VLOOKUP(B119, 'All Menu'!B:L, 6, 0)</f>
        <v>10.344827586206897</v>
      </c>
      <c r="P119" s="6">
        <f>VLOOKUP(B119, 'All Menu'!B:L, 9, 0)</f>
        <v>5.4543656023286697</v>
      </c>
      <c r="Q119" s="14">
        <f>VLOOKUP(B119, 'All Menu'!B:M, 12, 0)</f>
        <v>0.47274465844156194</v>
      </c>
      <c r="R119" s="173">
        <f t="shared" si="4"/>
        <v>0</v>
      </c>
    </row>
    <row r="120" spans="1:18" ht="14" hidden="1">
      <c r="A120" s="78" t="s">
        <v>2488</v>
      </c>
      <c r="B120" s="220" t="s">
        <v>1168</v>
      </c>
      <c r="C120" s="185"/>
      <c r="D120" s="103" t="str">
        <f>VLOOKUP(B120, 'All Menu'!B:M, 4, 0)</f>
        <v>دجاجة على الفحم+سدر رز</v>
      </c>
      <c r="E120" s="30" t="str">
        <f>VLOOKUP(B120, 'All Menu'!B:M, 2, 0)</f>
        <v>قسم التواصي</v>
      </c>
      <c r="F120" s="103" t="str">
        <f>VLOOKUP(B120, 'All Menu'!B:M, 3, 0)</f>
        <v>التواصي سفري</v>
      </c>
      <c r="G120" s="90" t="s">
        <v>3058</v>
      </c>
      <c r="H120" s="188">
        <v>4280</v>
      </c>
      <c r="I120" s="110" t="str">
        <f>VLOOKUP(H120, 'RM &amp; SF'!B:H, 2, 0)</f>
        <v>علب ميكرويف مدورة اسود 500 مل RC2*****</v>
      </c>
      <c r="J120" s="184" t="str">
        <f>VLOOKUP(H120, 'RM &amp; SF'!B:E, 4, 0)</f>
        <v>قطعة</v>
      </c>
      <c r="K120" s="12">
        <v>1</v>
      </c>
      <c r="L120" s="13">
        <f>VLOOKUP(H120, 'RM &amp; SF'!B:H, 7, 0)</f>
        <v>0.125</v>
      </c>
      <c r="M120" s="7">
        <f t="shared" si="3"/>
        <v>0.125</v>
      </c>
      <c r="N120" s="4" t="s">
        <v>825</v>
      </c>
      <c r="O120" s="4">
        <f>VLOOKUP(B120, 'All Menu'!B:L, 6, 0)</f>
        <v>10.344827586206897</v>
      </c>
      <c r="P120" s="6">
        <f>VLOOKUP(B120, 'All Menu'!B:L, 9, 0)</f>
        <v>5.4543656023286697</v>
      </c>
      <c r="Q120" s="14">
        <f>VLOOKUP(B120, 'All Menu'!B:M, 12, 0)</f>
        <v>0.47274465844156194</v>
      </c>
      <c r="R120" s="173">
        <f t="shared" si="4"/>
        <v>0</v>
      </c>
    </row>
    <row r="121" spans="1:18" ht="14" hidden="1">
      <c r="A121" s="78" t="s">
        <v>2488</v>
      </c>
      <c r="B121" s="220" t="s">
        <v>1168</v>
      </c>
      <c r="C121" s="185"/>
      <c r="D121" s="103" t="str">
        <f>VLOOKUP(B121, 'All Menu'!B:M, 4, 0)</f>
        <v>دجاجة على الفحم+سدر رز</v>
      </c>
      <c r="E121" s="30" t="str">
        <f>VLOOKUP(B121, 'All Menu'!B:M, 2, 0)</f>
        <v>قسم التواصي</v>
      </c>
      <c r="F121" s="103" t="str">
        <f>VLOOKUP(B121, 'All Menu'!B:M, 3, 0)</f>
        <v>التواصي سفري</v>
      </c>
      <c r="G121" s="90" t="s">
        <v>2442</v>
      </c>
      <c r="H121" s="219" t="s">
        <v>660</v>
      </c>
      <c r="I121" s="110" t="str">
        <f>VLOOKUP(H121, 'RM &amp; SF'!B:H, 2, 0)</f>
        <v xml:space="preserve">ضربة عربية </v>
      </c>
      <c r="J121" s="184" t="str">
        <f>VLOOKUP(H121, 'RM &amp; SF'!B:E, 4, 0)</f>
        <v>غم</v>
      </c>
      <c r="K121" s="12">
        <v>180</v>
      </c>
      <c r="L121" s="13">
        <f>VLOOKUP(H121, 'RM &amp; SF'!B:H, 7, 0)</f>
        <v>6.3000000000000003E-4</v>
      </c>
      <c r="M121" s="7">
        <f t="shared" si="3"/>
        <v>0.1134</v>
      </c>
      <c r="N121" s="4" t="s">
        <v>825</v>
      </c>
      <c r="O121" s="4">
        <f>VLOOKUP(B121, 'All Menu'!B:L, 6, 0)</f>
        <v>10.344827586206897</v>
      </c>
      <c r="P121" s="6">
        <f>VLOOKUP(B121, 'All Menu'!B:L, 9, 0)</f>
        <v>5.4543656023286697</v>
      </c>
      <c r="Q121" s="14">
        <f>VLOOKUP(B121, 'All Menu'!B:M, 12, 0)</f>
        <v>0.47274465844156194</v>
      </c>
      <c r="R121" s="173">
        <f t="shared" si="4"/>
        <v>0</v>
      </c>
    </row>
    <row r="122" spans="1:18" ht="14" hidden="1">
      <c r="A122" s="78" t="s">
        <v>2488</v>
      </c>
      <c r="B122" s="220" t="s">
        <v>1168</v>
      </c>
      <c r="C122" s="185"/>
      <c r="D122" s="103" t="str">
        <f>VLOOKUP(B122, 'All Menu'!B:M, 4, 0)</f>
        <v>دجاجة على الفحم+سدر رز</v>
      </c>
      <c r="E122" s="30" t="str">
        <f>VLOOKUP(B122, 'All Menu'!B:M, 2, 0)</f>
        <v>قسم التواصي</v>
      </c>
      <c r="F122" s="103" t="str">
        <f>VLOOKUP(B122, 'All Menu'!B:M, 3, 0)</f>
        <v>التواصي سفري</v>
      </c>
      <c r="G122" s="90" t="s">
        <v>3058</v>
      </c>
      <c r="H122" s="188">
        <v>5427</v>
      </c>
      <c r="I122" s="110" t="str">
        <f>VLOOKUP(H122, 'RM &amp; SF'!B:H, 2, 0)</f>
        <v>رول تغليف ورقي مطبوع 13 كغ 60*120 سم*****</v>
      </c>
      <c r="J122" s="184" t="str">
        <f>VLOOKUP(H122, 'RM &amp; SF'!B:E, 4, 0)</f>
        <v>غم</v>
      </c>
      <c r="K122" s="12">
        <v>1</v>
      </c>
      <c r="L122" s="13">
        <f>VLOOKUP(H122, 'RM &amp; SF'!B:H, 7, 0)</f>
        <v>1.3649425287356322E-3</v>
      </c>
      <c r="M122" s="7">
        <f t="shared" si="3"/>
        <v>1.3649425287356322E-3</v>
      </c>
      <c r="N122" s="4" t="s">
        <v>825</v>
      </c>
      <c r="O122" s="4">
        <f>VLOOKUP(B122, 'All Menu'!B:L, 6, 0)</f>
        <v>10.344827586206897</v>
      </c>
      <c r="P122" s="6">
        <f>VLOOKUP(B122, 'All Menu'!B:L, 9, 0)</f>
        <v>5.4543656023286697</v>
      </c>
      <c r="Q122" s="14">
        <f>VLOOKUP(B122, 'All Menu'!B:M, 12, 0)</f>
        <v>0.47274465844156194</v>
      </c>
      <c r="R122" s="173">
        <f t="shared" si="4"/>
        <v>0</v>
      </c>
    </row>
    <row r="123" spans="1:18" ht="14" hidden="1">
      <c r="A123" s="78" t="s">
        <v>2488</v>
      </c>
      <c r="B123" s="220" t="s">
        <v>1168</v>
      </c>
      <c r="C123" s="185"/>
      <c r="D123" s="103" t="str">
        <f>VLOOKUP(B123, 'All Menu'!B:M, 4, 0)</f>
        <v>دجاجة على الفحم+سدر رز</v>
      </c>
      <c r="E123" s="30" t="str">
        <f>VLOOKUP(B123, 'All Menu'!B:M, 2, 0)</f>
        <v>قسم التواصي</v>
      </c>
      <c r="F123" s="103" t="str">
        <f>VLOOKUP(B123, 'All Menu'!B:M, 3, 0)</f>
        <v>التواصي سفري</v>
      </c>
      <c r="G123" s="90" t="s">
        <v>2195</v>
      </c>
      <c r="H123" s="188">
        <v>4329</v>
      </c>
      <c r="I123" s="110" t="str">
        <f>VLOOKUP(H123, 'RM &amp; SF'!B:H, 2, 0)</f>
        <v>ملاعق بلاستيك مع معقم مطبوع 1*500 حبة*****</v>
      </c>
      <c r="J123" s="184" t="str">
        <f>VLOOKUP(H123, 'RM &amp; SF'!B:E, 4, 0)</f>
        <v>قطعة</v>
      </c>
      <c r="K123" s="12">
        <v>4</v>
      </c>
      <c r="L123" s="13">
        <f>VLOOKUP(H123, 'RM &amp; SF'!B:H, 7, 0)</f>
        <v>4.7399999999999997E-4</v>
      </c>
      <c r="M123" s="7">
        <f t="shared" si="3"/>
        <v>1.8959999999999999E-3</v>
      </c>
      <c r="N123" s="4" t="s">
        <v>825</v>
      </c>
      <c r="O123" s="4">
        <f>VLOOKUP(B123, 'All Menu'!B:L, 6, 0)</f>
        <v>10.344827586206897</v>
      </c>
      <c r="P123" s="6">
        <f>VLOOKUP(B123, 'All Menu'!B:L, 9, 0)</f>
        <v>5.4543656023286697</v>
      </c>
      <c r="Q123" s="14">
        <f>VLOOKUP(B123, 'All Menu'!B:M, 12, 0)</f>
        <v>0.47274465844156194</v>
      </c>
      <c r="R123" s="173">
        <f t="shared" si="4"/>
        <v>0</v>
      </c>
    </row>
    <row r="124" spans="1:18" ht="14" hidden="1">
      <c r="A124" s="78" t="s">
        <v>2488</v>
      </c>
      <c r="B124" s="220" t="s">
        <v>1168</v>
      </c>
      <c r="C124" s="185"/>
      <c r="D124" s="103" t="str">
        <f>VLOOKUP(B124, 'All Menu'!B:M, 4, 0)</f>
        <v>دجاجة على الفحم+سدر رز</v>
      </c>
      <c r="E124" s="30" t="str">
        <f>VLOOKUP(B124, 'All Menu'!B:M, 2, 0)</f>
        <v>قسم التواصي</v>
      </c>
      <c r="F124" s="103" t="str">
        <f>VLOOKUP(B124, 'All Menu'!B:M, 3, 0)</f>
        <v>التواصي سفري</v>
      </c>
      <c r="G124" s="90" t="s">
        <v>2194</v>
      </c>
      <c r="H124" s="188">
        <v>4323</v>
      </c>
      <c r="I124" s="110" t="str">
        <f>VLOOKUP(H124, 'RM &amp; SF'!B:H, 2, 0)</f>
        <v>قصدير رول 45 سم*2كغ*****</v>
      </c>
      <c r="J124" s="184" t="str">
        <f>VLOOKUP(H124, 'RM &amp; SF'!B:E, 4, 0)</f>
        <v>غم</v>
      </c>
      <c r="K124" s="12">
        <v>0.25</v>
      </c>
      <c r="L124" s="13">
        <f>VLOOKUP(H124, 'RM &amp; SF'!B:H, 7, 0)</f>
        <v>1.7240000000000001E-3</v>
      </c>
      <c r="M124" s="7">
        <f t="shared" si="3"/>
        <v>4.3100000000000001E-4</v>
      </c>
      <c r="N124" s="4" t="s">
        <v>825</v>
      </c>
      <c r="O124" s="4">
        <f>VLOOKUP(B124, 'All Menu'!B:L, 6, 0)</f>
        <v>10.344827586206897</v>
      </c>
      <c r="P124" s="6">
        <f>VLOOKUP(B124, 'All Menu'!B:L, 9, 0)</f>
        <v>5.4543656023286697</v>
      </c>
      <c r="Q124" s="14">
        <f>VLOOKUP(B124, 'All Menu'!B:M, 12, 0)</f>
        <v>0.47274465844156194</v>
      </c>
      <c r="R124" s="173">
        <f t="shared" si="4"/>
        <v>0</v>
      </c>
    </row>
    <row r="125" spans="1:18" ht="14" hidden="1">
      <c r="A125" s="78" t="s">
        <v>2488</v>
      </c>
      <c r="B125" s="220" t="s">
        <v>1168</v>
      </c>
      <c r="C125" s="185"/>
      <c r="D125" s="103" t="str">
        <f>VLOOKUP(B125, 'All Menu'!B:M, 4, 0)</f>
        <v>دجاجة على الفحم+سدر رز</v>
      </c>
      <c r="E125" s="30" t="str">
        <f>VLOOKUP(B125, 'All Menu'!B:M, 2, 0)</f>
        <v>قسم التواصي</v>
      </c>
      <c r="F125" s="103" t="str">
        <f>VLOOKUP(B125, 'All Menu'!B:M, 3, 0)</f>
        <v>التواصي سفري</v>
      </c>
      <c r="G125" s="90" t="s">
        <v>2384</v>
      </c>
      <c r="H125" s="219" t="s">
        <v>538</v>
      </c>
      <c r="I125" s="110" t="str">
        <f>VLOOKUP(H125, 'RM &amp; SF'!B:H, 2, 0)</f>
        <v>دجاج تركي</v>
      </c>
      <c r="J125" s="184" t="str">
        <f>VLOOKUP(H125, 'RM &amp; SF'!B:E, 4, 0)</f>
        <v>قطعة</v>
      </c>
      <c r="K125" s="12">
        <v>1</v>
      </c>
      <c r="L125" s="13">
        <f>VLOOKUP(H125, 'RM &amp; SF'!B:H, 7, 0)</f>
        <v>3.5399982955314506</v>
      </c>
      <c r="M125" s="7">
        <f t="shared" si="3"/>
        <v>3.5399982955314506</v>
      </c>
      <c r="N125" s="4" t="s">
        <v>825</v>
      </c>
      <c r="O125" s="4">
        <f>VLOOKUP(B125, 'All Menu'!B:L, 6, 0)</f>
        <v>10.344827586206897</v>
      </c>
      <c r="P125" s="6">
        <f>VLOOKUP(B125, 'All Menu'!B:L, 9, 0)</f>
        <v>5.4543656023286697</v>
      </c>
      <c r="Q125" s="14">
        <f>VLOOKUP(B125, 'All Menu'!B:M, 12, 0)</f>
        <v>0.47274465844156194</v>
      </c>
      <c r="R125" s="173">
        <f t="shared" si="4"/>
        <v>0</v>
      </c>
    </row>
    <row r="126" spans="1:18" ht="15.5" hidden="1">
      <c r="A126" s="78" t="s">
        <v>2488</v>
      </c>
      <c r="B126" s="220" t="s">
        <v>1168</v>
      </c>
      <c r="C126" s="185"/>
      <c r="D126" s="103" t="str">
        <f>VLOOKUP(B126, 'All Menu'!B:M, 4, 0)</f>
        <v>دجاجة على الفحم+سدر رز</v>
      </c>
      <c r="E126" s="30" t="str">
        <f>VLOOKUP(B126, 'All Menu'!B:M, 2, 0)</f>
        <v>قسم التواصي</v>
      </c>
      <c r="F126" s="103" t="str">
        <f>VLOOKUP(B126, 'All Menu'!B:M, 3, 0)</f>
        <v>التواصي سفري</v>
      </c>
      <c r="G126" s="90" t="s">
        <v>3058</v>
      </c>
      <c r="H126" s="112">
        <v>5269</v>
      </c>
      <c r="I126" s="110" t="str">
        <f>VLOOKUP(H126, 'RM &amp; SF'!B:H, 2, 0)</f>
        <v>سدر بلاستيك 40سم*****</v>
      </c>
      <c r="J126" s="184" t="str">
        <f>VLOOKUP(H126, 'RM &amp; SF'!B:E, 4, 0)</f>
        <v>قطعة</v>
      </c>
      <c r="K126" s="12">
        <v>1</v>
      </c>
      <c r="L126" s="13">
        <f>VLOOKUP(H126, 'RM &amp; SF'!B:H, 7, 0)</f>
        <v>0.38790000000000002</v>
      </c>
      <c r="M126" s="7">
        <f t="shared" si="3"/>
        <v>0.38790000000000002</v>
      </c>
      <c r="N126" s="4" t="s">
        <v>825</v>
      </c>
      <c r="O126" s="4">
        <f>VLOOKUP(B126, 'All Menu'!B:L, 6, 0)</f>
        <v>10.344827586206897</v>
      </c>
      <c r="P126" s="6">
        <f>VLOOKUP(B126, 'All Menu'!B:L, 9, 0)</f>
        <v>5.4543656023286697</v>
      </c>
      <c r="Q126" s="14">
        <f>VLOOKUP(B126, 'All Menu'!B:M, 12, 0)</f>
        <v>0.47274465844156194</v>
      </c>
      <c r="R126" s="173">
        <f t="shared" si="4"/>
        <v>0</v>
      </c>
    </row>
    <row r="127" spans="1:18" ht="14" hidden="1">
      <c r="A127" s="78" t="s">
        <v>2494</v>
      </c>
      <c r="B127" s="220" t="s">
        <v>1173</v>
      </c>
      <c r="C127" s="185"/>
      <c r="D127" s="103" t="str">
        <f>VLOOKUP(B127, 'All Menu'!B:M, 4, 0)</f>
        <v>مقلوبة دجاجتين</v>
      </c>
      <c r="E127" s="30" t="str">
        <f>VLOOKUP(B127, 'All Menu'!B:M, 2, 0)</f>
        <v>قسم التواصي</v>
      </c>
      <c r="F127" s="103" t="str">
        <f>VLOOKUP(B127, 'All Menu'!B:M, 3, 0)</f>
        <v>التواصي سفري2</v>
      </c>
      <c r="G127" s="90" t="s">
        <v>2309</v>
      </c>
      <c r="H127" s="188">
        <v>4491</v>
      </c>
      <c r="I127" s="110" t="str">
        <f>VLOOKUP(H127, 'RM &amp; SF'!B:H, 2, 0)</f>
        <v>بندورة جامدة*****</v>
      </c>
      <c r="J127" s="184" t="str">
        <f>VLOOKUP(H127, 'RM &amp; SF'!B:E, 4, 0)</f>
        <v>غم</v>
      </c>
      <c r="K127" s="12">
        <v>350</v>
      </c>
      <c r="L127" s="13">
        <f>VLOOKUP(H127, 'RM &amp; SF'!B:H, 7, 0)</f>
        <v>5.0000000000000001E-4</v>
      </c>
      <c r="M127" s="7">
        <f t="shared" ref="M127:M162" si="5">L127*K127</f>
        <v>0.17500000000000002</v>
      </c>
      <c r="N127" s="4" t="s">
        <v>825</v>
      </c>
      <c r="O127" s="4">
        <f>VLOOKUP(B127, 'All Menu'!B:L, 6, 0)</f>
        <v>21.551724137931036</v>
      </c>
      <c r="P127" s="6">
        <f>VLOOKUP(B127, 'All Menu'!B:L, 9, 0)</f>
        <v>10.726016466666668</v>
      </c>
      <c r="Q127" s="14">
        <f>VLOOKUP(B127, 'All Menu'!B:M, 12, 0)</f>
        <v>0.50231283594666665</v>
      </c>
      <c r="R127" s="173">
        <f t="shared" ref="R127:R172" si="6">C127*K127</f>
        <v>0</v>
      </c>
    </row>
    <row r="128" spans="1:18" ht="14" hidden="1">
      <c r="A128" s="78" t="s">
        <v>2494</v>
      </c>
      <c r="B128" s="220" t="s">
        <v>1173</v>
      </c>
      <c r="C128" s="185"/>
      <c r="D128" s="103" t="str">
        <f>VLOOKUP(B128, 'All Menu'!B:M, 4, 0)</f>
        <v>مقلوبة دجاجتين</v>
      </c>
      <c r="E128" s="30" t="str">
        <f>VLOOKUP(B128, 'All Menu'!B:M, 2, 0)</f>
        <v>قسم التواصي</v>
      </c>
      <c r="F128" s="103" t="str">
        <f>VLOOKUP(B128, 'All Menu'!B:M, 3, 0)</f>
        <v>التواصي سفري2</v>
      </c>
      <c r="G128" s="90" t="s">
        <v>2247</v>
      </c>
      <c r="H128" s="188">
        <v>4525</v>
      </c>
      <c r="I128" s="110" t="str">
        <f>VLOOKUP(H128, 'RM &amp; SF'!B:H, 2, 0)</f>
        <v>زهرة*****</v>
      </c>
      <c r="J128" s="184" t="str">
        <f>VLOOKUP(H128, 'RM &amp; SF'!B:E, 4, 0)</f>
        <v>غم</v>
      </c>
      <c r="K128" s="12">
        <v>1000</v>
      </c>
      <c r="L128" s="13">
        <f>VLOOKUP(H128, 'RM &amp; SF'!B:H, 7, 0)</f>
        <v>1E-3</v>
      </c>
      <c r="M128" s="7">
        <f t="shared" si="5"/>
        <v>1</v>
      </c>
      <c r="N128" s="4" t="s">
        <v>825</v>
      </c>
      <c r="O128" s="4">
        <f>VLOOKUP(B128, 'All Menu'!B:L, 6, 0)</f>
        <v>21.551724137931036</v>
      </c>
      <c r="P128" s="6">
        <f>VLOOKUP(B128, 'All Menu'!B:L, 9, 0)</f>
        <v>10.726016466666668</v>
      </c>
      <c r="Q128" s="14">
        <f>VLOOKUP(B128, 'All Menu'!B:M, 12, 0)</f>
        <v>0.50231283594666665</v>
      </c>
      <c r="R128" s="173">
        <f t="shared" si="6"/>
        <v>0</v>
      </c>
    </row>
    <row r="129" spans="1:18" ht="14" hidden="1">
      <c r="A129" s="78" t="s">
        <v>2494</v>
      </c>
      <c r="B129" s="220" t="s">
        <v>1173</v>
      </c>
      <c r="C129" s="185"/>
      <c r="D129" s="103" t="str">
        <f>VLOOKUP(B129, 'All Menu'!B:M, 4, 0)</f>
        <v>مقلوبة دجاجتين</v>
      </c>
      <c r="E129" s="30" t="str">
        <f>VLOOKUP(B129, 'All Menu'!B:M, 2, 0)</f>
        <v>قسم التواصي</v>
      </c>
      <c r="F129" s="103" t="str">
        <f>VLOOKUP(B129, 'All Menu'!B:M, 3, 0)</f>
        <v>التواصي سفري2</v>
      </c>
      <c r="G129" s="90" t="s">
        <v>2230</v>
      </c>
      <c r="H129" s="188">
        <v>4497</v>
      </c>
      <c r="I129" s="110" t="str">
        <f>VLOOKUP(H129, 'RM &amp; SF'!B:H, 2, 0)</f>
        <v>بطاطا*****</v>
      </c>
      <c r="J129" s="184" t="str">
        <f>VLOOKUP(H129, 'RM &amp; SF'!B:E, 4, 0)</f>
        <v>غم</v>
      </c>
      <c r="K129" s="12">
        <v>1000</v>
      </c>
      <c r="L129" s="13">
        <f>VLOOKUP(H129, 'RM &amp; SF'!B:H, 7, 0)</f>
        <v>4.0000000000000002E-4</v>
      </c>
      <c r="M129" s="7">
        <f t="shared" si="5"/>
        <v>0.4</v>
      </c>
      <c r="N129" s="4" t="s">
        <v>825</v>
      </c>
      <c r="O129" s="4">
        <f>VLOOKUP(B129, 'All Menu'!B:L, 6, 0)</f>
        <v>21.551724137931036</v>
      </c>
      <c r="P129" s="6">
        <f>VLOOKUP(B129, 'All Menu'!B:L, 9, 0)</f>
        <v>10.726016466666668</v>
      </c>
      <c r="Q129" s="14">
        <f>VLOOKUP(B129, 'All Menu'!B:M, 12, 0)</f>
        <v>0.50231283594666665</v>
      </c>
      <c r="R129" s="173">
        <f t="shared" si="6"/>
        <v>0</v>
      </c>
    </row>
    <row r="130" spans="1:18" ht="14" hidden="1">
      <c r="A130" s="78" t="s">
        <v>2494</v>
      </c>
      <c r="B130" s="220" t="s">
        <v>1173</v>
      </c>
      <c r="C130" s="185"/>
      <c r="D130" s="103" t="str">
        <f>VLOOKUP(B130, 'All Menu'!B:M, 4, 0)</f>
        <v>مقلوبة دجاجتين</v>
      </c>
      <c r="E130" s="30" t="str">
        <f>VLOOKUP(B130, 'All Menu'!B:M, 2, 0)</f>
        <v>قسم التواصي</v>
      </c>
      <c r="F130" s="103" t="str">
        <f>VLOOKUP(B130, 'All Menu'!B:M, 3, 0)</f>
        <v>التواصي سفري2</v>
      </c>
      <c r="G130" s="90" t="s">
        <v>2229</v>
      </c>
      <c r="H130" s="188">
        <v>4494</v>
      </c>
      <c r="I130" s="110" t="str">
        <f>VLOOKUP(H130, 'RM &amp; SF'!B:H, 2, 0)</f>
        <v>باذنجان (اسود) كلاسك*****</v>
      </c>
      <c r="J130" s="184" t="str">
        <f>VLOOKUP(H130, 'RM &amp; SF'!B:E, 4, 0)</f>
        <v>غم</v>
      </c>
      <c r="K130" s="12">
        <v>1000</v>
      </c>
      <c r="L130" s="13">
        <f>VLOOKUP(H130, 'RM &amp; SF'!B:H, 7, 0)</f>
        <v>4.4999999999999999E-4</v>
      </c>
      <c r="M130" s="7">
        <f t="shared" si="5"/>
        <v>0.45</v>
      </c>
      <c r="N130" s="4" t="s">
        <v>825</v>
      </c>
      <c r="O130" s="4">
        <f>VLOOKUP(B130, 'All Menu'!B:L, 6, 0)</f>
        <v>21.551724137931036</v>
      </c>
      <c r="P130" s="6">
        <f>VLOOKUP(B130, 'All Menu'!B:L, 9, 0)</f>
        <v>10.726016466666668</v>
      </c>
      <c r="Q130" s="14">
        <f>VLOOKUP(B130, 'All Menu'!B:M, 12, 0)</f>
        <v>0.50231283594666665</v>
      </c>
      <c r="R130" s="173">
        <f t="shared" si="6"/>
        <v>0</v>
      </c>
    </row>
    <row r="131" spans="1:18" ht="14" hidden="1">
      <c r="A131" s="78" t="s">
        <v>2494</v>
      </c>
      <c r="B131" s="220" t="s">
        <v>1173</v>
      </c>
      <c r="C131" s="185"/>
      <c r="D131" s="103" t="str">
        <f>VLOOKUP(B131, 'All Menu'!B:M, 4, 0)</f>
        <v>مقلوبة دجاجتين</v>
      </c>
      <c r="E131" s="30" t="str">
        <f>VLOOKUP(B131, 'All Menu'!B:M, 2, 0)</f>
        <v>قسم التواصي</v>
      </c>
      <c r="F131" s="103" t="str">
        <f>VLOOKUP(B131, 'All Menu'!B:M, 3, 0)</f>
        <v>التواصي سفري2</v>
      </c>
      <c r="G131" s="90" t="s">
        <v>2281</v>
      </c>
      <c r="H131" s="188">
        <v>4133</v>
      </c>
      <c r="I131" s="110" t="str">
        <f>VLOOKUP(H131, 'RM &amp; SF'!B:H, 2, 0)</f>
        <v>ارز بسمتي ذهبي*****</v>
      </c>
      <c r="J131" s="184" t="str">
        <f>VLOOKUP(H131, 'RM &amp; SF'!B:E, 4, 0)</f>
        <v>غم</v>
      </c>
      <c r="K131" s="12">
        <v>800</v>
      </c>
      <c r="L131" s="13">
        <f>VLOOKUP(H131, 'RM &amp; SF'!B:H, 7, 0)</f>
        <v>1.1000000000000001E-3</v>
      </c>
      <c r="M131" s="7">
        <f t="shared" si="5"/>
        <v>0.88</v>
      </c>
      <c r="N131" s="4" t="s">
        <v>825</v>
      </c>
      <c r="O131" s="4">
        <f>VLOOKUP(B131, 'All Menu'!B:L, 6, 0)</f>
        <v>21.551724137931036</v>
      </c>
      <c r="P131" s="6">
        <f>VLOOKUP(B131, 'All Menu'!B:L, 9, 0)</f>
        <v>10.726016466666668</v>
      </c>
      <c r="Q131" s="14">
        <f>VLOOKUP(B131, 'All Menu'!B:M, 12, 0)</f>
        <v>0.50231283594666665</v>
      </c>
      <c r="R131" s="173">
        <f t="shared" si="6"/>
        <v>0</v>
      </c>
    </row>
    <row r="132" spans="1:18" ht="14" hidden="1">
      <c r="A132" s="78" t="s">
        <v>2494</v>
      </c>
      <c r="B132" s="220" t="s">
        <v>1173</v>
      </c>
      <c r="C132" s="185"/>
      <c r="D132" s="103" t="str">
        <f>VLOOKUP(B132, 'All Menu'!B:M, 4, 0)</f>
        <v>مقلوبة دجاجتين</v>
      </c>
      <c r="E132" s="30" t="str">
        <f>VLOOKUP(B132, 'All Menu'!B:M, 2, 0)</f>
        <v>قسم التواصي</v>
      </c>
      <c r="F132" s="103" t="str">
        <f>VLOOKUP(B132, 'All Menu'!B:M, 3, 0)</f>
        <v>التواصي سفري2</v>
      </c>
      <c r="G132" s="90" t="s">
        <v>2279</v>
      </c>
      <c r="H132" s="188">
        <v>4100</v>
      </c>
      <c r="I132" s="110" t="str">
        <f>VLOOKUP(H132, 'RM &amp; SF'!B:H, 2, 0)</f>
        <v>معكرونة شعيرية 500 غم*****</v>
      </c>
      <c r="J132" s="184" t="str">
        <f>VLOOKUP(H132, 'RM &amp; SF'!B:E, 4, 0)</f>
        <v>غم</v>
      </c>
      <c r="K132" s="12">
        <v>100</v>
      </c>
      <c r="L132" s="13">
        <f>VLOOKUP(H132, 'RM &amp; SF'!B:H, 7, 0)</f>
        <v>9.9199999999999983E-4</v>
      </c>
      <c r="M132" s="7">
        <f t="shared" si="5"/>
        <v>9.9199999999999983E-2</v>
      </c>
      <c r="N132" s="4" t="s">
        <v>825</v>
      </c>
      <c r="O132" s="4">
        <f>VLOOKUP(B132, 'All Menu'!B:L, 6, 0)</f>
        <v>21.551724137931036</v>
      </c>
      <c r="P132" s="6">
        <f>VLOOKUP(B132, 'All Menu'!B:L, 9, 0)</f>
        <v>10.726016466666668</v>
      </c>
      <c r="Q132" s="14">
        <f>VLOOKUP(B132, 'All Menu'!B:M, 12, 0)</f>
        <v>0.50231283594666665</v>
      </c>
      <c r="R132" s="173">
        <f t="shared" si="6"/>
        <v>0</v>
      </c>
    </row>
    <row r="133" spans="1:18" ht="14" hidden="1">
      <c r="A133" s="78" t="s">
        <v>2494</v>
      </c>
      <c r="B133" s="220" t="s">
        <v>1173</v>
      </c>
      <c r="C133" s="185"/>
      <c r="D133" s="103" t="str">
        <f>VLOOKUP(B133, 'All Menu'!B:M, 4, 0)</f>
        <v>مقلوبة دجاجتين</v>
      </c>
      <c r="E133" s="30" t="str">
        <f>VLOOKUP(B133, 'All Menu'!B:M, 2, 0)</f>
        <v>قسم التواصي</v>
      </c>
      <c r="F133" s="103" t="str">
        <f>VLOOKUP(B133, 'All Menu'!B:M, 3, 0)</f>
        <v>التواصي سفري2</v>
      </c>
      <c r="G133" s="90" t="s">
        <v>2417</v>
      </c>
      <c r="H133" s="219" t="s">
        <v>544</v>
      </c>
      <c r="I133" s="110" t="str">
        <f>VLOOKUP(H133, 'RM &amp; SF'!B:H, 2, 0)</f>
        <v>دجاجة متبلة</v>
      </c>
      <c r="J133" s="184" t="str">
        <f>VLOOKUP(H133, 'RM &amp; SF'!B:E, 4, 0)</f>
        <v>قطعة</v>
      </c>
      <c r="K133" s="12">
        <v>2</v>
      </c>
      <c r="L133" s="13">
        <f>VLOOKUP(H133, 'RM &amp; SF'!B:H, 7, 0)</f>
        <v>3.0853324000000004</v>
      </c>
      <c r="M133" s="7">
        <f t="shared" si="5"/>
        <v>6.1706648000000008</v>
      </c>
      <c r="N133" s="4" t="s">
        <v>825</v>
      </c>
      <c r="O133" s="4">
        <f>VLOOKUP(B133, 'All Menu'!B:L, 6, 0)</f>
        <v>21.551724137931036</v>
      </c>
      <c r="P133" s="6">
        <f>VLOOKUP(B133, 'All Menu'!B:L, 9, 0)</f>
        <v>10.726016466666668</v>
      </c>
      <c r="Q133" s="14">
        <f>VLOOKUP(B133, 'All Menu'!B:M, 12, 0)</f>
        <v>0.50231283594666665</v>
      </c>
      <c r="R133" s="173">
        <f t="shared" si="6"/>
        <v>0</v>
      </c>
    </row>
    <row r="134" spans="1:18" ht="14" hidden="1">
      <c r="A134" s="78" t="s">
        <v>2494</v>
      </c>
      <c r="B134" s="220" t="s">
        <v>1173</v>
      </c>
      <c r="C134" s="185"/>
      <c r="D134" s="103" t="str">
        <f>VLOOKUP(B134, 'All Menu'!B:M, 4, 0)</f>
        <v>مقلوبة دجاجتين</v>
      </c>
      <c r="E134" s="30" t="str">
        <f>VLOOKUP(B134, 'All Menu'!B:M, 2, 0)</f>
        <v>قسم التواصي</v>
      </c>
      <c r="F134" s="103" t="str">
        <f>VLOOKUP(B134, 'All Menu'!B:M, 3, 0)</f>
        <v>التواصي سفري2</v>
      </c>
      <c r="G134" s="90" t="s">
        <v>2234</v>
      </c>
      <c r="H134" s="188">
        <v>4503</v>
      </c>
      <c r="I134" s="110" t="str">
        <f>VLOOKUP(H134, 'RM &amp; SF'!B:H, 2, 0)</f>
        <v>بصل ناشف دفش*****</v>
      </c>
      <c r="J134" s="184" t="str">
        <f>VLOOKUP(H134, 'RM &amp; SF'!B:E, 4, 0)</f>
        <v>غم</v>
      </c>
      <c r="K134" s="12">
        <v>350</v>
      </c>
      <c r="L134" s="13">
        <f>VLOOKUP(H134, 'RM &amp; SF'!B:H, 7, 0)</f>
        <v>2.5000000000000001E-4</v>
      </c>
      <c r="M134" s="7">
        <f t="shared" si="5"/>
        <v>8.7500000000000008E-2</v>
      </c>
      <c r="N134" s="4" t="s">
        <v>825</v>
      </c>
      <c r="O134" s="4">
        <f>VLOOKUP(B134, 'All Menu'!B:L, 6, 0)</f>
        <v>21.551724137931036</v>
      </c>
      <c r="P134" s="6">
        <f>VLOOKUP(B134, 'All Menu'!B:L, 9, 0)</f>
        <v>10.726016466666668</v>
      </c>
      <c r="Q134" s="14">
        <f>VLOOKUP(B134, 'All Menu'!B:M, 12, 0)</f>
        <v>0.50231283594666665</v>
      </c>
      <c r="R134" s="173">
        <f t="shared" si="6"/>
        <v>0</v>
      </c>
    </row>
    <row r="135" spans="1:18" ht="14" hidden="1">
      <c r="A135" s="78" t="s">
        <v>2494</v>
      </c>
      <c r="B135" s="220" t="s">
        <v>1173</v>
      </c>
      <c r="C135" s="185"/>
      <c r="D135" s="103" t="str">
        <f>VLOOKUP(B135, 'All Menu'!B:M, 4, 0)</f>
        <v>مقلوبة دجاجتين</v>
      </c>
      <c r="E135" s="30" t="str">
        <f>VLOOKUP(B135, 'All Menu'!B:M, 2, 0)</f>
        <v>قسم التواصي</v>
      </c>
      <c r="F135" s="103" t="str">
        <f>VLOOKUP(B135, 'All Menu'!B:M, 3, 0)</f>
        <v>التواصي سفري2</v>
      </c>
      <c r="G135" s="90" t="s">
        <v>2213</v>
      </c>
      <c r="H135" s="188">
        <v>4218</v>
      </c>
      <c r="I135" s="110" t="str">
        <f>VLOOKUP(H135, 'RM &amp; SF'!B:H, 2, 0)</f>
        <v>بهارات مشكلة*****</v>
      </c>
      <c r="J135" s="184" t="str">
        <f>VLOOKUP(H135, 'RM &amp; SF'!B:E, 4, 0)</f>
        <v>غم</v>
      </c>
      <c r="K135" s="12">
        <v>15</v>
      </c>
      <c r="L135" s="13">
        <f>VLOOKUP(H135, 'RM &amp; SF'!B:H, 7, 0)</f>
        <v>3.0169999999999997E-3</v>
      </c>
      <c r="M135" s="7">
        <f t="shared" si="5"/>
        <v>4.5254999999999997E-2</v>
      </c>
      <c r="N135" s="4" t="s">
        <v>825</v>
      </c>
      <c r="O135" s="4">
        <f>VLOOKUP(B135, 'All Menu'!B:L, 6, 0)</f>
        <v>21.551724137931036</v>
      </c>
      <c r="P135" s="6">
        <f>VLOOKUP(B135, 'All Menu'!B:L, 9, 0)</f>
        <v>10.726016466666668</v>
      </c>
      <c r="Q135" s="14">
        <f>VLOOKUP(B135, 'All Menu'!B:M, 12, 0)</f>
        <v>0.50231283594666665</v>
      </c>
      <c r="R135" s="173">
        <f t="shared" si="6"/>
        <v>0</v>
      </c>
    </row>
    <row r="136" spans="1:18" ht="14" hidden="1">
      <c r="A136" s="78" t="s">
        <v>2494</v>
      </c>
      <c r="B136" s="220" t="s">
        <v>1173</v>
      </c>
      <c r="C136" s="185"/>
      <c r="D136" s="103" t="str">
        <f>VLOOKUP(B136, 'All Menu'!B:M, 4, 0)</f>
        <v>مقلوبة دجاجتين</v>
      </c>
      <c r="E136" s="30" t="str">
        <f>VLOOKUP(B136, 'All Menu'!B:M, 2, 0)</f>
        <v>قسم التواصي</v>
      </c>
      <c r="F136" s="103" t="str">
        <f>VLOOKUP(B136, 'All Menu'!B:M, 3, 0)</f>
        <v>التواصي سفري2</v>
      </c>
      <c r="G136" s="90" t="s">
        <v>2180</v>
      </c>
      <c r="H136" s="188">
        <v>4791</v>
      </c>
      <c r="I136" s="110" t="str">
        <f>VLOOKUP(H136, 'RM &amp; SF'!B:H, 2, 0)</f>
        <v>سمنة بلدية 5 كغ*****</v>
      </c>
      <c r="J136" s="184" t="str">
        <f>VLOOKUP(H136, 'RM &amp; SF'!B:E, 4, 0)</f>
        <v>غم</v>
      </c>
      <c r="K136" s="12">
        <v>50</v>
      </c>
      <c r="L136" s="13">
        <f>VLOOKUP(H136, 'RM &amp; SF'!B:H, 7, 0)</f>
        <v>8.3330000000000001E-3</v>
      </c>
      <c r="M136" s="7">
        <f t="shared" si="5"/>
        <v>0.41665000000000002</v>
      </c>
      <c r="N136" s="4" t="s">
        <v>825</v>
      </c>
      <c r="O136" s="4">
        <f>VLOOKUP(B136, 'All Menu'!B:L, 6, 0)</f>
        <v>21.551724137931036</v>
      </c>
      <c r="P136" s="6">
        <f>VLOOKUP(B136, 'All Menu'!B:L, 9, 0)</f>
        <v>10.726016466666668</v>
      </c>
      <c r="Q136" s="14">
        <f>VLOOKUP(B136, 'All Menu'!B:M, 12, 0)</f>
        <v>0.50231283594666665</v>
      </c>
      <c r="R136" s="173">
        <f t="shared" si="6"/>
        <v>0</v>
      </c>
    </row>
    <row r="137" spans="1:18" ht="14" hidden="1">
      <c r="A137" s="78" t="s">
        <v>2494</v>
      </c>
      <c r="B137" s="220" t="s">
        <v>1173</v>
      </c>
      <c r="C137" s="185"/>
      <c r="D137" s="103" t="str">
        <f>VLOOKUP(B137, 'All Menu'!B:M, 4, 0)</f>
        <v>مقلوبة دجاجتين</v>
      </c>
      <c r="E137" s="30" t="str">
        <f>VLOOKUP(B137, 'All Menu'!B:M, 2, 0)</f>
        <v>قسم التواصي</v>
      </c>
      <c r="F137" s="103" t="str">
        <f>VLOOKUP(B137, 'All Menu'!B:M, 3, 0)</f>
        <v>التواصي سفري2</v>
      </c>
      <c r="G137" s="90" t="s">
        <v>2206</v>
      </c>
      <c r="H137" s="188">
        <v>4204</v>
      </c>
      <c r="I137" s="110" t="str">
        <f>VLOOKUP(H137, 'RM &amp; SF'!B:H, 2, 0)</f>
        <v>فلفل اسود ناعم*****</v>
      </c>
      <c r="J137" s="184" t="str">
        <f>VLOOKUP(H137, 'RM &amp; SF'!B:E, 4, 0)</f>
        <v>غم</v>
      </c>
      <c r="K137" s="12">
        <v>5</v>
      </c>
      <c r="L137" s="13">
        <f>VLOOKUP(H137, 'RM &amp; SF'!B:H, 7, 0)</f>
        <v>6.8970000000000004E-3</v>
      </c>
      <c r="M137" s="7">
        <f t="shared" si="5"/>
        <v>3.4485000000000002E-2</v>
      </c>
      <c r="N137" s="4" t="s">
        <v>825</v>
      </c>
      <c r="O137" s="4">
        <f>VLOOKUP(B137, 'All Menu'!B:L, 6, 0)</f>
        <v>21.551724137931036</v>
      </c>
      <c r="P137" s="6">
        <f>VLOOKUP(B137, 'All Menu'!B:L, 9, 0)</f>
        <v>10.726016466666668</v>
      </c>
      <c r="Q137" s="14">
        <f>VLOOKUP(B137, 'All Menu'!B:M, 12, 0)</f>
        <v>0.50231283594666665</v>
      </c>
      <c r="R137" s="173">
        <f t="shared" si="6"/>
        <v>0</v>
      </c>
    </row>
    <row r="138" spans="1:18" ht="14" hidden="1">
      <c r="A138" s="78" t="s">
        <v>2494</v>
      </c>
      <c r="B138" s="220" t="s">
        <v>1173</v>
      </c>
      <c r="C138" s="185"/>
      <c r="D138" s="103" t="str">
        <f>VLOOKUP(B138, 'All Menu'!B:M, 4, 0)</f>
        <v>مقلوبة دجاجتين</v>
      </c>
      <c r="E138" s="30" t="str">
        <f>VLOOKUP(B138, 'All Menu'!B:M, 2, 0)</f>
        <v>قسم التواصي</v>
      </c>
      <c r="F138" s="103" t="str">
        <f>VLOOKUP(B138, 'All Menu'!B:M, 3, 0)</f>
        <v>التواصي سفري2</v>
      </c>
      <c r="G138" s="90" t="s">
        <v>2222</v>
      </c>
      <c r="H138" s="188">
        <v>4240</v>
      </c>
      <c r="I138" s="110" t="str">
        <f>VLOOKUP(H138, 'RM &amp; SF'!B:H, 2, 0)</f>
        <v>كركم ناعم*****</v>
      </c>
      <c r="J138" s="184" t="str">
        <f>VLOOKUP(H138, 'RM &amp; SF'!B:E, 4, 0)</f>
        <v>غم</v>
      </c>
      <c r="K138" s="12">
        <v>5</v>
      </c>
      <c r="L138" s="13">
        <f>VLOOKUP(H138, 'RM &amp; SF'!B:H, 7, 0)</f>
        <v>1.9399999999999999E-3</v>
      </c>
      <c r="M138" s="7">
        <f t="shared" si="5"/>
        <v>9.7000000000000003E-3</v>
      </c>
      <c r="N138" s="4" t="s">
        <v>825</v>
      </c>
      <c r="O138" s="4">
        <f>VLOOKUP(B138, 'All Menu'!B:L, 6, 0)</f>
        <v>21.551724137931036</v>
      </c>
      <c r="P138" s="6">
        <f>VLOOKUP(B138, 'All Menu'!B:L, 9, 0)</f>
        <v>10.726016466666668</v>
      </c>
      <c r="Q138" s="14">
        <f>VLOOKUP(B138, 'All Menu'!B:M, 12, 0)</f>
        <v>0.50231283594666665</v>
      </c>
      <c r="R138" s="173">
        <f t="shared" si="6"/>
        <v>0</v>
      </c>
    </row>
    <row r="139" spans="1:18" ht="14" hidden="1">
      <c r="A139" s="78" t="s">
        <v>2494</v>
      </c>
      <c r="B139" s="220" t="s">
        <v>1173</v>
      </c>
      <c r="C139" s="185"/>
      <c r="D139" s="103" t="str">
        <f>VLOOKUP(B139, 'All Menu'!B:M, 4, 0)</f>
        <v>مقلوبة دجاجتين</v>
      </c>
      <c r="E139" s="30" t="str">
        <f>VLOOKUP(B139, 'All Menu'!B:M, 2, 0)</f>
        <v>قسم التواصي</v>
      </c>
      <c r="F139" s="103" t="str">
        <f>VLOOKUP(B139, 'All Menu'!B:M, 3, 0)</f>
        <v>التواصي سفري2</v>
      </c>
      <c r="G139" s="90" t="s">
        <v>2211</v>
      </c>
      <c r="H139" s="188">
        <v>4214</v>
      </c>
      <c r="I139" s="110" t="str">
        <f>VLOOKUP(H139, 'RM &amp; SF'!B:H, 2, 0)</f>
        <v>قرفة ناعمة*****</v>
      </c>
      <c r="J139" s="184" t="str">
        <f>VLOOKUP(H139, 'RM &amp; SF'!B:E, 4, 0)</f>
        <v>غم</v>
      </c>
      <c r="K139" s="12">
        <v>5</v>
      </c>
      <c r="L139" s="13">
        <f>VLOOKUP(H139, 'RM &amp; SF'!B:H, 7, 0)</f>
        <v>2.8020000000000002E-3</v>
      </c>
      <c r="M139" s="7">
        <f t="shared" si="5"/>
        <v>1.4010000000000002E-2</v>
      </c>
      <c r="N139" s="4" t="s">
        <v>825</v>
      </c>
      <c r="O139" s="4">
        <f>VLOOKUP(B139, 'All Menu'!B:L, 6, 0)</f>
        <v>21.551724137931036</v>
      </c>
      <c r="P139" s="6">
        <f>VLOOKUP(B139, 'All Menu'!B:L, 9, 0)</f>
        <v>10.726016466666668</v>
      </c>
      <c r="Q139" s="14">
        <f>VLOOKUP(B139, 'All Menu'!B:M, 12, 0)</f>
        <v>0.50231283594666665</v>
      </c>
      <c r="R139" s="173">
        <f t="shared" si="6"/>
        <v>0</v>
      </c>
    </row>
    <row r="140" spans="1:18" ht="14" hidden="1">
      <c r="A140" s="78" t="s">
        <v>2494</v>
      </c>
      <c r="B140" s="220" t="s">
        <v>1173</v>
      </c>
      <c r="C140" s="185"/>
      <c r="D140" s="103" t="str">
        <f>VLOOKUP(B140, 'All Menu'!B:M, 4, 0)</f>
        <v>مقلوبة دجاجتين</v>
      </c>
      <c r="E140" s="30" t="str">
        <f>VLOOKUP(B140, 'All Menu'!B:M, 2, 0)</f>
        <v>قسم التواصي</v>
      </c>
      <c r="F140" s="103" t="str">
        <f>VLOOKUP(B140, 'All Menu'!B:M, 3, 0)</f>
        <v>التواصي سفري2</v>
      </c>
      <c r="G140" s="90" t="s">
        <v>2208</v>
      </c>
      <c r="H140" s="188">
        <v>4211</v>
      </c>
      <c r="I140" s="110" t="str">
        <f>VLOOKUP(H140, 'RM &amp; SF'!B:H, 2, 0)</f>
        <v>كزبرة ناعمة*****</v>
      </c>
      <c r="J140" s="184" t="str">
        <f>VLOOKUP(H140, 'RM &amp; SF'!B:E, 4, 0)</f>
        <v>غم</v>
      </c>
      <c r="K140" s="12">
        <v>15</v>
      </c>
      <c r="L140" s="13">
        <f>VLOOKUP(H140, 'RM &amp; SF'!B:H, 7, 0)</f>
        <v>1.5089999999999999E-3</v>
      </c>
      <c r="M140" s="7">
        <f t="shared" si="5"/>
        <v>2.2634999999999999E-2</v>
      </c>
      <c r="N140" s="4" t="s">
        <v>825</v>
      </c>
      <c r="O140" s="4">
        <f>VLOOKUP(B140, 'All Menu'!B:L, 6, 0)</f>
        <v>21.551724137931036</v>
      </c>
      <c r="P140" s="6">
        <f>VLOOKUP(B140, 'All Menu'!B:L, 9, 0)</f>
        <v>10.726016466666668</v>
      </c>
      <c r="Q140" s="14">
        <f>VLOOKUP(B140, 'All Menu'!B:M, 12, 0)</f>
        <v>0.50231283594666665</v>
      </c>
      <c r="R140" s="173">
        <f t="shared" si="6"/>
        <v>0</v>
      </c>
    </row>
    <row r="141" spans="1:18" ht="14" hidden="1">
      <c r="A141" s="78" t="s">
        <v>2494</v>
      </c>
      <c r="B141" s="220" t="s">
        <v>1173</v>
      </c>
      <c r="C141" s="185"/>
      <c r="D141" s="103" t="str">
        <f>VLOOKUP(B141, 'All Menu'!B:M, 4, 0)</f>
        <v>مقلوبة دجاجتين</v>
      </c>
      <c r="E141" s="30" t="str">
        <f>VLOOKUP(B141, 'All Menu'!B:M, 2, 0)</f>
        <v>قسم التواصي</v>
      </c>
      <c r="F141" s="103" t="str">
        <f>VLOOKUP(B141, 'All Menu'!B:M, 3, 0)</f>
        <v>التواصي سفري2</v>
      </c>
      <c r="G141" s="90" t="s">
        <v>2203</v>
      </c>
      <c r="H141" s="188">
        <v>4152</v>
      </c>
      <c r="I141" s="110" t="str">
        <f>VLOOKUP(H141, 'RM &amp; SF'!B:H, 2, 0)</f>
        <v>ملح طعام 750غم*****</v>
      </c>
      <c r="J141" s="184" t="str">
        <f>VLOOKUP(H141, 'RM &amp; SF'!B:E, 4, 0)</f>
        <v>غم</v>
      </c>
      <c r="K141" s="12">
        <v>100</v>
      </c>
      <c r="L141" s="13">
        <f>VLOOKUP(H141, 'RM &amp; SF'!B:H, 7, 0)</f>
        <v>1.7066666666666665E-4</v>
      </c>
      <c r="M141" s="7">
        <f t="shared" si="5"/>
        <v>1.7066666666666664E-2</v>
      </c>
      <c r="N141" s="4" t="s">
        <v>825</v>
      </c>
      <c r="O141" s="4">
        <f>VLOOKUP(B141, 'All Menu'!B:L, 6, 0)</f>
        <v>21.551724137931036</v>
      </c>
      <c r="P141" s="6">
        <f>VLOOKUP(B141, 'All Menu'!B:L, 9, 0)</f>
        <v>10.726016466666668</v>
      </c>
      <c r="Q141" s="14">
        <f>VLOOKUP(B141, 'All Menu'!B:M, 12, 0)</f>
        <v>0.50231283594666665</v>
      </c>
      <c r="R141" s="173">
        <f t="shared" si="6"/>
        <v>0</v>
      </c>
    </row>
    <row r="142" spans="1:18" ht="14" hidden="1">
      <c r="A142" s="78" t="s">
        <v>2494</v>
      </c>
      <c r="B142" s="220" t="s">
        <v>1173</v>
      </c>
      <c r="C142" s="185"/>
      <c r="D142" s="103" t="str">
        <f>VLOOKUP(B142, 'All Menu'!B:M, 4, 0)</f>
        <v>مقلوبة دجاجتين</v>
      </c>
      <c r="E142" s="30" t="str">
        <f>VLOOKUP(B142, 'All Menu'!B:M, 2, 0)</f>
        <v>قسم التواصي</v>
      </c>
      <c r="F142" s="103" t="str">
        <f>VLOOKUP(B142, 'All Menu'!B:M, 3, 0)</f>
        <v>التواصي سفري2</v>
      </c>
      <c r="G142" s="90" t="s">
        <v>3058</v>
      </c>
      <c r="H142" s="188">
        <v>4232</v>
      </c>
      <c r="I142" s="110" t="str">
        <f>VLOOKUP(H142, 'RM &amp; SF'!B:H, 2, 0)</f>
        <v>بهار سادة ناعم*****</v>
      </c>
      <c r="J142" s="184" t="str">
        <f>VLOOKUP(H142, 'RM &amp; SF'!B:E, 4, 0)</f>
        <v>غم</v>
      </c>
      <c r="K142" s="12">
        <v>5</v>
      </c>
      <c r="L142" s="13">
        <f>VLOOKUP(H142, 'RM &amp; SF'!B:H, 7, 0)</f>
        <v>1.0345E-2</v>
      </c>
      <c r="M142" s="7">
        <f t="shared" si="5"/>
        <v>5.1725E-2</v>
      </c>
      <c r="N142" s="4" t="s">
        <v>825</v>
      </c>
      <c r="O142" s="4">
        <f>VLOOKUP(B142, 'All Menu'!B:L, 6, 0)</f>
        <v>21.551724137931036</v>
      </c>
      <c r="P142" s="6">
        <f>VLOOKUP(B142, 'All Menu'!B:L, 9, 0)</f>
        <v>10.726016466666668</v>
      </c>
      <c r="Q142" s="14">
        <f>VLOOKUP(B142, 'All Menu'!B:M, 12, 0)</f>
        <v>0.50231283594666665</v>
      </c>
      <c r="R142" s="173">
        <f t="shared" si="6"/>
        <v>0</v>
      </c>
    </row>
    <row r="143" spans="1:18" ht="14" hidden="1">
      <c r="A143" s="78" t="s">
        <v>2494</v>
      </c>
      <c r="B143" s="220" t="s">
        <v>1173</v>
      </c>
      <c r="C143" s="185"/>
      <c r="D143" s="103" t="str">
        <f>VLOOKUP(B143, 'All Menu'!B:M, 4, 0)</f>
        <v>مقلوبة دجاجتين</v>
      </c>
      <c r="E143" s="30" t="str">
        <f>VLOOKUP(B143, 'All Menu'!B:M, 2, 0)</f>
        <v>قسم التواصي</v>
      </c>
      <c r="F143" s="103" t="str">
        <f>VLOOKUP(B143, 'All Menu'!B:M, 3, 0)</f>
        <v>التواصي سفري2</v>
      </c>
      <c r="G143" s="90" t="s">
        <v>3058</v>
      </c>
      <c r="H143" s="188">
        <v>4021</v>
      </c>
      <c r="I143" s="110" t="str">
        <f>VLOOKUP(H143, 'RM &amp; SF'!B:H, 2, 0)</f>
        <v>مكعبات مرق الدجاج 24 عبوة*2 مكعب*****</v>
      </c>
      <c r="J143" s="184" t="str">
        <f>VLOOKUP(H143, 'RM &amp; SF'!B:E, 4, 0)</f>
        <v>غم</v>
      </c>
      <c r="K143" s="12">
        <f>3*10</f>
        <v>30</v>
      </c>
      <c r="L143" s="13">
        <f>VLOOKUP(H143, 'RM &amp; SF'!B:H, 7, 0)</f>
        <v>3.8541666666666668E-3</v>
      </c>
      <c r="M143" s="7">
        <f t="shared" si="5"/>
        <v>0.11562500000000001</v>
      </c>
      <c r="N143" s="4" t="s">
        <v>825</v>
      </c>
      <c r="O143" s="4">
        <f>VLOOKUP(B143, 'All Menu'!B:L, 6, 0)</f>
        <v>21.551724137931036</v>
      </c>
      <c r="P143" s="6">
        <f>VLOOKUP(B143, 'All Menu'!B:L, 9, 0)</f>
        <v>10.726016466666668</v>
      </c>
      <c r="Q143" s="14">
        <f>VLOOKUP(B143, 'All Menu'!B:M, 12, 0)</f>
        <v>0.50231283594666665</v>
      </c>
      <c r="R143" s="173">
        <f t="shared" si="6"/>
        <v>0</v>
      </c>
    </row>
    <row r="144" spans="1:18" ht="14" hidden="1">
      <c r="A144" s="78" t="s">
        <v>2494</v>
      </c>
      <c r="B144" s="220" t="s">
        <v>1173</v>
      </c>
      <c r="C144" s="185"/>
      <c r="D144" s="103" t="str">
        <f>VLOOKUP(B144, 'All Menu'!B:M, 4, 0)</f>
        <v>مقلوبة دجاجتين</v>
      </c>
      <c r="E144" s="30" t="str">
        <f>VLOOKUP(B144, 'All Menu'!B:M, 2, 0)</f>
        <v>قسم التواصي</v>
      </c>
      <c r="F144" s="103" t="str">
        <f>VLOOKUP(B144, 'All Menu'!B:M, 3, 0)</f>
        <v>التواصي سفري2</v>
      </c>
      <c r="G144" s="90" t="s">
        <v>2260</v>
      </c>
      <c r="H144" s="188">
        <v>4160</v>
      </c>
      <c r="I144" s="110" t="str">
        <f>VLOOKUP(H144, 'RM &amp; SF'!B:H, 2, 0)</f>
        <v>زيت صويا 18 لتر*****</v>
      </c>
      <c r="J144" s="184" t="str">
        <f>VLOOKUP(H144, 'RM &amp; SF'!B:E, 4, 0)</f>
        <v>مل</v>
      </c>
      <c r="K144" s="12">
        <v>100</v>
      </c>
      <c r="L144" s="13">
        <f>VLOOKUP(H144, 'RM &amp; SF'!B:H, 7, 0)</f>
        <v>1.335E-3</v>
      </c>
      <c r="M144" s="7">
        <f t="shared" si="5"/>
        <v>0.13350000000000001</v>
      </c>
      <c r="N144" s="4" t="s">
        <v>825</v>
      </c>
      <c r="O144" s="4">
        <f>VLOOKUP(B144, 'All Menu'!B:L, 6, 0)</f>
        <v>21.551724137931036</v>
      </c>
      <c r="P144" s="6">
        <f>VLOOKUP(B144, 'All Menu'!B:L, 9, 0)</f>
        <v>10.726016466666668</v>
      </c>
      <c r="Q144" s="14">
        <f>VLOOKUP(B144, 'All Menu'!B:M, 12, 0)</f>
        <v>0.50231283594666665</v>
      </c>
      <c r="R144" s="173">
        <f t="shared" si="6"/>
        <v>0</v>
      </c>
    </row>
    <row r="145" spans="1:18" ht="14" hidden="1">
      <c r="A145" s="78" t="s">
        <v>2494</v>
      </c>
      <c r="B145" s="220" t="s">
        <v>1173</v>
      </c>
      <c r="C145" s="185"/>
      <c r="D145" s="103" t="str">
        <f>VLOOKUP(B145, 'All Menu'!B:M, 4, 0)</f>
        <v>مقلوبة دجاجتين</v>
      </c>
      <c r="E145" s="30" t="str">
        <f>VLOOKUP(B145, 'All Menu'!B:M, 2, 0)</f>
        <v>قسم التواصي</v>
      </c>
      <c r="F145" s="103" t="str">
        <f>VLOOKUP(B145, 'All Menu'!B:M, 3, 0)</f>
        <v>التواصي سفري2</v>
      </c>
      <c r="G145" s="90" t="s">
        <v>2202</v>
      </c>
      <c r="H145" s="188">
        <v>4930</v>
      </c>
      <c r="I145" s="110" t="str">
        <f>VLOOKUP(H145, 'RM &amp; SF'!B:H, 2, 0)</f>
        <v>طنجرة المنيوم مع غطاء 25 سم*10 سم (رقم 2)*****</v>
      </c>
      <c r="J145" s="184" t="str">
        <f>VLOOKUP(H145, 'RM &amp; SF'!B:E, 4, 0)</f>
        <v>قطعة</v>
      </c>
      <c r="K145" s="12">
        <v>1</v>
      </c>
      <c r="L145" s="13">
        <f>VLOOKUP(H145, 'RM &amp; SF'!B:H, 7, 0)</f>
        <v>0.60299999999999998</v>
      </c>
      <c r="M145" s="7">
        <f t="shared" si="5"/>
        <v>0.60299999999999998</v>
      </c>
      <c r="N145" s="4" t="s">
        <v>825</v>
      </c>
      <c r="O145" s="4">
        <f>VLOOKUP(B145, 'All Menu'!B:L, 6, 0)</f>
        <v>21.551724137931036</v>
      </c>
      <c r="P145" s="6">
        <f>VLOOKUP(B145, 'All Menu'!B:L, 9, 0)</f>
        <v>10.726016466666668</v>
      </c>
      <c r="Q145" s="14">
        <f>VLOOKUP(B145, 'All Menu'!B:M, 12, 0)</f>
        <v>0.50231283594666665</v>
      </c>
      <c r="R145" s="173">
        <f t="shared" si="6"/>
        <v>0</v>
      </c>
    </row>
    <row r="146" spans="1:18" ht="14" hidden="1">
      <c r="A146" s="78" t="s">
        <v>2495</v>
      </c>
      <c r="B146" s="220" t="s">
        <v>1184</v>
      </c>
      <c r="C146" s="185"/>
      <c r="D146" s="103" t="str">
        <f>VLOOKUP(B146, 'All Menu'!B:M, 4, 0)</f>
        <v>اضافة نصف دجاجة</v>
      </c>
      <c r="E146" s="30" t="str">
        <f>VLOOKUP(B146, 'All Menu'!B:M, 2, 0)</f>
        <v>قسم التواصي</v>
      </c>
      <c r="F146" s="103" t="str">
        <f>VLOOKUP(B146, 'All Menu'!B:M, 3, 0)</f>
        <v>التواصي سفري2</v>
      </c>
      <c r="G146" s="90" t="s">
        <v>2384</v>
      </c>
      <c r="H146" s="219" t="s">
        <v>538</v>
      </c>
      <c r="I146" s="110" t="str">
        <f>VLOOKUP(H146, 'RM &amp; SF'!B:H, 2, 0)</f>
        <v>دجاج تركي</v>
      </c>
      <c r="J146" s="184" t="str">
        <f>VLOOKUP(H146, 'RM &amp; SF'!B:E, 4, 0)</f>
        <v>قطعة</v>
      </c>
      <c r="K146" s="12">
        <v>0.5</v>
      </c>
      <c r="L146" s="13">
        <f>VLOOKUP(H146, 'RM &amp; SF'!B:H, 7, 0)</f>
        <v>3.5399982955314506</v>
      </c>
      <c r="M146" s="7">
        <f t="shared" si="5"/>
        <v>1.7699991477657253</v>
      </c>
      <c r="N146" s="4" t="s">
        <v>825</v>
      </c>
      <c r="O146" s="4">
        <f>VLOOKUP(B146, 'All Menu'!B:L, 6, 0)</f>
        <v>6.0344827586206904</v>
      </c>
      <c r="P146" s="6">
        <f>VLOOKUP(B146, 'All Menu'!B:L, 9, 0)</f>
        <v>1.7699991477657253</v>
      </c>
      <c r="Q146" s="14">
        <f>VLOOKUP(B146, 'All Menu'!B:M, 12, 0)</f>
        <v>0.70668585551310836</v>
      </c>
      <c r="R146" s="173">
        <f t="shared" si="6"/>
        <v>0</v>
      </c>
    </row>
    <row r="147" spans="1:18" ht="14" hidden="1">
      <c r="A147" s="78" t="s">
        <v>2489</v>
      </c>
      <c r="B147" s="220" t="s">
        <v>1212</v>
      </c>
      <c r="C147" s="185"/>
      <c r="D147" s="103" t="str">
        <f>VLOOKUP(B147, 'All Menu'!B:M, 4, 0)</f>
        <v>سدر رز + نص دجاجة عالفحم</v>
      </c>
      <c r="E147" s="30" t="str">
        <f>VLOOKUP(B147, 'All Menu'!B:M, 2, 0)</f>
        <v>قسم التواصي</v>
      </c>
      <c r="F147" s="103" t="str">
        <f>VLOOKUP(B147, 'All Menu'!B:M, 3, 0)</f>
        <v>التواصي سفري</v>
      </c>
      <c r="G147" s="90" t="s">
        <v>2387</v>
      </c>
      <c r="H147" s="219" t="s">
        <v>554</v>
      </c>
      <c r="I147" s="110" t="str">
        <f>VLOOKUP(H147, 'RM &amp; SF'!B:H, 2, 0)</f>
        <v>مندي</v>
      </c>
      <c r="J147" s="184" t="str">
        <f>VLOOKUP(H147, 'RM &amp; SF'!B:E, 4, 0)</f>
        <v>غم</v>
      </c>
      <c r="K147" s="12">
        <v>1100</v>
      </c>
      <c r="L147" s="13">
        <f>VLOOKUP(H147, 'RM &amp; SF'!B:H, 7, 0)</f>
        <v>4.9271573151695748E-4</v>
      </c>
      <c r="M147" s="7">
        <f t="shared" si="5"/>
        <v>0.54198730466865319</v>
      </c>
      <c r="N147" s="4" t="s">
        <v>825</v>
      </c>
      <c r="O147" s="4">
        <f>VLOOKUP(B147, 'All Menu'!B:L, 6, 0)</f>
        <v>5.1724137931034484</v>
      </c>
      <c r="P147" s="6">
        <f>VLOOKUP(B147, 'All Menu'!B:L, 9, 0)</f>
        <v>3.1807436133539184</v>
      </c>
      <c r="Q147" s="14">
        <f>VLOOKUP(B147, 'All Menu'!B:M, 12, 0)</f>
        <v>0.3850562347515758</v>
      </c>
      <c r="R147" s="173">
        <f t="shared" si="6"/>
        <v>0</v>
      </c>
    </row>
    <row r="148" spans="1:18" ht="14" hidden="1">
      <c r="A148" s="78" t="s">
        <v>2489</v>
      </c>
      <c r="B148" s="220" t="s">
        <v>1212</v>
      </c>
      <c r="C148" s="185"/>
      <c r="D148" s="103" t="str">
        <f>VLOOKUP(B148, 'All Menu'!B:M, 4, 0)</f>
        <v>سدر رز + نص دجاجة عالفحم</v>
      </c>
      <c r="E148" s="30" t="str">
        <f>VLOOKUP(B148, 'All Menu'!B:M, 2, 0)</f>
        <v>قسم التواصي</v>
      </c>
      <c r="F148" s="103" t="str">
        <f>VLOOKUP(B148, 'All Menu'!B:M, 3, 0)</f>
        <v>التواصي سفري</v>
      </c>
      <c r="G148" s="90" t="s">
        <v>2384</v>
      </c>
      <c r="H148" s="219" t="s">
        <v>538</v>
      </c>
      <c r="I148" s="110" t="str">
        <f>VLOOKUP(H148, 'RM &amp; SF'!B:H, 2, 0)</f>
        <v>دجاج تركي</v>
      </c>
      <c r="J148" s="184" t="str">
        <f>VLOOKUP(H148, 'RM &amp; SF'!B:E, 4, 0)</f>
        <v>قطعة</v>
      </c>
      <c r="K148" s="12">
        <v>0.5</v>
      </c>
      <c r="L148" s="13">
        <f>VLOOKUP(H148, 'RM &amp; SF'!B:H, 7, 0)</f>
        <v>3.5399982955314506</v>
      </c>
      <c r="M148" s="7">
        <f t="shared" si="5"/>
        <v>1.7699991477657253</v>
      </c>
      <c r="N148" s="4" t="s">
        <v>825</v>
      </c>
      <c r="O148" s="4">
        <f>VLOOKUP(B148, 'All Menu'!B:L, 6, 0)</f>
        <v>5.1724137931034484</v>
      </c>
      <c r="P148" s="6">
        <f>VLOOKUP(B148, 'All Menu'!B:L, 9, 0)</f>
        <v>3.1807436133539184</v>
      </c>
      <c r="Q148" s="14">
        <f>VLOOKUP(B148, 'All Menu'!B:M, 12, 0)</f>
        <v>0.3850562347515758</v>
      </c>
      <c r="R148" s="173">
        <f t="shared" si="6"/>
        <v>0</v>
      </c>
    </row>
    <row r="149" spans="1:18" ht="14" hidden="1">
      <c r="A149" s="78" t="s">
        <v>2489</v>
      </c>
      <c r="B149" s="220" t="s">
        <v>1212</v>
      </c>
      <c r="C149" s="185"/>
      <c r="D149" s="103" t="str">
        <f>VLOOKUP(B149, 'All Menu'!B:M, 4, 0)</f>
        <v>سدر رز + نص دجاجة عالفحم</v>
      </c>
      <c r="E149" s="30" t="str">
        <f>VLOOKUP(B149, 'All Menu'!B:M, 2, 0)</f>
        <v>قسم التواصي</v>
      </c>
      <c r="F149" s="103" t="str">
        <f>VLOOKUP(B149, 'All Menu'!B:M, 3, 0)</f>
        <v>التواصي سفري</v>
      </c>
      <c r="G149" s="90" t="s">
        <v>2341</v>
      </c>
      <c r="H149" s="219" t="s">
        <v>706</v>
      </c>
      <c r="I149" s="110" t="str">
        <f>VLOOKUP(H149, 'RM &amp; SF'!B:H, 2, 0)</f>
        <v>لوز مقلي</v>
      </c>
      <c r="J149" s="184" t="str">
        <f>VLOOKUP(H149, 'RM &amp; SF'!B:E, 4, 0)</f>
        <v>غم</v>
      </c>
      <c r="K149" s="12">
        <v>40</v>
      </c>
      <c r="L149" s="13">
        <f>VLOOKUP(H149, 'RM &amp; SF'!B:H, 7, 0)</f>
        <v>4.1352327586206888E-3</v>
      </c>
      <c r="M149" s="7">
        <f t="shared" si="5"/>
        <v>0.16540931034482756</v>
      </c>
      <c r="N149" s="4" t="s">
        <v>825</v>
      </c>
      <c r="O149" s="4">
        <f>VLOOKUP(B149, 'All Menu'!B:L, 6, 0)</f>
        <v>5.1724137931034484</v>
      </c>
      <c r="P149" s="6">
        <f>VLOOKUP(B149, 'All Menu'!B:L, 9, 0)</f>
        <v>3.1807436133539184</v>
      </c>
      <c r="Q149" s="14">
        <f>VLOOKUP(B149, 'All Menu'!B:M, 12, 0)</f>
        <v>0.3850562347515758</v>
      </c>
      <c r="R149" s="173">
        <f t="shared" si="6"/>
        <v>0</v>
      </c>
    </row>
    <row r="150" spans="1:18" ht="14" hidden="1">
      <c r="A150" s="78" t="s">
        <v>2489</v>
      </c>
      <c r="B150" s="220" t="s">
        <v>1212</v>
      </c>
      <c r="C150" s="185"/>
      <c r="D150" s="103" t="str">
        <f>VLOOKUP(B150, 'All Menu'!B:M, 4, 0)</f>
        <v>سدر رز + نص دجاجة عالفحم</v>
      </c>
      <c r="E150" s="30" t="str">
        <f>VLOOKUP(B150, 'All Menu'!B:M, 2, 0)</f>
        <v>قسم التواصي</v>
      </c>
      <c r="F150" s="103" t="str">
        <f>VLOOKUP(B150, 'All Menu'!B:M, 3, 0)</f>
        <v>التواصي سفري</v>
      </c>
      <c r="G150" s="90" t="s">
        <v>2185</v>
      </c>
      <c r="H150" s="188">
        <v>4550</v>
      </c>
      <c r="I150" s="110" t="str">
        <f>VLOOKUP(H150, 'RM &amp; SF'!B:H, 2, 0)</f>
        <v>*****لبن زبادي 150 غم</v>
      </c>
      <c r="J150" s="184" t="str">
        <f>VLOOKUP(H150, 'RM &amp; SF'!B:E, 4, 0)</f>
        <v>قطعة</v>
      </c>
      <c r="K150" s="12">
        <v>2</v>
      </c>
      <c r="L150" s="13">
        <f>VLOOKUP(H150, 'RM &amp; SF'!B:H, 7, 0)</f>
        <v>0.16</v>
      </c>
      <c r="M150" s="7">
        <f t="shared" ref="M150:M153" si="7">L150*K150</f>
        <v>0.32</v>
      </c>
      <c r="N150" s="4" t="s">
        <v>825</v>
      </c>
      <c r="O150" s="4">
        <f>VLOOKUP(B150, 'All Menu'!B:L, 6, 0)</f>
        <v>5.1724137931034484</v>
      </c>
      <c r="P150" s="6">
        <f>VLOOKUP(B150, 'All Menu'!B:L, 9, 0)</f>
        <v>3.1807436133539184</v>
      </c>
      <c r="Q150" s="14">
        <f>VLOOKUP(B150, 'All Menu'!B:M, 12, 0)</f>
        <v>0.3850562347515758</v>
      </c>
      <c r="R150" s="173"/>
    </row>
    <row r="151" spans="1:18" ht="14" hidden="1">
      <c r="A151" s="78" t="s">
        <v>2489</v>
      </c>
      <c r="B151" s="220" t="s">
        <v>1212</v>
      </c>
      <c r="C151" s="185"/>
      <c r="D151" s="103" t="str">
        <f>VLOOKUP(B151, 'All Menu'!B:M, 4, 0)</f>
        <v>سدر رز + نص دجاجة عالفحم</v>
      </c>
      <c r="E151" s="30" t="str">
        <f>VLOOKUP(B151, 'All Menu'!B:M, 2, 0)</f>
        <v>قسم التواصي</v>
      </c>
      <c r="F151" s="103" t="str">
        <f>VLOOKUP(B151, 'All Menu'!B:M, 3, 0)</f>
        <v>التواصي سفري</v>
      </c>
      <c r="G151" s="90" t="s">
        <v>2235</v>
      </c>
      <c r="H151" s="188">
        <v>4504</v>
      </c>
      <c r="I151" s="110" t="str">
        <f>VLOOKUP(H151, 'RM &amp; SF'!B:H, 2, 0)</f>
        <v>بصل مشاوي (بصل بيبي)***</v>
      </c>
      <c r="J151" s="184" t="str">
        <f>VLOOKUP(H151, 'RM &amp; SF'!B:E, 4, 0)</f>
        <v>غم</v>
      </c>
      <c r="K151" s="12">
        <v>70</v>
      </c>
      <c r="L151" s="13">
        <f>VLOOKUP(H151, 'RM &amp; SF'!B:H, 7, 0)</f>
        <v>3.5E-4</v>
      </c>
      <c r="M151" s="7">
        <f t="shared" si="7"/>
        <v>2.4500000000000001E-2</v>
      </c>
      <c r="N151" s="4" t="s">
        <v>825</v>
      </c>
      <c r="O151" s="4">
        <f>VLOOKUP(B151, 'All Menu'!B:L, 6, 0)</f>
        <v>5.1724137931034484</v>
      </c>
      <c r="P151" s="6">
        <f>VLOOKUP(B151, 'All Menu'!B:L, 9, 0)</f>
        <v>3.1807436133539184</v>
      </c>
      <c r="Q151" s="14">
        <f>VLOOKUP(B151, 'All Menu'!B:M, 12, 0)</f>
        <v>0.3850562347515758</v>
      </c>
      <c r="R151" s="173"/>
    </row>
    <row r="152" spans="1:18" ht="14" hidden="1">
      <c r="A152" s="78" t="s">
        <v>2489</v>
      </c>
      <c r="B152" s="220" t="s">
        <v>1212</v>
      </c>
      <c r="C152" s="185"/>
      <c r="D152" s="103" t="str">
        <f>VLOOKUP(B152, 'All Menu'!B:M, 4, 0)</f>
        <v>سدر رز + نص دجاجة عالفحم</v>
      </c>
      <c r="E152" s="30" t="str">
        <f>VLOOKUP(B152, 'All Menu'!B:M, 2, 0)</f>
        <v>قسم التواصي</v>
      </c>
      <c r="F152" s="103" t="str">
        <f>VLOOKUP(B152, 'All Menu'!B:M, 3, 0)</f>
        <v>التواصي سفري</v>
      </c>
      <c r="G152" s="90" t="s">
        <v>2309</v>
      </c>
      <c r="H152" s="188">
        <v>4491</v>
      </c>
      <c r="I152" s="110" t="str">
        <f>VLOOKUP(H152, 'RM &amp; SF'!B:H, 2, 0)</f>
        <v>بندورة جامدة*****</v>
      </c>
      <c r="J152" s="184" t="str">
        <f>VLOOKUP(H152, 'RM &amp; SF'!B:E, 4, 0)</f>
        <v>غم</v>
      </c>
      <c r="K152" s="12">
        <v>100</v>
      </c>
      <c r="L152" s="13">
        <f>VLOOKUP(H152, 'RM &amp; SF'!B:H, 7, 0)</f>
        <v>5.0000000000000001E-4</v>
      </c>
      <c r="M152" s="7">
        <f t="shared" si="7"/>
        <v>0.05</v>
      </c>
      <c r="N152" s="4" t="s">
        <v>825</v>
      </c>
      <c r="O152" s="4">
        <f>VLOOKUP(B152, 'All Menu'!B:L, 6, 0)</f>
        <v>5.1724137931034484</v>
      </c>
      <c r="P152" s="6">
        <f>VLOOKUP(B152, 'All Menu'!B:L, 9, 0)</f>
        <v>3.1807436133539184</v>
      </c>
      <c r="Q152" s="14">
        <f>VLOOKUP(B152, 'All Menu'!B:M, 12, 0)</f>
        <v>0.3850562347515758</v>
      </c>
      <c r="R152" s="173"/>
    </row>
    <row r="153" spans="1:18" ht="14" hidden="1">
      <c r="A153" s="78" t="s">
        <v>2489</v>
      </c>
      <c r="B153" s="220" t="s">
        <v>1212</v>
      </c>
      <c r="C153" s="185"/>
      <c r="D153" s="103" t="str">
        <f>VLOOKUP(B153, 'All Menu'!B:M, 4, 0)</f>
        <v>سدر رز + نص دجاجة عالفحم</v>
      </c>
      <c r="E153" s="30" t="str">
        <f>VLOOKUP(B153, 'All Menu'!B:M, 2, 0)</f>
        <v>قسم التواصي</v>
      </c>
      <c r="F153" s="103" t="str">
        <f>VLOOKUP(B153, 'All Menu'!B:M, 3, 0)</f>
        <v>التواصي سفري</v>
      </c>
      <c r="G153" s="90" t="s">
        <v>2195</v>
      </c>
      <c r="H153" s="188">
        <v>4329</v>
      </c>
      <c r="I153" s="110" t="str">
        <f>VLOOKUP(H153, 'RM &amp; SF'!B:H, 2, 0)</f>
        <v>ملاعق بلاستيك مع معقم مطبوع 1*500 حبة*****</v>
      </c>
      <c r="J153" s="184" t="str">
        <f>VLOOKUP(H153, 'RM &amp; SF'!B:E, 4, 0)</f>
        <v>قطعة</v>
      </c>
      <c r="K153" s="12">
        <v>2</v>
      </c>
      <c r="L153" s="13">
        <f>VLOOKUP(H153, 'RM &amp; SF'!B:H, 7, 0)</f>
        <v>4.7399999999999997E-4</v>
      </c>
      <c r="M153" s="7">
        <f t="shared" si="7"/>
        <v>9.4799999999999995E-4</v>
      </c>
      <c r="N153" s="4" t="s">
        <v>825</v>
      </c>
      <c r="O153" s="4">
        <f>VLOOKUP(B153, 'All Menu'!B:L, 6, 0)</f>
        <v>5.1724137931034484</v>
      </c>
      <c r="P153" s="6">
        <f>VLOOKUP(B153, 'All Menu'!B:L, 9, 0)</f>
        <v>3.1807436133539184</v>
      </c>
      <c r="Q153" s="14">
        <f>VLOOKUP(B153, 'All Menu'!B:M, 12, 0)</f>
        <v>0.3850562347515758</v>
      </c>
      <c r="R153" s="173"/>
    </row>
    <row r="154" spans="1:18" ht="14" hidden="1">
      <c r="A154" s="78" t="s">
        <v>2489</v>
      </c>
      <c r="B154" s="220" t="s">
        <v>1212</v>
      </c>
      <c r="C154" s="185"/>
      <c r="D154" s="103" t="str">
        <f>VLOOKUP(B154, 'All Menu'!B:M, 4, 0)</f>
        <v>سدر رز + نص دجاجة عالفحم</v>
      </c>
      <c r="E154" s="30" t="str">
        <f>VLOOKUP(B154, 'All Menu'!B:M, 2, 0)</f>
        <v>قسم التواصي</v>
      </c>
      <c r="F154" s="103" t="str">
        <f>VLOOKUP(B154, 'All Menu'!B:M, 3, 0)</f>
        <v>التواصي سفري</v>
      </c>
      <c r="G154" s="90" t="s">
        <v>3058</v>
      </c>
      <c r="H154" s="188">
        <v>4354</v>
      </c>
      <c r="I154" s="110" t="str">
        <f>VLOOKUP(H154, 'RM &amp; SF'!B:H, 2, 0)</f>
        <v>سدر بلاستيك دائري 35 سم*****</v>
      </c>
      <c r="J154" s="184" t="str">
        <f>VLOOKUP(H154, 'RM &amp; SF'!B:E, 4, 0)</f>
        <v>قطعة</v>
      </c>
      <c r="K154" s="12">
        <v>1</v>
      </c>
      <c r="L154" s="13">
        <f>VLOOKUP(H154, 'RM &amp; SF'!B:H, 7, 0)</f>
        <v>0.28016999999999997</v>
      </c>
      <c r="M154" s="7">
        <f t="shared" si="5"/>
        <v>0.28016999999999997</v>
      </c>
      <c r="N154" s="4" t="s">
        <v>825</v>
      </c>
      <c r="O154" s="4">
        <f>VLOOKUP(B154, 'All Menu'!B:L, 6, 0)</f>
        <v>5.1724137931034484</v>
      </c>
      <c r="P154" s="6">
        <f>VLOOKUP(B154, 'All Menu'!B:L, 9, 0)</f>
        <v>3.1807436133539184</v>
      </c>
      <c r="Q154" s="14">
        <f>VLOOKUP(B154, 'All Menu'!B:M, 12, 0)</f>
        <v>0.3850562347515758</v>
      </c>
      <c r="R154" s="173">
        <f t="shared" si="6"/>
        <v>0</v>
      </c>
    </row>
    <row r="155" spans="1:18" ht="14" hidden="1">
      <c r="A155" s="78" t="s">
        <v>2489</v>
      </c>
      <c r="B155" s="220" t="s">
        <v>1212</v>
      </c>
      <c r="C155" s="185"/>
      <c r="D155" s="103" t="str">
        <f>VLOOKUP(B155, 'All Menu'!B:M, 4, 0)</f>
        <v>سدر رز + نص دجاجة عالفحم</v>
      </c>
      <c r="E155" s="30" t="str">
        <f>VLOOKUP(B155, 'All Menu'!B:M, 2, 0)</f>
        <v>قسم التواصي</v>
      </c>
      <c r="F155" s="103" t="str">
        <f>VLOOKUP(B155, 'All Menu'!B:M, 3, 0)</f>
        <v>التواصي سفري</v>
      </c>
      <c r="G155" s="90" t="s">
        <v>2194</v>
      </c>
      <c r="H155" s="188">
        <v>4323</v>
      </c>
      <c r="I155" s="110" t="str">
        <f>VLOOKUP(H155, 'RM &amp; SF'!B:H, 2, 0)</f>
        <v>قصدير رول 45 سم*2كغ*****</v>
      </c>
      <c r="J155" s="184" t="str">
        <f>VLOOKUP(H155, 'RM &amp; SF'!B:E, 4, 0)</f>
        <v>غم</v>
      </c>
      <c r="K155" s="12">
        <v>0.25</v>
      </c>
      <c r="L155" s="13">
        <f>VLOOKUP(H155, 'RM &amp; SF'!B:H, 7, 0)</f>
        <v>1.7240000000000001E-3</v>
      </c>
      <c r="M155" s="7">
        <f t="shared" si="5"/>
        <v>4.3100000000000001E-4</v>
      </c>
      <c r="N155" s="4" t="s">
        <v>825</v>
      </c>
      <c r="O155" s="4">
        <f>VLOOKUP(B155, 'All Menu'!B:L, 6, 0)</f>
        <v>5.1724137931034484</v>
      </c>
      <c r="P155" s="6">
        <f>VLOOKUP(B155, 'All Menu'!B:L, 9, 0)</f>
        <v>3.1807436133539184</v>
      </c>
      <c r="Q155" s="14">
        <f>VLOOKUP(B155, 'All Menu'!B:M, 12, 0)</f>
        <v>0.3850562347515758</v>
      </c>
      <c r="R155" s="173">
        <f t="shared" si="6"/>
        <v>0</v>
      </c>
    </row>
    <row r="156" spans="1:18" ht="14" hidden="1">
      <c r="A156" s="78" t="s">
        <v>2489</v>
      </c>
      <c r="B156" s="220" t="s">
        <v>1212</v>
      </c>
      <c r="C156" s="185"/>
      <c r="D156" s="103" t="str">
        <f>VLOOKUP(B156, 'All Menu'!B:M, 4, 0)</f>
        <v>سدر رز + نص دجاجة عالفحم</v>
      </c>
      <c r="E156" s="30" t="str">
        <f>VLOOKUP(B156, 'All Menu'!B:M, 2, 0)</f>
        <v>قسم التواصي</v>
      </c>
      <c r="F156" s="103" t="str">
        <f>VLOOKUP(B156, 'All Menu'!B:M, 3, 0)</f>
        <v>التواصي سفري</v>
      </c>
      <c r="G156" s="90" t="s">
        <v>3058</v>
      </c>
      <c r="H156" s="188">
        <v>5427</v>
      </c>
      <c r="I156" s="110" t="str">
        <f>VLOOKUP(H156, 'RM &amp; SF'!B:H, 2, 0)</f>
        <v>رول تغليف ورقي مطبوع 13 كغ 60*120 سم*****</v>
      </c>
      <c r="J156" s="184" t="str">
        <f>VLOOKUP(H156, 'RM &amp; SF'!B:E, 4, 0)</f>
        <v>غم</v>
      </c>
      <c r="K156" s="12">
        <v>20</v>
      </c>
      <c r="L156" s="13">
        <f>VLOOKUP(H156, 'RM &amp; SF'!B:H, 7, 0)</f>
        <v>1.3649425287356322E-3</v>
      </c>
      <c r="M156" s="7">
        <f t="shared" si="5"/>
        <v>2.7298850574712645E-2</v>
      </c>
      <c r="N156" s="4" t="s">
        <v>825</v>
      </c>
      <c r="O156" s="4">
        <f>VLOOKUP(B156, 'All Menu'!B:L, 6, 0)</f>
        <v>5.1724137931034484</v>
      </c>
      <c r="P156" s="6">
        <f>VLOOKUP(B156, 'All Menu'!B:L, 9, 0)</f>
        <v>3.1807436133539184</v>
      </c>
      <c r="Q156" s="14">
        <f>VLOOKUP(B156, 'All Menu'!B:M, 12, 0)</f>
        <v>0.3850562347515758</v>
      </c>
      <c r="R156" s="173">
        <f t="shared" si="6"/>
        <v>0</v>
      </c>
    </row>
    <row r="157" spans="1:18" ht="15.5" hidden="1">
      <c r="A157" s="78" t="s">
        <v>2472</v>
      </c>
      <c r="B157" s="220" t="s">
        <v>1213</v>
      </c>
      <c r="C157" s="185"/>
      <c r="D157" s="103" t="str">
        <f>VLOOKUP(B157, 'All Menu'!B:M, 4, 0)</f>
        <v>مقلوبة فول لحم 1 كيلو</v>
      </c>
      <c r="E157" s="30" t="str">
        <f>VLOOKUP(B157, 'All Menu'!B:M, 2, 0)</f>
        <v>قسم التواصي</v>
      </c>
      <c r="F157" s="103" t="str">
        <f>VLOOKUP(B157, 'All Menu'!B:M, 3, 0)</f>
        <v>التواصي سفري</v>
      </c>
      <c r="G157" s="90" t="s">
        <v>3058</v>
      </c>
      <c r="H157" s="112">
        <v>5401</v>
      </c>
      <c r="I157" s="110" t="str">
        <f>VLOOKUP(H157, 'RM &amp; SF'!B:H, 2, 0)</f>
        <v xml:space="preserve">روز بيف  </v>
      </c>
      <c r="J157" s="184" t="str">
        <f>VLOOKUP(H157, 'RM &amp; SF'!B:E, 4, 0)</f>
        <v>غم</v>
      </c>
      <c r="K157" s="12">
        <v>200</v>
      </c>
      <c r="L157" s="13">
        <f>VLOOKUP(H157, 'RM &amp; SF'!B:H, 7, 0)</f>
        <v>1.2580000000000001E-2</v>
      </c>
      <c r="M157" s="7">
        <f t="shared" si="5"/>
        <v>2.516</v>
      </c>
      <c r="N157" s="4" t="s">
        <v>825</v>
      </c>
      <c r="O157" s="4">
        <f>VLOOKUP(B157, 'All Menu'!B:L, 6, 0)</f>
        <v>12.068965517241381</v>
      </c>
      <c r="P157" s="6">
        <f>VLOOKUP(B157, 'All Menu'!B:L, 9, 0)</f>
        <v>6.620000651693096</v>
      </c>
      <c r="Q157" s="14">
        <f>VLOOKUP(B157, 'All Menu'!B:M, 12, 0)</f>
        <v>0.45148566028828641</v>
      </c>
      <c r="R157" s="173">
        <f t="shared" si="6"/>
        <v>0</v>
      </c>
    </row>
    <row r="158" spans="1:18" ht="14" hidden="1">
      <c r="A158" s="78" t="s">
        <v>2472</v>
      </c>
      <c r="B158" s="220" t="s">
        <v>1213</v>
      </c>
      <c r="C158" s="185"/>
      <c r="D158" s="103" t="str">
        <f>VLOOKUP(B158, 'All Menu'!B:M, 4, 0)</f>
        <v>مقلوبة فول لحم 1 كيلو</v>
      </c>
      <c r="E158" s="30" t="str">
        <f>VLOOKUP(B158, 'All Menu'!B:M, 2, 0)</f>
        <v>قسم التواصي</v>
      </c>
      <c r="F158" s="103" t="str">
        <f>VLOOKUP(B158, 'All Menu'!B:M, 3, 0)</f>
        <v>التواصي سفري</v>
      </c>
      <c r="G158" s="90" t="s">
        <v>2280</v>
      </c>
      <c r="H158" s="188">
        <v>4132</v>
      </c>
      <c r="I158" s="110" t="str">
        <f>VLOOKUP(H158, 'RM &amp; SF'!B:H, 2, 0)</f>
        <v>ارز حبة متوسطة*****</v>
      </c>
      <c r="J158" s="184" t="str">
        <f>VLOOKUP(H158, 'RM &amp; SF'!B:E, 4, 0)</f>
        <v>غم</v>
      </c>
      <c r="K158" s="12">
        <v>700</v>
      </c>
      <c r="L158" s="13">
        <f>VLOOKUP(H158, 'RM &amp; SF'!B:H, 7, 0)</f>
        <v>1.1388000000000001E-3</v>
      </c>
      <c r="M158" s="7">
        <f t="shared" si="5"/>
        <v>0.79716000000000009</v>
      </c>
      <c r="N158" s="4" t="s">
        <v>825</v>
      </c>
      <c r="O158" s="4">
        <f>VLOOKUP(B158, 'All Menu'!B:L, 6, 0)</f>
        <v>12.068965517241381</v>
      </c>
      <c r="P158" s="6">
        <f>VLOOKUP(B158, 'All Menu'!B:L, 9, 0)</f>
        <v>6.620000651693096</v>
      </c>
      <c r="Q158" s="14">
        <f>VLOOKUP(B158, 'All Menu'!B:M, 12, 0)</f>
        <v>0.45148566028828641</v>
      </c>
      <c r="R158" s="173">
        <f t="shared" si="6"/>
        <v>0</v>
      </c>
    </row>
    <row r="159" spans="1:18" ht="14" hidden="1">
      <c r="A159" s="78" t="s">
        <v>2472</v>
      </c>
      <c r="B159" s="220" t="s">
        <v>1213</v>
      </c>
      <c r="C159" s="185"/>
      <c r="D159" s="103" t="str">
        <f>VLOOKUP(B159, 'All Menu'!B:M, 4, 0)</f>
        <v>مقلوبة فول لحم 1 كيلو</v>
      </c>
      <c r="E159" s="30" t="str">
        <f>VLOOKUP(B159, 'All Menu'!B:M, 2, 0)</f>
        <v>قسم التواصي</v>
      </c>
      <c r="F159" s="103" t="str">
        <f>VLOOKUP(B159, 'All Menu'!B:M, 3, 0)</f>
        <v>التواصي سفري</v>
      </c>
      <c r="G159" s="90" t="s">
        <v>2343</v>
      </c>
      <c r="H159" s="219" t="s">
        <v>710</v>
      </c>
      <c r="I159" s="110" t="str">
        <f>VLOOKUP(H159, 'RM &amp; SF'!B:H, 2, 0)</f>
        <v>سمنة مكسورة</v>
      </c>
      <c r="J159" s="184" t="str">
        <f>VLOOKUP(H159, 'RM &amp; SF'!B:E, 4, 0)</f>
        <v>غم</v>
      </c>
      <c r="K159" s="12">
        <v>150</v>
      </c>
      <c r="L159" s="13">
        <f>VLOOKUP(H159, 'RM &amp; SF'!B:H, 7, 0)</f>
        <v>3.6676666666666667E-3</v>
      </c>
      <c r="M159" s="7">
        <f t="shared" si="5"/>
        <v>0.55015000000000003</v>
      </c>
      <c r="N159" s="4" t="s">
        <v>825</v>
      </c>
      <c r="O159" s="4">
        <f>VLOOKUP(B159, 'All Menu'!B:L, 6, 0)</f>
        <v>12.068965517241381</v>
      </c>
      <c r="P159" s="6">
        <f>VLOOKUP(B159, 'All Menu'!B:L, 9, 0)</f>
        <v>6.620000651693096</v>
      </c>
      <c r="Q159" s="14">
        <f>VLOOKUP(B159, 'All Menu'!B:M, 12, 0)</f>
        <v>0.45148566028828641</v>
      </c>
      <c r="R159" s="173">
        <f t="shared" si="6"/>
        <v>0</v>
      </c>
    </row>
    <row r="160" spans="1:18" ht="14" hidden="1">
      <c r="A160" s="78" t="s">
        <v>2472</v>
      </c>
      <c r="B160" s="220" t="s">
        <v>1213</v>
      </c>
      <c r="C160" s="185"/>
      <c r="D160" s="103" t="str">
        <f>VLOOKUP(B160, 'All Menu'!B:M, 4, 0)</f>
        <v>مقلوبة فول لحم 1 كيلو</v>
      </c>
      <c r="E160" s="30" t="str">
        <f>VLOOKUP(B160, 'All Menu'!B:M, 2, 0)</f>
        <v>قسم التواصي</v>
      </c>
      <c r="F160" s="103" t="str">
        <f>VLOOKUP(B160, 'All Menu'!B:M, 3, 0)</f>
        <v>التواصي سفري</v>
      </c>
      <c r="G160" s="90" t="s">
        <v>2234</v>
      </c>
      <c r="H160" s="188">
        <v>4503</v>
      </c>
      <c r="I160" s="110" t="str">
        <f>VLOOKUP(H160, 'RM &amp; SF'!B:H, 2, 0)</f>
        <v>بصل ناشف دفش*****</v>
      </c>
      <c r="J160" s="184" t="str">
        <f>VLOOKUP(H160, 'RM &amp; SF'!B:E, 4, 0)</f>
        <v>غم</v>
      </c>
      <c r="K160" s="12">
        <v>200</v>
      </c>
      <c r="L160" s="13">
        <f>VLOOKUP(H160, 'RM &amp; SF'!B:H, 7, 0)</f>
        <v>2.5000000000000001E-4</v>
      </c>
      <c r="M160" s="7">
        <f t="shared" si="5"/>
        <v>0.05</v>
      </c>
      <c r="N160" s="4" t="s">
        <v>825</v>
      </c>
      <c r="O160" s="4">
        <f>VLOOKUP(B160, 'All Menu'!B:L, 6, 0)</f>
        <v>12.068965517241381</v>
      </c>
      <c r="P160" s="6">
        <f>VLOOKUP(B160, 'All Menu'!B:L, 9, 0)</f>
        <v>6.620000651693096</v>
      </c>
      <c r="Q160" s="14">
        <f>VLOOKUP(B160, 'All Menu'!B:M, 12, 0)</f>
        <v>0.45148566028828641</v>
      </c>
      <c r="R160" s="173">
        <f t="shared" si="6"/>
        <v>0</v>
      </c>
    </row>
    <row r="161" spans="1:18" ht="14" hidden="1">
      <c r="A161" s="78" t="s">
        <v>2472</v>
      </c>
      <c r="B161" s="220" t="s">
        <v>1213</v>
      </c>
      <c r="C161" s="185"/>
      <c r="D161" s="103" t="str">
        <f>VLOOKUP(B161, 'All Menu'!B:M, 4, 0)</f>
        <v>مقلوبة فول لحم 1 كيلو</v>
      </c>
      <c r="E161" s="30" t="str">
        <f>VLOOKUP(B161, 'All Menu'!B:M, 2, 0)</f>
        <v>قسم التواصي</v>
      </c>
      <c r="F161" s="103" t="str">
        <f>VLOOKUP(B161, 'All Menu'!B:M, 3, 0)</f>
        <v>التواصي سفري</v>
      </c>
      <c r="G161" s="90" t="s">
        <v>2206</v>
      </c>
      <c r="H161" s="188">
        <v>4204</v>
      </c>
      <c r="I161" s="110" t="str">
        <f>VLOOKUP(H161, 'RM &amp; SF'!B:H, 2, 0)</f>
        <v>فلفل اسود ناعم*****</v>
      </c>
      <c r="J161" s="184" t="str">
        <f>VLOOKUP(H161, 'RM &amp; SF'!B:E, 4, 0)</f>
        <v>غم</v>
      </c>
      <c r="K161" s="12">
        <v>20</v>
      </c>
      <c r="L161" s="13">
        <f>VLOOKUP(H161, 'RM &amp; SF'!B:H, 7, 0)</f>
        <v>6.8970000000000004E-3</v>
      </c>
      <c r="M161" s="7">
        <f t="shared" si="5"/>
        <v>0.13794000000000001</v>
      </c>
      <c r="N161" s="4" t="s">
        <v>825</v>
      </c>
      <c r="O161" s="4">
        <f>VLOOKUP(B161, 'All Menu'!B:L, 6, 0)</f>
        <v>12.068965517241381</v>
      </c>
      <c r="P161" s="6">
        <f>VLOOKUP(B161, 'All Menu'!B:L, 9, 0)</f>
        <v>6.620000651693096</v>
      </c>
      <c r="Q161" s="14">
        <f>VLOOKUP(B161, 'All Menu'!B:M, 12, 0)</f>
        <v>0.45148566028828641</v>
      </c>
      <c r="R161" s="173">
        <f t="shared" si="6"/>
        <v>0</v>
      </c>
    </row>
    <row r="162" spans="1:18" ht="14" hidden="1">
      <c r="A162" s="78" t="s">
        <v>2472</v>
      </c>
      <c r="B162" s="220" t="s">
        <v>1213</v>
      </c>
      <c r="C162" s="185"/>
      <c r="D162" s="103" t="str">
        <f>VLOOKUP(B162, 'All Menu'!B:M, 4, 0)</f>
        <v>مقلوبة فول لحم 1 كيلو</v>
      </c>
      <c r="E162" s="30" t="str">
        <f>VLOOKUP(B162, 'All Menu'!B:M, 2, 0)</f>
        <v>قسم التواصي</v>
      </c>
      <c r="F162" s="103" t="str">
        <f>VLOOKUP(B162, 'All Menu'!B:M, 3, 0)</f>
        <v>التواصي سفري</v>
      </c>
      <c r="G162" s="90" t="s">
        <v>2213</v>
      </c>
      <c r="H162" s="188">
        <v>4218</v>
      </c>
      <c r="I162" s="110" t="str">
        <f>VLOOKUP(H162, 'RM &amp; SF'!B:H, 2, 0)</f>
        <v>بهارات مشكلة*****</v>
      </c>
      <c r="J162" s="184" t="str">
        <f>VLOOKUP(H162, 'RM &amp; SF'!B:E, 4, 0)</f>
        <v>غم</v>
      </c>
      <c r="K162" s="12">
        <v>20</v>
      </c>
      <c r="L162" s="13">
        <f>VLOOKUP(H162, 'RM &amp; SF'!B:H, 7, 0)</f>
        <v>3.0169999999999997E-3</v>
      </c>
      <c r="M162" s="7">
        <f t="shared" si="5"/>
        <v>6.0339999999999991E-2</v>
      </c>
      <c r="N162" s="4" t="s">
        <v>825</v>
      </c>
      <c r="O162" s="4">
        <f>VLOOKUP(B162, 'All Menu'!B:L, 6, 0)</f>
        <v>12.068965517241381</v>
      </c>
      <c r="P162" s="6">
        <f>VLOOKUP(B162, 'All Menu'!B:L, 9, 0)</f>
        <v>6.620000651693096</v>
      </c>
      <c r="Q162" s="14">
        <f>VLOOKUP(B162, 'All Menu'!B:M, 12, 0)</f>
        <v>0.45148566028828641</v>
      </c>
      <c r="R162" s="173">
        <f t="shared" si="6"/>
        <v>0</v>
      </c>
    </row>
    <row r="163" spans="1:18" ht="14" hidden="1">
      <c r="A163" s="78" t="s">
        <v>2472</v>
      </c>
      <c r="B163" s="220" t="s">
        <v>1213</v>
      </c>
      <c r="C163" s="185"/>
      <c r="D163" s="103" t="str">
        <f>VLOOKUP(B163, 'All Menu'!B:M, 4, 0)</f>
        <v>مقلوبة فول لحم 1 كيلو</v>
      </c>
      <c r="E163" s="30" t="str">
        <f>VLOOKUP(B163, 'All Menu'!B:M, 2, 0)</f>
        <v>قسم التواصي</v>
      </c>
      <c r="F163" s="103" t="str">
        <f>VLOOKUP(B163, 'All Menu'!B:M, 3, 0)</f>
        <v>التواصي سفري</v>
      </c>
      <c r="G163" s="90" t="s">
        <v>3058</v>
      </c>
      <c r="H163" s="188">
        <v>4222</v>
      </c>
      <c r="I163" s="110" t="str">
        <f>VLOOKUP(H163, 'RM &amp; SF'!B:H, 2, 0)</f>
        <v>كمون ناعم*****</v>
      </c>
      <c r="J163" s="184" t="str">
        <f>VLOOKUP(H163, 'RM &amp; SF'!B:E, 4, 0)</f>
        <v>غم</v>
      </c>
      <c r="K163" s="12">
        <v>20</v>
      </c>
      <c r="L163" s="13">
        <f>VLOOKUP(H163, 'RM &amp; SF'!B:H, 7, 0)</f>
        <v>3.2330000000000002E-3</v>
      </c>
      <c r="M163" s="7">
        <f t="shared" ref="M163:M208" si="8">L163*K163</f>
        <v>6.4660000000000009E-2</v>
      </c>
      <c r="N163" s="4" t="s">
        <v>825</v>
      </c>
      <c r="O163" s="4">
        <f>VLOOKUP(B163, 'All Menu'!B:L, 6, 0)</f>
        <v>12.068965517241381</v>
      </c>
      <c r="P163" s="6">
        <f>VLOOKUP(B163, 'All Menu'!B:L, 9, 0)</f>
        <v>6.620000651693096</v>
      </c>
      <c r="Q163" s="14">
        <f>VLOOKUP(B163, 'All Menu'!B:M, 12, 0)</f>
        <v>0.45148566028828641</v>
      </c>
      <c r="R163" s="173">
        <f t="shared" si="6"/>
        <v>0</v>
      </c>
    </row>
    <row r="164" spans="1:18" ht="14" hidden="1">
      <c r="A164" s="78" t="s">
        <v>2472</v>
      </c>
      <c r="B164" s="220" t="s">
        <v>1213</v>
      </c>
      <c r="C164" s="185"/>
      <c r="D164" s="103" t="str">
        <f>VLOOKUP(B164, 'All Menu'!B:M, 4, 0)</f>
        <v>مقلوبة فول لحم 1 كيلو</v>
      </c>
      <c r="E164" s="30" t="str">
        <f>VLOOKUP(B164, 'All Menu'!B:M, 2, 0)</f>
        <v>قسم التواصي</v>
      </c>
      <c r="F164" s="103" t="str">
        <f>VLOOKUP(B164, 'All Menu'!B:M, 3, 0)</f>
        <v>التواصي سفري</v>
      </c>
      <c r="G164" s="90" t="s">
        <v>2203</v>
      </c>
      <c r="H164" s="188">
        <v>4152</v>
      </c>
      <c r="I164" s="110" t="str">
        <f>VLOOKUP(H164, 'RM &amp; SF'!B:H, 2, 0)</f>
        <v>ملح طعام 750غم*****</v>
      </c>
      <c r="J164" s="184" t="str">
        <f>VLOOKUP(H164, 'RM &amp; SF'!B:E, 4, 0)</f>
        <v>غم</v>
      </c>
      <c r="K164" s="12">
        <v>15</v>
      </c>
      <c r="L164" s="13">
        <f>VLOOKUP(H164, 'RM &amp; SF'!B:H, 7, 0)</f>
        <v>1.7066666666666665E-4</v>
      </c>
      <c r="M164" s="7">
        <f t="shared" si="8"/>
        <v>2.5599999999999998E-3</v>
      </c>
      <c r="N164" s="4" t="s">
        <v>825</v>
      </c>
      <c r="O164" s="4">
        <f>VLOOKUP(B164, 'All Menu'!B:L, 6, 0)</f>
        <v>12.068965517241381</v>
      </c>
      <c r="P164" s="6">
        <f>VLOOKUP(B164, 'All Menu'!B:L, 9, 0)</f>
        <v>6.620000651693096</v>
      </c>
      <c r="Q164" s="14">
        <f>VLOOKUP(B164, 'All Menu'!B:M, 12, 0)</f>
        <v>0.45148566028828641</v>
      </c>
      <c r="R164" s="173">
        <f t="shared" si="6"/>
        <v>0</v>
      </c>
    </row>
    <row r="165" spans="1:18" ht="14" hidden="1">
      <c r="A165" s="78" t="s">
        <v>2472</v>
      </c>
      <c r="B165" s="220" t="s">
        <v>1213</v>
      </c>
      <c r="C165" s="185"/>
      <c r="D165" s="103" t="str">
        <f>VLOOKUP(B165, 'All Menu'!B:M, 4, 0)</f>
        <v>مقلوبة فول لحم 1 كيلو</v>
      </c>
      <c r="E165" s="30" t="str">
        <f>VLOOKUP(B165, 'All Menu'!B:M, 2, 0)</f>
        <v>قسم التواصي</v>
      </c>
      <c r="F165" s="103" t="str">
        <f>VLOOKUP(B165, 'All Menu'!B:M, 3, 0)</f>
        <v>التواصي سفري</v>
      </c>
      <c r="G165" s="90" t="s">
        <v>2222</v>
      </c>
      <c r="H165" s="188">
        <v>4240</v>
      </c>
      <c r="I165" s="110" t="str">
        <f>VLOOKUP(H165, 'RM &amp; SF'!B:H, 2, 0)</f>
        <v>كركم ناعم*****</v>
      </c>
      <c r="J165" s="184" t="str">
        <f>VLOOKUP(H165, 'RM &amp; SF'!B:E, 4, 0)</f>
        <v>غم</v>
      </c>
      <c r="K165" s="12">
        <v>5</v>
      </c>
      <c r="L165" s="13">
        <f>VLOOKUP(H165, 'RM &amp; SF'!B:H, 7, 0)</f>
        <v>1.9399999999999999E-3</v>
      </c>
      <c r="M165" s="7">
        <f t="shared" si="8"/>
        <v>9.7000000000000003E-3</v>
      </c>
      <c r="N165" s="4" t="s">
        <v>825</v>
      </c>
      <c r="O165" s="4">
        <f>VLOOKUP(B165, 'All Menu'!B:L, 6, 0)</f>
        <v>12.068965517241381</v>
      </c>
      <c r="P165" s="6">
        <f>VLOOKUP(B165, 'All Menu'!B:L, 9, 0)</f>
        <v>6.620000651693096</v>
      </c>
      <c r="Q165" s="14">
        <f>VLOOKUP(B165, 'All Menu'!B:M, 12, 0)</f>
        <v>0.45148566028828641</v>
      </c>
      <c r="R165" s="173">
        <f t="shared" si="6"/>
        <v>0</v>
      </c>
    </row>
    <row r="166" spans="1:18" ht="14" hidden="1">
      <c r="A166" s="78" t="s">
        <v>2472</v>
      </c>
      <c r="B166" s="220" t="s">
        <v>1213</v>
      </c>
      <c r="C166" s="185"/>
      <c r="D166" s="103" t="str">
        <f>VLOOKUP(B166, 'All Menu'!B:M, 4, 0)</f>
        <v>مقلوبة فول لحم 1 كيلو</v>
      </c>
      <c r="E166" s="30" t="str">
        <f>VLOOKUP(B166, 'All Menu'!B:M, 2, 0)</f>
        <v>قسم التواصي</v>
      </c>
      <c r="F166" s="103" t="str">
        <f>VLOOKUP(B166, 'All Menu'!B:M, 3, 0)</f>
        <v>التواصي سفري</v>
      </c>
      <c r="G166" s="90" t="s">
        <v>2214</v>
      </c>
      <c r="H166" s="188">
        <v>4223</v>
      </c>
      <c r="I166" s="110" t="str">
        <f>VLOOKUP(H166, 'RM &amp; SF'!B:H, 2, 0)</f>
        <v>بهارات كاري*****</v>
      </c>
      <c r="J166" s="184" t="str">
        <f>VLOOKUP(H166, 'RM &amp; SF'!B:E, 4, 0)</f>
        <v>غم</v>
      </c>
      <c r="K166" s="12">
        <v>5</v>
      </c>
      <c r="L166" s="13">
        <f>VLOOKUP(H166, 'RM &amp; SF'!B:H, 7, 0)</f>
        <v>2.2409999999999999E-3</v>
      </c>
      <c r="M166" s="7">
        <f t="shared" si="8"/>
        <v>1.1205E-2</v>
      </c>
      <c r="N166" s="4" t="s">
        <v>825</v>
      </c>
      <c r="O166" s="4">
        <f>VLOOKUP(B166, 'All Menu'!B:L, 6, 0)</f>
        <v>12.068965517241381</v>
      </c>
      <c r="P166" s="6">
        <f>VLOOKUP(B166, 'All Menu'!B:L, 9, 0)</f>
        <v>6.620000651693096</v>
      </c>
      <c r="Q166" s="14">
        <f>VLOOKUP(B166, 'All Menu'!B:M, 12, 0)</f>
        <v>0.45148566028828641</v>
      </c>
      <c r="R166" s="173">
        <f t="shared" si="6"/>
        <v>0</v>
      </c>
    </row>
    <row r="167" spans="1:18" ht="14" hidden="1">
      <c r="A167" s="78" t="s">
        <v>2472</v>
      </c>
      <c r="B167" s="220" t="s">
        <v>1213</v>
      </c>
      <c r="C167" s="185"/>
      <c r="D167" s="103" t="str">
        <f>VLOOKUP(B167, 'All Menu'!B:M, 4, 0)</f>
        <v>مقلوبة فول لحم 1 كيلو</v>
      </c>
      <c r="E167" s="30" t="str">
        <f>VLOOKUP(B167, 'All Menu'!B:M, 2, 0)</f>
        <v>قسم التواصي</v>
      </c>
      <c r="F167" s="103" t="str">
        <f>VLOOKUP(B167, 'All Menu'!B:M, 3, 0)</f>
        <v>التواصي سفري</v>
      </c>
      <c r="G167" s="90" t="s">
        <v>3058</v>
      </c>
      <c r="H167" s="188">
        <v>4021</v>
      </c>
      <c r="I167" s="110" t="str">
        <f>VLOOKUP(H167, 'RM &amp; SF'!B:H, 2, 0)</f>
        <v>مكعبات مرق الدجاج 24 عبوة*2 مكعب*****</v>
      </c>
      <c r="J167" s="184" t="str">
        <f>VLOOKUP(H167, 'RM &amp; SF'!B:E, 4, 0)</f>
        <v>غم</v>
      </c>
      <c r="K167" s="12">
        <f>2*10</f>
        <v>20</v>
      </c>
      <c r="L167" s="13">
        <f>VLOOKUP(H167, 'RM &amp; SF'!B:H, 7, 0)</f>
        <v>3.8541666666666668E-3</v>
      </c>
      <c r="M167" s="7">
        <f t="shared" si="8"/>
        <v>7.7083333333333337E-2</v>
      </c>
      <c r="N167" s="4" t="s">
        <v>825</v>
      </c>
      <c r="O167" s="4">
        <f>VLOOKUP(B167, 'All Menu'!B:L, 6, 0)</f>
        <v>12.068965517241381</v>
      </c>
      <c r="P167" s="6">
        <f>VLOOKUP(B167, 'All Menu'!B:L, 9, 0)</f>
        <v>6.620000651693096</v>
      </c>
      <c r="Q167" s="14">
        <f>VLOOKUP(B167, 'All Menu'!B:M, 12, 0)</f>
        <v>0.45148566028828641</v>
      </c>
      <c r="R167" s="173">
        <f t="shared" si="6"/>
        <v>0</v>
      </c>
    </row>
    <row r="168" spans="1:18" ht="14" hidden="1">
      <c r="A168" s="78" t="s">
        <v>2472</v>
      </c>
      <c r="B168" s="220" t="s">
        <v>1213</v>
      </c>
      <c r="C168" s="185"/>
      <c r="D168" s="103" t="str">
        <f>VLOOKUP(B168, 'All Menu'!B:M, 4, 0)</f>
        <v>مقلوبة فول لحم 1 كيلو</v>
      </c>
      <c r="E168" s="30" t="str">
        <f>VLOOKUP(B168, 'All Menu'!B:M, 2, 0)</f>
        <v>قسم التواصي</v>
      </c>
      <c r="F168" s="103" t="str">
        <f>VLOOKUP(B168, 'All Menu'!B:M, 3, 0)</f>
        <v>التواصي سفري</v>
      </c>
      <c r="G168" s="90" t="s">
        <v>3058</v>
      </c>
      <c r="H168" s="188">
        <v>1221</v>
      </c>
      <c r="I168" s="110" t="str">
        <f>VLOOKUP(H168, 'RM &amp; SF'!B:H, 2, 0)</f>
        <v>مرقة لحم</v>
      </c>
      <c r="J168" s="184" t="str">
        <f>VLOOKUP(H168, 'RM &amp; SF'!B:E, 4, 0)</f>
        <v>غم</v>
      </c>
      <c r="K168" s="12">
        <v>900</v>
      </c>
      <c r="L168" s="13">
        <f>VLOOKUP(H168, 'RM &amp; SF'!B:H, 7, 0)</f>
        <v>0</v>
      </c>
      <c r="M168" s="7">
        <f t="shared" si="8"/>
        <v>0</v>
      </c>
      <c r="N168" s="4" t="s">
        <v>825</v>
      </c>
      <c r="O168" s="4">
        <f>VLOOKUP(B168, 'All Menu'!B:L, 6, 0)</f>
        <v>12.068965517241381</v>
      </c>
      <c r="P168" s="6">
        <f>VLOOKUP(B168, 'All Menu'!B:L, 9, 0)</f>
        <v>6.620000651693096</v>
      </c>
      <c r="Q168" s="14">
        <f>VLOOKUP(B168, 'All Menu'!B:M, 12, 0)</f>
        <v>0.45148566028828641</v>
      </c>
      <c r="R168" s="173">
        <f t="shared" si="6"/>
        <v>0</v>
      </c>
    </row>
    <row r="169" spans="1:18" ht="14" hidden="1">
      <c r="A169" s="78" t="s">
        <v>2472</v>
      </c>
      <c r="B169" s="220" t="s">
        <v>1213</v>
      </c>
      <c r="C169" s="185"/>
      <c r="D169" s="103" t="str">
        <f>VLOOKUP(B169, 'All Menu'!B:M, 4, 0)</f>
        <v>مقلوبة فول لحم 1 كيلو</v>
      </c>
      <c r="E169" s="30" t="str">
        <f>VLOOKUP(B169, 'All Menu'!B:M, 2, 0)</f>
        <v>قسم التواصي</v>
      </c>
      <c r="F169" s="103" t="str">
        <f>VLOOKUP(B169, 'All Menu'!B:M, 3, 0)</f>
        <v>التواصي سفري</v>
      </c>
      <c r="G169" s="90" t="s">
        <v>3058</v>
      </c>
      <c r="H169" s="188">
        <v>4191</v>
      </c>
      <c r="I169" s="110" t="str">
        <f>VLOOKUP(H169, 'RM &amp; SF'!B:H, 2, 0)</f>
        <v>جوزة الطيب مطحونة*****</v>
      </c>
      <c r="J169" s="184" t="str">
        <f>VLOOKUP(H169, 'RM &amp; SF'!B:E, 4, 0)</f>
        <v>غم</v>
      </c>
      <c r="K169" s="12">
        <v>10</v>
      </c>
      <c r="L169" s="13">
        <f>VLOOKUP(H169, 'RM &amp; SF'!B:H, 7, 0)</f>
        <v>6.0339999999999994E-3</v>
      </c>
      <c r="M169" s="7">
        <f t="shared" si="8"/>
        <v>6.0339999999999991E-2</v>
      </c>
      <c r="N169" s="4" t="s">
        <v>825</v>
      </c>
      <c r="O169" s="4">
        <f>VLOOKUP(B169, 'All Menu'!B:L, 6, 0)</f>
        <v>12.068965517241381</v>
      </c>
      <c r="P169" s="6">
        <f>VLOOKUP(B169, 'All Menu'!B:L, 9, 0)</f>
        <v>6.620000651693096</v>
      </c>
      <c r="Q169" s="14">
        <f>VLOOKUP(B169, 'All Menu'!B:M, 12, 0)</f>
        <v>0.45148566028828641</v>
      </c>
      <c r="R169" s="173">
        <f t="shared" si="6"/>
        <v>0</v>
      </c>
    </row>
    <row r="170" spans="1:18" ht="14" hidden="1">
      <c r="A170" s="78" t="s">
        <v>2472</v>
      </c>
      <c r="B170" s="220" t="s">
        <v>1213</v>
      </c>
      <c r="C170" s="185"/>
      <c r="D170" s="103" t="str">
        <f>VLOOKUP(B170, 'All Menu'!B:M, 4, 0)</f>
        <v>مقلوبة فول لحم 1 كيلو</v>
      </c>
      <c r="E170" s="30" t="str">
        <f>VLOOKUP(B170, 'All Menu'!B:M, 2, 0)</f>
        <v>قسم التواصي</v>
      </c>
      <c r="F170" s="103" t="str">
        <f>VLOOKUP(B170, 'All Menu'!B:M, 3, 0)</f>
        <v>التواصي سفري</v>
      </c>
      <c r="G170" s="90" t="s">
        <v>3058</v>
      </c>
      <c r="H170" s="188">
        <v>5444</v>
      </c>
      <c r="I170" s="110" t="str">
        <f>VLOOKUP(H170, 'RM &amp; SF'!B:H, 2, 0)</f>
        <v>فول اخضر</v>
      </c>
      <c r="J170" s="184" t="str">
        <f>VLOOKUP(H170, 'RM &amp; SF'!B:E, 4, 0)</f>
        <v>غم</v>
      </c>
      <c r="K170" s="12">
        <v>400</v>
      </c>
      <c r="L170" s="13">
        <f>VLOOKUP(H170, 'RM &amp; SF'!B:H, 7, 0)</f>
        <v>2.875E-3</v>
      </c>
      <c r="M170" s="7">
        <f t="shared" si="8"/>
        <v>1.1499999999999999</v>
      </c>
      <c r="N170" s="4" t="s">
        <v>825</v>
      </c>
      <c r="O170" s="4">
        <f>VLOOKUP(B170, 'All Menu'!B:L, 6, 0)</f>
        <v>12.068965517241381</v>
      </c>
      <c r="P170" s="6">
        <f>VLOOKUP(B170, 'All Menu'!B:L, 9, 0)</f>
        <v>6.620000651693096</v>
      </c>
      <c r="Q170" s="14">
        <f>VLOOKUP(B170, 'All Menu'!B:M, 12, 0)</f>
        <v>0.45148566028828641</v>
      </c>
      <c r="R170" s="173">
        <f t="shared" si="6"/>
        <v>0</v>
      </c>
    </row>
    <row r="171" spans="1:18" ht="14" hidden="1">
      <c r="A171" s="78" t="s">
        <v>2472</v>
      </c>
      <c r="B171" s="220" t="s">
        <v>1213</v>
      </c>
      <c r="C171" s="185"/>
      <c r="D171" s="103" t="str">
        <f>VLOOKUP(B171, 'All Menu'!B:M, 4, 0)</f>
        <v>مقلوبة فول لحم 1 كيلو</v>
      </c>
      <c r="E171" s="30" t="str">
        <f>VLOOKUP(B171, 'All Menu'!B:M, 2, 0)</f>
        <v>قسم التواصي</v>
      </c>
      <c r="F171" s="103" t="str">
        <f>VLOOKUP(B171, 'All Menu'!B:M, 3, 0)</f>
        <v>التواصي سفري</v>
      </c>
      <c r="G171" s="90" t="s">
        <v>3058</v>
      </c>
      <c r="H171" s="188">
        <v>4280</v>
      </c>
      <c r="I171" s="110" t="str">
        <f>VLOOKUP(H171, 'RM &amp; SF'!B:H, 2, 0)</f>
        <v>علب ميكرويف مدورة اسود 500 مل RC2*****</v>
      </c>
      <c r="J171" s="184" t="str">
        <f>VLOOKUP(H171, 'RM &amp; SF'!B:E, 4, 0)</f>
        <v>قطعة</v>
      </c>
      <c r="K171" s="12">
        <v>1</v>
      </c>
      <c r="L171" s="13">
        <f>VLOOKUP(H171, 'RM &amp; SF'!B:H, 7, 0)</f>
        <v>0.125</v>
      </c>
      <c r="M171" s="7">
        <f t="shared" si="8"/>
        <v>0.125</v>
      </c>
      <c r="N171" s="4" t="s">
        <v>825</v>
      </c>
      <c r="O171" s="4">
        <f>VLOOKUP(B171, 'All Menu'!B:L, 6, 0)</f>
        <v>12.068965517241381</v>
      </c>
      <c r="P171" s="6">
        <f>VLOOKUP(B171, 'All Menu'!B:L, 9, 0)</f>
        <v>6.620000651693096</v>
      </c>
      <c r="Q171" s="14">
        <f>VLOOKUP(B171, 'All Menu'!B:M, 12, 0)</f>
        <v>0.45148566028828641</v>
      </c>
      <c r="R171" s="173">
        <f t="shared" si="6"/>
        <v>0</v>
      </c>
    </row>
    <row r="172" spans="1:18" ht="14" hidden="1">
      <c r="A172" s="78" t="s">
        <v>2472</v>
      </c>
      <c r="B172" s="220" t="s">
        <v>1213</v>
      </c>
      <c r="C172" s="185"/>
      <c r="D172" s="103" t="str">
        <f>VLOOKUP(B172, 'All Menu'!B:M, 4, 0)</f>
        <v>مقلوبة فول لحم 1 كيلو</v>
      </c>
      <c r="E172" s="30" t="str">
        <f>VLOOKUP(B172, 'All Menu'!B:M, 2, 0)</f>
        <v>قسم التواصي</v>
      </c>
      <c r="F172" s="103" t="str">
        <f>VLOOKUP(B172, 'All Menu'!B:M, 3, 0)</f>
        <v>التواصي سفري</v>
      </c>
      <c r="G172" s="90" t="s">
        <v>2228</v>
      </c>
      <c r="H172" s="219" t="s">
        <v>566</v>
      </c>
      <c r="I172" s="110" t="str">
        <f>VLOOKUP(H172, 'RM &amp; SF'!B:H, 2, 0)</f>
        <v>خيار بلبن</v>
      </c>
      <c r="J172" s="184" t="str">
        <f>VLOOKUP(H172, 'RM &amp; SF'!B:E, 4, 0)</f>
        <v>غم</v>
      </c>
      <c r="K172" s="12">
        <v>400</v>
      </c>
      <c r="L172" s="13">
        <f>VLOOKUP(H172, 'RM &amp; SF'!B:H, 7, 0)</f>
        <v>1.0121557958994094E-3</v>
      </c>
      <c r="M172" s="7">
        <f t="shared" si="8"/>
        <v>0.40486231835976372</v>
      </c>
      <c r="N172" s="4" t="s">
        <v>825</v>
      </c>
      <c r="O172" s="4">
        <f>VLOOKUP(B172, 'All Menu'!B:L, 6, 0)</f>
        <v>12.068965517241381</v>
      </c>
      <c r="P172" s="6">
        <f>VLOOKUP(B172, 'All Menu'!B:L, 9, 0)</f>
        <v>6.620000651693096</v>
      </c>
      <c r="Q172" s="14">
        <f>VLOOKUP(B172, 'All Menu'!B:M, 12, 0)</f>
        <v>0.45148566028828641</v>
      </c>
      <c r="R172" s="173">
        <f t="shared" si="6"/>
        <v>0</v>
      </c>
    </row>
    <row r="173" spans="1:18" ht="14" hidden="1">
      <c r="A173" s="78" t="s">
        <v>2472</v>
      </c>
      <c r="B173" s="220" t="s">
        <v>1213</v>
      </c>
      <c r="C173" s="185"/>
      <c r="D173" s="103" t="str">
        <f>VLOOKUP(B173, 'All Menu'!B:M, 4, 0)</f>
        <v>مقلوبة فول لحم 1 كيلو</v>
      </c>
      <c r="E173" s="30" t="str">
        <f>VLOOKUP(B173, 'All Menu'!B:M, 2, 0)</f>
        <v>قسم التواصي</v>
      </c>
      <c r="F173" s="103" t="str">
        <f>VLOOKUP(B173, 'All Menu'!B:M, 3, 0)</f>
        <v>التواصي سفري</v>
      </c>
      <c r="G173" s="90" t="s">
        <v>2202</v>
      </c>
      <c r="H173" s="188">
        <v>4930</v>
      </c>
      <c r="I173" s="110" t="str">
        <f>VLOOKUP(H173, 'RM &amp; SF'!B:H, 2, 0)</f>
        <v>طنجرة المنيوم مع غطاء 25 سم*10 سم (رقم 2)*****</v>
      </c>
      <c r="J173" s="184" t="str">
        <f>VLOOKUP(H173, 'RM &amp; SF'!B:E, 4, 0)</f>
        <v>قطعة</v>
      </c>
      <c r="K173" s="12">
        <v>1</v>
      </c>
      <c r="L173" s="13">
        <f>VLOOKUP(H173, 'RM &amp; SF'!B:H, 7, 0)</f>
        <v>0.60299999999999998</v>
      </c>
      <c r="M173" s="7">
        <f t="shared" si="8"/>
        <v>0.60299999999999998</v>
      </c>
      <c r="N173" s="4" t="s">
        <v>825</v>
      </c>
      <c r="O173" s="4">
        <f>VLOOKUP(B173, 'All Menu'!B:L, 6, 0)</f>
        <v>12.068965517241381</v>
      </c>
      <c r="P173" s="6">
        <f>VLOOKUP(B173, 'All Menu'!B:L, 9, 0)</f>
        <v>6.620000651693096</v>
      </c>
      <c r="Q173" s="14">
        <f>VLOOKUP(B173, 'All Menu'!B:M, 12, 0)</f>
        <v>0.45148566028828641</v>
      </c>
      <c r="R173" s="173">
        <f t="shared" ref="R173:R214" si="9">C173*K173</f>
        <v>0</v>
      </c>
    </row>
    <row r="174" spans="1:18" ht="14" hidden="1">
      <c r="A174" s="78" t="s">
        <v>2480</v>
      </c>
      <c r="B174" s="220" t="s">
        <v>1238</v>
      </c>
      <c r="C174" s="185"/>
      <c r="D174" s="103" t="str">
        <f>VLOOKUP(B174, 'All Menu'!B:M, 4, 0)</f>
        <v>مسخن فلسطيني دجاج 1 دجاجة</v>
      </c>
      <c r="E174" s="30" t="str">
        <f>VLOOKUP(B174, 'All Menu'!B:M, 2, 0)</f>
        <v>قسم التواصي</v>
      </c>
      <c r="F174" s="103" t="str">
        <f>VLOOKUP(B174, 'All Menu'!B:M, 3, 0)</f>
        <v>التواصي سفري</v>
      </c>
      <c r="G174" s="90" t="s">
        <v>2425</v>
      </c>
      <c r="H174" s="219" t="s">
        <v>648</v>
      </c>
      <c r="I174" s="110" t="str">
        <f>VLOOKUP(H174, 'RM &amp; SF'!B:H, 2, 0)</f>
        <v xml:space="preserve">خبز تنور </v>
      </c>
      <c r="J174" s="184" t="str">
        <f>VLOOKUP(H174, 'RM &amp; SF'!B:E, 4, 0)</f>
        <v>غم</v>
      </c>
      <c r="K174" s="12">
        <v>200</v>
      </c>
      <c r="L174" s="13">
        <f>VLOOKUP(H174, 'RM &amp; SF'!B:H, 7, 0)</f>
        <v>1.5104950793650793E-4</v>
      </c>
      <c r="M174" s="7">
        <f t="shared" si="8"/>
        <v>3.0209901587301587E-2</v>
      </c>
      <c r="N174" s="4" t="s">
        <v>825</v>
      </c>
      <c r="O174" s="4">
        <f>VLOOKUP(B174, 'All Menu'!B:L, 6, 0)</f>
        <v>10.344827586206897</v>
      </c>
      <c r="P174" s="6">
        <f>VLOOKUP(B174, 'All Menu'!B:L, 9, 0)</f>
        <v>3.13305976304324</v>
      </c>
      <c r="Q174" s="14">
        <f>VLOOKUP(B174, 'All Menu'!B:M, 12, 0)</f>
        <v>0.69713755623915341</v>
      </c>
      <c r="R174" s="173">
        <f t="shared" si="9"/>
        <v>0</v>
      </c>
    </row>
    <row r="175" spans="1:18" ht="14" hidden="1">
      <c r="A175" s="78" t="s">
        <v>2480</v>
      </c>
      <c r="B175" s="220" t="s">
        <v>1238</v>
      </c>
      <c r="C175" s="185"/>
      <c r="D175" s="103" t="str">
        <f>VLOOKUP(B175, 'All Menu'!B:M, 4, 0)</f>
        <v>مسخن فلسطيني دجاج 1 دجاجة</v>
      </c>
      <c r="E175" s="30" t="str">
        <f>VLOOKUP(B175, 'All Menu'!B:M, 2, 0)</f>
        <v>قسم التواصي</v>
      </c>
      <c r="F175" s="103" t="str">
        <f>VLOOKUP(B175, 'All Menu'!B:M, 3, 0)</f>
        <v>التواصي سفري</v>
      </c>
      <c r="G175" s="90" t="s">
        <v>2363</v>
      </c>
      <c r="H175" s="219" t="s">
        <v>758</v>
      </c>
      <c r="I175" s="110" t="str">
        <f>VLOOKUP(H175, 'RM &amp; SF'!B:H, 2, 0)</f>
        <v>ضربه بصل مسخن</v>
      </c>
      <c r="J175" s="184" t="str">
        <f>VLOOKUP(H175, 'RM &amp; SF'!B:E, 4, 0)</f>
        <v>غم</v>
      </c>
      <c r="K175" s="12">
        <v>920</v>
      </c>
      <c r="L175" s="13">
        <f>VLOOKUP(H175, 'RM &amp; SF'!B:H, 7, 0)</f>
        <v>2.2669666666666663E-3</v>
      </c>
      <c r="M175" s="7">
        <f t="shared" si="8"/>
        <v>2.0856093333333332</v>
      </c>
      <c r="N175" s="4" t="s">
        <v>825</v>
      </c>
      <c r="O175" s="4">
        <f>VLOOKUP(B175, 'All Menu'!B:L, 6, 0)</f>
        <v>10.344827586206897</v>
      </c>
      <c r="P175" s="6">
        <f>VLOOKUP(B175, 'All Menu'!B:L, 9, 0)</f>
        <v>3.13305976304324</v>
      </c>
      <c r="Q175" s="14">
        <f>VLOOKUP(B175, 'All Menu'!B:M, 12, 0)</f>
        <v>0.69713755623915341</v>
      </c>
      <c r="R175" s="173">
        <f t="shared" si="9"/>
        <v>0</v>
      </c>
    </row>
    <row r="176" spans="1:18" ht="14" hidden="1">
      <c r="A176" s="78" t="s">
        <v>2480</v>
      </c>
      <c r="B176" s="220" t="s">
        <v>1238</v>
      </c>
      <c r="C176" s="185"/>
      <c r="D176" s="103" t="str">
        <f>VLOOKUP(B176, 'All Menu'!B:M, 4, 0)</f>
        <v>مسخن فلسطيني دجاج 1 دجاجة</v>
      </c>
      <c r="E176" s="30" t="str">
        <f>VLOOKUP(B176, 'All Menu'!B:M, 2, 0)</f>
        <v>قسم التواصي</v>
      </c>
      <c r="F176" s="103" t="str">
        <f>VLOOKUP(B176, 'All Menu'!B:M, 3, 0)</f>
        <v>التواصي سفري</v>
      </c>
      <c r="G176" s="90" t="s">
        <v>2215</v>
      </c>
      <c r="H176" s="188">
        <v>4224</v>
      </c>
      <c r="I176" s="110" t="str">
        <f>VLOOKUP(H176, 'RM &amp; SF'!B:H, 2, 0)</f>
        <v>سماق*****</v>
      </c>
      <c r="J176" s="184" t="str">
        <f>VLOOKUP(H176, 'RM &amp; SF'!B:E, 4, 0)</f>
        <v>غم</v>
      </c>
      <c r="K176" s="12">
        <v>10</v>
      </c>
      <c r="L176" s="13">
        <f>VLOOKUP(H176, 'RM &amp; SF'!B:H, 7, 0)</f>
        <v>4.3099999999999996E-3</v>
      </c>
      <c r="M176" s="7">
        <f t="shared" si="8"/>
        <v>4.3099999999999999E-2</v>
      </c>
      <c r="N176" s="4" t="s">
        <v>825</v>
      </c>
      <c r="O176" s="4">
        <f>VLOOKUP(B176, 'All Menu'!B:L, 6, 0)</f>
        <v>10.344827586206897</v>
      </c>
      <c r="P176" s="6">
        <f>VLOOKUP(B176, 'All Menu'!B:L, 9, 0)</f>
        <v>3.13305976304324</v>
      </c>
      <c r="Q176" s="14">
        <f>VLOOKUP(B176, 'All Menu'!B:M, 12, 0)</f>
        <v>0.69713755623915341</v>
      </c>
      <c r="R176" s="173">
        <f t="shared" si="9"/>
        <v>0</v>
      </c>
    </row>
    <row r="177" spans="1:18" ht="14" hidden="1">
      <c r="A177" s="78" t="s">
        <v>2480</v>
      </c>
      <c r="B177" s="220" t="s">
        <v>1238</v>
      </c>
      <c r="C177" s="185"/>
      <c r="D177" s="103" t="str">
        <f>VLOOKUP(B177, 'All Menu'!B:M, 4, 0)</f>
        <v>مسخن فلسطيني دجاج 1 دجاجة</v>
      </c>
      <c r="E177" s="30" t="str">
        <f>VLOOKUP(B177, 'All Menu'!B:M, 2, 0)</f>
        <v>قسم التواصي</v>
      </c>
      <c r="F177" s="103" t="str">
        <f>VLOOKUP(B177, 'All Menu'!B:M, 3, 0)</f>
        <v>التواصي سفري</v>
      </c>
      <c r="G177" s="90" t="s">
        <v>2362</v>
      </c>
      <c r="H177" s="219" t="s">
        <v>756</v>
      </c>
      <c r="I177" s="110" t="str">
        <f>VLOOKUP(H177, 'RM &amp; SF'!B:H, 2, 0)</f>
        <v>دجاج مسخن</v>
      </c>
      <c r="J177" s="184" t="str">
        <f>VLOOKUP(H177, 'RM &amp; SF'!B:E, 4, 0)</f>
        <v>قطعة</v>
      </c>
      <c r="K177" s="12">
        <v>1</v>
      </c>
      <c r="L177" s="13">
        <f>VLOOKUP(H177, 'RM &amp; SF'!B:H, 7, 0)</f>
        <v>0.34595777777777781</v>
      </c>
      <c r="M177" s="7">
        <f t="shared" si="8"/>
        <v>0.34595777777777781</v>
      </c>
      <c r="N177" s="4" t="s">
        <v>825</v>
      </c>
      <c r="O177" s="4">
        <f>VLOOKUP(B177, 'All Menu'!B:L, 6, 0)</f>
        <v>10.344827586206897</v>
      </c>
      <c r="P177" s="6">
        <f>VLOOKUP(B177, 'All Menu'!B:L, 9, 0)</f>
        <v>3.13305976304324</v>
      </c>
      <c r="Q177" s="14">
        <f>VLOOKUP(B177, 'All Menu'!B:M, 12, 0)</f>
        <v>0.69713755623915341</v>
      </c>
      <c r="R177" s="173">
        <f t="shared" si="9"/>
        <v>0</v>
      </c>
    </row>
    <row r="178" spans="1:18" ht="14" hidden="1">
      <c r="A178" s="78" t="s">
        <v>2480</v>
      </c>
      <c r="B178" s="220" t="s">
        <v>1238</v>
      </c>
      <c r="C178" s="185"/>
      <c r="D178" s="103" t="str">
        <f>VLOOKUP(B178, 'All Menu'!B:M, 4, 0)</f>
        <v>مسخن فلسطيني دجاج 1 دجاجة</v>
      </c>
      <c r="E178" s="30" t="str">
        <f>VLOOKUP(B178, 'All Menu'!B:M, 2, 0)</f>
        <v>قسم التواصي</v>
      </c>
      <c r="F178" s="103" t="str">
        <f>VLOOKUP(B178, 'All Menu'!B:M, 3, 0)</f>
        <v>التواصي سفري</v>
      </c>
      <c r="G178" s="90" t="s">
        <v>2239</v>
      </c>
      <c r="H178" s="188">
        <v>4513</v>
      </c>
      <c r="I178" s="110" t="str">
        <f>VLOOKUP(H178, 'RM &amp; SF'!B:H, 2, 0)</f>
        <v>ليمون اصفر*****</v>
      </c>
      <c r="J178" s="184" t="str">
        <f>VLOOKUP(H178, 'RM &amp; SF'!B:E, 4, 0)</f>
        <v>غم</v>
      </c>
      <c r="K178" s="12">
        <v>100</v>
      </c>
      <c r="L178" s="13">
        <f>VLOOKUP(H178, 'RM &amp; SF'!B:H, 7, 0)</f>
        <v>1.75E-3</v>
      </c>
      <c r="M178" s="7">
        <f t="shared" si="8"/>
        <v>0.17500000000000002</v>
      </c>
      <c r="N178" s="4" t="s">
        <v>825</v>
      </c>
      <c r="O178" s="4">
        <f>VLOOKUP(B178, 'All Menu'!B:L, 6, 0)</f>
        <v>10.344827586206897</v>
      </c>
      <c r="P178" s="6">
        <f>VLOOKUP(B178, 'All Menu'!B:L, 9, 0)</f>
        <v>3.13305976304324</v>
      </c>
      <c r="Q178" s="14">
        <f>VLOOKUP(B178, 'All Menu'!B:M, 12, 0)</f>
        <v>0.69713755623915341</v>
      </c>
      <c r="R178" s="173">
        <f t="shared" si="9"/>
        <v>0</v>
      </c>
    </row>
    <row r="179" spans="1:18" ht="14" hidden="1">
      <c r="A179" s="78" t="s">
        <v>2480</v>
      </c>
      <c r="B179" s="220" t="s">
        <v>1238</v>
      </c>
      <c r="C179" s="185"/>
      <c r="D179" s="103" t="str">
        <f>VLOOKUP(B179, 'All Menu'!B:M, 4, 0)</f>
        <v>مسخن فلسطيني دجاج 1 دجاجة</v>
      </c>
      <c r="E179" s="30" t="str">
        <f>VLOOKUP(B179, 'All Menu'!B:M, 2, 0)</f>
        <v>قسم التواصي</v>
      </c>
      <c r="F179" s="103" t="str">
        <f>VLOOKUP(B179, 'All Menu'!B:M, 3, 0)</f>
        <v>التواصي سفري</v>
      </c>
      <c r="G179" s="90" t="s">
        <v>2231</v>
      </c>
      <c r="H179" s="188">
        <v>4499</v>
      </c>
      <c r="I179" s="110" t="str">
        <f>VLOOKUP(H179, 'RM &amp; SF'!B:H, 2, 0)</f>
        <v>فلفل حار اخضر*****</v>
      </c>
      <c r="J179" s="184" t="str">
        <f>VLOOKUP(H179, 'RM &amp; SF'!B:E, 4, 0)</f>
        <v>غم</v>
      </c>
      <c r="K179" s="12">
        <v>15</v>
      </c>
      <c r="L179" s="13">
        <f>VLOOKUP(H179, 'RM &amp; SF'!B:H, 7, 0)</f>
        <v>5.0000000000000001E-4</v>
      </c>
      <c r="M179" s="7">
        <f t="shared" si="8"/>
        <v>7.4999999999999997E-3</v>
      </c>
      <c r="N179" s="4" t="s">
        <v>825</v>
      </c>
      <c r="O179" s="4">
        <f>VLOOKUP(B179, 'All Menu'!B:L, 6, 0)</f>
        <v>10.344827586206897</v>
      </c>
      <c r="P179" s="6">
        <f>VLOOKUP(B179, 'All Menu'!B:L, 9, 0)</f>
        <v>3.13305976304324</v>
      </c>
      <c r="Q179" s="14">
        <f>VLOOKUP(B179, 'All Menu'!B:M, 12, 0)</f>
        <v>0.69713755623915341</v>
      </c>
      <c r="R179" s="173">
        <f t="shared" si="9"/>
        <v>0</v>
      </c>
    </row>
    <row r="180" spans="1:18" ht="14" hidden="1">
      <c r="A180" s="78" t="s">
        <v>2480</v>
      </c>
      <c r="B180" s="220" t="s">
        <v>1238</v>
      </c>
      <c r="C180" s="185"/>
      <c r="D180" s="103" t="str">
        <f>VLOOKUP(B180, 'All Menu'!B:M, 4, 0)</f>
        <v>مسخن فلسطيني دجاج 1 دجاجة</v>
      </c>
      <c r="E180" s="30" t="str">
        <f>VLOOKUP(B180, 'All Menu'!B:M, 2, 0)</f>
        <v>قسم التواصي</v>
      </c>
      <c r="F180" s="103" t="str">
        <f>VLOOKUP(B180, 'All Menu'!B:M, 3, 0)</f>
        <v>التواصي سفري</v>
      </c>
      <c r="G180" s="90" t="s">
        <v>2341</v>
      </c>
      <c r="H180" s="219" t="s">
        <v>706</v>
      </c>
      <c r="I180" s="110" t="str">
        <f>VLOOKUP(H180, 'RM &amp; SF'!B:H, 2, 0)</f>
        <v>لوز مقلي</v>
      </c>
      <c r="J180" s="184" t="str">
        <f>VLOOKUP(H180, 'RM &amp; SF'!B:E, 4, 0)</f>
        <v>غم</v>
      </c>
      <c r="K180" s="12">
        <v>40</v>
      </c>
      <c r="L180" s="13">
        <f>VLOOKUP(H180, 'RM &amp; SF'!B:H, 7, 0)</f>
        <v>4.1352327586206888E-3</v>
      </c>
      <c r="M180" s="7">
        <f t="shared" si="8"/>
        <v>0.16540931034482756</v>
      </c>
      <c r="N180" s="4" t="s">
        <v>825</v>
      </c>
      <c r="O180" s="4">
        <f>VLOOKUP(B180, 'All Menu'!B:L, 6, 0)</f>
        <v>10.344827586206897</v>
      </c>
      <c r="P180" s="6">
        <f>VLOOKUP(B180, 'All Menu'!B:L, 9, 0)</f>
        <v>3.13305976304324</v>
      </c>
      <c r="Q180" s="14">
        <f>VLOOKUP(B180, 'All Menu'!B:M, 12, 0)</f>
        <v>0.69713755623915341</v>
      </c>
      <c r="R180" s="173">
        <f t="shared" si="9"/>
        <v>0</v>
      </c>
    </row>
    <row r="181" spans="1:18" ht="14" hidden="1">
      <c r="A181" s="78" t="s">
        <v>2480</v>
      </c>
      <c r="B181" s="220" t="s">
        <v>1238</v>
      </c>
      <c r="C181" s="185"/>
      <c r="D181" s="103" t="str">
        <f>VLOOKUP(B181, 'All Menu'!B:M, 4, 0)</f>
        <v>مسخن فلسطيني دجاج 1 دجاجة</v>
      </c>
      <c r="E181" s="30" t="str">
        <f>VLOOKUP(B181, 'All Menu'!B:M, 2, 0)</f>
        <v>قسم التواصي</v>
      </c>
      <c r="F181" s="103" t="str">
        <f>VLOOKUP(B181, 'All Menu'!B:M, 3, 0)</f>
        <v>التواصي سفري</v>
      </c>
      <c r="G181" s="90" t="s">
        <v>3058</v>
      </c>
      <c r="H181" s="188">
        <v>4354</v>
      </c>
      <c r="I181" s="110" t="str">
        <f>VLOOKUP(H181, 'RM &amp; SF'!B:H, 2, 0)</f>
        <v>سدر بلاستيك دائري 35 سم*****</v>
      </c>
      <c r="J181" s="184" t="str">
        <f>VLOOKUP(H181, 'RM &amp; SF'!B:E, 4, 0)</f>
        <v>قطعة</v>
      </c>
      <c r="K181" s="12">
        <v>1</v>
      </c>
      <c r="L181" s="13">
        <f>VLOOKUP(H181, 'RM &amp; SF'!B:H, 7, 0)</f>
        <v>0.28016999999999997</v>
      </c>
      <c r="M181" s="7">
        <f t="shared" si="8"/>
        <v>0.28016999999999997</v>
      </c>
      <c r="N181" s="4" t="s">
        <v>825</v>
      </c>
      <c r="O181" s="4">
        <f>VLOOKUP(B181, 'All Menu'!B:L, 6, 0)</f>
        <v>10.344827586206897</v>
      </c>
      <c r="P181" s="6">
        <f>VLOOKUP(B181, 'All Menu'!B:L, 9, 0)</f>
        <v>3.13305976304324</v>
      </c>
      <c r="Q181" s="14">
        <f>VLOOKUP(B181, 'All Menu'!B:M, 12, 0)</f>
        <v>0.69713755623915341</v>
      </c>
      <c r="R181" s="173">
        <f t="shared" si="9"/>
        <v>0</v>
      </c>
    </row>
    <row r="182" spans="1:18" ht="14" hidden="1">
      <c r="A182" s="78" t="s">
        <v>2480</v>
      </c>
      <c r="B182" s="220" t="s">
        <v>1238</v>
      </c>
      <c r="C182" s="185"/>
      <c r="D182" s="103" t="str">
        <f>VLOOKUP(B182, 'All Menu'!B:M, 4, 0)</f>
        <v>مسخن فلسطيني دجاج 1 دجاجة</v>
      </c>
      <c r="E182" s="30" t="str">
        <f>VLOOKUP(B182, 'All Menu'!B:M, 2, 0)</f>
        <v>قسم التواصي</v>
      </c>
      <c r="F182" s="103" t="str">
        <f>VLOOKUP(B182, 'All Menu'!B:M, 3, 0)</f>
        <v>التواصي سفري</v>
      </c>
      <c r="G182" s="90" t="s">
        <v>2194</v>
      </c>
      <c r="H182" s="188">
        <v>4323</v>
      </c>
      <c r="I182" s="110" t="str">
        <f>VLOOKUP(H182, 'RM &amp; SF'!B:H, 2, 0)</f>
        <v>قصدير رول 45 سم*2كغ*****</v>
      </c>
      <c r="J182" s="184" t="str">
        <f>VLOOKUP(H182, 'RM &amp; SF'!B:E, 4, 0)</f>
        <v>غم</v>
      </c>
      <c r="K182" s="12">
        <v>0.06</v>
      </c>
      <c r="L182" s="13">
        <f>VLOOKUP(H182, 'RM &amp; SF'!B:H, 7, 0)</f>
        <v>1.7240000000000001E-3</v>
      </c>
      <c r="M182" s="7">
        <f t="shared" si="8"/>
        <v>1.0344E-4</v>
      </c>
      <c r="N182" s="4" t="s">
        <v>825</v>
      </c>
      <c r="O182" s="4">
        <f>VLOOKUP(B182, 'All Menu'!B:L, 6, 0)</f>
        <v>10.344827586206897</v>
      </c>
      <c r="P182" s="6">
        <f>VLOOKUP(B182, 'All Menu'!B:L, 9, 0)</f>
        <v>3.13305976304324</v>
      </c>
      <c r="Q182" s="14">
        <f>VLOOKUP(B182, 'All Menu'!B:M, 12, 0)</f>
        <v>0.69713755623915341</v>
      </c>
      <c r="R182" s="173">
        <f t="shared" si="9"/>
        <v>0</v>
      </c>
    </row>
    <row r="183" spans="1:18" ht="14" hidden="1">
      <c r="A183" s="78" t="s">
        <v>2482</v>
      </c>
      <c r="B183" s="220" t="s">
        <v>1239</v>
      </c>
      <c r="C183" s="185"/>
      <c r="D183" s="103" t="str">
        <f>VLOOKUP(B183, 'All Menu'!B:M, 4, 0)</f>
        <v>فريكة /دجاجة</v>
      </c>
      <c r="E183" s="30" t="str">
        <f>VLOOKUP(B183, 'All Menu'!B:M, 2, 0)</f>
        <v>قسم التواصي</v>
      </c>
      <c r="F183" s="103" t="str">
        <f>VLOOKUP(B183, 'All Menu'!B:M, 3, 0)</f>
        <v>التواصي سفري</v>
      </c>
      <c r="G183" s="90" t="s">
        <v>2421</v>
      </c>
      <c r="H183" s="219" t="s">
        <v>622</v>
      </c>
      <c r="I183" s="110" t="str">
        <f>VLOOKUP(H183, 'RM &amp; SF'!B:H, 2, 0)</f>
        <v>فريكة مطبوخة</v>
      </c>
      <c r="J183" s="184" t="str">
        <f>VLOOKUP(H183, 'RM &amp; SF'!B:E, 4, 0)</f>
        <v>غم</v>
      </c>
      <c r="K183" s="12">
        <v>1500</v>
      </c>
      <c r="L183" s="13">
        <f>VLOOKUP(H183, 'RM &amp; SF'!B:H, 7, 0)</f>
        <v>1.2594586666666669E-3</v>
      </c>
      <c r="M183" s="7">
        <f t="shared" si="8"/>
        <v>1.8891880000000003</v>
      </c>
      <c r="N183" s="4" t="s">
        <v>825</v>
      </c>
      <c r="O183" s="4">
        <f>VLOOKUP(B183, 'All Menu'!B:L, 6, 0)</f>
        <v>10.344827586206897</v>
      </c>
      <c r="P183" s="6">
        <f>VLOOKUP(B183, 'All Menu'!B:L, 9, 0)</f>
        <v>5.3451273273786093</v>
      </c>
      <c r="Q183" s="14">
        <f>VLOOKUP(B183, 'All Menu'!B:M, 12, 0)</f>
        <v>0.48330435835340113</v>
      </c>
      <c r="R183" s="173">
        <f t="shared" si="9"/>
        <v>0</v>
      </c>
    </row>
    <row r="184" spans="1:18" ht="14" hidden="1">
      <c r="A184" s="78" t="s">
        <v>2482</v>
      </c>
      <c r="B184" s="220" t="s">
        <v>1239</v>
      </c>
      <c r="C184" s="185"/>
      <c r="D184" s="103" t="str">
        <f>VLOOKUP(B184, 'All Menu'!B:M, 4, 0)</f>
        <v>فريكة /دجاجة</v>
      </c>
      <c r="E184" s="30" t="str">
        <f>VLOOKUP(B184, 'All Menu'!B:M, 2, 0)</f>
        <v>قسم التواصي</v>
      </c>
      <c r="F184" s="103" t="str">
        <f>VLOOKUP(B184, 'All Menu'!B:M, 3, 0)</f>
        <v>التواصي سفري</v>
      </c>
      <c r="G184" s="90" t="s">
        <v>2354</v>
      </c>
      <c r="H184" s="219" t="s">
        <v>734</v>
      </c>
      <c r="I184" s="110" t="str">
        <f>VLOOKUP(H184, 'RM &amp; SF'!B:H, 2, 0)</f>
        <v>دجاج اللاين متبل</v>
      </c>
      <c r="J184" s="184" t="str">
        <f>VLOOKUP(H184, 'RM &amp; SF'!B:E, 4, 0)</f>
        <v>قطعة</v>
      </c>
      <c r="K184" s="12">
        <v>1</v>
      </c>
      <c r="L184" s="13">
        <f>VLOOKUP(H184, 'RM &amp; SF'!B:H, 7, 0)</f>
        <v>2.9227303784037559</v>
      </c>
      <c r="M184" s="7">
        <f t="shared" si="8"/>
        <v>2.9227303784037559</v>
      </c>
      <c r="N184" s="4" t="s">
        <v>825</v>
      </c>
      <c r="O184" s="4">
        <f>VLOOKUP(B184, 'All Menu'!B:L, 6, 0)</f>
        <v>10.344827586206897</v>
      </c>
      <c r="P184" s="6">
        <f>VLOOKUP(B184, 'All Menu'!B:L, 9, 0)</f>
        <v>5.3451273273786093</v>
      </c>
      <c r="Q184" s="14">
        <f>VLOOKUP(B184, 'All Menu'!B:M, 12, 0)</f>
        <v>0.48330435835340113</v>
      </c>
      <c r="R184" s="173">
        <f t="shared" si="9"/>
        <v>0</v>
      </c>
    </row>
    <row r="185" spans="1:18" ht="14" hidden="1">
      <c r="A185" s="78" t="s">
        <v>2482</v>
      </c>
      <c r="B185" s="220" t="s">
        <v>1239</v>
      </c>
      <c r="C185" s="185"/>
      <c r="D185" s="103" t="str">
        <f>VLOOKUP(B185, 'All Menu'!B:M, 4, 0)</f>
        <v>فريكة /دجاجة</v>
      </c>
      <c r="E185" s="30" t="str">
        <f>VLOOKUP(B185, 'All Menu'!B:M, 2, 0)</f>
        <v>قسم التواصي</v>
      </c>
      <c r="F185" s="103" t="str">
        <f>VLOOKUP(B185, 'All Menu'!B:M, 3, 0)</f>
        <v>التواصي سفري</v>
      </c>
      <c r="G185" s="90" t="s">
        <v>3058</v>
      </c>
      <c r="H185" s="188">
        <v>4354</v>
      </c>
      <c r="I185" s="110" t="str">
        <f>VLOOKUP(H185, 'RM &amp; SF'!B:H, 2, 0)</f>
        <v>سدر بلاستيك دائري 35 سم*****</v>
      </c>
      <c r="J185" s="184" t="str">
        <f>VLOOKUP(H185, 'RM &amp; SF'!B:E, 4, 0)</f>
        <v>قطعة</v>
      </c>
      <c r="K185" s="12">
        <v>1</v>
      </c>
      <c r="L185" s="13">
        <f>VLOOKUP(H185, 'RM &amp; SF'!B:H, 7, 0)</f>
        <v>0.28016999999999997</v>
      </c>
      <c r="M185" s="7">
        <f t="shared" si="8"/>
        <v>0.28016999999999997</v>
      </c>
      <c r="N185" s="4" t="s">
        <v>825</v>
      </c>
      <c r="O185" s="4">
        <f>VLOOKUP(B185, 'All Menu'!B:L, 6, 0)</f>
        <v>10.344827586206897</v>
      </c>
      <c r="P185" s="6">
        <f>VLOOKUP(B185, 'All Menu'!B:L, 9, 0)</f>
        <v>5.3451273273786093</v>
      </c>
      <c r="Q185" s="14">
        <f>VLOOKUP(B185, 'All Menu'!B:M, 12, 0)</f>
        <v>0.48330435835340113</v>
      </c>
      <c r="R185" s="173">
        <f t="shared" si="9"/>
        <v>0</v>
      </c>
    </row>
    <row r="186" spans="1:18" ht="14" hidden="1">
      <c r="A186" s="78" t="s">
        <v>2482</v>
      </c>
      <c r="B186" s="220" t="s">
        <v>1239</v>
      </c>
      <c r="C186" s="185"/>
      <c r="D186" s="103" t="str">
        <f>VLOOKUP(B186, 'All Menu'!B:M, 4, 0)</f>
        <v>فريكة /دجاجة</v>
      </c>
      <c r="E186" s="30" t="str">
        <f>VLOOKUP(B186, 'All Menu'!B:M, 2, 0)</f>
        <v>قسم التواصي</v>
      </c>
      <c r="F186" s="103" t="str">
        <f>VLOOKUP(B186, 'All Menu'!B:M, 3, 0)</f>
        <v>التواصي سفري</v>
      </c>
      <c r="G186" s="90" t="s">
        <v>2228</v>
      </c>
      <c r="H186" s="219" t="s">
        <v>566</v>
      </c>
      <c r="I186" s="110" t="str">
        <f>VLOOKUP(H186, 'RM &amp; SF'!B:H, 2, 0)</f>
        <v>خيار بلبن</v>
      </c>
      <c r="J186" s="184" t="str">
        <f>VLOOKUP(H186, 'RM &amp; SF'!B:E, 4, 0)</f>
        <v>غم</v>
      </c>
      <c r="K186" s="12">
        <v>250</v>
      </c>
      <c r="L186" s="13">
        <f>VLOOKUP(H186, 'RM &amp; SF'!B:H, 7, 0)</f>
        <v>1.0121557958994094E-3</v>
      </c>
      <c r="M186" s="7">
        <f t="shared" si="8"/>
        <v>0.25303894897485235</v>
      </c>
      <c r="N186" s="4" t="s">
        <v>825</v>
      </c>
      <c r="O186" s="4">
        <f>VLOOKUP(B186, 'All Menu'!B:L, 6, 0)</f>
        <v>10.344827586206897</v>
      </c>
      <c r="P186" s="6">
        <f>VLOOKUP(B186, 'All Menu'!B:L, 9, 0)</f>
        <v>5.3451273273786093</v>
      </c>
      <c r="Q186" s="14">
        <f>VLOOKUP(B186, 'All Menu'!B:M, 12, 0)</f>
        <v>0.48330435835340113</v>
      </c>
      <c r="R186" s="173">
        <f t="shared" si="9"/>
        <v>0</v>
      </c>
    </row>
    <row r="187" spans="1:18" ht="14" hidden="1">
      <c r="A187" s="78" t="s">
        <v>2485</v>
      </c>
      <c r="B187" s="220" t="s">
        <v>1240</v>
      </c>
      <c r="C187" s="185"/>
      <c r="D187" s="103" t="str">
        <f>VLOOKUP(B187, 'All Menu'!B:M, 4, 0)</f>
        <v>روستو كتف او فخد مشوي /كيلو</v>
      </c>
      <c r="E187" s="30" t="str">
        <f>VLOOKUP(B187, 'All Menu'!B:M, 2, 0)</f>
        <v>قسم التواصي</v>
      </c>
      <c r="F187" s="103" t="str">
        <f>VLOOKUP(B187, 'All Menu'!B:M, 3, 0)</f>
        <v>التواصي سفري2</v>
      </c>
      <c r="G187" s="90" t="s">
        <v>3058</v>
      </c>
      <c r="H187" s="188">
        <v>5434</v>
      </c>
      <c r="I187" s="110" t="str">
        <f>VLOOKUP(H187, 'RM &amp; SF'!B:H, 2, 0)</f>
        <v xml:space="preserve"> خروف روماني</v>
      </c>
      <c r="J187" s="184" t="str">
        <f>VLOOKUP(H187, 'RM &amp; SF'!B:E, 4, 0)</f>
        <v>غم</v>
      </c>
      <c r="K187" s="12">
        <v>1000</v>
      </c>
      <c r="L187" s="13">
        <f>VLOOKUP(H187, 'RM &amp; SF'!B:H, 7, 0)</f>
        <v>1.14E-2</v>
      </c>
      <c r="M187" s="7">
        <f t="shared" si="8"/>
        <v>11.4</v>
      </c>
      <c r="N187" s="4" t="s">
        <v>825</v>
      </c>
      <c r="O187" s="4">
        <f>VLOOKUP(B187, 'All Menu'!B:L, 6, 0)</f>
        <v>18.965517241379313</v>
      </c>
      <c r="P187" s="6">
        <f>VLOOKUP(B187, 'All Menu'!B:L, 9, 0)</f>
        <v>14.227830759766878</v>
      </c>
      <c r="Q187" s="14">
        <f>VLOOKUP(B187, 'All Menu'!B:M, 12, 0)</f>
        <v>0.249805287212292</v>
      </c>
      <c r="R187" s="173">
        <f t="shared" si="9"/>
        <v>0</v>
      </c>
    </row>
    <row r="188" spans="1:18" ht="14" hidden="1">
      <c r="A188" s="78" t="s">
        <v>2485</v>
      </c>
      <c r="B188" s="220" t="s">
        <v>1240</v>
      </c>
      <c r="C188" s="185"/>
      <c r="D188" s="103" t="str">
        <f>VLOOKUP(B188, 'All Menu'!B:M, 4, 0)</f>
        <v>روستو كتف او فخد مشوي /كيلو</v>
      </c>
      <c r="E188" s="30" t="str">
        <f>VLOOKUP(B188, 'All Menu'!B:M, 2, 0)</f>
        <v>قسم التواصي</v>
      </c>
      <c r="F188" s="103" t="str">
        <f>VLOOKUP(B188, 'All Menu'!B:M, 3, 0)</f>
        <v>التواصي سفري2</v>
      </c>
      <c r="G188" s="90" t="s">
        <v>2260</v>
      </c>
      <c r="H188" s="188">
        <v>4160</v>
      </c>
      <c r="I188" s="110" t="str">
        <f>VLOOKUP(H188, 'RM &amp; SF'!B:H, 2, 0)</f>
        <v>زيت صويا 18 لتر*****</v>
      </c>
      <c r="J188" s="184" t="str">
        <f>VLOOKUP(H188, 'RM &amp; SF'!B:E, 4, 0)</f>
        <v>مل</v>
      </c>
      <c r="K188" s="12">
        <v>100</v>
      </c>
      <c r="L188" s="13">
        <f>VLOOKUP(H188, 'RM &amp; SF'!B:H, 7, 0)</f>
        <v>1.335E-3</v>
      </c>
      <c r="M188" s="7">
        <f t="shared" si="8"/>
        <v>0.13350000000000001</v>
      </c>
      <c r="N188" s="4" t="s">
        <v>825</v>
      </c>
      <c r="O188" s="4">
        <f>VLOOKUP(B188, 'All Menu'!B:L, 6, 0)</f>
        <v>18.965517241379313</v>
      </c>
      <c r="P188" s="6">
        <f>VLOOKUP(B188, 'All Menu'!B:L, 9, 0)</f>
        <v>14.227830759766878</v>
      </c>
      <c r="Q188" s="14">
        <f>VLOOKUP(B188, 'All Menu'!B:M, 12, 0)</f>
        <v>0.249805287212292</v>
      </c>
      <c r="R188" s="173">
        <f t="shared" si="9"/>
        <v>0</v>
      </c>
    </row>
    <row r="189" spans="1:18" ht="14" hidden="1">
      <c r="A189" s="78" t="s">
        <v>2485</v>
      </c>
      <c r="B189" s="220" t="s">
        <v>1240</v>
      </c>
      <c r="C189" s="185"/>
      <c r="D189" s="103" t="str">
        <f>VLOOKUP(B189, 'All Menu'!B:M, 4, 0)</f>
        <v>روستو كتف او فخد مشوي /كيلو</v>
      </c>
      <c r="E189" s="30" t="str">
        <f>VLOOKUP(B189, 'All Menu'!B:M, 2, 0)</f>
        <v>قسم التواصي</v>
      </c>
      <c r="F189" s="103" t="str">
        <f>VLOOKUP(B189, 'All Menu'!B:M, 3, 0)</f>
        <v>التواصي سفري2</v>
      </c>
      <c r="G189" s="90" t="s">
        <v>2438</v>
      </c>
      <c r="H189" s="219" t="s">
        <v>652</v>
      </c>
      <c r="I189" s="110" t="str">
        <f>VLOOKUP(H189, 'RM &amp; SF'!B:H, 2, 0)</f>
        <v>تتبيلة دجاج اللاين</v>
      </c>
      <c r="J189" s="184" t="str">
        <f>VLOOKUP(H189, 'RM &amp; SF'!B:E, 4, 0)</f>
        <v>غم</v>
      </c>
      <c r="K189" s="12">
        <v>80</v>
      </c>
      <c r="L189" s="13">
        <f>VLOOKUP(H189, 'RM &amp; SF'!B:H, 7, 0)</f>
        <v>1.7522965258215965E-3</v>
      </c>
      <c r="M189" s="7">
        <f t="shared" si="8"/>
        <v>0.14018372206572771</v>
      </c>
      <c r="N189" s="4" t="s">
        <v>825</v>
      </c>
      <c r="O189" s="4">
        <f>VLOOKUP(B189, 'All Menu'!B:L, 6, 0)</f>
        <v>18.965517241379313</v>
      </c>
      <c r="P189" s="6">
        <f>VLOOKUP(B189, 'All Menu'!B:L, 9, 0)</f>
        <v>14.227830759766878</v>
      </c>
      <c r="Q189" s="14">
        <f>VLOOKUP(B189, 'All Menu'!B:M, 12, 0)</f>
        <v>0.249805287212292</v>
      </c>
      <c r="R189" s="173">
        <f t="shared" si="9"/>
        <v>0</v>
      </c>
    </row>
    <row r="190" spans="1:18" ht="14" hidden="1">
      <c r="A190" s="78" t="s">
        <v>2485</v>
      </c>
      <c r="B190" s="220" t="s">
        <v>1240</v>
      </c>
      <c r="C190" s="185"/>
      <c r="D190" s="103" t="str">
        <f>VLOOKUP(B190, 'All Menu'!B:M, 4, 0)</f>
        <v>روستو كتف او فخد مشوي /كيلو</v>
      </c>
      <c r="E190" s="30" t="str">
        <f>VLOOKUP(B190, 'All Menu'!B:M, 2, 0)</f>
        <v>قسم التواصي</v>
      </c>
      <c r="F190" s="103" t="str">
        <f>VLOOKUP(B190, 'All Menu'!B:M, 3, 0)</f>
        <v>التواصي سفري2</v>
      </c>
      <c r="G190" s="90" t="s">
        <v>2377</v>
      </c>
      <c r="H190" s="219" t="s">
        <v>796</v>
      </c>
      <c r="I190" s="110" t="str">
        <f>VLOOKUP(H190, 'RM &amp; SF'!B:H, 2, 0)</f>
        <v>رز مبهر</v>
      </c>
      <c r="J190" s="184" t="str">
        <f>VLOOKUP(H190, 'RM &amp; SF'!B:E, 4, 0)</f>
        <v>غم</v>
      </c>
      <c r="K190" s="12">
        <v>2000</v>
      </c>
      <c r="L190" s="13">
        <f>VLOOKUP(H190, 'RM &amp; SF'!B:H, 7, 0)</f>
        <v>8.1314491666666653E-4</v>
      </c>
      <c r="M190" s="7">
        <f t="shared" si="8"/>
        <v>1.6262898333333331</v>
      </c>
      <c r="N190" s="4" t="s">
        <v>825</v>
      </c>
      <c r="O190" s="4">
        <f>VLOOKUP(B190, 'All Menu'!B:L, 6, 0)</f>
        <v>18.965517241379313</v>
      </c>
      <c r="P190" s="6">
        <f>VLOOKUP(B190, 'All Menu'!B:L, 9, 0)</f>
        <v>14.227830759766878</v>
      </c>
      <c r="Q190" s="14">
        <f>VLOOKUP(B190, 'All Menu'!B:M, 12, 0)</f>
        <v>0.249805287212292</v>
      </c>
      <c r="R190" s="173">
        <f t="shared" si="9"/>
        <v>0</v>
      </c>
    </row>
    <row r="191" spans="1:18" ht="14" hidden="1">
      <c r="A191" s="78" t="s">
        <v>2485</v>
      </c>
      <c r="B191" s="220" t="s">
        <v>1240</v>
      </c>
      <c r="C191" s="185"/>
      <c r="D191" s="103" t="str">
        <f>VLOOKUP(B191, 'All Menu'!B:M, 4, 0)</f>
        <v>روستو كتف او فخد مشوي /كيلو</v>
      </c>
      <c r="E191" s="30" t="str">
        <f>VLOOKUP(B191, 'All Menu'!B:M, 2, 0)</f>
        <v>قسم التواصي</v>
      </c>
      <c r="F191" s="103" t="str">
        <f>VLOOKUP(B191, 'All Menu'!B:M, 3, 0)</f>
        <v>التواصي سفري2</v>
      </c>
      <c r="G191" s="90" t="s">
        <v>2341</v>
      </c>
      <c r="H191" s="219" t="s">
        <v>706</v>
      </c>
      <c r="I191" s="110" t="str">
        <f>VLOOKUP(H191, 'RM &amp; SF'!B:H, 2, 0)</f>
        <v>لوز مقلي</v>
      </c>
      <c r="J191" s="184" t="str">
        <f>VLOOKUP(H191, 'RM &amp; SF'!B:E, 4, 0)</f>
        <v>غم</v>
      </c>
      <c r="K191" s="12">
        <v>150</v>
      </c>
      <c r="L191" s="13">
        <f>VLOOKUP(H191, 'RM &amp; SF'!B:H, 7, 0)</f>
        <v>4.1352327586206888E-3</v>
      </c>
      <c r="M191" s="7">
        <f t="shared" si="8"/>
        <v>0.62028491379310335</v>
      </c>
      <c r="N191" s="4" t="s">
        <v>825</v>
      </c>
      <c r="O191" s="4">
        <f>VLOOKUP(B191, 'All Menu'!B:L, 6, 0)</f>
        <v>18.965517241379313</v>
      </c>
      <c r="P191" s="6">
        <f>VLOOKUP(B191, 'All Menu'!B:L, 9, 0)</f>
        <v>14.227830759766878</v>
      </c>
      <c r="Q191" s="14">
        <f>VLOOKUP(B191, 'All Menu'!B:M, 12, 0)</f>
        <v>0.249805287212292</v>
      </c>
      <c r="R191" s="173">
        <f t="shared" si="9"/>
        <v>0</v>
      </c>
    </row>
    <row r="192" spans="1:18" ht="14" hidden="1">
      <c r="A192" s="78" t="s">
        <v>2485</v>
      </c>
      <c r="B192" s="220" t="s">
        <v>1240</v>
      </c>
      <c r="C192" s="185"/>
      <c r="D192" s="103" t="str">
        <f>VLOOKUP(B192, 'All Menu'!B:M, 4, 0)</f>
        <v>روستو كتف او فخد مشوي /كيلو</v>
      </c>
      <c r="E192" s="30" t="str">
        <f>VLOOKUP(B192, 'All Menu'!B:M, 2, 0)</f>
        <v>قسم التواصي</v>
      </c>
      <c r="F192" s="103" t="str">
        <f>VLOOKUP(B192, 'All Menu'!B:M, 3, 0)</f>
        <v>التواصي سفري2</v>
      </c>
      <c r="G192" s="90" t="s">
        <v>3058</v>
      </c>
      <c r="H192" s="188">
        <v>4354</v>
      </c>
      <c r="I192" s="110" t="str">
        <f>VLOOKUP(H192, 'RM &amp; SF'!B:H, 2, 0)</f>
        <v>سدر بلاستيك دائري 35 سم*****</v>
      </c>
      <c r="J192" s="184" t="str">
        <f>VLOOKUP(H192, 'RM &amp; SF'!B:E, 4, 0)</f>
        <v>قطعة</v>
      </c>
      <c r="K192" s="12">
        <v>1</v>
      </c>
      <c r="L192" s="13">
        <f>VLOOKUP(H192, 'RM &amp; SF'!B:H, 7, 0)</f>
        <v>0.28016999999999997</v>
      </c>
      <c r="M192" s="7">
        <f t="shared" si="8"/>
        <v>0.28016999999999997</v>
      </c>
      <c r="N192" s="4" t="s">
        <v>825</v>
      </c>
      <c r="O192" s="4">
        <f>VLOOKUP(B192, 'All Menu'!B:L, 6, 0)</f>
        <v>18.965517241379313</v>
      </c>
      <c r="P192" s="6">
        <f>VLOOKUP(B192, 'All Menu'!B:L, 9, 0)</f>
        <v>14.227830759766878</v>
      </c>
      <c r="Q192" s="14">
        <f>VLOOKUP(B192, 'All Menu'!B:M, 12, 0)</f>
        <v>0.249805287212292</v>
      </c>
      <c r="R192" s="173">
        <f t="shared" si="9"/>
        <v>0</v>
      </c>
    </row>
    <row r="193" spans="1:18" ht="14" hidden="1">
      <c r="A193" s="78" t="s">
        <v>2485</v>
      </c>
      <c r="B193" s="220" t="s">
        <v>1240</v>
      </c>
      <c r="C193" s="185"/>
      <c r="D193" s="103" t="str">
        <f>VLOOKUP(B193, 'All Menu'!B:M, 4, 0)</f>
        <v>روستو كتف او فخد مشوي /كيلو</v>
      </c>
      <c r="E193" s="30" t="str">
        <f>VLOOKUP(B193, 'All Menu'!B:M, 2, 0)</f>
        <v>قسم التواصي</v>
      </c>
      <c r="F193" s="103" t="str">
        <f>VLOOKUP(B193, 'All Menu'!B:M, 3, 0)</f>
        <v>التواصي سفري2</v>
      </c>
      <c r="G193" s="90" t="s">
        <v>2194</v>
      </c>
      <c r="H193" s="188">
        <v>4323</v>
      </c>
      <c r="I193" s="110" t="str">
        <f>VLOOKUP(H193, 'RM &amp; SF'!B:H, 2, 0)</f>
        <v>قصدير رول 45 سم*2كغ*****</v>
      </c>
      <c r="J193" s="184" t="str">
        <f>VLOOKUP(H193, 'RM &amp; SF'!B:E, 4, 0)</f>
        <v>غم</v>
      </c>
      <c r="K193" s="12">
        <v>0.06</v>
      </c>
      <c r="L193" s="13">
        <f>VLOOKUP(H193, 'RM &amp; SF'!B:H, 7, 0)</f>
        <v>1.7240000000000001E-3</v>
      </c>
      <c r="M193" s="7">
        <f t="shared" si="8"/>
        <v>1.0344E-4</v>
      </c>
      <c r="N193" s="4" t="s">
        <v>825</v>
      </c>
      <c r="O193" s="4">
        <f>VLOOKUP(B193, 'All Menu'!B:L, 6, 0)</f>
        <v>18.965517241379313</v>
      </c>
      <c r="P193" s="6">
        <f>VLOOKUP(B193, 'All Menu'!B:L, 9, 0)</f>
        <v>14.227830759766878</v>
      </c>
      <c r="Q193" s="14">
        <f>VLOOKUP(B193, 'All Menu'!B:M, 12, 0)</f>
        <v>0.249805287212292</v>
      </c>
      <c r="R193" s="173">
        <f t="shared" si="9"/>
        <v>0</v>
      </c>
    </row>
    <row r="194" spans="1:18" ht="14" hidden="1">
      <c r="A194" s="78" t="s">
        <v>2485</v>
      </c>
      <c r="B194" s="220" t="s">
        <v>1240</v>
      </c>
      <c r="C194" s="185"/>
      <c r="D194" s="103" t="str">
        <f>VLOOKUP(B194, 'All Menu'!B:M, 4, 0)</f>
        <v>روستو كتف او فخد مشوي /كيلو</v>
      </c>
      <c r="E194" s="30" t="str">
        <f>VLOOKUP(B194, 'All Menu'!B:M, 2, 0)</f>
        <v>قسم التواصي</v>
      </c>
      <c r="F194" s="103" t="str">
        <f>VLOOKUP(B194, 'All Menu'!B:M, 3, 0)</f>
        <v>التواصي سفري2</v>
      </c>
      <c r="G194" s="90" t="s">
        <v>3058</v>
      </c>
      <c r="H194" s="188">
        <v>5427</v>
      </c>
      <c r="I194" s="110" t="str">
        <f>VLOOKUP(H194, 'RM &amp; SF'!B:H, 2, 0)</f>
        <v>رول تغليف ورقي مطبوع 13 كغ 60*120 سم*****</v>
      </c>
      <c r="J194" s="184" t="str">
        <f>VLOOKUP(H194, 'RM &amp; SF'!B:E, 4, 0)</f>
        <v>غم</v>
      </c>
      <c r="K194" s="12">
        <v>20</v>
      </c>
      <c r="L194" s="13">
        <f>VLOOKUP(H194, 'RM &amp; SF'!B:H, 7, 0)</f>
        <v>1.3649425287356322E-3</v>
      </c>
      <c r="M194" s="7">
        <f t="shared" si="8"/>
        <v>2.7298850574712645E-2</v>
      </c>
      <c r="N194" s="4" t="s">
        <v>825</v>
      </c>
      <c r="O194" s="4">
        <f>VLOOKUP(B194, 'All Menu'!B:L, 6, 0)</f>
        <v>18.965517241379313</v>
      </c>
      <c r="P194" s="6">
        <f>VLOOKUP(B194, 'All Menu'!B:L, 9, 0)</f>
        <v>14.227830759766878</v>
      </c>
      <c r="Q194" s="14">
        <f>VLOOKUP(B194, 'All Menu'!B:M, 12, 0)</f>
        <v>0.249805287212292</v>
      </c>
      <c r="R194" s="173">
        <f t="shared" si="9"/>
        <v>0</v>
      </c>
    </row>
    <row r="195" spans="1:18" ht="14" hidden="1">
      <c r="A195" s="78" t="s">
        <v>2490</v>
      </c>
      <c r="B195" s="220" t="s">
        <v>1117</v>
      </c>
      <c r="C195" s="185"/>
      <c r="D195" s="103" t="str">
        <f>VLOOKUP(B195, 'All Menu'!B:M, 4, 0)</f>
        <v>ورق عنب / كيلو</v>
      </c>
      <c r="E195" s="30" t="str">
        <f>VLOOKUP(B195, 'All Menu'!B:M, 2, 0)</f>
        <v>قسم التواصي</v>
      </c>
      <c r="F195" s="103" t="str">
        <f>VLOOKUP(B195, 'All Menu'!B:M, 3, 0)</f>
        <v>التواصي سفري2</v>
      </c>
      <c r="G195" s="90" t="s">
        <v>2234</v>
      </c>
      <c r="H195" s="188">
        <v>4503</v>
      </c>
      <c r="I195" s="110" t="str">
        <f>VLOOKUP(H195, 'RM &amp; SF'!B:H, 2, 0)</f>
        <v>بصل ناشف دفش*****</v>
      </c>
      <c r="J195" s="184" t="str">
        <f>VLOOKUP(H195, 'RM &amp; SF'!B:E, 4, 0)</f>
        <v>غم</v>
      </c>
      <c r="K195" s="12">
        <v>200</v>
      </c>
      <c r="L195" s="13">
        <f>VLOOKUP(H195, 'RM &amp; SF'!B:H, 7, 0)</f>
        <v>2.5000000000000001E-4</v>
      </c>
      <c r="M195" s="7">
        <f t="shared" si="8"/>
        <v>0.05</v>
      </c>
      <c r="N195" s="4" t="s">
        <v>825</v>
      </c>
      <c r="O195" s="4">
        <f>VLOOKUP(B195, 'All Menu'!B:L, 6, 0)</f>
        <v>15.517241379310345</v>
      </c>
      <c r="P195" s="6">
        <f>VLOOKUP(B195, 'All Menu'!B:L, 9, 0)</f>
        <v>3.7891944031919045</v>
      </c>
      <c r="Q195" s="14">
        <f>VLOOKUP(B195, 'All Menu'!B:M, 12, 0)</f>
        <v>0.75580747179429941</v>
      </c>
      <c r="R195" s="173">
        <f t="shared" si="9"/>
        <v>0</v>
      </c>
    </row>
    <row r="196" spans="1:18" ht="14" hidden="1">
      <c r="A196" s="78" t="s">
        <v>2490</v>
      </c>
      <c r="B196" s="220" t="s">
        <v>1117</v>
      </c>
      <c r="C196" s="185"/>
      <c r="D196" s="103" t="str">
        <f>VLOOKUP(B196, 'All Menu'!B:M, 4, 0)</f>
        <v>ورق عنب / كيلو</v>
      </c>
      <c r="E196" s="30" t="str">
        <f>VLOOKUP(B196, 'All Menu'!B:M, 2, 0)</f>
        <v>قسم التواصي</v>
      </c>
      <c r="F196" s="103" t="str">
        <f>VLOOKUP(B196, 'All Menu'!B:M, 3, 0)</f>
        <v>التواصي سفري2</v>
      </c>
      <c r="G196" s="90" t="s">
        <v>2230</v>
      </c>
      <c r="H196" s="188">
        <v>4497</v>
      </c>
      <c r="I196" s="110" t="str">
        <f>VLOOKUP(H196, 'RM &amp; SF'!B:H, 2, 0)</f>
        <v>بطاطا*****</v>
      </c>
      <c r="J196" s="184" t="str">
        <f>VLOOKUP(H196, 'RM &amp; SF'!B:E, 4, 0)</f>
        <v>غم</v>
      </c>
      <c r="K196" s="12">
        <v>250</v>
      </c>
      <c r="L196" s="13">
        <f>VLOOKUP(H196, 'RM &amp; SF'!B:H, 7, 0)</f>
        <v>4.0000000000000002E-4</v>
      </c>
      <c r="M196" s="7">
        <f t="shared" si="8"/>
        <v>0.1</v>
      </c>
      <c r="N196" s="4" t="s">
        <v>825</v>
      </c>
      <c r="O196" s="4">
        <f>VLOOKUP(B196, 'All Menu'!B:L, 6, 0)</f>
        <v>15.517241379310345</v>
      </c>
      <c r="P196" s="6">
        <f>VLOOKUP(B196, 'All Menu'!B:L, 9, 0)</f>
        <v>3.7891944031919045</v>
      </c>
      <c r="Q196" s="14">
        <f>VLOOKUP(B196, 'All Menu'!B:M, 12, 0)</f>
        <v>0.75580747179429941</v>
      </c>
      <c r="R196" s="173">
        <f t="shared" si="9"/>
        <v>0</v>
      </c>
    </row>
    <row r="197" spans="1:18" ht="14" hidden="1">
      <c r="A197" s="78" t="s">
        <v>2490</v>
      </c>
      <c r="B197" s="220" t="s">
        <v>1117</v>
      </c>
      <c r="C197" s="185"/>
      <c r="D197" s="103" t="str">
        <f>VLOOKUP(B197, 'All Menu'!B:M, 4, 0)</f>
        <v>ورق عنب / كيلو</v>
      </c>
      <c r="E197" s="30" t="str">
        <f>VLOOKUP(B197, 'All Menu'!B:M, 2, 0)</f>
        <v>قسم التواصي</v>
      </c>
      <c r="F197" s="103" t="str">
        <f>VLOOKUP(B197, 'All Menu'!B:M, 3, 0)</f>
        <v>التواصي سفري2</v>
      </c>
      <c r="G197" s="90" t="s">
        <v>2309</v>
      </c>
      <c r="H197" s="188">
        <v>4491</v>
      </c>
      <c r="I197" s="110" t="str">
        <f>VLOOKUP(H197, 'RM &amp; SF'!B:H, 2, 0)</f>
        <v>بندورة جامدة*****</v>
      </c>
      <c r="J197" s="184" t="str">
        <f>VLOOKUP(H197, 'RM &amp; SF'!B:E, 4, 0)</f>
        <v>غم</v>
      </c>
      <c r="K197" s="12">
        <v>150</v>
      </c>
      <c r="L197" s="13">
        <f>VLOOKUP(H197, 'RM &amp; SF'!B:H, 7, 0)</f>
        <v>5.0000000000000001E-4</v>
      </c>
      <c r="M197" s="7">
        <f t="shared" si="8"/>
        <v>7.4999999999999997E-2</v>
      </c>
      <c r="N197" s="4" t="s">
        <v>825</v>
      </c>
      <c r="O197" s="4">
        <f>VLOOKUP(B197, 'All Menu'!B:L, 6, 0)</f>
        <v>15.517241379310345</v>
      </c>
      <c r="P197" s="6">
        <f>VLOOKUP(B197, 'All Menu'!B:L, 9, 0)</f>
        <v>3.7891944031919045</v>
      </c>
      <c r="Q197" s="14">
        <f>VLOOKUP(B197, 'All Menu'!B:M, 12, 0)</f>
        <v>0.75580747179429941</v>
      </c>
      <c r="R197" s="173">
        <f t="shared" si="9"/>
        <v>0</v>
      </c>
    </row>
    <row r="198" spans="1:18" ht="14" hidden="1">
      <c r="A198" s="78" t="s">
        <v>2490</v>
      </c>
      <c r="B198" s="220" t="s">
        <v>1117</v>
      </c>
      <c r="C198" s="185"/>
      <c r="D198" s="103" t="str">
        <f>VLOOKUP(B198, 'All Menu'!B:M, 4, 0)</f>
        <v>ورق عنب / كيلو</v>
      </c>
      <c r="E198" s="30" t="str">
        <f>VLOOKUP(B198, 'All Menu'!B:M, 2, 0)</f>
        <v>قسم التواصي</v>
      </c>
      <c r="F198" s="103" t="str">
        <f>VLOOKUP(B198, 'All Menu'!B:M, 3, 0)</f>
        <v>التواصي سفري2</v>
      </c>
      <c r="G198" s="90" t="s">
        <v>3058</v>
      </c>
      <c r="H198" s="188">
        <v>4045</v>
      </c>
      <c r="I198" s="110" t="str">
        <f>VLOOKUP(H198, 'RM &amp; SF'!B:H, 2, 0)</f>
        <v>معجون الطماطم 1375 غم*****</v>
      </c>
      <c r="J198" s="184" t="str">
        <f>VLOOKUP(H198, 'RM &amp; SF'!B:E, 4, 0)</f>
        <v>غم</v>
      </c>
      <c r="K198" s="12">
        <v>300</v>
      </c>
      <c r="L198" s="13">
        <f>VLOOKUP(H198, 'RM &amp; SF'!B:H, 7, 0)</f>
        <v>1.3665999999999999E-3</v>
      </c>
      <c r="M198" s="7">
        <f t="shared" si="8"/>
        <v>0.40997999999999996</v>
      </c>
      <c r="N198" s="4" t="s">
        <v>825</v>
      </c>
      <c r="O198" s="4">
        <f>VLOOKUP(B198, 'All Menu'!B:L, 6, 0)</f>
        <v>15.517241379310345</v>
      </c>
      <c r="P198" s="6">
        <f>VLOOKUP(B198, 'All Menu'!B:L, 9, 0)</f>
        <v>3.7891944031919045</v>
      </c>
      <c r="Q198" s="14">
        <f>VLOOKUP(B198, 'All Menu'!B:M, 12, 0)</f>
        <v>0.75580747179429941</v>
      </c>
      <c r="R198" s="173">
        <f t="shared" si="9"/>
        <v>0</v>
      </c>
    </row>
    <row r="199" spans="1:18" ht="14" hidden="1">
      <c r="A199" s="78" t="s">
        <v>2490</v>
      </c>
      <c r="B199" s="220" t="s">
        <v>1117</v>
      </c>
      <c r="C199" s="185"/>
      <c r="D199" s="103" t="str">
        <f>VLOOKUP(B199, 'All Menu'!B:M, 4, 0)</f>
        <v>ورق عنب / كيلو</v>
      </c>
      <c r="E199" s="30" t="str">
        <f>VLOOKUP(B199, 'All Menu'!B:M, 2, 0)</f>
        <v>قسم التواصي</v>
      </c>
      <c r="F199" s="103" t="str">
        <f>VLOOKUP(B199, 'All Menu'!B:M, 3, 0)</f>
        <v>التواصي سفري2</v>
      </c>
      <c r="G199" s="90" t="s">
        <v>3058</v>
      </c>
      <c r="H199" s="188">
        <v>3</v>
      </c>
      <c r="I199" s="110" t="str">
        <f>VLOOKUP(H199, 'RM &amp; SF'!B:H, 2, 0)</f>
        <v>مياه حنفية</v>
      </c>
      <c r="J199" s="184" t="str">
        <f>VLOOKUP(H199, 'RM &amp; SF'!B:E, 4, 0)</f>
        <v>مل</v>
      </c>
      <c r="K199" s="12">
        <v>4000</v>
      </c>
      <c r="L199" s="13">
        <f>VLOOKUP(H199, 'RM &amp; SF'!B:H, 7, 0)</f>
        <v>0</v>
      </c>
      <c r="M199" s="7">
        <f t="shared" si="8"/>
        <v>0</v>
      </c>
      <c r="N199" s="4" t="s">
        <v>825</v>
      </c>
      <c r="O199" s="4">
        <f>VLOOKUP(B199, 'All Menu'!B:L, 6, 0)</f>
        <v>15.517241379310345</v>
      </c>
      <c r="P199" s="6">
        <f>VLOOKUP(B199, 'All Menu'!B:L, 9, 0)</f>
        <v>3.7891944031919045</v>
      </c>
      <c r="Q199" s="14">
        <f>VLOOKUP(B199, 'All Menu'!B:M, 12, 0)</f>
        <v>0.75580747179429941</v>
      </c>
      <c r="R199" s="173">
        <f t="shared" si="9"/>
        <v>0</v>
      </c>
    </row>
    <row r="200" spans="1:18" ht="14" hidden="1">
      <c r="A200" s="78" t="s">
        <v>2490</v>
      </c>
      <c r="B200" s="220" t="s">
        <v>1117</v>
      </c>
      <c r="C200" s="185"/>
      <c r="D200" s="103" t="str">
        <f>VLOOKUP(B200, 'All Menu'!B:M, 4, 0)</f>
        <v>ورق عنب / كيلو</v>
      </c>
      <c r="E200" s="30" t="str">
        <f>VLOOKUP(B200, 'All Menu'!B:M, 2, 0)</f>
        <v>قسم التواصي</v>
      </c>
      <c r="F200" s="103" t="str">
        <f>VLOOKUP(B200, 'All Menu'!B:M, 3, 0)</f>
        <v>التواصي سفري2</v>
      </c>
      <c r="G200" s="90" t="s">
        <v>2203</v>
      </c>
      <c r="H200" s="188">
        <v>4152</v>
      </c>
      <c r="I200" s="110" t="str">
        <f>VLOOKUP(H200, 'RM &amp; SF'!B:H, 2, 0)</f>
        <v>ملح طعام 750غم*****</v>
      </c>
      <c r="J200" s="184" t="str">
        <f>VLOOKUP(H200, 'RM &amp; SF'!B:E, 4, 0)</f>
        <v>غم</v>
      </c>
      <c r="K200" s="12">
        <v>100</v>
      </c>
      <c r="L200" s="13">
        <f>VLOOKUP(H200, 'RM &amp; SF'!B:H, 7, 0)</f>
        <v>1.7066666666666665E-4</v>
      </c>
      <c r="M200" s="7">
        <f t="shared" si="8"/>
        <v>1.7066666666666664E-2</v>
      </c>
      <c r="N200" s="4" t="s">
        <v>825</v>
      </c>
      <c r="O200" s="4">
        <f>VLOOKUP(B200, 'All Menu'!B:L, 6, 0)</f>
        <v>15.517241379310345</v>
      </c>
      <c r="P200" s="6">
        <f>VLOOKUP(B200, 'All Menu'!B:L, 9, 0)</f>
        <v>3.7891944031919045</v>
      </c>
      <c r="Q200" s="14">
        <f>VLOOKUP(B200, 'All Menu'!B:M, 12, 0)</f>
        <v>0.75580747179429941</v>
      </c>
      <c r="R200" s="173">
        <f t="shared" si="9"/>
        <v>0</v>
      </c>
    </row>
    <row r="201" spans="1:18" ht="14" hidden="1">
      <c r="A201" s="78" t="s">
        <v>2490</v>
      </c>
      <c r="B201" s="220" t="s">
        <v>1117</v>
      </c>
      <c r="C201" s="185"/>
      <c r="D201" s="103" t="str">
        <f>VLOOKUP(B201, 'All Menu'!B:M, 4, 0)</f>
        <v>ورق عنب / كيلو</v>
      </c>
      <c r="E201" s="30" t="str">
        <f>VLOOKUP(B201, 'All Menu'!B:M, 2, 0)</f>
        <v>قسم التواصي</v>
      </c>
      <c r="F201" s="103" t="str">
        <f>VLOOKUP(B201, 'All Menu'!B:M, 3, 0)</f>
        <v>التواصي سفري2</v>
      </c>
      <c r="G201" s="90" t="s">
        <v>2206</v>
      </c>
      <c r="H201" s="188">
        <v>4204</v>
      </c>
      <c r="I201" s="110" t="str">
        <f>VLOOKUP(H201, 'RM &amp; SF'!B:H, 2, 0)</f>
        <v>فلفل اسود ناعم*****</v>
      </c>
      <c r="J201" s="184" t="str">
        <f>VLOOKUP(H201, 'RM &amp; SF'!B:E, 4, 0)</f>
        <v>غم</v>
      </c>
      <c r="K201" s="12">
        <v>15</v>
      </c>
      <c r="L201" s="13">
        <f>VLOOKUP(H201, 'RM &amp; SF'!B:H, 7, 0)</f>
        <v>6.8970000000000004E-3</v>
      </c>
      <c r="M201" s="7">
        <f t="shared" si="8"/>
        <v>0.10345500000000001</v>
      </c>
      <c r="N201" s="4" t="s">
        <v>825</v>
      </c>
      <c r="O201" s="4">
        <f>VLOOKUP(B201, 'All Menu'!B:L, 6, 0)</f>
        <v>15.517241379310345</v>
      </c>
      <c r="P201" s="6">
        <f>VLOOKUP(B201, 'All Menu'!B:L, 9, 0)</f>
        <v>3.7891944031919045</v>
      </c>
      <c r="Q201" s="14">
        <f>VLOOKUP(B201, 'All Menu'!B:M, 12, 0)</f>
        <v>0.75580747179429941</v>
      </c>
      <c r="R201" s="173">
        <f t="shared" si="9"/>
        <v>0</v>
      </c>
    </row>
    <row r="202" spans="1:18" ht="14" hidden="1">
      <c r="A202" s="78" t="s">
        <v>2490</v>
      </c>
      <c r="B202" s="220" t="s">
        <v>1117</v>
      </c>
      <c r="C202" s="185"/>
      <c r="D202" s="103" t="str">
        <f>VLOOKUP(B202, 'All Menu'!B:M, 4, 0)</f>
        <v>ورق عنب / كيلو</v>
      </c>
      <c r="E202" s="30" t="str">
        <f>VLOOKUP(B202, 'All Menu'!B:M, 2, 0)</f>
        <v>قسم التواصي</v>
      </c>
      <c r="F202" s="103" t="str">
        <f>VLOOKUP(B202, 'All Menu'!B:M, 3, 0)</f>
        <v>التواصي سفري2</v>
      </c>
      <c r="G202" s="90" t="s">
        <v>2220</v>
      </c>
      <c r="H202" s="188">
        <v>4236</v>
      </c>
      <c r="I202" s="110" t="str">
        <f>VLOOKUP(H202, 'RM &amp; SF'!B:H, 2, 0)</f>
        <v>بصل ناعم*****</v>
      </c>
      <c r="J202" s="184" t="str">
        <f>VLOOKUP(H202, 'RM &amp; SF'!B:E, 4, 0)</f>
        <v>غم</v>
      </c>
      <c r="K202" s="12">
        <v>10</v>
      </c>
      <c r="L202" s="13">
        <f>VLOOKUP(H202, 'RM &amp; SF'!B:H, 7, 0)</f>
        <v>2.3709999999999998E-3</v>
      </c>
      <c r="M202" s="7">
        <f t="shared" si="8"/>
        <v>2.3709999999999998E-2</v>
      </c>
      <c r="N202" s="4" t="s">
        <v>825</v>
      </c>
      <c r="O202" s="4">
        <f>VLOOKUP(B202, 'All Menu'!B:L, 6, 0)</f>
        <v>15.517241379310345</v>
      </c>
      <c r="P202" s="6">
        <f>VLOOKUP(B202, 'All Menu'!B:L, 9, 0)</f>
        <v>3.7891944031919045</v>
      </c>
      <c r="Q202" s="14">
        <f>VLOOKUP(B202, 'All Menu'!B:M, 12, 0)</f>
        <v>0.75580747179429941</v>
      </c>
      <c r="R202" s="173">
        <f t="shared" si="9"/>
        <v>0</v>
      </c>
    </row>
    <row r="203" spans="1:18" ht="14" hidden="1">
      <c r="A203" s="78" t="s">
        <v>2490</v>
      </c>
      <c r="B203" s="220" t="s">
        <v>1117</v>
      </c>
      <c r="C203" s="185"/>
      <c r="D203" s="103" t="str">
        <f>VLOOKUP(B203, 'All Menu'!B:M, 4, 0)</f>
        <v>ورق عنب / كيلو</v>
      </c>
      <c r="E203" s="30" t="str">
        <f>VLOOKUP(B203, 'All Menu'!B:M, 2, 0)</f>
        <v>قسم التواصي</v>
      </c>
      <c r="F203" s="103" t="str">
        <f>VLOOKUP(B203, 'All Menu'!B:M, 3, 0)</f>
        <v>التواصي سفري2</v>
      </c>
      <c r="G203" s="90" t="s">
        <v>2221</v>
      </c>
      <c r="H203" s="188">
        <v>4237</v>
      </c>
      <c r="I203" s="110" t="str">
        <f>VLOOKUP(H203, 'RM &amp; SF'!B:H, 2, 0)</f>
        <v>ثوم ناعم*****</v>
      </c>
      <c r="J203" s="184" t="str">
        <f>VLOOKUP(H203, 'RM &amp; SF'!B:E, 4, 0)</f>
        <v>غم</v>
      </c>
      <c r="K203" s="12">
        <v>10</v>
      </c>
      <c r="L203" s="13">
        <f>VLOOKUP(H203, 'RM &amp; SF'!B:H, 7, 0)</f>
        <v>2.3709999999999998E-3</v>
      </c>
      <c r="M203" s="7">
        <f t="shared" si="8"/>
        <v>2.3709999999999998E-2</v>
      </c>
      <c r="N203" s="4" t="s">
        <v>825</v>
      </c>
      <c r="O203" s="4">
        <f>VLOOKUP(B203, 'All Menu'!B:L, 6, 0)</f>
        <v>15.517241379310345</v>
      </c>
      <c r="P203" s="6">
        <f>VLOOKUP(B203, 'All Menu'!B:L, 9, 0)</f>
        <v>3.7891944031919045</v>
      </c>
      <c r="Q203" s="14">
        <f>VLOOKUP(B203, 'All Menu'!B:M, 12, 0)</f>
        <v>0.75580747179429941</v>
      </c>
      <c r="R203" s="173">
        <f t="shared" si="9"/>
        <v>0</v>
      </c>
    </row>
    <row r="204" spans="1:18" ht="14" hidden="1">
      <c r="A204" s="78" t="s">
        <v>2490</v>
      </c>
      <c r="B204" s="220" t="s">
        <v>1117</v>
      </c>
      <c r="C204" s="185"/>
      <c r="D204" s="103" t="str">
        <f>VLOOKUP(B204, 'All Menu'!B:M, 4, 0)</f>
        <v>ورق عنب / كيلو</v>
      </c>
      <c r="E204" s="30" t="str">
        <f>VLOOKUP(B204, 'All Menu'!B:M, 2, 0)</f>
        <v>قسم التواصي</v>
      </c>
      <c r="F204" s="103" t="str">
        <f>VLOOKUP(B204, 'All Menu'!B:M, 3, 0)</f>
        <v>التواصي سفري2</v>
      </c>
      <c r="G204" s="90" t="s">
        <v>2260</v>
      </c>
      <c r="H204" s="188">
        <v>4160</v>
      </c>
      <c r="I204" s="110" t="str">
        <f>VLOOKUP(H204, 'RM &amp; SF'!B:H, 2, 0)</f>
        <v>زيت صويا 18 لتر*****</v>
      </c>
      <c r="J204" s="184" t="str">
        <f>VLOOKUP(H204, 'RM &amp; SF'!B:E, 4, 0)</f>
        <v>مل</v>
      </c>
      <c r="K204" s="12">
        <v>150</v>
      </c>
      <c r="L204" s="13">
        <f>VLOOKUP(H204, 'RM &amp; SF'!B:H, 7, 0)</f>
        <v>1.335E-3</v>
      </c>
      <c r="M204" s="7">
        <f t="shared" si="8"/>
        <v>0.20025000000000001</v>
      </c>
      <c r="N204" s="4" t="s">
        <v>825</v>
      </c>
      <c r="O204" s="4">
        <f>VLOOKUP(B204, 'All Menu'!B:L, 6, 0)</f>
        <v>15.517241379310345</v>
      </c>
      <c r="P204" s="6">
        <f>VLOOKUP(B204, 'All Menu'!B:L, 9, 0)</f>
        <v>3.7891944031919045</v>
      </c>
      <c r="Q204" s="14">
        <f>VLOOKUP(B204, 'All Menu'!B:M, 12, 0)</f>
        <v>0.75580747179429941</v>
      </c>
      <c r="R204" s="173">
        <f t="shared" si="9"/>
        <v>0</v>
      </c>
    </row>
    <row r="205" spans="1:18" ht="14" hidden="1">
      <c r="A205" s="78" t="s">
        <v>2490</v>
      </c>
      <c r="B205" s="220" t="s">
        <v>1117</v>
      </c>
      <c r="C205" s="185"/>
      <c r="D205" s="103" t="str">
        <f>VLOOKUP(B205, 'All Menu'!B:M, 4, 0)</f>
        <v>ورق عنب / كيلو</v>
      </c>
      <c r="E205" s="30" t="str">
        <f>VLOOKUP(B205, 'All Menu'!B:M, 2, 0)</f>
        <v>قسم التواصي</v>
      </c>
      <c r="F205" s="103" t="str">
        <f>VLOOKUP(B205, 'All Menu'!B:M, 3, 0)</f>
        <v>التواصي سفري2</v>
      </c>
      <c r="G205" s="90" t="s">
        <v>3058</v>
      </c>
      <c r="H205" s="188">
        <v>4021</v>
      </c>
      <c r="I205" s="110" t="str">
        <f>VLOOKUP(H205, 'RM &amp; SF'!B:H, 2, 0)</f>
        <v>مكعبات مرق الدجاج 24 عبوة*2 مكعب*****</v>
      </c>
      <c r="J205" s="184" t="str">
        <f>VLOOKUP(H205, 'RM &amp; SF'!B:E, 4, 0)</f>
        <v>غم</v>
      </c>
      <c r="K205" s="12">
        <f>6*10</f>
        <v>60</v>
      </c>
      <c r="L205" s="13">
        <f>VLOOKUP(H205, 'RM &amp; SF'!B:H, 7, 0)</f>
        <v>3.8541666666666668E-3</v>
      </c>
      <c r="M205" s="7">
        <f t="shared" si="8"/>
        <v>0.23125000000000001</v>
      </c>
      <c r="N205" s="4" t="s">
        <v>825</v>
      </c>
      <c r="O205" s="4">
        <f>VLOOKUP(B205, 'All Menu'!B:L, 6, 0)</f>
        <v>15.517241379310345</v>
      </c>
      <c r="P205" s="6">
        <f>VLOOKUP(B205, 'All Menu'!B:L, 9, 0)</f>
        <v>3.7891944031919045</v>
      </c>
      <c r="Q205" s="14">
        <f>VLOOKUP(B205, 'All Menu'!B:M, 12, 0)</f>
        <v>0.75580747179429941</v>
      </c>
      <c r="R205" s="173">
        <f t="shared" si="9"/>
        <v>0</v>
      </c>
    </row>
    <row r="206" spans="1:18" ht="14" hidden="1">
      <c r="A206" s="78" t="s">
        <v>2490</v>
      </c>
      <c r="B206" s="220" t="s">
        <v>1117</v>
      </c>
      <c r="C206" s="185"/>
      <c r="D206" s="103" t="str">
        <f>VLOOKUP(B206, 'All Menu'!B:M, 4, 0)</f>
        <v>ورق عنب / كيلو</v>
      </c>
      <c r="E206" s="30" t="str">
        <f>VLOOKUP(B206, 'All Menu'!B:M, 2, 0)</f>
        <v>قسم التواصي</v>
      </c>
      <c r="F206" s="103" t="str">
        <f>VLOOKUP(B206, 'All Menu'!B:M, 3, 0)</f>
        <v>التواصي سفري2</v>
      </c>
      <c r="G206" s="90" t="s">
        <v>3058</v>
      </c>
      <c r="H206" s="188">
        <v>4354</v>
      </c>
      <c r="I206" s="110" t="str">
        <f>VLOOKUP(H206, 'RM &amp; SF'!B:H, 2, 0)</f>
        <v>سدر بلاستيك دائري 35 سم*****</v>
      </c>
      <c r="J206" s="184" t="str">
        <f>VLOOKUP(H206, 'RM &amp; SF'!B:E, 4, 0)</f>
        <v>قطعة</v>
      </c>
      <c r="K206" s="12">
        <v>1</v>
      </c>
      <c r="L206" s="13">
        <f>VLOOKUP(H206, 'RM &amp; SF'!B:H, 7, 0)</f>
        <v>0.28016999999999997</v>
      </c>
      <c r="M206" s="7">
        <f t="shared" si="8"/>
        <v>0.28016999999999997</v>
      </c>
      <c r="N206" s="4" t="s">
        <v>825</v>
      </c>
      <c r="O206" s="4">
        <f>VLOOKUP(B206, 'All Menu'!B:L, 6, 0)</f>
        <v>15.517241379310345</v>
      </c>
      <c r="P206" s="6">
        <f>VLOOKUP(B206, 'All Menu'!B:L, 9, 0)</f>
        <v>3.7891944031919045</v>
      </c>
      <c r="Q206" s="14">
        <f>VLOOKUP(B206, 'All Menu'!B:M, 12, 0)</f>
        <v>0.75580747179429941</v>
      </c>
      <c r="R206" s="173">
        <f t="shared" si="9"/>
        <v>0</v>
      </c>
    </row>
    <row r="207" spans="1:18" ht="14" hidden="1">
      <c r="A207" s="78" t="s">
        <v>2490</v>
      </c>
      <c r="B207" s="220" t="s">
        <v>1117</v>
      </c>
      <c r="C207" s="185"/>
      <c r="D207" s="103" t="str">
        <f>VLOOKUP(B207, 'All Menu'!B:M, 4, 0)</f>
        <v>ورق عنب / كيلو</v>
      </c>
      <c r="E207" s="30" t="str">
        <f>VLOOKUP(B207, 'All Menu'!B:M, 2, 0)</f>
        <v>قسم التواصي</v>
      </c>
      <c r="F207" s="103" t="str">
        <f>VLOOKUP(B207, 'All Menu'!B:M, 3, 0)</f>
        <v>التواصي سفري2</v>
      </c>
      <c r="G207" s="90" t="s">
        <v>2194</v>
      </c>
      <c r="H207" s="188">
        <v>4323</v>
      </c>
      <c r="I207" s="110" t="str">
        <f>VLOOKUP(H207, 'RM &amp; SF'!B:H, 2, 0)</f>
        <v>قصدير رول 45 سم*2كغ*****</v>
      </c>
      <c r="J207" s="184" t="str">
        <f>VLOOKUP(H207, 'RM &amp; SF'!B:E, 4, 0)</f>
        <v>غم</v>
      </c>
      <c r="K207" s="12">
        <v>0.06</v>
      </c>
      <c r="L207" s="13">
        <f>VLOOKUP(H207, 'RM &amp; SF'!B:H, 7, 0)</f>
        <v>1.7240000000000001E-3</v>
      </c>
      <c r="M207" s="7">
        <f t="shared" si="8"/>
        <v>1.0344E-4</v>
      </c>
      <c r="N207" s="4" t="s">
        <v>825</v>
      </c>
      <c r="O207" s="4">
        <f>VLOOKUP(B207, 'All Menu'!B:L, 6, 0)</f>
        <v>15.517241379310345</v>
      </c>
      <c r="P207" s="6">
        <f>VLOOKUP(B207, 'All Menu'!B:L, 9, 0)</f>
        <v>3.7891944031919045</v>
      </c>
      <c r="Q207" s="14">
        <f>VLOOKUP(B207, 'All Menu'!B:M, 12, 0)</f>
        <v>0.75580747179429941</v>
      </c>
      <c r="R207" s="173">
        <f t="shared" si="9"/>
        <v>0</v>
      </c>
    </row>
    <row r="208" spans="1:18" ht="14" hidden="1">
      <c r="A208" s="78" t="s">
        <v>2490</v>
      </c>
      <c r="B208" s="220" t="s">
        <v>1117</v>
      </c>
      <c r="C208" s="185"/>
      <c r="D208" s="103" t="str">
        <f>VLOOKUP(B208, 'All Menu'!B:M, 4, 0)</f>
        <v>ورق عنب / كيلو</v>
      </c>
      <c r="E208" s="30" t="str">
        <f>VLOOKUP(B208, 'All Menu'!B:M, 2, 0)</f>
        <v>قسم التواصي</v>
      </c>
      <c r="F208" s="103" t="str">
        <f>VLOOKUP(B208, 'All Menu'!B:M, 3, 0)</f>
        <v>التواصي سفري2</v>
      </c>
      <c r="G208" s="90" t="s">
        <v>3058</v>
      </c>
      <c r="H208" s="188">
        <v>5427</v>
      </c>
      <c r="I208" s="110" t="str">
        <f>VLOOKUP(H208, 'RM &amp; SF'!B:H, 2, 0)</f>
        <v>رول تغليف ورقي مطبوع 13 كغ 60*120 سم*****</v>
      </c>
      <c r="J208" s="184" t="str">
        <f>VLOOKUP(H208, 'RM &amp; SF'!B:E, 4, 0)</f>
        <v>غم</v>
      </c>
      <c r="K208" s="12">
        <v>20</v>
      </c>
      <c r="L208" s="13">
        <f>VLOOKUP(H208, 'RM &amp; SF'!B:H, 7, 0)</f>
        <v>1.3649425287356322E-3</v>
      </c>
      <c r="M208" s="7">
        <f t="shared" si="8"/>
        <v>2.7298850574712645E-2</v>
      </c>
      <c r="N208" s="4" t="s">
        <v>825</v>
      </c>
      <c r="O208" s="4">
        <f>VLOOKUP(B208, 'All Menu'!B:L, 6, 0)</f>
        <v>15.517241379310345</v>
      </c>
      <c r="P208" s="6">
        <f>VLOOKUP(B208, 'All Menu'!B:L, 9, 0)</f>
        <v>3.7891944031919045</v>
      </c>
      <c r="Q208" s="14">
        <f>VLOOKUP(B208, 'All Menu'!B:M, 12, 0)</f>
        <v>0.75580747179429941</v>
      </c>
      <c r="R208" s="173">
        <f t="shared" si="9"/>
        <v>0</v>
      </c>
    </row>
    <row r="209" spans="1:18" ht="14" hidden="1">
      <c r="A209" s="78" t="s">
        <v>3060</v>
      </c>
      <c r="B209" s="220" t="s">
        <v>1286</v>
      </c>
      <c r="C209" s="185"/>
      <c r="D209" s="103" t="str">
        <f>VLOOKUP(B209, 'All Menu'!B:M, 4, 0)</f>
        <v>سدر VIP</v>
      </c>
      <c r="E209" s="30" t="str">
        <f>VLOOKUP(B209, 'All Menu'!B:M, 2, 0)</f>
        <v>قسم التواصي</v>
      </c>
      <c r="F209" s="103" t="str">
        <f>VLOOKUP(B209, 'All Menu'!B:M, 3, 0)</f>
        <v>التواصي سفري2</v>
      </c>
      <c r="G209" s="90" t="s">
        <v>2388</v>
      </c>
      <c r="H209" s="219" t="s">
        <v>558</v>
      </c>
      <c r="I209" s="110" t="str">
        <f>VLOOKUP(H209, 'RM &amp; SF'!B:H, 2, 0)</f>
        <v xml:space="preserve">كبسة </v>
      </c>
      <c r="J209" s="184" t="str">
        <f>VLOOKUP(H209, 'RM &amp; SF'!B:E, 4, 0)</f>
        <v>غم</v>
      </c>
      <c r="K209" s="12">
        <v>1500</v>
      </c>
      <c r="L209" s="13">
        <f>VLOOKUP(H209, 'RM &amp; SF'!B:H, 7, 0)</f>
        <v>6.3725786356821576E-4</v>
      </c>
      <c r="M209" s="7">
        <f t="shared" ref="M209:M249" si="10">L209*K209</f>
        <v>0.95588679535232368</v>
      </c>
      <c r="N209" s="4" t="s">
        <v>825</v>
      </c>
      <c r="O209" s="4">
        <f>VLOOKUP(B209, 'All Menu'!B:L, 6, 0)</f>
        <v>15.517241379310345</v>
      </c>
      <c r="P209" s="6">
        <f>VLOOKUP(B209, 'All Menu'!B:L, 9, 0)</f>
        <v>9.7854384137673822</v>
      </c>
      <c r="Q209" s="14">
        <f>VLOOKUP(B209, 'All Menu'!B:M, 12, 0)</f>
        <v>0.36938285777943536</v>
      </c>
      <c r="R209" s="173">
        <f t="shared" si="9"/>
        <v>0</v>
      </c>
    </row>
    <row r="210" spans="1:18" ht="14" hidden="1">
      <c r="A210" s="78" t="s">
        <v>3060</v>
      </c>
      <c r="B210" s="220" t="s">
        <v>1286</v>
      </c>
      <c r="C210" s="185"/>
      <c r="D210" s="103" t="str">
        <f>VLOOKUP(B210, 'All Menu'!B:M, 4, 0)</f>
        <v>سدر VIP</v>
      </c>
      <c r="E210" s="30" t="str">
        <f>VLOOKUP(B210, 'All Menu'!B:M, 2, 0)</f>
        <v>قسم التواصي</v>
      </c>
      <c r="F210" s="103" t="str">
        <f>VLOOKUP(B210, 'All Menu'!B:M, 3, 0)</f>
        <v>التواصي سفري2</v>
      </c>
      <c r="G210" s="90" t="s">
        <v>2453</v>
      </c>
      <c r="H210" s="219" t="s">
        <v>536</v>
      </c>
      <c r="I210" s="110" t="str">
        <f>VLOOKUP(H210, 'RM &amp; SF'!B:H, 2, 0)</f>
        <v>كباب</v>
      </c>
      <c r="J210" s="184" t="str">
        <f>VLOOKUP(H210, 'RM &amp; SF'!B:E, 4, 0)</f>
        <v>غم</v>
      </c>
      <c r="K210" s="12">
        <v>500</v>
      </c>
      <c r="L210" s="13">
        <f>VLOOKUP(H210, 'RM &amp; SF'!B:H, 7, 0)</f>
        <v>1.1636090242685134E-2</v>
      </c>
      <c r="M210" s="7">
        <f t="shared" si="10"/>
        <v>5.8180451213425668</v>
      </c>
      <c r="N210" s="4" t="s">
        <v>825</v>
      </c>
      <c r="O210" s="4">
        <f>VLOOKUP(B210, 'All Menu'!B:L, 6, 0)</f>
        <v>15.517241379310345</v>
      </c>
      <c r="P210" s="6">
        <f>VLOOKUP(B210, 'All Menu'!B:L, 9, 0)</f>
        <v>9.7854384137673822</v>
      </c>
      <c r="Q210" s="14">
        <f>VLOOKUP(B210, 'All Menu'!B:M, 12, 0)</f>
        <v>0.36938285777943536</v>
      </c>
      <c r="R210" s="173">
        <f t="shared" si="9"/>
        <v>0</v>
      </c>
    </row>
    <row r="211" spans="1:18" ht="14" hidden="1">
      <c r="A211" s="78" t="s">
        <v>3060</v>
      </c>
      <c r="B211" s="220" t="s">
        <v>1286</v>
      </c>
      <c r="C211" s="185"/>
      <c r="D211" s="103" t="str">
        <f>VLOOKUP(B211, 'All Menu'!B:M, 4, 0)</f>
        <v>سدر VIP</v>
      </c>
      <c r="E211" s="30" t="str">
        <f>VLOOKUP(B211, 'All Menu'!B:M, 2, 0)</f>
        <v>قسم التواصي</v>
      </c>
      <c r="F211" s="103" t="str">
        <f>VLOOKUP(B211, 'All Menu'!B:M, 3, 0)</f>
        <v>التواصي سفري2</v>
      </c>
      <c r="G211" s="90" t="s">
        <v>2456</v>
      </c>
      <c r="H211" s="219" t="s">
        <v>506</v>
      </c>
      <c r="I211" s="110" t="str">
        <f>VLOOKUP(H211, 'RM &amp; SF'!B:H, 2, 0)</f>
        <v>شيش</v>
      </c>
      <c r="J211" s="184" t="str">
        <f>VLOOKUP(H211, 'RM &amp; SF'!B:E, 4, 0)</f>
        <v>غم</v>
      </c>
      <c r="K211" s="12">
        <v>500</v>
      </c>
      <c r="L211" s="13">
        <f>VLOOKUP(H211, 'RM &amp; SF'!B:H, 7, 0)</f>
        <v>4.6721213030918281E-3</v>
      </c>
      <c r="M211" s="7">
        <f t="shared" si="10"/>
        <v>2.3360606515459139</v>
      </c>
      <c r="N211" s="4" t="s">
        <v>825</v>
      </c>
      <c r="O211" s="4">
        <f>VLOOKUP(B211, 'All Menu'!B:L, 6, 0)</f>
        <v>15.517241379310345</v>
      </c>
      <c r="P211" s="6">
        <f>VLOOKUP(B211, 'All Menu'!B:L, 9, 0)</f>
        <v>9.7854384137673822</v>
      </c>
      <c r="Q211" s="14">
        <f>VLOOKUP(B211, 'All Menu'!B:M, 12, 0)</f>
        <v>0.36938285777943536</v>
      </c>
      <c r="R211" s="173">
        <f t="shared" si="9"/>
        <v>0</v>
      </c>
    </row>
    <row r="212" spans="1:18" ht="14" hidden="1">
      <c r="A212" s="78" t="s">
        <v>3060</v>
      </c>
      <c r="B212" s="220" t="s">
        <v>1286</v>
      </c>
      <c r="C212" s="185"/>
      <c r="D212" s="103" t="str">
        <f>VLOOKUP(B212, 'All Menu'!B:M, 4, 0)</f>
        <v>سدر VIP</v>
      </c>
      <c r="E212" s="30" t="str">
        <f>VLOOKUP(B212, 'All Menu'!B:M, 2, 0)</f>
        <v>قسم التواصي</v>
      </c>
      <c r="F212" s="103" t="str">
        <f>VLOOKUP(B212, 'All Menu'!B:M, 3, 0)</f>
        <v>التواصي سفري2</v>
      </c>
      <c r="G212" s="90" t="s">
        <v>3058</v>
      </c>
      <c r="H212" s="188">
        <v>4268</v>
      </c>
      <c r="I212" s="110" t="str">
        <f>VLOOKUP(H212, 'RM &amp; SF'!B:H, 2, 0)</f>
        <v>بكجات مشاوي مطبوع رقم 2 1*50 حبة*****</v>
      </c>
      <c r="J212" s="184" t="str">
        <f>VLOOKUP(H212, 'RM &amp; SF'!B:E, 4, 0)</f>
        <v>قطعة</v>
      </c>
      <c r="K212" s="12">
        <v>1</v>
      </c>
      <c r="L212" s="13">
        <f>VLOOKUP(H212, 'RM &amp; SF'!B:H, 7, 0)</f>
        <v>0.33620689655172414</v>
      </c>
      <c r="M212" s="7">
        <f t="shared" si="10"/>
        <v>0.33620689655172414</v>
      </c>
      <c r="N212" s="4" t="s">
        <v>825</v>
      </c>
      <c r="O212" s="4">
        <f>VLOOKUP(B212, 'All Menu'!B:L, 6, 0)</f>
        <v>15.517241379310345</v>
      </c>
      <c r="P212" s="6">
        <f>VLOOKUP(B212, 'All Menu'!B:L, 9, 0)</f>
        <v>9.7854384137673822</v>
      </c>
      <c r="Q212" s="14">
        <f>VLOOKUP(B212, 'All Menu'!B:M, 12, 0)</f>
        <v>0.36938285777943536</v>
      </c>
      <c r="R212" s="173">
        <f t="shared" si="9"/>
        <v>0</v>
      </c>
    </row>
    <row r="213" spans="1:18" ht="14" hidden="1">
      <c r="A213" s="78" t="s">
        <v>3060</v>
      </c>
      <c r="B213" s="220" t="s">
        <v>1286</v>
      </c>
      <c r="C213" s="185"/>
      <c r="D213" s="103" t="str">
        <f>VLOOKUP(B213, 'All Menu'!B:M, 4, 0)</f>
        <v>سدر VIP</v>
      </c>
      <c r="E213" s="30" t="str">
        <f>VLOOKUP(B213, 'All Menu'!B:M, 2, 0)</f>
        <v>قسم التواصي</v>
      </c>
      <c r="F213" s="103" t="str">
        <f>VLOOKUP(B213, 'All Menu'!B:M, 3, 0)</f>
        <v>التواصي سفري2</v>
      </c>
      <c r="G213" s="90" t="s">
        <v>2228</v>
      </c>
      <c r="H213" s="219" t="s">
        <v>566</v>
      </c>
      <c r="I213" s="110" t="str">
        <f>VLOOKUP(H213, 'RM &amp; SF'!B:H, 2, 0)</f>
        <v>خيار بلبن</v>
      </c>
      <c r="J213" s="184" t="str">
        <f>VLOOKUP(H213, 'RM &amp; SF'!B:E, 4, 0)</f>
        <v>غم</v>
      </c>
      <c r="K213" s="12">
        <v>250</v>
      </c>
      <c r="L213" s="13">
        <f>VLOOKUP(H213, 'RM &amp; SF'!B:H, 7, 0)</f>
        <v>1.0121557958994094E-3</v>
      </c>
      <c r="M213" s="7">
        <f t="shared" si="10"/>
        <v>0.25303894897485235</v>
      </c>
      <c r="N213" s="4" t="s">
        <v>825</v>
      </c>
      <c r="O213" s="4">
        <f>VLOOKUP(B213, 'All Menu'!B:L, 6, 0)</f>
        <v>15.517241379310345</v>
      </c>
      <c r="P213" s="6">
        <f>VLOOKUP(B213, 'All Menu'!B:L, 9, 0)</f>
        <v>9.7854384137673822</v>
      </c>
      <c r="Q213" s="14">
        <f>VLOOKUP(B213, 'All Menu'!B:M, 12, 0)</f>
        <v>0.36938285777943536</v>
      </c>
      <c r="R213" s="173">
        <f t="shared" si="9"/>
        <v>0</v>
      </c>
    </row>
    <row r="214" spans="1:18" ht="14" hidden="1">
      <c r="A214" s="78" t="s">
        <v>3060</v>
      </c>
      <c r="B214" s="220" t="s">
        <v>1286</v>
      </c>
      <c r="C214" s="185"/>
      <c r="D214" s="103" t="str">
        <f>VLOOKUP(B214, 'All Menu'!B:M, 4, 0)</f>
        <v>سدر VIP</v>
      </c>
      <c r="E214" s="30" t="str">
        <f>VLOOKUP(B214, 'All Menu'!B:M, 2, 0)</f>
        <v>قسم التواصي</v>
      </c>
      <c r="F214" s="103" t="str">
        <f>VLOOKUP(B214, 'All Menu'!B:M, 3, 0)</f>
        <v>التواصي سفري2</v>
      </c>
      <c r="G214" s="90" t="s">
        <v>2191</v>
      </c>
      <c r="H214" s="188">
        <v>4282</v>
      </c>
      <c r="I214" s="110" t="str">
        <f>VLOOKUP(H214, 'RM &amp; SF'!B:H, 2, 0)</f>
        <v>علب سوشي اسود رقم 3*****</v>
      </c>
      <c r="J214" s="184" t="str">
        <f>VLOOKUP(H214, 'RM &amp; SF'!B:E, 4, 0)</f>
        <v>قطعة</v>
      </c>
      <c r="K214" s="12">
        <v>1</v>
      </c>
      <c r="L214" s="13">
        <f>VLOOKUP(H214, 'RM &amp; SF'!B:H, 7, 0)</f>
        <v>8.6199999999999999E-2</v>
      </c>
      <c r="M214" s="7">
        <f t="shared" si="10"/>
        <v>8.6199999999999999E-2</v>
      </c>
      <c r="N214" s="4" t="s">
        <v>825</v>
      </c>
      <c r="O214" s="4">
        <f>VLOOKUP(B214, 'All Menu'!B:L, 6, 0)</f>
        <v>15.517241379310345</v>
      </c>
      <c r="P214" s="6">
        <f>VLOOKUP(B214, 'All Menu'!B:L, 9, 0)</f>
        <v>9.7854384137673822</v>
      </c>
      <c r="Q214" s="14">
        <f>VLOOKUP(B214, 'All Menu'!B:M, 12, 0)</f>
        <v>0.36938285777943536</v>
      </c>
      <c r="R214" s="173">
        <f t="shared" si="9"/>
        <v>0</v>
      </c>
    </row>
    <row r="215" spans="1:18" ht="14" hidden="1">
      <c r="A215" s="78" t="s">
        <v>2496</v>
      </c>
      <c r="B215" s="220" t="s">
        <v>1299</v>
      </c>
      <c r="C215" s="185"/>
      <c r="D215" s="103" t="str">
        <f>VLOOKUP(B215, 'All Menu'!B:M, 4, 0)</f>
        <v>منسف روماني كيلو</v>
      </c>
      <c r="E215" s="30" t="str">
        <f>VLOOKUP(B215, 'All Menu'!B:M, 2, 0)</f>
        <v>قسم التواصي</v>
      </c>
      <c r="F215" s="103" t="str">
        <f>VLOOKUP(B215, 'All Menu'!B:M, 3, 0)</f>
        <v>التواصي سفري2</v>
      </c>
      <c r="G215" s="90" t="s">
        <v>3058</v>
      </c>
      <c r="H215" s="188">
        <v>5433</v>
      </c>
      <c r="I215" s="110" t="str">
        <f>VLOOKUP(H215, 'RM &amp; SF'!B:H, 2, 0)</f>
        <v>خروف مستورد</v>
      </c>
      <c r="J215" s="184" t="str">
        <f>VLOOKUP(H215, 'RM &amp; SF'!B:E, 4, 0)</f>
        <v>غم</v>
      </c>
      <c r="K215" s="22">
        <v>1000</v>
      </c>
      <c r="L215" s="13">
        <f>VLOOKUP(H215, 'RM &amp; SF'!B:H, 7, 0)</f>
        <v>7.6241935483870975E-3</v>
      </c>
      <c r="M215" s="15">
        <f t="shared" si="10"/>
        <v>7.6241935483870975</v>
      </c>
      <c r="N215" s="21" t="s">
        <v>825</v>
      </c>
      <c r="O215" s="4">
        <f>VLOOKUP(B215, 'All Menu'!B:L, 6, 0)</f>
        <v>17.241379310344829</v>
      </c>
      <c r="P215" s="6">
        <f>VLOOKUP(B215, 'All Menu'!B:L, 9, 0)</f>
        <v>9.9595579060900263</v>
      </c>
      <c r="Q215" s="14">
        <f>VLOOKUP(B215, 'All Menu'!B:M, 12, 0)</f>
        <v>0.42234564144677855</v>
      </c>
      <c r="R215" s="173">
        <f t="shared" ref="R215:R253" si="11">C215*K215</f>
        <v>0</v>
      </c>
    </row>
    <row r="216" spans="1:18" ht="14">
      <c r="A216" s="78" t="s">
        <v>2496</v>
      </c>
      <c r="B216" s="220" t="s">
        <v>1299</v>
      </c>
      <c r="C216" s="185"/>
      <c r="D216" s="103" t="str">
        <f>VLOOKUP(B216, 'All Menu'!B:M, 4, 0)</f>
        <v>منسف روماني كيلو</v>
      </c>
      <c r="E216" s="30" t="str">
        <f>VLOOKUP(B216, 'All Menu'!B:M, 2, 0)</f>
        <v>قسم التواصي</v>
      </c>
      <c r="F216" s="103" t="str">
        <f>VLOOKUP(B216, 'All Menu'!B:M, 3, 0)</f>
        <v>التواصي سفري2</v>
      </c>
      <c r="G216" s="90" t="s">
        <v>2389</v>
      </c>
      <c r="H216" s="219" t="s">
        <v>550</v>
      </c>
      <c r="I216" s="110" t="str">
        <f>VLOOKUP(H216, 'RM &amp; SF'!B:H, 2, 0)</f>
        <v>ارز منسف</v>
      </c>
      <c r="J216" s="184" t="str">
        <f>VLOOKUP(H216, 'RM &amp; SF'!B:E, 4, 0)</f>
        <v>غم</v>
      </c>
      <c r="K216" s="22">
        <v>1750</v>
      </c>
      <c r="L216" s="13">
        <f>VLOOKUP(H216, 'RM &amp; SF'!B:H, 7, 0)</f>
        <v>4.9216375000000004E-4</v>
      </c>
      <c r="M216" s="15">
        <f t="shared" si="10"/>
        <v>0.86128656250000002</v>
      </c>
      <c r="N216" s="21" t="s">
        <v>825</v>
      </c>
      <c r="O216" s="4">
        <f>VLOOKUP(B216, 'All Menu'!B:L, 6, 0)</f>
        <v>17.241379310344829</v>
      </c>
      <c r="P216" s="6">
        <f>VLOOKUP(B216, 'All Menu'!B:L, 9, 0)</f>
        <v>9.9595579060900263</v>
      </c>
      <c r="Q216" s="14">
        <f>VLOOKUP(B216, 'All Menu'!B:M, 12, 0)</f>
        <v>0.42234564144677855</v>
      </c>
      <c r="R216" s="173">
        <f t="shared" si="11"/>
        <v>0</v>
      </c>
    </row>
    <row r="217" spans="1:18" ht="14" hidden="1">
      <c r="A217" s="78" t="s">
        <v>2496</v>
      </c>
      <c r="B217" s="220" t="s">
        <v>1299</v>
      </c>
      <c r="C217" s="185"/>
      <c r="D217" s="103" t="str">
        <f>VLOOKUP(B217, 'All Menu'!B:M, 4, 0)</f>
        <v>منسف روماني كيلو</v>
      </c>
      <c r="E217" s="30" t="str">
        <f>VLOOKUP(B217, 'All Menu'!B:M, 2, 0)</f>
        <v>قسم التواصي</v>
      </c>
      <c r="F217" s="103" t="str">
        <f>VLOOKUP(B217, 'All Menu'!B:M, 3, 0)</f>
        <v>التواصي سفري2</v>
      </c>
      <c r="G217" s="90" t="s">
        <v>2431</v>
      </c>
      <c r="H217" s="219" t="s">
        <v>552</v>
      </c>
      <c r="I217" s="110" t="str">
        <f>VLOOKUP(H217, 'RM &amp; SF'!B:H, 2, 0)</f>
        <v xml:space="preserve">لبن </v>
      </c>
      <c r="J217" s="184" t="str">
        <f>VLOOKUP(H217, 'RM &amp; SF'!B:E, 4, 0)</f>
        <v>غم</v>
      </c>
      <c r="K217" s="22">
        <v>1000</v>
      </c>
      <c r="L217" s="13">
        <f>VLOOKUP(H217, 'RM &amp; SF'!B:H, 7, 0)</f>
        <v>5.9114973451327433E-4</v>
      </c>
      <c r="M217" s="15">
        <f t="shared" si="10"/>
        <v>0.59114973451327435</v>
      </c>
      <c r="N217" s="21" t="s">
        <v>825</v>
      </c>
      <c r="O217" s="4">
        <f>VLOOKUP(B217, 'All Menu'!B:L, 6, 0)</f>
        <v>17.241379310344829</v>
      </c>
      <c r="P217" s="6">
        <f>VLOOKUP(B217, 'All Menu'!B:L, 9, 0)</f>
        <v>9.9595579060900263</v>
      </c>
      <c r="Q217" s="14">
        <f>VLOOKUP(B217, 'All Menu'!B:M, 12, 0)</f>
        <v>0.42234564144677855</v>
      </c>
      <c r="R217" s="173">
        <f t="shared" si="11"/>
        <v>0</v>
      </c>
    </row>
    <row r="218" spans="1:18" ht="14" hidden="1">
      <c r="A218" s="78" t="s">
        <v>2496</v>
      </c>
      <c r="B218" s="220" t="s">
        <v>1299</v>
      </c>
      <c r="C218" s="185"/>
      <c r="D218" s="103" t="str">
        <f>VLOOKUP(B218, 'All Menu'!B:M, 4, 0)</f>
        <v>منسف روماني كيلو</v>
      </c>
      <c r="E218" s="30" t="str">
        <f>VLOOKUP(B218, 'All Menu'!B:M, 2, 0)</f>
        <v>قسم التواصي</v>
      </c>
      <c r="F218" s="103" t="str">
        <f>VLOOKUP(B218, 'All Menu'!B:M, 3, 0)</f>
        <v>التواصي سفري2</v>
      </c>
      <c r="G218" s="90" t="s">
        <v>3058</v>
      </c>
      <c r="H218" s="221">
        <v>4354</v>
      </c>
      <c r="I218" s="110" t="str">
        <f>VLOOKUP(H218, 'RM &amp; SF'!B:H, 2, 0)</f>
        <v>سدر بلاستيك دائري 35 سم*****</v>
      </c>
      <c r="J218" s="184" t="str">
        <f>VLOOKUP(H218, 'RM &amp; SF'!B:E, 4, 0)</f>
        <v>قطعة</v>
      </c>
      <c r="K218" s="22">
        <v>1</v>
      </c>
      <c r="L218" s="13">
        <f>VLOOKUP(H218, 'RM &amp; SF'!B:H, 7, 0)</f>
        <v>0.28016999999999997</v>
      </c>
      <c r="M218" s="15">
        <f t="shared" si="10"/>
        <v>0.28016999999999997</v>
      </c>
      <c r="N218" s="21" t="s">
        <v>825</v>
      </c>
      <c r="O218" s="4">
        <f>VLOOKUP(B218, 'All Menu'!B:L, 6, 0)</f>
        <v>17.241379310344829</v>
      </c>
      <c r="P218" s="6">
        <f>VLOOKUP(B218, 'All Menu'!B:L, 9, 0)</f>
        <v>9.9595579060900263</v>
      </c>
      <c r="Q218" s="14">
        <f>VLOOKUP(B218, 'All Menu'!B:M, 12, 0)</f>
        <v>0.42234564144677855</v>
      </c>
      <c r="R218" s="173">
        <f t="shared" si="11"/>
        <v>0</v>
      </c>
    </row>
    <row r="219" spans="1:18" ht="14" hidden="1">
      <c r="A219" s="78" t="s">
        <v>2496</v>
      </c>
      <c r="B219" s="220" t="s">
        <v>1299</v>
      </c>
      <c r="C219" s="185"/>
      <c r="D219" s="103" t="str">
        <f>VLOOKUP(B219, 'All Menu'!B:M, 4, 0)</f>
        <v>منسف روماني كيلو</v>
      </c>
      <c r="E219" s="30" t="str">
        <f>VLOOKUP(B219, 'All Menu'!B:M, 2, 0)</f>
        <v>قسم التواصي</v>
      </c>
      <c r="F219" s="103" t="str">
        <f>VLOOKUP(B219, 'All Menu'!B:M, 3, 0)</f>
        <v>التواصي سفري2</v>
      </c>
      <c r="G219" s="90" t="s">
        <v>2341</v>
      </c>
      <c r="H219" s="219" t="s">
        <v>706</v>
      </c>
      <c r="I219" s="110" t="str">
        <f>VLOOKUP(H219, 'RM &amp; SF'!B:H, 2, 0)</f>
        <v>لوز مقلي</v>
      </c>
      <c r="J219" s="184" t="str">
        <f>VLOOKUP(H219, 'RM &amp; SF'!B:E, 4, 0)</f>
        <v>غم</v>
      </c>
      <c r="K219" s="22">
        <v>80</v>
      </c>
      <c r="L219" s="13">
        <f>VLOOKUP(H219, 'RM &amp; SF'!B:H, 7, 0)</f>
        <v>4.1352327586206888E-3</v>
      </c>
      <c r="M219" s="15">
        <f t="shared" si="10"/>
        <v>0.33081862068965512</v>
      </c>
      <c r="N219" s="21" t="s">
        <v>825</v>
      </c>
      <c r="O219" s="4">
        <f>VLOOKUP(B219, 'All Menu'!B:L, 6, 0)</f>
        <v>17.241379310344829</v>
      </c>
      <c r="P219" s="6">
        <f>VLOOKUP(B219, 'All Menu'!B:L, 9, 0)</f>
        <v>9.9595579060900263</v>
      </c>
      <c r="Q219" s="14">
        <f>VLOOKUP(B219, 'All Menu'!B:M, 12, 0)</f>
        <v>0.42234564144677855</v>
      </c>
      <c r="R219" s="173">
        <f t="shared" si="11"/>
        <v>0</v>
      </c>
    </row>
    <row r="220" spans="1:18" ht="14" hidden="1">
      <c r="A220" s="78" t="s">
        <v>2496</v>
      </c>
      <c r="B220" s="220" t="s">
        <v>1299</v>
      </c>
      <c r="C220" s="185"/>
      <c r="D220" s="103" t="str">
        <f>VLOOKUP(B220, 'All Menu'!B:M, 4, 0)</f>
        <v>منسف روماني كيلو</v>
      </c>
      <c r="E220" s="30" t="str">
        <f>VLOOKUP(B220, 'All Menu'!B:M, 2, 0)</f>
        <v>قسم التواصي</v>
      </c>
      <c r="F220" s="103" t="str">
        <f>VLOOKUP(B220, 'All Menu'!B:M, 3, 0)</f>
        <v>التواصي سفري2</v>
      </c>
      <c r="G220" s="90" t="s">
        <v>2224</v>
      </c>
      <c r="H220" s="188">
        <v>4115</v>
      </c>
      <c r="I220" s="110" t="str">
        <f>VLOOKUP(H220, 'RM &amp; SF'!B:H, 2, 0)</f>
        <v>خبز شراك*****</v>
      </c>
      <c r="J220" s="184" t="str">
        <f>VLOOKUP(H220, 'RM &amp; SF'!B:E, 4, 0)</f>
        <v>قطعة</v>
      </c>
      <c r="K220" s="22">
        <v>2</v>
      </c>
      <c r="L220" s="13">
        <f>VLOOKUP(H220, 'RM &amp; SF'!B:H, 7, 0)</f>
        <v>0.1</v>
      </c>
      <c r="M220" s="15">
        <f t="shared" si="10"/>
        <v>0.2</v>
      </c>
      <c r="N220" s="21" t="s">
        <v>825</v>
      </c>
      <c r="O220" s="4">
        <f>VLOOKUP(B220, 'All Menu'!B:L, 6, 0)</f>
        <v>17.241379310344829</v>
      </c>
      <c r="P220" s="6">
        <f>VLOOKUP(B220, 'All Menu'!B:L, 9, 0)</f>
        <v>9.9595579060900263</v>
      </c>
      <c r="Q220" s="14">
        <f>VLOOKUP(B220, 'All Menu'!B:M, 12, 0)</f>
        <v>0.42234564144677855</v>
      </c>
      <c r="R220" s="173">
        <f t="shared" si="11"/>
        <v>0</v>
      </c>
    </row>
    <row r="221" spans="1:18" ht="14" hidden="1">
      <c r="A221" s="78" t="s">
        <v>2496</v>
      </c>
      <c r="B221" s="220" t="s">
        <v>1299</v>
      </c>
      <c r="C221" s="185"/>
      <c r="D221" s="103" t="str">
        <f>VLOOKUP(B221, 'All Menu'!B:M, 4, 0)</f>
        <v>منسف روماني كيلو</v>
      </c>
      <c r="E221" s="30" t="str">
        <f>VLOOKUP(B221, 'All Menu'!B:M, 2, 0)</f>
        <v>قسم التواصي</v>
      </c>
      <c r="F221" s="103" t="str">
        <f>VLOOKUP(B221, 'All Menu'!B:M, 3, 0)</f>
        <v>التواصي سفري2</v>
      </c>
      <c r="G221" s="90" t="s">
        <v>3058</v>
      </c>
      <c r="H221" s="221">
        <v>4285</v>
      </c>
      <c r="I221" s="110" t="str">
        <f>VLOOKUP(H221, 'RM &amp; SF'!B:H, 2, 0)</f>
        <v>علب بلاستيك مربع متصل 150 مل*****</v>
      </c>
      <c r="J221" s="184" t="str">
        <f>VLOOKUP(H221, 'RM &amp; SF'!B:E, 4, 0)</f>
        <v>قطعة</v>
      </c>
      <c r="K221" s="22">
        <v>1</v>
      </c>
      <c r="L221" s="13">
        <f>VLOOKUP(H221, 'RM &amp; SF'!B:H, 7, 0)</f>
        <v>1.494E-2</v>
      </c>
      <c r="M221" s="15">
        <f t="shared" si="10"/>
        <v>1.494E-2</v>
      </c>
      <c r="N221" s="21" t="s">
        <v>825</v>
      </c>
      <c r="O221" s="4">
        <f>VLOOKUP(B221, 'All Menu'!B:L, 6, 0)</f>
        <v>17.241379310344829</v>
      </c>
      <c r="P221" s="6">
        <f>VLOOKUP(B221, 'All Menu'!B:L, 9, 0)</f>
        <v>9.9595579060900263</v>
      </c>
      <c r="Q221" s="14">
        <f>VLOOKUP(B221, 'All Menu'!B:M, 12, 0)</f>
        <v>0.42234564144677855</v>
      </c>
      <c r="R221" s="173">
        <f t="shared" si="11"/>
        <v>0</v>
      </c>
    </row>
    <row r="222" spans="1:18" ht="14" hidden="1">
      <c r="A222" s="78" t="s">
        <v>2496</v>
      </c>
      <c r="B222" s="220" t="s">
        <v>1299</v>
      </c>
      <c r="C222" s="185"/>
      <c r="D222" s="103" t="str">
        <f>VLOOKUP(B222, 'All Menu'!B:M, 4, 0)</f>
        <v>منسف روماني كيلو</v>
      </c>
      <c r="E222" s="30" t="str">
        <f>VLOOKUP(B222, 'All Menu'!B:M, 2, 0)</f>
        <v>قسم التواصي</v>
      </c>
      <c r="F222" s="103" t="str">
        <f>VLOOKUP(B222, 'All Menu'!B:M, 3, 0)</f>
        <v>التواصي سفري2</v>
      </c>
      <c r="G222" s="90" t="s">
        <v>2194</v>
      </c>
      <c r="H222" s="221">
        <v>4323</v>
      </c>
      <c r="I222" s="110" t="str">
        <f>VLOOKUP(H222, 'RM &amp; SF'!B:H, 2, 0)</f>
        <v>قصدير رول 45 سم*2كغ*****</v>
      </c>
      <c r="J222" s="184" t="str">
        <f>VLOOKUP(H222, 'RM &amp; SF'!B:E, 4, 0)</f>
        <v>غم</v>
      </c>
      <c r="K222" s="12">
        <v>0.06</v>
      </c>
      <c r="L222" s="13">
        <f>VLOOKUP(H222, 'RM &amp; SF'!B:H, 7, 0)</f>
        <v>1.7240000000000001E-3</v>
      </c>
      <c r="M222" s="15">
        <f t="shared" si="10"/>
        <v>1.0344E-4</v>
      </c>
      <c r="N222" s="21" t="s">
        <v>825</v>
      </c>
      <c r="O222" s="4">
        <f>VLOOKUP(B222, 'All Menu'!B:L, 6, 0)</f>
        <v>17.241379310344829</v>
      </c>
      <c r="P222" s="6">
        <f>VLOOKUP(B222, 'All Menu'!B:L, 9, 0)</f>
        <v>9.9595579060900263</v>
      </c>
      <c r="Q222" s="14">
        <f>VLOOKUP(B222, 'All Menu'!B:M, 12, 0)</f>
        <v>0.42234564144677855</v>
      </c>
      <c r="R222" s="173">
        <f t="shared" si="11"/>
        <v>0</v>
      </c>
    </row>
    <row r="223" spans="1:18" ht="14" hidden="1">
      <c r="A223" s="78" t="s">
        <v>2496</v>
      </c>
      <c r="B223" s="220" t="s">
        <v>1299</v>
      </c>
      <c r="C223" s="185"/>
      <c r="D223" s="103" t="str">
        <f>VLOOKUP(B223, 'All Menu'!B:M, 4, 0)</f>
        <v>منسف روماني كيلو</v>
      </c>
      <c r="E223" s="30" t="str">
        <f>VLOOKUP(B223, 'All Menu'!B:M, 2, 0)</f>
        <v>قسم التواصي</v>
      </c>
      <c r="F223" s="103" t="str">
        <f>VLOOKUP(B223, 'All Menu'!B:M, 3, 0)</f>
        <v>التواصي سفري2</v>
      </c>
      <c r="G223" s="90" t="s">
        <v>3058</v>
      </c>
      <c r="H223" s="221">
        <v>5378</v>
      </c>
      <c r="I223" s="110" t="str">
        <f>VLOOKUP(H223, 'RM &amp; SF'!B:H, 2, 0)</f>
        <v>رول مركزية تواصي</v>
      </c>
      <c r="J223" s="184" t="str">
        <f>VLOOKUP(H223, 'RM &amp; SF'!B:E, 4, 0)</f>
        <v>غم</v>
      </c>
      <c r="K223" s="22">
        <v>20</v>
      </c>
      <c r="L223" s="13">
        <f>VLOOKUP(H223, 'RM &amp; SF'!B:H, 7, 0)</f>
        <v>2.7499999999999998E-3</v>
      </c>
      <c r="M223" s="15">
        <f t="shared" si="10"/>
        <v>5.4999999999999993E-2</v>
      </c>
      <c r="N223" s="21" t="s">
        <v>825</v>
      </c>
      <c r="O223" s="4">
        <f>VLOOKUP(B223, 'All Menu'!B:L, 6, 0)</f>
        <v>17.241379310344829</v>
      </c>
      <c r="P223" s="6">
        <f>VLOOKUP(B223, 'All Menu'!B:L, 9, 0)</f>
        <v>9.9595579060900263</v>
      </c>
      <c r="Q223" s="14">
        <f>VLOOKUP(B223, 'All Menu'!B:M, 12, 0)</f>
        <v>0.42234564144677855</v>
      </c>
      <c r="R223" s="173">
        <f t="shared" si="11"/>
        <v>0</v>
      </c>
    </row>
    <row r="224" spans="1:18" ht="14" hidden="1">
      <c r="A224" s="78" t="s">
        <v>2496</v>
      </c>
      <c r="B224" s="220" t="s">
        <v>1299</v>
      </c>
      <c r="C224" s="185"/>
      <c r="D224" s="103" t="str">
        <f>VLOOKUP(B224, 'All Menu'!B:M, 4, 0)</f>
        <v>منسف روماني كيلو</v>
      </c>
      <c r="E224" s="30" t="str">
        <f>VLOOKUP(B224, 'All Menu'!B:M, 2, 0)</f>
        <v>قسم التواصي</v>
      </c>
      <c r="F224" s="103" t="str">
        <f>VLOOKUP(B224, 'All Menu'!B:M, 3, 0)</f>
        <v>التواصي سفري2</v>
      </c>
      <c r="G224" s="90" t="s">
        <v>2195</v>
      </c>
      <c r="H224" s="221">
        <v>4329</v>
      </c>
      <c r="I224" s="110" t="str">
        <f>VLOOKUP(H224, 'RM &amp; SF'!B:H, 2, 0)</f>
        <v>ملاعق بلاستيك مع معقم مطبوع 1*500 حبة*****</v>
      </c>
      <c r="J224" s="184" t="str">
        <f>VLOOKUP(H224, 'RM &amp; SF'!B:E, 4, 0)</f>
        <v>قطعة</v>
      </c>
      <c r="K224" s="22">
        <v>4</v>
      </c>
      <c r="L224" s="13">
        <f>VLOOKUP(H224, 'RM &amp; SF'!B:H, 7, 0)</f>
        <v>4.7399999999999997E-4</v>
      </c>
      <c r="M224" s="15">
        <f t="shared" si="10"/>
        <v>1.8959999999999999E-3</v>
      </c>
      <c r="N224" s="21" t="s">
        <v>825</v>
      </c>
      <c r="O224" s="4">
        <f>VLOOKUP(B224, 'All Menu'!B:L, 6, 0)</f>
        <v>17.241379310344829</v>
      </c>
      <c r="P224" s="6">
        <f>VLOOKUP(B224, 'All Menu'!B:L, 9, 0)</f>
        <v>9.9595579060900263</v>
      </c>
      <c r="Q224" s="14">
        <f>VLOOKUP(B224, 'All Menu'!B:M, 12, 0)</f>
        <v>0.42234564144677855</v>
      </c>
      <c r="R224" s="173">
        <f t="shared" si="11"/>
        <v>0</v>
      </c>
    </row>
    <row r="225" spans="1:18" ht="14" hidden="1">
      <c r="A225" s="78" t="s">
        <v>3072</v>
      </c>
      <c r="B225" s="220">
        <v>60069</v>
      </c>
      <c r="C225" s="185"/>
      <c r="D225" s="103" t="str">
        <f>VLOOKUP(B225, 'All Menu'!B:M, 4, 0)</f>
        <v>دوالي ني</v>
      </c>
      <c r="E225" s="30" t="str">
        <f>VLOOKUP(B225, 'All Menu'!B:M, 2, 0)</f>
        <v>قسم التواصي</v>
      </c>
      <c r="F225" s="103" t="str">
        <f>VLOOKUP(B225, 'All Menu'!B:M, 3, 0)</f>
        <v>تجهيزات</v>
      </c>
      <c r="G225" s="90" t="s">
        <v>2437</v>
      </c>
      <c r="H225" s="219" t="s">
        <v>688</v>
      </c>
      <c r="I225" s="110" t="str">
        <f>VLOOKUP(H225, 'RM &amp; SF'!B:H, 2, 0)</f>
        <v>دوالي محشي</v>
      </c>
      <c r="J225" s="184" t="str">
        <f>VLOOKUP(H225, 'RM &amp; SF'!B:E, 4, 0)</f>
        <v>قطعة</v>
      </c>
      <c r="K225" s="22">
        <v>100</v>
      </c>
      <c r="L225" s="13">
        <f>VLOOKUP(H225, 'RM &amp; SF'!B:H, 7, 0)</f>
        <v>6.7135997560149097E-2</v>
      </c>
      <c r="M225" s="15">
        <f t="shared" si="10"/>
        <v>6.7135997560149097</v>
      </c>
      <c r="N225" s="21" t="s">
        <v>825</v>
      </c>
      <c r="O225" s="4">
        <f>VLOOKUP(B225, 'All Menu'!B:L, 6, 0)</f>
        <v>11.99</v>
      </c>
      <c r="P225" s="6">
        <f>VLOOKUP(B225, 'All Menu'!B:L, 9, 0)</f>
        <v>6.7135997560149097</v>
      </c>
      <c r="Q225" s="14">
        <f>VLOOKUP(B225, 'All Menu'!B:M, 12, 0)</f>
        <v>0.44006674261760553</v>
      </c>
      <c r="R225" s="173">
        <f t="shared" si="11"/>
        <v>0</v>
      </c>
    </row>
    <row r="226" spans="1:18" ht="14" hidden="1">
      <c r="A226" s="78" t="s">
        <v>2493</v>
      </c>
      <c r="B226" s="220" t="s">
        <v>1318</v>
      </c>
      <c r="C226" s="185"/>
      <c r="D226" s="103" t="str">
        <f>VLOOKUP(B226, 'All Menu'!B:M, 4, 0)</f>
        <v>راس مطبوخ</v>
      </c>
      <c r="E226" s="30" t="str">
        <f>VLOOKUP(B226, 'All Menu'!B:M, 2, 0)</f>
        <v>قسم التواصي</v>
      </c>
      <c r="F226" s="103" t="str">
        <f>VLOOKUP(B226, 'All Menu'!B:M, 3, 0)</f>
        <v>التواصي سفري2</v>
      </c>
      <c r="G226" s="90" t="s">
        <v>3058</v>
      </c>
      <c r="H226" s="221">
        <v>5317</v>
      </c>
      <c r="I226" s="110" t="str">
        <f>VLOOKUP(H226, 'RM &amp; SF'!B:H, 2, 0)</f>
        <v>راس خروف</v>
      </c>
      <c r="J226" s="184" t="str">
        <f>VLOOKUP(H226, 'RM &amp; SF'!B:E, 4, 0)</f>
        <v>قطعة</v>
      </c>
      <c r="K226" s="22">
        <v>1</v>
      </c>
      <c r="L226" s="13">
        <f>VLOOKUP(H226, 'RM &amp; SF'!B:H, 7, 0)</f>
        <v>4</v>
      </c>
      <c r="M226" s="15">
        <f t="shared" si="10"/>
        <v>4</v>
      </c>
      <c r="N226" s="21" t="s">
        <v>825</v>
      </c>
      <c r="O226" s="4">
        <f>VLOOKUP(B226, 'All Menu'!B:L, 6, 0)</f>
        <v>8.6206896551724146</v>
      </c>
      <c r="P226" s="6">
        <f>VLOOKUP(B226, 'All Menu'!B:L, 9, 0)</f>
        <v>4.2948408620689653</v>
      </c>
      <c r="Q226" s="14">
        <f>VLOOKUP(B226, 'All Menu'!B:M, 12, 0)</f>
        <v>0.50179846000000006</v>
      </c>
      <c r="R226" s="173">
        <f t="shared" si="11"/>
        <v>0</v>
      </c>
    </row>
    <row r="227" spans="1:18" ht="14" hidden="1">
      <c r="A227" s="78" t="s">
        <v>2493</v>
      </c>
      <c r="B227" s="220" t="s">
        <v>1318</v>
      </c>
      <c r="C227" s="185"/>
      <c r="D227" s="103" t="str">
        <f>VLOOKUP(B227, 'All Menu'!B:M, 4, 0)</f>
        <v>راس مطبوخ</v>
      </c>
      <c r="E227" s="30" t="str">
        <f>VLOOKUP(B227, 'All Menu'!B:M, 2, 0)</f>
        <v>قسم التواصي</v>
      </c>
      <c r="F227" s="103" t="str">
        <f>VLOOKUP(B227, 'All Menu'!B:M, 3, 0)</f>
        <v>التواصي سفري2</v>
      </c>
      <c r="G227" s="90" t="s">
        <v>2219</v>
      </c>
      <c r="H227" s="221">
        <v>4235</v>
      </c>
      <c r="I227" s="110" t="str">
        <f>VLOOKUP(H227, 'RM &amp; SF'!B:H, 2, 0)</f>
        <v>قرفة اعواد*****</v>
      </c>
      <c r="J227" s="184" t="str">
        <f>VLOOKUP(H227, 'RM &amp; SF'!B:E, 4, 0)</f>
        <v>غم</v>
      </c>
      <c r="K227" s="22">
        <v>10</v>
      </c>
      <c r="L227" s="13">
        <f>VLOOKUP(H227, 'RM &amp; SF'!B:H, 7, 0)</f>
        <v>2.8020000000000002E-3</v>
      </c>
      <c r="M227" s="15">
        <f t="shared" si="10"/>
        <v>2.8020000000000003E-2</v>
      </c>
      <c r="N227" s="21" t="s">
        <v>825</v>
      </c>
      <c r="O227" s="4">
        <f>VLOOKUP(B227, 'All Menu'!B:L, 6, 0)</f>
        <v>8.6206896551724146</v>
      </c>
      <c r="P227" s="6">
        <f>VLOOKUP(B227, 'All Menu'!B:L, 9, 0)</f>
        <v>4.2948408620689653</v>
      </c>
      <c r="Q227" s="14">
        <f>VLOOKUP(B227, 'All Menu'!B:M, 12, 0)</f>
        <v>0.50179846000000006</v>
      </c>
      <c r="R227" s="173">
        <f t="shared" si="11"/>
        <v>0</v>
      </c>
    </row>
    <row r="228" spans="1:18" ht="14" hidden="1">
      <c r="A228" s="78" t="s">
        <v>2493</v>
      </c>
      <c r="B228" s="220" t="s">
        <v>1318</v>
      </c>
      <c r="C228" s="185"/>
      <c r="D228" s="103" t="str">
        <f>VLOOKUP(B228, 'All Menu'!B:M, 4, 0)</f>
        <v>راس مطبوخ</v>
      </c>
      <c r="E228" s="30" t="str">
        <f>VLOOKUP(B228, 'All Menu'!B:M, 2, 0)</f>
        <v>قسم التواصي</v>
      </c>
      <c r="F228" s="103" t="str">
        <f>VLOOKUP(B228, 'All Menu'!B:M, 3, 0)</f>
        <v>التواصي سفري2</v>
      </c>
      <c r="G228" s="90" t="s">
        <v>2204</v>
      </c>
      <c r="H228" s="221">
        <v>4189</v>
      </c>
      <c r="I228" s="110" t="str">
        <f>VLOOKUP(H228, 'RM &amp; SF'!B:H, 2, 0)</f>
        <v>لومي اصفر*****</v>
      </c>
      <c r="J228" s="184" t="str">
        <f>VLOOKUP(H228, 'RM &amp; SF'!B:E, 4, 0)</f>
        <v>غم</v>
      </c>
      <c r="K228" s="22">
        <v>30</v>
      </c>
      <c r="L228" s="13">
        <f>VLOOKUP(H228, 'RM &amp; SF'!B:H, 7, 0)</f>
        <v>1.9399999999999999E-3</v>
      </c>
      <c r="M228" s="15">
        <f t="shared" si="10"/>
        <v>5.8199999999999995E-2</v>
      </c>
      <c r="N228" s="21" t="s">
        <v>825</v>
      </c>
      <c r="O228" s="4">
        <f>VLOOKUP(B228, 'All Menu'!B:L, 6, 0)</f>
        <v>8.6206896551724146</v>
      </c>
      <c r="P228" s="6">
        <f>VLOOKUP(B228, 'All Menu'!B:L, 9, 0)</f>
        <v>4.2948408620689653</v>
      </c>
      <c r="Q228" s="14">
        <f>VLOOKUP(B228, 'All Menu'!B:M, 12, 0)</f>
        <v>0.50179846000000006</v>
      </c>
      <c r="R228" s="173">
        <f t="shared" si="11"/>
        <v>0</v>
      </c>
    </row>
    <row r="229" spans="1:18" ht="14" hidden="1">
      <c r="A229" s="78" t="s">
        <v>2493</v>
      </c>
      <c r="B229" s="220" t="s">
        <v>1318</v>
      </c>
      <c r="C229" s="185"/>
      <c r="D229" s="103" t="str">
        <f>VLOOKUP(B229, 'All Menu'!B:M, 4, 0)</f>
        <v>راس مطبوخ</v>
      </c>
      <c r="E229" s="30" t="str">
        <f>VLOOKUP(B229, 'All Menu'!B:M, 2, 0)</f>
        <v>قسم التواصي</v>
      </c>
      <c r="F229" s="103" t="str">
        <f>VLOOKUP(B229, 'All Menu'!B:M, 3, 0)</f>
        <v>التواصي سفري2</v>
      </c>
      <c r="G229" s="90" t="s">
        <v>2210</v>
      </c>
      <c r="H229" s="221">
        <v>4213</v>
      </c>
      <c r="I229" s="110" t="str">
        <f>VLOOKUP(H229, 'RM &amp; SF'!B:H, 2, 0)</f>
        <v>ورق غار*****</v>
      </c>
      <c r="J229" s="184" t="str">
        <f>VLOOKUP(H229, 'RM &amp; SF'!B:E, 4, 0)</f>
        <v>غم</v>
      </c>
      <c r="K229" s="22">
        <v>5</v>
      </c>
      <c r="L229" s="13">
        <f>VLOOKUP(H229, 'RM &amp; SF'!B:H, 7, 0)</f>
        <v>2.0690000000000001E-3</v>
      </c>
      <c r="M229" s="15">
        <f t="shared" si="10"/>
        <v>1.0345E-2</v>
      </c>
      <c r="N229" s="21" t="s">
        <v>825</v>
      </c>
      <c r="O229" s="4">
        <f>VLOOKUP(B229, 'All Menu'!B:L, 6, 0)</f>
        <v>8.6206896551724146</v>
      </c>
      <c r="P229" s="6">
        <f>VLOOKUP(B229, 'All Menu'!B:L, 9, 0)</f>
        <v>4.2948408620689653</v>
      </c>
      <c r="Q229" s="14">
        <f>VLOOKUP(B229, 'All Menu'!B:M, 12, 0)</f>
        <v>0.50179846000000006</v>
      </c>
      <c r="R229" s="173">
        <f t="shared" si="11"/>
        <v>0</v>
      </c>
    </row>
    <row r="230" spans="1:18" ht="14" hidden="1">
      <c r="A230" s="78" t="s">
        <v>2493</v>
      </c>
      <c r="B230" s="220" t="s">
        <v>1318</v>
      </c>
      <c r="C230" s="185"/>
      <c r="D230" s="103" t="str">
        <f>VLOOKUP(B230, 'All Menu'!B:M, 4, 0)</f>
        <v>راس مطبوخ</v>
      </c>
      <c r="E230" s="30" t="str">
        <f>VLOOKUP(B230, 'All Menu'!B:M, 2, 0)</f>
        <v>قسم التواصي</v>
      </c>
      <c r="F230" s="103" t="str">
        <f>VLOOKUP(B230, 'All Menu'!B:M, 3, 0)</f>
        <v>التواصي سفري2</v>
      </c>
      <c r="G230" s="90" t="s">
        <v>3058</v>
      </c>
      <c r="H230" s="221">
        <v>4234</v>
      </c>
      <c r="I230" s="110" t="str">
        <f>VLOOKUP(H230, 'RM &amp; SF'!B:H, 2, 0)</f>
        <v>هال حب اخضر*****</v>
      </c>
      <c r="J230" s="184" t="str">
        <f>VLOOKUP(H230, 'RM &amp; SF'!B:E, 4, 0)</f>
        <v>غم</v>
      </c>
      <c r="K230" s="22">
        <v>10</v>
      </c>
      <c r="L230" s="13">
        <f>VLOOKUP(H230, 'RM &amp; SF'!B:H, 7, 0)</f>
        <v>1.9827586206896553E-2</v>
      </c>
      <c r="M230" s="15">
        <f t="shared" si="10"/>
        <v>0.19827586206896552</v>
      </c>
      <c r="N230" s="21" t="s">
        <v>825</v>
      </c>
      <c r="O230" s="4">
        <f>VLOOKUP(B230, 'All Menu'!B:L, 6, 0)</f>
        <v>8.6206896551724146</v>
      </c>
      <c r="P230" s="6">
        <f>VLOOKUP(B230, 'All Menu'!B:L, 9, 0)</f>
        <v>4.2948408620689653</v>
      </c>
      <c r="Q230" s="14">
        <f>VLOOKUP(B230, 'All Menu'!B:M, 12, 0)</f>
        <v>0.50179846000000006</v>
      </c>
      <c r="R230" s="173">
        <f t="shared" si="11"/>
        <v>0</v>
      </c>
    </row>
    <row r="231" spans="1:18" ht="14" hidden="1">
      <c r="A231" s="78" t="s">
        <v>2487</v>
      </c>
      <c r="B231" s="220" t="s">
        <v>1319</v>
      </c>
      <c r="C231" s="185"/>
      <c r="D231" s="103" t="str">
        <f>VLOOKUP(B231, 'All Menu'!B:M, 4, 0)</f>
        <v xml:space="preserve">خروف روماني محشي </v>
      </c>
      <c r="E231" s="30" t="str">
        <f>VLOOKUP(B231, 'All Menu'!B:M, 2, 0)</f>
        <v>قسم التواصي</v>
      </c>
      <c r="F231" s="103" t="str">
        <f>VLOOKUP(B231, 'All Menu'!B:M, 3, 0)</f>
        <v>التواصي سفري2</v>
      </c>
      <c r="G231" s="90" t="s">
        <v>3058</v>
      </c>
      <c r="H231" s="221">
        <v>5333</v>
      </c>
      <c r="I231" s="110" t="str">
        <f>VLOOKUP(H231, 'RM &amp; SF'!B:H, 2, 0)</f>
        <v xml:space="preserve"> خروف روماني*****</v>
      </c>
      <c r="J231" s="184" t="str">
        <f>VLOOKUP(H231, 'RM &amp; SF'!B:E, 4, 0)</f>
        <v>غم</v>
      </c>
      <c r="K231" s="22">
        <v>1000</v>
      </c>
      <c r="L231" s="13">
        <f>VLOOKUP(H231, 'RM &amp; SF'!B:H, 7, 0)</f>
        <v>1.115E-2</v>
      </c>
      <c r="M231" s="15">
        <f t="shared" si="10"/>
        <v>11.15</v>
      </c>
      <c r="N231" s="21" t="s">
        <v>825</v>
      </c>
      <c r="O231" s="4">
        <f>VLOOKUP(B231, 'All Menu'!B:L, 6, 0)</f>
        <v>13.793103448275863</v>
      </c>
      <c r="P231" s="6">
        <f>VLOOKUP(B231, 'All Menu'!B:L, 9, 0)</f>
        <v>21.081552222710176</v>
      </c>
      <c r="Q231" s="14">
        <f>VLOOKUP(B231, 'All Menu'!B:M, 12, 0)</f>
        <v>-0.52841253614648764</v>
      </c>
      <c r="R231" s="173">
        <f t="shared" si="11"/>
        <v>0</v>
      </c>
    </row>
    <row r="232" spans="1:18" ht="14" hidden="1">
      <c r="A232" s="78" t="s">
        <v>2487</v>
      </c>
      <c r="B232" s="220" t="s">
        <v>1319</v>
      </c>
      <c r="C232" s="185"/>
      <c r="D232" s="103" t="str">
        <f>VLOOKUP(B232, 'All Menu'!B:M, 4, 0)</f>
        <v xml:space="preserve">خروف روماني محشي </v>
      </c>
      <c r="E232" s="30" t="str">
        <f>VLOOKUP(B232, 'All Menu'!B:M, 2, 0)</f>
        <v>قسم التواصي</v>
      </c>
      <c r="F232" s="103" t="str">
        <f>VLOOKUP(B232, 'All Menu'!B:M, 3, 0)</f>
        <v>التواصي سفري2</v>
      </c>
      <c r="G232" s="90" t="s">
        <v>2412</v>
      </c>
      <c r="H232" s="219" t="s">
        <v>598</v>
      </c>
      <c r="I232" s="110" t="str">
        <f>VLOOKUP(H232, 'RM &amp; SF'!B:H, 2, 0)</f>
        <v>رز اوزي</v>
      </c>
      <c r="J232" s="184" t="str">
        <f>VLOOKUP(H232, 'RM &amp; SF'!B:E, 4, 0)</f>
        <v>غم</v>
      </c>
      <c r="K232" s="22">
        <f>3000/16</f>
        <v>187.5</v>
      </c>
      <c r="L232" s="13">
        <f>VLOOKUP(H232, 'RM &amp; SF'!B:H, 7, 0)</f>
        <v>1.1675619256756756E-3</v>
      </c>
      <c r="M232" s="15">
        <f t="shared" si="10"/>
        <v>0.21891786106418917</v>
      </c>
      <c r="N232" s="21" t="s">
        <v>825</v>
      </c>
      <c r="O232" s="4">
        <f>VLOOKUP(B232, 'All Menu'!B:L, 6, 0)</f>
        <v>13.793103448275863</v>
      </c>
      <c r="P232" s="6">
        <f>VLOOKUP(B232, 'All Menu'!B:L, 9, 0)</f>
        <v>21.081552222710176</v>
      </c>
      <c r="Q232" s="14">
        <f>VLOOKUP(B232, 'All Menu'!B:M, 12, 0)</f>
        <v>-0.52841253614648764</v>
      </c>
      <c r="R232" s="173">
        <f t="shared" si="11"/>
        <v>0</v>
      </c>
    </row>
    <row r="233" spans="1:18" ht="14" hidden="1">
      <c r="A233" s="78" t="s">
        <v>2487</v>
      </c>
      <c r="B233" s="220" t="s">
        <v>1319</v>
      </c>
      <c r="C233" s="185"/>
      <c r="D233" s="103" t="str">
        <f>VLOOKUP(B233, 'All Menu'!B:M, 4, 0)</f>
        <v xml:space="preserve">خروف روماني محشي </v>
      </c>
      <c r="E233" s="30" t="str">
        <f>VLOOKUP(B233, 'All Menu'!B:M, 2, 0)</f>
        <v>قسم التواصي</v>
      </c>
      <c r="F233" s="103" t="str">
        <f>VLOOKUP(B233, 'All Menu'!B:M, 3, 0)</f>
        <v>التواصي سفري2</v>
      </c>
      <c r="G233" s="90" t="s">
        <v>2341</v>
      </c>
      <c r="H233" s="219" t="s">
        <v>706</v>
      </c>
      <c r="I233" s="110" t="str">
        <f>VLOOKUP(H233, 'RM &amp; SF'!B:H, 2, 0)</f>
        <v>لوز مقلي</v>
      </c>
      <c r="J233" s="184" t="str">
        <f>VLOOKUP(H233, 'RM &amp; SF'!B:E, 4, 0)</f>
        <v>غم</v>
      </c>
      <c r="K233" s="22">
        <f>350/16</f>
        <v>21.875</v>
      </c>
      <c r="L233" s="13">
        <f>VLOOKUP(H233, 'RM &amp; SF'!B:H, 7, 0)</f>
        <v>4.1352327586206888E-3</v>
      </c>
      <c r="M233" s="15">
        <f t="shared" si="10"/>
        <v>9.045821659482757E-2</v>
      </c>
      <c r="N233" s="21" t="s">
        <v>825</v>
      </c>
      <c r="O233" s="4">
        <f>VLOOKUP(B233, 'All Menu'!B:L, 6, 0)</f>
        <v>13.793103448275863</v>
      </c>
      <c r="P233" s="6">
        <f>VLOOKUP(B233, 'All Menu'!B:L, 9, 0)</f>
        <v>21.081552222710176</v>
      </c>
      <c r="Q233" s="14">
        <f>VLOOKUP(B233, 'All Menu'!B:M, 12, 0)</f>
        <v>-0.52841253614648764</v>
      </c>
      <c r="R233" s="173">
        <f t="shared" si="11"/>
        <v>0</v>
      </c>
    </row>
    <row r="234" spans="1:18" ht="14" hidden="1">
      <c r="A234" s="78" t="s">
        <v>2487</v>
      </c>
      <c r="B234" s="220" t="s">
        <v>1319</v>
      </c>
      <c r="C234" s="185"/>
      <c r="D234" s="103" t="str">
        <f>VLOOKUP(B234, 'All Menu'!B:M, 4, 0)</f>
        <v xml:space="preserve">خروف روماني محشي </v>
      </c>
      <c r="E234" s="30" t="str">
        <f>VLOOKUP(B234, 'All Menu'!B:M, 2, 0)</f>
        <v>قسم التواصي</v>
      </c>
      <c r="F234" s="103" t="str">
        <f>VLOOKUP(B234, 'All Menu'!B:M, 3, 0)</f>
        <v>التواصي سفري2</v>
      </c>
      <c r="G234" s="90" t="s">
        <v>2435</v>
      </c>
      <c r="H234" s="219" t="s">
        <v>690</v>
      </c>
      <c r="I234" s="110" t="str">
        <f>VLOOKUP(H234, 'RM &amp; SF'!B:H, 2, 0)</f>
        <v>كوسا محشي بالحبة</v>
      </c>
      <c r="J234" s="184" t="str">
        <f>VLOOKUP(H234, 'RM &amp; SF'!B:E, 4, 0)</f>
        <v>قطعة</v>
      </c>
      <c r="K234" s="22">
        <v>14</v>
      </c>
      <c r="L234" s="13">
        <f>VLOOKUP(H234, 'RM &amp; SF'!B:H, 7, 0)</f>
        <v>0.20580553846153843</v>
      </c>
      <c r="M234" s="15">
        <f t="shared" ref="M234" si="12">L234*K234</f>
        <v>2.8812775384615379</v>
      </c>
      <c r="N234" s="21" t="s">
        <v>825</v>
      </c>
      <c r="O234" s="4">
        <f>VLOOKUP(B234, 'All Menu'!B:L, 6, 0)</f>
        <v>13.793103448275863</v>
      </c>
      <c r="P234" s="6">
        <f>VLOOKUP(B234, 'All Menu'!B:L, 9, 0)</f>
        <v>21.081552222710176</v>
      </c>
      <c r="Q234" s="14">
        <f>VLOOKUP(B234, 'All Menu'!B:M, 12, 0)</f>
        <v>-0.52841253614648764</v>
      </c>
      <c r="R234" s="173"/>
    </row>
    <row r="235" spans="1:18" ht="14" hidden="1">
      <c r="A235" s="78" t="s">
        <v>2487</v>
      </c>
      <c r="B235" s="220" t="s">
        <v>1319</v>
      </c>
      <c r="C235" s="185"/>
      <c r="D235" s="103" t="str">
        <f>VLOOKUP(B235, 'All Menu'!B:M, 4, 0)</f>
        <v xml:space="preserve">خروف روماني محشي </v>
      </c>
      <c r="E235" s="30" t="str">
        <f>VLOOKUP(B235, 'All Menu'!B:M, 2, 0)</f>
        <v>قسم التواصي</v>
      </c>
      <c r="F235" s="103" t="str">
        <f>VLOOKUP(B235, 'All Menu'!B:M, 3, 0)</f>
        <v>التواصي سفري2</v>
      </c>
      <c r="G235" s="90" t="s">
        <v>2437</v>
      </c>
      <c r="H235" s="219" t="s">
        <v>688</v>
      </c>
      <c r="I235" s="110" t="str">
        <f>VLOOKUP(H235, 'RM &amp; SF'!B:H, 2, 0)</f>
        <v>دوالي محشي</v>
      </c>
      <c r="J235" s="184" t="str">
        <f>VLOOKUP(H235, 'RM &amp; SF'!B:E, 4, 0)</f>
        <v>قطعة</v>
      </c>
      <c r="K235" s="22">
        <v>100</v>
      </c>
      <c r="L235" s="13">
        <f>VLOOKUP(H235, 'RM &amp; SF'!B:H, 7, 0)</f>
        <v>6.7135997560149097E-2</v>
      </c>
      <c r="M235" s="15">
        <f t="shared" ref="M235" si="13">L235*K235</f>
        <v>6.7135997560149097</v>
      </c>
      <c r="N235" s="21" t="s">
        <v>825</v>
      </c>
      <c r="O235" s="4">
        <f>VLOOKUP(B235, 'All Menu'!B:L, 6, 0)</f>
        <v>13.793103448275863</v>
      </c>
      <c r="P235" s="6">
        <f>VLOOKUP(B235, 'All Menu'!B:L, 9, 0)</f>
        <v>21.081552222710176</v>
      </c>
      <c r="Q235" s="14">
        <f>VLOOKUP(B235, 'All Menu'!B:M, 12, 0)</f>
        <v>-0.52841253614648764</v>
      </c>
      <c r="R235" s="173"/>
    </row>
    <row r="236" spans="1:18" ht="14" hidden="1">
      <c r="A236" s="78" t="s">
        <v>2487</v>
      </c>
      <c r="B236" s="220" t="s">
        <v>1319</v>
      </c>
      <c r="C236" s="185"/>
      <c r="D236" s="103" t="str">
        <f>VLOOKUP(B236, 'All Menu'!B:M, 4, 0)</f>
        <v xml:space="preserve">خروف روماني محشي </v>
      </c>
      <c r="E236" s="30" t="str">
        <f>VLOOKUP(B236, 'All Menu'!B:M, 2, 0)</f>
        <v>قسم التواصي</v>
      </c>
      <c r="F236" s="103" t="str">
        <f>VLOOKUP(B236, 'All Menu'!B:M, 3, 0)</f>
        <v>التواصي سفري2</v>
      </c>
      <c r="G236" s="90" t="s">
        <v>3058</v>
      </c>
      <c r="H236" s="221">
        <v>5427</v>
      </c>
      <c r="I236" s="110" t="str">
        <f>VLOOKUP(H236, 'RM &amp; SF'!B:H, 2, 0)</f>
        <v>رول تغليف ورقي مطبوع 13 كغ 60*120 سم*****</v>
      </c>
      <c r="J236" s="184" t="str">
        <f>VLOOKUP(H236, 'RM &amp; SF'!B:E, 4, 0)</f>
        <v>غم</v>
      </c>
      <c r="K236" s="22">
        <v>20</v>
      </c>
      <c r="L236" s="13">
        <f>VLOOKUP(H236, 'RM &amp; SF'!B:H, 7, 0)</f>
        <v>1.3649425287356322E-3</v>
      </c>
      <c r="M236" s="15">
        <f t="shared" si="10"/>
        <v>2.7298850574712645E-2</v>
      </c>
      <c r="N236" s="21" t="s">
        <v>825</v>
      </c>
      <c r="O236" s="4">
        <f>VLOOKUP(B236, 'All Menu'!B:L, 6, 0)</f>
        <v>13.793103448275863</v>
      </c>
      <c r="P236" s="6">
        <f>VLOOKUP(B236, 'All Menu'!B:L, 9, 0)</f>
        <v>21.081552222710176</v>
      </c>
      <c r="Q236" s="14">
        <f>VLOOKUP(B236, 'All Menu'!B:M, 12, 0)</f>
        <v>-0.52841253614648764</v>
      </c>
      <c r="R236" s="173">
        <f t="shared" si="11"/>
        <v>0</v>
      </c>
    </row>
    <row r="237" spans="1:18" ht="14" hidden="1">
      <c r="A237" s="78" t="s">
        <v>2498</v>
      </c>
      <c r="B237" s="220" t="s">
        <v>1322</v>
      </c>
      <c r="C237" s="185"/>
      <c r="D237" s="103" t="str">
        <f>VLOOKUP(B237, 'All Menu'!B:M, 4, 0)</f>
        <v>صرر اوزي راس عصفور</v>
      </c>
      <c r="E237" s="30" t="str">
        <f>VLOOKUP(B237, 'All Menu'!B:M, 2, 0)</f>
        <v>قسم التواصي</v>
      </c>
      <c r="F237" s="103" t="str">
        <f>VLOOKUP(B237, 'All Menu'!B:M, 3, 0)</f>
        <v>التواصي سفري2</v>
      </c>
      <c r="G237" s="90" t="s">
        <v>2376</v>
      </c>
      <c r="H237" s="219" t="s">
        <v>794</v>
      </c>
      <c r="I237" s="110" t="str">
        <f>VLOOKUP(H237, 'RM &amp; SF'!B:H, 2, 0)</f>
        <v>صرر اوزي</v>
      </c>
      <c r="J237" s="184" t="str">
        <f>VLOOKUP(H237, 'RM &amp; SF'!B:E, 4, 0)</f>
        <v>قطعة</v>
      </c>
      <c r="K237" s="22">
        <v>1</v>
      </c>
      <c r="L237" s="13">
        <f>VLOOKUP(H237, 'RM &amp; SF'!B:H, 7, 0)</f>
        <v>1.9606966908849017</v>
      </c>
      <c r="M237" s="15">
        <f t="shared" si="10"/>
        <v>1.9606966908849017</v>
      </c>
      <c r="N237" s="21" t="s">
        <v>825</v>
      </c>
      <c r="O237" s="4">
        <f>VLOOKUP(B237, 'All Menu'!B:L, 6, 0)</f>
        <v>4.3103448275862073</v>
      </c>
      <c r="P237" s="6">
        <f>VLOOKUP(B237, 'All Menu'!B:L, 9, 0)</f>
        <v>2.3343672426090403</v>
      </c>
      <c r="Q237" s="14">
        <f>VLOOKUP(B237, 'All Menu'!B:M, 12, 0)</f>
        <v>0.45842679971470268</v>
      </c>
      <c r="R237" s="173">
        <f t="shared" si="11"/>
        <v>0</v>
      </c>
    </row>
    <row r="238" spans="1:18" ht="14" hidden="1">
      <c r="A238" s="78" t="s">
        <v>2498</v>
      </c>
      <c r="B238" s="220" t="s">
        <v>1322</v>
      </c>
      <c r="C238" s="185"/>
      <c r="D238" s="103" t="str">
        <f>VLOOKUP(B238, 'All Menu'!B:M, 4, 0)</f>
        <v>صرر اوزي راس عصفور</v>
      </c>
      <c r="E238" s="30" t="str">
        <f>VLOOKUP(B238, 'All Menu'!B:M, 2, 0)</f>
        <v>قسم التواصي</v>
      </c>
      <c r="F238" s="103" t="str">
        <f>VLOOKUP(B238, 'All Menu'!B:M, 3, 0)</f>
        <v>التواصي سفري2</v>
      </c>
      <c r="G238" s="90" t="s">
        <v>2190</v>
      </c>
      <c r="H238" s="188">
        <v>4279</v>
      </c>
      <c r="I238" s="110" t="str">
        <f>VLOOKUP(H238, 'RM &amp; SF'!B:H, 2, 0)</f>
        <v>علب ميكرويف مستطيل اسود مفرغة (احادي)*****</v>
      </c>
      <c r="J238" s="184" t="str">
        <f>VLOOKUP(H238, 'RM &amp; SF'!B:E, 4, 0)</f>
        <v>قطعة</v>
      </c>
      <c r="K238" s="12">
        <v>1</v>
      </c>
      <c r="L238" s="13">
        <f>VLOOKUP(H238, 'RM &amp; SF'!B:H, 7, 0)</f>
        <v>9.4799999999999995E-2</v>
      </c>
      <c r="M238" s="7">
        <f t="shared" si="10"/>
        <v>9.4799999999999995E-2</v>
      </c>
      <c r="N238" s="4" t="s">
        <v>825</v>
      </c>
      <c r="O238" s="4">
        <f>VLOOKUP(B238, 'All Menu'!B:L, 6, 0)</f>
        <v>4.3103448275862073</v>
      </c>
      <c r="P238" s="6">
        <f>VLOOKUP(B238, 'All Menu'!B:L, 9, 0)</f>
        <v>2.3343672426090403</v>
      </c>
      <c r="Q238" s="14">
        <f>VLOOKUP(B238, 'All Menu'!B:M, 12, 0)</f>
        <v>0.45842679971470268</v>
      </c>
      <c r="R238" s="173">
        <f t="shared" si="11"/>
        <v>0</v>
      </c>
    </row>
    <row r="239" spans="1:18" ht="14" hidden="1">
      <c r="A239" s="78" t="s">
        <v>2498</v>
      </c>
      <c r="B239" s="220" t="s">
        <v>1322</v>
      </c>
      <c r="C239" s="185"/>
      <c r="D239" s="103" t="str">
        <f>VLOOKUP(B239, 'All Menu'!B:M, 4, 0)</f>
        <v>صرر اوزي راس عصفور</v>
      </c>
      <c r="E239" s="30" t="str">
        <f>VLOOKUP(B239, 'All Menu'!B:M, 2, 0)</f>
        <v>قسم التواصي</v>
      </c>
      <c r="F239" s="103" t="str">
        <f>VLOOKUP(B239, 'All Menu'!B:M, 3, 0)</f>
        <v>التواصي سفري2</v>
      </c>
      <c r="G239" s="90" t="s">
        <v>3058</v>
      </c>
      <c r="H239" s="188">
        <v>4266</v>
      </c>
      <c r="I239" s="110" t="str">
        <f>VLOOKUP(H239, 'RM &amp; SF'!B:H, 2, 0)</f>
        <v>اساور علب وجبات مطبوع 1*50 حبة*****</v>
      </c>
      <c r="J239" s="184" t="str">
        <f>VLOOKUP(H239, 'RM &amp; SF'!B:E, 4, 0)</f>
        <v>قطعة</v>
      </c>
      <c r="K239" s="12">
        <v>1</v>
      </c>
      <c r="L239" s="13">
        <f>VLOOKUP(H239, 'RM &amp; SF'!B:H, 7, 0)</f>
        <v>6.3224137931034485E-2</v>
      </c>
      <c r="M239" s="7">
        <f t="shared" si="10"/>
        <v>6.3224137931034485E-2</v>
      </c>
      <c r="N239" s="4" t="s">
        <v>825</v>
      </c>
      <c r="O239" s="4">
        <f>VLOOKUP(B239, 'All Menu'!B:L, 6, 0)</f>
        <v>4.3103448275862073</v>
      </c>
      <c r="P239" s="6">
        <f>VLOOKUP(B239, 'All Menu'!B:L, 9, 0)</f>
        <v>2.3343672426090403</v>
      </c>
      <c r="Q239" s="14">
        <f>VLOOKUP(B239, 'All Menu'!B:M, 12, 0)</f>
        <v>0.45842679971470268</v>
      </c>
      <c r="R239" s="173">
        <f t="shared" si="11"/>
        <v>0</v>
      </c>
    </row>
    <row r="240" spans="1:18" ht="14" hidden="1">
      <c r="A240" s="78" t="s">
        <v>2498</v>
      </c>
      <c r="B240" s="220" t="s">
        <v>1322</v>
      </c>
      <c r="C240" s="185"/>
      <c r="D240" s="103" t="str">
        <f>VLOOKUP(B240, 'All Menu'!B:M, 4, 0)</f>
        <v>صرر اوزي راس عصفور</v>
      </c>
      <c r="E240" s="30" t="str">
        <f>VLOOKUP(B240, 'All Menu'!B:M, 2, 0)</f>
        <v>قسم التواصي</v>
      </c>
      <c r="F240" s="103" t="str">
        <f>VLOOKUP(B240, 'All Menu'!B:M, 3, 0)</f>
        <v>التواصي سفري2</v>
      </c>
      <c r="G240" s="90" t="s">
        <v>2195</v>
      </c>
      <c r="H240" s="188">
        <v>4329</v>
      </c>
      <c r="I240" s="110" t="str">
        <f>VLOOKUP(H240, 'RM &amp; SF'!B:H, 2, 0)</f>
        <v>ملاعق بلاستيك مع معقم مطبوع 1*500 حبة*****</v>
      </c>
      <c r="J240" s="184" t="str">
        <f>VLOOKUP(H240, 'RM &amp; SF'!B:E, 4, 0)</f>
        <v>قطعة</v>
      </c>
      <c r="K240" s="12">
        <v>1</v>
      </c>
      <c r="L240" s="13">
        <f>VLOOKUP(H240, 'RM &amp; SF'!B:H, 7, 0)</f>
        <v>4.7399999999999997E-4</v>
      </c>
      <c r="M240" s="7">
        <f t="shared" si="10"/>
        <v>4.7399999999999997E-4</v>
      </c>
      <c r="N240" s="4" t="s">
        <v>825</v>
      </c>
      <c r="O240" s="4">
        <f>VLOOKUP(B240, 'All Menu'!B:L, 6, 0)</f>
        <v>4.3103448275862073</v>
      </c>
      <c r="P240" s="6">
        <f>VLOOKUP(B240, 'All Menu'!B:L, 9, 0)</f>
        <v>2.3343672426090403</v>
      </c>
      <c r="Q240" s="14">
        <f>VLOOKUP(B240, 'All Menu'!B:M, 12, 0)</f>
        <v>0.45842679971470268</v>
      </c>
      <c r="R240" s="173">
        <f t="shared" si="11"/>
        <v>0</v>
      </c>
    </row>
    <row r="241" spans="1:18" ht="14" hidden="1">
      <c r="A241" s="78" t="s">
        <v>2498</v>
      </c>
      <c r="B241" s="220" t="s">
        <v>1322</v>
      </c>
      <c r="C241" s="185"/>
      <c r="D241" s="103" t="str">
        <f>VLOOKUP(B241, 'All Menu'!B:M, 4, 0)</f>
        <v>صرر اوزي راس عصفور</v>
      </c>
      <c r="E241" s="30" t="str">
        <f>VLOOKUP(B241, 'All Menu'!B:M, 2, 0)</f>
        <v>قسم التواصي</v>
      </c>
      <c r="F241" s="103" t="str">
        <f>VLOOKUP(B241, 'All Menu'!B:M, 3, 0)</f>
        <v>التواصي سفري2</v>
      </c>
      <c r="G241" s="90" t="s">
        <v>2193</v>
      </c>
      <c r="H241" s="188">
        <v>4309</v>
      </c>
      <c r="I241" s="110" t="str">
        <f>VLOOKUP(H241, 'RM &amp; SF'!B:H, 2, 0)</f>
        <v>اكياس بلاستيك مطبوع 55 سم*****</v>
      </c>
      <c r="J241" s="184" t="str">
        <f>VLOOKUP(H241, 'RM &amp; SF'!B:E, 4, 0)</f>
        <v>قطعة</v>
      </c>
      <c r="K241" s="12">
        <v>1</v>
      </c>
      <c r="L241" s="13">
        <f>VLOOKUP(H241, 'RM &amp; SF'!B:H, 7, 0)</f>
        <v>5.5172413793103454E-2</v>
      </c>
      <c r="M241" s="7">
        <f t="shared" si="10"/>
        <v>5.5172413793103454E-2</v>
      </c>
      <c r="N241" s="4" t="s">
        <v>825</v>
      </c>
      <c r="O241" s="4">
        <f>VLOOKUP(B241, 'All Menu'!B:L, 6, 0)</f>
        <v>4.3103448275862073</v>
      </c>
      <c r="P241" s="6">
        <f>VLOOKUP(B241, 'All Menu'!B:L, 9, 0)</f>
        <v>2.3343672426090403</v>
      </c>
      <c r="Q241" s="14">
        <f>VLOOKUP(B241, 'All Menu'!B:M, 12, 0)</f>
        <v>0.45842679971470268</v>
      </c>
      <c r="R241" s="173">
        <f t="shared" si="11"/>
        <v>0</v>
      </c>
    </row>
    <row r="242" spans="1:18" ht="14" hidden="1">
      <c r="A242" s="78" t="s">
        <v>2498</v>
      </c>
      <c r="B242" s="220" t="s">
        <v>1322</v>
      </c>
      <c r="C242" s="185"/>
      <c r="D242" s="103" t="str">
        <f>VLOOKUP(B242, 'All Menu'!B:M, 4, 0)</f>
        <v>صرر اوزي راس عصفور</v>
      </c>
      <c r="E242" s="30" t="str">
        <f>VLOOKUP(B242, 'All Menu'!B:M, 2, 0)</f>
        <v>قسم التواصي</v>
      </c>
      <c r="F242" s="103" t="str">
        <f>VLOOKUP(B242, 'All Menu'!B:M, 3, 0)</f>
        <v>التواصي سفري2</v>
      </c>
      <c r="G242" s="90" t="s">
        <v>2185</v>
      </c>
      <c r="H242" s="188">
        <v>4550</v>
      </c>
      <c r="I242" s="110" t="str">
        <f>VLOOKUP(H242, 'RM &amp; SF'!B:H, 2, 0)</f>
        <v>*****لبن زبادي 150 غم</v>
      </c>
      <c r="J242" s="184" t="str">
        <f>VLOOKUP(H242, 'RM &amp; SF'!B:E, 4, 0)</f>
        <v>قطعة</v>
      </c>
      <c r="K242" s="12">
        <v>1</v>
      </c>
      <c r="L242" s="13">
        <f>VLOOKUP(H242, 'RM &amp; SF'!B:H, 7, 0)</f>
        <v>0.16</v>
      </c>
      <c r="M242" s="7">
        <f t="shared" si="10"/>
        <v>0.16</v>
      </c>
      <c r="N242" s="4" t="s">
        <v>825</v>
      </c>
      <c r="O242" s="4">
        <f>VLOOKUP(B242, 'All Menu'!B:L, 6, 0)</f>
        <v>4.3103448275862073</v>
      </c>
      <c r="P242" s="6">
        <f>VLOOKUP(B242, 'All Menu'!B:L, 9, 0)</f>
        <v>2.3343672426090403</v>
      </c>
      <c r="Q242" s="14">
        <f>VLOOKUP(B242, 'All Menu'!B:M, 12, 0)</f>
        <v>0.45842679971470268</v>
      </c>
      <c r="R242" s="173">
        <f t="shared" si="11"/>
        <v>0</v>
      </c>
    </row>
    <row r="243" spans="1:18" ht="14" hidden="1">
      <c r="A243" s="78" t="s">
        <v>2497</v>
      </c>
      <c r="B243" s="220" t="s">
        <v>1323</v>
      </c>
      <c r="C243" s="185"/>
      <c r="D243" s="103" t="str">
        <f>VLOOKUP(B243, 'All Menu'!B:M, 4, 0)</f>
        <v>لحم روماني على رز</v>
      </c>
      <c r="E243" s="30" t="str">
        <f>VLOOKUP(B243, 'All Menu'!B:M, 2, 0)</f>
        <v>قسم التواصي</v>
      </c>
      <c r="F243" s="103" t="str">
        <f>VLOOKUP(B243, 'All Menu'!B:M, 3, 0)</f>
        <v>التواصي سفري</v>
      </c>
      <c r="G243" s="90" t="s">
        <v>3058</v>
      </c>
      <c r="H243" s="221">
        <v>5433</v>
      </c>
      <c r="I243" s="110" t="str">
        <f>VLOOKUP(H243, 'RM &amp; SF'!B:H, 2, 0)</f>
        <v>خروف مستورد</v>
      </c>
      <c r="J243" s="184" t="str">
        <f>VLOOKUP(H243, 'RM &amp; SF'!B:E, 4, 0)</f>
        <v>غم</v>
      </c>
      <c r="K243" s="22">
        <v>1000</v>
      </c>
      <c r="L243" s="13">
        <f>VLOOKUP(H243, 'RM &amp; SF'!B:H, 7, 0)</f>
        <v>7.6241935483870975E-3</v>
      </c>
      <c r="M243" s="15">
        <f t="shared" si="10"/>
        <v>7.6241935483870975</v>
      </c>
      <c r="N243" s="21" t="s">
        <v>825</v>
      </c>
      <c r="O243" s="4">
        <f>VLOOKUP(B243, 'All Menu'!B:L, 6, 0)</f>
        <v>17.241379310344829</v>
      </c>
      <c r="P243" s="6">
        <f>VLOOKUP(B243, 'All Menu'!B:L, 9, 0)</f>
        <v>10.837016193463239</v>
      </c>
      <c r="Q243" s="14">
        <f>VLOOKUP(B243, 'All Menu'!B:M, 12, 0)</f>
        <v>0.3714530607791322</v>
      </c>
      <c r="R243" s="173">
        <f t="shared" si="11"/>
        <v>0</v>
      </c>
    </row>
    <row r="244" spans="1:18" ht="14" hidden="1">
      <c r="A244" s="78" t="s">
        <v>2497</v>
      </c>
      <c r="B244" s="220" t="s">
        <v>1323</v>
      </c>
      <c r="C244" s="185"/>
      <c r="D244" s="103" t="str">
        <f>VLOOKUP(B244, 'All Menu'!B:M, 4, 0)</f>
        <v>لحم روماني على رز</v>
      </c>
      <c r="E244" s="30" t="str">
        <f>VLOOKUP(B244, 'All Menu'!B:M, 2, 0)</f>
        <v>قسم التواصي</v>
      </c>
      <c r="F244" s="103" t="str">
        <f>VLOOKUP(B244, 'All Menu'!B:M, 3, 0)</f>
        <v>التواصي سفري</v>
      </c>
      <c r="G244" s="90" t="s">
        <v>2377</v>
      </c>
      <c r="H244" s="219" t="s">
        <v>796</v>
      </c>
      <c r="I244" s="110" t="str">
        <f>VLOOKUP(H244, 'RM &amp; SF'!B:H, 2, 0)</f>
        <v>رز مبهر</v>
      </c>
      <c r="J244" s="184" t="str">
        <f>VLOOKUP(H244, 'RM &amp; SF'!B:E, 4, 0)</f>
        <v>غم</v>
      </c>
      <c r="K244" s="22">
        <v>2000</v>
      </c>
      <c r="L244" s="13">
        <f>VLOOKUP(H244, 'RM &amp; SF'!B:H, 7, 0)</f>
        <v>8.1314491666666653E-4</v>
      </c>
      <c r="M244" s="15">
        <f t="shared" si="10"/>
        <v>1.6262898333333331</v>
      </c>
      <c r="N244" s="21" t="s">
        <v>825</v>
      </c>
      <c r="O244" s="4">
        <f>VLOOKUP(B244, 'All Menu'!B:L, 6, 0)</f>
        <v>17.241379310344829</v>
      </c>
      <c r="P244" s="6">
        <f>VLOOKUP(B244, 'All Menu'!B:L, 9, 0)</f>
        <v>10.837016193463239</v>
      </c>
      <c r="Q244" s="14">
        <f>VLOOKUP(B244, 'All Menu'!B:M, 12, 0)</f>
        <v>0.3714530607791322</v>
      </c>
      <c r="R244" s="173">
        <f t="shared" si="11"/>
        <v>0</v>
      </c>
    </row>
    <row r="245" spans="1:18" ht="14" hidden="1">
      <c r="A245" s="78" t="s">
        <v>2497</v>
      </c>
      <c r="B245" s="220" t="s">
        <v>1323</v>
      </c>
      <c r="C245" s="185"/>
      <c r="D245" s="103" t="str">
        <f>VLOOKUP(B245, 'All Menu'!B:M, 4, 0)</f>
        <v>لحم روماني على رز</v>
      </c>
      <c r="E245" s="30" t="str">
        <f>VLOOKUP(B245, 'All Menu'!B:M, 2, 0)</f>
        <v>قسم التواصي</v>
      </c>
      <c r="F245" s="103" t="str">
        <f>VLOOKUP(B245, 'All Menu'!B:M, 3, 0)</f>
        <v>التواصي سفري</v>
      </c>
      <c r="G245" s="90" t="s">
        <v>2341</v>
      </c>
      <c r="H245" s="219" t="s">
        <v>706</v>
      </c>
      <c r="I245" s="110" t="str">
        <f>VLOOKUP(H245, 'RM &amp; SF'!B:H, 2, 0)</f>
        <v>لوز مقلي</v>
      </c>
      <c r="J245" s="184" t="str">
        <f>VLOOKUP(H245, 'RM &amp; SF'!B:E, 4, 0)</f>
        <v>غم</v>
      </c>
      <c r="K245" s="22">
        <v>150</v>
      </c>
      <c r="L245" s="13">
        <f>VLOOKUP(H245, 'RM &amp; SF'!B:H, 7, 0)</f>
        <v>4.1352327586206888E-3</v>
      </c>
      <c r="M245" s="15">
        <f t="shared" si="10"/>
        <v>0.62028491379310335</v>
      </c>
      <c r="N245" s="21" t="s">
        <v>825</v>
      </c>
      <c r="O245" s="4">
        <f>VLOOKUP(B245, 'All Menu'!B:L, 6, 0)</f>
        <v>17.241379310344829</v>
      </c>
      <c r="P245" s="6">
        <f>VLOOKUP(B245, 'All Menu'!B:L, 9, 0)</f>
        <v>10.837016193463239</v>
      </c>
      <c r="Q245" s="14">
        <f>VLOOKUP(B245, 'All Menu'!B:M, 12, 0)</f>
        <v>0.3714530607791322</v>
      </c>
      <c r="R245" s="173">
        <f t="shared" si="11"/>
        <v>0</v>
      </c>
    </row>
    <row r="246" spans="1:18" ht="14" hidden="1">
      <c r="A246" s="78" t="s">
        <v>2497</v>
      </c>
      <c r="B246" s="220" t="s">
        <v>1323</v>
      </c>
      <c r="C246" s="185"/>
      <c r="D246" s="103" t="str">
        <f>VLOOKUP(B246, 'All Menu'!B:M, 4, 0)</f>
        <v>لحم روماني على رز</v>
      </c>
      <c r="E246" s="30" t="str">
        <f>VLOOKUP(B246, 'All Menu'!B:M, 2, 0)</f>
        <v>قسم التواصي</v>
      </c>
      <c r="F246" s="103" t="str">
        <f>VLOOKUP(B246, 'All Menu'!B:M, 3, 0)</f>
        <v>التواصي سفري</v>
      </c>
      <c r="G246" s="90" t="s">
        <v>3058</v>
      </c>
      <c r="H246" s="221">
        <v>4354</v>
      </c>
      <c r="I246" s="110" t="str">
        <f>VLOOKUP(H246, 'RM &amp; SF'!B:H, 2, 0)</f>
        <v>سدر بلاستيك دائري 35 سم*****</v>
      </c>
      <c r="J246" s="184" t="str">
        <f>VLOOKUP(H246, 'RM &amp; SF'!B:E, 4, 0)</f>
        <v>قطعة</v>
      </c>
      <c r="K246" s="22">
        <v>1</v>
      </c>
      <c r="L246" s="13">
        <f>VLOOKUP(H246, 'RM &amp; SF'!B:H, 7, 0)</f>
        <v>0.28016999999999997</v>
      </c>
      <c r="M246" s="15">
        <f t="shared" si="10"/>
        <v>0.28016999999999997</v>
      </c>
      <c r="N246" s="21" t="s">
        <v>825</v>
      </c>
      <c r="O246" s="4">
        <f>VLOOKUP(B246, 'All Menu'!B:L, 6, 0)</f>
        <v>17.241379310344829</v>
      </c>
      <c r="P246" s="6">
        <f>VLOOKUP(B246, 'All Menu'!B:L, 9, 0)</f>
        <v>10.837016193463239</v>
      </c>
      <c r="Q246" s="14">
        <f>VLOOKUP(B246, 'All Menu'!B:M, 12, 0)</f>
        <v>0.3714530607791322</v>
      </c>
      <c r="R246" s="173">
        <f t="shared" si="11"/>
        <v>0</v>
      </c>
    </row>
    <row r="247" spans="1:18" ht="14" hidden="1">
      <c r="A247" s="78" t="s">
        <v>2497</v>
      </c>
      <c r="B247" s="220" t="s">
        <v>1323</v>
      </c>
      <c r="C247" s="185"/>
      <c r="D247" s="103" t="str">
        <f>VLOOKUP(B247, 'All Menu'!B:M, 4, 0)</f>
        <v>لحم روماني على رز</v>
      </c>
      <c r="E247" s="30" t="str">
        <f>VLOOKUP(B247, 'All Menu'!B:M, 2, 0)</f>
        <v>قسم التواصي</v>
      </c>
      <c r="F247" s="103" t="str">
        <f>VLOOKUP(B247, 'All Menu'!B:M, 3, 0)</f>
        <v>التواصي سفري</v>
      </c>
      <c r="G247" s="90" t="s">
        <v>3058</v>
      </c>
      <c r="H247" s="221">
        <v>5378</v>
      </c>
      <c r="I247" s="110" t="str">
        <f>VLOOKUP(H247, 'RM &amp; SF'!B:H, 2, 0)</f>
        <v>رول مركزية تواصي</v>
      </c>
      <c r="J247" s="184" t="str">
        <f>VLOOKUP(H247, 'RM &amp; SF'!B:E, 4, 0)</f>
        <v>غم</v>
      </c>
      <c r="K247" s="22">
        <v>20</v>
      </c>
      <c r="L247" s="13">
        <f>VLOOKUP(H247, 'RM &amp; SF'!B:H, 7, 0)</f>
        <v>2.7499999999999998E-3</v>
      </c>
      <c r="M247" s="15">
        <f t="shared" si="10"/>
        <v>5.4999999999999993E-2</v>
      </c>
      <c r="N247" s="21" t="s">
        <v>825</v>
      </c>
      <c r="O247" s="4">
        <f>VLOOKUP(B247, 'All Menu'!B:L, 6, 0)</f>
        <v>17.241379310344829</v>
      </c>
      <c r="P247" s="6">
        <f>VLOOKUP(B247, 'All Menu'!B:L, 9, 0)</f>
        <v>10.837016193463239</v>
      </c>
      <c r="Q247" s="14">
        <f>VLOOKUP(B247, 'All Menu'!B:M, 12, 0)</f>
        <v>0.3714530607791322</v>
      </c>
      <c r="R247" s="173">
        <f t="shared" si="11"/>
        <v>0</v>
      </c>
    </row>
    <row r="248" spans="1:18" ht="14" hidden="1">
      <c r="A248" s="78" t="s">
        <v>2497</v>
      </c>
      <c r="B248" s="220" t="s">
        <v>1323</v>
      </c>
      <c r="C248" s="185"/>
      <c r="D248" s="103" t="str">
        <f>VLOOKUP(B248, 'All Menu'!B:M, 4, 0)</f>
        <v>لحم روماني على رز</v>
      </c>
      <c r="E248" s="30" t="str">
        <f>VLOOKUP(B248, 'All Menu'!B:M, 2, 0)</f>
        <v>قسم التواصي</v>
      </c>
      <c r="F248" s="103" t="str">
        <f>VLOOKUP(B248, 'All Menu'!B:M, 3, 0)</f>
        <v>التواصي سفري</v>
      </c>
      <c r="G248" s="90" t="s">
        <v>2228</v>
      </c>
      <c r="H248" s="219" t="s">
        <v>566</v>
      </c>
      <c r="I248" s="110" t="str">
        <f>VLOOKUP(H248, 'RM &amp; SF'!B:H, 2, 0)</f>
        <v>خيار بلبن</v>
      </c>
      <c r="J248" s="184" t="str">
        <f>VLOOKUP(H248, 'RM &amp; SF'!B:E, 4, 0)</f>
        <v>غم</v>
      </c>
      <c r="K248" s="12">
        <v>500</v>
      </c>
      <c r="L248" s="13">
        <f>VLOOKUP(H248, 'RM &amp; SF'!B:H, 7, 0)</f>
        <v>1.0121557958994094E-3</v>
      </c>
      <c r="M248" s="7">
        <f t="shared" si="10"/>
        <v>0.5060778979497047</v>
      </c>
      <c r="N248" s="4" t="s">
        <v>825</v>
      </c>
      <c r="O248" s="4">
        <f>VLOOKUP(B248, 'All Menu'!B:L, 6, 0)</f>
        <v>17.241379310344829</v>
      </c>
      <c r="P248" s="6">
        <f>VLOOKUP(B248, 'All Menu'!B:L, 9, 0)</f>
        <v>10.837016193463239</v>
      </c>
      <c r="Q248" s="14">
        <f>VLOOKUP(B248, 'All Menu'!B:M, 12, 0)</f>
        <v>0.3714530607791322</v>
      </c>
      <c r="R248" s="173">
        <f t="shared" si="11"/>
        <v>0</v>
      </c>
    </row>
    <row r="249" spans="1:18" ht="14" hidden="1">
      <c r="A249" s="78" t="s">
        <v>2497</v>
      </c>
      <c r="B249" s="220" t="s">
        <v>1323</v>
      </c>
      <c r="C249" s="185"/>
      <c r="D249" s="103" t="str">
        <f>VLOOKUP(B249, 'All Menu'!B:M, 4, 0)</f>
        <v>لحم روماني على رز</v>
      </c>
      <c r="E249" s="30" t="str">
        <f>VLOOKUP(B249, 'All Menu'!B:M, 2, 0)</f>
        <v>قسم التواصي</v>
      </c>
      <c r="F249" s="103" t="str">
        <f>VLOOKUP(B249, 'All Menu'!B:M, 3, 0)</f>
        <v>التواصي سفري</v>
      </c>
      <c r="G249" s="90" t="s">
        <v>3058</v>
      </c>
      <c r="H249" s="188">
        <v>4280</v>
      </c>
      <c r="I249" s="110" t="str">
        <f>VLOOKUP(H249, 'RM &amp; SF'!B:H, 2, 0)</f>
        <v>علب ميكرويف مدورة اسود 500 مل RC2*****</v>
      </c>
      <c r="J249" s="184" t="str">
        <f>VLOOKUP(H249, 'RM &amp; SF'!B:E, 4, 0)</f>
        <v>قطعة</v>
      </c>
      <c r="K249" s="12">
        <v>1</v>
      </c>
      <c r="L249" s="13">
        <f>VLOOKUP(H249, 'RM &amp; SF'!B:H, 7, 0)</f>
        <v>0.125</v>
      </c>
      <c r="M249" s="7">
        <f t="shared" si="10"/>
        <v>0.125</v>
      </c>
      <c r="N249" s="4" t="s">
        <v>825</v>
      </c>
      <c r="O249" s="4">
        <f>VLOOKUP(B249, 'All Menu'!B:L, 6, 0)</f>
        <v>17.241379310344829</v>
      </c>
      <c r="P249" s="6">
        <f>VLOOKUP(B249, 'All Menu'!B:L, 9, 0)</f>
        <v>10.837016193463239</v>
      </c>
      <c r="Q249" s="14">
        <f>VLOOKUP(B249, 'All Menu'!B:M, 12, 0)</f>
        <v>0.3714530607791322</v>
      </c>
      <c r="R249" s="173">
        <f t="shared" si="11"/>
        <v>0</v>
      </c>
    </row>
    <row r="250" spans="1:18" ht="14" hidden="1">
      <c r="A250" s="78" t="s">
        <v>2604</v>
      </c>
      <c r="B250" s="220" t="s">
        <v>824</v>
      </c>
      <c r="C250" s="185"/>
      <c r="D250" s="103" t="str">
        <f>VLOOKUP(B250, 'All Menu'!B:M, 4, 0)</f>
        <v>نخاعات مطفية</v>
      </c>
      <c r="E250" s="30" t="str">
        <f>VLOOKUP(B250, 'All Menu'!B:M, 2, 0)</f>
        <v>قسم الصالة</v>
      </c>
      <c r="F250" s="103" t="str">
        <f>VLOOKUP(B250, 'All Menu'!B:M, 3, 0)</f>
        <v>صواني وصاجيات صالة</v>
      </c>
      <c r="G250" s="90" t="s">
        <v>3058</v>
      </c>
      <c r="H250" s="188">
        <v>5066</v>
      </c>
      <c r="I250" s="110" t="str">
        <f>VLOOKUP(H250, 'RM &amp; SF'!B:H, 2, 0)</f>
        <v>نخاعات نية*****</v>
      </c>
      <c r="J250" s="184" t="str">
        <f>VLOOKUP(H250, 'RM &amp; SF'!B:E, 4, 0)</f>
        <v>قطعة</v>
      </c>
      <c r="K250" s="12">
        <v>2</v>
      </c>
      <c r="L250" s="13">
        <f>VLOOKUP(H250, 'RM &amp; SF'!B:H, 7, 0)</f>
        <v>1.25</v>
      </c>
      <c r="M250" s="7">
        <f t="shared" ref="M250:M291" si="14">L250*K250</f>
        <v>2.5</v>
      </c>
      <c r="N250" s="4" t="s">
        <v>825</v>
      </c>
      <c r="O250" s="4">
        <f>VLOOKUP(B250, 'All Menu'!B:L, 6, 0)</f>
        <v>4.9568965517241379</v>
      </c>
      <c r="P250" s="6">
        <f>VLOOKUP(B250, 'All Menu'!B:L, 9, 0)</f>
        <v>2.8441841528735639</v>
      </c>
      <c r="Q250" s="14">
        <f>VLOOKUP(B250, 'All Menu'!B:M, 12, 0)</f>
        <v>0.42621676220289839</v>
      </c>
      <c r="R250" s="173">
        <f t="shared" si="11"/>
        <v>0</v>
      </c>
    </row>
    <row r="251" spans="1:18" ht="14" hidden="1">
      <c r="A251" s="78" t="s">
        <v>2604</v>
      </c>
      <c r="B251" s="220" t="s">
        <v>824</v>
      </c>
      <c r="C251" s="185"/>
      <c r="D251" s="103" t="str">
        <f>VLOOKUP(B251, 'All Menu'!B:M, 4, 0)</f>
        <v>نخاعات مطفية</v>
      </c>
      <c r="E251" s="30" t="str">
        <f>VLOOKUP(B251, 'All Menu'!B:M, 2, 0)</f>
        <v>قسم الصالة</v>
      </c>
      <c r="F251" s="103" t="str">
        <f>VLOOKUP(B251, 'All Menu'!B:M, 3, 0)</f>
        <v>صواني وصاجيات صالة</v>
      </c>
      <c r="G251" s="90" t="s">
        <v>2446</v>
      </c>
      <c r="H251" s="219" t="s">
        <v>670</v>
      </c>
      <c r="I251" s="110" t="str">
        <f>VLOOKUP(H251, 'RM &amp; SF'!B:H, 2, 0)</f>
        <v xml:space="preserve">صوص مطفى </v>
      </c>
      <c r="J251" s="184" t="str">
        <f>VLOOKUP(H251, 'RM &amp; SF'!B:E, 4, 0)</f>
        <v>غم</v>
      </c>
      <c r="K251" s="12">
        <v>140</v>
      </c>
      <c r="L251" s="13">
        <f>VLOOKUP(H251, 'RM &amp; SF'!B:H, 7, 0)</f>
        <v>1.5630349999999999E-3</v>
      </c>
      <c r="M251" s="7">
        <f t="shared" si="14"/>
        <v>0.21882489999999999</v>
      </c>
      <c r="N251" s="4" t="s">
        <v>825</v>
      </c>
      <c r="O251" s="4">
        <f>VLOOKUP(B251, 'All Menu'!B:L, 6, 0)</f>
        <v>4.9568965517241379</v>
      </c>
      <c r="P251" s="6">
        <f>VLOOKUP(B251, 'All Menu'!B:L, 9, 0)</f>
        <v>2.8441841528735639</v>
      </c>
      <c r="Q251" s="14">
        <f>VLOOKUP(B251, 'All Menu'!B:M, 12, 0)</f>
        <v>0.42621676220289839</v>
      </c>
      <c r="R251" s="173">
        <f t="shared" si="11"/>
        <v>0</v>
      </c>
    </row>
    <row r="252" spans="1:18" ht="14" hidden="1">
      <c r="A252" s="78" t="s">
        <v>2604</v>
      </c>
      <c r="B252" s="220" t="s">
        <v>824</v>
      </c>
      <c r="C252" s="185"/>
      <c r="D252" s="103" t="str">
        <f>VLOOKUP(B252, 'All Menu'!B:M, 4, 0)</f>
        <v>نخاعات مطفية</v>
      </c>
      <c r="E252" s="30" t="str">
        <f>VLOOKUP(B252, 'All Menu'!B:M, 2, 0)</f>
        <v>قسم الصالة</v>
      </c>
      <c r="F252" s="103" t="str">
        <f>VLOOKUP(B252, 'All Menu'!B:M, 3, 0)</f>
        <v>صواني وصاجيات صالة</v>
      </c>
      <c r="G252" s="90" t="s">
        <v>2203</v>
      </c>
      <c r="H252" s="188">
        <v>4152</v>
      </c>
      <c r="I252" s="110" t="str">
        <f>VLOOKUP(H252, 'RM &amp; SF'!B:H, 2, 0)</f>
        <v>ملح طعام 750غم*****</v>
      </c>
      <c r="J252" s="184" t="str">
        <f>VLOOKUP(H252, 'RM &amp; SF'!B:E, 4, 0)</f>
        <v>غم</v>
      </c>
      <c r="K252" s="12">
        <v>2</v>
      </c>
      <c r="L252" s="13">
        <f>VLOOKUP(H252, 'RM &amp; SF'!B:H, 7, 0)</f>
        <v>1.7066666666666665E-4</v>
      </c>
      <c r="M252" s="7">
        <f t="shared" si="14"/>
        <v>3.413333333333333E-4</v>
      </c>
      <c r="N252" s="4" t="s">
        <v>825</v>
      </c>
      <c r="O252" s="4">
        <f>VLOOKUP(B252, 'All Menu'!B:L, 6, 0)</f>
        <v>4.9568965517241379</v>
      </c>
      <c r="P252" s="6">
        <f>VLOOKUP(B252, 'All Menu'!B:L, 9, 0)</f>
        <v>2.8441841528735639</v>
      </c>
      <c r="Q252" s="14">
        <f>VLOOKUP(B252, 'All Menu'!B:M, 12, 0)</f>
        <v>0.42621676220289839</v>
      </c>
      <c r="R252" s="173">
        <f t="shared" si="11"/>
        <v>0</v>
      </c>
    </row>
    <row r="253" spans="1:18" ht="14" hidden="1">
      <c r="A253" s="78" t="s">
        <v>2604</v>
      </c>
      <c r="B253" s="220" t="s">
        <v>824</v>
      </c>
      <c r="C253" s="185"/>
      <c r="D253" s="103" t="str">
        <f>VLOOKUP(B253, 'All Menu'!B:M, 4, 0)</f>
        <v>نخاعات مطفية</v>
      </c>
      <c r="E253" s="30" t="str">
        <f>VLOOKUP(B253, 'All Menu'!B:M, 2, 0)</f>
        <v>قسم الصالة</v>
      </c>
      <c r="F253" s="103" t="str">
        <f>VLOOKUP(B253, 'All Menu'!B:M, 3, 0)</f>
        <v>صواني وصاجيات صالة</v>
      </c>
      <c r="G253" s="90" t="s">
        <v>2206</v>
      </c>
      <c r="H253" s="188">
        <v>4204</v>
      </c>
      <c r="I253" s="110" t="str">
        <f>VLOOKUP(H253, 'RM &amp; SF'!B:H, 2, 0)</f>
        <v>فلفل اسود ناعم*****</v>
      </c>
      <c r="J253" s="184" t="str">
        <f>VLOOKUP(H253, 'RM &amp; SF'!B:E, 4, 0)</f>
        <v>غم</v>
      </c>
      <c r="K253" s="12">
        <v>1</v>
      </c>
      <c r="L253" s="13">
        <f>VLOOKUP(H253, 'RM &amp; SF'!B:H, 7, 0)</f>
        <v>6.8970000000000004E-3</v>
      </c>
      <c r="M253" s="7">
        <f t="shared" si="14"/>
        <v>6.8970000000000004E-3</v>
      </c>
      <c r="N253" s="4" t="s">
        <v>825</v>
      </c>
      <c r="O253" s="4">
        <f>VLOOKUP(B253, 'All Menu'!B:L, 6, 0)</f>
        <v>4.9568965517241379</v>
      </c>
      <c r="P253" s="6">
        <f>VLOOKUP(B253, 'All Menu'!B:L, 9, 0)</f>
        <v>2.8441841528735639</v>
      </c>
      <c r="Q253" s="14">
        <f>VLOOKUP(B253, 'All Menu'!B:M, 12, 0)</f>
        <v>0.42621676220289839</v>
      </c>
      <c r="R253" s="173">
        <f t="shared" si="11"/>
        <v>0</v>
      </c>
    </row>
    <row r="254" spans="1:18" ht="14" hidden="1">
      <c r="A254" s="78" t="s">
        <v>2604</v>
      </c>
      <c r="B254" s="220" t="s">
        <v>824</v>
      </c>
      <c r="C254" s="185"/>
      <c r="D254" s="103" t="str">
        <f>VLOOKUP(B254, 'All Menu'!B:M, 4, 0)</f>
        <v>نخاعات مطفية</v>
      </c>
      <c r="E254" s="30" t="str">
        <f>VLOOKUP(B254, 'All Menu'!B:M, 2, 0)</f>
        <v>قسم الصالة</v>
      </c>
      <c r="F254" s="103" t="str">
        <f>VLOOKUP(B254, 'All Menu'!B:M, 3, 0)</f>
        <v>صواني وصاجيات صالة</v>
      </c>
      <c r="G254" s="90" t="s">
        <v>3058</v>
      </c>
      <c r="H254" s="188">
        <v>4022</v>
      </c>
      <c r="I254" s="110" t="str">
        <f>VLOOKUP(H254, 'RM &amp; SF'!B:H, 2, 0)</f>
        <v>مرق الدجاج بودرة 1 كغ*****</v>
      </c>
      <c r="J254" s="184" t="str">
        <f>VLOOKUP(H254, 'RM &amp; SF'!B:E, 4, 0)</f>
        <v>غم</v>
      </c>
      <c r="K254" s="12">
        <v>2</v>
      </c>
      <c r="L254" s="13">
        <f>VLOOKUP(H254, 'RM &amp; SF'!B:H, 7, 0)</f>
        <v>4.7054597701149427E-3</v>
      </c>
      <c r="M254" s="7">
        <f t="shared" si="14"/>
        <v>9.4109195402298854E-3</v>
      </c>
      <c r="N254" s="4" t="s">
        <v>825</v>
      </c>
      <c r="O254" s="4">
        <f>VLOOKUP(B254, 'All Menu'!B:L, 6, 0)</f>
        <v>4.9568965517241379</v>
      </c>
      <c r="P254" s="6">
        <f>VLOOKUP(B254, 'All Menu'!B:L, 9, 0)</f>
        <v>2.8441841528735639</v>
      </c>
      <c r="Q254" s="14">
        <f>VLOOKUP(B254, 'All Menu'!B:M, 12, 0)</f>
        <v>0.42621676220289839</v>
      </c>
      <c r="R254" s="173">
        <f t="shared" ref="R254:R301" si="15">C254*K254</f>
        <v>0</v>
      </c>
    </row>
    <row r="255" spans="1:18" ht="14" hidden="1">
      <c r="A255" s="78" t="s">
        <v>2604</v>
      </c>
      <c r="B255" s="220" t="s">
        <v>824</v>
      </c>
      <c r="C255" s="185"/>
      <c r="D255" s="103" t="str">
        <f>VLOOKUP(B255, 'All Menu'!B:M, 4, 0)</f>
        <v>نخاعات مطفية</v>
      </c>
      <c r="E255" s="30" t="str">
        <f>VLOOKUP(B255, 'All Menu'!B:M, 2, 0)</f>
        <v>قسم الصالة</v>
      </c>
      <c r="F255" s="103" t="str">
        <f>VLOOKUP(B255, 'All Menu'!B:M, 3, 0)</f>
        <v>صواني وصاجيات صالة</v>
      </c>
      <c r="G255" s="90" t="s">
        <v>2209</v>
      </c>
      <c r="H255" s="188">
        <v>4546</v>
      </c>
      <c r="I255" s="110" t="str">
        <f>VLOOKUP(H255, 'RM &amp; SF'!B:H, 2, 0)</f>
        <v>كزبرة*****</v>
      </c>
      <c r="J255" s="184" t="str">
        <f>VLOOKUP(H255, 'RM &amp; SF'!B:E, 4, 0)</f>
        <v>قطعة</v>
      </c>
      <c r="K255" s="12">
        <v>0.03</v>
      </c>
      <c r="L255" s="13">
        <f>VLOOKUP(H255, 'RM &amp; SF'!B:H, 7, 0)</f>
        <v>1E-3</v>
      </c>
      <c r="M255" s="7">
        <f t="shared" si="14"/>
        <v>3.0000000000000001E-5</v>
      </c>
      <c r="N255" s="4" t="s">
        <v>825</v>
      </c>
      <c r="O255" s="4">
        <f>VLOOKUP(B255, 'All Menu'!B:L, 6, 0)</f>
        <v>4.9568965517241379</v>
      </c>
      <c r="P255" s="6">
        <f>VLOOKUP(B255, 'All Menu'!B:L, 9, 0)</f>
        <v>2.8441841528735639</v>
      </c>
      <c r="Q255" s="14">
        <f>VLOOKUP(B255, 'All Menu'!B:M, 12, 0)</f>
        <v>0.42621676220289839</v>
      </c>
      <c r="R255" s="173">
        <f t="shared" si="15"/>
        <v>0</v>
      </c>
    </row>
    <row r="256" spans="1:18" ht="14" hidden="1">
      <c r="A256" s="78" t="s">
        <v>2604</v>
      </c>
      <c r="B256" s="220" t="s">
        <v>824</v>
      </c>
      <c r="C256" s="185"/>
      <c r="D256" s="103" t="str">
        <f>VLOOKUP(B256, 'All Menu'!B:M, 4, 0)</f>
        <v>نخاعات مطفية</v>
      </c>
      <c r="E256" s="30" t="str">
        <f>VLOOKUP(B256, 'All Menu'!B:M, 2, 0)</f>
        <v>قسم الصالة</v>
      </c>
      <c r="F256" s="103" t="str">
        <f>VLOOKUP(B256, 'All Menu'!B:M, 3, 0)</f>
        <v>صواني وصاجيات صالة</v>
      </c>
      <c r="G256" s="90" t="s">
        <v>2178</v>
      </c>
      <c r="H256" s="188">
        <v>4623</v>
      </c>
      <c r="I256" s="110" t="str">
        <f>VLOOKUP(H256, 'RM &amp; SF'!B:H, 2, 0)</f>
        <v>زبدة مبسترة غير مملحة 1 كغ*****</v>
      </c>
      <c r="J256" s="184" t="str">
        <f>VLOOKUP(H256, 'RM &amp; SF'!B:E, 4, 0)</f>
        <v>غم</v>
      </c>
      <c r="K256" s="12">
        <v>20</v>
      </c>
      <c r="L256" s="13">
        <f>VLOOKUP(H256, 'RM &amp; SF'!B:H, 7, 0)</f>
        <v>2.8839999999999998E-3</v>
      </c>
      <c r="M256" s="7">
        <f t="shared" si="14"/>
        <v>5.7679999999999995E-2</v>
      </c>
      <c r="N256" s="4" t="s">
        <v>825</v>
      </c>
      <c r="O256" s="4">
        <f>VLOOKUP(B256, 'All Menu'!B:L, 6, 0)</f>
        <v>4.9568965517241379</v>
      </c>
      <c r="P256" s="6">
        <f>VLOOKUP(B256, 'All Menu'!B:L, 9, 0)</f>
        <v>2.8441841528735639</v>
      </c>
      <c r="Q256" s="14">
        <f>VLOOKUP(B256, 'All Menu'!B:M, 12, 0)</f>
        <v>0.42621676220289839</v>
      </c>
      <c r="R256" s="173">
        <f t="shared" si="15"/>
        <v>0</v>
      </c>
    </row>
    <row r="257" spans="1:18" ht="14" hidden="1">
      <c r="A257" s="78" t="s">
        <v>2604</v>
      </c>
      <c r="B257" s="220" t="s">
        <v>824</v>
      </c>
      <c r="C257" s="185"/>
      <c r="D257" s="103" t="str">
        <f>VLOOKUP(B257, 'All Menu'!B:M, 4, 0)</f>
        <v>نخاعات مطفية</v>
      </c>
      <c r="E257" s="30" t="str">
        <f>VLOOKUP(B257, 'All Menu'!B:M, 2, 0)</f>
        <v>قسم الصالة</v>
      </c>
      <c r="F257" s="103" t="str">
        <f>VLOOKUP(B257, 'All Menu'!B:M, 3, 0)</f>
        <v>صواني وصاجيات صالة</v>
      </c>
      <c r="G257" s="90" t="s">
        <v>2230</v>
      </c>
      <c r="H257" s="188">
        <v>4497</v>
      </c>
      <c r="I257" s="110" t="str">
        <f>VLOOKUP(H257, 'RM &amp; SF'!B:H, 2, 0)</f>
        <v>بطاطا*****</v>
      </c>
      <c r="J257" s="184" t="str">
        <f>VLOOKUP(H257, 'RM &amp; SF'!B:E, 4, 0)</f>
        <v>غم</v>
      </c>
      <c r="K257" s="12">
        <v>40</v>
      </c>
      <c r="L257" s="13">
        <f>VLOOKUP(H257, 'RM &amp; SF'!B:H, 7, 0)</f>
        <v>4.0000000000000002E-4</v>
      </c>
      <c r="M257" s="7">
        <f t="shared" si="14"/>
        <v>1.6E-2</v>
      </c>
      <c r="N257" s="4" t="s">
        <v>825</v>
      </c>
      <c r="O257" s="4">
        <f>VLOOKUP(B257, 'All Menu'!B:L, 6, 0)</f>
        <v>4.9568965517241379</v>
      </c>
      <c r="P257" s="6">
        <f>VLOOKUP(B257, 'All Menu'!B:L, 9, 0)</f>
        <v>2.8441841528735639</v>
      </c>
      <c r="Q257" s="14">
        <f>VLOOKUP(B257, 'All Menu'!B:M, 12, 0)</f>
        <v>0.42621676220289839</v>
      </c>
      <c r="R257" s="173">
        <f t="shared" si="15"/>
        <v>0</v>
      </c>
    </row>
    <row r="258" spans="1:18" ht="14" hidden="1">
      <c r="A258" s="78" t="s">
        <v>2604</v>
      </c>
      <c r="B258" s="220" t="s">
        <v>824</v>
      </c>
      <c r="C258" s="185"/>
      <c r="D258" s="103" t="str">
        <f>VLOOKUP(B258, 'All Menu'!B:M, 4, 0)</f>
        <v>نخاعات مطفية</v>
      </c>
      <c r="E258" s="30" t="str">
        <f>VLOOKUP(B258, 'All Menu'!B:M, 2, 0)</f>
        <v>قسم الصالة</v>
      </c>
      <c r="F258" s="103" t="str">
        <f>VLOOKUP(B258, 'All Menu'!B:M, 3, 0)</f>
        <v>صواني وصاجيات صالة</v>
      </c>
      <c r="G258" s="90" t="s">
        <v>2239</v>
      </c>
      <c r="H258" s="188">
        <v>4513</v>
      </c>
      <c r="I258" s="110" t="str">
        <f>VLOOKUP(H258, 'RM &amp; SF'!B:H, 2, 0)</f>
        <v>ليمون اصفر*****</v>
      </c>
      <c r="J258" s="184" t="str">
        <f>VLOOKUP(H258, 'RM &amp; SF'!B:E, 4, 0)</f>
        <v>غم</v>
      </c>
      <c r="K258" s="12">
        <v>20</v>
      </c>
      <c r="L258" s="13">
        <f>VLOOKUP(H258, 'RM &amp; SF'!B:H, 7, 0)</f>
        <v>1.75E-3</v>
      </c>
      <c r="M258" s="7">
        <f t="shared" si="14"/>
        <v>3.5000000000000003E-2</v>
      </c>
      <c r="N258" s="4" t="s">
        <v>825</v>
      </c>
      <c r="O258" s="4">
        <f>VLOOKUP(B258, 'All Menu'!B:L, 6, 0)</f>
        <v>4.9568965517241379</v>
      </c>
      <c r="P258" s="6">
        <f>VLOOKUP(B258, 'All Menu'!B:L, 9, 0)</f>
        <v>2.8441841528735639</v>
      </c>
      <c r="Q258" s="14">
        <f>VLOOKUP(B258, 'All Menu'!B:M, 12, 0)</f>
        <v>0.42621676220289839</v>
      </c>
      <c r="R258" s="173">
        <f t="shared" si="15"/>
        <v>0</v>
      </c>
    </row>
    <row r="259" spans="1:18" ht="14" hidden="1">
      <c r="A259" s="78" t="s">
        <v>2551</v>
      </c>
      <c r="B259" s="220" t="s">
        <v>828</v>
      </c>
      <c r="C259" s="185"/>
      <c r="D259" s="103" t="str">
        <f>VLOOKUP(B259, 'All Menu'!B:M, 4, 0)</f>
        <v>فتة روس</v>
      </c>
      <c r="E259" s="30" t="str">
        <f>VLOOKUP(B259, 'All Menu'!B:M, 2, 0)</f>
        <v>قسم الصالة</v>
      </c>
      <c r="F259" s="103" t="str">
        <f>VLOOKUP(B259, 'All Menu'!B:M, 3, 0)</f>
        <v>فتات صالة</v>
      </c>
      <c r="G259" s="90" t="s">
        <v>3058</v>
      </c>
      <c r="H259" s="188">
        <v>4754</v>
      </c>
      <c r="I259" s="110" t="str">
        <f>VLOOKUP(H259, 'RM &amp; SF'!B:H, 2, 0)</f>
        <v>لحمة راس خروف نية*****</v>
      </c>
      <c r="J259" s="184" t="str">
        <f>VLOOKUP(H259, 'RM &amp; SF'!B:E, 4, 0)</f>
        <v>غم</v>
      </c>
      <c r="K259" s="12">
        <v>185</v>
      </c>
      <c r="L259" s="13">
        <f>VLOOKUP(H259, 'RM &amp; SF'!B:H, 7, 0)</f>
        <v>6.0000000000000001E-3</v>
      </c>
      <c r="M259" s="7">
        <f t="shared" si="14"/>
        <v>1.1100000000000001</v>
      </c>
      <c r="N259" s="4" t="s">
        <v>825</v>
      </c>
      <c r="O259" s="4">
        <f>VLOOKUP(B259, 'All Menu'!B:L, 6, 0)</f>
        <v>4.0948275862068968</v>
      </c>
      <c r="P259" s="6">
        <f>VLOOKUP(B259, 'All Menu'!B:L, 9, 0)</f>
        <v>1.8333707245575628</v>
      </c>
      <c r="Q259" s="14">
        <f>VLOOKUP(B259, 'All Menu'!B:M, 12, 0)</f>
        <v>0.55227157042383734</v>
      </c>
      <c r="R259" s="173">
        <f t="shared" si="15"/>
        <v>0</v>
      </c>
    </row>
    <row r="260" spans="1:18" ht="14" hidden="1">
      <c r="A260" s="78" t="s">
        <v>2551</v>
      </c>
      <c r="B260" s="220" t="s">
        <v>828</v>
      </c>
      <c r="C260" s="185"/>
      <c r="D260" s="103" t="str">
        <f>VLOOKUP(B260, 'All Menu'!B:M, 4, 0)</f>
        <v>فتة روس</v>
      </c>
      <c r="E260" s="30" t="str">
        <f>VLOOKUP(B260, 'All Menu'!B:M, 2, 0)</f>
        <v>قسم الصالة</v>
      </c>
      <c r="F260" s="103" t="str">
        <f>VLOOKUP(B260, 'All Menu'!B:M, 3, 0)</f>
        <v>فتات صالة</v>
      </c>
      <c r="G260" s="90" t="s">
        <v>2344</v>
      </c>
      <c r="H260" s="219" t="s">
        <v>712</v>
      </c>
      <c r="I260" s="110" t="str">
        <f>VLOOKUP(H260, 'RM &amp; SF'!B:H, 2, 0)</f>
        <v>دقة</v>
      </c>
      <c r="J260" s="184" t="str">
        <f>VLOOKUP(H260, 'RM &amp; SF'!B:E, 4, 0)</f>
        <v>غم</v>
      </c>
      <c r="K260" s="12">
        <v>40</v>
      </c>
      <c r="L260" s="13">
        <f>VLOOKUP(H260, 'RM &amp; SF'!B:H, 7, 0)</f>
        <v>4.91927380952381E-3</v>
      </c>
      <c r="M260" s="7">
        <f t="shared" si="14"/>
        <v>0.19677095238095241</v>
      </c>
      <c r="N260" s="4" t="s">
        <v>825</v>
      </c>
      <c r="O260" s="4">
        <f>VLOOKUP(B260, 'All Menu'!B:L, 6, 0)</f>
        <v>4.0948275862068968</v>
      </c>
      <c r="P260" s="6">
        <f>VLOOKUP(B260, 'All Menu'!B:L, 9, 0)</f>
        <v>1.8333707245575628</v>
      </c>
      <c r="Q260" s="14">
        <f>VLOOKUP(B260, 'All Menu'!B:M, 12, 0)</f>
        <v>0.55227157042383734</v>
      </c>
      <c r="R260" s="173">
        <f t="shared" si="15"/>
        <v>0</v>
      </c>
    </row>
    <row r="261" spans="1:18" ht="14" hidden="1">
      <c r="A261" s="78" t="s">
        <v>2551</v>
      </c>
      <c r="B261" s="220" t="s">
        <v>828</v>
      </c>
      <c r="C261" s="185"/>
      <c r="D261" s="103" t="str">
        <f>VLOOKUP(B261, 'All Menu'!B:M, 4, 0)</f>
        <v>فتة روس</v>
      </c>
      <c r="E261" s="30" t="str">
        <f>VLOOKUP(B261, 'All Menu'!B:M, 2, 0)</f>
        <v>قسم الصالة</v>
      </c>
      <c r="F261" s="103" t="str">
        <f>VLOOKUP(B261, 'All Menu'!B:M, 3, 0)</f>
        <v>فتات صالة</v>
      </c>
      <c r="G261" s="90" t="s">
        <v>2225</v>
      </c>
      <c r="H261" s="188">
        <v>4991</v>
      </c>
      <c r="I261" s="110" t="str">
        <f>VLOOKUP(H261, 'RM &amp; SF'!B:H, 2, 0)</f>
        <v>خبز عربي (خبز لبناني) صغير*****</v>
      </c>
      <c r="J261" s="184" t="str">
        <f>VLOOKUP(H261, 'RM &amp; SF'!B:E, 4, 0)</f>
        <v>غم</v>
      </c>
      <c r="K261" s="12">
        <v>100</v>
      </c>
      <c r="L261" s="13">
        <f>VLOOKUP(H261, 'RM &amp; SF'!B:H, 7, 0)</f>
        <v>3.2000000000000003E-4</v>
      </c>
      <c r="M261" s="7">
        <f t="shared" si="14"/>
        <v>3.2000000000000001E-2</v>
      </c>
      <c r="N261" s="4" t="s">
        <v>825</v>
      </c>
      <c r="O261" s="4">
        <f>VLOOKUP(B261, 'All Menu'!B:L, 6, 0)</f>
        <v>4.0948275862068968</v>
      </c>
      <c r="P261" s="6">
        <f>VLOOKUP(B261, 'All Menu'!B:L, 9, 0)</f>
        <v>1.8333707245575628</v>
      </c>
      <c r="Q261" s="14">
        <f>VLOOKUP(B261, 'All Menu'!B:M, 12, 0)</f>
        <v>0.55227157042383734</v>
      </c>
      <c r="R261" s="173">
        <f t="shared" si="15"/>
        <v>0</v>
      </c>
    </row>
    <row r="262" spans="1:18" ht="14" hidden="1">
      <c r="A262" s="78" t="s">
        <v>2551</v>
      </c>
      <c r="B262" s="220" t="s">
        <v>828</v>
      </c>
      <c r="C262" s="185"/>
      <c r="D262" s="103" t="str">
        <f>VLOOKUP(B262, 'All Menu'!B:M, 4, 0)</f>
        <v>فتة روس</v>
      </c>
      <c r="E262" s="30" t="str">
        <f>VLOOKUP(B262, 'All Menu'!B:M, 2, 0)</f>
        <v>قسم الصالة</v>
      </c>
      <c r="F262" s="103" t="str">
        <f>VLOOKUP(B262, 'All Menu'!B:M, 3, 0)</f>
        <v>فتات صالة</v>
      </c>
      <c r="G262" s="90" t="s">
        <v>2430</v>
      </c>
      <c r="H262" s="219" t="s">
        <v>636</v>
      </c>
      <c r="I262" s="110" t="str">
        <f>VLOOKUP(H262, 'RM &amp; SF'!B:H, 2, 0)</f>
        <v>صوص طحينية للصواني</v>
      </c>
      <c r="J262" s="184" t="str">
        <f>VLOOKUP(H262, 'RM &amp; SF'!B:E, 4, 0)</f>
        <v>غم</v>
      </c>
      <c r="K262" s="12">
        <v>120</v>
      </c>
      <c r="L262" s="13">
        <f>VLOOKUP(H262, 'RM &amp; SF'!B:H, 7, 0)</f>
        <v>1.0115232451499119E-3</v>
      </c>
      <c r="M262" s="7">
        <f t="shared" si="14"/>
        <v>0.12138278941798944</v>
      </c>
      <c r="N262" s="4" t="s">
        <v>825</v>
      </c>
      <c r="O262" s="4">
        <f>VLOOKUP(B262, 'All Menu'!B:L, 6, 0)</f>
        <v>4.0948275862068968</v>
      </c>
      <c r="P262" s="6">
        <f>VLOOKUP(B262, 'All Menu'!B:L, 9, 0)</f>
        <v>1.8333707245575628</v>
      </c>
      <c r="Q262" s="14">
        <f>VLOOKUP(B262, 'All Menu'!B:M, 12, 0)</f>
        <v>0.55227157042383734</v>
      </c>
      <c r="R262" s="173">
        <f t="shared" si="15"/>
        <v>0</v>
      </c>
    </row>
    <row r="263" spans="1:18" ht="14" hidden="1">
      <c r="A263" s="78" t="s">
        <v>2551</v>
      </c>
      <c r="B263" s="220" t="s">
        <v>828</v>
      </c>
      <c r="C263" s="185"/>
      <c r="D263" s="103" t="str">
        <f>VLOOKUP(B263, 'All Menu'!B:M, 4, 0)</f>
        <v>فتة روس</v>
      </c>
      <c r="E263" s="30" t="str">
        <f>VLOOKUP(B263, 'All Menu'!B:M, 2, 0)</f>
        <v>قسم الصالة</v>
      </c>
      <c r="F263" s="103" t="str">
        <f>VLOOKUP(B263, 'All Menu'!B:M, 3, 0)</f>
        <v>فتات صالة</v>
      </c>
      <c r="G263" s="90" t="s">
        <v>2341</v>
      </c>
      <c r="H263" s="219" t="s">
        <v>706</v>
      </c>
      <c r="I263" s="110" t="str">
        <f>VLOOKUP(H263, 'RM &amp; SF'!B:H, 2, 0)</f>
        <v>لوز مقلي</v>
      </c>
      <c r="J263" s="184" t="str">
        <f>VLOOKUP(H263, 'RM &amp; SF'!B:E, 4, 0)</f>
        <v>غم</v>
      </c>
      <c r="K263" s="12">
        <v>30</v>
      </c>
      <c r="L263" s="13">
        <f>VLOOKUP(H263, 'RM &amp; SF'!B:H, 7, 0)</f>
        <v>4.1352327586206888E-3</v>
      </c>
      <c r="M263" s="7">
        <f t="shared" si="14"/>
        <v>0.12405698275862066</v>
      </c>
      <c r="N263" s="4" t="s">
        <v>825</v>
      </c>
      <c r="O263" s="4">
        <f>VLOOKUP(B263, 'All Menu'!B:L, 6, 0)</f>
        <v>4.0948275862068968</v>
      </c>
      <c r="P263" s="6">
        <f>VLOOKUP(B263, 'All Menu'!B:L, 9, 0)</f>
        <v>1.8333707245575628</v>
      </c>
      <c r="Q263" s="14">
        <f>VLOOKUP(B263, 'All Menu'!B:M, 12, 0)</f>
        <v>0.55227157042383734</v>
      </c>
      <c r="R263" s="173">
        <f t="shared" si="15"/>
        <v>0</v>
      </c>
    </row>
    <row r="264" spans="1:18" ht="14" hidden="1">
      <c r="A264" s="78" t="s">
        <v>2551</v>
      </c>
      <c r="B264" s="220" t="s">
        <v>828</v>
      </c>
      <c r="C264" s="185"/>
      <c r="D264" s="103" t="str">
        <f>VLOOKUP(B264, 'All Menu'!B:M, 4, 0)</f>
        <v>فتة روس</v>
      </c>
      <c r="E264" s="30" t="str">
        <f>VLOOKUP(B264, 'All Menu'!B:M, 2, 0)</f>
        <v>قسم الصالة</v>
      </c>
      <c r="F264" s="103" t="str">
        <f>VLOOKUP(B264, 'All Menu'!B:M, 3, 0)</f>
        <v>فتات صالة</v>
      </c>
      <c r="G264" s="90" t="s">
        <v>2251</v>
      </c>
      <c r="H264" s="188">
        <v>4544</v>
      </c>
      <c r="I264" s="110" t="str">
        <f>VLOOKUP(H264, 'RM &amp; SF'!B:H, 2, 0)</f>
        <v>بقدونس*****</v>
      </c>
      <c r="J264" s="184" t="str">
        <f>VLOOKUP(H264, 'RM &amp; SF'!B:E, 4, 0)</f>
        <v>غم</v>
      </c>
      <c r="K264" s="12">
        <v>100</v>
      </c>
      <c r="L264" s="13">
        <f>VLOOKUP(H264, 'RM &amp; SF'!B:H, 7, 0)</f>
        <v>7.5000000000000002E-4</v>
      </c>
      <c r="M264" s="7">
        <f t="shared" si="14"/>
        <v>7.4999999999999997E-2</v>
      </c>
      <c r="N264" s="4" t="s">
        <v>825</v>
      </c>
      <c r="O264" s="4">
        <f>VLOOKUP(B264, 'All Menu'!B:L, 6, 0)</f>
        <v>4.0948275862068968</v>
      </c>
      <c r="P264" s="6">
        <f>VLOOKUP(B264, 'All Menu'!B:L, 9, 0)</f>
        <v>1.8333707245575628</v>
      </c>
      <c r="Q264" s="14">
        <f>VLOOKUP(B264, 'All Menu'!B:M, 12, 0)</f>
        <v>0.55227157042383734</v>
      </c>
      <c r="R264" s="173">
        <f t="shared" si="15"/>
        <v>0</v>
      </c>
    </row>
    <row r="265" spans="1:18" ht="14" hidden="1">
      <c r="A265" s="78" t="s">
        <v>2551</v>
      </c>
      <c r="B265" s="220" t="s">
        <v>828</v>
      </c>
      <c r="C265" s="185"/>
      <c r="D265" s="103" t="str">
        <f>VLOOKUP(B265, 'All Menu'!B:M, 4, 0)</f>
        <v>فتة روس</v>
      </c>
      <c r="E265" s="30" t="str">
        <f>VLOOKUP(B265, 'All Menu'!B:M, 2, 0)</f>
        <v>قسم الصالة</v>
      </c>
      <c r="F265" s="103" t="str">
        <f>VLOOKUP(B265, 'All Menu'!B:M, 3, 0)</f>
        <v>فتات صالة</v>
      </c>
      <c r="G265" s="90" t="s">
        <v>2180</v>
      </c>
      <c r="H265" s="188">
        <v>4791</v>
      </c>
      <c r="I265" s="110" t="str">
        <f>VLOOKUP(H265, 'RM &amp; SF'!B:H, 2, 0)</f>
        <v>سمنة بلدية 5 كغ*****</v>
      </c>
      <c r="J265" s="184" t="str">
        <f>VLOOKUP(H265, 'RM &amp; SF'!B:E, 4, 0)</f>
        <v>غم</v>
      </c>
      <c r="K265" s="12">
        <v>20</v>
      </c>
      <c r="L265" s="13">
        <f>VLOOKUP(H265, 'RM &amp; SF'!B:H, 7, 0)</f>
        <v>8.3330000000000001E-3</v>
      </c>
      <c r="M265" s="7">
        <f t="shared" si="14"/>
        <v>0.16666</v>
      </c>
      <c r="N265" s="4" t="s">
        <v>825</v>
      </c>
      <c r="O265" s="4">
        <f>VLOOKUP(B265, 'All Menu'!B:L, 6, 0)</f>
        <v>4.0948275862068968</v>
      </c>
      <c r="P265" s="6">
        <f>VLOOKUP(B265, 'All Menu'!B:L, 9, 0)</f>
        <v>1.8333707245575628</v>
      </c>
      <c r="Q265" s="14">
        <f>VLOOKUP(B265, 'All Menu'!B:M, 12, 0)</f>
        <v>0.55227157042383734</v>
      </c>
      <c r="R265" s="173">
        <f t="shared" si="15"/>
        <v>0</v>
      </c>
    </row>
    <row r="266" spans="1:18" ht="14" hidden="1">
      <c r="A266" s="78" t="s">
        <v>2551</v>
      </c>
      <c r="B266" s="220" t="s">
        <v>828</v>
      </c>
      <c r="C266" s="185"/>
      <c r="D266" s="103" t="str">
        <f>VLOOKUP(B266, 'All Menu'!B:M, 4, 0)</f>
        <v>فتة روس</v>
      </c>
      <c r="E266" s="30" t="str">
        <f>VLOOKUP(B266, 'All Menu'!B:M, 2, 0)</f>
        <v>قسم الصالة</v>
      </c>
      <c r="F266" s="103" t="str">
        <f>VLOOKUP(B266, 'All Menu'!B:M, 3, 0)</f>
        <v>فتات صالة</v>
      </c>
      <c r="G266" s="90" t="s">
        <v>2253</v>
      </c>
      <c r="H266" s="188">
        <v>4547</v>
      </c>
      <c r="I266" s="110" t="str">
        <f>VLOOKUP(H266, 'RM &amp; SF'!B:H, 2, 0)</f>
        <v>نعنع*****</v>
      </c>
      <c r="J266" s="184" t="str">
        <f>VLOOKUP(H266, 'RM &amp; SF'!B:E, 4, 0)</f>
        <v>غم</v>
      </c>
      <c r="K266" s="12">
        <v>10</v>
      </c>
      <c r="L266" s="13">
        <f>VLOOKUP(H266, 'RM &amp; SF'!B:H, 7, 0)</f>
        <v>7.5000000000000002E-4</v>
      </c>
      <c r="M266" s="7">
        <f t="shared" si="14"/>
        <v>7.4999999999999997E-3</v>
      </c>
      <c r="N266" s="4" t="s">
        <v>825</v>
      </c>
      <c r="O266" s="4">
        <f>VLOOKUP(B266, 'All Menu'!B:L, 6, 0)</f>
        <v>4.0948275862068968</v>
      </c>
      <c r="P266" s="6">
        <f>VLOOKUP(B266, 'All Menu'!B:L, 9, 0)</f>
        <v>1.8333707245575628</v>
      </c>
      <c r="Q266" s="14">
        <f>VLOOKUP(B266, 'All Menu'!B:M, 12, 0)</f>
        <v>0.55227157042383734</v>
      </c>
      <c r="R266" s="173">
        <f t="shared" si="15"/>
        <v>0</v>
      </c>
    </row>
    <row r="267" spans="1:18" ht="14" hidden="1">
      <c r="A267" s="78" t="s">
        <v>2597</v>
      </c>
      <c r="B267" s="220" t="s">
        <v>829</v>
      </c>
      <c r="C267" s="185"/>
      <c r="D267" s="103" t="str">
        <f>VLOOKUP(B267, 'All Menu'!B:M, 4, 0)</f>
        <v>صاجية كبدة غنم</v>
      </c>
      <c r="E267" s="30" t="str">
        <f>VLOOKUP(B267, 'All Menu'!B:M, 2, 0)</f>
        <v>قسم الصالة</v>
      </c>
      <c r="F267" s="103" t="str">
        <f>VLOOKUP(B267, 'All Menu'!B:M, 3, 0)</f>
        <v>صواني وصاجيات صالة</v>
      </c>
      <c r="G267" s="90" t="s">
        <v>3058</v>
      </c>
      <c r="H267" s="188">
        <v>1082</v>
      </c>
      <c r="I267" s="110" t="str">
        <f>VLOOKUP(H267, 'RM &amp; SF'!B:H, 2, 0)</f>
        <v>كبدة غنم</v>
      </c>
      <c r="J267" s="184" t="str">
        <f>VLOOKUP(H267, 'RM &amp; SF'!B:E, 4, 0)</f>
        <v>غم</v>
      </c>
      <c r="K267" s="12">
        <v>250</v>
      </c>
      <c r="L267" s="13">
        <f>VLOOKUP(H267, 'RM &amp; SF'!B:H, 7, 0)</f>
        <v>7.0000000000000001E-3</v>
      </c>
      <c r="M267" s="7">
        <f t="shared" si="14"/>
        <v>1.75</v>
      </c>
      <c r="N267" s="4" t="s">
        <v>825</v>
      </c>
      <c r="O267" s="4">
        <f>VLOOKUP(B267, 'All Menu'!B:L, 6, 0)</f>
        <v>4.0948275862068968</v>
      </c>
      <c r="P267" s="6">
        <f>VLOOKUP(B267, 'All Menu'!B:L, 9, 0)</f>
        <v>1.9949415476190473</v>
      </c>
      <c r="Q267" s="14">
        <f>VLOOKUP(B267, 'All Menu'!B:M, 12, 0)</f>
        <v>0.51281427468671692</v>
      </c>
      <c r="R267" s="173">
        <f t="shared" si="15"/>
        <v>0</v>
      </c>
    </row>
    <row r="268" spans="1:18" ht="14" hidden="1">
      <c r="A268" s="78" t="s">
        <v>2597</v>
      </c>
      <c r="B268" s="220" t="s">
        <v>829</v>
      </c>
      <c r="C268" s="185"/>
      <c r="D268" s="103" t="str">
        <f>VLOOKUP(B268, 'All Menu'!B:M, 4, 0)</f>
        <v>صاجية كبدة غنم</v>
      </c>
      <c r="E268" s="30" t="str">
        <f>VLOOKUP(B268, 'All Menu'!B:M, 2, 0)</f>
        <v>قسم الصالة</v>
      </c>
      <c r="F268" s="103" t="str">
        <f>VLOOKUP(B268, 'All Menu'!B:M, 3, 0)</f>
        <v>صواني وصاجيات صالة</v>
      </c>
      <c r="G268" s="90" t="s">
        <v>2344</v>
      </c>
      <c r="H268" s="219" t="s">
        <v>712</v>
      </c>
      <c r="I268" s="110" t="str">
        <f>VLOOKUP(H268, 'RM &amp; SF'!B:H, 2, 0)</f>
        <v>دقة</v>
      </c>
      <c r="J268" s="184" t="str">
        <f>VLOOKUP(H268, 'RM &amp; SF'!B:E, 4, 0)</f>
        <v>غم</v>
      </c>
      <c r="K268" s="12">
        <v>30</v>
      </c>
      <c r="L268" s="13">
        <f>VLOOKUP(H268, 'RM &amp; SF'!B:H, 7, 0)</f>
        <v>4.91927380952381E-3</v>
      </c>
      <c r="M268" s="7">
        <f t="shared" si="14"/>
        <v>0.1475782142857143</v>
      </c>
      <c r="N268" s="4" t="s">
        <v>825</v>
      </c>
      <c r="O268" s="4">
        <f>VLOOKUP(B268, 'All Menu'!B:L, 6, 0)</f>
        <v>4.0948275862068968</v>
      </c>
      <c r="P268" s="6">
        <f>VLOOKUP(B268, 'All Menu'!B:L, 9, 0)</f>
        <v>1.9949415476190473</v>
      </c>
      <c r="Q268" s="14">
        <f>VLOOKUP(B268, 'All Menu'!B:M, 12, 0)</f>
        <v>0.51281427468671692</v>
      </c>
      <c r="R268" s="173">
        <f t="shared" si="15"/>
        <v>0</v>
      </c>
    </row>
    <row r="269" spans="1:18" ht="14" hidden="1">
      <c r="A269" s="78" t="s">
        <v>2597</v>
      </c>
      <c r="B269" s="220" t="s">
        <v>829</v>
      </c>
      <c r="C269" s="185"/>
      <c r="D269" s="103" t="str">
        <f>VLOOKUP(B269, 'All Menu'!B:M, 4, 0)</f>
        <v>صاجية كبدة غنم</v>
      </c>
      <c r="E269" s="30" t="str">
        <f>VLOOKUP(B269, 'All Menu'!B:M, 2, 0)</f>
        <v>قسم الصالة</v>
      </c>
      <c r="F269" s="103" t="str">
        <f>VLOOKUP(B269, 'All Menu'!B:M, 3, 0)</f>
        <v>صواني وصاجيات صالة</v>
      </c>
      <c r="G269" s="90" t="s">
        <v>2234</v>
      </c>
      <c r="H269" s="188">
        <v>4503</v>
      </c>
      <c r="I269" s="110" t="str">
        <f>VLOOKUP(H269, 'RM &amp; SF'!B:H, 2, 0)</f>
        <v>بصل ناشف دفش*****</v>
      </c>
      <c r="J269" s="184" t="str">
        <f>VLOOKUP(H269, 'RM &amp; SF'!B:E, 4, 0)</f>
        <v>غم</v>
      </c>
      <c r="K269" s="12">
        <v>100</v>
      </c>
      <c r="L269" s="13">
        <f>VLOOKUP(H269, 'RM &amp; SF'!B:H, 7, 0)</f>
        <v>2.5000000000000001E-4</v>
      </c>
      <c r="M269" s="7">
        <f t="shared" si="14"/>
        <v>2.5000000000000001E-2</v>
      </c>
      <c r="N269" s="4" t="s">
        <v>825</v>
      </c>
      <c r="O269" s="4">
        <f>VLOOKUP(B269, 'All Menu'!B:L, 6, 0)</f>
        <v>4.0948275862068968</v>
      </c>
      <c r="P269" s="6">
        <f>VLOOKUP(B269, 'All Menu'!B:L, 9, 0)</f>
        <v>1.9949415476190473</v>
      </c>
      <c r="Q269" s="14">
        <f>VLOOKUP(B269, 'All Menu'!B:M, 12, 0)</f>
        <v>0.51281427468671692</v>
      </c>
      <c r="R269" s="173">
        <f t="shared" si="15"/>
        <v>0</v>
      </c>
    </row>
    <row r="270" spans="1:18" ht="14" hidden="1">
      <c r="A270" s="78" t="s">
        <v>2597</v>
      </c>
      <c r="B270" s="220" t="s">
        <v>829</v>
      </c>
      <c r="C270" s="185"/>
      <c r="D270" s="103" t="str">
        <f>VLOOKUP(B270, 'All Menu'!B:M, 4, 0)</f>
        <v>صاجية كبدة غنم</v>
      </c>
      <c r="E270" s="30" t="str">
        <f>VLOOKUP(B270, 'All Menu'!B:M, 2, 0)</f>
        <v>قسم الصالة</v>
      </c>
      <c r="F270" s="103" t="str">
        <f>VLOOKUP(B270, 'All Menu'!B:M, 3, 0)</f>
        <v>صواني وصاجيات صالة</v>
      </c>
      <c r="G270" s="90" t="s">
        <v>2231</v>
      </c>
      <c r="H270" s="188">
        <v>4499</v>
      </c>
      <c r="I270" s="110" t="str">
        <f>VLOOKUP(H270, 'RM &amp; SF'!B:H, 2, 0)</f>
        <v>فلفل حار اخضر*****</v>
      </c>
      <c r="J270" s="184" t="str">
        <f>VLOOKUP(H270, 'RM &amp; SF'!B:E, 4, 0)</f>
        <v>غم</v>
      </c>
      <c r="K270" s="12">
        <v>20</v>
      </c>
      <c r="L270" s="13">
        <f>VLOOKUP(H270, 'RM &amp; SF'!B:H, 7, 0)</f>
        <v>5.0000000000000001E-4</v>
      </c>
      <c r="M270" s="7">
        <f t="shared" si="14"/>
        <v>0.01</v>
      </c>
      <c r="N270" s="4" t="s">
        <v>825</v>
      </c>
      <c r="O270" s="4">
        <f>VLOOKUP(B270, 'All Menu'!B:L, 6, 0)</f>
        <v>4.0948275862068968</v>
      </c>
      <c r="P270" s="6">
        <f>VLOOKUP(B270, 'All Menu'!B:L, 9, 0)</f>
        <v>1.9949415476190473</v>
      </c>
      <c r="Q270" s="14">
        <f>VLOOKUP(B270, 'All Menu'!B:M, 12, 0)</f>
        <v>0.51281427468671692</v>
      </c>
      <c r="R270" s="173">
        <f t="shared" si="15"/>
        <v>0</v>
      </c>
    </row>
    <row r="271" spans="1:18" ht="14" hidden="1">
      <c r="A271" s="78" t="s">
        <v>2597</v>
      </c>
      <c r="B271" s="220" t="s">
        <v>829</v>
      </c>
      <c r="C271" s="185"/>
      <c r="D271" s="103" t="str">
        <f>VLOOKUP(B271, 'All Menu'!B:M, 4, 0)</f>
        <v>صاجية كبدة غنم</v>
      </c>
      <c r="E271" s="30" t="str">
        <f>VLOOKUP(B271, 'All Menu'!B:M, 2, 0)</f>
        <v>قسم الصالة</v>
      </c>
      <c r="F271" s="103" t="str">
        <f>VLOOKUP(B271, 'All Menu'!B:M, 3, 0)</f>
        <v>صواني وصاجيات صالة</v>
      </c>
      <c r="G271" s="90" t="s">
        <v>2260</v>
      </c>
      <c r="H271" s="188">
        <v>4160</v>
      </c>
      <c r="I271" s="110" t="str">
        <f>VLOOKUP(H271, 'RM &amp; SF'!B:H, 2, 0)</f>
        <v>زيت صويا 18 لتر*****</v>
      </c>
      <c r="J271" s="184" t="str">
        <f>VLOOKUP(H271, 'RM &amp; SF'!B:E, 4, 0)</f>
        <v>مل</v>
      </c>
      <c r="K271" s="12">
        <v>15</v>
      </c>
      <c r="L271" s="13">
        <f>VLOOKUP(H271, 'RM &amp; SF'!B:H, 7, 0)</f>
        <v>1.335E-3</v>
      </c>
      <c r="M271" s="7">
        <f t="shared" si="14"/>
        <v>2.0025000000000001E-2</v>
      </c>
      <c r="N271" s="4" t="s">
        <v>825</v>
      </c>
      <c r="O271" s="4">
        <f>VLOOKUP(B271, 'All Menu'!B:L, 6, 0)</f>
        <v>4.0948275862068968</v>
      </c>
      <c r="P271" s="6">
        <f>VLOOKUP(B271, 'All Menu'!B:L, 9, 0)</f>
        <v>1.9949415476190473</v>
      </c>
      <c r="Q271" s="14">
        <f>VLOOKUP(B271, 'All Menu'!B:M, 12, 0)</f>
        <v>0.51281427468671692</v>
      </c>
      <c r="R271" s="173">
        <f t="shared" si="15"/>
        <v>0</v>
      </c>
    </row>
    <row r="272" spans="1:18" ht="14" hidden="1">
      <c r="A272" s="78" t="s">
        <v>2597</v>
      </c>
      <c r="B272" s="220" t="s">
        <v>829</v>
      </c>
      <c r="C272" s="185"/>
      <c r="D272" s="103" t="str">
        <f>VLOOKUP(B272, 'All Menu'!B:M, 4, 0)</f>
        <v>صاجية كبدة غنم</v>
      </c>
      <c r="E272" s="30" t="str">
        <f>VLOOKUP(B272, 'All Menu'!B:M, 2, 0)</f>
        <v>قسم الصالة</v>
      </c>
      <c r="F272" s="103" t="str">
        <f>VLOOKUP(B272, 'All Menu'!B:M, 3, 0)</f>
        <v>صواني وصاجيات صالة</v>
      </c>
      <c r="G272" s="90" t="s">
        <v>2203</v>
      </c>
      <c r="H272" s="188">
        <v>4152</v>
      </c>
      <c r="I272" s="110" t="str">
        <f>VLOOKUP(H272, 'RM &amp; SF'!B:H, 2, 0)</f>
        <v>ملح طعام 750غم*****</v>
      </c>
      <c r="J272" s="184" t="str">
        <f>VLOOKUP(H272, 'RM &amp; SF'!B:E, 4, 0)</f>
        <v>غم</v>
      </c>
      <c r="K272" s="12">
        <v>2</v>
      </c>
      <c r="L272" s="13">
        <f>VLOOKUP(H272, 'RM &amp; SF'!B:H, 7, 0)</f>
        <v>1.7066666666666665E-4</v>
      </c>
      <c r="M272" s="7">
        <f t="shared" si="14"/>
        <v>3.413333333333333E-4</v>
      </c>
      <c r="N272" s="4" t="s">
        <v>825</v>
      </c>
      <c r="O272" s="4">
        <f>VLOOKUP(B272, 'All Menu'!B:L, 6, 0)</f>
        <v>4.0948275862068968</v>
      </c>
      <c r="P272" s="6">
        <f>VLOOKUP(B272, 'All Menu'!B:L, 9, 0)</f>
        <v>1.9949415476190473</v>
      </c>
      <c r="Q272" s="14">
        <f>VLOOKUP(B272, 'All Menu'!B:M, 12, 0)</f>
        <v>0.51281427468671692</v>
      </c>
      <c r="R272" s="173">
        <f t="shared" si="15"/>
        <v>0</v>
      </c>
    </row>
    <row r="273" spans="1:18" ht="14" hidden="1">
      <c r="A273" s="78" t="s">
        <v>2597</v>
      </c>
      <c r="B273" s="220" t="s">
        <v>829</v>
      </c>
      <c r="C273" s="185"/>
      <c r="D273" s="103" t="str">
        <f>VLOOKUP(B273, 'All Menu'!B:M, 4, 0)</f>
        <v>صاجية كبدة غنم</v>
      </c>
      <c r="E273" s="30" t="str">
        <f>VLOOKUP(B273, 'All Menu'!B:M, 2, 0)</f>
        <v>قسم الصالة</v>
      </c>
      <c r="F273" s="103" t="str">
        <f>VLOOKUP(B273, 'All Menu'!B:M, 3, 0)</f>
        <v>صواني وصاجيات صالة</v>
      </c>
      <c r="G273" s="90" t="s">
        <v>2206</v>
      </c>
      <c r="H273" s="188">
        <v>4204</v>
      </c>
      <c r="I273" s="110" t="str">
        <f>VLOOKUP(H273, 'RM &amp; SF'!B:H, 2, 0)</f>
        <v>فلفل اسود ناعم*****</v>
      </c>
      <c r="J273" s="184" t="str">
        <f>VLOOKUP(H273, 'RM &amp; SF'!B:E, 4, 0)</f>
        <v>غم</v>
      </c>
      <c r="K273" s="12">
        <v>1</v>
      </c>
      <c r="L273" s="13">
        <f>VLOOKUP(H273, 'RM &amp; SF'!B:H, 7, 0)</f>
        <v>6.8970000000000004E-3</v>
      </c>
      <c r="M273" s="7">
        <f t="shared" si="14"/>
        <v>6.8970000000000004E-3</v>
      </c>
      <c r="N273" s="4" t="s">
        <v>825</v>
      </c>
      <c r="O273" s="4">
        <f>VLOOKUP(B273, 'All Menu'!B:L, 6, 0)</f>
        <v>4.0948275862068968</v>
      </c>
      <c r="P273" s="6">
        <f>VLOOKUP(B273, 'All Menu'!B:L, 9, 0)</f>
        <v>1.9949415476190473</v>
      </c>
      <c r="Q273" s="14">
        <f>VLOOKUP(B273, 'All Menu'!B:M, 12, 0)</f>
        <v>0.51281427468671692</v>
      </c>
      <c r="R273" s="173">
        <f t="shared" si="15"/>
        <v>0</v>
      </c>
    </row>
    <row r="274" spans="1:18" ht="14" hidden="1">
      <c r="A274" s="78" t="s">
        <v>2597</v>
      </c>
      <c r="B274" s="220" t="s">
        <v>829</v>
      </c>
      <c r="C274" s="185"/>
      <c r="D274" s="103" t="str">
        <f>VLOOKUP(B274, 'All Menu'!B:M, 4, 0)</f>
        <v>صاجية كبدة غنم</v>
      </c>
      <c r="E274" s="30" t="str">
        <f>VLOOKUP(B274, 'All Menu'!B:M, 2, 0)</f>
        <v>قسم الصالة</v>
      </c>
      <c r="F274" s="103" t="str">
        <f>VLOOKUP(B274, 'All Menu'!B:M, 3, 0)</f>
        <v>صواني وصاجيات صالة</v>
      </c>
      <c r="G274" s="90" t="s">
        <v>2239</v>
      </c>
      <c r="H274" s="188">
        <v>4513</v>
      </c>
      <c r="I274" s="110" t="str">
        <f>VLOOKUP(H274, 'RM &amp; SF'!B:H, 2, 0)</f>
        <v>ليمون اصفر*****</v>
      </c>
      <c r="J274" s="184" t="str">
        <f>VLOOKUP(H274, 'RM &amp; SF'!B:E, 4, 0)</f>
        <v>غم</v>
      </c>
      <c r="K274" s="12">
        <v>20</v>
      </c>
      <c r="L274" s="13">
        <f>VLOOKUP(H274, 'RM &amp; SF'!B:H, 7, 0)</f>
        <v>1.75E-3</v>
      </c>
      <c r="M274" s="7">
        <f t="shared" si="14"/>
        <v>3.5000000000000003E-2</v>
      </c>
      <c r="N274" s="4" t="s">
        <v>825</v>
      </c>
      <c r="O274" s="4">
        <f>VLOOKUP(B274, 'All Menu'!B:L, 6, 0)</f>
        <v>4.0948275862068968</v>
      </c>
      <c r="P274" s="6">
        <f>VLOOKUP(B274, 'All Menu'!B:L, 9, 0)</f>
        <v>1.9949415476190473</v>
      </c>
      <c r="Q274" s="14">
        <f>VLOOKUP(B274, 'All Menu'!B:M, 12, 0)</f>
        <v>0.51281427468671692</v>
      </c>
      <c r="R274" s="173">
        <f t="shared" si="15"/>
        <v>0</v>
      </c>
    </row>
    <row r="275" spans="1:18" ht="14" hidden="1">
      <c r="A275" s="78" t="s">
        <v>2597</v>
      </c>
      <c r="B275" s="220" t="s">
        <v>829</v>
      </c>
      <c r="C275" s="185"/>
      <c r="D275" s="103" t="str">
        <f>VLOOKUP(B275, 'All Menu'!B:M, 4, 0)</f>
        <v>صاجية كبدة غنم</v>
      </c>
      <c r="E275" s="30" t="str">
        <f>VLOOKUP(B275, 'All Menu'!B:M, 2, 0)</f>
        <v>قسم الصالة</v>
      </c>
      <c r="F275" s="103" t="str">
        <f>VLOOKUP(B275, 'All Menu'!B:M, 3, 0)</f>
        <v>صواني وصاجيات صالة</v>
      </c>
      <c r="G275" s="90" t="s">
        <v>2209</v>
      </c>
      <c r="H275" s="188">
        <v>4546</v>
      </c>
      <c r="I275" s="110" t="str">
        <f>VLOOKUP(H275, 'RM &amp; SF'!B:H, 2, 0)</f>
        <v>كزبرة*****</v>
      </c>
      <c r="J275" s="184" t="str">
        <f>VLOOKUP(H275, 'RM &amp; SF'!B:E, 4, 0)</f>
        <v>قطعة</v>
      </c>
      <c r="K275" s="12">
        <v>0.1</v>
      </c>
      <c r="L275" s="13">
        <f>VLOOKUP(H275, 'RM &amp; SF'!B:H, 7, 0)</f>
        <v>1E-3</v>
      </c>
      <c r="M275" s="7">
        <f t="shared" si="14"/>
        <v>1E-4</v>
      </c>
      <c r="N275" s="4" t="s">
        <v>825</v>
      </c>
      <c r="O275" s="4">
        <f>VLOOKUP(B275, 'All Menu'!B:L, 6, 0)</f>
        <v>4.0948275862068968</v>
      </c>
      <c r="P275" s="6">
        <f>VLOOKUP(B275, 'All Menu'!B:L, 9, 0)</f>
        <v>1.9949415476190473</v>
      </c>
      <c r="Q275" s="14">
        <f>VLOOKUP(B275, 'All Menu'!B:M, 12, 0)</f>
        <v>0.51281427468671692</v>
      </c>
      <c r="R275" s="173">
        <f t="shared" si="15"/>
        <v>0</v>
      </c>
    </row>
    <row r="276" spans="1:18" ht="14" hidden="1">
      <c r="A276" s="78" t="s">
        <v>2593</v>
      </c>
      <c r="B276" s="220" t="s">
        <v>830</v>
      </c>
      <c r="C276" s="185"/>
      <c r="D276" s="103" t="str">
        <f>VLOOKUP(B276, 'All Menu'!B:M, 4, 0)</f>
        <v>كفتة بندورة</v>
      </c>
      <c r="E276" s="30" t="str">
        <f>VLOOKUP(B276, 'All Menu'!B:M, 2, 0)</f>
        <v>قسم الصالة</v>
      </c>
      <c r="F276" s="103" t="str">
        <f>VLOOKUP(B276, 'All Menu'!B:M, 3, 0)</f>
        <v>صواني وصاجيات صالة</v>
      </c>
      <c r="G276" s="90" t="s">
        <v>2414</v>
      </c>
      <c r="H276" s="219" t="s">
        <v>485</v>
      </c>
      <c r="I276" s="110" t="str">
        <f>VLOOKUP(H276, 'RM &amp; SF'!B:H, 2, 0)</f>
        <v>كفتة للصواني</v>
      </c>
      <c r="J276" s="184" t="str">
        <f>VLOOKUP(H276, 'RM &amp; SF'!B:E, 4, 0)</f>
        <v>غم</v>
      </c>
      <c r="K276" s="12">
        <v>190</v>
      </c>
      <c r="L276" s="13">
        <f>VLOOKUP(H276, 'RM &amp; SF'!B:H, 7, 0)</f>
        <v>6.7141943181818174E-3</v>
      </c>
      <c r="M276" s="7">
        <f t="shared" si="14"/>
        <v>1.2756969204545454</v>
      </c>
      <c r="N276" s="4" t="s">
        <v>825</v>
      </c>
      <c r="O276" s="4">
        <f>VLOOKUP(B276, 'All Menu'!B:L, 6, 0)</f>
        <v>4.0948275862068968</v>
      </c>
      <c r="P276" s="6">
        <f>VLOOKUP(B276, 'All Menu'!B:L, 9, 0)</f>
        <v>1.54124592776907</v>
      </c>
      <c r="Q276" s="14">
        <f>VLOOKUP(B276, 'All Menu'!B:M, 12, 0)</f>
        <v>0.62361152079744819</v>
      </c>
      <c r="R276" s="173">
        <f t="shared" si="15"/>
        <v>0</v>
      </c>
    </row>
    <row r="277" spans="1:18" ht="14" hidden="1">
      <c r="A277" s="78" t="s">
        <v>2593</v>
      </c>
      <c r="B277" s="220" t="s">
        <v>830</v>
      </c>
      <c r="C277" s="185"/>
      <c r="D277" s="103" t="str">
        <f>VLOOKUP(B277, 'All Menu'!B:M, 4, 0)</f>
        <v>كفتة بندورة</v>
      </c>
      <c r="E277" s="30" t="str">
        <f>VLOOKUP(B277, 'All Menu'!B:M, 2, 0)</f>
        <v>قسم الصالة</v>
      </c>
      <c r="F277" s="103" t="str">
        <f>VLOOKUP(B277, 'All Menu'!B:M, 3, 0)</f>
        <v>صواني وصاجيات صالة</v>
      </c>
      <c r="G277" s="90" t="s">
        <v>2434</v>
      </c>
      <c r="H277" s="222" t="s">
        <v>574</v>
      </c>
      <c r="I277" s="110" t="str">
        <f>VLOOKUP(H277, 'RM &amp; SF'!B:H, 2, 0)</f>
        <v>صوص بندورة</v>
      </c>
      <c r="J277" s="184" t="str">
        <f>VLOOKUP(H277, 'RM &amp; SF'!B:E, 4, 0)</f>
        <v>غم</v>
      </c>
      <c r="K277" s="12">
        <v>150</v>
      </c>
      <c r="L277" s="13">
        <f>VLOOKUP(H277, 'RM &amp; SF'!B:H, 7, 0)</f>
        <v>1.1346600487634969E-3</v>
      </c>
      <c r="M277" s="7">
        <f t="shared" ref="M277:M278" si="16">L277*K277</f>
        <v>0.17019900731452453</v>
      </c>
      <c r="N277" s="4" t="s">
        <v>825</v>
      </c>
      <c r="O277" s="4">
        <f>VLOOKUP(B277, 'All Menu'!B:L, 6, 0)</f>
        <v>4.0948275862068968</v>
      </c>
      <c r="P277" s="6">
        <f>VLOOKUP(B277, 'All Menu'!B:L, 9, 0)</f>
        <v>1.54124592776907</v>
      </c>
      <c r="Q277" s="14">
        <f>VLOOKUP(B277, 'All Menu'!B:M, 12, 0)</f>
        <v>0.62361152079744819</v>
      </c>
      <c r="R277" s="173">
        <f t="shared" si="15"/>
        <v>0</v>
      </c>
    </row>
    <row r="278" spans="1:18" ht="14" hidden="1">
      <c r="A278" s="78" t="s">
        <v>2593</v>
      </c>
      <c r="B278" s="220" t="s">
        <v>830</v>
      </c>
      <c r="C278" s="185"/>
      <c r="D278" s="103" t="str">
        <f>VLOOKUP(B278, 'All Menu'!B:M, 4, 0)</f>
        <v>كفتة بندورة</v>
      </c>
      <c r="E278" s="30" t="str">
        <f>VLOOKUP(B278, 'All Menu'!B:M, 2, 0)</f>
        <v>قسم الصالة</v>
      </c>
      <c r="F278" s="103" t="str">
        <f>VLOOKUP(B278, 'All Menu'!B:M, 3, 0)</f>
        <v>صواني وصاجيات صالة</v>
      </c>
      <c r="G278" s="90" t="s">
        <v>2260</v>
      </c>
      <c r="H278" s="222">
        <v>4160</v>
      </c>
      <c r="I278" s="110" t="str">
        <f>VLOOKUP(H278, 'RM &amp; SF'!B:H, 2, 0)</f>
        <v>زيت صويا 18 لتر*****</v>
      </c>
      <c r="J278" s="184" t="str">
        <f>VLOOKUP(H278, 'RM &amp; SF'!B:E, 4, 0)</f>
        <v>مل</v>
      </c>
      <c r="K278" s="12">
        <v>10</v>
      </c>
      <c r="L278" s="13">
        <f>VLOOKUP(H278, 'RM &amp; SF'!B:H, 7, 0)</f>
        <v>1.335E-3</v>
      </c>
      <c r="M278" s="7">
        <f t="shared" si="16"/>
        <v>1.3350000000000001E-2</v>
      </c>
      <c r="N278" s="4" t="s">
        <v>825</v>
      </c>
      <c r="O278" s="4">
        <f>VLOOKUP(B278, 'All Menu'!B:L, 6, 0)</f>
        <v>4.0948275862068968</v>
      </c>
      <c r="P278" s="6">
        <f>VLOOKUP(B278, 'All Menu'!B:L, 9, 0)</f>
        <v>1.54124592776907</v>
      </c>
      <c r="Q278" s="14">
        <f>VLOOKUP(B278, 'All Menu'!B:M, 12, 0)</f>
        <v>0.62361152079744819</v>
      </c>
      <c r="R278" s="173">
        <f t="shared" si="15"/>
        <v>0</v>
      </c>
    </row>
    <row r="279" spans="1:18" ht="14" hidden="1">
      <c r="A279" s="78" t="s">
        <v>2593</v>
      </c>
      <c r="B279" s="220" t="s">
        <v>830</v>
      </c>
      <c r="C279" s="185"/>
      <c r="D279" s="103" t="str">
        <f>VLOOKUP(B279, 'All Menu'!B:M, 4, 0)</f>
        <v>كفتة بندورة</v>
      </c>
      <c r="E279" s="30" t="str">
        <f>VLOOKUP(B279, 'All Menu'!B:M, 2, 0)</f>
        <v>قسم الصالة</v>
      </c>
      <c r="F279" s="103" t="str">
        <f>VLOOKUP(B279, 'All Menu'!B:M, 3, 0)</f>
        <v>صواني وصاجيات صالة</v>
      </c>
      <c r="G279" s="90" t="s">
        <v>2309</v>
      </c>
      <c r="H279" s="188">
        <v>4491</v>
      </c>
      <c r="I279" s="110" t="str">
        <f>VLOOKUP(H279, 'RM &amp; SF'!B:H, 2, 0)</f>
        <v>بندورة جامدة*****</v>
      </c>
      <c r="J279" s="184" t="str">
        <f>VLOOKUP(H279, 'RM &amp; SF'!B:E, 4, 0)</f>
        <v>غم</v>
      </c>
      <c r="K279" s="12">
        <v>80</v>
      </c>
      <c r="L279" s="13">
        <f>VLOOKUP(H279, 'RM &amp; SF'!B:H, 7, 0)</f>
        <v>5.0000000000000001E-4</v>
      </c>
      <c r="M279" s="7">
        <f t="shared" si="14"/>
        <v>0.04</v>
      </c>
      <c r="N279" s="4" t="s">
        <v>825</v>
      </c>
      <c r="O279" s="4">
        <f>VLOOKUP(B279, 'All Menu'!B:L, 6, 0)</f>
        <v>4.0948275862068968</v>
      </c>
      <c r="P279" s="6">
        <f>VLOOKUP(B279, 'All Menu'!B:L, 9, 0)</f>
        <v>1.54124592776907</v>
      </c>
      <c r="Q279" s="14">
        <f>VLOOKUP(B279, 'All Menu'!B:M, 12, 0)</f>
        <v>0.62361152079744819</v>
      </c>
      <c r="R279" s="173">
        <f t="shared" si="15"/>
        <v>0</v>
      </c>
    </row>
    <row r="280" spans="1:18" ht="14" hidden="1">
      <c r="A280" s="78" t="s">
        <v>2593</v>
      </c>
      <c r="B280" s="220" t="s">
        <v>830</v>
      </c>
      <c r="C280" s="185"/>
      <c r="D280" s="103" t="str">
        <f>VLOOKUP(B280, 'All Menu'!B:M, 4, 0)</f>
        <v>كفتة بندورة</v>
      </c>
      <c r="E280" s="30" t="str">
        <f>VLOOKUP(B280, 'All Menu'!B:M, 2, 0)</f>
        <v>قسم الصالة</v>
      </c>
      <c r="F280" s="103" t="str">
        <f>VLOOKUP(B280, 'All Menu'!B:M, 3, 0)</f>
        <v>صواني وصاجيات صالة</v>
      </c>
      <c r="G280" s="90" t="s">
        <v>2231</v>
      </c>
      <c r="H280" s="188">
        <v>4499</v>
      </c>
      <c r="I280" s="110" t="str">
        <f>VLOOKUP(H280, 'RM &amp; SF'!B:H, 2, 0)</f>
        <v>فلفل حار اخضر*****</v>
      </c>
      <c r="J280" s="184" t="str">
        <f>VLOOKUP(H280, 'RM &amp; SF'!B:E, 4, 0)</f>
        <v>غم</v>
      </c>
      <c r="K280" s="12">
        <v>20</v>
      </c>
      <c r="L280" s="13">
        <f>VLOOKUP(H280, 'RM &amp; SF'!B:H, 7, 0)</f>
        <v>5.0000000000000001E-4</v>
      </c>
      <c r="M280" s="7">
        <f t="shared" si="14"/>
        <v>0.01</v>
      </c>
      <c r="N280" s="4" t="s">
        <v>825</v>
      </c>
      <c r="O280" s="4">
        <f>VLOOKUP(B280, 'All Menu'!B:L, 6, 0)</f>
        <v>4.0948275862068968</v>
      </c>
      <c r="P280" s="6">
        <f>VLOOKUP(B280, 'All Menu'!B:L, 9, 0)</f>
        <v>1.54124592776907</v>
      </c>
      <c r="Q280" s="14">
        <f>VLOOKUP(B280, 'All Menu'!B:M, 12, 0)</f>
        <v>0.62361152079744819</v>
      </c>
      <c r="R280" s="173">
        <f t="shared" si="15"/>
        <v>0</v>
      </c>
    </row>
    <row r="281" spans="1:18" ht="14" hidden="1">
      <c r="A281" s="78" t="s">
        <v>2593</v>
      </c>
      <c r="B281" s="220" t="s">
        <v>830</v>
      </c>
      <c r="C281" s="185"/>
      <c r="D281" s="103" t="str">
        <f>VLOOKUP(B281, 'All Menu'!B:M, 4, 0)</f>
        <v>كفتة بندورة</v>
      </c>
      <c r="E281" s="30" t="str">
        <f>VLOOKUP(B281, 'All Menu'!B:M, 2, 0)</f>
        <v>قسم الصالة</v>
      </c>
      <c r="F281" s="103" t="str">
        <f>VLOOKUP(B281, 'All Menu'!B:M, 3, 0)</f>
        <v>صواني وصاجيات صالة</v>
      </c>
      <c r="G281" s="90" t="s">
        <v>2230</v>
      </c>
      <c r="H281" s="188">
        <v>4497</v>
      </c>
      <c r="I281" s="110" t="str">
        <f>VLOOKUP(H281, 'RM &amp; SF'!B:H, 2, 0)</f>
        <v>بطاطا*****</v>
      </c>
      <c r="J281" s="184" t="str">
        <f>VLOOKUP(H281, 'RM &amp; SF'!B:E, 4, 0)</f>
        <v>غم</v>
      </c>
      <c r="K281" s="12">
        <v>80</v>
      </c>
      <c r="L281" s="13">
        <f>VLOOKUP(H281, 'RM &amp; SF'!B:H, 7, 0)</f>
        <v>4.0000000000000002E-4</v>
      </c>
      <c r="M281" s="7">
        <f t="shared" si="14"/>
        <v>3.2000000000000001E-2</v>
      </c>
      <c r="N281" s="4" t="s">
        <v>825</v>
      </c>
      <c r="O281" s="4">
        <f>VLOOKUP(B281, 'All Menu'!B:L, 6, 0)</f>
        <v>4.0948275862068968</v>
      </c>
      <c r="P281" s="6">
        <f>VLOOKUP(B281, 'All Menu'!B:L, 9, 0)</f>
        <v>1.54124592776907</v>
      </c>
      <c r="Q281" s="14">
        <f>VLOOKUP(B281, 'All Menu'!B:M, 12, 0)</f>
        <v>0.62361152079744819</v>
      </c>
      <c r="R281" s="173">
        <f t="shared" si="15"/>
        <v>0</v>
      </c>
    </row>
    <row r="282" spans="1:18" ht="14" hidden="1">
      <c r="A282" s="78" t="s">
        <v>2605</v>
      </c>
      <c r="B282" s="220" t="s">
        <v>831</v>
      </c>
      <c r="C282" s="185"/>
      <c r="D282" s="103" t="str">
        <f>VLOOKUP(B282, 'All Menu'!B:M, 4, 0)</f>
        <v>حمص بلحمة</v>
      </c>
      <c r="E282" s="30" t="str">
        <f>VLOOKUP(B282, 'All Menu'!B:M, 2, 0)</f>
        <v>قسم الصالة</v>
      </c>
      <c r="F282" s="103" t="str">
        <f>VLOOKUP(B282, 'All Menu'!B:M, 3, 0)</f>
        <v>صواني وصاجيات صالة</v>
      </c>
      <c r="G282" s="90" t="s">
        <v>2404</v>
      </c>
      <c r="H282" s="219" t="s">
        <v>488</v>
      </c>
      <c r="I282" s="110" t="str">
        <f>VLOOKUP(H282, 'RM &amp; SF'!B:H, 2, 0)</f>
        <v>حمص</v>
      </c>
      <c r="J282" s="184" t="str">
        <f>VLOOKUP(H282, 'RM &amp; SF'!B:E, 4, 0)</f>
        <v>غم</v>
      </c>
      <c r="K282" s="12">
        <v>220</v>
      </c>
      <c r="L282" s="13">
        <f>VLOOKUP(H282, 'RM &amp; SF'!B:H, 7, 0)</f>
        <v>1.3232918279569891E-3</v>
      </c>
      <c r="M282" s="7">
        <f t="shared" si="14"/>
        <v>0.29112420215053758</v>
      </c>
      <c r="N282" s="4" t="s">
        <v>825</v>
      </c>
      <c r="O282" s="4">
        <f>VLOOKUP(B282, 'All Menu'!B:L, 6, 0)</f>
        <v>4.7413793103448283</v>
      </c>
      <c r="P282" s="6">
        <f>VLOOKUP(B282, 'All Menu'!B:L, 9, 0)</f>
        <v>4.4457026935298476</v>
      </c>
      <c r="Q282" s="14">
        <f>VLOOKUP(B282, 'All Menu'!B:M, 12, 0)</f>
        <v>6.2360886455523193E-2</v>
      </c>
      <c r="R282" s="173">
        <f t="shared" si="15"/>
        <v>0</v>
      </c>
    </row>
    <row r="283" spans="1:18" ht="14" hidden="1">
      <c r="A283" s="78" t="s">
        <v>2605</v>
      </c>
      <c r="B283" s="220" t="s">
        <v>831</v>
      </c>
      <c r="C283" s="185"/>
      <c r="D283" s="103" t="str">
        <f>VLOOKUP(B283, 'All Menu'!B:M, 4, 0)</f>
        <v>حمص بلحمة</v>
      </c>
      <c r="E283" s="30" t="str">
        <f>VLOOKUP(B283, 'All Menu'!B:M, 2, 0)</f>
        <v>قسم الصالة</v>
      </c>
      <c r="F283" s="103" t="str">
        <f>VLOOKUP(B283, 'All Menu'!B:M, 3, 0)</f>
        <v>صواني وصاجيات صالة</v>
      </c>
      <c r="G283" s="90" t="s">
        <v>3058</v>
      </c>
      <c r="H283" s="188">
        <v>5317</v>
      </c>
      <c r="I283" s="110" t="str">
        <f>VLOOKUP(H283, 'RM &amp; SF'!B:H, 2, 0)</f>
        <v>راس خروف</v>
      </c>
      <c r="J283" s="184" t="str">
        <f>VLOOKUP(H283, 'RM &amp; SF'!B:E, 4, 0)</f>
        <v>قطعة</v>
      </c>
      <c r="K283" s="12">
        <v>1</v>
      </c>
      <c r="L283" s="13">
        <f>VLOOKUP(H283, 'RM &amp; SF'!B:H, 7, 0)</f>
        <v>4</v>
      </c>
      <c r="M283" s="7">
        <f t="shared" si="14"/>
        <v>4</v>
      </c>
      <c r="N283" s="4" t="s">
        <v>825</v>
      </c>
      <c r="O283" s="4">
        <f>VLOOKUP(B283, 'All Menu'!B:L, 6, 0)</f>
        <v>4.7413793103448283</v>
      </c>
      <c r="P283" s="6">
        <f>VLOOKUP(B283, 'All Menu'!B:L, 9, 0)</f>
        <v>4.4457026935298476</v>
      </c>
      <c r="Q283" s="14">
        <f>VLOOKUP(B283, 'All Menu'!B:M, 12, 0)</f>
        <v>6.2360886455523193E-2</v>
      </c>
      <c r="R283" s="173">
        <f t="shared" si="15"/>
        <v>0</v>
      </c>
    </row>
    <row r="284" spans="1:18" ht="14" hidden="1">
      <c r="A284" s="78" t="s">
        <v>2605</v>
      </c>
      <c r="B284" s="220" t="s">
        <v>831</v>
      </c>
      <c r="C284" s="185"/>
      <c r="D284" s="103" t="str">
        <f>VLOOKUP(B284, 'All Menu'!B:M, 4, 0)</f>
        <v>حمص بلحمة</v>
      </c>
      <c r="E284" s="30" t="str">
        <f>VLOOKUP(B284, 'All Menu'!B:M, 2, 0)</f>
        <v>قسم الصالة</v>
      </c>
      <c r="F284" s="103" t="str">
        <f>VLOOKUP(B284, 'All Menu'!B:M, 3, 0)</f>
        <v>صواني وصاجيات صالة</v>
      </c>
      <c r="G284" s="90" t="s">
        <v>2260</v>
      </c>
      <c r="H284" s="188">
        <v>4160</v>
      </c>
      <c r="I284" s="110" t="str">
        <f>VLOOKUP(H284, 'RM &amp; SF'!B:H, 2, 0)</f>
        <v>زيت صويا 18 لتر*****</v>
      </c>
      <c r="J284" s="184" t="str">
        <f>VLOOKUP(H284, 'RM &amp; SF'!B:E, 4, 0)</f>
        <v>مل</v>
      </c>
      <c r="K284" s="12">
        <v>20</v>
      </c>
      <c r="L284" s="13">
        <f>VLOOKUP(H284, 'RM &amp; SF'!B:H, 7, 0)</f>
        <v>1.335E-3</v>
      </c>
      <c r="M284" s="7">
        <f t="shared" si="14"/>
        <v>2.6700000000000002E-2</v>
      </c>
      <c r="N284" s="4" t="s">
        <v>825</v>
      </c>
      <c r="O284" s="4">
        <f>VLOOKUP(B284, 'All Menu'!B:L, 6, 0)</f>
        <v>4.7413793103448283</v>
      </c>
      <c r="P284" s="6">
        <f>VLOOKUP(B284, 'All Menu'!B:L, 9, 0)</f>
        <v>4.4457026935298476</v>
      </c>
      <c r="Q284" s="14">
        <f>VLOOKUP(B284, 'All Menu'!B:M, 12, 0)</f>
        <v>6.2360886455523193E-2</v>
      </c>
      <c r="R284" s="173">
        <f t="shared" si="15"/>
        <v>0</v>
      </c>
    </row>
    <row r="285" spans="1:18" ht="14" hidden="1">
      <c r="A285" s="78" t="s">
        <v>2605</v>
      </c>
      <c r="B285" s="220" t="s">
        <v>831</v>
      </c>
      <c r="C285" s="185"/>
      <c r="D285" s="103" t="str">
        <f>VLOOKUP(B285, 'All Menu'!B:M, 4, 0)</f>
        <v>حمص بلحمة</v>
      </c>
      <c r="E285" s="30" t="str">
        <f>VLOOKUP(B285, 'All Menu'!B:M, 2, 0)</f>
        <v>قسم الصالة</v>
      </c>
      <c r="F285" s="103" t="str">
        <f>VLOOKUP(B285, 'All Menu'!B:M, 3, 0)</f>
        <v>صواني وصاجيات صالة</v>
      </c>
      <c r="G285" s="90" t="s">
        <v>2341</v>
      </c>
      <c r="H285" s="219" t="s">
        <v>706</v>
      </c>
      <c r="I285" s="110" t="str">
        <f>VLOOKUP(H285, 'RM &amp; SF'!B:H, 2, 0)</f>
        <v>لوز مقلي</v>
      </c>
      <c r="J285" s="184" t="str">
        <f>VLOOKUP(H285, 'RM &amp; SF'!B:E, 4, 0)</f>
        <v>غم</v>
      </c>
      <c r="K285" s="12">
        <v>15</v>
      </c>
      <c r="L285" s="13">
        <f>VLOOKUP(H285, 'RM &amp; SF'!B:H, 7, 0)</f>
        <v>4.1352327586206888E-3</v>
      </c>
      <c r="M285" s="7">
        <f t="shared" si="14"/>
        <v>6.2028491379310331E-2</v>
      </c>
      <c r="N285" s="4" t="s">
        <v>825</v>
      </c>
      <c r="O285" s="4">
        <f>VLOOKUP(B285, 'All Menu'!B:L, 6, 0)</f>
        <v>4.7413793103448283</v>
      </c>
      <c r="P285" s="6">
        <f>VLOOKUP(B285, 'All Menu'!B:L, 9, 0)</f>
        <v>4.4457026935298476</v>
      </c>
      <c r="Q285" s="14">
        <f>VLOOKUP(B285, 'All Menu'!B:M, 12, 0)</f>
        <v>6.2360886455523193E-2</v>
      </c>
      <c r="R285" s="173">
        <f t="shared" si="15"/>
        <v>0</v>
      </c>
    </row>
    <row r="286" spans="1:18" ht="14" hidden="1">
      <c r="A286" s="78" t="s">
        <v>2605</v>
      </c>
      <c r="B286" s="220" t="s">
        <v>831</v>
      </c>
      <c r="C286" s="185"/>
      <c r="D286" s="103" t="str">
        <f>VLOOKUP(B286, 'All Menu'!B:M, 4, 0)</f>
        <v>حمص بلحمة</v>
      </c>
      <c r="E286" s="30" t="str">
        <f>VLOOKUP(B286, 'All Menu'!B:M, 2, 0)</f>
        <v>قسم الصالة</v>
      </c>
      <c r="F286" s="103" t="str">
        <f>VLOOKUP(B286, 'All Menu'!B:M, 3, 0)</f>
        <v>صواني وصاجيات صالة</v>
      </c>
      <c r="G286" s="90" t="s">
        <v>2251</v>
      </c>
      <c r="H286" s="188">
        <v>4544</v>
      </c>
      <c r="I286" s="110" t="str">
        <f>VLOOKUP(H286, 'RM &amp; SF'!B:H, 2, 0)</f>
        <v>بقدونس*****</v>
      </c>
      <c r="J286" s="184" t="str">
        <f>VLOOKUP(H286, 'RM &amp; SF'!B:E, 4, 0)</f>
        <v>غم</v>
      </c>
      <c r="K286" s="12">
        <v>20</v>
      </c>
      <c r="L286" s="13">
        <f>VLOOKUP(H286, 'RM &amp; SF'!B:H, 7, 0)</f>
        <v>7.5000000000000002E-4</v>
      </c>
      <c r="M286" s="7">
        <f t="shared" si="14"/>
        <v>1.4999999999999999E-2</v>
      </c>
      <c r="N286" s="4" t="s">
        <v>825</v>
      </c>
      <c r="O286" s="4">
        <f>VLOOKUP(B286, 'All Menu'!B:L, 6, 0)</f>
        <v>4.7413793103448283</v>
      </c>
      <c r="P286" s="6">
        <f>VLOOKUP(B286, 'All Menu'!B:L, 9, 0)</f>
        <v>4.4457026935298476</v>
      </c>
      <c r="Q286" s="14">
        <f>VLOOKUP(B286, 'All Menu'!B:M, 12, 0)</f>
        <v>6.2360886455523193E-2</v>
      </c>
      <c r="R286" s="173">
        <f t="shared" si="15"/>
        <v>0</v>
      </c>
    </row>
    <row r="287" spans="1:18" ht="14" hidden="1">
      <c r="A287" s="78" t="s">
        <v>2605</v>
      </c>
      <c r="B287" s="220" t="s">
        <v>831</v>
      </c>
      <c r="C287" s="185"/>
      <c r="D287" s="103" t="str">
        <f>VLOOKUP(B287, 'All Menu'!B:M, 4, 0)</f>
        <v>حمص بلحمة</v>
      </c>
      <c r="E287" s="30" t="str">
        <f>VLOOKUP(B287, 'All Menu'!B:M, 2, 0)</f>
        <v>قسم الصالة</v>
      </c>
      <c r="F287" s="103" t="str">
        <f>VLOOKUP(B287, 'All Menu'!B:M, 3, 0)</f>
        <v>صواني وصاجيات صالة</v>
      </c>
      <c r="G287" s="90" t="s">
        <v>2357</v>
      </c>
      <c r="H287" s="219" t="s">
        <v>744</v>
      </c>
      <c r="I287" s="110" t="str">
        <f>VLOOKUP(H287, 'RM &amp; SF'!B:H, 2, 0)</f>
        <v>زيت زيتون مكسور</v>
      </c>
      <c r="J287" s="184" t="str">
        <f>VLOOKUP(H287, 'RM &amp; SF'!B:E, 4, 0)</f>
        <v>غم</v>
      </c>
      <c r="K287" s="12">
        <v>15</v>
      </c>
      <c r="L287" s="13">
        <f>VLOOKUP(H287, 'RM &amp; SF'!B:H, 7, 0)</f>
        <v>3.3899999999999998E-3</v>
      </c>
      <c r="M287" s="7">
        <f t="shared" si="14"/>
        <v>5.0849999999999999E-2</v>
      </c>
      <c r="N287" s="4" t="s">
        <v>825</v>
      </c>
      <c r="O287" s="4">
        <f>VLOOKUP(B287, 'All Menu'!B:L, 6, 0)</f>
        <v>4.7413793103448283</v>
      </c>
      <c r="P287" s="6">
        <f>VLOOKUP(B287, 'All Menu'!B:L, 9, 0)</f>
        <v>4.4457026935298476</v>
      </c>
      <c r="Q287" s="14">
        <f>VLOOKUP(B287, 'All Menu'!B:M, 12, 0)</f>
        <v>6.2360886455523193E-2</v>
      </c>
      <c r="R287" s="173">
        <f t="shared" si="15"/>
        <v>0</v>
      </c>
    </row>
    <row r="288" spans="1:18" ht="14" hidden="1">
      <c r="A288" s="78" t="s">
        <v>2548</v>
      </c>
      <c r="B288" s="220" t="s">
        <v>833</v>
      </c>
      <c r="C288" s="185"/>
      <c r="D288" s="103" t="str">
        <f>VLOOKUP(B288, 'All Menu'!B:M, 4, 0)</f>
        <v>فتة لسانات</v>
      </c>
      <c r="E288" s="30" t="str">
        <f>VLOOKUP(B288, 'All Menu'!B:M, 2, 0)</f>
        <v>قسم الصالة</v>
      </c>
      <c r="F288" s="103" t="str">
        <f>VLOOKUP(B288, 'All Menu'!B:M, 3, 0)</f>
        <v>فتات صالة</v>
      </c>
      <c r="G288" s="90" t="s">
        <v>3058</v>
      </c>
      <c r="H288" s="188">
        <v>4658</v>
      </c>
      <c r="I288" s="110" t="str">
        <f>VLOOKUP(H288, 'RM &amp; SF'!B:H, 2, 0)</f>
        <v>لسانات مجمدة استرالي*****</v>
      </c>
      <c r="J288" s="184" t="str">
        <f>VLOOKUP(H288, 'RM &amp; SF'!B:E, 4, 0)</f>
        <v>غم</v>
      </c>
      <c r="K288" s="12">
        <v>2</v>
      </c>
      <c r="L288" s="13">
        <f>VLOOKUP(H288, 'RM &amp; SF'!B:H, 7, 0)</f>
        <v>4.2500000000000003E-3</v>
      </c>
      <c r="M288" s="7">
        <f t="shared" si="14"/>
        <v>8.5000000000000006E-3</v>
      </c>
      <c r="N288" s="4" t="s">
        <v>825</v>
      </c>
      <c r="O288" s="4">
        <f>VLOOKUP(B288, 'All Menu'!B:L, 6, 0)</f>
        <v>5.8189655172413799</v>
      </c>
      <c r="P288" s="6">
        <f>VLOOKUP(B288, 'All Menu'!B:L, 9, 0)</f>
        <v>0.77015439439883226</v>
      </c>
      <c r="Q288" s="14">
        <f>VLOOKUP(B288, 'All Menu'!B:M, 12, 0)</f>
        <v>0.86764754111071918</v>
      </c>
      <c r="R288" s="173">
        <f t="shared" si="15"/>
        <v>0</v>
      </c>
    </row>
    <row r="289" spans="1:18" ht="14" hidden="1">
      <c r="A289" s="78" t="s">
        <v>2548</v>
      </c>
      <c r="B289" s="220" t="s">
        <v>833</v>
      </c>
      <c r="C289" s="185"/>
      <c r="D289" s="103" t="str">
        <f>VLOOKUP(B289, 'All Menu'!B:M, 4, 0)</f>
        <v>فتة لسانات</v>
      </c>
      <c r="E289" s="30" t="str">
        <f>VLOOKUP(B289, 'All Menu'!B:M, 2, 0)</f>
        <v>قسم الصالة</v>
      </c>
      <c r="F289" s="103" t="str">
        <f>VLOOKUP(B289, 'All Menu'!B:M, 3, 0)</f>
        <v>فتات صالة</v>
      </c>
      <c r="G289" s="90" t="s">
        <v>2330</v>
      </c>
      <c r="H289" s="219" t="s">
        <v>490</v>
      </c>
      <c r="I289" s="110" t="str">
        <f>VLOOKUP(H289, 'RM &amp; SF'!B:H, 2, 0)</f>
        <v>خبز مقلي</v>
      </c>
      <c r="J289" s="184" t="str">
        <f>VLOOKUP(H289, 'RM &amp; SF'!B:E, 4, 0)</f>
        <v>غم</v>
      </c>
      <c r="K289" s="12">
        <v>150</v>
      </c>
      <c r="L289" s="13">
        <f>VLOOKUP(H289, 'RM &amp; SF'!B:H, 7, 0)</f>
        <v>2.2857142857142859E-4</v>
      </c>
      <c r="M289" s="7">
        <f t="shared" si="14"/>
        <v>3.4285714285714287E-2</v>
      </c>
      <c r="N289" s="4" t="s">
        <v>825</v>
      </c>
      <c r="O289" s="4">
        <f>VLOOKUP(B289, 'All Menu'!B:L, 6, 0)</f>
        <v>5.8189655172413799</v>
      </c>
      <c r="P289" s="6">
        <f>VLOOKUP(B289, 'All Menu'!B:L, 9, 0)</f>
        <v>0.77015439439883226</v>
      </c>
      <c r="Q289" s="14">
        <f>VLOOKUP(B289, 'All Menu'!B:M, 12, 0)</f>
        <v>0.86764754111071918</v>
      </c>
      <c r="R289" s="173">
        <f t="shared" si="15"/>
        <v>0</v>
      </c>
    </row>
    <row r="290" spans="1:18" ht="14" hidden="1">
      <c r="A290" s="78" t="s">
        <v>2548</v>
      </c>
      <c r="B290" s="220" t="s">
        <v>833</v>
      </c>
      <c r="C290" s="185"/>
      <c r="D290" s="103" t="str">
        <f>VLOOKUP(B290, 'All Menu'!B:M, 4, 0)</f>
        <v>فتة لسانات</v>
      </c>
      <c r="E290" s="30" t="str">
        <f>VLOOKUP(B290, 'All Menu'!B:M, 2, 0)</f>
        <v>قسم الصالة</v>
      </c>
      <c r="F290" s="103" t="str">
        <f>VLOOKUP(B290, 'All Menu'!B:M, 3, 0)</f>
        <v>فتات صالة</v>
      </c>
      <c r="G290" s="90" t="s">
        <v>2430</v>
      </c>
      <c r="H290" s="219" t="s">
        <v>636</v>
      </c>
      <c r="I290" s="110" t="str">
        <f>VLOOKUP(H290, 'RM &amp; SF'!B:H, 2, 0)</f>
        <v>صوص طحينية للصواني</v>
      </c>
      <c r="J290" s="184" t="str">
        <f>VLOOKUP(H290, 'RM &amp; SF'!B:E, 4, 0)</f>
        <v>غم</v>
      </c>
      <c r="K290" s="12">
        <v>30</v>
      </c>
      <c r="L290" s="13">
        <f>VLOOKUP(H290, 'RM &amp; SF'!B:H, 7, 0)</f>
        <v>1.0115232451499119E-3</v>
      </c>
      <c r="M290" s="7">
        <f t="shared" si="14"/>
        <v>3.034569735449736E-2</v>
      </c>
      <c r="N290" s="4" t="s">
        <v>825</v>
      </c>
      <c r="O290" s="4">
        <f>VLOOKUP(B290, 'All Menu'!B:L, 6, 0)</f>
        <v>5.8189655172413799</v>
      </c>
      <c r="P290" s="6">
        <f>VLOOKUP(B290, 'All Menu'!B:L, 9, 0)</f>
        <v>0.77015439439883226</v>
      </c>
      <c r="Q290" s="14">
        <f>VLOOKUP(B290, 'All Menu'!B:M, 12, 0)</f>
        <v>0.86764754111071918</v>
      </c>
      <c r="R290" s="173">
        <f t="shared" si="15"/>
        <v>0</v>
      </c>
    </row>
    <row r="291" spans="1:18" ht="14" hidden="1">
      <c r="A291" s="78" t="s">
        <v>2548</v>
      </c>
      <c r="B291" s="220" t="s">
        <v>833</v>
      </c>
      <c r="C291" s="185"/>
      <c r="D291" s="103" t="str">
        <f>VLOOKUP(B291, 'All Menu'!B:M, 4, 0)</f>
        <v>فتة لسانات</v>
      </c>
      <c r="E291" s="30" t="str">
        <f>VLOOKUP(B291, 'All Menu'!B:M, 2, 0)</f>
        <v>قسم الصالة</v>
      </c>
      <c r="F291" s="103" t="str">
        <f>VLOOKUP(B291, 'All Menu'!B:M, 3, 0)</f>
        <v>فتات صالة</v>
      </c>
      <c r="G291" s="90" t="s">
        <v>2170</v>
      </c>
      <c r="H291" s="188">
        <v>4552</v>
      </c>
      <c r="I291" s="110" t="str">
        <f>VLOOKUP(H291, 'RM &amp; SF'!B:H, 2, 0)</f>
        <v>لبن رايب 5 كغ*****</v>
      </c>
      <c r="J291" s="184" t="str">
        <f>VLOOKUP(H291, 'RM &amp; SF'!B:E, 4, 0)</f>
        <v>غم</v>
      </c>
      <c r="K291" s="12">
        <v>70</v>
      </c>
      <c r="L291" s="13">
        <f>VLOOKUP(H291, 'RM &amp; SF'!B:H, 7, 0)</f>
        <v>8.0000000000000004E-4</v>
      </c>
      <c r="M291" s="7">
        <f t="shared" si="14"/>
        <v>5.6000000000000001E-2</v>
      </c>
      <c r="N291" s="4" t="s">
        <v>825</v>
      </c>
      <c r="O291" s="4">
        <f>VLOOKUP(B291, 'All Menu'!B:L, 6, 0)</f>
        <v>5.8189655172413799</v>
      </c>
      <c r="P291" s="6">
        <f>VLOOKUP(B291, 'All Menu'!B:L, 9, 0)</f>
        <v>0.77015439439883226</v>
      </c>
      <c r="Q291" s="14">
        <f>VLOOKUP(B291, 'All Menu'!B:M, 12, 0)</f>
        <v>0.86764754111071918</v>
      </c>
      <c r="R291" s="173">
        <f t="shared" si="15"/>
        <v>0</v>
      </c>
    </row>
    <row r="292" spans="1:18" ht="15.5" hidden="1">
      <c r="A292" s="78" t="s">
        <v>2548</v>
      </c>
      <c r="B292" s="220" t="s">
        <v>833</v>
      </c>
      <c r="C292" s="185"/>
      <c r="D292" s="103" t="str">
        <f>VLOOKUP(B292, 'All Menu'!B:M, 4, 0)</f>
        <v>فتة لسانات</v>
      </c>
      <c r="E292" s="30" t="str">
        <f>VLOOKUP(B292, 'All Menu'!B:M, 2, 0)</f>
        <v>قسم الصالة</v>
      </c>
      <c r="F292" s="103" t="str">
        <f>VLOOKUP(B292, 'All Menu'!B:M, 3, 0)</f>
        <v>فتات صالة</v>
      </c>
      <c r="G292" s="90" t="s">
        <v>2321</v>
      </c>
      <c r="H292" s="67">
        <v>5292</v>
      </c>
      <c r="I292" s="110" t="str">
        <f>VLOOKUP(H292, 'RM &amp; SF'!B:H, 2, 0)</f>
        <v>ثوم مقشر*****</v>
      </c>
      <c r="J292" s="184" t="str">
        <f>VLOOKUP(H292, 'RM &amp; SF'!B:E, 4, 0)</f>
        <v>غم</v>
      </c>
      <c r="K292" s="12">
        <v>7</v>
      </c>
      <c r="L292" s="13">
        <f>VLOOKUP(H292, 'RM &amp; SF'!B:H, 7, 0)</f>
        <v>4.4999999999999997E-3</v>
      </c>
      <c r="M292" s="7">
        <f t="shared" ref="M292:M355" si="17">L292*K292</f>
        <v>3.15E-2</v>
      </c>
      <c r="N292" s="4" t="s">
        <v>825</v>
      </c>
      <c r="O292" s="4">
        <f>VLOOKUP(B292, 'All Menu'!B:L, 6, 0)</f>
        <v>5.8189655172413799</v>
      </c>
      <c r="P292" s="6">
        <f>VLOOKUP(B292, 'All Menu'!B:L, 9, 0)</f>
        <v>0.77015439439883226</v>
      </c>
      <c r="Q292" s="14">
        <f>VLOOKUP(B292, 'All Menu'!B:M, 12, 0)</f>
        <v>0.86764754111071918</v>
      </c>
      <c r="R292" s="173">
        <f t="shared" si="15"/>
        <v>0</v>
      </c>
    </row>
    <row r="293" spans="1:18" ht="14" hidden="1">
      <c r="A293" s="78" t="s">
        <v>2548</v>
      </c>
      <c r="B293" s="220" t="s">
        <v>833</v>
      </c>
      <c r="C293" s="185"/>
      <c r="D293" s="103" t="str">
        <f>VLOOKUP(B293, 'All Menu'!B:M, 4, 0)</f>
        <v>فتة لسانات</v>
      </c>
      <c r="E293" s="30" t="str">
        <f>VLOOKUP(B293, 'All Menu'!B:M, 2, 0)</f>
        <v>قسم الصالة</v>
      </c>
      <c r="F293" s="103" t="str">
        <f>VLOOKUP(B293, 'All Menu'!B:M, 3, 0)</f>
        <v>فتات صالة</v>
      </c>
      <c r="G293" s="90" t="s">
        <v>2231</v>
      </c>
      <c r="H293" s="188">
        <v>4499</v>
      </c>
      <c r="I293" s="110" t="str">
        <f>VLOOKUP(H293, 'RM &amp; SF'!B:H, 2, 0)</f>
        <v>فلفل حار اخضر*****</v>
      </c>
      <c r="J293" s="184" t="str">
        <f>VLOOKUP(H293, 'RM &amp; SF'!B:E, 4, 0)</f>
        <v>غم</v>
      </c>
      <c r="K293" s="12">
        <v>3</v>
      </c>
      <c r="L293" s="13">
        <f>VLOOKUP(H293, 'RM &amp; SF'!B:H, 7, 0)</f>
        <v>5.0000000000000001E-4</v>
      </c>
      <c r="M293" s="7">
        <f t="shared" si="17"/>
        <v>1.5E-3</v>
      </c>
      <c r="N293" s="4" t="s">
        <v>825</v>
      </c>
      <c r="O293" s="4">
        <f>VLOOKUP(B293, 'All Menu'!B:L, 6, 0)</f>
        <v>5.8189655172413799</v>
      </c>
      <c r="P293" s="6">
        <f>VLOOKUP(B293, 'All Menu'!B:L, 9, 0)</f>
        <v>0.77015439439883226</v>
      </c>
      <c r="Q293" s="14">
        <f>VLOOKUP(B293, 'All Menu'!B:M, 12, 0)</f>
        <v>0.86764754111071918</v>
      </c>
      <c r="R293" s="173">
        <f t="shared" si="15"/>
        <v>0</v>
      </c>
    </row>
    <row r="294" spans="1:18" ht="14" hidden="1">
      <c r="A294" s="78" t="s">
        <v>2548</v>
      </c>
      <c r="B294" s="220" t="s">
        <v>833</v>
      </c>
      <c r="C294" s="185"/>
      <c r="D294" s="103" t="str">
        <f>VLOOKUP(B294, 'All Menu'!B:M, 4, 0)</f>
        <v>فتة لسانات</v>
      </c>
      <c r="E294" s="30" t="str">
        <f>VLOOKUP(B294, 'All Menu'!B:M, 2, 0)</f>
        <v>قسم الصالة</v>
      </c>
      <c r="F294" s="103" t="str">
        <f>VLOOKUP(B294, 'All Menu'!B:M, 3, 0)</f>
        <v>فتات صالة</v>
      </c>
      <c r="G294" s="90" t="s">
        <v>2341</v>
      </c>
      <c r="H294" s="219" t="s">
        <v>706</v>
      </c>
      <c r="I294" s="110" t="str">
        <f>VLOOKUP(H294, 'RM &amp; SF'!B:H, 2, 0)</f>
        <v>لوز مقلي</v>
      </c>
      <c r="J294" s="184" t="str">
        <f>VLOOKUP(H294, 'RM &amp; SF'!B:E, 4, 0)</f>
        <v>غم</v>
      </c>
      <c r="K294" s="12">
        <v>30</v>
      </c>
      <c r="L294" s="13">
        <f>VLOOKUP(H294, 'RM &amp; SF'!B:H, 7, 0)</f>
        <v>4.1352327586206888E-3</v>
      </c>
      <c r="M294" s="7">
        <f t="shared" si="17"/>
        <v>0.12405698275862066</v>
      </c>
      <c r="N294" s="4" t="s">
        <v>825</v>
      </c>
      <c r="O294" s="4">
        <f>VLOOKUP(B294, 'All Menu'!B:L, 6, 0)</f>
        <v>5.8189655172413799</v>
      </c>
      <c r="P294" s="6">
        <f>VLOOKUP(B294, 'All Menu'!B:L, 9, 0)</f>
        <v>0.77015439439883226</v>
      </c>
      <c r="Q294" s="14">
        <f>VLOOKUP(B294, 'All Menu'!B:M, 12, 0)</f>
        <v>0.86764754111071918</v>
      </c>
      <c r="R294" s="173">
        <f t="shared" si="15"/>
        <v>0</v>
      </c>
    </row>
    <row r="295" spans="1:18" ht="14" hidden="1">
      <c r="A295" s="78" t="s">
        <v>2548</v>
      </c>
      <c r="B295" s="220" t="s">
        <v>833</v>
      </c>
      <c r="C295" s="185"/>
      <c r="D295" s="103" t="str">
        <f>VLOOKUP(B295, 'All Menu'!B:M, 4, 0)</f>
        <v>فتة لسانات</v>
      </c>
      <c r="E295" s="30" t="str">
        <f>VLOOKUP(B295, 'All Menu'!B:M, 2, 0)</f>
        <v>قسم الصالة</v>
      </c>
      <c r="F295" s="103" t="str">
        <f>VLOOKUP(B295, 'All Menu'!B:M, 3, 0)</f>
        <v>فتات صالة</v>
      </c>
      <c r="G295" s="90" t="s">
        <v>2251</v>
      </c>
      <c r="H295" s="188">
        <v>4544</v>
      </c>
      <c r="I295" s="110" t="str">
        <f>VLOOKUP(H295, 'RM &amp; SF'!B:H, 2, 0)</f>
        <v>بقدونس*****</v>
      </c>
      <c r="J295" s="184" t="str">
        <f>VLOOKUP(H295, 'RM &amp; SF'!B:E, 4, 0)</f>
        <v>غم</v>
      </c>
      <c r="K295" s="12">
        <v>300</v>
      </c>
      <c r="L295" s="13">
        <f>VLOOKUP(H295, 'RM &amp; SF'!B:H, 7, 0)</f>
        <v>7.5000000000000002E-4</v>
      </c>
      <c r="M295" s="7">
        <f t="shared" si="17"/>
        <v>0.22500000000000001</v>
      </c>
      <c r="N295" s="4" t="s">
        <v>825</v>
      </c>
      <c r="O295" s="4">
        <f>VLOOKUP(B295, 'All Menu'!B:L, 6, 0)</f>
        <v>5.8189655172413799</v>
      </c>
      <c r="P295" s="6">
        <f>VLOOKUP(B295, 'All Menu'!B:L, 9, 0)</f>
        <v>0.77015439439883226</v>
      </c>
      <c r="Q295" s="14">
        <f>VLOOKUP(B295, 'All Menu'!B:M, 12, 0)</f>
        <v>0.86764754111071918</v>
      </c>
      <c r="R295" s="173">
        <f t="shared" si="15"/>
        <v>0</v>
      </c>
    </row>
    <row r="296" spans="1:18" ht="14" hidden="1">
      <c r="A296" s="78" t="s">
        <v>2548</v>
      </c>
      <c r="B296" s="220" t="s">
        <v>833</v>
      </c>
      <c r="C296" s="185"/>
      <c r="D296" s="103" t="str">
        <f>VLOOKUP(B296, 'All Menu'!B:M, 4, 0)</f>
        <v>فتة لسانات</v>
      </c>
      <c r="E296" s="30" t="str">
        <f>VLOOKUP(B296, 'All Menu'!B:M, 2, 0)</f>
        <v>قسم الصالة</v>
      </c>
      <c r="F296" s="103" t="str">
        <f>VLOOKUP(B296, 'All Menu'!B:M, 3, 0)</f>
        <v>فتات صالة</v>
      </c>
      <c r="G296" s="90" t="s">
        <v>2203</v>
      </c>
      <c r="H296" s="188">
        <v>4152</v>
      </c>
      <c r="I296" s="110" t="str">
        <f>VLOOKUP(H296, 'RM &amp; SF'!B:H, 2, 0)</f>
        <v>ملح طعام 750غم*****</v>
      </c>
      <c r="J296" s="184" t="str">
        <f>VLOOKUP(H296, 'RM &amp; SF'!B:E, 4, 0)</f>
        <v>غم</v>
      </c>
      <c r="K296" s="12">
        <v>3</v>
      </c>
      <c r="L296" s="13">
        <f>VLOOKUP(H296, 'RM &amp; SF'!B:H, 7, 0)</f>
        <v>1.7066666666666665E-4</v>
      </c>
      <c r="M296" s="7">
        <f t="shared" si="17"/>
        <v>5.1199999999999998E-4</v>
      </c>
      <c r="N296" s="4" t="s">
        <v>825</v>
      </c>
      <c r="O296" s="4">
        <f>VLOOKUP(B296, 'All Menu'!B:L, 6, 0)</f>
        <v>5.8189655172413799</v>
      </c>
      <c r="P296" s="6">
        <f>VLOOKUP(B296, 'All Menu'!B:L, 9, 0)</f>
        <v>0.77015439439883226</v>
      </c>
      <c r="Q296" s="14">
        <f>VLOOKUP(B296, 'All Menu'!B:M, 12, 0)</f>
        <v>0.86764754111071918</v>
      </c>
      <c r="R296" s="173">
        <f t="shared" si="15"/>
        <v>0</v>
      </c>
    </row>
    <row r="297" spans="1:18" ht="14" hidden="1">
      <c r="A297" s="78" t="s">
        <v>2548</v>
      </c>
      <c r="B297" s="220" t="s">
        <v>833</v>
      </c>
      <c r="C297" s="185"/>
      <c r="D297" s="103" t="str">
        <f>VLOOKUP(B297, 'All Menu'!B:M, 4, 0)</f>
        <v>فتة لسانات</v>
      </c>
      <c r="E297" s="30" t="str">
        <f>VLOOKUP(B297, 'All Menu'!B:M, 2, 0)</f>
        <v>قسم الصالة</v>
      </c>
      <c r="F297" s="103" t="str">
        <f>VLOOKUP(B297, 'All Menu'!B:M, 3, 0)</f>
        <v>فتات صالة</v>
      </c>
      <c r="G297" s="90" t="s">
        <v>2206</v>
      </c>
      <c r="H297" s="188">
        <v>4204</v>
      </c>
      <c r="I297" s="110" t="str">
        <f>VLOOKUP(H297, 'RM &amp; SF'!B:H, 2, 0)</f>
        <v>فلفل اسود ناعم*****</v>
      </c>
      <c r="J297" s="184" t="str">
        <f>VLOOKUP(H297, 'RM &amp; SF'!B:E, 4, 0)</f>
        <v>غم</v>
      </c>
      <c r="K297" s="12">
        <v>2</v>
      </c>
      <c r="L297" s="13">
        <f>VLOOKUP(H297, 'RM &amp; SF'!B:H, 7, 0)</f>
        <v>6.8970000000000004E-3</v>
      </c>
      <c r="M297" s="7">
        <f t="shared" si="17"/>
        <v>1.3794000000000001E-2</v>
      </c>
      <c r="N297" s="4" t="s">
        <v>825</v>
      </c>
      <c r="O297" s="4">
        <f>VLOOKUP(B297, 'All Menu'!B:L, 6, 0)</f>
        <v>5.8189655172413799</v>
      </c>
      <c r="P297" s="6">
        <f>VLOOKUP(B297, 'All Menu'!B:L, 9, 0)</f>
        <v>0.77015439439883226</v>
      </c>
      <c r="Q297" s="14">
        <f>VLOOKUP(B297, 'All Menu'!B:M, 12, 0)</f>
        <v>0.86764754111071918</v>
      </c>
      <c r="R297" s="173">
        <f t="shared" si="15"/>
        <v>0</v>
      </c>
    </row>
    <row r="298" spans="1:18" ht="14" hidden="1">
      <c r="A298" s="78" t="s">
        <v>2548</v>
      </c>
      <c r="B298" s="220" t="s">
        <v>833</v>
      </c>
      <c r="C298" s="185"/>
      <c r="D298" s="103" t="str">
        <f>VLOOKUP(B298, 'All Menu'!B:M, 4, 0)</f>
        <v>فتة لسانات</v>
      </c>
      <c r="E298" s="30" t="str">
        <f>VLOOKUP(B298, 'All Menu'!B:M, 2, 0)</f>
        <v>قسم الصالة</v>
      </c>
      <c r="F298" s="103" t="str">
        <f>VLOOKUP(B298, 'All Menu'!B:M, 3, 0)</f>
        <v>فتات صالة</v>
      </c>
      <c r="G298" s="90" t="s">
        <v>2180</v>
      </c>
      <c r="H298" s="188">
        <v>4791</v>
      </c>
      <c r="I298" s="110" t="str">
        <f>VLOOKUP(H298, 'RM &amp; SF'!B:H, 2, 0)</f>
        <v>سمنة بلدية 5 كغ*****</v>
      </c>
      <c r="J298" s="184" t="str">
        <f>VLOOKUP(H298, 'RM &amp; SF'!B:E, 4, 0)</f>
        <v>غم</v>
      </c>
      <c r="K298" s="12">
        <v>20</v>
      </c>
      <c r="L298" s="13">
        <f>VLOOKUP(H298, 'RM &amp; SF'!B:H, 7, 0)</f>
        <v>8.3330000000000001E-3</v>
      </c>
      <c r="M298" s="7">
        <f t="shared" si="17"/>
        <v>0.16666</v>
      </c>
      <c r="N298" s="4" t="s">
        <v>825</v>
      </c>
      <c r="O298" s="4">
        <f>VLOOKUP(B298, 'All Menu'!B:L, 6, 0)</f>
        <v>5.8189655172413799</v>
      </c>
      <c r="P298" s="6">
        <f>VLOOKUP(B298, 'All Menu'!B:L, 9, 0)</f>
        <v>0.77015439439883226</v>
      </c>
      <c r="Q298" s="14">
        <f>VLOOKUP(B298, 'All Menu'!B:M, 12, 0)</f>
        <v>0.86764754111071918</v>
      </c>
      <c r="R298" s="173">
        <f t="shared" si="15"/>
        <v>0</v>
      </c>
    </row>
    <row r="299" spans="1:18" ht="14" hidden="1">
      <c r="A299" s="78" t="s">
        <v>2548</v>
      </c>
      <c r="B299" s="220" t="s">
        <v>833</v>
      </c>
      <c r="C299" s="185"/>
      <c r="D299" s="103" t="str">
        <f>VLOOKUP(B299, 'All Menu'!B:M, 4, 0)</f>
        <v>فتة لسانات</v>
      </c>
      <c r="E299" s="30" t="str">
        <f>VLOOKUP(B299, 'All Menu'!B:M, 2, 0)</f>
        <v>قسم الصالة</v>
      </c>
      <c r="F299" s="103" t="str">
        <f>VLOOKUP(B299, 'All Menu'!B:M, 3, 0)</f>
        <v>فتات صالة</v>
      </c>
      <c r="G299" s="90" t="s">
        <v>2255</v>
      </c>
      <c r="H299" s="188">
        <v>4573</v>
      </c>
      <c r="I299" s="110" t="str">
        <f>VLOOKUP(H299, 'RM &amp; SF'!B:H, 2, 0)</f>
        <v>عصير ليمون طازج 2.5 لتر*****</v>
      </c>
      <c r="J299" s="184" t="str">
        <f>VLOOKUP(H299, 'RM &amp; SF'!B:E, 4, 0)</f>
        <v>مل</v>
      </c>
      <c r="K299" s="12">
        <v>30</v>
      </c>
      <c r="L299" s="13">
        <f>VLOOKUP(H299, 'RM &amp; SF'!B:H, 7, 0)</f>
        <v>2.5999999999999999E-3</v>
      </c>
      <c r="M299" s="7">
        <f t="shared" si="17"/>
        <v>7.8E-2</v>
      </c>
      <c r="N299" s="4" t="s">
        <v>825</v>
      </c>
      <c r="O299" s="4">
        <f>VLOOKUP(B299, 'All Menu'!B:L, 6, 0)</f>
        <v>5.8189655172413799</v>
      </c>
      <c r="P299" s="6">
        <f>VLOOKUP(B299, 'All Menu'!B:L, 9, 0)</f>
        <v>0.77015439439883226</v>
      </c>
      <c r="Q299" s="14">
        <f>VLOOKUP(B299, 'All Menu'!B:M, 12, 0)</f>
        <v>0.86764754111071918</v>
      </c>
      <c r="R299" s="173">
        <f t="shared" si="15"/>
        <v>0</v>
      </c>
    </row>
    <row r="300" spans="1:18" ht="14" hidden="1">
      <c r="A300" s="78" t="s">
        <v>2602</v>
      </c>
      <c r="B300" s="220" t="s">
        <v>834</v>
      </c>
      <c r="C300" s="185"/>
      <c r="D300" s="103" t="str">
        <f>VLOOKUP(B300, 'All Menu'!B:M, 4, 0)</f>
        <v>فخارة كبدة دجاج</v>
      </c>
      <c r="E300" s="30" t="str">
        <f>VLOOKUP(B300, 'All Menu'!B:M, 2, 0)</f>
        <v>قسم الصالة</v>
      </c>
      <c r="F300" s="103" t="str">
        <f>VLOOKUP(B300, 'All Menu'!B:M, 3, 0)</f>
        <v>صواني وصاجيات صالة</v>
      </c>
      <c r="G300" s="90" t="s">
        <v>3058</v>
      </c>
      <c r="H300" s="188">
        <v>4584</v>
      </c>
      <c r="I300" s="110" t="str">
        <f>VLOOKUP(H300, 'RM &amp; SF'!B:H, 2, 0)</f>
        <v>كبدة دجاج طازجة*****</v>
      </c>
      <c r="J300" s="184" t="str">
        <f>VLOOKUP(H300, 'RM &amp; SF'!B:E, 4, 0)</f>
        <v>غم</v>
      </c>
      <c r="K300" s="12">
        <v>250</v>
      </c>
      <c r="L300" s="13">
        <f>VLOOKUP(H300, 'RM &amp; SF'!B:H, 7, 0)</f>
        <v>1.2999999999999999E-3</v>
      </c>
      <c r="M300" s="7">
        <f t="shared" si="17"/>
        <v>0.32500000000000001</v>
      </c>
      <c r="N300" s="4" t="s">
        <v>825</v>
      </c>
      <c r="O300" s="4">
        <f>VLOOKUP(B300, 'All Menu'!B:L, 6, 0)</f>
        <v>3.0172413793103452</v>
      </c>
      <c r="P300" s="6">
        <f>VLOOKUP(B300, 'All Menu'!B:L, 9, 0)</f>
        <v>0.48392810714285717</v>
      </c>
      <c r="Q300" s="14">
        <f>VLOOKUP(B300, 'All Menu'!B:M, 12, 0)</f>
        <v>0.8396123987755103</v>
      </c>
      <c r="R300" s="173">
        <f t="shared" si="15"/>
        <v>0</v>
      </c>
    </row>
    <row r="301" spans="1:18" ht="14" hidden="1">
      <c r="A301" s="78" t="s">
        <v>2602</v>
      </c>
      <c r="B301" s="220" t="s">
        <v>834</v>
      </c>
      <c r="C301" s="185"/>
      <c r="D301" s="103" t="str">
        <f>VLOOKUP(B301, 'All Menu'!B:M, 4, 0)</f>
        <v>فخارة كبدة دجاج</v>
      </c>
      <c r="E301" s="30" t="str">
        <f>VLOOKUP(B301, 'All Menu'!B:M, 2, 0)</f>
        <v>قسم الصالة</v>
      </c>
      <c r="F301" s="103" t="str">
        <f>VLOOKUP(B301, 'All Menu'!B:M, 3, 0)</f>
        <v>صواني وصاجيات صالة</v>
      </c>
      <c r="G301" s="90" t="s">
        <v>2203</v>
      </c>
      <c r="H301" s="188">
        <v>4152</v>
      </c>
      <c r="I301" s="110" t="str">
        <f>VLOOKUP(H301, 'RM &amp; SF'!B:H, 2, 0)</f>
        <v>ملح طعام 750غم*****</v>
      </c>
      <c r="J301" s="184" t="str">
        <f>VLOOKUP(H301, 'RM &amp; SF'!B:E, 4, 0)</f>
        <v>غم</v>
      </c>
      <c r="K301" s="12">
        <v>3</v>
      </c>
      <c r="L301" s="13">
        <f>VLOOKUP(H301, 'RM &amp; SF'!B:H, 7, 0)</f>
        <v>1.7066666666666665E-4</v>
      </c>
      <c r="M301" s="7">
        <f t="shared" si="17"/>
        <v>5.1199999999999998E-4</v>
      </c>
      <c r="N301" s="4" t="s">
        <v>825</v>
      </c>
      <c r="O301" s="4">
        <f>VLOOKUP(B301, 'All Menu'!B:L, 6, 0)</f>
        <v>3.0172413793103452</v>
      </c>
      <c r="P301" s="6">
        <f>VLOOKUP(B301, 'All Menu'!B:L, 9, 0)</f>
        <v>0.48392810714285717</v>
      </c>
      <c r="Q301" s="14">
        <f>VLOOKUP(B301, 'All Menu'!B:M, 12, 0)</f>
        <v>0.8396123987755103</v>
      </c>
      <c r="R301" s="173">
        <f t="shared" si="15"/>
        <v>0</v>
      </c>
    </row>
    <row r="302" spans="1:18" ht="14" hidden="1">
      <c r="A302" s="78" t="s">
        <v>2602</v>
      </c>
      <c r="B302" s="220" t="s">
        <v>834</v>
      </c>
      <c r="C302" s="185"/>
      <c r="D302" s="103" t="str">
        <f>VLOOKUP(B302, 'All Menu'!B:M, 4, 0)</f>
        <v>فخارة كبدة دجاج</v>
      </c>
      <c r="E302" s="30" t="str">
        <f>VLOOKUP(B302, 'All Menu'!B:M, 2, 0)</f>
        <v>قسم الصالة</v>
      </c>
      <c r="F302" s="103" t="str">
        <f>VLOOKUP(B302, 'All Menu'!B:M, 3, 0)</f>
        <v>صواني وصاجيات صالة</v>
      </c>
      <c r="G302" s="90" t="s">
        <v>2357</v>
      </c>
      <c r="H302" s="219" t="s">
        <v>744</v>
      </c>
      <c r="I302" s="110" t="str">
        <f>VLOOKUP(H302, 'RM &amp; SF'!B:H, 2, 0)</f>
        <v>زيت زيتون مكسور</v>
      </c>
      <c r="J302" s="184" t="str">
        <f>VLOOKUP(H302, 'RM &amp; SF'!B:E, 4, 0)</f>
        <v>غم</v>
      </c>
      <c r="K302" s="12">
        <v>10</v>
      </c>
      <c r="L302" s="13">
        <f>VLOOKUP(H302, 'RM &amp; SF'!B:H, 7, 0)</f>
        <v>3.3899999999999998E-3</v>
      </c>
      <c r="M302" s="7">
        <f t="shared" si="17"/>
        <v>3.39E-2</v>
      </c>
      <c r="N302" s="4" t="s">
        <v>825</v>
      </c>
      <c r="O302" s="4">
        <f>VLOOKUP(B302, 'All Menu'!B:L, 6, 0)</f>
        <v>3.0172413793103452</v>
      </c>
      <c r="P302" s="6">
        <f>VLOOKUP(B302, 'All Menu'!B:L, 9, 0)</f>
        <v>0.48392810714285717</v>
      </c>
      <c r="Q302" s="14">
        <f>VLOOKUP(B302, 'All Menu'!B:M, 12, 0)</f>
        <v>0.8396123987755103</v>
      </c>
      <c r="R302" s="173">
        <f t="shared" ref="R302:R365" si="18">C302*K302</f>
        <v>0</v>
      </c>
    </row>
    <row r="303" spans="1:18" ht="14" hidden="1">
      <c r="A303" s="78" t="s">
        <v>2602</v>
      </c>
      <c r="B303" s="220" t="s">
        <v>834</v>
      </c>
      <c r="C303" s="185"/>
      <c r="D303" s="103" t="str">
        <f>VLOOKUP(B303, 'All Menu'!B:M, 4, 0)</f>
        <v>فخارة كبدة دجاج</v>
      </c>
      <c r="E303" s="30" t="str">
        <f>VLOOKUP(B303, 'All Menu'!B:M, 2, 0)</f>
        <v>قسم الصالة</v>
      </c>
      <c r="F303" s="103" t="str">
        <f>VLOOKUP(B303, 'All Menu'!B:M, 3, 0)</f>
        <v>صواني وصاجيات صالة</v>
      </c>
      <c r="G303" s="90" t="s">
        <v>2231</v>
      </c>
      <c r="H303" s="188">
        <v>4499</v>
      </c>
      <c r="I303" s="110" t="str">
        <f>VLOOKUP(H303, 'RM &amp; SF'!B:H, 2, 0)</f>
        <v>فلفل حار اخضر*****</v>
      </c>
      <c r="J303" s="184" t="str">
        <f>VLOOKUP(H303, 'RM &amp; SF'!B:E, 4, 0)</f>
        <v>غم</v>
      </c>
      <c r="K303" s="12">
        <v>7</v>
      </c>
      <c r="L303" s="13">
        <f>VLOOKUP(H303, 'RM &amp; SF'!B:H, 7, 0)</f>
        <v>5.0000000000000001E-4</v>
      </c>
      <c r="M303" s="7">
        <f t="shared" si="17"/>
        <v>3.5000000000000001E-3</v>
      </c>
      <c r="N303" s="4" t="s">
        <v>825</v>
      </c>
      <c r="O303" s="4">
        <f>VLOOKUP(B303, 'All Menu'!B:L, 6, 0)</f>
        <v>3.0172413793103452</v>
      </c>
      <c r="P303" s="6">
        <f>VLOOKUP(B303, 'All Menu'!B:L, 9, 0)</f>
        <v>0.48392810714285717</v>
      </c>
      <c r="Q303" s="14">
        <f>VLOOKUP(B303, 'All Menu'!B:M, 12, 0)</f>
        <v>0.8396123987755103</v>
      </c>
      <c r="R303" s="173">
        <f t="shared" si="18"/>
        <v>0</v>
      </c>
    </row>
    <row r="304" spans="1:18" ht="14" hidden="1">
      <c r="A304" s="78" t="s">
        <v>2602</v>
      </c>
      <c r="B304" s="220" t="s">
        <v>834</v>
      </c>
      <c r="C304" s="185"/>
      <c r="D304" s="103" t="str">
        <f>VLOOKUP(B304, 'All Menu'!B:M, 4, 0)</f>
        <v>فخارة كبدة دجاج</v>
      </c>
      <c r="E304" s="30" t="str">
        <f>VLOOKUP(B304, 'All Menu'!B:M, 2, 0)</f>
        <v>قسم الصالة</v>
      </c>
      <c r="F304" s="103" t="str">
        <f>VLOOKUP(B304, 'All Menu'!B:M, 3, 0)</f>
        <v>صواني وصاجيات صالة</v>
      </c>
      <c r="G304" s="90" t="s">
        <v>2234</v>
      </c>
      <c r="H304" s="188">
        <v>4503</v>
      </c>
      <c r="I304" s="110" t="str">
        <f>VLOOKUP(H304, 'RM &amp; SF'!B:H, 2, 0)</f>
        <v>بصل ناشف دفش*****</v>
      </c>
      <c r="J304" s="184" t="str">
        <f>VLOOKUP(H304, 'RM &amp; SF'!B:E, 4, 0)</f>
        <v>غم</v>
      </c>
      <c r="K304" s="12">
        <v>70</v>
      </c>
      <c r="L304" s="13">
        <f>VLOOKUP(H304, 'RM &amp; SF'!B:H, 7, 0)</f>
        <v>2.5000000000000001E-4</v>
      </c>
      <c r="M304" s="7">
        <f t="shared" si="17"/>
        <v>1.7500000000000002E-2</v>
      </c>
      <c r="N304" s="4" t="s">
        <v>825</v>
      </c>
      <c r="O304" s="4">
        <f>VLOOKUP(B304, 'All Menu'!B:L, 6, 0)</f>
        <v>3.0172413793103452</v>
      </c>
      <c r="P304" s="6">
        <f>VLOOKUP(B304, 'All Menu'!B:L, 9, 0)</f>
        <v>0.48392810714285717</v>
      </c>
      <c r="Q304" s="14">
        <f>VLOOKUP(B304, 'All Menu'!B:M, 12, 0)</f>
        <v>0.8396123987755103</v>
      </c>
      <c r="R304" s="173">
        <f t="shared" si="18"/>
        <v>0</v>
      </c>
    </row>
    <row r="305" spans="1:18" ht="14" hidden="1">
      <c r="A305" s="78" t="s">
        <v>2602</v>
      </c>
      <c r="B305" s="220" t="s">
        <v>834</v>
      </c>
      <c r="C305" s="185"/>
      <c r="D305" s="103" t="str">
        <f>VLOOKUP(B305, 'All Menu'!B:M, 4, 0)</f>
        <v>فخارة كبدة دجاج</v>
      </c>
      <c r="E305" s="30" t="str">
        <f>VLOOKUP(B305, 'All Menu'!B:M, 2, 0)</f>
        <v>قسم الصالة</v>
      </c>
      <c r="F305" s="103" t="str">
        <f>VLOOKUP(B305, 'All Menu'!B:M, 3, 0)</f>
        <v>صواني وصاجيات صالة</v>
      </c>
      <c r="G305" s="90" t="s">
        <v>2260</v>
      </c>
      <c r="H305" s="188">
        <v>4160</v>
      </c>
      <c r="I305" s="110" t="str">
        <f>VLOOKUP(H305, 'RM &amp; SF'!B:H, 2, 0)</f>
        <v>زيت صويا 18 لتر*****</v>
      </c>
      <c r="J305" s="184" t="str">
        <f>VLOOKUP(H305, 'RM &amp; SF'!B:E, 4, 0)</f>
        <v>مل</v>
      </c>
      <c r="K305" s="12">
        <v>15</v>
      </c>
      <c r="L305" s="13">
        <f>VLOOKUP(H305, 'RM &amp; SF'!B:H, 7, 0)</f>
        <v>1.335E-3</v>
      </c>
      <c r="M305" s="7">
        <f t="shared" si="17"/>
        <v>2.0025000000000001E-2</v>
      </c>
      <c r="N305" s="4" t="s">
        <v>825</v>
      </c>
      <c r="O305" s="4">
        <f>VLOOKUP(B305, 'All Menu'!B:L, 6, 0)</f>
        <v>3.0172413793103452</v>
      </c>
      <c r="P305" s="6">
        <f>VLOOKUP(B305, 'All Menu'!B:L, 9, 0)</f>
        <v>0.48392810714285717</v>
      </c>
      <c r="Q305" s="14">
        <f>VLOOKUP(B305, 'All Menu'!B:M, 12, 0)</f>
        <v>0.8396123987755103</v>
      </c>
      <c r="R305" s="173">
        <f t="shared" si="18"/>
        <v>0</v>
      </c>
    </row>
    <row r="306" spans="1:18" ht="14" hidden="1">
      <c r="A306" s="78" t="s">
        <v>2602</v>
      </c>
      <c r="B306" s="220" t="s">
        <v>834</v>
      </c>
      <c r="C306" s="185"/>
      <c r="D306" s="103" t="str">
        <f>VLOOKUP(B306, 'All Menu'!B:M, 4, 0)</f>
        <v>فخارة كبدة دجاج</v>
      </c>
      <c r="E306" s="30" t="str">
        <f>VLOOKUP(B306, 'All Menu'!B:M, 2, 0)</f>
        <v>قسم الصالة</v>
      </c>
      <c r="F306" s="103" t="str">
        <f>VLOOKUP(B306, 'All Menu'!B:M, 3, 0)</f>
        <v>صواني وصاجيات صالة</v>
      </c>
      <c r="G306" s="90" t="s">
        <v>2345</v>
      </c>
      <c r="H306" s="219" t="s">
        <v>714</v>
      </c>
      <c r="I306" s="110" t="str">
        <f>VLOOKUP(H306, 'RM &amp; SF'!B:H, 2, 0)</f>
        <v>ثوم وزيت</v>
      </c>
      <c r="J306" s="184" t="str">
        <f>VLOOKUP(H306, 'RM &amp; SF'!B:E, 4, 0)</f>
        <v>غم</v>
      </c>
      <c r="K306" s="12">
        <v>3</v>
      </c>
      <c r="L306" s="13">
        <f>VLOOKUP(H306, 'RM &amp; SF'!B:H, 7, 0)</f>
        <v>3.2339999999999999E-3</v>
      </c>
      <c r="M306" s="7">
        <f t="shared" si="17"/>
        <v>9.7019999999999988E-3</v>
      </c>
      <c r="N306" s="4" t="s">
        <v>825</v>
      </c>
      <c r="O306" s="4">
        <f>VLOOKUP(B306, 'All Menu'!B:L, 6, 0)</f>
        <v>3.0172413793103452</v>
      </c>
      <c r="P306" s="6">
        <f>VLOOKUP(B306, 'All Menu'!B:L, 9, 0)</f>
        <v>0.48392810714285717</v>
      </c>
      <c r="Q306" s="14">
        <f>VLOOKUP(B306, 'All Menu'!B:M, 12, 0)</f>
        <v>0.8396123987755103</v>
      </c>
      <c r="R306" s="173">
        <f t="shared" si="18"/>
        <v>0</v>
      </c>
    </row>
    <row r="307" spans="1:18" ht="14" hidden="1">
      <c r="A307" s="78" t="s">
        <v>2602</v>
      </c>
      <c r="B307" s="220" t="s">
        <v>834</v>
      </c>
      <c r="C307" s="185"/>
      <c r="D307" s="103" t="str">
        <f>VLOOKUP(B307, 'All Menu'!B:M, 4, 0)</f>
        <v>فخارة كبدة دجاج</v>
      </c>
      <c r="E307" s="30" t="str">
        <f>VLOOKUP(B307, 'All Menu'!B:M, 2, 0)</f>
        <v>قسم الصالة</v>
      </c>
      <c r="F307" s="103" t="str">
        <f>VLOOKUP(B307, 'All Menu'!B:M, 3, 0)</f>
        <v>صواني وصاجيات صالة</v>
      </c>
      <c r="G307" s="90" t="s">
        <v>2344</v>
      </c>
      <c r="H307" s="219" t="s">
        <v>712</v>
      </c>
      <c r="I307" s="110" t="str">
        <f>VLOOKUP(H307, 'RM &amp; SF'!B:H, 2, 0)</f>
        <v>دقة</v>
      </c>
      <c r="J307" s="184" t="str">
        <f>VLOOKUP(H307, 'RM &amp; SF'!B:E, 4, 0)</f>
        <v>غم</v>
      </c>
      <c r="K307" s="12">
        <v>15</v>
      </c>
      <c r="L307" s="13">
        <f>VLOOKUP(H307, 'RM &amp; SF'!B:H, 7, 0)</f>
        <v>4.91927380952381E-3</v>
      </c>
      <c r="M307" s="7">
        <f t="shared" si="17"/>
        <v>7.3789107142857149E-2</v>
      </c>
      <c r="N307" s="4" t="s">
        <v>825</v>
      </c>
      <c r="O307" s="4">
        <f>VLOOKUP(B307, 'All Menu'!B:L, 6, 0)</f>
        <v>3.0172413793103452</v>
      </c>
      <c r="P307" s="6">
        <f>VLOOKUP(B307, 'All Menu'!B:L, 9, 0)</f>
        <v>0.48392810714285717</v>
      </c>
      <c r="Q307" s="14">
        <f>VLOOKUP(B307, 'All Menu'!B:M, 12, 0)</f>
        <v>0.8396123987755103</v>
      </c>
      <c r="R307" s="173">
        <f t="shared" si="18"/>
        <v>0</v>
      </c>
    </row>
    <row r="308" spans="1:18" ht="14" hidden="1">
      <c r="A308" s="78" t="s">
        <v>2549</v>
      </c>
      <c r="B308" s="220" t="s">
        <v>835</v>
      </c>
      <c r="C308" s="185"/>
      <c r="D308" s="103" t="str">
        <f>VLOOKUP(B308, 'All Menu'!B:M, 4, 0)</f>
        <v>فتة يالانجي</v>
      </c>
      <c r="E308" s="30" t="str">
        <f>VLOOKUP(B308, 'All Menu'!B:M, 2, 0)</f>
        <v>قسم الصالة</v>
      </c>
      <c r="F308" s="103" t="str">
        <f>VLOOKUP(B308, 'All Menu'!B:M, 3, 0)</f>
        <v>فتات صالة</v>
      </c>
      <c r="G308" s="90" t="s">
        <v>2420</v>
      </c>
      <c r="H308" s="219" t="s">
        <v>614</v>
      </c>
      <c r="I308" s="110" t="str">
        <f>VLOOKUP(H308, 'RM &amp; SF'!B:H, 2, 0)</f>
        <v>طبخة فتة يالنجي</v>
      </c>
      <c r="J308" s="184" t="str">
        <f>VLOOKUP(H308, 'RM &amp; SF'!B:E, 4, 0)</f>
        <v>غم</v>
      </c>
      <c r="K308" s="12">
        <v>250</v>
      </c>
      <c r="L308" s="13">
        <f>VLOOKUP(H308, 'RM &amp; SF'!B:H, 7, 0)</f>
        <v>1.02600183908046E-3</v>
      </c>
      <c r="M308" s="7">
        <f t="shared" si="17"/>
        <v>0.25650045977011499</v>
      </c>
      <c r="N308" s="4" t="s">
        <v>825</v>
      </c>
      <c r="O308" s="4">
        <f>VLOOKUP(B308, 'All Menu'!B:L, 6, 0)</f>
        <v>4.0948275862068968</v>
      </c>
      <c r="P308" s="6">
        <f>VLOOKUP(B308, 'All Menu'!B:L, 9, 0)</f>
        <v>0.77612959771027179</v>
      </c>
      <c r="Q308" s="14">
        <f>VLOOKUP(B308, 'All Menu'!B:M, 12, 0)</f>
        <v>0.81046098245391263</v>
      </c>
      <c r="R308" s="173">
        <f t="shared" si="18"/>
        <v>0</v>
      </c>
    </row>
    <row r="309" spans="1:18" ht="14" hidden="1">
      <c r="A309" s="78" t="s">
        <v>2549</v>
      </c>
      <c r="B309" s="220" t="s">
        <v>835</v>
      </c>
      <c r="C309" s="185"/>
      <c r="D309" s="103" t="str">
        <f>VLOOKUP(B309, 'All Menu'!B:M, 4, 0)</f>
        <v>فتة يالانجي</v>
      </c>
      <c r="E309" s="30" t="str">
        <f>VLOOKUP(B309, 'All Menu'!B:M, 2, 0)</f>
        <v>قسم الصالة</v>
      </c>
      <c r="F309" s="103" t="str">
        <f>VLOOKUP(B309, 'All Menu'!B:M, 3, 0)</f>
        <v>فتات صالة</v>
      </c>
      <c r="G309" s="90" t="s">
        <v>2330</v>
      </c>
      <c r="H309" s="219" t="s">
        <v>490</v>
      </c>
      <c r="I309" s="110" t="str">
        <f>VLOOKUP(H309, 'RM &amp; SF'!B:H, 2, 0)</f>
        <v>خبز مقلي</v>
      </c>
      <c r="J309" s="184" t="str">
        <f>VLOOKUP(H309, 'RM &amp; SF'!B:E, 4, 0)</f>
        <v>غم</v>
      </c>
      <c r="K309" s="12">
        <v>40</v>
      </c>
      <c r="L309" s="13">
        <f>VLOOKUP(H309, 'RM &amp; SF'!B:H, 7, 0)</f>
        <v>2.2857142857142859E-4</v>
      </c>
      <c r="M309" s="7">
        <f t="shared" si="17"/>
        <v>9.1428571428571435E-3</v>
      </c>
      <c r="N309" s="4" t="s">
        <v>825</v>
      </c>
      <c r="O309" s="4">
        <f>VLOOKUP(B309, 'All Menu'!B:L, 6, 0)</f>
        <v>4.0948275862068968</v>
      </c>
      <c r="P309" s="6">
        <f>VLOOKUP(B309, 'All Menu'!B:L, 9, 0)</f>
        <v>0.77612959771027179</v>
      </c>
      <c r="Q309" s="14">
        <f>VLOOKUP(B309, 'All Menu'!B:M, 12, 0)</f>
        <v>0.81046098245391263</v>
      </c>
      <c r="R309" s="173">
        <f t="shared" si="18"/>
        <v>0</v>
      </c>
    </row>
    <row r="310" spans="1:18" ht="14" hidden="1">
      <c r="A310" s="78" t="s">
        <v>2549</v>
      </c>
      <c r="B310" s="220" t="s">
        <v>835</v>
      </c>
      <c r="C310" s="185"/>
      <c r="D310" s="103" t="str">
        <f>VLOOKUP(B310, 'All Menu'!B:M, 4, 0)</f>
        <v>فتة يالانجي</v>
      </c>
      <c r="E310" s="30" t="str">
        <f>VLOOKUP(B310, 'All Menu'!B:M, 2, 0)</f>
        <v>قسم الصالة</v>
      </c>
      <c r="F310" s="103" t="str">
        <f>VLOOKUP(B310, 'All Menu'!B:M, 3, 0)</f>
        <v>فتات صالة</v>
      </c>
      <c r="G310" s="90" t="s">
        <v>2430</v>
      </c>
      <c r="H310" s="219" t="s">
        <v>636</v>
      </c>
      <c r="I310" s="110" t="str">
        <f>VLOOKUP(H310, 'RM &amp; SF'!B:H, 2, 0)</f>
        <v>صوص طحينية للصواني</v>
      </c>
      <c r="J310" s="184" t="str">
        <f>VLOOKUP(H310, 'RM &amp; SF'!B:E, 4, 0)</f>
        <v>غم</v>
      </c>
      <c r="K310" s="12">
        <v>120</v>
      </c>
      <c r="L310" s="13">
        <f>VLOOKUP(H310, 'RM &amp; SF'!B:H, 7, 0)</f>
        <v>1.0115232451499119E-3</v>
      </c>
      <c r="M310" s="7">
        <f t="shared" si="17"/>
        <v>0.12138278941798944</v>
      </c>
      <c r="N310" s="4" t="s">
        <v>825</v>
      </c>
      <c r="O310" s="4">
        <f>VLOOKUP(B310, 'All Menu'!B:L, 6, 0)</f>
        <v>4.0948275862068968</v>
      </c>
      <c r="P310" s="6">
        <f>VLOOKUP(B310, 'All Menu'!B:L, 9, 0)</f>
        <v>0.77612959771027179</v>
      </c>
      <c r="Q310" s="14">
        <f>VLOOKUP(B310, 'All Menu'!B:M, 12, 0)</f>
        <v>0.81046098245391263</v>
      </c>
      <c r="R310" s="173">
        <f t="shared" si="18"/>
        <v>0</v>
      </c>
    </row>
    <row r="311" spans="1:18" ht="14" hidden="1">
      <c r="A311" s="78" t="s">
        <v>2549</v>
      </c>
      <c r="B311" s="220" t="s">
        <v>835</v>
      </c>
      <c r="C311" s="185"/>
      <c r="D311" s="103" t="str">
        <f>VLOOKUP(B311, 'All Menu'!B:M, 4, 0)</f>
        <v>فتة يالانجي</v>
      </c>
      <c r="E311" s="30" t="str">
        <f>VLOOKUP(B311, 'All Menu'!B:M, 2, 0)</f>
        <v>قسم الصالة</v>
      </c>
      <c r="F311" s="103" t="str">
        <f>VLOOKUP(B311, 'All Menu'!B:M, 3, 0)</f>
        <v>فتات صالة</v>
      </c>
      <c r="G311" s="90" t="s">
        <v>2341</v>
      </c>
      <c r="H311" s="219" t="s">
        <v>706</v>
      </c>
      <c r="I311" s="110" t="str">
        <f>VLOOKUP(H311, 'RM &amp; SF'!B:H, 2, 0)</f>
        <v>لوز مقلي</v>
      </c>
      <c r="J311" s="184" t="str">
        <f>VLOOKUP(H311, 'RM &amp; SF'!B:E, 4, 0)</f>
        <v>غم</v>
      </c>
      <c r="K311" s="12">
        <v>15</v>
      </c>
      <c r="L311" s="13">
        <f>VLOOKUP(H311, 'RM &amp; SF'!B:H, 7, 0)</f>
        <v>4.1352327586206888E-3</v>
      </c>
      <c r="M311" s="7">
        <f t="shared" si="17"/>
        <v>6.2028491379310331E-2</v>
      </c>
      <c r="N311" s="4" t="s">
        <v>825</v>
      </c>
      <c r="O311" s="4">
        <f>VLOOKUP(B311, 'All Menu'!B:L, 6, 0)</f>
        <v>4.0948275862068968</v>
      </c>
      <c r="P311" s="6">
        <f>VLOOKUP(B311, 'All Menu'!B:L, 9, 0)</f>
        <v>0.77612959771027179</v>
      </c>
      <c r="Q311" s="14">
        <f>VLOOKUP(B311, 'All Menu'!B:M, 12, 0)</f>
        <v>0.81046098245391263</v>
      </c>
      <c r="R311" s="173">
        <f t="shared" si="18"/>
        <v>0</v>
      </c>
    </row>
    <row r="312" spans="1:18" ht="14" hidden="1">
      <c r="A312" s="78" t="s">
        <v>2549</v>
      </c>
      <c r="B312" s="220" t="s">
        <v>835</v>
      </c>
      <c r="C312" s="185"/>
      <c r="D312" s="103" t="str">
        <f>VLOOKUP(B312, 'All Menu'!B:M, 4, 0)</f>
        <v>فتة يالانجي</v>
      </c>
      <c r="E312" s="30" t="str">
        <f>VLOOKUP(B312, 'All Menu'!B:M, 2, 0)</f>
        <v>قسم الصالة</v>
      </c>
      <c r="F312" s="103" t="str">
        <f>VLOOKUP(B312, 'All Menu'!B:M, 3, 0)</f>
        <v>فتات صالة</v>
      </c>
      <c r="G312" s="90" t="s">
        <v>2251</v>
      </c>
      <c r="H312" s="188">
        <v>4544</v>
      </c>
      <c r="I312" s="110" t="str">
        <f>VLOOKUP(H312, 'RM &amp; SF'!B:H, 2, 0)</f>
        <v>بقدونس*****</v>
      </c>
      <c r="J312" s="184" t="str">
        <f>VLOOKUP(H312, 'RM &amp; SF'!B:E, 4, 0)</f>
        <v>غم</v>
      </c>
      <c r="K312" s="12">
        <v>100</v>
      </c>
      <c r="L312" s="13">
        <f>VLOOKUP(H312, 'RM &amp; SF'!B:H, 7, 0)</f>
        <v>7.5000000000000002E-4</v>
      </c>
      <c r="M312" s="7">
        <f t="shared" si="17"/>
        <v>7.4999999999999997E-2</v>
      </c>
      <c r="N312" s="4" t="s">
        <v>825</v>
      </c>
      <c r="O312" s="4">
        <f>VLOOKUP(B312, 'All Menu'!B:L, 6, 0)</f>
        <v>4.0948275862068968</v>
      </c>
      <c r="P312" s="6">
        <f>VLOOKUP(B312, 'All Menu'!B:L, 9, 0)</f>
        <v>0.77612959771027179</v>
      </c>
      <c r="Q312" s="14">
        <f>VLOOKUP(B312, 'All Menu'!B:M, 12, 0)</f>
        <v>0.81046098245391263</v>
      </c>
      <c r="R312" s="173">
        <f t="shared" si="18"/>
        <v>0</v>
      </c>
    </row>
    <row r="313" spans="1:18" ht="14" hidden="1">
      <c r="A313" s="78" t="s">
        <v>2549</v>
      </c>
      <c r="B313" s="220" t="s">
        <v>835</v>
      </c>
      <c r="C313" s="185"/>
      <c r="D313" s="103" t="str">
        <f>VLOOKUP(B313, 'All Menu'!B:M, 4, 0)</f>
        <v>فتة يالانجي</v>
      </c>
      <c r="E313" s="30" t="str">
        <f>VLOOKUP(B313, 'All Menu'!B:M, 2, 0)</f>
        <v>قسم الصالة</v>
      </c>
      <c r="F313" s="103" t="str">
        <f>VLOOKUP(B313, 'All Menu'!B:M, 3, 0)</f>
        <v>فتات صالة</v>
      </c>
      <c r="G313" s="90" t="s">
        <v>2180</v>
      </c>
      <c r="H313" s="188">
        <v>4791</v>
      </c>
      <c r="I313" s="110" t="str">
        <f>VLOOKUP(H313, 'RM &amp; SF'!B:H, 2, 0)</f>
        <v>سمنة بلدية 5 كغ*****</v>
      </c>
      <c r="J313" s="184" t="str">
        <f>VLOOKUP(H313, 'RM &amp; SF'!B:E, 4, 0)</f>
        <v>غم</v>
      </c>
      <c r="K313" s="12">
        <v>25</v>
      </c>
      <c r="L313" s="13">
        <f>VLOOKUP(H313, 'RM &amp; SF'!B:H, 7, 0)</f>
        <v>8.3330000000000001E-3</v>
      </c>
      <c r="M313" s="7">
        <f t="shared" si="17"/>
        <v>0.20832500000000001</v>
      </c>
      <c r="N313" s="4" t="s">
        <v>825</v>
      </c>
      <c r="O313" s="4">
        <f>VLOOKUP(B313, 'All Menu'!B:L, 6, 0)</f>
        <v>4.0948275862068968</v>
      </c>
      <c r="P313" s="6">
        <f>VLOOKUP(B313, 'All Menu'!B:L, 9, 0)</f>
        <v>0.77612959771027179</v>
      </c>
      <c r="Q313" s="14">
        <f>VLOOKUP(B313, 'All Menu'!B:M, 12, 0)</f>
        <v>0.81046098245391263</v>
      </c>
      <c r="R313" s="173">
        <f t="shared" si="18"/>
        <v>0</v>
      </c>
    </row>
    <row r="314" spans="1:18" ht="14" hidden="1">
      <c r="A314" s="78" t="s">
        <v>2549</v>
      </c>
      <c r="B314" s="220" t="s">
        <v>835</v>
      </c>
      <c r="C314" s="185"/>
      <c r="D314" s="103" t="str">
        <f>VLOOKUP(B314, 'All Menu'!B:M, 4, 0)</f>
        <v>فتة يالانجي</v>
      </c>
      <c r="E314" s="30" t="str">
        <f>VLOOKUP(B314, 'All Menu'!B:M, 2, 0)</f>
        <v>قسم الصالة</v>
      </c>
      <c r="F314" s="103" t="str">
        <f>VLOOKUP(B314, 'All Menu'!B:M, 3, 0)</f>
        <v>فتات صالة</v>
      </c>
      <c r="G314" s="90" t="s">
        <v>2244</v>
      </c>
      <c r="H314" s="188">
        <v>4522</v>
      </c>
      <c r="I314" s="110" t="str">
        <f>VLOOKUP(H314, 'RM &amp; SF'!B:H, 2, 0)</f>
        <v>رمان*****</v>
      </c>
      <c r="J314" s="184" t="str">
        <f>VLOOKUP(H314, 'RM &amp; SF'!B:E, 4, 0)</f>
        <v>غم</v>
      </c>
      <c r="K314" s="12">
        <v>25</v>
      </c>
      <c r="L314" s="13">
        <f>VLOOKUP(H314, 'RM &amp; SF'!B:H, 7, 0)</f>
        <v>1.75E-3</v>
      </c>
      <c r="M314" s="7">
        <f t="shared" si="17"/>
        <v>4.3750000000000004E-2</v>
      </c>
      <c r="N314" s="4" t="s">
        <v>825</v>
      </c>
      <c r="O314" s="4">
        <f>VLOOKUP(B314, 'All Menu'!B:L, 6, 0)</f>
        <v>4.0948275862068968</v>
      </c>
      <c r="P314" s="6">
        <f>VLOOKUP(B314, 'All Menu'!B:L, 9, 0)</f>
        <v>0.77612959771027179</v>
      </c>
      <c r="Q314" s="14">
        <f>VLOOKUP(B314, 'All Menu'!B:M, 12, 0)</f>
        <v>0.81046098245391263</v>
      </c>
      <c r="R314" s="173">
        <f t="shared" si="18"/>
        <v>0</v>
      </c>
    </row>
    <row r="315" spans="1:18" ht="14" hidden="1">
      <c r="A315" s="78" t="s">
        <v>2594</v>
      </c>
      <c r="B315" s="220" t="s">
        <v>836</v>
      </c>
      <c r="C315" s="185"/>
      <c r="D315" s="103" t="str">
        <f>VLOOKUP(B315, 'All Menu'!B:M, 4, 0)</f>
        <v>كفتة طحينية</v>
      </c>
      <c r="E315" s="30" t="str">
        <f>VLOOKUP(B315, 'All Menu'!B:M, 2, 0)</f>
        <v>قسم الصالة</v>
      </c>
      <c r="F315" s="103" t="str">
        <f>VLOOKUP(B315, 'All Menu'!B:M, 3, 0)</f>
        <v>صواني وصاجيات صالة</v>
      </c>
      <c r="G315" s="90" t="s">
        <v>2414</v>
      </c>
      <c r="H315" s="219" t="s">
        <v>485</v>
      </c>
      <c r="I315" s="110" t="str">
        <f>VLOOKUP(H315, 'RM &amp; SF'!B:H, 2, 0)</f>
        <v>كفتة للصواني</v>
      </c>
      <c r="J315" s="184" t="str">
        <f>VLOOKUP(H315, 'RM &amp; SF'!B:E, 4, 0)</f>
        <v>غم</v>
      </c>
      <c r="K315" s="12">
        <v>250</v>
      </c>
      <c r="L315" s="13">
        <f>VLOOKUP(H315, 'RM &amp; SF'!B:H, 7, 0)</f>
        <v>6.7141943181818174E-3</v>
      </c>
      <c r="M315" s="7">
        <f t="shared" si="17"/>
        <v>1.6785485795454544</v>
      </c>
      <c r="N315" s="4" t="s">
        <v>825</v>
      </c>
      <c r="O315" s="4">
        <f>VLOOKUP(B315, 'All Menu'!B:L, 6, 0)</f>
        <v>4.0948275862068968</v>
      </c>
      <c r="P315" s="6">
        <f>VLOOKUP(B315, 'All Menu'!B:L, 9, 0)</f>
        <v>2.0160055530904279</v>
      </c>
      <c r="Q315" s="14">
        <f>VLOOKUP(B315, 'All Menu'!B:M, 12, 0)</f>
        <v>0.50767022282423235</v>
      </c>
      <c r="R315" s="173">
        <f t="shared" si="18"/>
        <v>0</v>
      </c>
    </row>
    <row r="316" spans="1:18" ht="14" hidden="1">
      <c r="A316" s="78" t="s">
        <v>2594</v>
      </c>
      <c r="B316" s="220" t="s">
        <v>836</v>
      </c>
      <c r="C316" s="185"/>
      <c r="D316" s="103" t="str">
        <f>VLOOKUP(B316, 'All Menu'!B:M, 4, 0)</f>
        <v>كفتة طحينية</v>
      </c>
      <c r="E316" s="30" t="str">
        <f>VLOOKUP(B316, 'All Menu'!B:M, 2, 0)</f>
        <v>قسم الصالة</v>
      </c>
      <c r="F316" s="103" t="str">
        <f>VLOOKUP(B316, 'All Menu'!B:M, 3, 0)</f>
        <v>صواني وصاجيات صالة</v>
      </c>
      <c r="G316" s="90" t="s">
        <v>2430</v>
      </c>
      <c r="H316" s="219" t="s">
        <v>636</v>
      </c>
      <c r="I316" s="110" t="str">
        <f>VLOOKUP(H316, 'RM &amp; SF'!B:H, 2, 0)</f>
        <v>صوص طحينية للصواني</v>
      </c>
      <c r="J316" s="184" t="str">
        <f>VLOOKUP(H316, 'RM &amp; SF'!B:E, 4, 0)</f>
        <v>غم</v>
      </c>
      <c r="K316" s="12">
        <v>300</v>
      </c>
      <c r="L316" s="13">
        <f>VLOOKUP(H316, 'RM &amp; SF'!B:H, 7, 0)</f>
        <v>1.0115232451499119E-3</v>
      </c>
      <c r="M316" s="7">
        <f t="shared" si="17"/>
        <v>0.30345697354497358</v>
      </c>
      <c r="N316" s="4" t="s">
        <v>825</v>
      </c>
      <c r="O316" s="4">
        <f>VLOOKUP(B316, 'All Menu'!B:L, 6, 0)</f>
        <v>4.0948275862068968</v>
      </c>
      <c r="P316" s="6">
        <f>VLOOKUP(B316, 'All Menu'!B:L, 9, 0)</f>
        <v>2.0160055530904279</v>
      </c>
      <c r="Q316" s="14">
        <f>VLOOKUP(B316, 'All Menu'!B:M, 12, 0)</f>
        <v>0.50767022282423235</v>
      </c>
      <c r="R316" s="173">
        <f t="shared" si="18"/>
        <v>0</v>
      </c>
    </row>
    <row r="317" spans="1:18" ht="14" hidden="1">
      <c r="A317" s="78" t="s">
        <v>2594</v>
      </c>
      <c r="B317" s="220" t="s">
        <v>836</v>
      </c>
      <c r="C317" s="185"/>
      <c r="D317" s="103" t="str">
        <f>VLOOKUP(B317, 'All Menu'!B:M, 4, 0)</f>
        <v>كفتة طحينية</v>
      </c>
      <c r="E317" s="30" t="str">
        <f>VLOOKUP(B317, 'All Menu'!B:M, 2, 0)</f>
        <v>قسم الصالة</v>
      </c>
      <c r="F317" s="103" t="str">
        <f>VLOOKUP(B317, 'All Menu'!B:M, 3, 0)</f>
        <v>صواني وصاجيات صالة</v>
      </c>
      <c r="G317" s="90" t="s">
        <v>2231</v>
      </c>
      <c r="H317" s="188">
        <v>4499</v>
      </c>
      <c r="I317" s="110" t="str">
        <f>VLOOKUP(H317, 'RM &amp; SF'!B:H, 2, 0)</f>
        <v>فلفل حار اخضر*****</v>
      </c>
      <c r="J317" s="184" t="str">
        <f>VLOOKUP(H317, 'RM &amp; SF'!B:E, 4, 0)</f>
        <v>غم</v>
      </c>
      <c r="K317" s="12">
        <v>20</v>
      </c>
      <c r="L317" s="13">
        <f>VLOOKUP(H317, 'RM &amp; SF'!B:H, 7, 0)</f>
        <v>5.0000000000000001E-4</v>
      </c>
      <c r="M317" s="7">
        <f t="shared" si="17"/>
        <v>0.01</v>
      </c>
      <c r="N317" s="4" t="s">
        <v>825</v>
      </c>
      <c r="O317" s="4">
        <f>VLOOKUP(B317, 'All Menu'!B:L, 6, 0)</f>
        <v>4.0948275862068968</v>
      </c>
      <c r="P317" s="6">
        <f>VLOOKUP(B317, 'All Menu'!B:L, 9, 0)</f>
        <v>2.0160055530904279</v>
      </c>
      <c r="Q317" s="14">
        <f>VLOOKUP(B317, 'All Menu'!B:M, 12, 0)</f>
        <v>0.50767022282423235</v>
      </c>
      <c r="R317" s="173">
        <f t="shared" si="18"/>
        <v>0</v>
      </c>
    </row>
    <row r="318" spans="1:18" ht="14" hidden="1">
      <c r="A318" s="78" t="s">
        <v>2594</v>
      </c>
      <c r="B318" s="220" t="s">
        <v>836</v>
      </c>
      <c r="C318" s="185"/>
      <c r="D318" s="103" t="str">
        <f>VLOOKUP(B318, 'All Menu'!B:M, 4, 0)</f>
        <v>كفتة طحينية</v>
      </c>
      <c r="E318" s="30" t="str">
        <f>VLOOKUP(B318, 'All Menu'!B:M, 2, 0)</f>
        <v>قسم الصالة</v>
      </c>
      <c r="F318" s="103" t="str">
        <f>VLOOKUP(B318, 'All Menu'!B:M, 3, 0)</f>
        <v>صواني وصاجيات صالة</v>
      </c>
      <c r="G318" s="90" t="s">
        <v>2230</v>
      </c>
      <c r="H318" s="188">
        <v>4497</v>
      </c>
      <c r="I318" s="110" t="str">
        <f>VLOOKUP(H318, 'RM &amp; SF'!B:H, 2, 0)</f>
        <v>بطاطا*****</v>
      </c>
      <c r="J318" s="184" t="str">
        <f>VLOOKUP(H318, 'RM &amp; SF'!B:E, 4, 0)</f>
        <v>غم</v>
      </c>
      <c r="K318" s="12">
        <v>60</v>
      </c>
      <c r="L318" s="13">
        <f>VLOOKUP(H318, 'RM &amp; SF'!B:H, 7, 0)</f>
        <v>4.0000000000000002E-4</v>
      </c>
      <c r="M318" s="7">
        <f t="shared" si="17"/>
        <v>2.4E-2</v>
      </c>
      <c r="N318" s="4" t="s">
        <v>825</v>
      </c>
      <c r="O318" s="4">
        <f>VLOOKUP(B318, 'All Menu'!B:L, 6, 0)</f>
        <v>4.0948275862068968</v>
      </c>
      <c r="P318" s="6">
        <f>VLOOKUP(B318, 'All Menu'!B:L, 9, 0)</f>
        <v>2.0160055530904279</v>
      </c>
      <c r="Q318" s="14">
        <f>VLOOKUP(B318, 'All Menu'!B:M, 12, 0)</f>
        <v>0.50767022282423235</v>
      </c>
      <c r="R318" s="173">
        <f t="shared" si="18"/>
        <v>0</v>
      </c>
    </row>
    <row r="319" spans="1:18" ht="14" hidden="1">
      <c r="A319" s="78" t="s">
        <v>2601</v>
      </c>
      <c r="B319" s="220" t="s">
        <v>837</v>
      </c>
      <c r="C319" s="185"/>
      <c r="D319" s="103" t="str">
        <f>VLOOKUP(B319, 'All Menu'!B:M, 4, 0)</f>
        <v>صاجية بندورة بلحمة</v>
      </c>
      <c r="E319" s="30" t="str">
        <f>VLOOKUP(B319, 'All Menu'!B:M, 2, 0)</f>
        <v>قسم الصالة</v>
      </c>
      <c r="F319" s="103" t="str">
        <f>VLOOKUP(B319, 'All Menu'!B:M, 3, 0)</f>
        <v>صواني وصاجيات صالة</v>
      </c>
      <c r="G319" s="90" t="s">
        <v>2309</v>
      </c>
      <c r="H319" s="188">
        <v>4491</v>
      </c>
      <c r="I319" s="110" t="str">
        <f>VLOOKUP(H319, 'RM &amp; SF'!B:H, 2, 0)</f>
        <v>بندورة جامدة*****</v>
      </c>
      <c r="J319" s="184" t="str">
        <f>VLOOKUP(H319, 'RM &amp; SF'!B:E, 4, 0)</f>
        <v>غم</v>
      </c>
      <c r="K319" s="12">
        <v>300</v>
      </c>
      <c r="L319" s="13">
        <f>VLOOKUP(H319, 'RM &amp; SF'!B:H, 7, 0)</f>
        <v>5.0000000000000001E-4</v>
      </c>
      <c r="M319" s="7">
        <f t="shared" si="17"/>
        <v>0.15</v>
      </c>
      <c r="N319" s="4" t="s">
        <v>825</v>
      </c>
      <c r="O319" s="4">
        <f>VLOOKUP(B319, 'All Menu'!B:L, 6, 0)</f>
        <v>4.0948275862068968</v>
      </c>
      <c r="P319" s="6">
        <f>VLOOKUP(B319, 'All Menu'!B:L, 9, 0)</f>
        <v>3.4925383333333331</v>
      </c>
      <c r="Q319" s="14">
        <f>VLOOKUP(B319, 'All Menu'!B:M, 12, 0)</f>
        <v>0.14708537543859659</v>
      </c>
      <c r="R319" s="173">
        <f t="shared" si="18"/>
        <v>0</v>
      </c>
    </row>
    <row r="320" spans="1:18" ht="14" hidden="1">
      <c r="A320" s="78" t="s">
        <v>2601</v>
      </c>
      <c r="B320" s="220" t="s">
        <v>837</v>
      </c>
      <c r="C320" s="185"/>
      <c r="D320" s="103" t="str">
        <f>VLOOKUP(B320, 'All Menu'!B:M, 4, 0)</f>
        <v>صاجية بندورة بلحمة</v>
      </c>
      <c r="E320" s="30" t="str">
        <f>VLOOKUP(B320, 'All Menu'!B:M, 2, 0)</f>
        <v>قسم الصالة</v>
      </c>
      <c r="F320" s="103" t="str">
        <f>VLOOKUP(B320, 'All Menu'!B:M, 3, 0)</f>
        <v>صواني وصاجيات صالة</v>
      </c>
      <c r="G320" s="90" t="s">
        <v>2234</v>
      </c>
      <c r="H320" s="188">
        <v>4503</v>
      </c>
      <c r="I320" s="110" t="str">
        <f>VLOOKUP(H320, 'RM &amp; SF'!B:H, 2, 0)</f>
        <v>بصل ناشف دفش*****</v>
      </c>
      <c r="J320" s="184" t="str">
        <f>VLOOKUP(H320, 'RM &amp; SF'!B:E, 4, 0)</f>
        <v>غم</v>
      </c>
      <c r="K320" s="12">
        <v>60</v>
      </c>
      <c r="L320" s="13">
        <f>VLOOKUP(H320, 'RM &amp; SF'!B:H, 7, 0)</f>
        <v>2.5000000000000001E-4</v>
      </c>
      <c r="M320" s="7">
        <f t="shared" si="17"/>
        <v>1.4999999999999999E-2</v>
      </c>
      <c r="N320" s="4" t="s">
        <v>825</v>
      </c>
      <c r="O320" s="4">
        <f>VLOOKUP(B320, 'All Menu'!B:L, 6, 0)</f>
        <v>4.0948275862068968</v>
      </c>
      <c r="P320" s="6">
        <f>VLOOKUP(B320, 'All Menu'!B:L, 9, 0)</f>
        <v>3.4925383333333331</v>
      </c>
      <c r="Q320" s="14">
        <f>VLOOKUP(B320, 'All Menu'!B:M, 12, 0)</f>
        <v>0.14708537543859659</v>
      </c>
      <c r="R320" s="173">
        <f t="shared" si="18"/>
        <v>0</v>
      </c>
    </row>
    <row r="321" spans="1:18" ht="14" hidden="1">
      <c r="A321" s="78" t="s">
        <v>2601</v>
      </c>
      <c r="B321" s="220" t="s">
        <v>837</v>
      </c>
      <c r="C321" s="185"/>
      <c r="D321" s="103" t="str">
        <f>VLOOKUP(B321, 'All Menu'!B:M, 4, 0)</f>
        <v>صاجية بندورة بلحمة</v>
      </c>
      <c r="E321" s="30" t="str">
        <f>VLOOKUP(B321, 'All Menu'!B:M, 2, 0)</f>
        <v>قسم الصالة</v>
      </c>
      <c r="F321" s="103" t="str">
        <f>VLOOKUP(B321, 'All Menu'!B:M, 3, 0)</f>
        <v>صواني وصاجيات صالة</v>
      </c>
      <c r="G321" s="90" t="s">
        <v>2231</v>
      </c>
      <c r="H321" s="188">
        <v>4499</v>
      </c>
      <c r="I321" s="110" t="str">
        <f>VLOOKUP(H321, 'RM &amp; SF'!B:H, 2, 0)</f>
        <v>فلفل حار اخضر*****</v>
      </c>
      <c r="J321" s="184" t="str">
        <f>VLOOKUP(H321, 'RM &amp; SF'!B:E, 4, 0)</f>
        <v>غم</v>
      </c>
      <c r="K321" s="12">
        <v>10</v>
      </c>
      <c r="L321" s="13">
        <f>VLOOKUP(H321, 'RM &amp; SF'!B:H, 7, 0)</f>
        <v>5.0000000000000001E-4</v>
      </c>
      <c r="M321" s="7">
        <f t="shared" si="17"/>
        <v>5.0000000000000001E-3</v>
      </c>
      <c r="N321" s="4" t="s">
        <v>825</v>
      </c>
      <c r="O321" s="4">
        <f>VLOOKUP(B321, 'All Menu'!B:L, 6, 0)</f>
        <v>4.0948275862068968</v>
      </c>
      <c r="P321" s="6">
        <f>VLOOKUP(B321, 'All Menu'!B:L, 9, 0)</f>
        <v>3.4925383333333331</v>
      </c>
      <c r="Q321" s="14">
        <f>VLOOKUP(B321, 'All Menu'!B:M, 12, 0)</f>
        <v>0.14708537543859659</v>
      </c>
      <c r="R321" s="173">
        <f t="shared" si="18"/>
        <v>0</v>
      </c>
    </row>
    <row r="322" spans="1:18" ht="14" hidden="1">
      <c r="A322" s="78" t="s">
        <v>2601</v>
      </c>
      <c r="B322" s="220" t="s">
        <v>837</v>
      </c>
      <c r="C322" s="185"/>
      <c r="D322" s="103" t="str">
        <f>VLOOKUP(B322, 'All Menu'!B:M, 4, 0)</f>
        <v>صاجية بندورة بلحمة</v>
      </c>
      <c r="E322" s="30" t="str">
        <f>VLOOKUP(B322, 'All Menu'!B:M, 2, 0)</f>
        <v>قسم الصالة</v>
      </c>
      <c r="F322" s="103" t="str">
        <f>VLOOKUP(B322, 'All Menu'!B:M, 3, 0)</f>
        <v>صواني وصاجيات صالة</v>
      </c>
      <c r="G322" s="90" t="s">
        <v>2357</v>
      </c>
      <c r="H322" s="219" t="s">
        <v>744</v>
      </c>
      <c r="I322" s="110" t="str">
        <f>VLOOKUP(H322, 'RM &amp; SF'!B:H, 2, 0)</f>
        <v>زيت زيتون مكسور</v>
      </c>
      <c r="J322" s="184" t="str">
        <f>VLOOKUP(H322, 'RM &amp; SF'!B:E, 4, 0)</f>
        <v>غم</v>
      </c>
      <c r="K322" s="12">
        <v>20</v>
      </c>
      <c r="L322" s="13">
        <f>VLOOKUP(H322, 'RM &amp; SF'!B:H, 7, 0)</f>
        <v>3.3899999999999998E-3</v>
      </c>
      <c r="M322" s="7">
        <f t="shared" si="17"/>
        <v>6.7799999999999999E-2</v>
      </c>
      <c r="N322" s="4" t="s">
        <v>825</v>
      </c>
      <c r="O322" s="4">
        <f>VLOOKUP(B322, 'All Menu'!B:L, 6, 0)</f>
        <v>4.0948275862068968</v>
      </c>
      <c r="P322" s="6">
        <f>VLOOKUP(B322, 'All Menu'!B:L, 9, 0)</f>
        <v>3.4925383333333331</v>
      </c>
      <c r="Q322" s="14">
        <f>VLOOKUP(B322, 'All Menu'!B:M, 12, 0)</f>
        <v>0.14708537543859659</v>
      </c>
      <c r="R322" s="173">
        <f t="shared" si="18"/>
        <v>0</v>
      </c>
    </row>
    <row r="323" spans="1:18" ht="15.5" hidden="1">
      <c r="A323" s="78" t="s">
        <v>2601</v>
      </c>
      <c r="B323" s="220" t="s">
        <v>837</v>
      </c>
      <c r="C323" s="185"/>
      <c r="D323" s="103" t="str">
        <f>VLOOKUP(B323, 'All Menu'!B:M, 4, 0)</f>
        <v>صاجية بندورة بلحمة</v>
      </c>
      <c r="E323" s="30" t="str">
        <f>VLOOKUP(B323, 'All Menu'!B:M, 2, 0)</f>
        <v>قسم الصالة</v>
      </c>
      <c r="F323" s="103" t="str">
        <f>VLOOKUP(B323, 'All Menu'!B:M, 3, 0)</f>
        <v>صواني وصاجيات صالة</v>
      </c>
      <c r="G323" s="90" t="s">
        <v>2321</v>
      </c>
      <c r="H323" s="67">
        <v>5292</v>
      </c>
      <c r="I323" s="110" t="str">
        <f>VLOOKUP(H323, 'RM &amp; SF'!B:H, 2, 0)</f>
        <v>ثوم مقشر*****</v>
      </c>
      <c r="J323" s="184" t="str">
        <f>VLOOKUP(H323, 'RM &amp; SF'!B:E, 4, 0)</f>
        <v>غم</v>
      </c>
      <c r="K323" s="12">
        <v>5</v>
      </c>
      <c r="L323" s="13">
        <f>VLOOKUP(H323, 'RM &amp; SF'!B:H, 7, 0)</f>
        <v>4.4999999999999997E-3</v>
      </c>
      <c r="M323" s="7">
        <f t="shared" si="17"/>
        <v>2.2499999999999999E-2</v>
      </c>
      <c r="N323" s="4" t="s">
        <v>825</v>
      </c>
      <c r="O323" s="4">
        <f>VLOOKUP(B323, 'All Menu'!B:L, 6, 0)</f>
        <v>4.0948275862068968</v>
      </c>
      <c r="P323" s="6">
        <f>VLOOKUP(B323, 'All Menu'!B:L, 9, 0)</f>
        <v>3.4925383333333331</v>
      </c>
      <c r="Q323" s="14">
        <f>VLOOKUP(B323, 'All Menu'!B:M, 12, 0)</f>
        <v>0.14708537543859659</v>
      </c>
      <c r="R323" s="173">
        <f t="shared" si="18"/>
        <v>0</v>
      </c>
    </row>
    <row r="324" spans="1:18" ht="14" hidden="1">
      <c r="A324" s="78" t="s">
        <v>2601</v>
      </c>
      <c r="B324" s="220" t="s">
        <v>837</v>
      </c>
      <c r="C324" s="185"/>
      <c r="D324" s="103" t="str">
        <f>VLOOKUP(B324, 'All Menu'!B:M, 4, 0)</f>
        <v>صاجية بندورة بلحمة</v>
      </c>
      <c r="E324" s="30" t="str">
        <f>VLOOKUP(B324, 'All Menu'!B:M, 2, 0)</f>
        <v>قسم الصالة</v>
      </c>
      <c r="F324" s="103" t="str">
        <f>VLOOKUP(B324, 'All Menu'!B:M, 3, 0)</f>
        <v>صواني وصاجيات صالة</v>
      </c>
      <c r="G324" s="90" t="s">
        <v>2203</v>
      </c>
      <c r="H324" s="188">
        <v>4152</v>
      </c>
      <c r="I324" s="110" t="str">
        <f>VLOOKUP(H324, 'RM &amp; SF'!B:H, 2, 0)</f>
        <v>ملح طعام 750غم*****</v>
      </c>
      <c r="J324" s="184" t="str">
        <f>VLOOKUP(H324, 'RM &amp; SF'!B:E, 4, 0)</f>
        <v>غم</v>
      </c>
      <c r="K324" s="12">
        <v>2</v>
      </c>
      <c r="L324" s="13">
        <f>VLOOKUP(H324, 'RM &amp; SF'!B:H, 7, 0)</f>
        <v>1.7066666666666665E-4</v>
      </c>
      <c r="M324" s="7">
        <f t="shared" si="17"/>
        <v>3.413333333333333E-4</v>
      </c>
      <c r="N324" s="4" t="s">
        <v>825</v>
      </c>
      <c r="O324" s="4">
        <f>VLOOKUP(B324, 'All Menu'!B:L, 6, 0)</f>
        <v>4.0948275862068968</v>
      </c>
      <c r="P324" s="6">
        <f>VLOOKUP(B324, 'All Menu'!B:L, 9, 0)</f>
        <v>3.4925383333333331</v>
      </c>
      <c r="Q324" s="14">
        <f>VLOOKUP(B324, 'All Menu'!B:M, 12, 0)</f>
        <v>0.14708537543859659</v>
      </c>
      <c r="R324" s="173">
        <f t="shared" si="18"/>
        <v>0</v>
      </c>
    </row>
    <row r="325" spans="1:18" ht="14" hidden="1">
      <c r="A325" s="78" t="s">
        <v>2601</v>
      </c>
      <c r="B325" s="220" t="s">
        <v>837</v>
      </c>
      <c r="C325" s="185"/>
      <c r="D325" s="103" t="str">
        <f>VLOOKUP(B325, 'All Menu'!B:M, 4, 0)</f>
        <v>صاجية بندورة بلحمة</v>
      </c>
      <c r="E325" s="30" t="str">
        <f>VLOOKUP(B325, 'All Menu'!B:M, 2, 0)</f>
        <v>قسم الصالة</v>
      </c>
      <c r="F325" s="103" t="str">
        <f>VLOOKUP(B325, 'All Menu'!B:M, 3, 0)</f>
        <v>صواني وصاجيات صالة</v>
      </c>
      <c r="G325" s="90" t="s">
        <v>3058</v>
      </c>
      <c r="H325" s="188">
        <v>5398</v>
      </c>
      <c r="I325" s="110" t="str">
        <f>VLOOKUP(H325, 'RM &amp; SF'!B:H, 2, 0)</f>
        <v xml:space="preserve">فيليه </v>
      </c>
      <c r="J325" s="184" t="str">
        <f>VLOOKUP(H325, 'RM &amp; SF'!B:E, 4, 0)</f>
        <v>غم</v>
      </c>
      <c r="K325" s="12">
        <v>150</v>
      </c>
      <c r="L325" s="13">
        <f>VLOOKUP(H325, 'RM &amp; SF'!B:H, 7, 0)</f>
        <v>2.1499999999999998E-2</v>
      </c>
      <c r="M325" s="7">
        <f t="shared" si="17"/>
        <v>3.2249999999999996</v>
      </c>
      <c r="N325" s="4" t="s">
        <v>825</v>
      </c>
      <c r="O325" s="4">
        <f>VLOOKUP(B325, 'All Menu'!B:L, 6, 0)</f>
        <v>4.0948275862068968</v>
      </c>
      <c r="P325" s="6">
        <f>VLOOKUP(B325, 'All Menu'!B:L, 9, 0)</f>
        <v>3.4925383333333331</v>
      </c>
      <c r="Q325" s="14">
        <f>VLOOKUP(B325, 'All Menu'!B:M, 12, 0)</f>
        <v>0.14708537543859659</v>
      </c>
      <c r="R325" s="173">
        <f t="shared" si="18"/>
        <v>0</v>
      </c>
    </row>
    <row r="326" spans="1:18" ht="14" hidden="1">
      <c r="A326" s="78" t="s">
        <v>2601</v>
      </c>
      <c r="B326" s="220" t="s">
        <v>837</v>
      </c>
      <c r="C326" s="185"/>
      <c r="D326" s="103" t="str">
        <f>VLOOKUP(B326, 'All Menu'!B:M, 4, 0)</f>
        <v>صاجية بندورة بلحمة</v>
      </c>
      <c r="E326" s="30" t="str">
        <f>VLOOKUP(B326, 'All Menu'!B:M, 2, 0)</f>
        <v>قسم الصالة</v>
      </c>
      <c r="F326" s="103" t="str">
        <f>VLOOKUP(B326, 'All Menu'!B:M, 3, 0)</f>
        <v>صواني وصاجيات صالة</v>
      </c>
      <c r="G326" s="90" t="s">
        <v>2206</v>
      </c>
      <c r="H326" s="188">
        <v>4204</v>
      </c>
      <c r="I326" s="110" t="str">
        <f>VLOOKUP(H326, 'RM &amp; SF'!B:H, 2, 0)</f>
        <v>فلفل اسود ناعم*****</v>
      </c>
      <c r="J326" s="184" t="str">
        <f>VLOOKUP(H326, 'RM &amp; SF'!B:E, 4, 0)</f>
        <v>غم</v>
      </c>
      <c r="K326" s="12">
        <v>1</v>
      </c>
      <c r="L326" s="13">
        <f>VLOOKUP(H326, 'RM &amp; SF'!B:H, 7, 0)</f>
        <v>6.8970000000000004E-3</v>
      </c>
      <c r="M326" s="7">
        <f t="shared" si="17"/>
        <v>6.8970000000000004E-3</v>
      </c>
      <c r="N326" s="4" t="s">
        <v>825</v>
      </c>
      <c r="O326" s="4">
        <f>VLOOKUP(B326, 'All Menu'!B:L, 6, 0)</f>
        <v>4.0948275862068968</v>
      </c>
      <c r="P326" s="6">
        <f>VLOOKUP(B326, 'All Menu'!B:L, 9, 0)</f>
        <v>3.4925383333333331</v>
      </c>
      <c r="Q326" s="14">
        <f>VLOOKUP(B326, 'All Menu'!B:M, 12, 0)</f>
        <v>0.14708537543859659</v>
      </c>
      <c r="R326" s="173">
        <f t="shared" si="18"/>
        <v>0</v>
      </c>
    </row>
    <row r="327" spans="1:18" ht="14" hidden="1">
      <c r="A327" s="78" t="s">
        <v>2598</v>
      </c>
      <c r="B327" s="220" t="s">
        <v>838</v>
      </c>
      <c r="C327" s="185"/>
      <c r="D327" s="103" t="str">
        <f>VLOOKUP(B327, 'All Menu'!B:M, 4, 0)</f>
        <v>طحالات</v>
      </c>
      <c r="E327" s="30" t="str">
        <f>VLOOKUP(B327, 'All Menu'!B:M, 2, 0)</f>
        <v>قسم الصالة</v>
      </c>
      <c r="F327" s="103" t="str">
        <f>VLOOKUP(B327, 'All Menu'!B:M, 3, 0)</f>
        <v>صواني وصاجيات صالة</v>
      </c>
      <c r="G327" s="90" t="s">
        <v>3058</v>
      </c>
      <c r="H327" s="188">
        <v>4657</v>
      </c>
      <c r="I327" s="110" t="str">
        <f>VLOOKUP(H327, 'RM &amp; SF'!B:H, 2, 0)</f>
        <v>طحل مجمدة استرالي*****</v>
      </c>
      <c r="J327" s="184" t="str">
        <f>VLOOKUP(H327, 'RM &amp; SF'!B:E, 4, 0)</f>
        <v>غم</v>
      </c>
      <c r="K327" s="12">
        <v>150</v>
      </c>
      <c r="L327" s="13">
        <f>VLOOKUP(H327, 'RM &amp; SF'!B:H, 7, 0)</f>
        <v>4.0000000000000001E-3</v>
      </c>
      <c r="M327" s="7">
        <f t="shared" si="17"/>
        <v>0.6</v>
      </c>
      <c r="N327" s="4" t="s">
        <v>825</v>
      </c>
      <c r="O327" s="4">
        <f>VLOOKUP(B327, 'All Menu'!B:L, 6, 0)</f>
        <v>2.8017241379310347</v>
      </c>
      <c r="P327" s="6">
        <f>VLOOKUP(B327, 'All Menu'!B:L, 9, 0)</f>
        <v>0.93807133333333326</v>
      </c>
      <c r="Q327" s="14">
        <f>VLOOKUP(B327, 'All Menu'!B:M, 12, 0)</f>
        <v>0.66518069333333341</v>
      </c>
      <c r="R327" s="173">
        <f t="shared" si="18"/>
        <v>0</v>
      </c>
    </row>
    <row r="328" spans="1:18" ht="14" hidden="1">
      <c r="A328" s="78" t="s">
        <v>2598</v>
      </c>
      <c r="B328" s="220" t="s">
        <v>838</v>
      </c>
      <c r="C328" s="185"/>
      <c r="D328" s="103" t="str">
        <f>VLOOKUP(B328, 'All Menu'!B:M, 4, 0)</f>
        <v>طحالات</v>
      </c>
      <c r="E328" s="30" t="str">
        <f>VLOOKUP(B328, 'All Menu'!B:M, 2, 0)</f>
        <v>قسم الصالة</v>
      </c>
      <c r="F328" s="103" t="str">
        <f>VLOOKUP(B328, 'All Menu'!B:M, 3, 0)</f>
        <v>صواني وصاجيات صالة</v>
      </c>
      <c r="G328" s="90" t="s">
        <v>2251</v>
      </c>
      <c r="H328" s="188">
        <v>4544</v>
      </c>
      <c r="I328" s="110" t="str">
        <f>VLOOKUP(H328, 'RM &amp; SF'!B:H, 2, 0)</f>
        <v>بقدونس*****</v>
      </c>
      <c r="J328" s="184" t="str">
        <f>VLOOKUP(H328, 'RM &amp; SF'!B:E, 4, 0)</f>
        <v>غم</v>
      </c>
      <c r="K328" s="12">
        <v>1</v>
      </c>
      <c r="L328" s="13">
        <f>VLOOKUP(H328, 'RM &amp; SF'!B:H, 7, 0)</f>
        <v>7.5000000000000002E-4</v>
      </c>
      <c r="M328" s="7">
        <f t="shared" si="17"/>
        <v>7.5000000000000002E-4</v>
      </c>
      <c r="N328" s="4" t="s">
        <v>825</v>
      </c>
      <c r="O328" s="4">
        <f>VLOOKUP(B328, 'All Menu'!B:L, 6, 0)</f>
        <v>2.8017241379310347</v>
      </c>
      <c r="P328" s="6">
        <f>VLOOKUP(B328, 'All Menu'!B:L, 9, 0)</f>
        <v>0.93807133333333326</v>
      </c>
      <c r="Q328" s="14">
        <f>VLOOKUP(B328, 'All Menu'!B:M, 12, 0)</f>
        <v>0.66518069333333341</v>
      </c>
      <c r="R328" s="173">
        <f t="shared" si="18"/>
        <v>0</v>
      </c>
    </row>
    <row r="329" spans="1:18" ht="14" hidden="1">
      <c r="A329" s="78" t="s">
        <v>2598</v>
      </c>
      <c r="B329" s="220" t="s">
        <v>838</v>
      </c>
      <c r="C329" s="185"/>
      <c r="D329" s="103" t="str">
        <f>VLOOKUP(B329, 'All Menu'!B:M, 4, 0)</f>
        <v>طحالات</v>
      </c>
      <c r="E329" s="30" t="str">
        <f>VLOOKUP(B329, 'All Menu'!B:M, 2, 0)</f>
        <v>قسم الصالة</v>
      </c>
      <c r="F329" s="103" t="str">
        <f>VLOOKUP(B329, 'All Menu'!B:M, 3, 0)</f>
        <v>صواني وصاجيات صالة</v>
      </c>
      <c r="G329" s="90" t="s">
        <v>2209</v>
      </c>
      <c r="H329" s="188">
        <v>4546</v>
      </c>
      <c r="I329" s="110" t="str">
        <f>VLOOKUP(H329, 'RM &amp; SF'!B:H, 2, 0)</f>
        <v>كزبرة*****</v>
      </c>
      <c r="J329" s="184" t="str">
        <f>VLOOKUP(H329, 'RM &amp; SF'!B:E, 4, 0)</f>
        <v>قطعة</v>
      </c>
      <c r="K329" s="12">
        <v>0.2</v>
      </c>
      <c r="L329" s="13">
        <f>VLOOKUP(H329, 'RM &amp; SF'!B:H, 7, 0)</f>
        <v>1E-3</v>
      </c>
      <c r="M329" s="7">
        <f t="shared" si="17"/>
        <v>2.0000000000000001E-4</v>
      </c>
      <c r="N329" s="4" t="s">
        <v>825</v>
      </c>
      <c r="O329" s="4">
        <f>VLOOKUP(B329, 'All Menu'!B:L, 6, 0)</f>
        <v>2.8017241379310347</v>
      </c>
      <c r="P329" s="6">
        <f>VLOOKUP(B329, 'All Menu'!B:L, 9, 0)</f>
        <v>0.93807133333333326</v>
      </c>
      <c r="Q329" s="14">
        <f>VLOOKUP(B329, 'All Menu'!B:M, 12, 0)</f>
        <v>0.66518069333333341</v>
      </c>
      <c r="R329" s="173">
        <f t="shared" si="18"/>
        <v>0</v>
      </c>
    </row>
    <row r="330" spans="1:18" ht="15.5" hidden="1">
      <c r="A330" s="78" t="s">
        <v>2598</v>
      </c>
      <c r="B330" s="220" t="s">
        <v>838</v>
      </c>
      <c r="C330" s="185"/>
      <c r="D330" s="103" t="str">
        <f>VLOOKUP(B330, 'All Menu'!B:M, 4, 0)</f>
        <v>طحالات</v>
      </c>
      <c r="E330" s="30" t="str">
        <f>VLOOKUP(B330, 'All Menu'!B:M, 2, 0)</f>
        <v>قسم الصالة</v>
      </c>
      <c r="F330" s="103" t="str">
        <f>VLOOKUP(B330, 'All Menu'!B:M, 3, 0)</f>
        <v>صواني وصاجيات صالة</v>
      </c>
      <c r="G330" s="90" t="s">
        <v>2321</v>
      </c>
      <c r="H330" s="67">
        <v>5292</v>
      </c>
      <c r="I330" s="110" t="str">
        <f>VLOOKUP(H330, 'RM &amp; SF'!B:H, 2, 0)</f>
        <v>ثوم مقشر*****</v>
      </c>
      <c r="J330" s="184" t="str">
        <f>VLOOKUP(H330, 'RM &amp; SF'!B:E, 4, 0)</f>
        <v>غم</v>
      </c>
      <c r="K330" s="12">
        <v>15</v>
      </c>
      <c r="L330" s="13">
        <f>VLOOKUP(H330, 'RM &amp; SF'!B:H, 7, 0)</f>
        <v>4.4999999999999997E-3</v>
      </c>
      <c r="M330" s="7">
        <f t="shared" si="17"/>
        <v>6.7499999999999991E-2</v>
      </c>
      <c r="N330" s="4" t="s">
        <v>825</v>
      </c>
      <c r="O330" s="4">
        <f>VLOOKUP(B330, 'All Menu'!B:L, 6, 0)</f>
        <v>2.8017241379310347</v>
      </c>
      <c r="P330" s="6">
        <f>VLOOKUP(B330, 'All Menu'!B:L, 9, 0)</f>
        <v>0.93807133333333326</v>
      </c>
      <c r="Q330" s="14">
        <f>VLOOKUP(B330, 'All Menu'!B:M, 12, 0)</f>
        <v>0.66518069333333341</v>
      </c>
      <c r="R330" s="173">
        <f t="shared" si="18"/>
        <v>0</v>
      </c>
    </row>
    <row r="331" spans="1:18" ht="14" hidden="1">
      <c r="A331" s="78" t="s">
        <v>2598</v>
      </c>
      <c r="B331" s="220" t="s">
        <v>838</v>
      </c>
      <c r="C331" s="185"/>
      <c r="D331" s="103" t="str">
        <f>VLOOKUP(B331, 'All Menu'!B:M, 4, 0)</f>
        <v>طحالات</v>
      </c>
      <c r="E331" s="30" t="str">
        <f>VLOOKUP(B331, 'All Menu'!B:M, 2, 0)</f>
        <v>قسم الصالة</v>
      </c>
      <c r="F331" s="103" t="str">
        <f>VLOOKUP(B331, 'All Menu'!B:M, 3, 0)</f>
        <v>صواني وصاجيات صالة</v>
      </c>
      <c r="G331" s="90" t="s">
        <v>2309</v>
      </c>
      <c r="H331" s="188">
        <v>4491</v>
      </c>
      <c r="I331" s="110" t="str">
        <f>VLOOKUP(H331, 'RM &amp; SF'!B:H, 2, 0)</f>
        <v>بندورة جامدة*****</v>
      </c>
      <c r="J331" s="184" t="str">
        <f>VLOOKUP(H331, 'RM &amp; SF'!B:E, 4, 0)</f>
        <v>غم</v>
      </c>
      <c r="K331" s="12">
        <v>30</v>
      </c>
      <c r="L331" s="13">
        <f>VLOOKUP(H331, 'RM &amp; SF'!B:H, 7, 0)</f>
        <v>5.0000000000000001E-4</v>
      </c>
      <c r="M331" s="7">
        <f t="shared" si="17"/>
        <v>1.4999999999999999E-2</v>
      </c>
      <c r="N331" s="4" t="s">
        <v>825</v>
      </c>
      <c r="O331" s="4">
        <f>VLOOKUP(B331, 'All Menu'!B:L, 6, 0)</f>
        <v>2.8017241379310347</v>
      </c>
      <c r="P331" s="6">
        <f>VLOOKUP(B331, 'All Menu'!B:L, 9, 0)</f>
        <v>0.93807133333333326</v>
      </c>
      <c r="Q331" s="14">
        <f>VLOOKUP(B331, 'All Menu'!B:M, 12, 0)</f>
        <v>0.66518069333333341</v>
      </c>
      <c r="R331" s="173">
        <f t="shared" si="18"/>
        <v>0</v>
      </c>
    </row>
    <row r="332" spans="1:18" ht="14" hidden="1">
      <c r="A332" s="78" t="s">
        <v>2598</v>
      </c>
      <c r="B332" s="220" t="s">
        <v>838</v>
      </c>
      <c r="C332" s="185"/>
      <c r="D332" s="103" t="str">
        <f>VLOOKUP(B332, 'All Menu'!B:M, 4, 0)</f>
        <v>طحالات</v>
      </c>
      <c r="E332" s="30" t="str">
        <f>VLOOKUP(B332, 'All Menu'!B:M, 2, 0)</f>
        <v>قسم الصالة</v>
      </c>
      <c r="F332" s="103" t="str">
        <f>VLOOKUP(B332, 'All Menu'!B:M, 3, 0)</f>
        <v>صواني وصاجيات صالة</v>
      </c>
      <c r="G332" s="90" t="s">
        <v>2203</v>
      </c>
      <c r="H332" s="188">
        <v>4152</v>
      </c>
      <c r="I332" s="110" t="str">
        <f>VLOOKUP(H332, 'RM &amp; SF'!B:H, 2, 0)</f>
        <v>ملح طعام 750غم*****</v>
      </c>
      <c r="J332" s="184" t="str">
        <f>VLOOKUP(H332, 'RM &amp; SF'!B:E, 4, 0)</f>
        <v>غم</v>
      </c>
      <c r="K332" s="12">
        <v>2</v>
      </c>
      <c r="L332" s="13">
        <f>VLOOKUP(H332, 'RM &amp; SF'!B:H, 7, 0)</f>
        <v>1.7066666666666665E-4</v>
      </c>
      <c r="M332" s="7">
        <f t="shared" si="17"/>
        <v>3.413333333333333E-4</v>
      </c>
      <c r="N332" s="4" t="s">
        <v>825</v>
      </c>
      <c r="O332" s="4">
        <f>VLOOKUP(B332, 'All Menu'!B:L, 6, 0)</f>
        <v>2.8017241379310347</v>
      </c>
      <c r="P332" s="6">
        <f>VLOOKUP(B332, 'All Menu'!B:L, 9, 0)</f>
        <v>0.93807133333333326</v>
      </c>
      <c r="Q332" s="14">
        <f>VLOOKUP(B332, 'All Menu'!B:M, 12, 0)</f>
        <v>0.66518069333333341</v>
      </c>
      <c r="R332" s="173">
        <f t="shared" si="18"/>
        <v>0</v>
      </c>
    </row>
    <row r="333" spans="1:18" ht="14" hidden="1">
      <c r="A333" s="78" t="s">
        <v>2598</v>
      </c>
      <c r="B333" s="220" t="s">
        <v>838</v>
      </c>
      <c r="C333" s="185"/>
      <c r="D333" s="103" t="str">
        <f>VLOOKUP(B333, 'All Menu'!B:M, 4, 0)</f>
        <v>طحالات</v>
      </c>
      <c r="E333" s="30" t="str">
        <f>VLOOKUP(B333, 'All Menu'!B:M, 2, 0)</f>
        <v>قسم الصالة</v>
      </c>
      <c r="F333" s="103" t="str">
        <f>VLOOKUP(B333, 'All Menu'!B:M, 3, 0)</f>
        <v>صواني وصاجيات صالة</v>
      </c>
      <c r="G333" s="90" t="s">
        <v>2231</v>
      </c>
      <c r="H333" s="188">
        <v>4499</v>
      </c>
      <c r="I333" s="110" t="str">
        <f>VLOOKUP(H333, 'RM &amp; SF'!B:H, 2, 0)</f>
        <v>فلفل حار اخضر*****</v>
      </c>
      <c r="J333" s="184" t="str">
        <f>VLOOKUP(H333, 'RM &amp; SF'!B:E, 4, 0)</f>
        <v>غم</v>
      </c>
      <c r="K333" s="12">
        <v>5</v>
      </c>
      <c r="L333" s="13">
        <f>VLOOKUP(H333, 'RM &amp; SF'!B:H, 7, 0)</f>
        <v>5.0000000000000001E-4</v>
      </c>
      <c r="M333" s="7">
        <f t="shared" si="17"/>
        <v>2.5000000000000001E-3</v>
      </c>
      <c r="N333" s="4" t="s">
        <v>825</v>
      </c>
      <c r="O333" s="4">
        <f>VLOOKUP(B333, 'All Menu'!B:L, 6, 0)</f>
        <v>2.8017241379310347</v>
      </c>
      <c r="P333" s="6">
        <f>VLOOKUP(B333, 'All Menu'!B:L, 9, 0)</f>
        <v>0.93807133333333326</v>
      </c>
      <c r="Q333" s="14">
        <f>VLOOKUP(B333, 'All Menu'!B:M, 12, 0)</f>
        <v>0.66518069333333341</v>
      </c>
      <c r="R333" s="173">
        <f t="shared" si="18"/>
        <v>0</v>
      </c>
    </row>
    <row r="334" spans="1:18" ht="14" hidden="1">
      <c r="A334" s="78" t="s">
        <v>2598</v>
      </c>
      <c r="B334" s="220" t="s">
        <v>838</v>
      </c>
      <c r="C334" s="185"/>
      <c r="D334" s="103" t="str">
        <f>VLOOKUP(B334, 'All Menu'!B:M, 4, 0)</f>
        <v>طحالات</v>
      </c>
      <c r="E334" s="30" t="str">
        <f>VLOOKUP(B334, 'All Menu'!B:M, 2, 0)</f>
        <v>قسم الصالة</v>
      </c>
      <c r="F334" s="103" t="str">
        <f>VLOOKUP(B334, 'All Menu'!B:M, 3, 0)</f>
        <v>صواني وصاجيات صالة</v>
      </c>
      <c r="G334" s="90" t="s">
        <v>2239</v>
      </c>
      <c r="H334" s="188">
        <v>4513</v>
      </c>
      <c r="I334" s="110" t="str">
        <f>VLOOKUP(H334, 'RM &amp; SF'!B:H, 2, 0)</f>
        <v>ليمون اصفر*****</v>
      </c>
      <c r="J334" s="184" t="str">
        <f>VLOOKUP(H334, 'RM &amp; SF'!B:E, 4, 0)</f>
        <v>غم</v>
      </c>
      <c r="K334" s="12">
        <v>50</v>
      </c>
      <c r="L334" s="13">
        <f>VLOOKUP(H334, 'RM &amp; SF'!B:H, 7, 0)</f>
        <v>1.75E-3</v>
      </c>
      <c r="M334" s="7">
        <f t="shared" si="17"/>
        <v>8.7500000000000008E-2</v>
      </c>
      <c r="N334" s="4" t="s">
        <v>825</v>
      </c>
      <c r="O334" s="4">
        <f>VLOOKUP(B334, 'All Menu'!B:L, 6, 0)</f>
        <v>2.8017241379310347</v>
      </c>
      <c r="P334" s="6">
        <f>VLOOKUP(B334, 'All Menu'!B:L, 9, 0)</f>
        <v>0.93807133333333326</v>
      </c>
      <c r="Q334" s="14">
        <f>VLOOKUP(B334, 'All Menu'!B:M, 12, 0)</f>
        <v>0.66518069333333341</v>
      </c>
      <c r="R334" s="173">
        <f t="shared" si="18"/>
        <v>0</v>
      </c>
    </row>
    <row r="335" spans="1:18" ht="14" hidden="1">
      <c r="A335" s="78" t="s">
        <v>2598</v>
      </c>
      <c r="B335" s="220" t="s">
        <v>838</v>
      </c>
      <c r="C335" s="185"/>
      <c r="D335" s="103" t="str">
        <f>VLOOKUP(B335, 'All Menu'!B:M, 4, 0)</f>
        <v>طحالات</v>
      </c>
      <c r="E335" s="30" t="str">
        <f>VLOOKUP(B335, 'All Menu'!B:M, 2, 0)</f>
        <v>قسم الصالة</v>
      </c>
      <c r="F335" s="103" t="str">
        <f>VLOOKUP(B335, 'All Menu'!B:M, 3, 0)</f>
        <v>صواني وصاجيات صالة</v>
      </c>
      <c r="G335" s="90" t="s">
        <v>2206</v>
      </c>
      <c r="H335" s="188">
        <v>4204</v>
      </c>
      <c r="I335" s="110" t="str">
        <f>VLOOKUP(H335, 'RM &amp; SF'!B:H, 2, 0)</f>
        <v>فلفل اسود ناعم*****</v>
      </c>
      <c r="J335" s="184" t="str">
        <f>VLOOKUP(H335, 'RM &amp; SF'!B:E, 4, 0)</f>
        <v>غم</v>
      </c>
      <c r="K335" s="12">
        <v>2</v>
      </c>
      <c r="L335" s="13">
        <f>VLOOKUP(H335, 'RM &amp; SF'!B:H, 7, 0)</f>
        <v>6.8970000000000004E-3</v>
      </c>
      <c r="M335" s="7">
        <f t="shared" si="17"/>
        <v>1.3794000000000001E-2</v>
      </c>
      <c r="N335" s="4" t="s">
        <v>825</v>
      </c>
      <c r="O335" s="4">
        <f>VLOOKUP(B335, 'All Menu'!B:L, 6, 0)</f>
        <v>2.8017241379310347</v>
      </c>
      <c r="P335" s="6">
        <f>VLOOKUP(B335, 'All Menu'!B:L, 9, 0)</f>
        <v>0.93807133333333326</v>
      </c>
      <c r="Q335" s="14">
        <f>VLOOKUP(B335, 'All Menu'!B:M, 12, 0)</f>
        <v>0.66518069333333341</v>
      </c>
      <c r="R335" s="173">
        <f t="shared" si="18"/>
        <v>0</v>
      </c>
    </row>
    <row r="336" spans="1:18" ht="14" hidden="1">
      <c r="A336" s="78" t="s">
        <v>2598</v>
      </c>
      <c r="B336" s="220" t="s">
        <v>838</v>
      </c>
      <c r="C336" s="185"/>
      <c r="D336" s="103" t="str">
        <f>VLOOKUP(B336, 'All Menu'!B:M, 4, 0)</f>
        <v>طحالات</v>
      </c>
      <c r="E336" s="30" t="str">
        <f>VLOOKUP(B336, 'All Menu'!B:M, 2, 0)</f>
        <v>قسم الصالة</v>
      </c>
      <c r="F336" s="103" t="str">
        <f>VLOOKUP(B336, 'All Menu'!B:M, 3, 0)</f>
        <v>صواني وصاجيات صالة</v>
      </c>
      <c r="G336" s="90" t="s">
        <v>2213</v>
      </c>
      <c r="H336" s="188">
        <v>4218</v>
      </c>
      <c r="I336" s="110" t="str">
        <f>VLOOKUP(H336, 'RM &amp; SF'!B:H, 2, 0)</f>
        <v>بهارات مشكلة*****</v>
      </c>
      <c r="J336" s="184" t="str">
        <f>VLOOKUP(H336, 'RM &amp; SF'!B:E, 4, 0)</f>
        <v>غم</v>
      </c>
      <c r="K336" s="12">
        <v>2</v>
      </c>
      <c r="L336" s="13">
        <f>VLOOKUP(H336, 'RM &amp; SF'!B:H, 7, 0)</f>
        <v>3.0169999999999997E-3</v>
      </c>
      <c r="M336" s="7">
        <f t="shared" si="17"/>
        <v>6.0339999999999994E-3</v>
      </c>
      <c r="N336" s="4" t="s">
        <v>825</v>
      </c>
      <c r="O336" s="4">
        <f>VLOOKUP(B336, 'All Menu'!B:L, 6, 0)</f>
        <v>2.8017241379310347</v>
      </c>
      <c r="P336" s="6">
        <f>VLOOKUP(B336, 'All Menu'!B:L, 9, 0)</f>
        <v>0.93807133333333326</v>
      </c>
      <c r="Q336" s="14">
        <f>VLOOKUP(B336, 'All Menu'!B:M, 12, 0)</f>
        <v>0.66518069333333341</v>
      </c>
      <c r="R336" s="173">
        <f t="shared" si="18"/>
        <v>0</v>
      </c>
    </row>
    <row r="337" spans="1:18" ht="14" hidden="1">
      <c r="A337" s="78" t="s">
        <v>2598</v>
      </c>
      <c r="B337" s="220" t="s">
        <v>838</v>
      </c>
      <c r="C337" s="185"/>
      <c r="D337" s="103" t="str">
        <f>VLOOKUP(B337, 'All Menu'!B:M, 4, 0)</f>
        <v>طحالات</v>
      </c>
      <c r="E337" s="30" t="str">
        <f>VLOOKUP(B337, 'All Menu'!B:M, 2, 0)</f>
        <v>قسم الصالة</v>
      </c>
      <c r="F337" s="103" t="str">
        <f>VLOOKUP(B337, 'All Menu'!B:M, 3, 0)</f>
        <v>صواني وصاجيات صالة</v>
      </c>
      <c r="G337" s="90" t="s">
        <v>2211</v>
      </c>
      <c r="H337" s="188">
        <v>4214</v>
      </c>
      <c r="I337" s="110" t="str">
        <f>VLOOKUP(H337, 'RM &amp; SF'!B:H, 2, 0)</f>
        <v>قرفة ناعمة*****</v>
      </c>
      <c r="J337" s="184" t="str">
        <f>VLOOKUP(H337, 'RM &amp; SF'!B:E, 4, 0)</f>
        <v>غم</v>
      </c>
      <c r="K337" s="12">
        <v>1</v>
      </c>
      <c r="L337" s="13">
        <f>VLOOKUP(H337, 'RM &amp; SF'!B:H, 7, 0)</f>
        <v>2.8020000000000002E-3</v>
      </c>
      <c r="M337" s="7">
        <f t="shared" si="17"/>
        <v>2.8020000000000002E-3</v>
      </c>
      <c r="N337" s="4" t="s">
        <v>825</v>
      </c>
      <c r="O337" s="4">
        <f>VLOOKUP(B337, 'All Menu'!B:L, 6, 0)</f>
        <v>2.8017241379310347</v>
      </c>
      <c r="P337" s="6">
        <f>VLOOKUP(B337, 'All Menu'!B:L, 9, 0)</f>
        <v>0.93807133333333326</v>
      </c>
      <c r="Q337" s="14">
        <f>VLOOKUP(B337, 'All Menu'!B:M, 12, 0)</f>
        <v>0.66518069333333341</v>
      </c>
      <c r="R337" s="173">
        <f t="shared" si="18"/>
        <v>0</v>
      </c>
    </row>
    <row r="338" spans="1:18" ht="14" hidden="1">
      <c r="A338" s="78" t="s">
        <v>2598</v>
      </c>
      <c r="B338" s="220" t="s">
        <v>838</v>
      </c>
      <c r="C338" s="185"/>
      <c r="D338" s="103" t="str">
        <f>VLOOKUP(B338, 'All Menu'!B:M, 4, 0)</f>
        <v>طحالات</v>
      </c>
      <c r="E338" s="30" t="str">
        <f>VLOOKUP(B338, 'All Menu'!B:M, 2, 0)</f>
        <v>قسم الصالة</v>
      </c>
      <c r="F338" s="103" t="str">
        <f>VLOOKUP(B338, 'All Menu'!B:M, 3, 0)</f>
        <v>صواني وصاجيات صالة</v>
      </c>
      <c r="G338" s="90" t="s">
        <v>2218</v>
      </c>
      <c r="H338" s="188">
        <v>4233</v>
      </c>
      <c r="I338" s="110" t="str">
        <f>VLOOKUP(H338, 'RM &amp; SF'!B:H, 2, 0)</f>
        <v>هال ناعم*****</v>
      </c>
      <c r="J338" s="184" t="str">
        <f>VLOOKUP(H338, 'RM &amp; SF'!B:E, 4, 0)</f>
        <v>غم</v>
      </c>
      <c r="K338" s="12">
        <v>1</v>
      </c>
      <c r="L338" s="13">
        <f>VLOOKUP(H338, 'RM &amp; SF'!B:H, 7, 0)</f>
        <v>2.3E-2</v>
      </c>
      <c r="M338" s="7">
        <f t="shared" si="17"/>
        <v>2.3E-2</v>
      </c>
      <c r="N338" s="4" t="s">
        <v>825</v>
      </c>
      <c r="O338" s="4">
        <f>VLOOKUP(B338, 'All Menu'!B:L, 6, 0)</f>
        <v>2.8017241379310347</v>
      </c>
      <c r="P338" s="6">
        <f>VLOOKUP(B338, 'All Menu'!B:L, 9, 0)</f>
        <v>0.93807133333333326</v>
      </c>
      <c r="Q338" s="14">
        <f>VLOOKUP(B338, 'All Menu'!B:M, 12, 0)</f>
        <v>0.66518069333333341</v>
      </c>
      <c r="R338" s="173">
        <f t="shared" si="18"/>
        <v>0</v>
      </c>
    </row>
    <row r="339" spans="1:18" ht="14" hidden="1">
      <c r="A339" s="78" t="s">
        <v>2598</v>
      </c>
      <c r="B339" s="220" t="s">
        <v>838</v>
      </c>
      <c r="C339" s="185"/>
      <c r="D339" s="103" t="str">
        <f>VLOOKUP(B339, 'All Menu'!B:M, 4, 0)</f>
        <v>طحالات</v>
      </c>
      <c r="E339" s="30" t="str">
        <f>VLOOKUP(B339, 'All Menu'!B:M, 2, 0)</f>
        <v>قسم الصالة</v>
      </c>
      <c r="F339" s="103" t="str">
        <f>VLOOKUP(B339, 'All Menu'!B:M, 3, 0)</f>
        <v>صواني وصاجيات صالة</v>
      </c>
      <c r="G339" s="90" t="s">
        <v>2357</v>
      </c>
      <c r="H339" s="219" t="s">
        <v>744</v>
      </c>
      <c r="I339" s="110" t="str">
        <f>VLOOKUP(H339, 'RM &amp; SF'!B:H, 2, 0)</f>
        <v>زيت زيتون مكسور</v>
      </c>
      <c r="J339" s="184" t="str">
        <f>VLOOKUP(H339, 'RM &amp; SF'!B:E, 4, 0)</f>
        <v>غم</v>
      </c>
      <c r="K339" s="12">
        <v>35</v>
      </c>
      <c r="L339" s="13">
        <f>VLOOKUP(H339, 'RM &amp; SF'!B:H, 7, 0)</f>
        <v>3.3899999999999998E-3</v>
      </c>
      <c r="M339" s="7">
        <f t="shared" si="17"/>
        <v>0.11864999999999999</v>
      </c>
      <c r="N339" s="4" t="s">
        <v>825</v>
      </c>
      <c r="O339" s="4">
        <f>VLOOKUP(B339, 'All Menu'!B:L, 6, 0)</f>
        <v>2.8017241379310347</v>
      </c>
      <c r="P339" s="6">
        <f>VLOOKUP(B339, 'All Menu'!B:L, 9, 0)</f>
        <v>0.93807133333333326</v>
      </c>
      <c r="Q339" s="14">
        <f>VLOOKUP(B339, 'All Menu'!B:M, 12, 0)</f>
        <v>0.66518069333333341</v>
      </c>
      <c r="R339" s="173">
        <f t="shared" si="18"/>
        <v>0</v>
      </c>
    </row>
    <row r="340" spans="1:18" ht="14" hidden="1">
      <c r="A340" s="78" t="s">
        <v>2603</v>
      </c>
      <c r="B340" s="220" t="s">
        <v>839</v>
      </c>
      <c r="C340" s="185"/>
      <c r="D340" s="103" t="str">
        <f>VLOOKUP(B340, 'All Menu'!B:M, 4, 0)</f>
        <v>فخارة دجاج بالكريمة</v>
      </c>
      <c r="E340" s="30" t="str">
        <f>VLOOKUP(B340, 'All Menu'!B:M, 2, 0)</f>
        <v>قسم الصالة</v>
      </c>
      <c r="F340" s="103" t="str">
        <f>VLOOKUP(B340, 'All Menu'!B:M, 3, 0)</f>
        <v>صواني وصاجيات صالة</v>
      </c>
      <c r="G340" s="90" t="s">
        <v>2445</v>
      </c>
      <c r="H340" s="219" t="s">
        <v>668</v>
      </c>
      <c r="I340" s="110" t="str">
        <f>VLOOKUP(H340, 'RM &amp; SF'!B:H, 2, 0)</f>
        <v>دجاج مسحب بالفرن انترناشونال</v>
      </c>
      <c r="J340" s="184" t="str">
        <f>VLOOKUP(H340, 'RM &amp; SF'!B:E, 4, 0)</f>
        <v>غم</v>
      </c>
      <c r="K340" s="12">
        <v>200</v>
      </c>
      <c r="L340" s="13">
        <f>VLOOKUP(H340, 'RM &amp; SF'!B:H, 7, 0)</f>
        <v>4.5947853888888886E-3</v>
      </c>
      <c r="M340" s="7">
        <f t="shared" si="17"/>
        <v>0.91895707777777769</v>
      </c>
      <c r="N340" s="4" t="s">
        <v>825</v>
      </c>
      <c r="O340" s="4">
        <f>VLOOKUP(B340, 'All Menu'!B:L, 6, 0)</f>
        <v>4.9568965517241379</v>
      </c>
      <c r="P340" s="6">
        <f>VLOOKUP(B340, 'All Menu'!B:L, 9, 0)</f>
        <v>2.0830749024904209</v>
      </c>
      <c r="Q340" s="14">
        <f>VLOOKUP(B340, 'All Menu'!B:M, 12, 0)</f>
        <v>0.57976228054106294</v>
      </c>
      <c r="R340" s="173">
        <f t="shared" si="18"/>
        <v>0</v>
      </c>
    </row>
    <row r="341" spans="1:18" ht="14" hidden="1">
      <c r="A341" s="78" t="s">
        <v>2603</v>
      </c>
      <c r="B341" s="220" t="s">
        <v>839</v>
      </c>
      <c r="C341" s="185"/>
      <c r="D341" s="103" t="str">
        <f>VLOOKUP(B341, 'All Menu'!B:M, 4, 0)</f>
        <v>فخارة دجاج بالكريمة</v>
      </c>
      <c r="E341" s="30" t="str">
        <f>VLOOKUP(B341, 'All Menu'!B:M, 2, 0)</f>
        <v>قسم الصالة</v>
      </c>
      <c r="F341" s="103" t="str">
        <f>VLOOKUP(B341, 'All Menu'!B:M, 3, 0)</f>
        <v>صواني وصاجيات صالة</v>
      </c>
      <c r="G341" s="90" t="s">
        <v>2240</v>
      </c>
      <c r="H341" s="188">
        <v>4515</v>
      </c>
      <c r="I341" s="110" t="str">
        <f>VLOOKUP(H341, 'RM &amp; SF'!B:H, 2, 0)</f>
        <v>فطر طازج (فطر فرش)*****</v>
      </c>
      <c r="J341" s="184" t="str">
        <f>VLOOKUP(H341, 'RM &amp; SF'!B:E, 4, 0)</f>
        <v>غم</v>
      </c>
      <c r="K341" s="12">
        <v>60</v>
      </c>
      <c r="L341" s="13">
        <f>VLOOKUP(H341, 'RM &amp; SF'!B:H, 7, 0)</f>
        <v>5.9999999999999993E-3</v>
      </c>
      <c r="M341" s="7">
        <f t="shared" si="17"/>
        <v>0.35999999999999993</v>
      </c>
      <c r="N341" s="4" t="s">
        <v>825</v>
      </c>
      <c r="O341" s="4">
        <f>VLOOKUP(B341, 'All Menu'!B:L, 6, 0)</f>
        <v>4.9568965517241379</v>
      </c>
      <c r="P341" s="6">
        <f>VLOOKUP(B341, 'All Menu'!B:L, 9, 0)</f>
        <v>2.0830749024904209</v>
      </c>
      <c r="Q341" s="14">
        <f>VLOOKUP(B341, 'All Menu'!B:M, 12, 0)</f>
        <v>0.57976228054106294</v>
      </c>
      <c r="R341" s="173">
        <f t="shared" si="18"/>
        <v>0</v>
      </c>
    </row>
    <row r="342" spans="1:18" ht="14" hidden="1">
      <c r="A342" s="78" t="s">
        <v>2603</v>
      </c>
      <c r="B342" s="220" t="s">
        <v>839</v>
      </c>
      <c r="C342" s="185"/>
      <c r="D342" s="103" t="str">
        <f>VLOOKUP(B342, 'All Menu'!B:M, 4, 0)</f>
        <v>فخارة دجاج بالكريمة</v>
      </c>
      <c r="E342" s="30" t="str">
        <f>VLOOKUP(B342, 'All Menu'!B:M, 2, 0)</f>
        <v>قسم الصالة</v>
      </c>
      <c r="F342" s="103" t="str">
        <f>VLOOKUP(B342, 'All Menu'!B:M, 3, 0)</f>
        <v>صواني وصاجيات صالة</v>
      </c>
      <c r="G342" s="90" t="s">
        <v>2178</v>
      </c>
      <c r="H342" s="188">
        <v>4623</v>
      </c>
      <c r="I342" s="110" t="str">
        <f>VLOOKUP(H342, 'RM &amp; SF'!B:H, 2, 0)</f>
        <v>زبدة مبسترة غير مملحة 1 كغ*****</v>
      </c>
      <c r="J342" s="184" t="str">
        <f>VLOOKUP(H342, 'RM &amp; SF'!B:E, 4, 0)</f>
        <v>غم</v>
      </c>
      <c r="K342" s="12">
        <v>30</v>
      </c>
      <c r="L342" s="13">
        <f>VLOOKUP(H342, 'RM &amp; SF'!B:H, 7, 0)</f>
        <v>2.8839999999999998E-3</v>
      </c>
      <c r="M342" s="7">
        <f t="shared" si="17"/>
        <v>8.652E-2</v>
      </c>
      <c r="N342" s="4" t="s">
        <v>825</v>
      </c>
      <c r="O342" s="4">
        <f>VLOOKUP(B342, 'All Menu'!B:L, 6, 0)</f>
        <v>4.9568965517241379</v>
      </c>
      <c r="P342" s="6">
        <f>VLOOKUP(B342, 'All Menu'!B:L, 9, 0)</f>
        <v>2.0830749024904209</v>
      </c>
      <c r="Q342" s="14">
        <f>VLOOKUP(B342, 'All Menu'!B:M, 12, 0)</f>
        <v>0.57976228054106294</v>
      </c>
      <c r="R342" s="173">
        <f t="shared" si="18"/>
        <v>0</v>
      </c>
    </row>
    <row r="343" spans="1:18" ht="14" hidden="1">
      <c r="A343" s="78" t="s">
        <v>2603</v>
      </c>
      <c r="B343" s="220" t="s">
        <v>839</v>
      </c>
      <c r="C343" s="185"/>
      <c r="D343" s="103" t="str">
        <f>VLOOKUP(B343, 'All Menu'!B:M, 4, 0)</f>
        <v>فخارة دجاج بالكريمة</v>
      </c>
      <c r="E343" s="30" t="str">
        <f>VLOOKUP(B343, 'All Menu'!B:M, 2, 0)</f>
        <v>قسم الصالة</v>
      </c>
      <c r="F343" s="103" t="str">
        <f>VLOOKUP(B343, 'All Menu'!B:M, 3, 0)</f>
        <v>صواني وصاجيات صالة</v>
      </c>
      <c r="G343" s="90" t="s">
        <v>2291</v>
      </c>
      <c r="H343" s="188">
        <v>4556</v>
      </c>
      <c r="I343" s="110" t="str">
        <f>VLOOKUP(H343, 'RM &amp; SF'!B:H, 2, 0)</f>
        <v>كريما طبخ 1 لتر*****</v>
      </c>
      <c r="J343" s="184" t="str">
        <f>VLOOKUP(H343, 'RM &amp; SF'!B:E, 4, 0)</f>
        <v>مل</v>
      </c>
      <c r="K343" s="12">
        <v>200</v>
      </c>
      <c r="L343" s="13">
        <f>VLOOKUP(H343, 'RM &amp; SF'!B:H, 7, 0)</f>
        <v>2.2269999999999998E-3</v>
      </c>
      <c r="M343" s="7">
        <f t="shared" si="17"/>
        <v>0.44539999999999996</v>
      </c>
      <c r="N343" s="4" t="s">
        <v>825</v>
      </c>
      <c r="O343" s="4">
        <f>VLOOKUP(B343, 'All Menu'!B:L, 6, 0)</f>
        <v>4.9568965517241379</v>
      </c>
      <c r="P343" s="6">
        <f>VLOOKUP(B343, 'All Menu'!B:L, 9, 0)</f>
        <v>2.0830749024904209</v>
      </c>
      <c r="Q343" s="14">
        <f>VLOOKUP(B343, 'All Menu'!B:M, 12, 0)</f>
        <v>0.57976228054106294</v>
      </c>
      <c r="R343" s="173">
        <f t="shared" si="18"/>
        <v>0</v>
      </c>
    </row>
    <row r="344" spans="1:18" ht="14" hidden="1">
      <c r="A344" s="78" t="s">
        <v>2603</v>
      </c>
      <c r="B344" s="220" t="s">
        <v>839</v>
      </c>
      <c r="C344" s="185"/>
      <c r="D344" s="103" t="str">
        <f>VLOOKUP(B344, 'All Menu'!B:M, 4, 0)</f>
        <v>فخارة دجاج بالكريمة</v>
      </c>
      <c r="E344" s="30" t="str">
        <f>VLOOKUP(B344, 'All Menu'!B:M, 2, 0)</f>
        <v>قسم الصالة</v>
      </c>
      <c r="F344" s="103" t="str">
        <f>VLOOKUP(B344, 'All Menu'!B:M, 3, 0)</f>
        <v>صواني وصاجيات صالة</v>
      </c>
      <c r="G344" s="90" t="s">
        <v>2173</v>
      </c>
      <c r="H344" s="188">
        <v>4624</v>
      </c>
      <c r="I344" s="110" t="str">
        <f>VLOOKUP(H344, 'RM &amp; SF'!B:H, 2, 0)</f>
        <v>جبنة موزريلا قالب 2.380 كغ*****</v>
      </c>
      <c r="J344" s="184" t="str">
        <f>VLOOKUP(H344, 'RM &amp; SF'!B:E, 4, 0)</f>
        <v>غم</v>
      </c>
      <c r="K344" s="12">
        <v>35</v>
      </c>
      <c r="L344" s="13">
        <f>VLOOKUP(H344, 'RM &amp; SF'!B:H, 7, 0)</f>
        <v>5.1749999999999999E-3</v>
      </c>
      <c r="M344" s="7">
        <f t="shared" si="17"/>
        <v>0.18112500000000001</v>
      </c>
      <c r="N344" s="4" t="s">
        <v>825</v>
      </c>
      <c r="O344" s="4">
        <f>VLOOKUP(B344, 'All Menu'!B:L, 6, 0)</f>
        <v>4.9568965517241379</v>
      </c>
      <c r="P344" s="6">
        <f>VLOOKUP(B344, 'All Menu'!B:L, 9, 0)</f>
        <v>2.0830749024904209</v>
      </c>
      <c r="Q344" s="14">
        <f>VLOOKUP(B344, 'All Menu'!B:M, 12, 0)</f>
        <v>0.57976228054106294</v>
      </c>
      <c r="R344" s="173">
        <f t="shared" si="18"/>
        <v>0</v>
      </c>
    </row>
    <row r="345" spans="1:18" ht="14" hidden="1">
      <c r="A345" s="78" t="s">
        <v>2603</v>
      </c>
      <c r="B345" s="220" t="s">
        <v>839</v>
      </c>
      <c r="C345" s="185"/>
      <c r="D345" s="103" t="str">
        <f>VLOOKUP(B345, 'All Menu'!B:M, 4, 0)</f>
        <v>فخارة دجاج بالكريمة</v>
      </c>
      <c r="E345" s="30" t="str">
        <f>VLOOKUP(B345, 'All Menu'!B:M, 2, 0)</f>
        <v>قسم الصالة</v>
      </c>
      <c r="F345" s="103" t="str">
        <f>VLOOKUP(B345, 'All Menu'!B:M, 3, 0)</f>
        <v>صواني وصاجيات صالة</v>
      </c>
      <c r="G345" s="90" t="s">
        <v>2203</v>
      </c>
      <c r="H345" s="188">
        <v>4152</v>
      </c>
      <c r="I345" s="110" t="str">
        <f>VLOOKUP(H345, 'RM &amp; SF'!B:H, 2, 0)</f>
        <v>ملح طعام 750غم*****</v>
      </c>
      <c r="J345" s="184" t="str">
        <f>VLOOKUP(H345, 'RM &amp; SF'!B:E, 4, 0)</f>
        <v>غم</v>
      </c>
      <c r="K345" s="12">
        <v>5</v>
      </c>
      <c r="L345" s="13">
        <f>VLOOKUP(H345, 'RM &amp; SF'!B:H, 7, 0)</f>
        <v>1.7066666666666665E-4</v>
      </c>
      <c r="M345" s="7">
        <f t="shared" si="17"/>
        <v>8.5333333333333322E-4</v>
      </c>
      <c r="N345" s="4" t="s">
        <v>825</v>
      </c>
      <c r="O345" s="4">
        <f>VLOOKUP(B345, 'All Menu'!B:L, 6, 0)</f>
        <v>4.9568965517241379</v>
      </c>
      <c r="P345" s="6">
        <f>VLOOKUP(B345, 'All Menu'!B:L, 9, 0)</f>
        <v>2.0830749024904209</v>
      </c>
      <c r="Q345" s="14">
        <f>VLOOKUP(B345, 'All Menu'!B:M, 12, 0)</f>
        <v>0.57976228054106294</v>
      </c>
      <c r="R345" s="173">
        <f t="shared" si="18"/>
        <v>0</v>
      </c>
    </row>
    <row r="346" spans="1:18" ht="14" hidden="1">
      <c r="A346" s="78" t="s">
        <v>2603</v>
      </c>
      <c r="B346" s="220" t="s">
        <v>839</v>
      </c>
      <c r="C346" s="185"/>
      <c r="D346" s="103" t="str">
        <f>VLOOKUP(B346, 'All Menu'!B:M, 4, 0)</f>
        <v>فخارة دجاج بالكريمة</v>
      </c>
      <c r="E346" s="30" t="str">
        <f>VLOOKUP(B346, 'All Menu'!B:M, 2, 0)</f>
        <v>قسم الصالة</v>
      </c>
      <c r="F346" s="103" t="str">
        <f>VLOOKUP(B346, 'All Menu'!B:M, 3, 0)</f>
        <v>صواني وصاجيات صالة</v>
      </c>
      <c r="G346" s="90" t="s">
        <v>2206</v>
      </c>
      <c r="H346" s="188">
        <v>4204</v>
      </c>
      <c r="I346" s="110" t="str">
        <f>VLOOKUP(H346, 'RM &amp; SF'!B:H, 2, 0)</f>
        <v>فلفل اسود ناعم*****</v>
      </c>
      <c r="J346" s="184" t="str">
        <f>VLOOKUP(H346, 'RM &amp; SF'!B:E, 4, 0)</f>
        <v>غم</v>
      </c>
      <c r="K346" s="12">
        <v>3</v>
      </c>
      <c r="L346" s="13">
        <f>VLOOKUP(H346, 'RM &amp; SF'!B:H, 7, 0)</f>
        <v>6.8970000000000004E-3</v>
      </c>
      <c r="M346" s="7">
        <f t="shared" si="17"/>
        <v>2.0691000000000001E-2</v>
      </c>
      <c r="N346" s="4" t="s">
        <v>825</v>
      </c>
      <c r="O346" s="4">
        <f>VLOOKUP(B346, 'All Menu'!B:L, 6, 0)</f>
        <v>4.9568965517241379</v>
      </c>
      <c r="P346" s="6">
        <f>VLOOKUP(B346, 'All Menu'!B:L, 9, 0)</f>
        <v>2.0830749024904209</v>
      </c>
      <c r="Q346" s="14">
        <f>VLOOKUP(B346, 'All Menu'!B:M, 12, 0)</f>
        <v>0.57976228054106294</v>
      </c>
      <c r="R346" s="173">
        <f t="shared" si="18"/>
        <v>0</v>
      </c>
    </row>
    <row r="347" spans="1:18" ht="14" hidden="1">
      <c r="A347" s="78" t="s">
        <v>2603</v>
      </c>
      <c r="B347" s="220" t="s">
        <v>839</v>
      </c>
      <c r="C347" s="185"/>
      <c r="D347" s="103" t="str">
        <f>VLOOKUP(B347, 'All Menu'!B:M, 4, 0)</f>
        <v>فخارة دجاج بالكريمة</v>
      </c>
      <c r="E347" s="30" t="str">
        <f>VLOOKUP(B347, 'All Menu'!B:M, 2, 0)</f>
        <v>قسم الصالة</v>
      </c>
      <c r="F347" s="103" t="str">
        <f>VLOOKUP(B347, 'All Menu'!B:M, 3, 0)</f>
        <v>صواني وصاجيات صالة</v>
      </c>
      <c r="G347" s="90" t="s">
        <v>2341</v>
      </c>
      <c r="H347" s="219" t="s">
        <v>706</v>
      </c>
      <c r="I347" s="110" t="str">
        <f>VLOOKUP(H347, 'RM &amp; SF'!B:H, 2, 0)</f>
        <v>لوز مقلي</v>
      </c>
      <c r="J347" s="184" t="str">
        <f>VLOOKUP(H347, 'RM &amp; SF'!B:E, 4, 0)</f>
        <v>غم</v>
      </c>
      <c r="K347" s="12">
        <v>15</v>
      </c>
      <c r="L347" s="13">
        <f>VLOOKUP(H347, 'RM &amp; SF'!B:H, 7, 0)</f>
        <v>4.1352327586206888E-3</v>
      </c>
      <c r="M347" s="7">
        <f t="shared" si="17"/>
        <v>6.2028491379310331E-2</v>
      </c>
      <c r="N347" s="4" t="s">
        <v>825</v>
      </c>
      <c r="O347" s="4">
        <f>VLOOKUP(B347, 'All Menu'!B:L, 6, 0)</f>
        <v>4.9568965517241379</v>
      </c>
      <c r="P347" s="6">
        <f>VLOOKUP(B347, 'All Menu'!B:L, 9, 0)</f>
        <v>2.0830749024904209</v>
      </c>
      <c r="Q347" s="14">
        <f>VLOOKUP(B347, 'All Menu'!B:M, 12, 0)</f>
        <v>0.57976228054106294</v>
      </c>
      <c r="R347" s="173">
        <f t="shared" si="18"/>
        <v>0</v>
      </c>
    </row>
    <row r="348" spans="1:18" ht="14" hidden="1">
      <c r="A348" s="78" t="s">
        <v>2603</v>
      </c>
      <c r="B348" s="220" t="s">
        <v>839</v>
      </c>
      <c r="C348" s="185"/>
      <c r="D348" s="103" t="str">
        <f>VLOOKUP(B348, 'All Menu'!B:M, 4, 0)</f>
        <v>فخارة دجاج بالكريمة</v>
      </c>
      <c r="E348" s="30" t="str">
        <f>VLOOKUP(B348, 'All Menu'!B:M, 2, 0)</f>
        <v>قسم الصالة</v>
      </c>
      <c r="F348" s="103" t="str">
        <f>VLOOKUP(B348, 'All Menu'!B:M, 3, 0)</f>
        <v>صواني وصاجيات صالة</v>
      </c>
      <c r="G348" s="90" t="s">
        <v>2251</v>
      </c>
      <c r="H348" s="188">
        <v>4544</v>
      </c>
      <c r="I348" s="110" t="str">
        <f>VLOOKUP(H348, 'RM &amp; SF'!B:H, 2, 0)</f>
        <v>بقدونس*****</v>
      </c>
      <c r="J348" s="184" t="str">
        <f>VLOOKUP(H348, 'RM &amp; SF'!B:E, 4, 0)</f>
        <v>غم</v>
      </c>
      <c r="K348" s="12">
        <v>10</v>
      </c>
      <c r="L348" s="13">
        <f>VLOOKUP(H348, 'RM &amp; SF'!B:H, 7, 0)</f>
        <v>7.5000000000000002E-4</v>
      </c>
      <c r="M348" s="7">
        <f t="shared" si="17"/>
        <v>7.4999999999999997E-3</v>
      </c>
      <c r="N348" s="4" t="s">
        <v>825</v>
      </c>
      <c r="O348" s="4">
        <f>VLOOKUP(B348, 'All Menu'!B:L, 6, 0)</f>
        <v>4.9568965517241379</v>
      </c>
      <c r="P348" s="6">
        <f>VLOOKUP(B348, 'All Menu'!B:L, 9, 0)</f>
        <v>2.0830749024904209</v>
      </c>
      <c r="Q348" s="14">
        <f>VLOOKUP(B348, 'All Menu'!B:M, 12, 0)</f>
        <v>0.57976228054106294</v>
      </c>
      <c r="R348" s="173">
        <f t="shared" si="18"/>
        <v>0</v>
      </c>
    </row>
    <row r="349" spans="1:18" ht="14" hidden="1">
      <c r="A349" s="78" t="s">
        <v>2596</v>
      </c>
      <c r="B349" s="220" t="s">
        <v>840</v>
      </c>
      <c r="C349" s="185"/>
      <c r="D349" s="103" t="str">
        <f>VLOOKUP(B349, 'All Menu'!B:M, 4, 0)</f>
        <v>صاجية دجاج</v>
      </c>
      <c r="E349" s="30" t="str">
        <f>VLOOKUP(B349, 'All Menu'!B:M, 2, 0)</f>
        <v>قسم الصالة</v>
      </c>
      <c r="F349" s="103" t="str">
        <f>VLOOKUP(B349, 'All Menu'!B:M, 3, 0)</f>
        <v>صواني وصاجيات صالة</v>
      </c>
      <c r="G349" s="90" t="s">
        <v>2445</v>
      </c>
      <c r="H349" s="219" t="s">
        <v>668</v>
      </c>
      <c r="I349" s="110" t="str">
        <f>VLOOKUP(H349, 'RM &amp; SF'!B:H, 2, 0)</f>
        <v>دجاج مسحب بالفرن انترناشونال</v>
      </c>
      <c r="J349" s="184" t="str">
        <f>VLOOKUP(H349, 'RM &amp; SF'!B:E, 4, 0)</f>
        <v>غم</v>
      </c>
      <c r="K349" s="12">
        <v>200</v>
      </c>
      <c r="L349" s="13">
        <f>VLOOKUP(H349, 'RM &amp; SF'!B:H, 7, 0)</f>
        <v>4.5947853888888886E-3</v>
      </c>
      <c r="M349" s="7">
        <f t="shared" si="17"/>
        <v>0.91895707777777769</v>
      </c>
      <c r="N349" s="4" t="s">
        <v>825</v>
      </c>
      <c r="O349" s="4">
        <f>VLOOKUP(B349, 'All Menu'!B:L, 6, 0)</f>
        <v>4.0948275862068968</v>
      </c>
      <c r="P349" s="6">
        <f>VLOOKUP(B349, 'All Menu'!B:L, 9, 0)</f>
        <v>1.0846270777777778</v>
      </c>
      <c r="Q349" s="14">
        <f>VLOOKUP(B349, 'All Menu'!B:M, 12, 0)</f>
        <v>0.73512265047953218</v>
      </c>
      <c r="R349" s="173">
        <f t="shared" si="18"/>
        <v>0</v>
      </c>
    </row>
    <row r="350" spans="1:18" ht="14" hidden="1">
      <c r="A350" s="78" t="s">
        <v>2596</v>
      </c>
      <c r="B350" s="220" t="s">
        <v>840</v>
      </c>
      <c r="C350" s="185"/>
      <c r="D350" s="103" t="str">
        <f>VLOOKUP(B350, 'All Menu'!B:M, 4, 0)</f>
        <v>صاجية دجاج</v>
      </c>
      <c r="E350" s="30" t="str">
        <f>VLOOKUP(B350, 'All Menu'!B:M, 2, 0)</f>
        <v>قسم الصالة</v>
      </c>
      <c r="F350" s="103" t="str">
        <f>VLOOKUP(B350, 'All Menu'!B:M, 3, 0)</f>
        <v>صواني وصاجيات صالة</v>
      </c>
      <c r="G350" s="90" t="s">
        <v>2234</v>
      </c>
      <c r="H350" s="188">
        <v>4503</v>
      </c>
      <c r="I350" s="110" t="str">
        <f>VLOOKUP(H350, 'RM &amp; SF'!B:H, 2, 0)</f>
        <v>بصل ناشف دفش*****</v>
      </c>
      <c r="J350" s="184" t="str">
        <f>VLOOKUP(H350, 'RM &amp; SF'!B:E, 4, 0)</f>
        <v>غم</v>
      </c>
      <c r="K350" s="12">
        <v>100</v>
      </c>
      <c r="L350" s="13">
        <f>VLOOKUP(H350, 'RM &amp; SF'!B:H, 7, 0)</f>
        <v>2.5000000000000001E-4</v>
      </c>
      <c r="M350" s="7">
        <f t="shared" si="17"/>
        <v>2.5000000000000001E-2</v>
      </c>
      <c r="N350" s="4" t="s">
        <v>825</v>
      </c>
      <c r="O350" s="4">
        <f>VLOOKUP(B350, 'All Menu'!B:L, 6, 0)</f>
        <v>4.0948275862068968</v>
      </c>
      <c r="P350" s="6">
        <f>VLOOKUP(B350, 'All Menu'!B:L, 9, 0)</f>
        <v>1.0846270777777778</v>
      </c>
      <c r="Q350" s="14">
        <f>VLOOKUP(B350, 'All Menu'!B:M, 12, 0)</f>
        <v>0.73512265047953218</v>
      </c>
      <c r="R350" s="173">
        <f t="shared" si="18"/>
        <v>0</v>
      </c>
    </row>
    <row r="351" spans="1:18" ht="14" hidden="1">
      <c r="A351" s="78" t="s">
        <v>2596</v>
      </c>
      <c r="B351" s="220" t="s">
        <v>840</v>
      </c>
      <c r="C351" s="185"/>
      <c r="D351" s="103" t="str">
        <f>VLOOKUP(B351, 'All Menu'!B:M, 4, 0)</f>
        <v>صاجية دجاج</v>
      </c>
      <c r="E351" s="30" t="str">
        <f>VLOOKUP(B351, 'All Menu'!B:M, 2, 0)</f>
        <v>قسم الصالة</v>
      </c>
      <c r="F351" s="103" t="str">
        <f>VLOOKUP(B351, 'All Menu'!B:M, 3, 0)</f>
        <v>صواني وصاجيات صالة</v>
      </c>
      <c r="G351" s="90" t="s">
        <v>2260</v>
      </c>
      <c r="H351" s="188">
        <v>4160</v>
      </c>
      <c r="I351" s="110" t="str">
        <f>VLOOKUP(H351, 'RM &amp; SF'!B:H, 2, 0)</f>
        <v>زيت صويا 18 لتر*****</v>
      </c>
      <c r="J351" s="184" t="str">
        <f>VLOOKUP(H351, 'RM &amp; SF'!B:E, 4, 0)</f>
        <v>مل</v>
      </c>
      <c r="K351" s="12">
        <v>15</v>
      </c>
      <c r="L351" s="13">
        <f>VLOOKUP(H351, 'RM &amp; SF'!B:H, 7, 0)</f>
        <v>1.335E-3</v>
      </c>
      <c r="M351" s="7">
        <f t="shared" si="17"/>
        <v>2.0025000000000001E-2</v>
      </c>
      <c r="N351" s="4" t="s">
        <v>825</v>
      </c>
      <c r="O351" s="4">
        <f>VLOOKUP(B351, 'All Menu'!B:L, 6, 0)</f>
        <v>4.0948275862068968</v>
      </c>
      <c r="P351" s="6">
        <f>VLOOKUP(B351, 'All Menu'!B:L, 9, 0)</f>
        <v>1.0846270777777778</v>
      </c>
      <c r="Q351" s="14">
        <f>VLOOKUP(B351, 'All Menu'!B:M, 12, 0)</f>
        <v>0.73512265047953218</v>
      </c>
      <c r="R351" s="173">
        <f t="shared" si="18"/>
        <v>0</v>
      </c>
    </row>
    <row r="352" spans="1:18" ht="14" hidden="1">
      <c r="A352" s="78" t="s">
        <v>2596</v>
      </c>
      <c r="B352" s="220" t="s">
        <v>840</v>
      </c>
      <c r="C352" s="185"/>
      <c r="D352" s="103" t="str">
        <f>VLOOKUP(B352, 'All Menu'!B:M, 4, 0)</f>
        <v>صاجية دجاج</v>
      </c>
      <c r="E352" s="30" t="str">
        <f>VLOOKUP(B352, 'All Menu'!B:M, 2, 0)</f>
        <v>قسم الصالة</v>
      </c>
      <c r="F352" s="103" t="str">
        <f>VLOOKUP(B352, 'All Menu'!B:M, 3, 0)</f>
        <v>صواني وصاجيات صالة</v>
      </c>
      <c r="G352" s="90" t="s">
        <v>2233</v>
      </c>
      <c r="H352" s="188">
        <v>4501</v>
      </c>
      <c r="I352" s="110" t="str">
        <f>VLOOKUP(H352, 'RM &amp; SF'!B:H, 2, 0)</f>
        <v>فلفل حلو احمر*****</v>
      </c>
      <c r="J352" s="184" t="str">
        <f>VLOOKUP(H352, 'RM &amp; SF'!B:E, 4, 0)</f>
        <v>غم</v>
      </c>
      <c r="K352" s="12">
        <v>100</v>
      </c>
      <c r="L352" s="13">
        <f>VLOOKUP(H352, 'RM &amp; SF'!B:H, 7, 0)</f>
        <v>7.5000000000000002E-4</v>
      </c>
      <c r="M352" s="7">
        <f t="shared" si="17"/>
        <v>7.4999999999999997E-2</v>
      </c>
      <c r="N352" s="4" t="s">
        <v>825</v>
      </c>
      <c r="O352" s="4">
        <f>VLOOKUP(B352, 'All Menu'!B:L, 6, 0)</f>
        <v>4.0948275862068968</v>
      </c>
      <c r="P352" s="6">
        <f>VLOOKUP(B352, 'All Menu'!B:L, 9, 0)</f>
        <v>1.0846270777777778</v>
      </c>
      <c r="Q352" s="14">
        <f>VLOOKUP(B352, 'All Menu'!B:M, 12, 0)</f>
        <v>0.73512265047953218</v>
      </c>
      <c r="R352" s="173">
        <f t="shared" si="18"/>
        <v>0</v>
      </c>
    </row>
    <row r="353" spans="1:18" ht="14" hidden="1">
      <c r="A353" s="78" t="s">
        <v>2596</v>
      </c>
      <c r="B353" s="220" t="s">
        <v>840</v>
      </c>
      <c r="C353" s="185"/>
      <c r="D353" s="103" t="str">
        <f>VLOOKUP(B353, 'All Menu'!B:M, 4, 0)</f>
        <v>صاجية دجاج</v>
      </c>
      <c r="E353" s="30" t="str">
        <f>VLOOKUP(B353, 'All Menu'!B:M, 2, 0)</f>
        <v>قسم الصالة</v>
      </c>
      <c r="F353" s="103" t="str">
        <f>VLOOKUP(B353, 'All Menu'!B:M, 3, 0)</f>
        <v>صواني وصاجيات صالة</v>
      </c>
      <c r="G353" s="90" t="s">
        <v>2203</v>
      </c>
      <c r="H353" s="188">
        <v>4152</v>
      </c>
      <c r="I353" s="110" t="str">
        <f>VLOOKUP(H353, 'RM &amp; SF'!B:H, 2, 0)</f>
        <v>ملح طعام 750غم*****</v>
      </c>
      <c r="J353" s="184" t="str">
        <f>VLOOKUP(H353, 'RM &amp; SF'!B:E, 4, 0)</f>
        <v>غم</v>
      </c>
      <c r="K353" s="12">
        <v>3</v>
      </c>
      <c r="L353" s="13">
        <f>VLOOKUP(H353, 'RM &amp; SF'!B:H, 7, 0)</f>
        <v>1.7066666666666665E-4</v>
      </c>
      <c r="M353" s="7">
        <f t="shared" si="17"/>
        <v>5.1199999999999998E-4</v>
      </c>
      <c r="N353" s="4" t="s">
        <v>825</v>
      </c>
      <c r="O353" s="4">
        <f>VLOOKUP(B353, 'All Menu'!B:L, 6, 0)</f>
        <v>4.0948275862068968</v>
      </c>
      <c r="P353" s="6">
        <f>VLOOKUP(B353, 'All Menu'!B:L, 9, 0)</f>
        <v>1.0846270777777778</v>
      </c>
      <c r="Q353" s="14">
        <f>VLOOKUP(B353, 'All Menu'!B:M, 12, 0)</f>
        <v>0.73512265047953218</v>
      </c>
      <c r="R353" s="173">
        <f t="shared" si="18"/>
        <v>0</v>
      </c>
    </row>
    <row r="354" spans="1:18" ht="14" hidden="1">
      <c r="A354" s="78" t="s">
        <v>2596</v>
      </c>
      <c r="B354" s="220" t="s">
        <v>840</v>
      </c>
      <c r="C354" s="185"/>
      <c r="D354" s="103" t="str">
        <f>VLOOKUP(B354, 'All Menu'!B:M, 4, 0)</f>
        <v>صاجية دجاج</v>
      </c>
      <c r="E354" s="30" t="str">
        <f>VLOOKUP(B354, 'All Menu'!B:M, 2, 0)</f>
        <v>قسم الصالة</v>
      </c>
      <c r="F354" s="103" t="str">
        <f>VLOOKUP(B354, 'All Menu'!B:M, 3, 0)</f>
        <v>صواني وصاجيات صالة</v>
      </c>
      <c r="G354" s="90" t="s">
        <v>2206</v>
      </c>
      <c r="H354" s="188">
        <v>4204</v>
      </c>
      <c r="I354" s="110" t="str">
        <f>VLOOKUP(H354, 'RM &amp; SF'!B:H, 2, 0)</f>
        <v>فلفل اسود ناعم*****</v>
      </c>
      <c r="J354" s="184" t="str">
        <f>VLOOKUP(H354, 'RM &amp; SF'!B:E, 4, 0)</f>
        <v>غم</v>
      </c>
      <c r="K354" s="12">
        <v>2</v>
      </c>
      <c r="L354" s="13">
        <f>VLOOKUP(H354, 'RM &amp; SF'!B:H, 7, 0)</f>
        <v>6.8970000000000004E-3</v>
      </c>
      <c r="M354" s="7">
        <f t="shared" si="17"/>
        <v>1.3794000000000001E-2</v>
      </c>
      <c r="N354" s="4" t="s">
        <v>825</v>
      </c>
      <c r="O354" s="4">
        <f>VLOOKUP(B354, 'All Menu'!B:L, 6, 0)</f>
        <v>4.0948275862068968</v>
      </c>
      <c r="P354" s="6">
        <f>VLOOKUP(B354, 'All Menu'!B:L, 9, 0)</f>
        <v>1.0846270777777778</v>
      </c>
      <c r="Q354" s="14">
        <f>VLOOKUP(B354, 'All Menu'!B:M, 12, 0)</f>
        <v>0.73512265047953218</v>
      </c>
      <c r="R354" s="173">
        <f t="shared" si="18"/>
        <v>0</v>
      </c>
    </row>
    <row r="355" spans="1:18" ht="14" hidden="1">
      <c r="A355" s="78" t="s">
        <v>2596</v>
      </c>
      <c r="B355" s="220" t="s">
        <v>840</v>
      </c>
      <c r="C355" s="185"/>
      <c r="D355" s="103" t="str">
        <f>VLOOKUP(B355, 'All Menu'!B:M, 4, 0)</f>
        <v>صاجية دجاج</v>
      </c>
      <c r="E355" s="30" t="str">
        <f>VLOOKUP(B355, 'All Menu'!B:M, 2, 0)</f>
        <v>قسم الصالة</v>
      </c>
      <c r="F355" s="103" t="str">
        <f>VLOOKUP(B355, 'All Menu'!B:M, 3, 0)</f>
        <v>صواني وصاجيات صالة</v>
      </c>
      <c r="G355" s="90" t="s">
        <v>2231</v>
      </c>
      <c r="H355" s="188">
        <v>4499</v>
      </c>
      <c r="I355" s="110" t="str">
        <f>VLOOKUP(H355, 'RM &amp; SF'!B:H, 2, 0)</f>
        <v>فلفل حار اخضر*****</v>
      </c>
      <c r="J355" s="184" t="str">
        <f>VLOOKUP(H355, 'RM &amp; SF'!B:E, 4, 0)</f>
        <v>غم</v>
      </c>
      <c r="K355" s="12">
        <v>20</v>
      </c>
      <c r="L355" s="13">
        <f>VLOOKUP(H355, 'RM &amp; SF'!B:H, 7, 0)</f>
        <v>5.0000000000000001E-4</v>
      </c>
      <c r="M355" s="7">
        <f t="shared" si="17"/>
        <v>0.01</v>
      </c>
      <c r="N355" s="4" t="s">
        <v>825</v>
      </c>
      <c r="O355" s="4">
        <f>VLOOKUP(B355, 'All Menu'!B:L, 6, 0)</f>
        <v>4.0948275862068968</v>
      </c>
      <c r="P355" s="6">
        <f>VLOOKUP(B355, 'All Menu'!B:L, 9, 0)</f>
        <v>1.0846270777777778</v>
      </c>
      <c r="Q355" s="14">
        <f>VLOOKUP(B355, 'All Menu'!B:M, 12, 0)</f>
        <v>0.73512265047953218</v>
      </c>
      <c r="R355" s="173">
        <f t="shared" si="18"/>
        <v>0</v>
      </c>
    </row>
    <row r="356" spans="1:18" ht="14" hidden="1">
      <c r="A356" s="78" t="s">
        <v>2596</v>
      </c>
      <c r="B356" s="220" t="s">
        <v>840</v>
      </c>
      <c r="C356" s="185"/>
      <c r="D356" s="103" t="str">
        <f>VLOOKUP(B356, 'All Menu'!B:M, 4, 0)</f>
        <v>صاجية دجاج</v>
      </c>
      <c r="E356" s="30" t="str">
        <f>VLOOKUP(B356, 'All Menu'!B:M, 2, 0)</f>
        <v>قسم الصالة</v>
      </c>
      <c r="F356" s="103" t="str">
        <f>VLOOKUP(B356, 'All Menu'!B:M, 3, 0)</f>
        <v>صواني وصاجيات صالة</v>
      </c>
      <c r="G356" s="90" t="s">
        <v>2223</v>
      </c>
      <c r="H356" s="188">
        <v>4241</v>
      </c>
      <c r="I356" s="110" t="str">
        <f>VLOOKUP(H356, 'RM &amp; SF'!B:H, 2, 0)</f>
        <v>بهارات كيجن عادي*****</v>
      </c>
      <c r="J356" s="184" t="str">
        <f>VLOOKUP(H356, 'RM &amp; SF'!B:E, 4, 0)</f>
        <v>غم</v>
      </c>
      <c r="K356" s="12">
        <v>3</v>
      </c>
      <c r="L356" s="13">
        <f>VLOOKUP(H356, 'RM &amp; SF'!B:H, 7, 0)</f>
        <v>3.8790000000000001E-3</v>
      </c>
      <c r="M356" s="7">
        <f t="shared" ref="M356:M414" si="19">L356*K356</f>
        <v>1.1637E-2</v>
      </c>
      <c r="N356" s="4" t="s">
        <v>825</v>
      </c>
      <c r="O356" s="4">
        <f>VLOOKUP(B356, 'All Menu'!B:L, 6, 0)</f>
        <v>4.0948275862068968</v>
      </c>
      <c r="P356" s="6">
        <f>VLOOKUP(B356, 'All Menu'!B:L, 9, 0)</f>
        <v>1.0846270777777778</v>
      </c>
      <c r="Q356" s="14">
        <f>VLOOKUP(B356, 'All Menu'!B:M, 12, 0)</f>
        <v>0.73512265047953218</v>
      </c>
      <c r="R356" s="173">
        <f t="shared" si="18"/>
        <v>0</v>
      </c>
    </row>
    <row r="357" spans="1:18" ht="14" hidden="1">
      <c r="A357" s="78" t="s">
        <v>2596</v>
      </c>
      <c r="B357" s="220" t="s">
        <v>840</v>
      </c>
      <c r="C357" s="185"/>
      <c r="D357" s="103" t="str">
        <f>VLOOKUP(B357, 'All Menu'!B:M, 4, 0)</f>
        <v>صاجية دجاج</v>
      </c>
      <c r="E357" s="30" t="str">
        <f>VLOOKUP(B357, 'All Menu'!B:M, 2, 0)</f>
        <v>قسم الصالة</v>
      </c>
      <c r="F357" s="103" t="str">
        <f>VLOOKUP(B357, 'All Menu'!B:M, 3, 0)</f>
        <v>صواني وصاجيات صالة</v>
      </c>
      <c r="G357" s="90" t="s">
        <v>2345</v>
      </c>
      <c r="H357" s="219" t="s">
        <v>714</v>
      </c>
      <c r="I357" s="110" t="str">
        <f>VLOOKUP(H357, 'RM &amp; SF'!B:H, 2, 0)</f>
        <v>ثوم وزيت</v>
      </c>
      <c r="J357" s="184" t="str">
        <f>VLOOKUP(H357, 'RM &amp; SF'!B:E, 4, 0)</f>
        <v>غم</v>
      </c>
      <c r="K357" s="12">
        <v>3</v>
      </c>
      <c r="L357" s="13">
        <f>VLOOKUP(H357, 'RM &amp; SF'!B:H, 7, 0)</f>
        <v>3.2339999999999999E-3</v>
      </c>
      <c r="M357" s="7">
        <f t="shared" si="19"/>
        <v>9.7019999999999988E-3</v>
      </c>
      <c r="N357" s="4" t="s">
        <v>825</v>
      </c>
      <c r="O357" s="4">
        <f>VLOOKUP(B357, 'All Menu'!B:L, 6, 0)</f>
        <v>4.0948275862068968</v>
      </c>
      <c r="P357" s="6">
        <f>VLOOKUP(B357, 'All Menu'!B:L, 9, 0)</f>
        <v>1.0846270777777778</v>
      </c>
      <c r="Q357" s="14">
        <f>VLOOKUP(B357, 'All Menu'!B:M, 12, 0)</f>
        <v>0.73512265047953218</v>
      </c>
      <c r="R357" s="173">
        <f t="shared" si="18"/>
        <v>0</v>
      </c>
    </row>
    <row r="358" spans="1:18" ht="14" hidden="1">
      <c r="A358" s="78" t="s">
        <v>2600</v>
      </c>
      <c r="B358" s="220" t="s">
        <v>841</v>
      </c>
      <c r="C358" s="185"/>
      <c r="D358" s="103" t="str">
        <f>VLOOKUP(B358, 'All Menu'!B:M, 4, 0)</f>
        <v>لسانات مطفى</v>
      </c>
      <c r="E358" s="30" t="str">
        <f>VLOOKUP(B358, 'All Menu'!B:M, 2, 0)</f>
        <v>قسم الصالة</v>
      </c>
      <c r="F358" s="103" t="str">
        <f>VLOOKUP(B358, 'All Menu'!B:M, 3, 0)</f>
        <v>صواني وصاجيات صالة</v>
      </c>
      <c r="G358" s="90" t="s">
        <v>3058</v>
      </c>
      <c r="H358" s="188">
        <v>4658</v>
      </c>
      <c r="I358" s="110" t="str">
        <f>VLOOKUP(H358, 'RM &amp; SF'!B:H, 2, 0)</f>
        <v>لسانات مجمدة استرالي*****</v>
      </c>
      <c r="J358" s="184" t="str">
        <f>VLOOKUP(H358, 'RM &amp; SF'!B:E, 4, 0)</f>
        <v>غم</v>
      </c>
      <c r="K358" s="12">
        <v>200</v>
      </c>
      <c r="L358" s="13">
        <f>VLOOKUP(H358, 'RM &amp; SF'!B:H, 7, 0)</f>
        <v>4.2500000000000003E-3</v>
      </c>
      <c r="M358" s="7">
        <f t="shared" si="19"/>
        <v>0.85000000000000009</v>
      </c>
      <c r="N358" s="4" t="s">
        <v>825</v>
      </c>
      <c r="O358" s="4">
        <f>VLOOKUP(B358, 'All Menu'!B:L, 6, 0)</f>
        <v>4.0948275862068968</v>
      </c>
      <c r="P358" s="6">
        <f>VLOOKUP(B358, 'All Menu'!B:L, 9, 0)</f>
        <v>1.1253883528735633</v>
      </c>
      <c r="Q358" s="14">
        <f>VLOOKUP(B358, 'All Menu'!B:M, 12, 0)</f>
        <v>0.72516831803508774</v>
      </c>
      <c r="R358" s="173">
        <f t="shared" si="18"/>
        <v>0</v>
      </c>
    </row>
    <row r="359" spans="1:18" ht="14" hidden="1">
      <c r="A359" s="78" t="s">
        <v>2600</v>
      </c>
      <c r="B359" s="220" t="s">
        <v>841</v>
      </c>
      <c r="C359" s="185"/>
      <c r="D359" s="103" t="str">
        <f>VLOOKUP(B359, 'All Menu'!B:M, 4, 0)</f>
        <v>لسانات مطفى</v>
      </c>
      <c r="E359" s="30" t="str">
        <f>VLOOKUP(B359, 'All Menu'!B:M, 2, 0)</f>
        <v>قسم الصالة</v>
      </c>
      <c r="F359" s="103" t="str">
        <f>VLOOKUP(B359, 'All Menu'!B:M, 3, 0)</f>
        <v>صواني وصاجيات صالة</v>
      </c>
      <c r="G359" s="90" t="s">
        <v>2230</v>
      </c>
      <c r="H359" s="188">
        <v>4497</v>
      </c>
      <c r="I359" s="110" t="str">
        <f>VLOOKUP(H359, 'RM &amp; SF'!B:H, 2, 0)</f>
        <v>بطاطا*****</v>
      </c>
      <c r="J359" s="184" t="str">
        <f>VLOOKUP(H359, 'RM &amp; SF'!B:E, 4, 0)</f>
        <v>غم</v>
      </c>
      <c r="K359" s="12">
        <v>50</v>
      </c>
      <c r="L359" s="13">
        <f>VLOOKUP(H359, 'RM &amp; SF'!B:H, 7, 0)</f>
        <v>4.0000000000000002E-4</v>
      </c>
      <c r="M359" s="7">
        <f t="shared" si="19"/>
        <v>0.02</v>
      </c>
      <c r="N359" s="4" t="s">
        <v>825</v>
      </c>
      <c r="O359" s="4">
        <f>VLOOKUP(B359, 'All Menu'!B:L, 6, 0)</f>
        <v>4.0948275862068968</v>
      </c>
      <c r="P359" s="6">
        <f>VLOOKUP(B359, 'All Menu'!B:L, 9, 0)</f>
        <v>1.1253883528735633</v>
      </c>
      <c r="Q359" s="14">
        <f>VLOOKUP(B359, 'All Menu'!B:M, 12, 0)</f>
        <v>0.72516831803508774</v>
      </c>
      <c r="R359" s="173">
        <f t="shared" si="18"/>
        <v>0</v>
      </c>
    </row>
    <row r="360" spans="1:18" ht="14" hidden="1">
      <c r="A360" s="78" t="s">
        <v>2600</v>
      </c>
      <c r="B360" s="220" t="s">
        <v>841</v>
      </c>
      <c r="C360" s="185"/>
      <c r="D360" s="103" t="str">
        <f>VLOOKUP(B360, 'All Menu'!B:M, 4, 0)</f>
        <v>لسانات مطفى</v>
      </c>
      <c r="E360" s="30" t="str">
        <f>VLOOKUP(B360, 'All Menu'!B:M, 2, 0)</f>
        <v>قسم الصالة</v>
      </c>
      <c r="F360" s="103" t="str">
        <f>VLOOKUP(B360, 'All Menu'!B:M, 3, 0)</f>
        <v>صواني وصاجيات صالة</v>
      </c>
      <c r="G360" s="90" t="s">
        <v>2209</v>
      </c>
      <c r="H360" s="188">
        <v>4546</v>
      </c>
      <c r="I360" s="110" t="str">
        <f>VLOOKUP(H360, 'RM &amp; SF'!B:H, 2, 0)</f>
        <v>كزبرة*****</v>
      </c>
      <c r="J360" s="184" t="str">
        <f>VLOOKUP(H360, 'RM &amp; SF'!B:E, 4, 0)</f>
        <v>قطعة</v>
      </c>
      <c r="K360" s="12">
        <v>0.2</v>
      </c>
      <c r="L360" s="13">
        <f>VLOOKUP(H360, 'RM &amp; SF'!B:H, 7, 0)</f>
        <v>1E-3</v>
      </c>
      <c r="M360" s="7">
        <f t="shared" si="19"/>
        <v>2.0000000000000001E-4</v>
      </c>
      <c r="N360" s="4" t="s">
        <v>825</v>
      </c>
      <c r="O360" s="4">
        <f>VLOOKUP(B360, 'All Menu'!B:L, 6, 0)</f>
        <v>4.0948275862068968</v>
      </c>
      <c r="P360" s="6">
        <f>VLOOKUP(B360, 'All Menu'!B:L, 9, 0)</f>
        <v>1.1253883528735633</v>
      </c>
      <c r="Q360" s="14">
        <f>VLOOKUP(B360, 'All Menu'!B:M, 12, 0)</f>
        <v>0.72516831803508774</v>
      </c>
      <c r="R360" s="173">
        <f t="shared" si="18"/>
        <v>0</v>
      </c>
    </row>
    <row r="361" spans="1:18" ht="14" hidden="1">
      <c r="A361" s="78" t="s">
        <v>2600</v>
      </c>
      <c r="B361" s="220" t="s">
        <v>841</v>
      </c>
      <c r="C361" s="185"/>
      <c r="D361" s="103" t="str">
        <f>VLOOKUP(B361, 'All Menu'!B:M, 4, 0)</f>
        <v>لسانات مطفى</v>
      </c>
      <c r="E361" s="30" t="str">
        <f>VLOOKUP(B361, 'All Menu'!B:M, 2, 0)</f>
        <v>قسم الصالة</v>
      </c>
      <c r="F361" s="103" t="str">
        <f>VLOOKUP(B361, 'All Menu'!B:M, 3, 0)</f>
        <v>صواني وصاجيات صالة</v>
      </c>
      <c r="G361" s="90" t="s">
        <v>2446</v>
      </c>
      <c r="H361" s="219" t="s">
        <v>670</v>
      </c>
      <c r="I361" s="110" t="str">
        <f>VLOOKUP(H361, 'RM &amp; SF'!B:H, 2, 0)</f>
        <v xml:space="preserve">صوص مطفى </v>
      </c>
      <c r="J361" s="184" t="str">
        <f>VLOOKUP(H361, 'RM &amp; SF'!B:E, 4, 0)</f>
        <v>غم</v>
      </c>
      <c r="K361" s="12">
        <v>60</v>
      </c>
      <c r="L361" s="13">
        <f>VLOOKUP(H361, 'RM &amp; SF'!B:H, 7, 0)</f>
        <v>1.5630349999999999E-3</v>
      </c>
      <c r="M361" s="7">
        <f t="shared" si="19"/>
        <v>9.3782099999999993E-2</v>
      </c>
      <c r="N361" s="4" t="s">
        <v>825</v>
      </c>
      <c r="O361" s="4">
        <f>VLOOKUP(B361, 'All Menu'!B:L, 6, 0)</f>
        <v>4.0948275862068968</v>
      </c>
      <c r="P361" s="6">
        <f>VLOOKUP(B361, 'All Menu'!B:L, 9, 0)</f>
        <v>1.1253883528735633</v>
      </c>
      <c r="Q361" s="14">
        <f>VLOOKUP(B361, 'All Menu'!B:M, 12, 0)</f>
        <v>0.72516831803508774</v>
      </c>
      <c r="R361" s="173">
        <f t="shared" si="18"/>
        <v>0</v>
      </c>
    </row>
    <row r="362" spans="1:18" ht="14" hidden="1">
      <c r="A362" s="78" t="s">
        <v>2600</v>
      </c>
      <c r="B362" s="220" t="s">
        <v>841</v>
      </c>
      <c r="C362" s="185"/>
      <c r="D362" s="103" t="str">
        <f>VLOOKUP(B362, 'All Menu'!B:M, 4, 0)</f>
        <v>لسانات مطفى</v>
      </c>
      <c r="E362" s="30" t="str">
        <f>VLOOKUP(B362, 'All Menu'!B:M, 2, 0)</f>
        <v>قسم الصالة</v>
      </c>
      <c r="F362" s="103" t="str">
        <f>VLOOKUP(B362, 'All Menu'!B:M, 3, 0)</f>
        <v>صواني وصاجيات صالة</v>
      </c>
      <c r="G362" s="90" t="s">
        <v>2178</v>
      </c>
      <c r="H362" s="188">
        <v>4623</v>
      </c>
      <c r="I362" s="110" t="str">
        <f>VLOOKUP(H362, 'RM &amp; SF'!B:H, 2, 0)</f>
        <v>زبدة مبسترة غير مملحة 1 كغ*****</v>
      </c>
      <c r="J362" s="184" t="str">
        <f>VLOOKUP(H362, 'RM &amp; SF'!B:E, 4, 0)</f>
        <v>غم</v>
      </c>
      <c r="K362" s="12" t="s">
        <v>842</v>
      </c>
      <c r="L362" s="13">
        <f>VLOOKUP(H362, 'RM &amp; SF'!B:H, 7, 0)</f>
        <v>2.8839999999999998E-3</v>
      </c>
      <c r="M362" s="7">
        <f t="shared" si="19"/>
        <v>0.11535999999999999</v>
      </c>
      <c r="N362" s="4" t="s">
        <v>825</v>
      </c>
      <c r="O362" s="4">
        <f>VLOOKUP(B362, 'All Menu'!B:L, 6, 0)</f>
        <v>4.0948275862068968</v>
      </c>
      <c r="P362" s="6">
        <f>VLOOKUP(B362, 'All Menu'!B:L, 9, 0)</f>
        <v>1.1253883528735633</v>
      </c>
      <c r="Q362" s="14">
        <f>VLOOKUP(B362, 'All Menu'!B:M, 12, 0)</f>
        <v>0.72516831803508774</v>
      </c>
      <c r="R362" s="173">
        <f t="shared" si="18"/>
        <v>0</v>
      </c>
    </row>
    <row r="363" spans="1:18" ht="15.5" hidden="1">
      <c r="A363" s="78" t="s">
        <v>2600</v>
      </c>
      <c r="B363" s="220" t="s">
        <v>841</v>
      </c>
      <c r="C363" s="185"/>
      <c r="D363" s="103" t="str">
        <f>VLOOKUP(B363, 'All Menu'!B:M, 4, 0)</f>
        <v>لسانات مطفى</v>
      </c>
      <c r="E363" s="30" t="str">
        <f>VLOOKUP(B363, 'All Menu'!B:M, 2, 0)</f>
        <v>قسم الصالة</v>
      </c>
      <c r="F363" s="103" t="str">
        <f>VLOOKUP(B363, 'All Menu'!B:M, 3, 0)</f>
        <v>صواني وصاجيات صالة</v>
      </c>
      <c r="G363" s="90" t="s">
        <v>2321</v>
      </c>
      <c r="H363" s="67">
        <v>5292</v>
      </c>
      <c r="I363" s="110" t="str">
        <f>VLOOKUP(H363, 'RM &amp; SF'!B:H, 2, 0)</f>
        <v>ثوم مقشر*****</v>
      </c>
      <c r="J363" s="184" t="str">
        <f>VLOOKUP(H363, 'RM &amp; SF'!B:E, 4, 0)</f>
        <v>غم</v>
      </c>
      <c r="K363" s="12">
        <v>5</v>
      </c>
      <c r="L363" s="13">
        <f>VLOOKUP(H363, 'RM &amp; SF'!B:H, 7, 0)</f>
        <v>4.4999999999999997E-3</v>
      </c>
      <c r="M363" s="7">
        <f t="shared" si="19"/>
        <v>2.2499999999999999E-2</v>
      </c>
      <c r="N363" s="4" t="s">
        <v>825</v>
      </c>
      <c r="O363" s="4">
        <f>VLOOKUP(B363, 'All Menu'!B:L, 6, 0)</f>
        <v>4.0948275862068968</v>
      </c>
      <c r="P363" s="6">
        <f>VLOOKUP(B363, 'All Menu'!B:L, 9, 0)</f>
        <v>1.1253883528735633</v>
      </c>
      <c r="Q363" s="14">
        <f>VLOOKUP(B363, 'All Menu'!B:M, 12, 0)</f>
        <v>0.72516831803508774</v>
      </c>
      <c r="R363" s="173">
        <f t="shared" si="18"/>
        <v>0</v>
      </c>
    </row>
    <row r="364" spans="1:18" ht="14" hidden="1">
      <c r="A364" s="78" t="s">
        <v>2600</v>
      </c>
      <c r="B364" s="220" t="s">
        <v>841</v>
      </c>
      <c r="C364" s="185"/>
      <c r="D364" s="103" t="str">
        <f>VLOOKUP(B364, 'All Menu'!B:M, 4, 0)</f>
        <v>لسانات مطفى</v>
      </c>
      <c r="E364" s="30" t="str">
        <f>VLOOKUP(B364, 'All Menu'!B:M, 2, 0)</f>
        <v>قسم الصالة</v>
      </c>
      <c r="F364" s="103" t="str">
        <f>VLOOKUP(B364, 'All Menu'!B:M, 3, 0)</f>
        <v>صواني وصاجيات صالة</v>
      </c>
      <c r="G364" s="90" t="s">
        <v>2203</v>
      </c>
      <c r="H364" s="188">
        <v>4152</v>
      </c>
      <c r="I364" s="110" t="str">
        <f>VLOOKUP(H364, 'RM &amp; SF'!B:H, 2, 0)</f>
        <v>ملح طعام 750غم*****</v>
      </c>
      <c r="J364" s="184" t="str">
        <f>VLOOKUP(H364, 'RM &amp; SF'!B:E, 4, 0)</f>
        <v>غم</v>
      </c>
      <c r="K364" s="12">
        <v>2</v>
      </c>
      <c r="L364" s="13">
        <f>VLOOKUP(H364, 'RM &amp; SF'!B:H, 7, 0)</f>
        <v>1.7066666666666665E-4</v>
      </c>
      <c r="M364" s="7">
        <f t="shared" si="19"/>
        <v>3.413333333333333E-4</v>
      </c>
      <c r="N364" s="4" t="s">
        <v>825</v>
      </c>
      <c r="O364" s="4">
        <f>VLOOKUP(B364, 'All Menu'!B:L, 6, 0)</f>
        <v>4.0948275862068968</v>
      </c>
      <c r="P364" s="6">
        <f>VLOOKUP(B364, 'All Menu'!B:L, 9, 0)</f>
        <v>1.1253883528735633</v>
      </c>
      <c r="Q364" s="14">
        <f>VLOOKUP(B364, 'All Menu'!B:M, 12, 0)</f>
        <v>0.72516831803508774</v>
      </c>
      <c r="R364" s="173">
        <f t="shared" si="18"/>
        <v>0</v>
      </c>
    </row>
    <row r="365" spans="1:18" ht="14" hidden="1">
      <c r="A365" s="78" t="s">
        <v>2600</v>
      </c>
      <c r="B365" s="220" t="s">
        <v>841</v>
      </c>
      <c r="C365" s="185"/>
      <c r="D365" s="103" t="str">
        <f>VLOOKUP(B365, 'All Menu'!B:M, 4, 0)</f>
        <v>لسانات مطفى</v>
      </c>
      <c r="E365" s="30" t="str">
        <f>VLOOKUP(B365, 'All Menu'!B:M, 2, 0)</f>
        <v>قسم الصالة</v>
      </c>
      <c r="F365" s="103" t="str">
        <f>VLOOKUP(B365, 'All Menu'!B:M, 3, 0)</f>
        <v>صواني وصاجيات صالة</v>
      </c>
      <c r="G365" s="90" t="s">
        <v>2206</v>
      </c>
      <c r="H365" s="188">
        <v>4204</v>
      </c>
      <c r="I365" s="110" t="str">
        <f>VLOOKUP(H365, 'RM &amp; SF'!B:H, 2, 0)</f>
        <v>فلفل اسود ناعم*****</v>
      </c>
      <c r="J365" s="184" t="str">
        <f>VLOOKUP(H365, 'RM &amp; SF'!B:E, 4, 0)</f>
        <v>غم</v>
      </c>
      <c r="K365" s="12">
        <v>2</v>
      </c>
      <c r="L365" s="13">
        <f>VLOOKUP(H365, 'RM &amp; SF'!B:H, 7, 0)</f>
        <v>6.8970000000000004E-3</v>
      </c>
      <c r="M365" s="7">
        <f t="shared" si="19"/>
        <v>1.3794000000000001E-2</v>
      </c>
      <c r="N365" s="4" t="s">
        <v>825</v>
      </c>
      <c r="O365" s="4">
        <f>VLOOKUP(B365, 'All Menu'!B:L, 6, 0)</f>
        <v>4.0948275862068968</v>
      </c>
      <c r="P365" s="6">
        <f>VLOOKUP(B365, 'All Menu'!B:L, 9, 0)</f>
        <v>1.1253883528735633</v>
      </c>
      <c r="Q365" s="14">
        <f>VLOOKUP(B365, 'All Menu'!B:M, 12, 0)</f>
        <v>0.72516831803508774</v>
      </c>
      <c r="R365" s="173">
        <f t="shared" si="18"/>
        <v>0</v>
      </c>
    </row>
    <row r="366" spans="1:18" ht="14" hidden="1">
      <c r="A366" s="78" t="s">
        <v>2600</v>
      </c>
      <c r="B366" s="220" t="s">
        <v>841</v>
      </c>
      <c r="C366" s="185"/>
      <c r="D366" s="103" t="str">
        <f>VLOOKUP(B366, 'All Menu'!B:M, 4, 0)</f>
        <v>لسانات مطفى</v>
      </c>
      <c r="E366" s="30" t="str">
        <f>VLOOKUP(B366, 'All Menu'!B:M, 2, 0)</f>
        <v>قسم الصالة</v>
      </c>
      <c r="F366" s="103" t="str">
        <f>VLOOKUP(B366, 'All Menu'!B:M, 3, 0)</f>
        <v>صواني وصاجيات صالة</v>
      </c>
      <c r="G366" s="90" t="s">
        <v>3058</v>
      </c>
      <c r="H366" s="188">
        <v>4022</v>
      </c>
      <c r="I366" s="110" t="str">
        <f>VLOOKUP(H366, 'RM &amp; SF'!B:H, 2, 0)</f>
        <v>مرق الدجاج بودرة 1 كغ*****</v>
      </c>
      <c r="J366" s="184" t="str">
        <f>VLOOKUP(H366, 'RM &amp; SF'!B:E, 4, 0)</f>
        <v>غم</v>
      </c>
      <c r="K366" s="12">
        <v>2</v>
      </c>
      <c r="L366" s="13">
        <f>VLOOKUP(H366, 'RM &amp; SF'!B:H, 7, 0)</f>
        <v>4.7054597701149427E-3</v>
      </c>
      <c r="M366" s="7">
        <f t="shared" si="19"/>
        <v>9.4109195402298854E-3</v>
      </c>
      <c r="N366" s="4" t="s">
        <v>825</v>
      </c>
      <c r="O366" s="4">
        <f>VLOOKUP(B366, 'All Menu'!B:L, 6, 0)</f>
        <v>4.0948275862068968</v>
      </c>
      <c r="P366" s="6">
        <f>VLOOKUP(B366, 'All Menu'!B:L, 9, 0)</f>
        <v>1.1253883528735633</v>
      </c>
      <c r="Q366" s="14">
        <f>VLOOKUP(B366, 'All Menu'!B:M, 12, 0)</f>
        <v>0.72516831803508774</v>
      </c>
      <c r="R366" s="173">
        <f t="shared" ref="R366:R424" si="20">C366*K366</f>
        <v>0</v>
      </c>
    </row>
    <row r="367" spans="1:18" ht="14" hidden="1">
      <c r="A367" s="78" t="s">
        <v>2550</v>
      </c>
      <c r="B367" s="220" t="s">
        <v>843</v>
      </c>
      <c r="C367" s="185"/>
      <c r="D367" s="103" t="str">
        <f>VLOOKUP(B367, 'All Menu'!B:M, 4, 0)</f>
        <v>فتة باذنجان</v>
      </c>
      <c r="E367" s="30" t="str">
        <f>VLOOKUP(B367, 'All Menu'!B:M, 2, 0)</f>
        <v>قسم الصالة</v>
      </c>
      <c r="F367" s="103" t="str">
        <f>VLOOKUP(B367, 'All Menu'!B:M, 3, 0)</f>
        <v>فتات صالة</v>
      </c>
      <c r="G367" s="90" t="s">
        <v>2405</v>
      </c>
      <c r="H367" s="219" t="s">
        <v>494</v>
      </c>
      <c r="I367" s="110" t="str">
        <f>VLOOKUP(H367, 'RM &amp; SF'!B:H, 2, 0)</f>
        <v>لحمة مفرومة</v>
      </c>
      <c r="J367" s="184" t="str">
        <f>VLOOKUP(H367, 'RM &amp; SF'!B:E, 4, 0)</f>
        <v>غم</v>
      </c>
      <c r="K367" s="12">
        <v>70</v>
      </c>
      <c r="L367" s="13">
        <f>VLOOKUP(H367, 'RM &amp; SF'!B:H, 7, 0)</f>
        <v>7.2070000000000007E-3</v>
      </c>
      <c r="M367" s="7">
        <f t="shared" si="19"/>
        <v>0.50449000000000011</v>
      </c>
      <c r="N367" s="4" t="s">
        <v>825</v>
      </c>
      <c r="O367" s="4">
        <f>VLOOKUP(B367, 'All Menu'!B:L, 6, 0)</f>
        <v>4.9568965517241379</v>
      </c>
      <c r="P367" s="6">
        <f>VLOOKUP(B367, 'All Menu'!B:L, 9, 0)</f>
        <v>1.1318647891508262</v>
      </c>
      <c r="Q367" s="14">
        <f>VLOOKUP(B367, 'All Menu'!B:M, 12, 0)</f>
        <v>0.77165858166696377</v>
      </c>
      <c r="R367" s="173">
        <f t="shared" si="20"/>
        <v>0</v>
      </c>
    </row>
    <row r="368" spans="1:18" ht="14" hidden="1">
      <c r="A368" s="78" t="s">
        <v>2550</v>
      </c>
      <c r="B368" s="220" t="s">
        <v>843</v>
      </c>
      <c r="C368" s="185"/>
      <c r="D368" s="103" t="str">
        <f>VLOOKUP(B368, 'All Menu'!B:M, 4, 0)</f>
        <v>فتة باذنجان</v>
      </c>
      <c r="E368" s="30" t="str">
        <f>VLOOKUP(B368, 'All Menu'!B:M, 2, 0)</f>
        <v>قسم الصالة</v>
      </c>
      <c r="F368" s="103" t="str">
        <f>VLOOKUP(B368, 'All Menu'!B:M, 3, 0)</f>
        <v>فتات صالة</v>
      </c>
      <c r="G368" s="90" t="s">
        <v>2229</v>
      </c>
      <c r="H368" s="188">
        <v>4494</v>
      </c>
      <c r="I368" s="110" t="str">
        <f>VLOOKUP(H368, 'RM &amp; SF'!B:H, 2, 0)</f>
        <v>باذنجان (اسود) كلاسك*****</v>
      </c>
      <c r="J368" s="184" t="str">
        <f>VLOOKUP(H368, 'RM &amp; SF'!B:E, 4, 0)</f>
        <v>غم</v>
      </c>
      <c r="K368" s="12">
        <v>70</v>
      </c>
      <c r="L368" s="13">
        <f>VLOOKUP(H368, 'RM &amp; SF'!B:H, 7, 0)</f>
        <v>4.4999999999999999E-4</v>
      </c>
      <c r="M368" s="7">
        <f t="shared" si="19"/>
        <v>3.15E-2</v>
      </c>
      <c r="N368" s="4" t="s">
        <v>825</v>
      </c>
      <c r="O368" s="4">
        <f>VLOOKUP(B368, 'All Menu'!B:L, 6, 0)</f>
        <v>4.9568965517241379</v>
      </c>
      <c r="P368" s="6">
        <f>VLOOKUP(B368, 'All Menu'!B:L, 9, 0)</f>
        <v>1.1318647891508262</v>
      </c>
      <c r="Q368" s="14">
        <f>VLOOKUP(B368, 'All Menu'!B:M, 12, 0)</f>
        <v>0.77165858166696377</v>
      </c>
      <c r="R368" s="173">
        <f t="shared" si="20"/>
        <v>0</v>
      </c>
    </row>
    <row r="369" spans="1:18" ht="14" hidden="1">
      <c r="A369" s="78" t="s">
        <v>2550</v>
      </c>
      <c r="B369" s="220" t="s">
        <v>843</v>
      </c>
      <c r="C369" s="185"/>
      <c r="D369" s="103" t="str">
        <f>VLOOKUP(B369, 'All Menu'!B:M, 4, 0)</f>
        <v>فتة باذنجان</v>
      </c>
      <c r="E369" s="30" t="str">
        <f>VLOOKUP(B369, 'All Menu'!B:M, 2, 0)</f>
        <v>قسم الصالة</v>
      </c>
      <c r="F369" s="103" t="str">
        <f>VLOOKUP(B369, 'All Menu'!B:M, 3, 0)</f>
        <v>فتات صالة</v>
      </c>
      <c r="G369" s="90" t="s">
        <v>2434</v>
      </c>
      <c r="H369" s="219" t="s">
        <v>574</v>
      </c>
      <c r="I369" s="110" t="str">
        <f>VLOOKUP(H369, 'RM &amp; SF'!B:H, 2, 0)</f>
        <v>صوص بندورة</v>
      </c>
      <c r="J369" s="184" t="str">
        <f>VLOOKUP(H369, 'RM &amp; SF'!B:E, 4, 0)</f>
        <v>غم</v>
      </c>
      <c r="K369" s="12">
        <v>200</v>
      </c>
      <c r="L369" s="13">
        <f>VLOOKUP(H369, 'RM &amp; SF'!B:H, 7, 0)</f>
        <v>1.1346600487634969E-3</v>
      </c>
      <c r="M369" s="7">
        <f t="shared" si="19"/>
        <v>0.22693200975269939</v>
      </c>
      <c r="N369" s="4" t="s">
        <v>825</v>
      </c>
      <c r="O369" s="4">
        <f>VLOOKUP(B369, 'All Menu'!B:L, 6, 0)</f>
        <v>4.9568965517241379</v>
      </c>
      <c r="P369" s="6">
        <f>VLOOKUP(B369, 'All Menu'!B:L, 9, 0)</f>
        <v>1.1318647891508262</v>
      </c>
      <c r="Q369" s="14">
        <f>VLOOKUP(B369, 'All Menu'!B:M, 12, 0)</f>
        <v>0.77165858166696377</v>
      </c>
      <c r="R369" s="173">
        <f t="shared" si="20"/>
        <v>0</v>
      </c>
    </row>
    <row r="370" spans="1:18" ht="14" hidden="1">
      <c r="A370" s="78" t="s">
        <v>2550</v>
      </c>
      <c r="B370" s="220" t="s">
        <v>843</v>
      </c>
      <c r="C370" s="185"/>
      <c r="D370" s="103" t="str">
        <f>VLOOKUP(B370, 'All Menu'!B:M, 4, 0)</f>
        <v>فتة باذنجان</v>
      </c>
      <c r="E370" s="30" t="str">
        <f>VLOOKUP(B370, 'All Menu'!B:M, 2, 0)</f>
        <v>قسم الصالة</v>
      </c>
      <c r="F370" s="103" t="str">
        <f>VLOOKUP(B370, 'All Menu'!B:M, 3, 0)</f>
        <v>فتات صالة</v>
      </c>
      <c r="G370" s="90" t="s">
        <v>2225</v>
      </c>
      <c r="H370" s="188">
        <v>4991</v>
      </c>
      <c r="I370" s="110" t="str">
        <f>VLOOKUP(H370, 'RM &amp; SF'!B:H, 2, 0)</f>
        <v>خبز عربي (خبز لبناني) صغير*****</v>
      </c>
      <c r="J370" s="184" t="str">
        <f>VLOOKUP(H370, 'RM &amp; SF'!B:E, 4, 0)</f>
        <v>غم</v>
      </c>
      <c r="K370" s="12">
        <v>75</v>
      </c>
      <c r="L370" s="13">
        <f>VLOOKUP(H370, 'RM &amp; SF'!B:H, 7, 0)</f>
        <v>3.2000000000000003E-4</v>
      </c>
      <c r="M370" s="7">
        <f t="shared" si="19"/>
        <v>2.4E-2</v>
      </c>
      <c r="N370" s="4" t="s">
        <v>825</v>
      </c>
      <c r="O370" s="4">
        <f>VLOOKUP(B370, 'All Menu'!B:L, 6, 0)</f>
        <v>4.9568965517241379</v>
      </c>
      <c r="P370" s="6">
        <f>VLOOKUP(B370, 'All Menu'!B:L, 9, 0)</f>
        <v>1.1318647891508262</v>
      </c>
      <c r="Q370" s="14">
        <f>VLOOKUP(B370, 'All Menu'!B:M, 12, 0)</f>
        <v>0.77165858166696377</v>
      </c>
      <c r="R370" s="173">
        <f t="shared" si="20"/>
        <v>0</v>
      </c>
    </row>
    <row r="371" spans="1:18" ht="14" hidden="1">
      <c r="A371" s="78" t="s">
        <v>2550</v>
      </c>
      <c r="B371" s="220" t="s">
        <v>843</v>
      </c>
      <c r="C371" s="185"/>
      <c r="D371" s="103" t="str">
        <f>VLOOKUP(B371, 'All Menu'!B:M, 4, 0)</f>
        <v>فتة باذنجان</v>
      </c>
      <c r="E371" s="30" t="str">
        <f>VLOOKUP(B371, 'All Menu'!B:M, 2, 0)</f>
        <v>قسم الصالة</v>
      </c>
      <c r="F371" s="103" t="str">
        <f>VLOOKUP(B371, 'All Menu'!B:M, 3, 0)</f>
        <v>فتات صالة</v>
      </c>
      <c r="G371" s="90" t="s">
        <v>2370</v>
      </c>
      <c r="H371" s="219" t="s">
        <v>774</v>
      </c>
      <c r="I371" s="110" t="str">
        <f>VLOOKUP(H371, 'RM &amp; SF'!B:H, 2, 0)</f>
        <v>بدوه</v>
      </c>
      <c r="J371" s="184" t="str">
        <f>VLOOKUP(H371, 'RM &amp; SF'!B:E, 4, 0)</f>
        <v>غم</v>
      </c>
      <c r="K371" s="12">
        <v>190</v>
      </c>
      <c r="L371" s="13">
        <f>VLOOKUP(H371, 'RM &amp; SF'!B:H, 7, 0)</f>
        <v>9.0050237795747236E-4</v>
      </c>
      <c r="M371" s="7">
        <f t="shared" si="19"/>
        <v>0.17109545181191974</v>
      </c>
      <c r="N371" s="4" t="s">
        <v>825</v>
      </c>
      <c r="O371" s="4">
        <f>VLOOKUP(B371, 'All Menu'!B:L, 6, 0)</f>
        <v>4.9568965517241379</v>
      </c>
      <c r="P371" s="6">
        <f>VLOOKUP(B371, 'All Menu'!B:L, 9, 0)</f>
        <v>1.1318647891508262</v>
      </c>
      <c r="Q371" s="14">
        <f>VLOOKUP(B371, 'All Menu'!B:M, 12, 0)</f>
        <v>0.77165858166696377</v>
      </c>
      <c r="R371" s="173">
        <f t="shared" si="20"/>
        <v>0</v>
      </c>
    </row>
    <row r="372" spans="1:18" ht="14" hidden="1">
      <c r="A372" s="78" t="s">
        <v>2550</v>
      </c>
      <c r="B372" s="220" t="s">
        <v>843</v>
      </c>
      <c r="C372" s="185"/>
      <c r="D372" s="103" t="str">
        <f>VLOOKUP(B372, 'All Menu'!B:M, 4, 0)</f>
        <v>فتة باذنجان</v>
      </c>
      <c r="E372" s="30" t="str">
        <f>VLOOKUP(B372, 'All Menu'!B:M, 2, 0)</f>
        <v>قسم الصالة</v>
      </c>
      <c r="F372" s="103" t="str">
        <f>VLOOKUP(B372, 'All Menu'!B:M, 3, 0)</f>
        <v>فتات صالة</v>
      </c>
      <c r="G372" s="90" t="s">
        <v>2341</v>
      </c>
      <c r="H372" s="219" t="s">
        <v>706</v>
      </c>
      <c r="I372" s="110" t="str">
        <f>VLOOKUP(H372, 'RM &amp; SF'!B:H, 2, 0)</f>
        <v>لوز مقلي</v>
      </c>
      <c r="J372" s="184" t="str">
        <f>VLOOKUP(H372, 'RM &amp; SF'!B:E, 4, 0)</f>
        <v>غم</v>
      </c>
      <c r="K372" s="12">
        <v>10</v>
      </c>
      <c r="L372" s="13">
        <f>VLOOKUP(H372, 'RM &amp; SF'!B:H, 7, 0)</f>
        <v>4.1352327586206888E-3</v>
      </c>
      <c r="M372" s="7">
        <f t="shared" si="19"/>
        <v>4.135232758620689E-2</v>
      </c>
      <c r="N372" s="4" t="s">
        <v>825</v>
      </c>
      <c r="O372" s="4">
        <f>VLOOKUP(B372, 'All Menu'!B:L, 6, 0)</f>
        <v>4.9568965517241379</v>
      </c>
      <c r="P372" s="6">
        <f>VLOOKUP(B372, 'All Menu'!B:L, 9, 0)</f>
        <v>1.1318647891508262</v>
      </c>
      <c r="Q372" s="14">
        <f>VLOOKUP(B372, 'All Menu'!B:M, 12, 0)</f>
        <v>0.77165858166696377</v>
      </c>
      <c r="R372" s="173">
        <f t="shared" si="20"/>
        <v>0</v>
      </c>
    </row>
    <row r="373" spans="1:18" ht="14" hidden="1">
      <c r="A373" s="78" t="s">
        <v>2550</v>
      </c>
      <c r="B373" s="220" t="s">
        <v>843</v>
      </c>
      <c r="C373" s="185"/>
      <c r="D373" s="103" t="str">
        <f>VLOOKUP(B373, 'All Menu'!B:M, 4, 0)</f>
        <v>فتة باذنجان</v>
      </c>
      <c r="E373" s="30" t="str">
        <f>VLOOKUP(B373, 'All Menu'!B:M, 2, 0)</f>
        <v>قسم الصالة</v>
      </c>
      <c r="F373" s="103" t="str">
        <f>VLOOKUP(B373, 'All Menu'!B:M, 3, 0)</f>
        <v>فتات صالة</v>
      </c>
      <c r="G373" s="90" t="s">
        <v>2180</v>
      </c>
      <c r="H373" s="188">
        <v>4791</v>
      </c>
      <c r="I373" s="110" t="str">
        <f>VLOOKUP(H373, 'RM &amp; SF'!B:H, 2, 0)</f>
        <v>سمنة بلدية 5 كغ*****</v>
      </c>
      <c r="J373" s="184" t="str">
        <f>VLOOKUP(H373, 'RM &amp; SF'!B:E, 4, 0)</f>
        <v>غم</v>
      </c>
      <c r="K373" s="12">
        <v>15</v>
      </c>
      <c r="L373" s="13">
        <f>VLOOKUP(H373, 'RM &amp; SF'!B:H, 7, 0)</f>
        <v>8.3330000000000001E-3</v>
      </c>
      <c r="M373" s="7">
        <f t="shared" si="19"/>
        <v>0.12499499999999999</v>
      </c>
      <c r="N373" s="4" t="s">
        <v>825</v>
      </c>
      <c r="O373" s="4">
        <f>VLOOKUP(B373, 'All Menu'!B:L, 6, 0)</f>
        <v>4.9568965517241379</v>
      </c>
      <c r="P373" s="6">
        <f>VLOOKUP(B373, 'All Menu'!B:L, 9, 0)</f>
        <v>1.1318647891508262</v>
      </c>
      <c r="Q373" s="14">
        <f>VLOOKUP(B373, 'All Menu'!B:M, 12, 0)</f>
        <v>0.77165858166696377</v>
      </c>
      <c r="R373" s="173">
        <f t="shared" si="20"/>
        <v>0</v>
      </c>
    </row>
    <row r="374" spans="1:18" ht="14" hidden="1">
      <c r="A374" s="78" t="s">
        <v>2550</v>
      </c>
      <c r="B374" s="220" t="s">
        <v>843</v>
      </c>
      <c r="C374" s="185"/>
      <c r="D374" s="103" t="str">
        <f>VLOOKUP(B374, 'All Menu'!B:M, 4, 0)</f>
        <v>فتة باذنجان</v>
      </c>
      <c r="E374" s="30" t="str">
        <f>VLOOKUP(B374, 'All Menu'!B:M, 2, 0)</f>
        <v>قسم الصالة</v>
      </c>
      <c r="F374" s="103" t="str">
        <f>VLOOKUP(B374, 'All Menu'!B:M, 3, 0)</f>
        <v>فتات صالة</v>
      </c>
      <c r="G374" s="90" t="s">
        <v>2251</v>
      </c>
      <c r="H374" s="188">
        <v>4544</v>
      </c>
      <c r="I374" s="110" t="str">
        <f>VLOOKUP(H374, 'RM &amp; SF'!B:H, 2, 0)</f>
        <v>بقدونس*****</v>
      </c>
      <c r="J374" s="184" t="str">
        <f>VLOOKUP(H374, 'RM &amp; SF'!B:E, 4, 0)</f>
        <v>غم</v>
      </c>
      <c r="K374" s="12">
        <v>10</v>
      </c>
      <c r="L374" s="13">
        <f>VLOOKUP(H374, 'RM &amp; SF'!B:H, 7, 0)</f>
        <v>7.5000000000000002E-4</v>
      </c>
      <c r="M374" s="7">
        <f t="shared" si="19"/>
        <v>7.4999999999999997E-3</v>
      </c>
      <c r="N374" s="4" t="s">
        <v>825</v>
      </c>
      <c r="O374" s="4">
        <f>VLOOKUP(B374, 'All Menu'!B:L, 6, 0)</f>
        <v>4.9568965517241379</v>
      </c>
      <c r="P374" s="6">
        <f>VLOOKUP(B374, 'All Menu'!B:L, 9, 0)</f>
        <v>1.1318647891508262</v>
      </c>
      <c r="Q374" s="14">
        <f>VLOOKUP(B374, 'All Menu'!B:M, 12, 0)</f>
        <v>0.77165858166696377</v>
      </c>
      <c r="R374" s="173">
        <f t="shared" si="20"/>
        <v>0</v>
      </c>
    </row>
    <row r="375" spans="1:18" ht="14" hidden="1">
      <c r="A375" s="78" t="s">
        <v>2557</v>
      </c>
      <c r="B375" s="220" t="s">
        <v>844</v>
      </c>
      <c r="C375" s="185"/>
      <c r="D375" s="103" t="str">
        <f>VLOOKUP(B375, 'All Menu'!B:M, 4, 0)</f>
        <v>عرايس</v>
      </c>
      <c r="E375" s="30" t="str">
        <f>VLOOKUP(B375, 'All Menu'!B:M, 2, 0)</f>
        <v>قسم الصالة</v>
      </c>
      <c r="F375" s="103" t="str">
        <f>VLOOKUP(B375, 'All Menu'!B:M, 3, 0)</f>
        <v>عجين صالة</v>
      </c>
      <c r="G375" s="90" t="s">
        <v>2225</v>
      </c>
      <c r="H375" s="188">
        <v>4991</v>
      </c>
      <c r="I375" s="110" t="str">
        <f>VLOOKUP(H375, 'RM &amp; SF'!B:H, 2, 0)</f>
        <v>خبز عربي (خبز لبناني) صغير*****</v>
      </c>
      <c r="J375" s="184" t="str">
        <f>VLOOKUP(H375, 'RM &amp; SF'!B:E, 4, 0)</f>
        <v>غم</v>
      </c>
      <c r="K375" s="12">
        <v>200</v>
      </c>
      <c r="L375" s="13">
        <f>VLOOKUP(H375, 'RM &amp; SF'!B:H, 7, 0)</f>
        <v>3.2000000000000003E-4</v>
      </c>
      <c r="M375" s="7">
        <f t="shared" si="19"/>
        <v>6.4000000000000001E-2</v>
      </c>
      <c r="N375" s="4" t="s">
        <v>825</v>
      </c>
      <c r="O375" s="4">
        <f>VLOOKUP(B375, 'All Menu'!B:L, 6, 0)</f>
        <v>1.7241379310344829</v>
      </c>
      <c r="P375" s="6">
        <f>VLOOKUP(B375, 'All Menu'!B:L, 9, 0)</f>
        <v>0.76856262887934346</v>
      </c>
      <c r="Q375" s="14">
        <f>VLOOKUP(B375, 'All Menu'!B:M, 12, 0)</f>
        <v>0.5542336752499808</v>
      </c>
      <c r="R375" s="173">
        <f t="shared" si="20"/>
        <v>0</v>
      </c>
    </row>
    <row r="376" spans="1:18" ht="14" hidden="1">
      <c r="A376" s="78" t="s">
        <v>2557</v>
      </c>
      <c r="B376" s="220" t="s">
        <v>844</v>
      </c>
      <c r="C376" s="185"/>
      <c r="D376" s="103" t="str">
        <f>VLOOKUP(B376, 'All Menu'!B:M, 4, 0)</f>
        <v>عرايس</v>
      </c>
      <c r="E376" s="30" t="str">
        <f>VLOOKUP(B376, 'All Menu'!B:M, 2, 0)</f>
        <v>قسم الصالة</v>
      </c>
      <c r="F376" s="103" t="str">
        <f>VLOOKUP(B376, 'All Menu'!B:M, 3, 0)</f>
        <v>عجين صالة</v>
      </c>
      <c r="G376" s="90" t="s">
        <v>2239</v>
      </c>
      <c r="H376" s="188">
        <v>4513</v>
      </c>
      <c r="I376" s="110" t="str">
        <f>VLOOKUP(H376, 'RM &amp; SF'!B:H, 2, 0)</f>
        <v>ليمون اصفر*****</v>
      </c>
      <c r="J376" s="184" t="str">
        <f>VLOOKUP(H376, 'RM &amp; SF'!B:E, 4, 0)</f>
        <v>غم</v>
      </c>
      <c r="K376" s="12">
        <v>20</v>
      </c>
      <c r="L376" s="13">
        <f>VLOOKUP(H376, 'RM &amp; SF'!B:H, 7, 0)</f>
        <v>1.75E-3</v>
      </c>
      <c r="M376" s="7">
        <f t="shared" si="19"/>
        <v>3.5000000000000003E-2</v>
      </c>
      <c r="N376" s="4" t="s">
        <v>825</v>
      </c>
      <c r="O376" s="4">
        <f>VLOOKUP(B376, 'All Menu'!B:L, 6, 0)</f>
        <v>1.7241379310344829</v>
      </c>
      <c r="P376" s="6">
        <f>VLOOKUP(B376, 'All Menu'!B:L, 9, 0)</f>
        <v>0.76856262887934346</v>
      </c>
      <c r="Q376" s="14">
        <f>VLOOKUP(B376, 'All Menu'!B:M, 12, 0)</f>
        <v>0.5542336752499808</v>
      </c>
      <c r="R376" s="173">
        <f t="shared" si="20"/>
        <v>0</v>
      </c>
    </row>
    <row r="377" spans="1:18" ht="14" hidden="1">
      <c r="A377" s="78" t="s">
        <v>2557</v>
      </c>
      <c r="B377" s="220" t="s">
        <v>844</v>
      </c>
      <c r="C377" s="185"/>
      <c r="D377" s="103" t="str">
        <f>VLOOKUP(B377, 'All Menu'!B:M, 4, 0)</f>
        <v>عرايس</v>
      </c>
      <c r="E377" s="30" t="str">
        <f>VLOOKUP(B377, 'All Menu'!B:M, 2, 0)</f>
        <v>قسم الصالة</v>
      </c>
      <c r="F377" s="103" t="str">
        <f>VLOOKUP(B377, 'All Menu'!B:M, 3, 0)</f>
        <v>عجين صالة</v>
      </c>
      <c r="G377" s="90" t="s">
        <v>2396</v>
      </c>
      <c r="H377" s="219" t="s">
        <v>582</v>
      </c>
      <c r="I377" s="110" t="str">
        <f>VLOOKUP(H377, 'RM &amp; SF'!B:H, 2, 0)</f>
        <v>بيواز</v>
      </c>
      <c r="J377" s="184" t="str">
        <f>VLOOKUP(H377, 'RM &amp; SF'!B:E, 4, 0)</f>
        <v>غم</v>
      </c>
      <c r="K377" s="12">
        <v>40</v>
      </c>
      <c r="L377" s="13">
        <f>VLOOKUP(H377, 'RM &amp; SF'!B:H, 7, 0)</f>
        <v>2.0666065869244635E-4</v>
      </c>
      <c r="M377" s="7">
        <f t="shared" si="19"/>
        <v>8.2664263476978535E-3</v>
      </c>
      <c r="N377" s="4" t="s">
        <v>825</v>
      </c>
      <c r="O377" s="4">
        <f>VLOOKUP(B377, 'All Menu'!B:L, 6, 0)</f>
        <v>1.7241379310344829</v>
      </c>
      <c r="P377" s="6">
        <f>VLOOKUP(B377, 'All Menu'!B:L, 9, 0)</f>
        <v>0.76856262887934346</v>
      </c>
      <c r="Q377" s="14">
        <f>VLOOKUP(B377, 'All Menu'!B:M, 12, 0)</f>
        <v>0.5542336752499808</v>
      </c>
      <c r="R377" s="173">
        <f t="shared" si="20"/>
        <v>0</v>
      </c>
    </row>
    <row r="378" spans="1:18" ht="14" hidden="1">
      <c r="A378" s="78" t="s">
        <v>2557</v>
      </c>
      <c r="B378" s="220" t="s">
        <v>844</v>
      </c>
      <c r="C378" s="185"/>
      <c r="D378" s="103" t="str">
        <f>VLOOKUP(B378, 'All Menu'!B:M, 4, 0)</f>
        <v>عرايس</v>
      </c>
      <c r="E378" s="30" t="str">
        <f>VLOOKUP(B378, 'All Menu'!B:M, 2, 0)</f>
        <v>قسم الصالة</v>
      </c>
      <c r="F378" s="103" t="str">
        <f>VLOOKUP(B378, 'All Menu'!B:M, 3, 0)</f>
        <v>عجين صالة</v>
      </c>
      <c r="G378" s="90" t="s">
        <v>2336</v>
      </c>
      <c r="H378" s="219" t="s">
        <v>496</v>
      </c>
      <c r="I378" s="110" t="str">
        <f>VLOOKUP(H378, 'RM &amp; SF'!B:H, 2, 0)</f>
        <v>لحمة عرايس</v>
      </c>
      <c r="J378" s="184" t="str">
        <f>VLOOKUP(H378, 'RM &amp; SF'!B:E, 4, 0)</f>
        <v>غم</v>
      </c>
      <c r="K378" s="12">
        <v>240</v>
      </c>
      <c r="L378" s="13">
        <f>VLOOKUP(H378, 'RM &amp; SF'!B:H, 7, 0)</f>
        <v>2.7137341772151898E-3</v>
      </c>
      <c r="M378" s="7">
        <f t="shared" si="19"/>
        <v>0.65129620253164555</v>
      </c>
      <c r="N378" s="4" t="s">
        <v>825</v>
      </c>
      <c r="O378" s="4">
        <f>VLOOKUP(B378, 'All Menu'!B:L, 6, 0)</f>
        <v>1.7241379310344829</v>
      </c>
      <c r="P378" s="6">
        <f>VLOOKUP(B378, 'All Menu'!B:L, 9, 0)</f>
        <v>0.76856262887934346</v>
      </c>
      <c r="Q378" s="14">
        <f>VLOOKUP(B378, 'All Menu'!B:M, 12, 0)</f>
        <v>0.5542336752499808</v>
      </c>
      <c r="R378" s="173">
        <f t="shared" si="20"/>
        <v>0</v>
      </c>
    </row>
    <row r="379" spans="1:18" ht="14" hidden="1">
      <c r="A379" s="78" t="s">
        <v>2557</v>
      </c>
      <c r="B379" s="220" t="s">
        <v>844</v>
      </c>
      <c r="C379" s="185"/>
      <c r="D379" s="103" t="str">
        <f>VLOOKUP(B379, 'All Menu'!B:M, 4, 0)</f>
        <v>عرايس</v>
      </c>
      <c r="E379" s="30" t="str">
        <f>VLOOKUP(B379, 'All Menu'!B:M, 2, 0)</f>
        <v>قسم الصالة</v>
      </c>
      <c r="F379" s="103" t="str">
        <f>VLOOKUP(B379, 'All Menu'!B:M, 3, 0)</f>
        <v>عجين صالة</v>
      </c>
      <c r="G379" s="90" t="s">
        <v>2231</v>
      </c>
      <c r="H379" s="188">
        <v>4499</v>
      </c>
      <c r="I379" s="110" t="str">
        <f>VLOOKUP(H379, 'RM &amp; SF'!B:H, 2, 0)</f>
        <v>فلفل حار اخضر*****</v>
      </c>
      <c r="J379" s="184" t="str">
        <f>VLOOKUP(H379, 'RM &amp; SF'!B:E, 4, 0)</f>
        <v>غم</v>
      </c>
      <c r="K379" s="12">
        <v>20</v>
      </c>
      <c r="L379" s="13">
        <f>VLOOKUP(H379, 'RM &amp; SF'!B:H, 7, 0)</f>
        <v>5.0000000000000001E-4</v>
      </c>
      <c r="M379" s="7">
        <f t="shared" si="19"/>
        <v>0.01</v>
      </c>
      <c r="N379" s="4" t="s">
        <v>825</v>
      </c>
      <c r="O379" s="4">
        <f>VLOOKUP(B379, 'All Menu'!B:L, 6, 0)</f>
        <v>1.7241379310344829</v>
      </c>
      <c r="P379" s="6">
        <f>VLOOKUP(B379, 'All Menu'!B:L, 9, 0)</f>
        <v>0.76856262887934346</v>
      </c>
      <c r="Q379" s="14">
        <f>VLOOKUP(B379, 'All Menu'!B:M, 12, 0)</f>
        <v>0.5542336752499808</v>
      </c>
      <c r="R379" s="173">
        <f t="shared" si="20"/>
        <v>0</v>
      </c>
    </row>
    <row r="380" spans="1:18" ht="14" hidden="1">
      <c r="A380" s="78" t="s">
        <v>2509</v>
      </c>
      <c r="B380" s="220" t="s">
        <v>845</v>
      </c>
      <c r="C380" s="185"/>
      <c r="D380" s="103" t="str">
        <f>VLOOKUP(B380, 'All Menu'!B:M, 4, 0)</f>
        <v>برك جبنة</v>
      </c>
      <c r="E380" s="30" t="str">
        <f>VLOOKUP(B380, 'All Menu'!B:M, 2, 0)</f>
        <v>قسم الصالة</v>
      </c>
      <c r="F380" s="103" t="str">
        <f>VLOOKUP(B380, 'All Menu'!B:M, 3, 0)</f>
        <v>مقبلات ساخنة صالة</v>
      </c>
      <c r="G380" s="90" t="s">
        <v>2334</v>
      </c>
      <c r="H380" s="219" t="s">
        <v>502</v>
      </c>
      <c r="I380" s="110" t="str">
        <f>VLOOKUP(H380, 'RM &amp; SF'!B:H, 2, 0)</f>
        <v>عجين برك وعش البلبل</v>
      </c>
      <c r="J380" s="184" t="str">
        <f>VLOOKUP(H380, 'RM &amp; SF'!B:E, 4, 0)</f>
        <v>غم</v>
      </c>
      <c r="K380" s="12">
        <v>50</v>
      </c>
      <c r="L380" s="13">
        <f>VLOOKUP(H380, 'RM &amp; SF'!B:H, 7, 0)</f>
        <v>5.460749158249157E-4</v>
      </c>
      <c r="M380" s="7">
        <f t="shared" si="19"/>
        <v>2.7303745791245785E-2</v>
      </c>
      <c r="N380" s="4" t="s">
        <v>825</v>
      </c>
      <c r="O380" s="4">
        <f>VLOOKUP(B380, 'All Menu'!B:L, 6, 0)</f>
        <v>1.6379310344827587</v>
      </c>
      <c r="P380" s="6">
        <f>VLOOKUP(B380, 'All Menu'!B:L, 9, 0)</f>
        <v>0.17243674579124577</v>
      </c>
      <c r="Q380" s="14">
        <f>VLOOKUP(B380, 'All Menu'!B:M, 12, 0)</f>
        <v>0.89472282888534471</v>
      </c>
      <c r="R380" s="173">
        <f t="shared" si="20"/>
        <v>0</v>
      </c>
    </row>
    <row r="381" spans="1:18" ht="14" hidden="1">
      <c r="A381" s="78" t="s">
        <v>2509</v>
      </c>
      <c r="B381" s="220" t="s">
        <v>845</v>
      </c>
      <c r="C381" s="185"/>
      <c r="D381" s="103" t="str">
        <f>VLOOKUP(B381, 'All Menu'!B:M, 4, 0)</f>
        <v>برك جبنة</v>
      </c>
      <c r="E381" s="30" t="str">
        <f>VLOOKUP(B381, 'All Menu'!B:M, 2, 0)</f>
        <v>قسم الصالة</v>
      </c>
      <c r="F381" s="103" t="str">
        <f>VLOOKUP(B381, 'All Menu'!B:M, 3, 0)</f>
        <v>مقبلات ساخنة صالة</v>
      </c>
      <c r="G381" s="90" t="s">
        <v>2172</v>
      </c>
      <c r="H381" s="188">
        <v>4559</v>
      </c>
      <c r="I381" s="110" t="str">
        <f>VLOOKUP(H381, 'RM &amp; SF'!B:H, 2, 0)</f>
        <v>جبنة عكاوي 5 كغ*****</v>
      </c>
      <c r="J381" s="184" t="str">
        <f>VLOOKUP(H381, 'RM &amp; SF'!B:E, 4, 0)</f>
        <v>غم</v>
      </c>
      <c r="K381" s="12">
        <v>30</v>
      </c>
      <c r="L381" s="13">
        <f>VLOOKUP(H381, 'RM &amp; SF'!B:H, 7, 0)</f>
        <v>4.7619999999999997E-3</v>
      </c>
      <c r="M381" s="7">
        <f t="shared" si="19"/>
        <v>0.14285999999999999</v>
      </c>
      <c r="N381" s="4" t="s">
        <v>825</v>
      </c>
      <c r="O381" s="4">
        <f>VLOOKUP(B381, 'All Menu'!B:L, 6, 0)</f>
        <v>1.6379310344827587</v>
      </c>
      <c r="P381" s="6">
        <f>VLOOKUP(B381, 'All Menu'!B:L, 9, 0)</f>
        <v>0.17243674579124577</v>
      </c>
      <c r="Q381" s="14">
        <f>VLOOKUP(B381, 'All Menu'!B:M, 12, 0)</f>
        <v>0.89472282888534471</v>
      </c>
      <c r="R381" s="173">
        <f t="shared" si="20"/>
        <v>0</v>
      </c>
    </row>
    <row r="382" spans="1:18" ht="14" hidden="1">
      <c r="A382" s="78" t="s">
        <v>2509</v>
      </c>
      <c r="B382" s="220" t="s">
        <v>845</v>
      </c>
      <c r="C382" s="185"/>
      <c r="D382" s="103" t="str">
        <f>VLOOKUP(B382, 'All Menu'!B:M, 4, 0)</f>
        <v>برك جبنة</v>
      </c>
      <c r="E382" s="30" t="str">
        <f>VLOOKUP(B382, 'All Menu'!B:M, 2, 0)</f>
        <v>قسم الصالة</v>
      </c>
      <c r="F382" s="103" t="str">
        <f>VLOOKUP(B382, 'All Menu'!B:M, 3, 0)</f>
        <v>مقبلات ساخنة صالة</v>
      </c>
      <c r="G382" s="90" t="s">
        <v>2289</v>
      </c>
      <c r="H382" s="188">
        <v>4225</v>
      </c>
      <c r="I382" s="110" t="str">
        <f>VLOOKUP(H382, 'RM &amp; SF'!B:H, 2, 0)</f>
        <v>سمسم ابيض*****</v>
      </c>
      <c r="J382" s="184" t="str">
        <f>VLOOKUP(H382, 'RM &amp; SF'!B:E, 4, 0)</f>
        <v>غم</v>
      </c>
      <c r="K382" s="12">
        <v>1</v>
      </c>
      <c r="L382" s="13">
        <f>VLOOKUP(H382, 'RM &amp; SF'!B:H, 7, 0)</f>
        <v>2.2730000000000003E-3</v>
      </c>
      <c r="M382" s="7">
        <f t="shared" si="19"/>
        <v>2.2730000000000003E-3</v>
      </c>
      <c r="N382" s="4" t="s">
        <v>825</v>
      </c>
      <c r="O382" s="4">
        <f>VLOOKUP(B382, 'All Menu'!B:L, 6, 0)</f>
        <v>1.6379310344827587</v>
      </c>
      <c r="P382" s="6">
        <f>VLOOKUP(B382, 'All Menu'!B:L, 9, 0)</f>
        <v>0.17243674579124577</v>
      </c>
      <c r="Q382" s="14">
        <f>VLOOKUP(B382, 'All Menu'!B:M, 12, 0)</f>
        <v>0.89472282888534471</v>
      </c>
      <c r="R382" s="173">
        <f t="shared" si="20"/>
        <v>0</v>
      </c>
    </row>
    <row r="383" spans="1:18" ht="14" hidden="1">
      <c r="A383" s="78" t="s">
        <v>2510</v>
      </c>
      <c r="B383" s="220" t="s">
        <v>846</v>
      </c>
      <c r="C383" s="185"/>
      <c r="D383" s="103" t="str">
        <f>VLOOKUP(B383, 'All Menu'!B:M, 4, 0)</f>
        <v>عش البلبل</v>
      </c>
      <c r="E383" s="30" t="str">
        <f>VLOOKUP(B383, 'All Menu'!B:M, 2, 0)</f>
        <v>قسم الصالة</v>
      </c>
      <c r="F383" s="103" t="str">
        <f>VLOOKUP(B383, 'All Menu'!B:M, 3, 0)</f>
        <v>مقبلات ساخنة صالة</v>
      </c>
      <c r="G383" s="90" t="s">
        <v>2334</v>
      </c>
      <c r="H383" s="219" t="s">
        <v>502</v>
      </c>
      <c r="I383" s="110" t="str">
        <f>VLOOKUP(H383, 'RM &amp; SF'!B:H, 2, 0)</f>
        <v>عجين برك وعش البلبل</v>
      </c>
      <c r="J383" s="184" t="str">
        <f>VLOOKUP(H383, 'RM &amp; SF'!B:E, 4, 0)</f>
        <v>غم</v>
      </c>
      <c r="K383" s="12">
        <v>70</v>
      </c>
      <c r="L383" s="13">
        <f>VLOOKUP(H383, 'RM &amp; SF'!B:H, 7, 0)</f>
        <v>5.460749158249157E-4</v>
      </c>
      <c r="M383" s="7">
        <f t="shared" si="19"/>
        <v>3.8225244107744097E-2</v>
      </c>
      <c r="N383" s="4" t="s">
        <v>825</v>
      </c>
      <c r="O383" s="4">
        <f>VLOOKUP(B383, 'All Menu'!B:L, 6, 0)</f>
        <v>1.6379310344827587</v>
      </c>
      <c r="P383" s="6">
        <f>VLOOKUP(B383, 'All Menu'!B:L, 9, 0)</f>
        <v>0.3505106263400245</v>
      </c>
      <c r="Q383" s="14">
        <f>VLOOKUP(B383, 'All Menu'!B:M, 12, 0)</f>
        <v>0.78600403865556412</v>
      </c>
      <c r="R383" s="173">
        <f t="shared" si="20"/>
        <v>0</v>
      </c>
    </row>
    <row r="384" spans="1:18" ht="14" hidden="1">
      <c r="A384" s="78" t="s">
        <v>2510</v>
      </c>
      <c r="B384" s="220" t="s">
        <v>846</v>
      </c>
      <c r="C384" s="185"/>
      <c r="D384" s="103" t="str">
        <f>VLOOKUP(B384, 'All Menu'!B:M, 4, 0)</f>
        <v>عش البلبل</v>
      </c>
      <c r="E384" s="30" t="str">
        <f>VLOOKUP(B384, 'All Menu'!B:M, 2, 0)</f>
        <v>قسم الصالة</v>
      </c>
      <c r="F384" s="103" t="str">
        <f>VLOOKUP(B384, 'All Menu'!B:M, 3, 0)</f>
        <v>مقبلات ساخنة صالة</v>
      </c>
      <c r="G384" s="90" t="s">
        <v>2454</v>
      </c>
      <c r="H384" s="219" t="s">
        <v>504</v>
      </c>
      <c r="I384" s="110" t="str">
        <f>VLOOKUP(H384, 'RM &amp; SF'!B:H, 2, 0)</f>
        <v>لحمة الصفيحة بلبن المشغل</v>
      </c>
      <c r="J384" s="184" t="str">
        <f>VLOOKUP(H384, 'RM &amp; SF'!B:E, 4, 0)</f>
        <v>غم</v>
      </c>
      <c r="K384" s="12">
        <v>50</v>
      </c>
      <c r="L384" s="13">
        <f>VLOOKUP(H384, 'RM &amp; SF'!B:H, 7, 0)</f>
        <v>5.666775058438712E-3</v>
      </c>
      <c r="M384" s="7">
        <f t="shared" si="19"/>
        <v>0.28333875292193561</v>
      </c>
      <c r="N384" s="4" t="s">
        <v>825</v>
      </c>
      <c r="O384" s="4">
        <f>VLOOKUP(B384, 'All Menu'!B:L, 6, 0)</f>
        <v>1.6379310344827587</v>
      </c>
      <c r="P384" s="6">
        <f>VLOOKUP(B384, 'All Menu'!B:L, 9, 0)</f>
        <v>0.3505106263400245</v>
      </c>
      <c r="Q384" s="14">
        <f>VLOOKUP(B384, 'All Menu'!B:M, 12, 0)</f>
        <v>0.78600403865556412</v>
      </c>
      <c r="R384" s="173">
        <f t="shared" si="20"/>
        <v>0</v>
      </c>
    </row>
    <row r="385" spans="1:18" ht="14" hidden="1">
      <c r="A385" s="78" t="s">
        <v>2510</v>
      </c>
      <c r="B385" s="220" t="s">
        <v>846</v>
      </c>
      <c r="C385" s="185"/>
      <c r="D385" s="103" t="str">
        <f>VLOOKUP(B385, 'All Menu'!B:M, 4, 0)</f>
        <v>عش البلبل</v>
      </c>
      <c r="E385" s="30" t="str">
        <f>VLOOKUP(B385, 'All Menu'!B:M, 2, 0)</f>
        <v>قسم الصالة</v>
      </c>
      <c r="F385" s="103" t="str">
        <f>VLOOKUP(B385, 'All Menu'!B:M, 3, 0)</f>
        <v>مقبلات ساخنة صالة</v>
      </c>
      <c r="G385" s="90" t="s">
        <v>2341</v>
      </c>
      <c r="H385" s="219" t="s">
        <v>706</v>
      </c>
      <c r="I385" s="110" t="str">
        <f>VLOOKUP(H385, 'RM &amp; SF'!B:H, 2, 0)</f>
        <v>لوز مقلي</v>
      </c>
      <c r="J385" s="184" t="str">
        <f>VLOOKUP(H385, 'RM &amp; SF'!B:E, 4, 0)</f>
        <v>غم</v>
      </c>
      <c r="K385" s="12">
        <v>7</v>
      </c>
      <c r="L385" s="13">
        <f>VLOOKUP(H385, 'RM &amp; SF'!B:H, 7, 0)</f>
        <v>4.1352327586206888E-3</v>
      </c>
      <c r="M385" s="7">
        <f t="shared" si="19"/>
        <v>2.8946629310344821E-2</v>
      </c>
      <c r="N385" s="4" t="s">
        <v>825</v>
      </c>
      <c r="O385" s="4">
        <f>VLOOKUP(B385, 'All Menu'!B:L, 6, 0)</f>
        <v>1.6379310344827587</v>
      </c>
      <c r="P385" s="6">
        <f>VLOOKUP(B385, 'All Menu'!B:L, 9, 0)</f>
        <v>0.3505106263400245</v>
      </c>
      <c r="Q385" s="14">
        <f>VLOOKUP(B385, 'All Menu'!B:M, 12, 0)</f>
        <v>0.78600403865556412</v>
      </c>
      <c r="R385" s="173">
        <f t="shared" si="20"/>
        <v>0</v>
      </c>
    </row>
    <row r="386" spans="1:18" ht="14" hidden="1">
      <c r="A386" s="78" t="s">
        <v>2556</v>
      </c>
      <c r="B386" s="220" t="s">
        <v>847</v>
      </c>
      <c r="C386" s="185"/>
      <c r="D386" s="103" t="str">
        <f>VLOOKUP(B386, 'All Menu'!B:M, 4, 0)</f>
        <v>شرحات على العجين</v>
      </c>
      <c r="E386" s="30" t="str">
        <f>VLOOKUP(B386, 'All Menu'!B:M, 2, 0)</f>
        <v>قسم الصالة</v>
      </c>
      <c r="F386" s="103" t="str">
        <f>VLOOKUP(B386, 'All Menu'!B:M, 3, 0)</f>
        <v>عجين صالة</v>
      </c>
      <c r="G386" s="90" t="s">
        <v>2333</v>
      </c>
      <c r="H386" s="219" t="s">
        <v>498</v>
      </c>
      <c r="I386" s="110" t="str">
        <f>VLOOKUP(H386, 'RM &amp; SF'!B:H, 2, 0)</f>
        <v>عجين الصفيحة والمناقيش</v>
      </c>
      <c r="J386" s="184" t="str">
        <f>VLOOKUP(H386, 'RM &amp; SF'!B:E, 4, 0)</f>
        <v>غم</v>
      </c>
      <c r="K386" s="12">
        <v>200</v>
      </c>
      <c r="L386" s="13">
        <f>VLOOKUP(H386, 'RM &amp; SF'!B:H, 7, 0)</f>
        <v>4.659980972150147E-4</v>
      </c>
      <c r="M386" s="7">
        <f t="shared" si="19"/>
        <v>9.3199619443002937E-2</v>
      </c>
      <c r="N386" s="4" t="s">
        <v>825</v>
      </c>
      <c r="O386" s="4">
        <f>VLOOKUP(B386, 'All Menu'!B:L, 6, 0)</f>
        <v>3.6637931034482762</v>
      </c>
      <c r="P386" s="6">
        <f>VLOOKUP(B386, 'All Menu'!B:L, 9, 0)</f>
        <v>1.4422489353279047</v>
      </c>
      <c r="Q386" s="14">
        <f>VLOOKUP(B386, 'All Menu'!B:M, 12, 0)</f>
        <v>0.60635087882814842</v>
      </c>
      <c r="R386" s="173">
        <f t="shared" si="20"/>
        <v>0</v>
      </c>
    </row>
    <row r="387" spans="1:18" ht="14" hidden="1">
      <c r="A387" s="78" t="s">
        <v>2556</v>
      </c>
      <c r="B387" s="220" t="s">
        <v>847</v>
      </c>
      <c r="C387" s="185"/>
      <c r="D387" s="103" t="str">
        <f>VLOOKUP(B387, 'All Menu'!B:M, 4, 0)</f>
        <v>شرحات على العجين</v>
      </c>
      <c r="E387" s="30" t="str">
        <f>VLOOKUP(B387, 'All Menu'!B:M, 2, 0)</f>
        <v>قسم الصالة</v>
      </c>
      <c r="F387" s="103" t="str">
        <f>VLOOKUP(B387, 'All Menu'!B:M, 3, 0)</f>
        <v>عجين صالة</v>
      </c>
      <c r="G387" s="90" t="s">
        <v>2337</v>
      </c>
      <c r="H387" s="219" t="s">
        <v>694</v>
      </c>
      <c r="I387" s="110" t="str">
        <f>VLOOKUP(H387, 'RM &amp; SF'!B:H, 2, 0)</f>
        <v>شرحات خاروف بلدي</v>
      </c>
      <c r="J387" s="184" t="str">
        <f>VLOOKUP(H387, 'RM &amp; SF'!B:E, 4, 0)</f>
        <v>غم</v>
      </c>
      <c r="K387" s="12">
        <v>100</v>
      </c>
      <c r="L387" s="13">
        <f>VLOOKUP(H387, 'RM &amp; SF'!B:H, 7, 0)</f>
        <v>1.1615493158849017E-2</v>
      </c>
      <c r="M387" s="7">
        <f t="shared" si="19"/>
        <v>1.1615493158849017</v>
      </c>
      <c r="N387" s="4" t="s">
        <v>825</v>
      </c>
      <c r="O387" s="4">
        <f>VLOOKUP(B387, 'All Menu'!B:L, 6, 0)</f>
        <v>3.6637931034482762</v>
      </c>
      <c r="P387" s="6">
        <f>VLOOKUP(B387, 'All Menu'!B:L, 9, 0)</f>
        <v>1.4422489353279047</v>
      </c>
      <c r="Q387" s="14">
        <f>VLOOKUP(B387, 'All Menu'!B:M, 12, 0)</f>
        <v>0.60635087882814842</v>
      </c>
      <c r="R387" s="173">
        <f t="shared" si="20"/>
        <v>0</v>
      </c>
    </row>
    <row r="388" spans="1:18" ht="14" hidden="1">
      <c r="A388" s="78" t="s">
        <v>2556</v>
      </c>
      <c r="B388" s="220" t="s">
        <v>847</v>
      </c>
      <c r="C388" s="185"/>
      <c r="D388" s="103" t="str">
        <f>VLOOKUP(B388, 'All Menu'!B:M, 4, 0)</f>
        <v>شرحات على العجين</v>
      </c>
      <c r="E388" s="30" t="str">
        <f>VLOOKUP(B388, 'All Menu'!B:M, 2, 0)</f>
        <v>قسم الصالة</v>
      </c>
      <c r="F388" s="103" t="str">
        <f>VLOOKUP(B388, 'All Menu'!B:M, 3, 0)</f>
        <v>عجين صالة</v>
      </c>
      <c r="G388" s="90" t="s">
        <v>3058</v>
      </c>
      <c r="H388" s="188">
        <v>4598</v>
      </c>
      <c r="I388" s="110" t="str">
        <f>VLOOKUP(H388, 'RM &amp; SF'!B:H, 2, 0)</f>
        <v>لية خروف نية*****</v>
      </c>
      <c r="J388" s="184" t="str">
        <f>VLOOKUP(H388, 'RM &amp; SF'!B:E, 4, 0)</f>
        <v>غم</v>
      </c>
      <c r="K388" s="12">
        <v>20</v>
      </c>
      <c r="L388" s="13">
        <f>VLOOKUP(H388, 'RM &amp; SF'!B:H, 7, 0)</f>
        <v>5.0000000000000001E-3</v>
      </c>
      <c r="M388" s="7">
        <f t="shared" si="19"/>
        <v>0.1</v>
      </c>
      <c r="N388" s="4" t="s">
        <v>825</v>
      </c>
      <c r="O388" s="4">
        <f>VLOOKUP(B388, 'All Menu'!B:L, 6, 0)</f>
        <v>3.6637931034482762</v>
      </c>
      <c r="P388" s="6">
        <f>VLOOKUP(B388, 'All Menu'!B:L, 9, 0)</f>
        <v>1.4422489353279047</v>
      </c>
      <c r="Q388" s="14">
        <f>VLOOKUP(B388, 'All Menu'!B:M, 12, 0)</f>
        <v>0.60635087882814842</v>
      </c>
      <c r="R388" s="173">
        <f t="shared" si="20"/>
        <v>0</v>
      </c>
    </row>
    <row r="389" spans="1:18" ht="14" hidden="1">
      <c r="A389" s="78" t="s">
        <v>2556</v>
      </c>
      <c r="B389" s="220" t="s">
        <v>847</v>
      </c>
      <c r="C389" s="185"/>
      <c r="D389" s="103" t="str">
        <f>VLOOKUP(B389, 'All Menu'!B:M, 4, 0)</f>
        <v>شرحات على العجين</v>
      </c>
      <c r="E389" s="30" t="str">
        <f>VLOOKUP(B389, 'All Menu'!B:M, 2, 0)</f>
        <v>قسم الصالة</v>
      </c>
      <c r="F389" s="103" t="str">
        <f>VLOOKUP(B389, 'All Menu'!B:M, 3, 0)</f>
        <v>عجين صالة</v>
      </c>
      <c r="G389" s="90" t="s">
        <v>2239</v>
      </c>
      <c r="H389" s="188">
        <v>4513</v>
      </c>
      <c r="I389" s="110" t="str">
        <f>VLOOKUP(H389, 'RM &amp; SF'!B:H, 2, 0)</f>
        <v>ليمون اصفر*****</v>
      </c>
      <c r="J389" s="184" t="str">
        <f>VLOOKUP(H389, 'RM &amp; SF'!B:E, 4, 0)</f>
        <v>غم</v>
      </c>
      <c r="K389" s="12">
        <v>50</v>
      </c>
      <c r="L389" s="13">
        <f>VLOOKUP(H389, 'RM &amp; SF'!B:H, 7, 0)</f>
        <v>1.75E-3</v>
      </c>
      <c r="M389" s="7">
        <f t="shared" si="19"/>
        <v>8.7500000000000008E-2</v>
      </c>
      <c r="N389" s="4" t="s">
        <v>825</v>
      </c>
      <c r="O389" s="4">
        <f>VLOOKUP(B389, 'All Menu'!B:L, 6, 0)</f>
        <v>3.6637931034482762</v>
      </c>
      <c r="P389" s="6">
        <f>VLOOKUP(B389, 'All Menu'!B:L, 9, 0)</f>
        <v>1.4422489353279047</v>
      </c>
      <c r="Q389" s="14">
        <f>VLOOKUP(B389, 'All Menu'!B:M, 12, 0)</f>
        <v>0.60635087882814842</v>
      </c>
      <c r="R389" s="173">
        <f t="shared" si="20"/>
        <v>0</v>
      </c>
    </row>
    <row r="390" spans="1:18" ht="14" hidden="1">
      <c r="A390" s="78" t="s">
        <v>2558</v>
      </c>
      <c r="B390" s="220" t="s">
        <v>848</v>
      </c>
      <c r="C390" s="185"/>
      <c r="D390" s="103" t="str">
        <f>VLOOKUP(B390, 'All Menu'!B:M, 4, 0)</f>
        <v>منقوشة مجرمشة</v>
      </c>
      <c r="E390" s="30" t="str">
        <f>VLOOKUP(B390, 'All Menu'!B:M, 2, 0)</f>
        <v>قسم الصالة</v>
      </c>
      <c r="F390" s="103" t="str">
        <f>VLOOKUP(B390, 'All Menu'!B:M, 3, 0)</f>
        <v>عجين صالة</v>
      </c>
      <c r="G390" s="90" t="s">
        <v>2333</v>
      </c>
      <c r="H390" s="219" t="s">
        <v>498</v>
      </c>
      <c r="I390" s="110" t="str">
        <f>VLOOKUP(H390, 'RM &amp; SF'!B:H, 2, 0)</f>
        <v>عجين الصفيحة والمناقيش</v>
      </c>
      <c r="J390" s="184" t="str">
        <f>VLOOKUP(H390, 'RM &amp; SF'!B:E, 4, 0)</f>
        <v>غم</v>
      </c>
      <c r="K390" s="12">
        <v>150</v>
      </c>
      <c r="L390" s="13">
        <f>VLOOKUP(H390, 'RM &amp; SF'!B:H, 7, 0)</f>
        <v>4.659980972150147E-4</v>
      </c>
      <c r="M390" s="7">
        <f t="shared" si="19"/>
        <v>6.9899714582252206E-2</v>
      </c>
      <c r="N390" s="4" t="s">
        <v>825</v>
      </c>
      <c r="O390" s="4">
        <f>VLOOKUP(B390, 'All Menu'!B:L, 6, 0)</f>
        <v>2.3706896551724141</v>
      </c>
      <c r="P390" s="6">
        <f>VLOOKUP(B390, 'All Menu'!B:L, 9, 0)</f>
        <v>1.1827914581719958</v>
      </c>
      <c r="Q390" s="14">
        <f>VLOOKUP(B390, 'All Menu'!B:M, 12, 0)</f>
        <v>0.50107705764381272</v>
      </c>
      <c r="R390" s="173">
        <f t="shared" si="20"/>
        <v>0</v>
      </c>
    </row>
    <row r="391" spans="1:18" ht="14" hidden="1">
      <c r="A391" s="78" t="s">
        <v>2558</v>
      </c>
      <c r="B391" s="220" t="s">
        <v>848</v>
      </c>
      <c r="C391" s="185"/>
      <c r="D391" s="103" t="str">
        <f>VLOOKUP(B391, 'All Menu'!B:M, 4, 0)</f>
        <v>منقوشة مجرمشة</v>
      </c>
      <c r="E391" s="30" t="str">
        <f>VLOOKUP(B391, 'All Menu'!B:M, 2, 0)</f>
        <v>قسم الصالة</v>
      </c>
      <c r="F391" s="103" t="str">
        <f>VLOOKUP(B391, 'All Menu'!B:M, 3, 0)</f>
        <v>عجين صالة</v>
      </c>
      <c r="G391" s="90" t="s">
        <v>2335</v>
      </c>
      <c r="H391" s="219" t="s">
        <v>500</v>
      </c>
      <c r="I391" s="110" t="str">
        <f>VLOOKUP(H391, 'RM &amp; SF'!B:H, 2, 0)</f>
        <v>لحمة مجرمشة</v>
      </c>
      <c r="J391" s="184" t="str">
        <f>VLOOKUP(H391, 'RM &amp; SF'!B:E, 4, 0)</f>
        <v>غم</v>
      </c>
      <c r="K391" s="12">
        <v>200</v>
      </c>
      <c r="L391" s="13">
        <f>VLOOKUP(H391, 'RM &amp; SF'!B:H, 7, 0)</f>
        <v>5.5644587179487183E-3</v>
      </c>
      <c r="M391" s="7">
        <f t="shared" si="19"/>
        <v>1.1128917435897436</v>
      </c>
      <c r="N391" s="4" t="s">
        <v>825</v>
      </c>
      <c r="O391" s="4">
        <f>VLOOKUP(B391, 'All Menu'!B:L, 6, 0)</f>
        <v>2.3706896551724141</v>
      </c>
      <c r="P391" s="6">
        <f>VLOOKUP(B391, 'All Menu'!B:L, 9, 0)</f>
        <v>1.1827914581719958</v>
      </c>
      <c r="Q391" s="14">
        <f>VLOOKUP(B391, 'All Menu'!B:M, 12, 0)</f>
        <v>0.50107705764381272</v>
      </c>
      <c r="R391" s="173">
        <f t="shared" si="20"/>
        <v>0</v>
      </c>
    </row>
    <row r="392" spans="1:18" ht="14" hidden="1">
      <c r="A392" s="78" t="s">
        <v>2565</v>
      </c>
      <c r="B392" s="220" t="s">
        <v>849</v>
      </c>
      <c r="C392" s="185"/>
      <c r="D392" s="103" t="str">
        <f>VLOOKUP(B392, 'All Menu'!B:M, 4, 0)</f>
        <v>بيتزا مارغريتا</v>
      </c>
      <c r="E392" s="30" t="str">
        <f>VLOOKUP(B392, 'All Menu'!B:M, 2, 0)</f>
        <v>قسم الصالة</v>
      </c>
      <c r="F392" s="103" t="str">
        <f>VLOOKUP(B392, 'All Menu'!B:M, 3, 0)</f>
        <v>عجين صالة</v>
      </c>
      <c r="G392" s="90" t="s">
        <v>2333</v>
      </c>
      <c r="H392" s="219" t="s">
        <v>498</v>
      </c>
      <c r="I392" s="110" t="str">
        <f>VLOOKUP(H392, 'RM &amp; SF'!B:H, 2, 0)</f>
        <v>عجين الصفيحة والمناقيش</v>
      </c>
      <c r="J392" s="184" t="str">
        <f>VLOOKUP(H392, 'RM &amp; SF'!B:E, 4, 0)</f>
        <v>غم</v>
      </c>
      <c r="K392" s="12">
        <v>450</v>
      </c>
      <c r="L392" s="13">
        <f>VLOOKUP(H392, 'RM &amp; SF'!B:H, 7, 0)</f>
        <v>4.659980972150147E-4</v>
      </c>
      <c r="M392" s="7">
        <f t="shared" si="19"/>
        <v>0.20969914374675661</v>
      </c>
      <c r="N392" s="4" t="s">
        <v>825</v>
      </c>
      <c r="O392" s="4">
        <f>VLOOKUP(B392, 'All Menu'!B:L, 6, 0)</f>
        <v>3.8793103448275863</v>
      </c>
      <c r="P392" s="6">
        <f>VLOOKUP(B392, 'All Menu'!B:L, 9, 0)</f>
        <v>1.6015707047223664</v>
      </c>
      <c r="Q392" s="14">
        <f>VLOOKUP(B392, 'All Menu'!B:M, 12, 0)</f>
        <v>0.58715066278267891</v>
      </c>
      <c r="R392" s="173">
        <f t="shared" si="20"/>
        <v>0</v>
      </c>
    </row>
    <row r="393" spans="1:18" ht="14" hidden="1">
      <c r="A393" s="78" t="s">
        <v>2565</v>
      </c>
      <c r="B393" s="220" t="s">
        <v>849</v>
      </c>
      <c r="C393" s="185"/>
      <c r="D393" s="103" t="str">
        <f>VLOOKUP(B393, 'All Menu'!B:M, 4, 0)</f>
        <v>بيتزا مارغريتا</v>
      </c>
      <c r="E393" s="30" t="str">
        <f>VLOOKUP(B393, 'All Menu'!B:M, 2, 0)</f>
        <v>قسم الصالة</v>
      </c>
      <c r="F393" s="103" t="str">
        <f>VLOOKUP(B393, 'All Menu'!B:M, 3, 0)</f>
        <v>عجين صالة</v>
      </c>
      <c r="G393" s="90" t="s">
        <v>3058</v>
      </c>
      <c r="H393" s="188">
        <v>4079</v>
      </c>
      <c r="I393" s="110" t="str">
        <f>VLOOKUP(H393, 'RM &amp; SF'!B:H, 2, 0)</f>
        <v>بيتزا صوص 4.100 كغ*****</v>
      </c>
      <c r="J393" s="184" t="str">
        <f>VLOOKUP(H393, 'RM &amp; SF'!B:E, 4, 0)</f>
        <v>غم</v>
      </c>
      <c r="K393" s="12">
        <v>70</v>
      </c>
      <c r="L393" s="13">
        <f>VLOOKUP(H393, 'RM &amp; SF'!B:H, 7, 0)</f>
        <v>1.4017365853658537E-3</v>
      </c>
      <c r="M393" s="7">
        <f t="shared" si="19"/>
        <v>9.8121560975609756E-2</v>
      </c>
      <c r="N393" s="4" t="s">
        <v>825</v>
      </c>
      <c r="O393" s="4">
        <f>VLOOKUP(B393, 'All Menu'!B:L, 6, 0)</f>
        <v>3.8793103448275863</v>
      </c>
      <c r="P393" s="6">
        <f>VLOOKUP(B393, 'All Menu'!B:L, 9, 0)</f>
        <v>1.6015707047223664</v>
      </c>
      <c r="Q393" s="14">
        <f>VLOOKUP(B393, 'All Menu'!B:M, 12, 0)</f>
        <v>0.58715066278267891</v>
      </c>
      <c r="R393" s="173">
        <f t="shared" si="20"/>
        <v>0</v>
      </c>
    </row>
    <row r="394" spans="1:18" ht="14" hidden="1">
      <c r="A394" s="78" t="s">
        <v>2565</v>
      </c>
      <c r="B394" s="220" t="s">
        <v>849</v>
      </c>
      <c r="C394" s="185"/>
      <c r="D394" s="103" t="str">
        <f>VLOOKUP(B394, 'All Menu'!B:M, 4, 0)</f>
        <v>بيتزا مارغريتا</v>
      </c>
      <c r="E394" s="30" t="str">
        <f>VLOOKUP(B394, 'All Menu'!B:M, 2, 0)</f>
        <v>قسم الصالة</v>
      </c>
      <c r="F394" s="103" t="str">
        <f>VLOOKUP(B394, 'All Menu'!B:M, 3, 0)</f>
        <v>عجين صالة</v>
      </c>
      <c r="G394" s="90" t="s">
        <v>2173</v>
      </c>
      <c r="H394" s="188">
        <v>4624</v>
      </c>
      <c r="I394" s="110" t="str">
        <f>VLOOKUP(H394, 'RM &amp; SF'!B:H, 2, 0)</f>
        <v>جبنة موزريلا قالب 2.380 كغ*****</v>
      </c>
      <c r="J394" s="184" t="str">
        <f>VLOOKUP(H394, 'RM &amp; SF'!B:E, 4, 0)</f>
        <v>غم</v>
      </c>
      <c r="K394" s="12">
        <v>250</v>
      </c>
      <c r="L394" s="13">
        <f>VLOOKUP(H394, 'RM &amp; SF'!B:H, 7, 0)</f>
        <v>5.1749999999999999E-3</v>
      </c>
      <c r="M394" s="7">
        <f t="shared" si="19"/>
        <v>1.29375</v>
      </c>
      <c r="N394" s="4" t="s">
        <v>825</v>
      </c>
      <c r="O394" s="4">
        <f>VLOOKUP(B394, 'All Menu'!B:L, 6, 0)</f>
        <v>3.8793103448275863</v>
      </c>
      <c r="P394" s="6">
        <f>VLOOKUP(B394, 'All Menu'!B:L, 9, 0)</f>
        <v>1.6015707047223664</v>
      </c>
      <c r="Q394" s="14">
        <f>VLOOKUP(B394, 'All Menu'!B:M, 12, 0)</f>
        <v>0.58715066278267891</v>
      </c>
      <c r="R394" s="173">
        <f t="shared" si="20"/>
        <v>0</v>
      </c>
    </row>
    <row r="395" spans="1:18" ht="14" hidden="1">
      <c r="A395" s="78" t="s">
        <v>2562</v>
      </c>
      <c r="B395" s="220" t="s">
        <v>850</v>
      </c>
      <c r="C395" s="185"/>
      <c r="D395" s="103" t="str">
        <f>VLOOKUP(B395, 'All Menu'!B:M, 4, 0)</f>
        <v>بيتزا تيركي</v>
      </c>
      <c r="E395" s="30" t="str">
        <f>VLOOKUP(B395, 'All Menu'!B:M, 2, 0)</f>
        <v>قسم الصالة</v>
      </c>
      <c r="F395" s="103" t="str">
        <f>VLOOKUP(B395, 'All Menu'!B:M, 3, 0)</f>
        <v>عجين صالة</v>
      </c>
      <c r="G395" s="90" t="s">
        <v>2333</v>
      </c>
      <c r="H395" s="219" t="s">
        <v>498</v>
      </c>
      <c r="I395" s="110" t="str">
        <f>VLOOKUP(H395, 'RM &amp; SF'!B:H, 2, 0)</f>
        <v>عجين الصفيحة والمناقيش</v>
      </c>
      <c r="J395" s="184" t="str">
        <f>VLOOKUP(H395, 'RM &amp; SF'!B:E, 4, 0)</f>
        <v>غم</v>
      </c>
      <c r="K395" s="12">
        <v>450</v>
      </c>
      <c r="L395" s="13">
        <f>VLOOKUP(H395, 'RM &amp; SF'!B:H, 7, 0)</f>
        <v>4.659980972150147E-4</v>
      </c>
      <c r="M395" s="7">
        <f t="shared" si="19"/>
        <v>0.20969914374675661</v>
      </c>
      <c r="N395" s="4" t="s">
        <v>825</v>
      </c>
      <c r="O395" s="4">
        <f>VLOOKUP(B395, 'All Menu'!B:L, 6, 0)</f>
        <v>4.3103448275862073</v>
      </c>
      <c r="P395" s="6">
        <f>VLOOKUP(B395, 'All Menu'!B:L, 9, 0)</f>
        <v>1.3838976277992894</v>
      </c>
      <c r="Q395" s="14">
        <f>VLOOKUP(B395, 'All Menu'!B:M, 12, 0)</f>
        <v>0.67893575035056497</v>
      </c>
      <c r="R395" s="173">
        <f t="shared" si="20"/>
        <v>0</v>
      </c>
    </row>
    <row r="396" spans="1:18" ht="14" hidden="1">
      <c r="A396" s="78" t="s">
        <v>2562</v>
      </c>
      <c r="B396" s="220" t="s">
        <v>850</v>
      </c>
      <c r="C396" s="185"/>
      <c r="D396" s="103" t="str">
        <f>VLOOKUP(B396, 'All Menu'!B:M, 4, 0)</f>
        <v>بيتزا تيركي</v>
      </c>
      <c r="E396" s="30" t="str">
        <f>VLOOKUP(B396, 'All Menu'!B:M, 2, 0)</f>
        <v>قسم الصالة</v>
      </c>
      <c r="F396" s="103" t="str">
        <f>VLOOKUP(B396, 'All Menu'!B:M, 3, 0)</f>
        <v>عجين صالة</v>
      </c>
      <c r="G396" s="90" t="s">
        <v>3058</v>
      </c>
      <c r="H396" s="188">
        <v>4079</v>
      </c>
      <c r="I396" s="110" t="str">
        <f>VLOOKUP(H396, 'RM &amp; SF'!B:H, 2, 0)</f>
        <v>بيتزا صوص 4.100 كغ*****</v>
      </c>
      <c r="J396" s="184" t="str">
        <f>VLOOKUP(H396, 'RM &amp; SF'!B:E, 4, 0)</f>
        <v>غم</v>
      </c>
      <c r="K396" s="12">
        <v>70</v>
      </c>
      <c r="L396" s="13">
        <f>VLOOKUP(H396, 'RM &amp; SF'!B:H, 7, 0)</f>
        <v>1.4017365853658537E-3</v>
      </c>
      <c r="M396" s="7">
        <f t="shared" si="19"/>
        <v>9.8121560975609756E-2</v>
      </c>
      <c r="N396" s="4" t="s">
        <v>825</v>
      </c>
      <c r="O396" s="4">
        <f>VLOOKUP(B396, 'All Menu'!B:L, 6, 0)</f>
        <v>4.3103448275862073</v>
      </c>
      <c r="P396" s="6">
        <f>VLOOKUP(B396, 'All Menu'!B:L, 9, 0)</f>
        <v>1.3838976277992894</v>
      </c>
      <c r="Q396" s="14">
        <f>VLOOKUP(B396, 'All Menu'!B:M, 12, 0)</f>
        <v>0.67893575035056497</v>
      </c>
      <c r="R396" s="173">
        <f t="shared" si="20"/>
        <v>0</v>
      </c>
    </row>
    <row r="397" spans="1:18" ht="14" hidden="1">
      <c r="A397" s="78" t="s">
        <v>2562</v>
      </c>
      <c r="B397" s="220" t="s">
        <v>850</v>
      </c>
      <c r="C397" s="185"/>
      <c r="D397" s="103" t="str">
        <f>VLOOKUP(B397, 'All Menu'!B:M, 4, 0)</f>
        <v>بيتزا تيركي</v>
      </c>
      <c r="E397" s="30" t="str">
        <f>VLOOKUP(B397, 'All Menu'!B:M, 2, 0)</f>
        <v>قسم الصالة</v>
      </c>
      <c r="F397" s="103" t="str">
        <f>VLOOKUP(B397, 'All Menu'!B:M, 3, 0)</f>
        <v>عجين صالة</v>
      </c>
      <c r="G397" s="90" t="s">
        <v>2173</v>
      </c>
      <c r="H397" s="188">
        <v>4624</v>
      </c>
      <c r="I397" s="110" t="str">
        <f>VLOOKUP(H397, 'RM &amp; SF'!B:H, 2, 0)</f>
        <v>جبنة موزريلا قالب 2.380 كغ*****</v>
      </c>
      <c r="J397" s="184" t="str">
        <f>VLOOKUP(H397, 'RM &amp; SF'!B:E, 4, 0)</f>
        <v>غم</v>
      </c>
      <c r="K397" s="12">
        <v>160</v>
      </c>
      <c r="L397" s="13">
        <f>VLOOKUP(H397, 'RM &amp; SF'!B:H, 7, 0)</f>
        <v>5.1749999999999999E-3</v>
      </c>
      <c r="M397" s="7">
        <f t="shared" si="19"/>
        <v>0.82799999999999996</v>
      </c>
      <c r="N397" s="4" t="s">
        <v>825</v>
      </c>
      <c r="O397" s="4">
        <f>VLOOKUP(B397, 'All Menu'!B:L, 6, 0)</f>
        <v>4.3103448275862073</v>
      </c>
      <c r="P397" s="6">
        <f>VLOOKUP(B397, 'All Menu'!B:L, 9, 0)</f>
        <v>1.3838976277992894</v>
      </c>
      <c r="Q397" s="14">
        <f>VLOOKUP(B397, 'All Menu'!B:M, 12, 0)</f>
        <v>0.67893575035056497</v>
      </c>
      <c r="R397" s="173">
        <f t="shared" si="20"/>
        <v>0</v>
      </c>
    </row>
    <row r="398" spans="1:18" ht="14" hidden="1">
      <c r="A398" s="78" t="s">
        <v>2562</v>
      </c>
      <c r="B398" s="220" t="s">
        <v>850</v>
      </c>
      <c r="C398" s="185"/>
      <c r="D398" s="103" t="str">
        <f>VLOOKUP(B398, 'All Menu'!B:M, 4, 0)</f>
        <v>بيتزا تيركي</v>
      </c>
      <c r="E398" s="30" t="str">
        <f>VLOOKUP(B398, 'All Menu'!B:M, 2, 0)</f>
        <v>قسم الصالة</v>
      </c>
      <c r="F398" s="103" t="str">
        <f>VLOOKUP(B398, 'All Menu'!B:M, 3, 0)</f>
        <v>عجين صالة</v>
      </c>
      <c r="G398" s="90" t="s">
        <v>2262</v>
      </c>
      <c r="H398" s="188">
        <v>4633</v>
      </c>
      <c r="I398" s="110" t="str">
        <f>VLOOKUP(H398, 'RM &amp; SF'!B:H, 2, 0)</f>
        <v>تيركي 500 غم*****</v>
      </c>
      <c r="J398" s="184" t="str">
        <f>VLOOKUP(H398, 'RM &amp; SF'!B:E, 4, 0)</f>
        <v>غم</v>
      </c>
      <c r="K398" s="12">
        <v>60</v>
      </c>
      <c r="L398" s="13">
        <f>VLOOKUP(H398, 'RM &amp; SF'!B:H, 7, 0)</f>
        <v>4.1346153846153842E-3</v>
      </c>
      <c r="M398" s="7">
        <f t="shared" si="19"/>
        <v>0.24807692307692306</v>
      </c>
      <c r="N398" s="4" t="s">
        <v>825</v>
      </c>
      <c r="O398" s="4">
        <f>VLOOKUP(B398, 'All Menu'!B:L, 6, 0)</f>
        <v>4.3103448275862073</v>
      </c>
      <c r="P398" s="6">
        <f>VLOOKUP(B398, 'All Menu'!B:L, 9, 0)</f>
        <v>1.3838976277992894</v>
      </c>
      <c r="Q398" s="14">
        <f>VLOOKUP(B398, 'All Menu'!B:M, 12, 0)</f>
        <v>0.67893575035056497</v>
      </c>
      <c r="R398" s="173">
        <f t="shared" si="20"/>
        <v>0</v>
      </c>
    </row>
    <row r="399" spans="1:18" ht="14" hidden="1">
      <c r="A399" s="78" t="s">
        <v>2563</v>
      </c>
      <c r="B399" s="220" t="s">
        <v>852</v>
      </c>
      <c r="C399" s="185"/>
      <c r="D399" s="103" t="str">
        <f>VLOOKUP(B399, 'All Menu'!B:M, 4, 0)</f>
        <v>بيتزا باربيكو</v>
      </c>
      <c r="E399" s="30" t="str">
        <f>VLOOKUP(B399, 'All Menu'!B:M, 2, 0)</f>
        <v>قسم الصالة</v>
      </c>
      <c r="F399" s="103" t="str">
        <f>VLOOKUP(B399, 'All Menu'!B:M, 3, 0)</f>
        <v>عجين صالة</v>
      </c>
      <c r="G399" s="90" t="s">
        <v>2333</v>
      </c>
      <c r="H399" s="219" t="s">
        <v>498</v>
      </c>
      <c r="I399" s="110" t="str">
        <f>VLOOKUP(H399, 'RM &amp; SF'!B:H, 2, 0)</f>
        <v>عجين الصفيحة والمناقيش</v>
      </c>
      <c r="J399" s="184" t="str">
        <f>VLOOKUP(H399, 'RM &amp; SF'!B:E, 4, 0)</f>
        <v>غم</v>
      </c>
      <c r="K399" s="12">
        <v>450</v>
      </c>
      <c r="L399" s="13">
        <f>VLOOKUP(H399, 'RM &amp; SF'!B:H, 7, 0)</f>
        <v>4.659980972150147E-4</v>
      </c>
      <c r="M399" s="7">
        <f t="shared" si="19"/>
        <v>0.20969914374675661</v>
      </c>
      <c r="N399" s="4" t="s">
        <v>825</v>
      </c>
      <c r="O399" s="4">
        <f>VLOOKUP(B399, 'All Menu'!B:L, 6, 0)</f>
        <v>4.7413793103448283</v>
      </c>
      <c r="P399" s="6">
        <f>VLOOKUP(B399, 'All Menu'!B:L, 9, 0)</f>
        <v>1.6883278350315489</v>
      </c>
      <c r="Q399" s="14">
        <f>VLOOKUP(B399, 'All Menu'!B:M, 12, 0)</f>
        <v>0.64391631115698245</v>
      </c>
      <c r="R399" s="173">
        <f t="shared" si="20"/>
        <v>0</v>
      </c>
    </row>
    <row r="400" spans="1:18" ht="14" hidden="1">
      <c r="A400" s="78" t="s">
        <v>2563</v>
      </c>
      <c r="B400" s="220" t="s">
        <v>852</v>
      </c>
      <c r="C400" s="185"/>
      <c r="D400" s="103" t="str">
        <f>VLOOKUP(B400, 'All Menu'!B:M, 4, 0)</f>
        <v>بيتزا باربيكو</v>
      </c>
      <c r="E400" s="30" t="str">
        <f>VLOOKUP(B400, 'All Menu'!B:M, 2, 0)</f>
        <v>قسم الصالة</v>
      </c>
      <c r="F400" s="103" t="str">
        <f>VLOOKUP(B400, 'All Menu'!B:M, 3, 0)</f>
        <v>عجين صالة</v>
      </c>
      <c r="G400" s="90" t="s">
        <v>3058</v>
      </c>
      <c r="H400" s="188">
        <v>4079</v>
      </c>
      <c r="I400" s="110" t="str">
        <f>VLOOKUP(H400, 'RM &amp; SF'!B:H, 2, 0)</f>
        <v>بيتزا صوص 4.100 كغ*****</v>
      </c>
      <c r="J400" s="184" t="str">
        <f>VLOOKUP(H400, 'RM &amp; SF'!B:E, 4, 0)</f>
        <v>غم</v>
      </c>
      <c r="K400" s="12">
        <v>70</v>
      </c>
      <c r="L400" s="13">
        <f>VLOOKUP(H400, 'RM &amp; SF'!B:H, 7, 0)</f>
        <v>1.4017365853658537E-3</v>
      </c>
      <c r="M400" s="7">
        <f t="shared" si="19"/>
        <v>9.8121560975609756E-2</v>
      </c>
      <c r="N400" s="4" t="s">
        <v>825</v>
      </c>
      <c r="O400" s="4">
        <f>VLOOKUP(B400, 'All Menu'!B:L, 6, 0)</f>
        <v>4.7413793103448283</v>
      </c>
      <c r="P400" s="6">
        <f>VLOOKUP(B400, 'All Menu'!B:L, 9, 0)</f>
        <v>1.6883278350315489</v>
      </c>
      <c r="Q400" s="14">
        <f>VLOOKUP(B400, 'All Menu'!B:M, 12, 0)</f>
        <v>0.64391631115698245</v>
      </c>
      <c r="R400" s="173">
        <f t="shared" si="20"/>
        <v>0</v>
      </c>
    </row>
    <row r="401" spans="1:18" ht="14" hidden="1">
      <c r="A401" s="78" t="s">
        <v>2563</v>
      </c>
      <c r="B401" s="220" t="s">
        <v>852</v>
      </c>
      <c r="C401" s="185"/>
      <c r="D401" s="103" t="str">
        <f>VLOOKUP(B401, 'All Menu'!B:M, 4, 0)</f>
        <v>بيتزا باربيكو</v>
      </c>
      <c r="E401" s="30" t="str">
        <f>VLOOKUP(B401, 'All Menu'!B:M, 2, 0)</f>
        <v>قسم الصالة</v>
      </c>
      <c r="F401" s="103" t="str">
        <f>VLOOKUP(B401, 'All Menu'!B:M, 3, 0)</f>
        <v>عجين صالة</v>
      </c>
      <c r="G401" s="90" t="s">
        <v>2173</v>
      </c>
      <c r="H401" s="188">
        <v>4624</v>
      </c>
      <c r="I401" s="110" t="str">
        <f>VLOOKUP(H401, 'RM &amp; SF'!B:H, 2, 0)</f>
        <v>جبنة موزريلا قالب 2.380 كغ*****</v>
      </c>
      <c r="J401" s="184" t="str">
        <f>VLOOKUP(H401, 'RM &amp; SF'!B:E, 4, 0)</f>
        <v>غم</v>
      </c>
      <c r="K401" s="12">
        <v>160</v>
      </c>
      <c r="L401" s="13">
        <f>VLOOKUP(H401, 'RM &amp; SF'!B:H, 7, 0)</f>
        <v>5.1749999999999999E-3</v>
      </c>
      <c r="M401" s="7">
        <f t="shared" si="19"/>
        <v>0.82799999999999996</v>
      </c>
      <c r="N401" s="4" t="s">
        <v>825</v>
      </c>
      <c r="O401" s="4">
        <f>VLOOKUP(B401, 'All Menu'!B:L, 6, 0)</f>
        <v>4.7413793103448283</v>
      </c>
      <c r="P401" s="6">
        <f>VLOOKUP(B401, 'All Menu'!B:L, 9, 0)</f>
        <v>1.6883278350315489</v>
      </c>
      <c r="Q401" s="14">
        <f>VLOOKUP(B401, 'All Menu'!B:M, 12, 0)</f>
        <v>0.64391631115698245</v>
      </c>
      <c r="R401" s="173">
        <f t="shared" si="20"/>
        <v>0</v>
      </c>
    </row>
    <row r="402" spans="1:18" ht="14" hidden="1">
      <c r="A402" s="78" t="s">
        <v>2563</v>
      </c>
      <c r="B402" s="220" t="s">
        <v>852</v>
      </c>
      <c r="C402" s="185"/>
      <c r="D402" s="103" t="str">
        <f>VLOOKUP(B402, 'All Menu'!B:M, 4, 0)</f>
        <v>بيتزا باربيكو</v>
      </c>
      <c r="E402" s="30" t="str">
        <f>VLOOKUP(B402, 'All Menu'!B:M, 2, 0)</f>
        <v>قسم الصالة</v>
      </c>
      <c r="F402" s="103" t="str">
        <f>VLOOKUP(B402, 'All Menu'!B:M, 3, 0)</f>
        <v>عجين صالة</v>
      </c>
      <c r="G402" s="90" t="s">
        <v>2456</v>
      </c>
      <c r="H402" s="219" t="s">
        <v>506</v>
      </c>
      <c r="I402" s="110" t="str">
        <f>VLOOKUP(H402, 'RM &amp; SF'!B:H, 2, 0)</f>
        <v>شيش</v>
      </c>
      <c r="J402" s="184" t="str">
        <f>VLOOKUP(H402, 'RM &amp; SF'!B:E, 4, 0)</f>
        <v>غم</v>
      </c>
      <c r="K402" s="12">
        <v>100</v>
      </c>
      <c r="L402" s="13">
        <f>VLOOKUP(H402, 'RM &amp; SF'!B:H, 7, 0)</f>
        <v>4.6721213030918281E-3</v>
      </c>
      <c r="M402" s="7">
        <f t="shared" si="19"/>
        <v>0.46721213030918279</v>
      </c>
      <c r="N402" s="4" t="s">
        <v>825</v>
      </c>
      <c r="O402" s="4">
        <f>VLOOKUP(B402, 'All Menu'!B:L, 6, 0)</f>
        <v>4.7413793103448283</v>
      </c>
      <c r="P402" s="6">
        <f>VLOOKUP(B402, 'All Menu'!B:L, 9, 0)</f>
        <v>1.6883278350315489</v>
      </c>
      <c r="Q402" s="14">
        <f>VLOOKUP(B402, 'All Menu'!B:M, 12, 0)</f>
        <v>0.64391631115698245</v>
      </c>
      <c r="R402" s="173">
        <f t="shared" si="20"/>
        <v>0</v>
      </c>
    </row>
    <row r="403" spans="1:18" ht="14" hidden="1">
      <c r="A403" s="78" t="s">
        <v>2563</v>
      </c>
      <c r="B403" s="220" t="s">
        <v>852</v>
      </c>
      <c r="C403" s="185"/>
      <c r="D403" s="103" t="str">
        <f>VLOOKUP(B403, 'All Menu'!B:M, 4, 0)</f>
        <v>بيتزا باربيكو</v>
      </c>
      <c r="E403" s="30" t="str">
        <f>VLOOKUP(B403, 'All Menu'!B:M, 2, 0)</f>
        <v>قسم الصالة</v>
      </c>
      <c r="F403" s="103" t="str">
        <f>VLOOKUP(B403, 'All Menu'!B:M, 3, 0)</f>
        <v>عجين صالة</v>
      </c>
      <c r="G403" s="90" t="s">
        <v>2267</v>
      </c>
      <c r="H403" s="188">
        <v>4009</v>
      </c>
      <c r="I403" s="110" t="str">
        <f>VLOOKUP(H403, 'RM &amp; SF'!B:H, 2, 0)</f>
        <v>باربكيو صوص 3.79 لتر*****</v>
      </c>
      <c r="J403" s="184" t="str">
        <f>VLOOKUP(H403, 'RM &amp; SF'!B:E, 4, 0)</f>
        <v>غم</v>
      </c>
      <c r="K403" s="12">
        <v>25</v>
      </c>
      <c r="L403" s="13">
        <f>VLOOKUP(H403, 'RM &amp; SF'!B:H, 7, 0)</f>
        <v>3.4118E-3</v>
      </c>
      <c r="M403" s="7">
        <f t="shared" si="19"/>
        <v>8.5294999999999996E-2</v>
      </c>
      <c r="N403" s="4" t="s">
        <v>825</v>
      </c>
      <c r="O403" s="4">
        <f>VLOOKUP(B403, 'All Menu'!B:L, 6, 0)</f>
        <v>4.7413793103448283</v>
      </c>
      <c r="P403" s="6">
        <f>VLOOKUP(B403, 'All Menu'!B:L, 9, 0)</f>
        <v>1.6883278350315489</v>
      </c>
      <c r="Q403" s="14">
        <f>VLOOKUP(B403, 'All Menu'!B:M, 12, 0)</f>
        <v>0.64391631115698245</v>
      </c>
      <c r="R403" s="173">
        <f t="shared" si="20"/>
        <v>0</v>
      </c>
    </row>
    <row r="404" spans="1:18" ht="14" hidden="1">
      <c r="A404" s="78" t="s">
        <v>2561</v>
      </c>
      <c r="B404" s="220" t="s">
        <v>853</v>
      </c>
      <c r="C404" s="185"/>
      <c r="D404" s="103" t="str">
        <f>VLOOKUP(B404, 'All Menu'!B:M, 4, 0)</f>
        <v>بيتزا خضار</v>
      </c>
      <c r="E404" s="30" t="str">
        <f>VLOOKUP(B404, 'All Menu'!B:M, 2, 0)</f>
        <v>قسم الصالة</v>
      </c>
      <c r="F404" s="103" t="str">
        <f>VLOOKUP(B404, 'All Menu'!B:M, 3, 0)</f>
        <v>عجين صالة</v>
      </c>
      <c r="G404" s="90" t="s">
        <v>2333</v>
      </c>
      <c r="H404" s="219" t="s">
        <v>498</v>
      </c>
      <c r="I404" s="110" t="str">
        <f>VLOOKUP(H404, 'RM &amp; SF'!B:H, 2, 0)</f>
        <v>عجين الصفيحة والمناقيش</v>
      </c>
      <c r="J404" s="184" t="str">
        <f>VLOOKUP(H404, 'RM &amp; SF'!B:E, 4, 0)</f>
        <v>غم</v>
      </c>
      <c r="K404" s="12">
        <v>450</v>
      </c>
      <c r="L404" s="13">
        <f>VLOOKUP(H404, 'RM &amp; SF'!B:H, 7, 0)</f>
        <v>4.659980972150147E-4</v>
      </c>
      <c r="M404" s="7">
        <f t="shared" si="19"/>
        <v>0.20969914374675661</v>
      </c>
      <c r="N404" s="4" t="s">
        <v>825</v>
      </c>
      <c r="O404" s="4">
        <f>VLOOKUP(B404, 'All Menu'!B:L, 6, 0)</f>
        <v>4.3103448275862073</v>
      </c>
      <c r="P404" s="6">
        <f>VLOOKUP(B404, 'All Menu'!B:L, 9, 0)</f>
        <v>1.513113826415488</v>
      </c>
      <c r="Q404" s="14">
        <f>VLOOKUP(B404, 'All Menu'!B:M, 12, 0)</f>
        <v>0.64895759227160688</v>
      </c>
      <c r="R404" s="173">
        <f t="shared" si="20"/>
        <v>0</v>
      </c>
    </row>
    <row r="405" spans="1:18" ht="14" hidden="1">
      <c r="A405" s="78" t="s">
        <v>2561</v>
      </c>
      <c r="B405" s="220" t="s">
        <v>853</v>
      </c>
      <c r="C405" s="185"/>
      <c r="D405" s="103" t="str">
        <f>VLOOKUP(B405, 'All Menu'!B:M, 4, 0)</f>
        <v>بيتزا خضار</v>
      </c>
      <c r="E405" s="30" t="str">
        <f>VLOOKUP(B405, 'All Menu'!B:M, 2, 0)</f>
        <v>قسم الصالة</v>
      </c>
      <c r="F405" s="103" t="str">
        <f>VLOOKUP(B405, 'All Menu'!B:M, 3, 0)</f>
        <v>عجين صالة</v>
      </c>
      <c r="G405" s="90" t="s">
        <v>3058</v>
      </c>
      <c r="H405" s="188">
        <v>4079</v>
      </c>
      <c r="I405" s="110" t="str">
        <f>VLOOKUP(H405, 'RM &amp; SF'!B:H, 2, 0)</f>
        <v>بيتزا صوص 4.100 كغ*****</v>
      </c>
      <c r="J405" s="184" t="str">
        <f>VLOOKUP(H405, 'RM &amp; SF'!B:E, 4, 0)</f>
        <v>غم</v>
      </c>
      <c r="K405" s="12">
        <v>70</v>
      </c>
      <c r="L405" s="13">
        <f>VLOOKUP(H405, 'RM &amp; SF'!B:H, 7, 0)</f>
        <v>1.4017365853658537E-3</v>
      </c>
      <c r="M405" s="7">
        <f t="shared" si="19"/>
        <v>9.8121560975609756E-2</v>
      </c>
      <c r="N405" s="4" t="s">
        <v>825</v>
      </c>
      <c r="O405" s="4">
        <f>VLOOKUP(B405, 'All Menu'!B:L, 6, 0)</f>
        <v>4.3103448275862073</v>
      </c>
      <c r="P405" s="6">
        <f>VLOOKUP(B405, 'All Menu'!B:L, 9, 0)</f>
        <v>1.513113826415488</v>
      </c>
      <c r="Q405" s="14">
        <f>VLOOKUP(B405, 'All Menu'!B:M, 12, 0)</f>
        <v>0.64895759227160688</v>
      </c>
      <c r="R405" s="173">
        <f t="shared" si="20"/>
        <v>0</v>
      </c>
    </row>
    <row r="406" spans="1:18" ht="14" hidden="1">
      <c r="A406" s="78" t="s">
        <v>2561</v>
      </c>
      <c r="B406" s="220" t="s">
        <v>853</v>
      </c>
      <c r="C406" s="185"/>
      <c r="D406" s="103" t="str">
        <f>VLOOKUP(B406, 'All Menu'!B:M, 4, 0)</f>
        <v>بيتزا خضار</v>
      </c>
      <c r="E406" s="30" t="str">
        <f>VLOOKUP(B406, 'All Menu'!B:M, 2, 0)</f>
        <v>قسم الصالة</v>
      </c>
      <c r="F406" s="103" t="str">
        <f>VLOOKUP(B406, 'All Menu'!B:M, 3, 0)</f>
        <v>عجين صالة</v>
      </c>
      <c r="G406" s="90" t="s">
        <v>2173</v>
      </c>
      <c r="H406" s="188">
        <v>4624</v>
      </c>
      <c r="I406" s="110" t="str">
        <f>VLOOKUP(H406, 'RM &amp; SF'!B:H, 2, 0)</f>
        <v>جبنة موزريلا قالب 2.380 كغ*****</v>
      </c>
      <c r="J406" s="184" t="str">
        <f>VLOOKUP(H406, 'RM &amp; SF'!B:E, 4, 0)</f>
        <v>غم</v>
      </c>
      <c r="K406" s="12">
        <v>160</v>
      </c>
      <c r="L406" s="13">
        <f>VLOOKUP(H406, 'RM &amp; SF'!B:H, 7, 0)</f>
        <v>5.1749999999999999E-3</v>
      </c>
      <c r="M406" s="7">
        <f t="shared" si="19"/>
        <v>0.82799999999999996</v>
      </c>
      <c r="N406" s="4" t="s">
        <v>825</v>
      </c>
      <c r="O406" s="4">
        <f>VLOOKUP(B406, 'All Menu'!B:L, 6, 0)</f>
        <v>4.3103448275862073</v>
      </c>
      <c r="P406" s="6">
        <f>VLOOKUP(B406, 'All Menu'!B:L, 9, 0)</f>
        <v>1.513113826415488</v>
      </c>
      <c r="Q406" s="14">
        <f>VLOOKUP(B406, 'All Menu'!B:M, 12, 0)</f>
        <v>0.64895759227160688</v>
      </c>
      <c r="R406" s="173">
        <f t="shared" si="20"/>
        <v>0</v>
      </c>
    </row>
    <row r="407" spans="1:18" ht="14" hidden="1">
      <c r="A407" s="78" t="s">
        <v>2561</v>
      </c>
      <c r="B407" s="220" t="s">
        <v>853</v>
      </c>
      <c r="C407" s="185"/>
      <c r="D407" s="103" t="str">
        <f>VLOOKUP(B407, 'All Menu'!B:M, 4, 0)</f>
        <v>بيتزا خضار</v>
      </c>
      <c r="E407" s="30" t="str">
        <f>VLOOKUP(B407, 'All Menu'!B:M, 2, 0)</f>
        <v>قسم الصالة</v>
      </c>
      <c r="F407" s="103" t="str">
        <f>VLOOKUP(B407, 'All Menu'!B:M, 3, 0)</f>
        <v>عجين صالة</v>
      </c>
      <c r="G407" s="90" t="s">
        <v>2270</v>
      </c>
      <c r="H407" s="188">
        <v>4030</v>
      </c>
      <c r="I407" s="110" t="str">
        <f>VLOOKUP(H407, 'RM &amp; SF'!B:H, 2, 0)</f>
        <v>*****فطر مقطع 400غم</v>
      </c>
      <c r="J407" s="184" t="str">
        <f>VLOOKUP(H407, 'RM &amp; SF'!B:E, 4, 0)</f>
        <v>غم</v>
      </c>
      <c r="K407" s="12">
        <v>80</v>
      </c>
      <c r="L407" s="13">
        <f>VLOOKUP(H407, 'RM &amp; SF'!B:H, 7, 0)</f>
        <v>3.0000000000000001E-3</v>
      </c>
      <c r="M407" s="7">
        <f t="shared" si="19"/>
        <v>0.24</v>
      </c>
      <c r="N407" s="4" t="s">
        <v>825</v>
      </c>
      <c r="O407" s="4">
        <f>VLOOKUP(B407, 'All Menu'!B:L, 6, 0)</f>
        <v>4.3103448275862073</v>
      </c>
      <c r="P407" s="6">
        <f>VLOOKUP(B407, 'All Menu'!B:L, 9, 0)</f>
        <v>1.513113826415488</v>
      </c>
      <c r="Q407" s="14">
        <f>VLOOKUP(B407, 'All Menu'!B:M, 12, 0)</f>
        <v>0.64895759227160688</v>
      </c>
      <c r="R407" s="173">
        <f t="shared" si="20"/>
        <v>0</v>
      </c>
    </row>
    <row r="408" spans="1:18" ht="14" hidden="1">
      <c r="A408" s="78" t="s">
        <v>2561</v>
      </c>
      <c r="B408" s="220" t="s">
        <v>853</v>
      </c>
      <c r="C408" s="185"/>
      <c r="D408" s="103" t="str">
        <f>VLOOKUP(B408, 'All Menu'!B:M, 4, 0)</f>
        <v>بيتزا خضار</v>
      </c>
      <c r="E408" s="30" t="str">
        <f>VLOOKUP(B408, 'All Menu'!B:M, 2, 0)</f>
        <v>قسم الصالة</v>
      </c>
      <c r="F408" s="103" t="str">
        <f>VLOOKUP(B408, 'All Menu'!B:M, 3, 0)</f>
        <v>عجين صالة</v>
      </c>
      <c r="G408" s="90" t="s">
        <v>2232</v>
      </c>
      <c r="H408" s="188">
        <v>4500</v>
      </c>
      <c r="I408" s="110" t="str">
        <f>VLOOKUP(H408, 'RM &amp; SF'!B:H, 2, 0)</f>
        <v>فلفل حلو اخضر*****</v>
      </c>
      <c r="J408" s="184" t="str">
        <f>VLOOKUP(H408, 'RM &amp; SF'!B:E, 4, 0)</f>
        <v>غم</v>
      </c>
      <c r="K408" s="12">
        <v>20</v>
      </c>
      <c r="L408" s="13">
        <f>VLOOKUP(H408, 'RM &amp; SF'!B:H, 7, 0)</f>
        <v>7.7999999999999999E-4</v>
      </c>
      <c r="M408" s="7">
        <f t="shared" si="19"/>
        <v>1.5599999999999999E-2</v>
      </c>
      <c r="N408" s="4" t="s">
        <v>825</v>
      </c>
      <c r="O408" s="4">
        <f>VLOOKUP(B408, 'All Menu'!B:L, 6, 0)</f>
        <v>4.3103448275862073</v>
      </c>
      <c r="P408" s="6">
        <f>VLOOKUP(B408, 'All Menu'!B:L, 9, 0)</f>
        <v>1.513113826415488</v>
      </c>
      <c r="Q408" s="14">
        <f>VLOOKUP(B408, 'All Menu'!B:M, 12, 0)</f>
        <v>0.64895759227160688</v>
      </c>
      <c r="R408" s="173">
        <f t="shared" si="20"/>
        <v>0</v>
      </c>
    </row>
    <row r="409" spans="1:18" ht="14" hidden="1">
      <c r="A409" s="78" t="s">
        <v>2561</v>
      </c>
      <c r="B409" s="220" t="s">
        <v>853</v>
      </c>
      <c r="C409" s="185"/>
      <c r="D409" s="103" t="str">
        <f>VLOOKUP(B409, 'All Menu'!B:M, 4, 0)</f>
        <v>بيتزا خضار</v>
      </c>
      <c r="E409" s="30" t="str">
        <f>VLOOKUP(B409, 'All Menu'!B:M, 2, 0)</f>
        <v>قسم الصالة</v>
      </c>
      <c r="F409" s="103" t="str">
        <f>VLOOKUP(B409, 'All Menu'!B:M, 3, 0)</f>
        <v>عجين صالة</v>
      </c>
      <c r="G409" s="90" t="s">
        <v>3058</v>
      </c>
      <c r="H409" s="188">
        <v>4074</v>
      </c>
      <c r="I409" s="110" t="str">
        <f>VLOOKUP(H409, 'RM &amp; SF'!B:H, 2, 0)</f>
        <v>زيتون اسود شرائح 4.200 كغ*****</v>
      </c>
      <c r="J409" s="184" t="str">
        <f>VLOOKUP(H409, 'RM &amp; SF'!B:E, 4, 0)</f>
        <v>غم</v>
      </c>
      <c r="K409" s="12">
        <v>80</v>
      </c>
      <c r="L409" s="13">
        <f>VLOOKUP(H409, 'RM &amp; SF'!B:H, 7, 0)</f>
        <v>1.5211640211640213E-3</v>
      </c>
      <c r="M409" s="7">
        <f t="shared" si="19"/>
        <v>0.1216931216931217</v>
      </c>
      <c r="N409" s="4" t="s">
        <v>825</v>
      </c>
      <c r="O409" s="4">
        <f>VLOOKUP(B409, 'All Menu'!B:L, 6, 0)</f>
        <v>4.3103448275862073</v>
      </c>
      <c r="P409" s="6">
        <f>VLOOKUP(B409, 'All Menu'!B:L, 9, 0)</f>
        <v>1.513113826415488</v>
      </c>
      <c r="Q409" s="14">
        <f>VLOOKUP(B409, 'All Menu'!B:M, 12, 0)</f>
        <v>0.64895759227160688</v>
      </c>
      <c r="R409" s="173">
        <f t="shared" si="20"/>
        <v>0</v>
      </c>
    </row>
    <row r="410" spans="1:18" ht="14" hidden="1">
      <c r="A410" s="78" t="s">
        <v>2501</v>
      </c>
      <c r="B410" s="220" t="s">
        <v>855</v>
      </c>
      <c r="C410" s="185"/>
      <c r="D410" s="103" t="str">
        <f>VLOOKUP(B410, 'All Menu'!B:M, 4, 0)</f>
        <v>حمص</v>
      </c>
      <c r="E410" s="30" t="str">
        <f>VLOOKUP(B410, 'All Menu'!B:M, 2, 0)</f>
        <v>قسم الصالة</v>
      </c>
      <c r="F410" s="103" t="str">
        <f>VLOOKUP(B410, 'All Menu'!B:M, 3, 0)</f>
        <v>مقبلات باردة صالة</v>
      </c>
      <c r="G410" s="90" t="s">
        <v>2404</v>
      </c>
      <c r="H410" s="219" t="s">
        <v>488</v>
      </c>
      <c r="I410" s="110" t="str">
        <f>VLOOKUP(H410, 'RM &amp; SF'!B:H, 2, 0)</f>
        <v>حمص</v>
      </c>
      <c r="J410" s="184" t="str">
        <f>VLOOKUP(H410, 'RM &amp; SF'!B:E, 4, 0)</f>
        <v>غم</v>
      </c>
      <c r="K410" s="12">
        <v>250</v>
      </c>
      <c r="L410" s="13">
        <f>VLOOKUP(H410, 'RM &amp; SF'!B:H, 7, 0)</f>
        <v>1.3232918279569891E-3</v>
      </c>
      <c r="M410" s="7">
        <f t="shared" si="19"/>
        <v>0.3308229569892473</v>
      </c>
      <c r="N410" s="4" t="s">
        <v>825</v>
      </c>
      <c r="O410" s="4">
        <f>VLOOKUP(B410, 'All Menu'!B:L, 6, 0)</f>
        <v>2.3706896551724141</v>
      </c>
      <c r="P410" s="6">
        <f>VLOOKUP(B410, 'All Menu'!B:L, 9, 0)</f>
        <v>0.39080895698924728</v>
      </c>
      <c r="Q410" s="14">
        <f>VLOOKUP(B410, 'All Menu'!B:M, 12, 0)</f>
        <v>0.83514967632453574</v>
      </c>
      <c r="R410" s="173">
        <f t="shared" si="20"/>
        <v>0</v>
      </c>
    </row>
    <row r="411" spans="1:18" ht="14" hidden="1">
      <c r="A411" s="78" t="s">
        <v>2501</v>
      </c>
      <c r="B411" s="220" t="s">
        <v>855</v>
      </c>
      <c r="C411" s="185"/>
      <c r="D411" s="103" t="str">
        <f>VLOOKUP(B411, 'All Menu'!B:M, 4, 0)</f>
        <v>حمص</v>
      </c>
      <c r="E411" s="30" t="str">
        <f>VLOOKUP(B411, 'All Menu'!B:M, 2, 0)</f>
        <v>قسم الصالة</v>
      </c>
      <c r="F411" s="103" t="str">
        <f>VLOOKUP(B411, 'All Menu'!B:M, 3, 0)</f>
        <v>مقبلات باردة صالة</v>
      </c>
      <c r="G411" s="90" t="s">
        <v>3058</v>
      </c>
      <c r="H411" s="188">
        <v>4143</v>
      </c>
      <c r="I411" s="110" t="str">
        <f>VLOOKUP(H411, 'RM &amp; SF'!B:H, 2, 0)</f>
        <v>حمص حب نمرة 12*****</v>
      </c>
      <c r="J411" s="184" t="str">
        <f>VLOOKUP(H411, 'RM &amp; SF'!B:E, 4, 0)</f>
        <v>غم</v>
      </c>
      <c r="K411" s="12">
        <v>10</v>
      </c>
      <c r="L411" s="13">
        <f>VLOOKUP(H411, 'RM &amp; SF'!B:H, 7, 0)</f>
        <v>1.24E-3</v>
      </c>
      <c r="M411" s="7">
        <f t="shared" si="19"/>
        <v>1.24E-2</v>
      </c>
      <c r="N411" s="4" t="s">
        <v>825</v>
      </c>
      <c r="O411" s="4">
        <f>VLOOKUP(B411, 'All Menu'!B:L, 6, 0)</f>
        <v>2.3706896551724141</v>
      </c>
      <c r="P411" s="6">
        <f>VLOOKUP(B411, 'All Menu'!B:L, 9, 0)</f>
        <v>0.39080895698924728</v>
      </c>
      <c r="Q411" s="14">
        <f>VLOOKUP(B411, 'All Menu'!B:M, 12, 0)</f>
        <v>0.83514967632453574</v>
      </c>
      <c r="R411" s="173">
        <f t="shared" si="20"/>
        <v>0</v>
      </c>
    </row>
    <row r="412" spans="1:18" ht="14" hidden="1">
      <c r="A412" s="78" t="s">
        <v>2501</v>
      </c>
      <c r="B412" s="220" t="s">
        <v>855</v>
      </c>
      <c r="C412" s="185"/>
      <c r="D412" s="103" t="str">
        <f>VLOOKUP(B412, 'All Menu'!B:M, 4, 0)</f>
        <v>حمص</v>
      </c>
      <c r="E412" s="30" t="str">
        <f>VLOOKUP(B412, 'All Menu'!B:M, 2, 0)</f>
        <v>قسم الصالة</v>
      </c>
      <c r="F412" s="103" t="str">
        <f>VLOOKUP(B412, 'All Menu'!B:M, 3, 0)</f>
        <v>مقبلات باردة صالة</v>
      </c>
      <c r="G412" s="90" t="s">
        <v>2288</v>
      </c>
      <c r="H412" s="188">
        <v>4219</v>
      </c>
      <c r="I412" s="110" t="str">
        <f>VLOOKUP(H412, 'RM &amp; SF'!B:H, 2, 0)</f>
        <v>بابريكا حلوة*****</v>
      </c>
      <c r="J412" s="184" t="str">
        <f>VLOOKUP(H412, 'RM &amp; SF'!B:E, 4, 0)</f>
        <v>غم</v>
      </c>
      <c r="K412" s="12">
        <v>1</v>
      </c>
      <c r="L412" s="13">
        <f>VLOOKUP(H412, 'RM &amp; SF'!B:H, 7, 0)</f>
        <v>2.5859999999999998E-3</v>
      </c>
      <c r="M412" s="7">
        <f t="shared" si="19"/>
        <v>2.5859999999999998E-3</v>
      </c>
      <c r="N412" s="4" t="s">
        <v>825</v>
      </c>
      <c r="O412" s="4">
        <f>VLOOKUP(B412, 'All Menu'!B:L, 6, 0)</f>
        <v>2.3706896551724141</v>
      </c>
      <c r="P412" s="6">
        <f>VLOOKUP(B412, 'All Menu'!B:L, 9, 0)</f>
        <v>0.39080895698924728</v>
      </c>
      <c r="Q412" s="14">
        <f>VLOOKUP(B412, 'All Menu'!B:M, 12, 0)</f>
        <v>0.83514967632453574</v>
      </c>
      <c r="R412" s="173">
        <f t="shared" si="20"/>
        <v>0</v>
      </c>
    </row>
    <row r="413" spans="1:18" ht="14" hidden="1">
      <c r="A413" s="78" t="s">
        <v>2501</v>
      </c>
      <c r="B413" s="220" t="s">
        <v>855</v>
      </c>
      <c r="C413" s="185"/>
      <c r="D413" s="103" t="str">
        <f>VLOOKUP(B413, 'All Menu'!B:M, 4, 0)</f>
        <v>حمص</v>
      </c>
      <c r="E413" s="30" t="str">
        <f>VLOOKUP(B413, 'All Menu'!B:M, 2, 0)</f>
        <v>قسم الصالة</v>
      </c>
      <c r="F413" s="103" t="str">
        <f>VLOOKUP(B413, 'All Menu'!B:M, 3, 0)</f>
        <v>مقبلات باردة صالة</v>
      </c>
      <c r="G413" s="90" t="s">
        <v>2251</v>
      </c>
      <c r="H413" s="188">
        <v>4544</v>
      </c>
      <c r="I413" s="110" t="str">
        <f>VLOOKUP(H413, 'RM &amp; SF'!B:H, 2, 0)</f>
        <v>بقدونس*****</v>
      </c>
      <c r="J413" s="184" t="str">
        <f>VLOOKUP(H413, 'RM &amp; SF'!B:E, 4, 0)</f>
        <v>غم</v>
      </c>
      <c r="K413" s="12">
        <v>60</v>
      </c>
      <c r="L413" s="13">
        <f>VLOOKUP(H413, 'RM &amp; SF'!B:H, 7, 0)</f>
        <v>7.5000000000000002E-4</v>
      </c>
      <c r="M413" s="7">
        <f t="shared" si="19"/>
        <v>4.4999999999999998E-2</v>
      </c>
      <c r="N413" s="4" t="s">
        <v>825</v>
      </c>
      <c r="O413" s="4">
        <f>VLOOKUP(B413, 'All Menu'!B:L, 6, 0)</f>
        <v>2.3706896551724141</v>
      </c>
      <c r="P413" s="6">
        <f>VLOOKUP(B413, 'All Menu'!B:L, 9, 0)</f>
        <v>0.39080895698924728</v>
      </c>
      <c r="Q413" s="14">
        <f>VLOOKUP(B413, 'All Menu'!B:M, 12, 0)</f>
        <v>0.83514967632453574</v>
      </c>
      <c r="R413" s="173">
        <f t="shared" si="20"/>
        <v>0</v>
      </c>
    </row>
    <row r="414" spans="1:18" ht="14" hidden="1">
      <c r="A414" s="78" t="s">
        <v>2500</v>
      </c>
      <c r="B414" s="220" t="s">
        <v>856</v>
      </c>
      <c r="C414" s="185"/>
      <c r="D414" s="103" t="str">
        <f>VLOOKUP(B414, 'All Menu'!B:M, 4, 0)</f>
        <v>متبل</v>
      </c>
      <c r="E414" s="30" t="str">
        <f>VLOOKUP(B414, 'All Menu'!B:M, 2, 0)</f>
        <v>قسم الصالة</v>
      </c>
      <c r="F414" s="103" t="str">
        <f>VLOOKUP(B414, 'All Menu'!B:M, 3, 0)</f>
        <v>مقبلات باردة صالة</v>
      </c>
      <c r="G414" s="90" t="s">
        <v>2449</v>
      </c>
      <c r="H414" s="219" t="s">
        <v>514</v>
      </c>
      <c r="I414" s="110" t="str">
        <f>VLOOKUP(H414, 'RM &amp; SF'!B:H, 2, 0)</f>
        <v>متبل</v>
      </c>
      <c r="J414" s="184" t="str">
        <f>VLOOKUP(H414, 'RM &amp; SF'!B:E, 4, 0)</f>
        <v>غم</v>
      </c>
      <c r="K414" s="12">
        <v>250</v>
      </c>
      <c r="L414" s="13">
        <f>VLOOKUP(H414, 'RM &amp; SF'!B:H, 7, 0)</f>
        <v>8.7110666895055388E-4</v>
      </c>
      <c r="M414" s="7">
        <f t="shared" si="19"/>
        <v>0.21777666723763847</v>
      </c>
      <c r="N414" s="4" t="s">
        <v>825</v>
      </c>
      <c r="O414" s="4">
        <f>VLOOKUP(B414, 'All Menu'!B:L, 6, 0)</f>
        <v>2.3706896551724141</v>
      </c>
      <c r="P414" s="6">
        <f>VLOOKUP(B414, 'All Menu'!B:L, 9, 0)</f>
        <v>0.30320666723763845</v>
      </c>
      <c r="Q414" s="14">
        <f>VLOOKUP(B414, 'All Menu'!B:M, 12, 0)</f>
        <v>0.87210191491066891</v>
      </c>
      <c r="R414" s="173">
        <f t="shared" si="20"/>
        <v>0</v>
      </c>
    </row>
    <row r="415" spans="1:18" ht="14" hidden="1">
      <c r="A415" s="78" t="s">
        <v>2500</v>
      </c>
      <c r="B415" s="220" t="s">
        <v>856</v>
      </c>
      <c r="C415" s="185"/>
      <c r="D415" s="103" t="str">
        <f>VLOOKUP(B415, 'All Menu'!B:M, 4, 0)</f>
        <v>متبل</v>
      </c>
      <c r="E415" s="30" t="str">
        <f>VLOOKUP(B415, 'All Menu'!B:M, 2, 0)</f>
        <v>قسم الصالة</v>
      </c>
      <c r="F415" s="103" t="str">
        <f>VLOOKUP(B415, 'All Menu'!B:M, 3, 0)</f>
        <v>مقبلات باردة صالة</v>
      </c>
      <c r="G415" s="90" t="s">
        <v>2244</v>
      </c>
      <c r="H415" s="188">
        <v>4522</v>
      </c>
      <c r="I415" s="110" t="str">
        <f>VLOOKUP(H415, 'RM &amp; SF'!B:H, 2, 0)</f>
        <v>رمان*****</v>
      </c>
      <c r="J415" s="184" t="str">
        <f>VLOOKUP(H415, 'RM &amp; SF'!B:E, 4, 0)</f>
        <v>غم</v>
      </c>
      <c r="K415" s="12">
        <v>20</v>
      </c>
      <c r="L415" s="13">
        <f>VLOOKUP(H415, 'RM &amp; SF'!B:H, 7, 0)</f>
        <v>1.75E-3</v>
      </c>
      <c r="M415" s="7">
        <f t="shared" ref="M415:M476" si="21">L415*K415</f>
        <v>3.5000000000000003E-2</v>
      </c>
      <c r="N415" s="4" t="s">
        <v>825</v>
      </c>
      <c r="O415" s="4">
        <f>VLOOKUP(B415, 'All Menu'!B:L, 6, 0)</f>
        <v>2.3706896551724141</v>
      </c>
      <c r="P415" s="6">
        <f>VLOOKUP(B415, 'All Menu'!B:L, 9, 0)</f>
        <v>0.30320666723763845</v>
      </c>
      <c r="Q415" s="14">
        <f>VLOOKUP(B415, 'All Menu'!B:M, 12, 0)</f>
        <v>0.87210191491066891</v>
      </c>
      <c r="R415" s="173">
        <f t="shared" si="20"/>
        <v>0</v>
      </c>
    </row>
    <row r="416" spans="1:18" ht="14" hidden="1">
      <c r="A416" s="78" t="s">
        <v>2500</v>
      </c>
      <c r="B416" s="220" t="s">
        <v>856</v>
      </c>
      <c r="C416" s="185"/>
      <c r="D416" s="103" t="str">
        <f>VLOOKUP(B416, 'All Menu'!B:M, 4, 0)</f>
        <v>متبل</v>
      </c>
      <c r="E416" s="30" t="str">
        <f>VLOOKUP(B416, 'All Menu'!B:M, 2, 0)</f>
        <v>قسم الصالة</v>
      </c>
      <c r="F416" s="103" t="str">
        <f>VLOOKUP(B416, 'All Menu'!B:M, 3, 0)</f>
        <v>مقبلات باردة صالة</v>
      </c>
      <c r="G416" s="90" t="s">
        <v>2251</v>
      </c>
      <c r="H416" s="188">
        <v>4544</v>
      </c>
      <c r="I416" s="110" t="str">
        <f>VLOOKUP(H416, 'RM &amp; SF'!B:H, 2, 0)</f>
        <v>بقدونس*****</v>
      </c>
      <c r="J416" s="184" t="str">
        <f>VLOOKUP(H416, 'RM &amp; SF'!B:E, 4, 0)</f>
        <v>غم</v>
      </c>
      <c r="K416" s="12">
        <v>50</v>
      </c>
      <c r="L416" s="13">
        <f>VLOOKUP(H416, 'RM &amp; SF'!B:H, 7, 0)</f>
        <v>7.5000000000000002E-4</v>
      </c>
      <c r="M416" s="7">
        <f t="shared" si="21"/>
        <v>3.7499999999999999E-2</v>
      </c>
      <c r="N416" s="4" t="s">
        <v>825</v>
      </c>
      <c r="O416" s="4">
        <f>VLOOKUP(B416, 'All Menu'!B:L, 6, 0)</f>
        <v>2.3706896551724141</v>
      </c>
      <c r="P416" s="6">
        <f>VLOOKUP(B416, 'All Menu'!B:L, 9, 0)</f>
        <v>0.30320666723763845</v>
      </c>
      <c r="Q416" s="14">
        <f>VLOOKUP(B416, 'All Menu'!B:M, 12, 0)</f>
        <v>0.87210191491066891</v>
      </c>
      <c r="R416" s="173">
        <f t="shared" si="20"/>
        <v>0</v>
      </c>
    </row>
    <row r="417" spans="1:18" ht="14" hidden="1">
      <c r="A417" s="78" t="s">
        <v>2500</v>
      </c>
      <c r="B417" s="220" t="s">
        <v>856</v>
      </c>
      <c r="C417" s="185"/>
      <c r="D417" s="103" t="str">
        <f>VLOOKUP(B417, 'All Menu'!B:M, 4, 0)</f>
        <v>متبل</v>
      </c>
      <c r="E417" s="30" t="str">
        <f>VLOOKUP(B417, 'All Menu'!B:M, 2, 0)</f>
        <v>قسم الصالة</v>
      </c>
      <c r="F417" s="103" t="str">
        <f>VLOOKUP(B417, 'All Menu'!B:M, 3, 0)</f>
        <v>مقبلات باردة صالة</v>
      </c>
      <c r="G417" s="90" t="s">
        <v>2215</v>
      </c>
      <c r="H417" s="188">
        <v>4224</v>
      </c>
      <c r="I417" s="110" t="str">
        <f>VLOOKUP(H417, 'RM &amp; SF'!B:H, 2, 0)</f>
        <v>سماق*****</v>
      </c>
      <c r="J417" s="184" t="str">
        <f>VLOOKUP(H417, 'RM &amp; SF'!B:E, 4, 0)</f>
        <v>غم</v>
      </c>
      <c r="K417" s="12">
        <v>3</v>
      </c>
      <c r="L417" s="13">
        <f>VLOOKUP(H417, 'RM &amp; SF'!B:H, 7, 0)</f>
        <v>4.3099999999999996E-3</v>
      </c>
      <c r="M417" s="7">
        <f t="shared" si="21"/>
        <v>1.2929999999999999E-2</v>
      </c>
      <c r="N417" s="4" t="s">
        <v>825</v>
      </c>
      <c r="O417" s="4">
        <f>VLOOKUP(B417, 'All Menu'!B:L, 6, 0)</f>
        <v>2.3706896551724141</v>
      </c>
      <c r="P417" s="6">
        <f>VLOOKUP(B417, 'All Menu'!B:L, 9, 0)</f>
        <v>0.30320666723763845</v>
      </c>
      <c r="Q417" s="14">
        <f>VLOOKUP(B417, 'All Menu'!B:M, 12, 0)</f>
        <v>0.87210191491066891</v>
      </c>
      <c r="R417" s="173">
        <f t="shared" si="20"/>
        <v>0</v>
      </c>
    </row>
    <row r="418" spans="1:18" ht="14" hidden="1">
      <c r="A418" s="78" t="s">
        <v>2415</v>
      </c>
      <c r="B418" s="220" t="s">
        <v>857</v>
      </c>
      <c r="C418" s="185"/>
      <c r="D418" s="103" t="str">
        <f>VLOOKUP(B418, 'All Menu'!B:M, 4, 0)</f>
        <v>بابا غنوج</v>
      </c>
      <c r="E418" s="30" t="str">
        <f>VLOOKUP(B418, 'All Menu'!B:M, 2, 0)</f>
        <v>قسم الصالة</v>
      </c>
      <c r="F418" s="103" t="str">
        <f>VLOOKUP(B418, 'All Menu'!B:M, 3, 0)</f>
        <v>مقبلات باردة صالة</v>
      </c>
      <c r="G418" s="90" t="s">
        <v>2415</v>
      </c>
      <c r="H418" s="219" t="s">
        <v>516</v>
      </c>
      <c r="I418" s="110" t="str">
        <f>VLOOKUP(H418, 'RM &amp; SF'!B:H, 2, 0)</f>
        <v>بابا غنوج</v>
      </c>
      <c r="J418" s="184" t="str">
        <f>VLOOKUP(H418, 'RM &amp; SF'!B:E, 4, 0)</f>
        <v>غم</v>
      </c>
      <c r="K418" s="12">
        <v>250</v>
      </c>
      <c r="L418" s="13">
        <f>VLOOKUP(H418, 'RM &amp; SF'!B:H, 7, 0)</f>
        <v>5.9126169844020795E-4</v>
      </c>
      <c r="M418" s="7">
        <f t="shared" si="21"/>
        <v>0.14781542461005198</v>
      </c>
      <c r="N418" s="4" t="s">
        <v>825</v>
      </c>
      <c r="O418" s="4">
        <f>VLOOKUP(B418, 'All Menu'!B:L, 6, 0)</f>
        <v>2.3706896551724141</v>
      </c>
      <c r="P418" s="6">
        <f>VLOOKUP(B418, 'All Menu'!B:L, 9, 0)</f>
        <v>0.19785542461005198</v>
      </c>
      <c r="Q418" s="14">
        <f>VLOOKUP(B418, 'All Menu'!B:M, 12, 0)</f>
        <v>0.91654098452812349</v>
      </c>
      <c r="R418" s="173">
        <f t="shared" si="20"/>
        <v>0</v>
      </c>
    </row>
    <row r="419" spans="1:18" ht="14" hidden="1">
      <c r="A419" s="78" t="s">
        <v>2415</v>
      </c>
      <c r="B419" s="220" t="s">
        <v>857</v>
      </c>
      <c r="C419" s="185"/>
      <c r="D419" s="103" t="str">
        <f>VLOOKUP(B419, 'All Menu'!B:M, 4, 0)</f>
        <v>بابا غنوج</v>
      </c>
      <c r="E419" s="30" t="str">
        <f>VLOOKUP(B419, 'All Menu'!B:M, 2, 0)</f>
        <v>قسم الصالة</v>
      </c>
      <c r="F419" s="103" t="str">
        <f>VLOOKUP(B419, 'All Menu'!B:M, 3, 0)</f>
        <v>مقبلات باردة صالة</v>
      </c>
      <c r="G419" s="90" t="s">
        <v>2244</v>
      </c>
      <c r="H419" s="188">
        <v>4522</v>
      </c>
      <c r="I419" s="110" t="str">
        <f>VLOOKUP(H419, 'RM &amp; SF'!B:H, 2, 0)</f>
        <v>رمان*****</v>
      </c>
      <c r="J419" s="184" t="str">
        <f>VLOOKUP(H419, 'RM &amp; SF'!B:E, 4, 0)</f>
        <v>غم</v>
      </c>
      <c r="K419" s="12">
        <v>20</v>
      </c>
      <c r="L419" s="13">
        <f>VLOOKUP(H419, 'RM &amp; SF'!B:H, 7, 0)</f>
        <v>1.75E-3</v>
      </c>
      <c r="M419" s="7">
        <f t="shared" si="21"/>
        <v>3.5000000000000003E-2</v>
      </c>
      <c r="N419" s="4" t="s">
        <v>825</v>
      </c>
      <c r="O419" s="4">
        <f>VLOOKUP(B419, 'All Menu'!B:L, 6, 0)</f>
        <v>2.3706896551724141</v>
      </c>
      <c r="P419" s="6">
        <f>VLOOKUP(B419, 'All Menu'!B:L, 9, 0)</f>
        <v>0.19785542461005198</v>
      </c>
      <c r="Q419" s="14">
        <f>VLOOKUP(B419, 'All Menu'!B:M, 12, 0)</f>
        <v>0.91654098452812349</v>
      </c>
      <c r="R419" s="173">
        <f t="shared" si="20"/>
        <v>0</v>
      </c>
    </row>
    <row r="420" spans="1:18" ht="14" hidden="1">
      <c r="A420" s="78" t="s">
        <v>2415</v>
      </c>
      <c r="B420" s="220" t="s">
        <v>857</v>
      </c>
      <c r="C420" s="185"/>
      <c r="D420" s="103" t="str">
        <f>VLOOKUP(B420, 'All Menu'!B:M, 4, 0)</f>
        <v>بابا غنوج</v>
      </c>
      <c r="E420" s="30" t="str">
        <f>VLOOKUP(B420, 'All Menu'!B:M, 2, 0)</f>
        <v>قسم الصالة</v>
      </c>
      <c r="F420" s="103" t="str">
        <f>VLOOKUP(B420, 'All Menu'!B:M, 3, 0)</f>
        <v>مقبلات باردة صالة</v>
      </c>
      <c r="G420" s="90" t="s">
        <v>2265</v>
      </c>
      <c r="H420" s="188">
        <v>4006</v>
      </c>
      <c r="I420" s="110" t="str">
        <f>VLOOKUP(H420, 'RM &amp; SF'!B:H, 2, 0)</f>
        <v>دبس رمان 5 كغ (مادة أولية)*****</v>
      </c>
      <c r="J420" s="184" t="str">
        <f>VLOOKUP(H420, 'RM &amp; SF'!B:E, 4, 0)</f>
        <v>غم</v>
      </c>
      <c r="K420" s="12">
        <v>5</v>
      </c>
      <c r="L420" s="13">
        <f>VLOOKUP(H420, 'RM &amp; SF'!B:H, 7, 0)</f>
        <v>1.508E-3</v>
      </c>
      <c r="M420" s="7">
        <f t="shared" si="21"/>
        <v>7.5399999999999998E-3</v>
      </c>
      <c r="N420" s="4" t="s">
        <v>825</v>
      </c>
      <c r="O420" s="4">
        <f>VLOOKUP(B420, 'All Menu'!B:L, 6, 0)</f>
        <v>2.3706896551724141</v>
      </c>
      <c r="P420" s="6">
        <f>VLOOKUP(B420, 'All Menu'!B:L, 9, 0)</f>
        <v>0.19785542461005198</v>
      </c>
      <c r="Q420" s="14">
        <f>VLOOKUP(B420, 'All Menu'!B:M, 12, 0)</f>
        <v>0.91654098452812349</v>
      </c>
      <c r="R420" s="173">
        <f t="shared" si="20"/>
        <v>0</v>
      </c>
    </row>
    <row r="421" spans="1:18" ht="14" hidden="1">
      <c r="A421" s="78" t="s">
        <v>2415</v>
      </c>
      <c r="B421" s="220" t="s">
        <v>857</v>
      </c>
      <c r="C421" s="185"/>
      <c r="D421" s="103" t="str">
        <f>VLOOKUP(B421, 'All Menu'!B:M, 4, 0)</f>
        <v>بابا غنوج</v>
      </c>
      <c r="E421" s="30" t="str">
        <f>VLOOKUP(B421, 'All Menu'!B:M, 2, 0)</f>
        <v>قسم الصالة</v>
      </c>
      <c r="F421" s="103" t="str">
        <f>VLOOKUP(B421, 'All Menu'!B:M, 3, 0)</f>
        <v>مقبلات باردة صالة</v>
      </c>
      <c r="G421" s="90" t="s">
        <v>2253</v>
      </c>
      <c r="H421" s="188">
        <v>4547</v>
      </c>
      <c r="I421" s="110" t="str">
        <f>VLOOKUP(H421, 'RM &amp; SF'!B:H, 2, 0)</f>
        <v>نعنع*****</v>
      </c>
      <c r="J421" s="184" t="str">
        <f>VLOOKUP(H421, 'RM &amp; SF'!B:E, 4, 0)</f>
        <v>غم</v>
      </c>
      <c r="K421" s="12">
        <v>10</v>
      </c>
      <c r="L421" s="13">
        <f>VLOOKUP(H421, 'RM &amp; SF'!B:H, 7, 0)</f>
        <v>7.5000000000000002E-4</v>
      </c>
      <c r="M421" s="7">
        <f t="shared" si="21"/>
        <v>7.4999999999999997E-3</v>
      </c>
      <c r="N421" s="4" t="s">
        <v>825</v>
      </c>
      <c r="O421" s="4">
        <f>VLOOKUP(B421, 'All Menu'!B:L, 6, 0)</f>
        <v>2.3706896551724141</v>
      </c>
      <c r="P421" s="6">
        <f>VLOOKUP(B421, 'All Menu'!B:L, 9, 0)</f>
        <v>0.19785542461005198</v>
      </c>
      <c r="Q421" s="14">
        <f>VLOOKUP(B421, 'All Menu'!B:M, 12, 0)</f>
        <v>0.91654098452812349</v>
      </c>
      <c r="R421" s="173">
        <f t="shared" si="20"/>
        <v>0</v>
      </c>
    </row>
    <row r="422" spans="1:18" ht="14" hidden="1">
      <c r="A422" s="78" t="s">
        <v>2579</v>
      </c>
      <c r="B422" s="220" t="s">
        <v>858</v>
      </c>
      <c r="C422" s="185"/>
      <c r="D422" s="103" t="str">
        <f>VLOOKUP(B422, 'All Menu'!B:M, 4, 0)</f>
        <v>سلطة عربية</v>
      </c>
      <c r="E422" s="30" t="str">
        <f>VLOOKUP(B422, 'All Menu'!B:M, 2, 0)</f>
        <v>قسم الصالة</v>
      </c>
      <c r="F422" s="103" t="str">
        <f>VLOOKUP(B422, 'All Menu'!B:M, 3, 0)</f>
        <v>سلطات صالة</v>
      </c>
      <c r="G422" s="90" t="s">
        <v>3058</v>
      </c>
      <c r="H422" s="188">
        <v>4517</v>
      </c>
      <c r="I422" s="110" t="str">
        <f>VLOOKUP(H422, 'RM &amp; SF'!B:H, 2, 0)</f>
        <v>خس بلدي*****</v>
      </c>
      <c r="J422" s="184" t="str">
        <f>VLOOKUP(H422, 'RM &amp; SF'!B:E, 4, 0)</f>
        <v>غم</v>
      </c>
      <c r="K422" s="12">
        <v>35</v>
      </c>
      <c r="L422" s="13">
        <f>VLOOKUP(H422, 'RM &amp; SF'!B:H, 7, 0)</f>
        <v>5.0000000000000001E-4</v>
      </c>
      <c r="M422" s="7">
        <f t="shared" si="21"/>
        <v>1.7500000000000002E-2</v>
      </c>
      <c r="N422" s="4" t="s">
        <v>825</v>
      </c>
      <c r="O422" s="4">
        <f>VLOOKUP(B422, 'All Menu'!B:L, 6, 0)</f>
        <v>1.9396551724137931</v>
      </c>
      <c r="P422" s="6">
        <f>VLOOKUP(B422, 'All Menu'!B:L, 9, 0)</f>
        <v>0.26944133333333331</v>
      </c>
      <c r="Q422" s="14">
        <f>VLOOKUP(B422, 'All Menu'!B:M, 12, 0)</f>
        <v>0.86108802370370363</v>
      </c>
      <c r="R422" s="173">
        <f t="shared" si="20"/>
        <v>0</v>
      </c>
    </row>
    <row r="423" spans="1:18" ht="14" hidden="1">
      <c r="A423" s="78" t="s">
        <v>2579</v>
      </c>
      <c r="B423" s="220" t="s">
        <v>858</v>
      </c>
      <c r="C423" s="185"/>
      <c r="D423" s="103" t="str">
        <f>VLOOKUP(B423, 'All Menu'!B:M, 4, 0)</f>
        <v>سلطة عربية</v>
      </c>
      <c r="E423" s="30" t="str">
        <f>VLOOKUP(B423, 'All Menu'!B:M, 2, 0)</f>
        <v>قسم الصالة</v>
      </c>
      <c r="F423" s="103" t="str">
        <f>VLOOKUP(B423, 'All Menu'!B:M, 3, 0)</f>
        <v>سلطات صالة</v>
      </c>
      <c r="G423" s="90" t="s">
        <v>2252</v>
      </c>
      <c r="H423" s="188">
        <v>4545</v>
      </c>
      <c r="I423" s="110" t="str">
        <f>VLOOKUP(H423, 'RM &amp; SF'!B:H, 2, 0)</f>
        <v>جرجير*****</v>
      </c>
      <c r="J423" s="184" t="str">
        <f>VLOOKUP(H423, 'RM &amp; SF'!B:E, 4, 0)</f>
        <v>غم</v>
      </c>
      <c r="K423" s="12">
        <v>30</v>
      </c>
      <c r="L423" s="13">
        <f>VLOOKUP(H423, 'RM &amp; SF'!B:H, 7, 0)</f>
        <v>7.5000000000000002E-4</v>
      </c>
      <c r="M423" s="7">
        <f t="shared" si="21"/>
        <v>2.2499999999999999E-2</v>
      </c>
      <c r="N423" s="4" t="s">
        <v>825</v>
      </c>
      <c r="O423" s="4">
        <f>VLOOKUP(B423, 'All Menu'!B:L, 6, 0)</f>
        <v>1.9396551724137931</v>
      </c>
      <c r="P423" s="6">
        <f>VLOOKUP(B423, 'All Menu'!B:L, 9, 0)</f>
        <v>0.26944133333333331</v>
      </c>
      <c r="Q423" s="14">
        <f>VLOOKUP(B423, 'All Menu'!B:M, 12, 0)</f>
        <v>0.86108802370370363</v>
      </c>
      <c r="R423" s="173">
        <f t="shared" si="20"/>
        <v>0</v>
      </c>
    </row>
    <row r="424" spans="1:18" ht="14" hidden="1">
      <c r="A424" s="78" t="s">
        <v>2579</v>
      </c>
      <c r="B424" s="220" t="s">
        <v>858</v>
      </c>
      <c r="C424" s="185"/>
      <c r="D424" s="103" t="str">
        <f>VLOOKUP(B424, 'All Menu'!B:M, 4, 0)</f>
        <v>سلطة عربية</v>
      </c>
      <c r="E424" s="30" t="str">
        <f>VLOOKUP(B424, 'All Menu'!B:M, 2, 0)</f>
        <v>قسم الصالة</v>
      </c>
      <c r="F424" s="103" t="str">
        <f>VLOOKUP(B424, 'All Menu'!B:M, 3, 0)</f>
        <v>سلطات صالة</v>
      </c>
      <c r="G424" s="90" t="s">
        <v>2357</v>
      </c>
      <c r="H424" s="219" t="s">
        <v>744</v>
      </c>
      <c r="I424" s="110" t="str">
        <f>VLOOKUP(H424, 'RM &amp; SF'!B:H, 2, 0)</f>
        <v>زيت زيتون مكسور</v>
      </c>
      <c r="J424" s="184" t="str">
        <f>VLOOKUP(H424, 'RM &amp; SF'!B:E, 4, 0)</f>
        <v>غم</v>
      </c>
      <c r="K424" s="12">
        <v>35</v>
      </c>
      <c r="L424" s="13">
        <f>VLOOKUP(H424, 'RM &amp; SF'!B:H, 7, 0)</f>
        <v>3.3899999999999998E-3</v>
      </c>
      <c r="M424" s="7">
        <f t="shared" si="21"/>
        <v>0.11864999999999999</v>
      </c>
      <c r="N424" s="4" t="s">
        <v>825</v>
      </c>
      <c r="O424" s="4">
        <f>VLOOKUP(B424, 'All Menu'!B:L, 6, 0)</f>
        <v>1.9396551724137931</v>
      </c>
      <c r="P424" s="6">
        <f>VLOOKUP(B424, 'All Menu'!B:L, 9, 0)</f>
        <v>0.26944133333333331</v>
      </c>
      <c r="Q424" s="14">
        <f>VLOOKUP(B424, 'All Menu'!B:M, 12, 0)</f>
        <v>0.86108802370370363</v>
      </c>
      <c r="R424" s="173">
        <f t="shared" si="20"/>
        <v>0</v>
      </c>
    </row>
    <row r="425" spans="1:18" ht="14" hidden="1">
      <c r="A425" s="78" t="s">
        <v>2579</v>
      </c>
      <c r="B425" s="220" t="s">
        <v>858</v>
      </c>
      <c r="C425" s="185"/>
      <c r="D425" s="103" t="str">
        <f>VLOOKUP(B425, 'All Menu'!B:M, 4, 0)</f>
        <v>سلطة عربية</v>
      </c>
      <c r="E425" s="30" t="str">
        <f>VLOOKUP(B425, 'All Menu'!B:M, 2, 0)</f>
        <v>قسم الصالة</v>
      </c>
      <c r="F425" s="103" t="str">
        <f>VLOOKUP(B425, 'All Menu'!B:M, 3, 0)</f>
        <v>سلطات صالة</v>
      </c>
      <c r="G425" s="90" t="s">
        <v>2203</v>
      </c>
      <c r="H425" s="188">
        <v>4152</v>
      </c>
      <c r="I425" s="110" t="str">
        <f>VLOOKUP(H425, 'RM &amp; SF'!B:H, 2, 0)</f>
        <v>ملح طعام 750غم*****</v>
      </c>
      <c r="J425" s="184" t="str">
        <f>VLOOKUP(H425, 'RM &amp; SF'!B:E, 4, 0)</f>
        <v>غم</v>
      </c>
      <c r="K425" s="12">
        <v>2</v>
      </c>
      <c r="L425" s="13">
        <f>VLOOKUP(H425, 'RM &amp; SF'!B:H, 7, 0)</f>
        <v>1.7066666666666665E-4</v>
      </c>
      <c r="M425" s="7">
        <f t="shared" si="21"/>
        <v>3.413333333333333E-4</v>
      </c>
      <c r="N425" s="4" t="s">
        <v>825</v>
      </c>
      <c r="O425" s="4">
        <f>VLOOKUP(B425, 'All Menu'!B:L, 6, 0)</f>
        <v>1.9396551724137931</v>
      </c>
      <c r="P425" s="6">
        <f>VLOOKUP(B425, 'All Menu'!B:L, 9, 0)</f>
        <v>0.26944133333333331</v>
      </c>
      <c r="Q425" s="14">
        <f>VLOOKUP(B425, 'All Menu'!B:M, 12, 0)</f>
        <v>0.86108802370370363</v>
      </c>
      <c r="R425" s="173">
        <f t="shared" ref="R425:R482" si="22">C425*K425</f>
        <v>0</v>
      </c>
    </row>
    <row r="426" spans="1:18" ht="14" hidden="1">
      <c r="A426" s="78" t="s">
        <v>2579</v>
      </c>
      <c r="B426" s="220" t="s">
        <v>858</v>
      </c>
      <c r="C426" s="185"/>
      <c r="D426" s="103" t="str">
        <f>VLOOKUP(B426, 'All Menu'!B:M, 4, 0)</f>
        <v>سلطة عربية</v>
      </c>
      <c r="E426" s="30" t="str">
        <f>VLOOKUP(B426, 'All Menu'!B:M, 2, 0)</f>
        <v>قسم الصالة</v>
      </c>
      <c r="F426" s="103" t="str">
        <f>VLOOKUP(B426, 'All Menu'!B:M, 3, 0)</f>
        <v>سلطات صالة</v>
      </c>
      <c r="G426" s="90" t="s">
        <v>2228</v>
      </c>
      <c r="H426" s="188">
        <v>4493</v>
      </c>
      <c r="I426" s="110" t="str">
        <f>VLOOKUP(H426, 'RM &amp; SF'!B:H, 2, 0)</f>
        <v>خيار*****</v>
      </c>
      <c r="J426" s="184" t="str">
        <f>VLOOKUP(H426, 'RM &amp; SF'!B:E, 4, 0)</f>
        <v>غم</v>
      </c>
      <c r="K426" s="12">
        <v>150</v>
      </c>
      <c r="L426" s="13">
        <f>VLOOKUP(H426, 'RM &amp; SF'!B:H, 7, 0)</f>
        <v>4.0000000000000002E-4</v>
      </c>
      <c r="M426" s="7">
        <f t="shared" si="21"/>
        <v>6.0000000000000005E-2</v>
      </c>
      <c r="N426" s="4" t="s">
        <v>825</v>
      </c>
      <c r="O426" s="4">
        <f>VLOOKUP(B426, 'All Menu'!B:L, 6, 0)</f>
        <v>1.9396551724137931</v>
      </c>
      <c r="P426" s="6">
        <f>VLOOKUP(B426, 'All Menu'!B:L, 9, 0)</f>
        <v>0.26944133333333331</v>
      </c>
      <c r="Q426" s="14">
        <f>VLOOKUP(B426, 'All Menu'!B:M, 12, 0)</f>
        <v>0.86108802370370363</v>
      </c>
      <c r="R426" s="173">
        <f t="shared" si="22"/>
        <v>0</v>
      </c>
    </row>
    <row r="427" spans="1:18" ht="14" hidden="1">
      <c r="A427" s="78" t="s">
        <v>2579</v>
      </c>
      <c r="B427" s="220" t="s">
        <v>858</v>
      </c>
      <c r="C427" s="185"/>
      <c r="D427" s="103" t="str">
        <f>VLOOKUP(B427, 'All Menu'!B:M, 4, 0)</f>
        <v>سلطة عربية</v>
      </c>
      <c r="E427" s="30" t="str">
        <f>VLOOKUP(B427, 'All Menu'!B:M, 2, 0)</f>
        <v>قسم الصالة</v>
      </c>
      <c r="F427" s="103" t="str">
        <f>VLOOKUP(B427, 'All Menu'!B:M, 3, 0)</f>
        <v>سلطات صالة</v>
      </c>
      <c r="G427" s="90" t="s">
        <v>2253</v>
      </c>
      <c r="H427" s="188">
        <v>4547</v>
      </c>
      <c r="I427" s="110" t="str">
        <f>VLOOKUP(H427, 'RM &amp; SF'!B:H, 2, 0)</f>
        <v>نعنع*****</v>
      </c>
      <c r="J427" s="184" t="str">
        <f>VLOOKUP(H427, 'RM &amp; SF'!B:E, 4, 0)</f>
        <v>غم</v>
      </c>
      <c r="K427" s="12">
        <v>0.6</v>
      </c>
      <c r="L427" s="13">
        <f>VLOOKUP(H427, 'RM &amp; SF'!B:H, 7, 0)</f>
        <v>7.5000000000000002E-4</v>
      </c>
      <c r="M427" s="7">
        <f t="shared" si="21"/>
        <v>4.4999999999999999E-4</v>
      </c>
      <c r="N427" s="4" t="s">
        <v>825</v>
      </c>
      <c r="O427" s="4">
        <f>VLOOKUP(B427, 'All Menu'!B:L, 6, 0)</f>
        <v>1.9396551724137931</v>
      </c>
      <c r="P427" s="6">
        <f>VLOOKUP(B427, 'All Menu'!B:L, 9, 0)</f>
        <v>0.26944133333333331</v>
      </c>
      <c r="Q427" s="14">
        <f>VLOOKUP(B427, 'All Menu'!B:M, 12, 0)</f>
        <v>0.86108802370370363</v>
      </c>
      <c r="R427" s="173">
        <f t="shared" si="22"/>
        <v>0</v>
      </c>
    </row>
    <row r="428" spans="1:18" ht="14" hidden="1">
      <c r="A428" s="78" t="s">
        <v>2579</v>
      </c>
      <c r="B428" s="220" t="s">
        <v>858</v>
      </c>
      <c r="C428" s="185"/>
      <c r="D428" s="103" t="str">
        <f>VLOOKUP(B428, 'All Menu'!B:M, 4, 0)</f>
        <v>سلطة عربية</v>
      </c>
      <c r="E428" s="30" t="str">
        <f>VLOOKUP(B428, 'All Menu'!B:M, 2, 0)</f>
        <v>قسم الصالة</v>
      </c>
      <c r="F428" s="103" t="str">
        <f>VLOOKUP(B428, 'All Menu'!B:M, 3, 0)</f>
        <v>سلطات صالة</v>
      </c>
      <c r="G428" s="90" t="s">
        <v>2309</v>
      </c>
      <c r="H428" s="188">
        <v>4491</v>
      </c>
      <c r="I428" s="110" t="str">
        <f>VLOOKUP(H428, 'RM &amp; SF'!B:H, 2, 0)</f>
        <v>بندورة جامدة*****</v>
      </c>
      <c r="J428" s="184" t="str">
        <f>VLOOKUP(H428, 'RM &amp; SF'!B:E, 4, 0)</f>
        <v>غم</v>
      </c>
      <c r="K428" s="12">
        <v>100</v>
      </c>
      <c r="L428" s="13">
        <f>VLOOKUP(H428, 'RM &amp; SF'!B:H, 7, 0)</f>
        <v>5.0000000000000001E-4</v>
      </c>
      <c r="M428" s="7">
        <f t="shared" si="21"/>
        <v>0.05</v>
      </c>
      <c r="N428" s="4" t="s">
        <v>825</v>
      </c>
      <c r="O428" s="4">
        <f>VLOOKUP(B428, 'All Menu'!B:L, 6, 0)</f>
        <v>1.9396551724137931</v>
      </c>
      <c r="P428" s="6">
        <f>VLOOKUP(B428, 'All Menu'!B:L, 9, 0)</f>
        <v>0.26944133333333331</v>
      </c>
      <c r="Q428" s="14">
        <f>VLOOKUP(B428, 'All Menu'!B:M, 12, 0)</f>
        <v>0.86108802370370363</v>
      </c>
      <c r="R428" s="173">
        <f t="shared" si="22"/>
        <v>0</v>
      </c>
    </row>
    <row r="429" spans="1:18" ht="14" hidden="1">
      <c r="A429" s="78" t="s">
        <v>2577</v>
      </c>
      <c r="B429" s="220" t="s">
        <v>859</v>
      </c>
      <c r="C429" s="185"/>
      <c r="D429" s="103" t="str">
        <f>VLOOKUP(B429, 'All Menu'!B:M, 4, 0)</f>
        <v>سلطة سيزر</v>
      </c>
      <c r="E429" s="30" t="str">
        <f>VLOOKUP(B429, 'All Menu'!B:M, 2, 0)</f>
        <v>قسم الصالة</v>
      </c>
      <c r="F429" s="103" t="str">
        <f>VLOOKUP(B429, 'All Menu'!B:M, 3, 0)</f>
        <v>سلطات صالة</v>
      </c>
      <c r="G429" s="90" t="s">
        <v>2241</v>
      </c>
      <c r="H429" s="188">
        <v>4518</v>
      </c>
      <c r="I429" s="110" t="str">
        <f>VLOOKUP(H429, 'RM &amp; SF'!B:H, 2, 0)</f>
        <v>خس ايسبرغ*****</v>
      </c>
      <c r="J429" s="184" t="str">
        <f>VLOOKUP(H429, 'RM &amp; SF'!B:E, 4, 0)</f>
        <v>غم</v>
      </c>
      <c r="K429" s="12">
        <v>200</v>
      </c>
      <c r="L429" s="13">
        <f>VLOOKUP(H429, 'RM &amp; SF'!B:H, 7, 0)</f>
        <v>7.5000000000000002E-4</v>
      </c>
      <c r="M429" s="7">
        <f t="shared" si="21"/>
        <v>0.15</v>
      </c>
      <c r="N429" s="4" t="s">
        <v>825</v>
      </c>
      <c r="O429" s="4">
        <f>VLOOKUP(B429, 'All Menu'!B:L, 6, 0)</f>
        <v>2.8017241379310347</v>
      </c>
      <c r="P429" s="6">
        <f>VLOOKUP(B429, 'All Menu'!B:L, 9, 0)</f>
        <v>0.51544915944170766</v>
      </c>
      <c r="Q429" s="14">
        <f>VLOOKUP(B429, 'All Menu'!B:M, 12, 0)</f>
        <v>0.81602430001465209</v>
      </c>
      <c r="R429" s="173">
        <f t="shared" si="22"/>
        <v>0</v>
      </c>
    </row>
    <row r="430" spans="1:18" ht="14" hidden="1">
      <c r="A430" s="78" t="s">
        <v>2577</v>
      </c>
      <c r="B430" s="220" t="s">
        <v>859</v>
      </c>
      <c r="C430" s="185"/>
      <c r="D430" s="103" t="str">
        <f>VLOOKUP(B430, 'All Menu'!B:M, 4, 0)</f>
        <v>سلطة سيزر</v>
      </c>
      <c r="E430" s="30" t="str">
        <f>VLOOKUP(B430, 'All Menu'!B:M, 2, 0)</f>
        <v>قسم الصالة</v>
      </c>
      <c r="F430" s="103" t="str">
        <f>VLOOKUP(B430, 'All Menu'!B:M, 3, 0)</f>
        <v>سلطات صالة</v>
      </c>
      <c r="G430" s="90" t="s">
        <v>2308</v>
      </c>
      <c r="H430" s="188">
        <v>4787</v>
      </c>
      <c r="I430" s="110" t="str">
        <f>VLOOKUP(H430, 'RM &amp; SF'!B:H, 2, 0)</f>
        <v>خبز التوست بالحليب مشرح 600 غم*****</v>
      </c>
      <c r="J430" s="184" t="str">
        <f>VLOOKUP(H430, 'RM &amp; SF'!B:E, 4, 0)</f>
        <v>غم</v>
      </c>
      <c r="K430" s="12">
        <v>10</v>
      </c>
      <c r="L430" s="13">
        <f>VLOOKUP(H430, 'RM &amp; SF'!B:H, 7, 0)</f>
        <v>2.08333E-3</v>
      </c>
      <c r="M430" s="7">
        <f t="shared" si="21"/>
        <v>2.0833299999999999E-2</v>
      </c>
      <c r="N430" s="4" t="s">
        <v>825</v>
      </c>
      <c r="O430" s="4">
        <f>VLOOKUP(B430, 'All Menu'!B:L, 6, 0)</f>
        <v>2.8017241379310347</v>
      </c>
      <c r="P430" s="6">
        <f>VLOOKUP(B430, 'All Menu'!B:L, 9, 0)</f>
        <v>0.51544915944170766</v>
      </c>
      <c r="Q430" s="14">
        <f>VLOOKUP(B430, 'All Menu'!B:M, 12, 0)</f>
        <v>0.81602430001465209</v>
      </c>
      <c r="R430" s="173">
        <f t="shared" si="22"/>
        <v>0</v>
      </c>
    </row>
    <row r="431" spans="1:18" ht="14" hidden="1">
      <c r="A431" s="78" t="s">
        <v>2577</v>
      </c>
      <c r="B431" s="220" t="s">
        <v>859</v>
      </c>
      <c r="C431" s="185"/>
      <c r="D431" s="103" t="str">
        <f>VLOOKUP(B431, 'All Menu'!B:M, 4, 0)</f>
        <v>سلطة سيزر</v>
      </c>
      <c r="E431" s="30" t="str">
        <f>VLOOKUP(B431, 'All Menu'!B:M, 2, 0)</f>
        <v>قسم الصالة</v>
      </c>
      <c r="F431" s="103" t="str">
        <f>VLOOKUP(B431, 'All Menu'!B:M, 3, 0)</f>
        <v>سلطات صالة</v>
      </c>
      <c r="G431" s="90" t="s">
        <v>2406</v>
      </c>
      <c r="H431" s="219" t="s">
        <v>518</v>
      </c>
      <c r="I431" s="110" t="str">
        <f>VLOOKUP(H431, 'RM &amp; SF'!B:H, 2, 0)</f>
        <v>صوص سيزار</v>
      </c>
      <c r="J431" s="184" t="str">
        <f>VLOOKUP(H431, 'RM &amp; SF'!B:E, 4, 0)</f>
        <v>غم</v>
      </c>
      <c r="K431" s="12">
        <v>40</v>
      </c>
      <c r="L431" s="13">
        <f>VLOOKUP(H431, 'RM &amp; SF'!B:H, 7, 0)</f>
        <v>3.8209876190476188E-3</v>
      </c>
      <c r="M431" s="7">
        <f t="shared" si="21"/>
        <v>0.15283950476190475</v>
      </c>
      <c r="N431" s="4" t="s">
        <v>825</v>
      </c>
      <c r="O431" s="4">
        <f>VLOOKUP(B431, 'All Menu'!B:L, 6, 0)</f>
        <v>2.8017241379310347</v>
      </c>
      <c r="P431" s="6">
        <f>VLOOKUP(B431, 'All Menu'!B:L, 9, 0)</f>
        <v>0.51544915944170766</v>
      </c>
      <c r="Q431" s="14">
        <f>VLOOKUP(B431, 'All Menu'!B:M, 12, 0)</f>
        <v>0.81602430001465209</v>
      </c>
      <c r="R431" s="173">
        <f t="shared" si="22"/>
        <v>0</v>
      </c>
    </row>
    <row r="432" spans="1:18" ht="14" hidden="1">
      <c r="A432" s="78" t="s">
        <v>2577</v>
      </c>
      <c r="B432" s="220" t="s">
        <v>859</v>
      </c>
      <c r="C432" s="185"/>
      <c r="D432" s="103" t="str">
        <f>VLOOKUP(B432, 'All Menu'!B:M, 4, 0)</f>
        <v>سلطة سيزر</v>
      </c>
      <c r="E432" s="30" t="str">
        <f>VLOOKUP(B432, 'All Menu'!B:M, 2, 0)</f>
        <v>قسم الصالة</v>
      </c>
      <c r="F432" s="103" t="str">
        <f>VLOOKUP(B432, 'All Menu'!B:M, 3, 0)</f>
        <v>سلطات صالة</v>
      </c>
      <c r="G432" s="90" t="s">
        <v>2179</v>
      </c>
      <c r="H432" s="188">
        <v>4560</v>
      </c>
      <c r="I432" s="110" t="str">
        <f>VLOOKUP(H432, 'RM &amp; SF'!B:H, 2, 0)</f>
        <v>جبنة بارميزان قالب*****</v>
      </c>
      <c r="J432" s="184" t="str">
        <f>VLOOKUP(H432, 'RM &amp; SF'!B:E, 4, 0)</f>
        <v>غم</v>
      </c>
      <c r="K432" s="12">
        <v>20</v>
      </c>
      <c r="L432" s="13">
        <f>VLOOKUP(H432, 'RM &amp; SF'!B:H, 7, 0)</f>
        <v>6.5100000000000002E-3</v>
      </c>
      <c r="M432" s="7">
        <f t="shared" si="21"/>
        <v>0.13020000000000001</v>
      </c>
      <c r="N432" s="4" t="s">
        <v>825</v>
      </c>
      <c r="O432" s="4">
        <f>VLOOKUP(B432, 'All Menu'!B:L, 6, 0)</f>
        <v>2.8017241379310347</v>
      </c>
      <c r="P432" s="6">
        <f>VLOOKUP(B432, 'All Menu'!B:L, 9, 0)</f>
        <v>0.51544915944170766</v>
      </c>
      <c r="Q432" s="14">
        <f>VLOOKUP(B432, 'All Menu'!B:M, 12, 0)</f>
        <v>0.81602430001465209</v>
      </c>
      <c r="R432" s="173">
        <f t="shared" si="22"/>
        <v>0</v>
      </c>
    </row>
    <row r="433" spans="1:18" ht="14" hidden="1">
      <c r="A433" s="78" t="s">
        <v>2577</v>
      </c>
      <c r="B433" s="220" t="s">
        <v>859</v>
      </c>
      <c r="C433" s="185"/>
      <c r="D433" s="103" t="str">
        <f>VLOOKUP(B433, 'All Menu'!B:M, 4, 0)</f>
        <v>سلطة سيزر</v>
      </c>
      <c r="E433" s="30" t="str">
        <f>VLOOKUP(B433, 'All Menu'!B:M, 2, 0)</f>
        <v>قسم الصالة</v>
      </c>
      <c r="F433" s="103" t="str">
        <f>VLOOKUP(B433, 'All Menu'!B:M, 3, 0)</f>
        <v>سلطات صالة</v>
      </c>
      <c r="G433" s="90" t="s">
        <v>3058</v>
      </c>
      <c r="H433" s="188">
        <v>5410</v>
      </c>
      <c r="I433" s="110" t="str">
        <f>VLOOKUP(H433, 'RM &amp; SF'!B:H, 2, 0)</f>
        <v>قرسيني (موالح)</v>
      </c>
      <c r="J433" s="184" t="str">
        <f>VLOOKUP(H433, 'RM &amp; SF'!B:E, 4, 0)</f>
        <v>غم</v>
      </c>
      <c r="K433" s="12">
        <v>20</v>
      </c>
      <c r="L433" s="13">
        <f>VLOOKUP(H433, 'RM &amp; SF'!B:H, 7, 0)</f>
        <v>3.0788177339901479E-3</v>
      </c>
      <c r="M433" s="7">
        <f t="shared" si="21"/>
        <v>6.1576354679802957E-2</v>
      </c>
      <c r="N433" s="4" t="s">
        <v>825</v>
      </c>
      <c r="O433" s="4">
        <f>VLOOKUP(B433, 'All Menu'!B:L, 6, 0)</f>
        <v>2.8017241379310347</v>
      </c>
      <c r="P433" s="6">
        <f>VLOOKUP(B433, 'All Menu'!B:L, 9, 0)</f>
        <v>0.51544915944170766</v>
      </c>
      <c r="Q433" s="14">
        <f>VLOOKUP(B433, 'All Menu'!B:M, 12, 0)</f>
        <v>0.81602430001465209</v>
      </c>
      <c r="R433" s="173">
        <f t="shared" si="22"/>
        <v>0</v>
      </c>
    </row>
    <row r="434" spans="1:18" ht="14" hidden="1">
      <c r="A434" s="78" t="s">
        <v>2578</v>
      </c>
      <c r="B434" s="220" t="s">
        <v>860</v>
      </c>
      <c r="C434" s="185"/>
      <c r="D434" s="103" t="str">
        <f>VLOOKUP(B434, 'All Menu'!B:M, 4, 0)</f>
        <v>سلطة المركزية</v>
      </c>
      <c r="E434" s="30" t="str">
        <f>VLOOKUP(B434, 'All Menu'!B:M, 2, 0)</f>
        <v>قسم الصالة</v>
      </c>
      <c r="F434" s="103" t="str">
        <f>VLOOKUP(B434, 'All Menu'!B:M, 3, 0)</f>
        <v>سلطات صالة</v>
      </c>
      <c r="G434" s="90" t="s">
        <v>2252</v>
      </c>
      <c r="H434" s="188">
        <v>4545</v>
      </c>
      <c r="I434" s="110" t="str">
        <f>VLOOKUP(H434, 'RM &amp; SF'!B:H, 2, 0)</f>
        <v>جرجير*****</v>
      </c>
      <c r="J434" s="184" t="str">
        <f>VLOOKUP(H434, 'RM &amp; SF'!B:E, 4, 0)</f>
        <v>غم</v>
      </c>
      <c r="K434" s="12">
        <v>30</v>
      </c>
      <c r="L434" s="13">
        <f>VLOOKUP(H434, 'RM &amp; SF'!B:H, 7, 0)</f>
        <v>7.5000000000000002E-4</v>
      </c>
      <c r="M434" s="7">
        <f t="shared" si="21"/>
        <v>2.2499999999999999E-2</v>
      </c>
      <c r="N434" s="4" t="s">
        <v>825</v>
      </c>
      <c r="O434" s="4">
        <f>VLOOKUP(B434, 'All Menu'!B:L, 6, 0)</f>
        <v>4.0948275862068968</v>
      </c>
      <c r="P434" s="6">
        <f>VLOOKUP(B434, 'All Menu'!B:L, 9, 0)</f>
        <v>2.108837571428571</v>
      </c>
      <c r="Q434" s="14">
        <f>VLOOKUP(B434, 'All Menu'!B:M, 12, 0)</f>
        <v>0.48499966676691741</v>
      </c>
      <c r="R434" s="173">
        <f t="shared" si="22"/>
        <v>0</v>
      </c>
    </row>
    <row r="435" spans="1:18" ht="14" hidden="1">
      <c r="A435" s="78" t="s">
        <v>2578</v>
      </c>
      <c r="B435" s="220" t="s">
        <v>860</v>
      </c>
      <c r="C435" s="185"/>
      <c r="D435" s="103" t="str">
        <f>VLOOKUP(B435, 'All Menu'!B:M, 4, 0)</f>
        <v>سلطة المركزية</v>
      </c>
      <c r="E435" s="30" t="str">
        <f>VLOOKUP(B435, 'All Menu'!B:M, 2, 0)</f>
        <v>قسم الصالة</v>
      </c>
      <c r="F435" s="103" t="str">
        <f>VLOOKUP(B435, 'All Menu'!B:M, 3, 0)</f>
        <v>سلطات صالة</v>
      </c>
      <c r="G435" s="90" t="s">
        <v>3058</v>
      </c>
      <c r="H435" s="188">
        <v>4517</v>
      </c>
      <c r="I435" s="110" t="str">
        <f>VLOOKUP(H435, 'RM &amp; SF'!B:H, 2, 0)</f>
        <v>خس بلدي*****</v>
      </c>
      <c r="J435" s="184" t="str">
        <f>VLOOKUP(H435, 'RM &amp; SF'!B:E, 4, 0)</f>
        <v>غم</v>
      </c>
      <c r="K435" s="12">
        <v>60</v>
      </c>
      <c r="L435" s="13">
        <f>VLOOKUP(H435, 'RM &amp; SF'!B:H, 7, 0)</f>
        <v>5.0000000000000001E-4</v>
      </c>
      <c r="M435" s="7">
        <f t="shared" si="21"/>
        <v>0.03</v>
      </c>
      <c r="N435" s="4" t="s">
        <v>825</v>
      </c>
      <c r="O435" s="4">
        <f>VLOOKUP(B435, 'All Menu'!B:L, 6, 0)</f>
        <v>4.0948275862068968</v>
      </c>
      <c r="P435" s="6">
        <f>VLOOKUP(B435, 'All Menu'!B:L, 9, 0)</f>
        <v>2.108837571428571</v>
      </c>
      <c r="Q435" s="14">
        <f>VLOOKUP(B435, 'All Menu'!B:M, 12, 0)</f>
        <v>0.48499966676691741</v>
      </c>
      <c r="R435" s="173">
        <f t="shared" si="22"/>
        <v>0</v>
      </c>
    </row>
    <row r="436" spans="1:18" ht="14" hidden="1">
      <c r="A436" s="78" t="s">
        <v>2578</v>
      </c>
      <c r="B436" s="220" t="s">
        <v>860</v>
      </c>
      <c r="C436" s="185"/>
      <c r="D436" s="103" t="str">
        <f>VLOOKUP(B436, 'All Menu'!B:M, 4, 0)</f>
        <v>سلطة المركزية</v>
      </c>
      <c r="E436" s="30" t="str">
        <f>VLOOKUP(B436, 'All Menu'!B:M, 2, 0)</f>
        <v>قسم الصالة</v>
      </c>
      <c r="F436" s="103" t="str">
        <f>VLOOKUP(B436, 'All Menu'!B:M, 3, 0)</f>
        <v>سلطات صالة</v>
      </c>
      <c r="G436" s="90" t="s">
        <v>2243</v>
      </c>
      <c r="H436" s="188">
        <v>4521</v>
      </c>
      <c r="I436" s="110" t="str">
        <f>VLOOKUP(H436, 'RM &amp; SF'!B:H, 2, 0)</f>
        <v>بيبي ليفز*****</v>
      </c>
      <c r="J436" s="184" t="str">
        <f>VLOOKUP(H436, 'RM &amp; SF'!B:E, 4, 0)</f>
        <v>غم</v>
      </c>
      <c r="K436" s="12">
        <v>60</v>
      </c>
      <c r="L436" s="13">
        <f>VLOOKUP(H436, 'RM &amp; SF'!B:H, 7, 0)</f>
        <v>8.0000000000000002E-3</v>
      </c>
      <c r="M436" s="7">
        <f t="shared" si="21"/>
        <v>0.48</v>
      </c>
      <c r="N436" s="4" t="s">
        <v>825</v>
      </c>
      <c r="O436" s="4">
        <f>VLOOKUP(B436, 'All Menu'!B:L, 6, 0)</f>
        <v>4.0948275862068968</v>
      </c>
      <c r="P436" s="6">
        <f>VLOOKUP(B436, 'All Menu'!B:L, 9, 0)</f>
        <v>2.108837571428571</v>
      </c>
      <c r="Q436" s="14">
        <f>VLOOKUP(B436, 'All Menu'!B:M, 12, 0)</f>
        <v>0.48499966676691741</v>
      </c>
      <c r="R436" s="173">
        <f t="shared" si="22"/>
        <v>0</v>
      </c>
    </row>
    <row r="437" spans="1:18" ht="14" hidden="1">
      <c r="A437" s="78" t="s">
        <v>2578</v>
      </c>
      <c r="B437" s="220" t="s">
        <v>860</v>
      </c>
      <c r="C437" s="185"/>
      <c r="D437" s="103" t="str">
        <f>VLOOKUP(B437, 'All Menu'!B:M, 4, 0)</f>
        <v>سلطة المركزية</v>
      </c>
      <c r="E437" s="30" t="str">
        <f>VLOOKUP(B437, 'All Menu'!B:M, 2, 0)</f>
        <v>قسم الصالة</v>
      </c>
      <c r="F437" s="103" t="str">
        <f>VLOOKUP(B437, 'All Menu'!B:M, 3, 0)</f>
        <v>سلطات صالة</v>
      </c>
      <c r="G437" s="90" t="s">
        <v>2444</v>
      </c>
      <c r="H437" s="219" t="s">
        <v>666</v>
      </c>
      <c r="I437" s="110" t="str">
        <f>VLOOKUP(H437, 'RM &amp; SF'!B:H, 2, 0)</f>
        <v>صوص التين</v>
      </c>
      <c r="J437" s="184" t="str">
        <f>VLOOKUP(H437, 'RM &amp; SF'!B:E, 4, 0)</f>
        <v>غم</v>
      </c>
      <c r="K437" s="12">
        <v>80</v>
      </c>
      <c r="L437" s="13">
        <f>VLOOKUP(H437, 'RM &amp; SF'!B:H, 7, 0)</f>
        <v>2.5407000000000003E-3</v>
      </c>
      <c r="M437" s="7">
        <f t="shared" si="21"/>
        <v>0.20325600000000002</v>
      </c>
      <c r="N437" s="4" t="s">
        <v>825</v>
      </c>
      <c r="O437" s="4">
        <f>VLOOKUP(B437, 'All Menu'!B:L, 6, 0)</f>
        <v>4.0948275862068968</v>
      </c>
      <c r="P437" s="6">
        <f>VLOOKUP(B437, 'All Menu'!B:L, 9, 0)</f>
        <v>2.108837571428571</v>
      </c>
      <c r="Q437" s="14">
        <f>VLOOKUP(B437, 'All Menu'!B:M, 12, 0)</f>
        <v>0.48499966676691741</v>
      </c>
      <c r="R437" s="173">
        <f t="shared" si="22"/>
        <v>0</v>
      </c>
    </row>
    <row r="438" spans="1:18" ht="14" hidden="1">
      <c r="A438" s="78" t="s">
        <v>2578</v>
      </c>
      <c r="B438" s="220" t="s">
        <v>860</v>
      </c>
      <c r="C438" s="185"/>
      <c r="D438" s="103" t="str">
        <f>VLOOKUP(B438, 'All Menu'!B:M, 4, 0)</f>
        <v>سلطة المركزية</v>
      </c>
      <c r="E438" s="30" t="str">
        <f>VLOOKUP(B438, 'All Menu'!B:M, 2, 0)</f>
        <v>قسم الصالة</v>
      </c>
      <c r="F438" s="103" t="str">
        <f>VLOOKUP(B438, 'All Menu'!B:M, 3, 0)</f>
        <v>سلطات صالة</v>
      </c>
      <c r="G438" s="90" t="s">
        <v>3058</v>
      </c>
      <c r="H438" s="188">
        <v>4516</v>
      </c>
      <c r="I438" s="110" t="str">
        <f>VLOOKUP(H438, 'RM &amp; SF'!B:H, 2, 0)</f>
        <v>بندورة كرزية (بندورة شري)*****</v>
      </c>
      <c r="J438" s="184" t="str">
        <f>VLOOKUP(H438, 'RM &amp; SF'!B:E, 4, 0)</f>
        <v>غم</v>
      </c>
      <c r="K438" s="12">
        <v>25</v>
      </c>
      <c r="L438" s="13">
        <f>VLOOKUP(H438, 'RM &amp; SF'!B:H, 7, 0)</f>
        <v>1.8749999999999999E-3</v>
      </c>
      <c r="M438" s="7">
        <f t="shared" si="21"/>
        <v>4.6875E-2</v>
      </c>
      <c r="N438" s="4" t="s">
        <v>825</v>
      </c>
      <c r="O438" s="4">
        <f>VLOOKUP(B438, 'All Menu'!B:L, 6, 0)</f>
        <v>4.0948275862068968</v>
      </c>
      <c r="P438" s="6">
        <f>VLOOKUP(B438, 'All Menu'!B:L, 9, 0)</f>
        <v>2.108837571428571</v>
      </c>
      <c r="Q438" s="14">
        <f>VLOOKUP(B438, 'All Menu'!B:M, 12, 0)</f>
        <v>0.48499966676691741</v>
      </c>
      <c r="R438" s="173">
        <f t="shared" si="22"/>
        <v>0</v>
      </c>
    </row>
    <row r="439" spans="1:18" ht="14" hidden="1">
      <c r="A439" s="78" t="s">
        <v>2578</v>
      </c>
      <c r="B439" s="220" t="s">
        <v>860</v>
      </c>
      <c r="C439" s="185"/>
      <c r="D439" s="103" t="str">
        <f>VLOOKUP(B439, 'All Menu'!B:M, 4, 0)</f>
        <v>سلطة المركزية</v>
      </c>
      <c r="E439" s="30" t="str">
        <f>VLOOKUP(B439, 'All Menu'!B:M, 2, 0)</f>
        <v>قسم الصالة</v>
      </c>
      <c r="F439" s="103" t="str">
        <f>VLOOKUP(B439, 'All Menu'!B:M, 3, 0)</f>
        <v>سلطات صالة</v>
      </c>
      <c r="G439" s="90" t="s">
        <v>2176</v>
      </c>
      <c r="H439" s="188">
        <v>4564</v>
      </c>
      <c r="I439" s="110" t="str">
        <f>VLOOKUP(H439, 'RM &amp; SF'!B:H, 2, 0)</f>
        <v>جبنة حلوم 250 غم*****</v>
      </c>
      <c r="J439" s="184" t="str">
        <f>VLOOKUP(H439, 'RM &amp; SF'!B:E, 4, 0)</f>
        <v>غم</v>
      </c>
      <c r="K439" s="12">
        <v>120</v>
      </c>
      <c r="L439" s="13">
        <f>VLOOKUP(H439, 'RM &amp; SF'!B:H, 7, 0)</f>
        <v>8.8889999999999993E-3</v>
      </c>
      <c r="M439" s="7">
        <f t="shared" ref="M439" si="23">L439*K439</f>
        <v>1.0666799999999999</v>
      </c>
      <c r="N439" s="4" t="s">
        <v>825</v>
      </c>
      <c r="O439" s="4">
        <f>VLOOKUP(B439, 'All Menu'!B:L, 6, 0)</f>
        <v>4.0948275862068968</v>
      </c>
      <c r="P439" s="6">
        <f>VLOOKUP(B439, 'All Menu'!B:L, 9, 0)</f>
        <v>2.108837571428571</v>
      </c>
      <c r="Q439" s="14">
        <f>VLOOKUP(B439, 'All Menu'!B:M, 12, 0)</f>
        <v>0.48499966676691741</v>
      </c>
      <c r="R439" s="173">
        <f t="shared" si="22"/>
        <v>0</v>
      </c>
    </row>
    <row r="440" spans="1:18" ht="14" hidden="1">
      <c r="A440" s="78" t="s">
        <v>2578</v>
      </c>
      <c r="B440" s="220" t="s">
        <v>860</v>
      </c>
      <c r="C440" s="185"/>
      <c r="D440" s="103" t="str">
        <f>VLOOKUP(B440, 'All Menu'!B:M, 4, 0)</f>
        <v>سلطة المركزية</v>
      </c>
      <c r="E440" s="30" t="str">
        <f>VLOOKUP(B440, 'All Menu'!B:M, 2, 0)</f>
        <v>قسم الصالة</v>
      </c>
      <c r="F440" s="103" t="str">
        <f>VLOOKUP(B440, 'All Menu'!B:M, 3, 0)</f>
        <v>سلطات صالة</v>
      </c>
      <c r="G440" s="90" t="s">
        <v>3058</v>
      </c>
      <c r="H440" s="188">
        <v>4056</v>
      </c>
      <c r="I440" s="110" t="str">
        <f>VLOOKUP(H440, 'RM &amp; SF'!B:H, 2, 0)</f>
        <v>بندورة مجففة بالأعشاب 700 غم*****</v>
      </c>
      <c r="J440" s="184" t="str">
        <f>VLOOKUP(H440, 'RM &amp; SF'!B:E, 4, 0)</f>
        <v>غم</v>
      </c>
      <c r="K440" s="12">
        <v>25</v>
      </c>
      <c r="L440" s="13">
        <f>VLOOKUP(H440, 'RM &amp; SF'!B:H, 7, 0)</f>
        <v>6.1571428571428567E-3</v>
      </c>
      <c r="M440" s="7">
        <f t="shared" ref="M440:M442" si="24">L440*K440</f>
        <v>0.15392857142857141</v>
      </c>
      <c r="N440" s="4" t="s">
        <v>825</v>
      </c>
      <c r="O440" s="4">
        <f>VLOOKUP(B440, 'All Menu'!B:L, 6, 0)</f>
        <v>4.0948275862068968</v>
      </c>
      <c r="P440" s="6">
        <f>VLOOKUP(B440, 'All Menu'!B:L, 9, 0)</f>
        <v>2.108837571428571</v>
      </c>
      <c r="Q440" s="14">
        <f>VLOOKUP(B440, 'All Menu'!B:M, 12, 0)</f>
        <v>0.48499966676691741</v>
      </c>
      <c r="R440" s="173">
        <f t="shared" si="22"/>
        <v>0</v>
      </c>
    </row>
    <row r="441" spans="1:18" ht="14" hidden="1">
      <c r="A441" s="78" t="s">
        <v>2578</v>
      </c>
      <c r="B441" s="220" t="s">
        <v>860</v>
      </c>
      <c r="C441" s="185"/>
      <c r="D441" s="103" t="str">
        <f>VLOOKUP(B441, 'All Menu'!B:M, 4, 0)</f>
        <v>سلطة المركزية</v>
      </c>
      <c r="E441" s="30" t="str">
        <f>VLOOKUP(B441, 'All Menu'!B:M, 2, 0)</f>
        <v>قسم الصالة</v>
      </c>
      <c r="F441" s="103" t="str">
        <f>VLOOKUP(B441, 'All Menu'!B:M, 3, 0)</f>
        <v>سلطات صالة</v>
      </c>
      <c r="G441" s="90" t="s">
        <v>3058</v>
      </c>
      <c r="H441" s="188">
        <v>4144</v>
      </c>
      <c r="I441" s="110" t="str">
        <f>VLOOKUP(H441, 'RM &amp; SF'!B:H, 2, 0)</f>
        <v>جوز عين الجمل*****</v>
      </c>
      <c r="J441" s="184" t="str">
        <f>VLOOKUP(H441, 'RM &amp; SF'!B:E, 4, 0)</f>
        <v>غم</v>
      </c>
      <c r="K441" s="12">
        <v>20</v>
      </c>
      <c r="L441" s="13">
        <f>VLOOKUP(H441, 'RM &amp; SF'!B:H, 7, 0)</f>
        <v>4.5259000000000002E-3</v>
      </c>
      <c r="M441" s="7">
        <f t="shared" si="24"/>
        <v>9.0518000000000001E-2</v>
      </c>
      <c r="N441" s="4" t="s">
        <v>825</v>
      </c>
      <c r="O441" s="4">
        <f>VLOOKUP(B441, 'All Menu'!B:L, 6, 0)</f>
        <v>4.0948275862068968</v>
      </c>
      <c r="P441" s="6">
        <f>VLOOKUP(B441, 'All Menu'!B:L, 9, 0)</f>
        <v>2.108837571428571</v>
      </c>
      <c r="Q441" s="14">
        <f>VLOOKUP(B441, 'All Menu'!B:M, 12, 0)</f>
        <v>0.48499966676691741</v>
      </c>
      <c r="R441" s="173">
        <f t="shared" si="22"/>
        <v>0</v>
      </c>
    </row>
    <row r="442" spans="1:18" ht="14" hidden="1">
      <c r="A442" s="78" t="s">
        <v>2578</v>
      </c>
      <c r="B442" s="220" t="s">
        <v>860</v>
      </c>
      <c r="C442" s="185"/>
      <c r="D442" s="103" t="str">
        <f>VLOOKUP(B442, 'All Menu'!B:M, 4, 0)</f>
        <v>سلطة المركزية</v>
      </c>
      <c r="E442" s="30" t="str">
        <f>VLOOKUP(B442, 'All Menu'!B:M, 2, 0)</f>
        <v>قسم الصالة</v>
      </c>
      <c r="F442" s="103" t="str">
        <f>VLOOKUP(B442, 'All Menu'!B:M, 3, 0)</f>
        <v>سلطات صالة</v>
      </c>
      <c r="G442" s="90" t="s">
        <v>2265</v>
      </c>
      <c r="H442" s="188">
        <v>4006</v>
      </c>
      <c r="I442" s="110" t="str">
        <f>VLOOKUP(H442, 'RM &amp; SF'!B:H, 2, 0)</f>
        <v>دبس رمان 5 كغ (مادة أولية)*****</v>
      </c>
      <c r="J442" s="184" t="str">
        <f>VLOOKUP(H442, 'RM &amp; SF'!B:E, 4, 0)</f>
        <v>غم</v>
      </c>
      <c r="K442" s="12">
        <v>10</v>
      </c>
      <c r="L442" s="13">
        <f>VLOOKUP(H442, 'RM &amp; SF'!B:H, 7, 0)</f>
        <v>1.508E-3</v>
      </c>
      <c r="M442" s="7">
        <f t="shared" si="24"/>
        <v>1.508E-2</v>
      </c>
      <c r="N442" s="4" t="s">
        <v>825</v>
      </c>
      <c r="O442" s="4">
        <f>VLOOKUP(B442, 'All Menu'!B:L, 6, 0)</f>
        <v>4.0948275862068968</v>
      </c>
      <c r="P442" s="6">
        <f>VLOOKUP(B442, 'All Menu'!B:L, 9, 0)</f>
        <v>2.108837571428571</v>
      </c>
      <c r="Q442" s="14">
        <f>VLOOKUP(B442, 'All Menu'!B:M, 12, 0)</f>
        <v>0.48499966676691741</v>
      </c>
      <c r="R442" s="173">
        <f t="shared" si="22"/>
        <v>0</v>
      </c>
    </row>
    <row r="443" spans="1:18" ht="14" hidden="1">
      <c r="A443" s="78" t="s">
        <v>2576</v>
      </c>
      <c r="B443" s="220" t="s">
        <v>861</v>
      </c>
      <c r="C443" s="185"/>
      <c r="D443" s="103" t="str">
        <f>VLOOKUP(B443, 'All Menu'!B:M, 4, 0)</f>
        <v>فتوش</v>
      </c>
      <c r="E443" s="30" t="str">
        <f>VLOOKUP(B443, 'All Menu'!B:M, 2, 0)</f>
        <v>قسم الصالة</v>
      </c>
      <c r="F443" s="103" t="str">
        <f>VLOOKUP(B443, 'All Menu'!B:M, 3, 0)</f>
        <v>سلطات صالة</v>
      </c>
      <c r="G443" s="90" t="s">
        <v>2251</v>
      </c>
      <c r="H443" s="188">
        <v>4544</v>
      </c>
      <c r="I443" s="110" t="str">
        <f>VLOOKUP(H443, 'RM &amp; SF'!B:H, 2, 0)</f>
        <v>بقدونس*****</v>
      </c>
      <c r="J443" s="184" t="str">
        <f>VLOOKUP(H443, 'RM &amp; SF'!B:E, 4, 0)</f>
        <v>غم</v>
      </c>
      <c r="K443" s="12">
        <v>10</v>
      </c>
      <c r="L443" s="13">
        <f>VLOOKUP(H443, 'RM &amp; SF'!B:H, 7, 0)</f>
        <v>7.5000000000000002E-4</v>
      </c>
      <c r="M443" s="7">
        <f t="shared" si="21"/>
        <v>7.4999999999999997E-3</v>
      </c>
      <c r="N443" s="4" t="s">
        <v>825</v>
      </c>
      <c r="O443" s="4">
        <f>VLOOKUP(B443, 'All Menu'!B:L, 6, 0)</f>
        <v>2.8017241379310347</v>
      </c>
      <c r="P443" s="6">
        <f>VLOOKUP(B443, 'All Menu'!B:L, 9, 0)</f>
        <v>0.42878500000000003</v>
      </c>
      <c r="Q443" s="14">
        <f>VLOOKUP(B443, 'All Menu'!B:M, 12, 0)</f>
        <v>0.84695673846153852</v>
      </c>
      <c r="R443" s="173">
        <f t="shared" si="22"/>
        <v>0</v>
      </c>
    </row>
    <row r="444" spans="1:18" ht="14" hidden="1">
      <c r="A444" s="78" t="s">
        <v>2576</v>
      </c>
      <c r="B444" s="220" t="s">
        <v>861</v>
      </c>
      <c r="C444" s="185"/>
      <c r="D444" s="103" t="str">
        <f>VLOOKUP(B444, 'All Menu'!B:M, 4, 0)</f>
        <v>فتوش</v>
      </c>
      <c r="E444" s="30" t="str">
        <f>VLOOKUP(B444, 'All Menu'!B:M, 2, 0)</f>
        <v>قسم الصالة</v>
      </c>
      <c r="F444" s="103" t="str">
        <f>VLOOKUP(B444, 'All Menu'!B:M, 3, 0)</f>
        <v>سلطات صالة</v>
      </c>
      <c r="G444" s="90" t="s">
        <v>2228</v>
      </c>
      <c r="H444" s="188">
        <v>4493</v>
      </c>
      <c r="I444" s="110" t="str">
        <f>VLOOKUP(H444, 'RM &amp; SF'!B:H, 2, 0)</f>
        <v>خيار*****</v>
      </c>
      <c r="J444" s="184" t="str">
        <f>VLOOKUP(H444, 'RM &amp; SF'!B:E, 4, 0)</f>
        <v>غم</v>
      </c>
      <c r="K444" s="12">
        <v>100</v>
      </c>
      <c r="L444" s="13">
        <f>VLOOKUP(H444, 'RM &amp; SF'!B:H, 7, 0)</f>
        <v>4.0000000000000002E-4</v>
      </c>
      <c r="M444" s="7">
        <f t="shared" si="21"/>
        <v>0.04</v>
      </c>
      <c r="N444" s="4" t="s">
        <v>825</v>
      </c>
      <c r="O444" s="4">
        <f>VLOOKUP(B444, 'All Menu'!B:L, 6, 0)</f>
        <v>2.8017241379310347</v>
      </c>
      <c r="P444" s="6">
        <f>VLOOKUP(B444, 'All Menu'!B:L, 9, 0)</f>
        <v>0.42878500000000003</v>
      </c>
      <c r="Q444" s="14">
        <f>VLOOKUP(B444, 'All Menu'!B:M, 12, 0)</f>
        <v>0.84695673846153852</v>
      </c>
      <c r="R444" s="173">
        <f t="shared" si="22"/>
        <v>0</v>
      </c>
    </row>
    <row r="445" spans="1:18" ht="14" hidden="1">
      <c r="A445" s="78" t="s">
        <v>2576</v>
      </c>
      <c r="B445" s="220" t="s">
        <v>861</v>
      </c>
      <c r="C445" s="185"/>
      <c r="D445" s="103" t="str">
        <f>VLOOKUP(B445, 'All Menu'!B:M, 4, 0)</f>
        <v>فتوش</v>
      </c>
      <c r="E445" s="30" t="str">
        <f>VLOOKUP(B445, 'All Menu'!B:M, 2, 0)</f>
        <v>قسم الصالة</v>
      </c>
      <c r="F445" s="103" t="str">
        <f>VLOOKUP(B445, 'All Menu'!B:M, 3, 0)</f>
        <v>سلطات صالة</v>
      </c>
      <c r="G445" s="90" t="s">
        <v>2309</v>
      </c>
      <c r="H445" s="188">
        <v>4491</v>
      </c>
      <c r="I445" s="110" t="str">
        <f>VLOOKUP(H445, 'RM &amp; SF'!B:H, 2, 0)</f>
        <v>بندورة جامدة*****</v>
      </c>
      <c r="J445" s="184" t="str">
        <f>VLOOKUP(H445, 'RM &amp; SF'!B:E, 4, 0)</f>
        <v>غم</v>
      </c>
      <c r="K445" s="12">
        <v>130</v>
      </c>
      <c r="L445" s="13">
        <f>VLOOKUP(H445, 'RM &amp; SF'!B:H, 7, 0)</f>
        <v>5.0000000000000001E-4</v>
      </c>
      <c r="M445" s="7">
        <f t="shared" si="21"/>
        <v>6.5000000000000002E-2</v>
      </c>
      <c r="N445" s="4" t="s">
        <v>825</v>
      </c>
      <c r="O445" s="4">
        <f>VLOOKUP(B445, 'All Menu'!B:L, 6, 0)</f>
        <v>2.8017241379310347</v>
      </c>
      <c r="P445" s="6">
        <f>VLOOKUP(B445, 'All Menu'!B:L, 9, 0)</f>
        <v>0.42878500000000003</v>
      </c>
      <c r="Q445" s="14">
        <f>VLOOKUP(B445, 'All Menu'!B:M, 12, 0)</f>
        <v>0.84695673846153852</v>
      </c>
      <c r="R445" s="173">
        <f t="shared" si="22"/>
        <v>0</v>
      </c>
    </row>
    <row r="446" spans="1:18" ht="14" hidden="1">
      <c r="A446" s="78" t="s">
        <v>2576</v>
      </c>
      <c r="B446" s="220" t="s">
        <v>861</v>
      </c>
      <c r="C446" s="185"/>
      <c r="D446" s="103" t="str">
        <f>VLOOKUP(B446, 'All Menu'!B:M, 4, 0)</f>
        <v>فتوش</v>
      </c>
      <c r="E446" s="30" t="str">
        <f>VLOOKUP(B446, 'All Menu'!B:M, 2, 0)</f>
        <v>قسم الصالة</v>
      </c>
      <c r="F446" s="103" t="str">
        <f>VLOOKUP(B446, 'All Menu'!B:M, 3, 0)</f>
        <v>سلطات صالة</v>
      </c>
      <c r="G446" s="90" t="s">
        <v>2252</v>
      </c>
      <c r="H446" s="188">
        <v>4545</v>
      </c>
      <c r="I446" s="110" t="str">
        <f>VLOOKUP(H446, 'RM &amp; SF'!B:H, 2, 0)</f>
        <v>جرجير*****</v>
      </c>
      <c r="J446" s="184" t="str">
        <f>VLOOKUP(H446, 'RM &amp; SF'!B:E, 4, 0)</f>
        <v>غم</v>
      </c>
      <c r="K446" s="12">
        <v>30</v>
      </c>
      <c r="L446" s="13">
        <f>VLOOKUP(H446, 'RM &amp; SF'!B:H, 7, 0)</f>
        <v>7.5000000000000002E-4</v>
      </c>
      <c r="M446" s="7">
        <f t="shared" si="21"/>
        <v>2.2499999999999999E-2</v>
      </c>
      <c r="N446" s="4" t="s">
        <v>825</v>
      </c>
      <c r="O446" s="4">
        <f>VLOOKUP(B446, 'All Menu'!B:L, 6, 0)</f>
        <v>2.8017241379310347</v>
      </c>
      <c r="P446" s="6">
        <f>VLOOKUP(B446, 'All Menu'!B:L, 9, 0)</f>
        <v>0.42878500000000003</v>
      </c>
      <c r="Q446" s="14">
        <f>VLOOKUP(B446, 'All Menu'!B:M, 12, 0)</f>
        <v>0.84695673846153852</v>
      </c>
      <c r="R446" s="173">
        <f t="shared" si="22"/>
        <v>0</v>
      </c>
    </row>
    <row r="447" spans="1:18" ht="14" hidden="1">
      <c r="A447" s="78" t="s">
        <v>2576</v>
      </c>
      <c r="B447" s="220" t="s">
        <v>861</v>
      </c>
      <c r="C447" s="185"/>
      <c r="D447" s="103" t="str">
        <f>VLOOKUP(B447, 'All Menu'!B:M, 4, 0)</f>
        <v>فتوش</v>
      </c>
      <c r="E447" s="30" t="str">
        <f>VLOOKUP(B447, 'All Menu'!B:M, 2, 0)</f>
        <v>قسم الصالة</v>
      </c>
      <c r="F447" s="103" t="str">
        <f>VLOOKUP(B447, 'All Menu'!B:M, 3, 0)</f>
        <v>سلطات صالة</v>
      </c>
      <c r="G447" s="90" t="s">
        <v>2255</v>
      </c>
      <c r="H447" s="188">
        <v>4573</v>
      </c>
      <c r="I447" s="110" t="str">
        <f>VLOOKUP(H447, 'RM &amp; SF'!B:H, 2, 0)</f>
        <v>عصير ليمون طازج 2.5 لتر*****</v>
      </c>
      <c r="J447" s="184" t="str">
        <f>VLOOKUP(H447, 'RM &amp; SF'!B:E, 4, 0)</f>
        <v>مل</v>
      </c>
      <c r="K447" s="12">
        <v>30</v>
      </c>
      <c r="L447" s="13">
        <f>VLOOKUP(H447, 'RM &amp; SF'!B:H, 7, 0)</f>
        <v>2.5999999999999999E-3</v>
      </c>
      <c r="M447" s="7">
        <f t="shared" si="21"/>
        <v>7.8E-2</v>
      </c>
      <c r="N447" s="4" t="s">
        <v>825</v>
      </c>
      <c r="O447" s="4">
        <f>VLOOKUP(B447, 'All Menu'!B:L, 6, 0)</f>
        <v>2.8017241379310347</v>
      </c>
      <c r="P447" s="6">
        <f>VLOOKUP(B447, 'All Menu'!B:L, 9, 0)</f>
        <v>0.42878500000000003</v>
      </c>
      <c r="Q447" s="14">
        <f>VLOOKUP(B447, 'All Menu'!B:M, 12, 0)</f>
        <v>0.84695673846153852</v>
      </c>
      <c r="R447" s="173">
        <f t="shared" si="22"/>
        <v>0</v>
      </c>
    </row>
    <row r="448" spans="1:18" ht="14" hidden="1">
      <c r="A448" s="78" t="s">
        <v>2576</v>
      </c>
      <c r="B448" s="220" t="s">
        <v>861</v>
      </c>
      <c r="C448" s="185"/>
      <c r="D448" s="103" t="str">
        <f>VLOOKUP(B448, 'All Menu'!B:M, 4, 0)</f>
        <v>فتوش</v>
      </c>
      <c r="E448" s="30" t="str">
        <f>VLOOKUP(B448, 'All Menu'!B:M, 2, 0)</f>
        <v>قسم الصالة</v>
      </c>
      <c r="F448" s="103" t="str">
        <f>VLOOKUP(B448, 'All Menu'!B:M, 3, 0)</f>
        <v>سلطات صالة</v>
      </c>
      <c r="G448" s="90" t="s">
        <v>2242</v>
      </c>
      <c r="H448" s="188">
        <v>4520</v>
      </c>
      <c r="I448" s="110" t="str">
        <f>VLOOKUP(H448, 'RM &amp; SF'!B:H, 2, 0)</f>
        <v>فجل احمر*****</v>
      </c>
      <c r="J448" s="184" t="str">
        <f>VLOOKUP(H448, 'RM &amp; SF'!B:E, 4, 0)</f>
        <v>غم</v>
      </c>
      <c r="K448" s="12">
        <v>20</v>
      </c>
      <c r="L448" s="13">
        <f>VLOOKUP(H448, 'RM &amp; SF'!B:H, 7, 0)</f>
        <v>7.5000000000000002E-4</v>
      </c>
      <c r="M448" s="7">
        <f t="shared" si="21"/>
        <v>1.4999999999999999E-2</v>
      </c>
      <c r="N448" s="4" t="s">
        <v>825</v>
      </c>
      <c r="O448" s="4">
        <f>VLOOKUP(B448, 'All Menu'!B:L, 6, 0)</f>
        <v>2.8017241379310347</v>
      </c>
      <c r="P448" s="6">
        <f>VLOOKUP(B448, 'All Menu'!B:L, 9, 0)</f>
        <v>0.42878500000000003</v>
      </c>
      <c r="Q448" s="14">
        <f>VLOOKUP(B448, 'All Menu'!B:M, 12, 0)</f>
        <v>0.84695673846153852</v>
      </c>
      <c r="R448" s="173">
        <f t="shared" si="22"/>
        <v>0</v>
      </c>
    </row>
    <row r="449" spans="1:18" ht="14" hidden="1">
      <c r="A449" s="78" t="s">
        <v>2576</v>
      </c>
      <c r="B449" s="220" t="s">
        <v>861</v>
      </c>
      <c r="C449" s="185"/>
      <c r="D449" s="103" t="str">
        <f>VLOOKUP(B449, 'All Menu'!B:M, 4, 0)</f>
        <v>فتوش</v>
      </c>
      <c r="E449" s="30" t="str">
        <f>VLOOKUP(B449, 'All Menu'!B:M, 2, 0)</f>
        <v>قسم الصالة</v>
      </c>
      <c r="F449" s="103" t="str">
        <f>VLOOKUP(B449, 'All Menu'!B:M, 3, 0)</f>
        <v>سلطات صالة</v>
      </c>
      <c r="G449" s="90" t="s">
        <v>2253</v>
      </c>
      <c r="H449" s="188">
        <v>4547</v>
      </c>
      <c r="I449" s="110" t="str">
        <f>VLOOKUP(H449, 'RM &amp; SF'!B:H, 2, 0)</f>
        <v>نعنع*****</v>
      </c>
      <c r="J449" s="184" t="str">
        <f>VLOOKUP(H449, 'RM &amp; SF'!B:E, 4, 0)</f>
        <v>غم</v>
      </c>
      <c r="K449" s="12">
        <v>0.5</v>
      </c>
      <c r="L449" s="13">
        <f>VLOOKUP(H449, 'RM &amp; SF'!B:H, 7, 0)</f>
        <v>7.5000000000000002E-4</v>
      </c>
      <c r="M449" s="7">
        <f t="shared" si="21"/>
        <v>3.7500000000000001E-4</v>
      </c>
      <c r="N449" s="4" t="s">
        <v>825</v>
      </c>
      <c r="O449" s="4">
        <f>VLOOKUP(B449, 'All Menu'!B:L, 6, 0)</f>
        <v>2.8017241379310347</v>
      </c>
      <c r="P449" s="6">
        <f>VLOOKUP(B449, 'All Menu'!B:L, 9, 0)</f>
        <v>0.42878500000000003</v>
      </c>
      <c r="Q449" s="14">
        <f>VLOOKUP(B449, 'All Menu'!B:M, 12, 0)</f>
        <v>0.84695673846153852</v>
      </c>
      <c r="R449" s="173">
        <f t="shared" si="22"/>
        <v>0</v>
      </c>
    </row>
    <row r="450" spans="1:18" ht="14" hidden="1">
      <c r="A450" s="78" t="s">
        <v>2576</v>
      </c>
      <c r="B450" s="220" t="s">
        <v>861</v>
      </c>
      <c r="C450" s="185"/>
      <c r="D450" s="103" t="str">
        <f>VLOOKUP(B450, 'All Menu'!B:M, 4, 0)</f>
        <v>فتوش</v>
      </c>
      <c r="E450" s="30" t="str">
        <f>VLOOKUP(B450, 'All Menu'!B:M, 2, 0)</f>
        <v>قسم الصالة</v>
      </c>
      <c r="F450" s="103" t="str">
        <f>VLOOKUP(B450, 'All Menu'!B:M, 3, 0)</f>
        <v>سلطات صالة</v>
      </c>
      <c r="G450" s="90" t="s">
        <v>2254</v>
      </c>
      <c r="H450" s="188">
        <v>4548</v>
      </c>
      <c r="I450" s="110" t="str">
        <f>VLOOKUP(H450, 'RM &amp; SF'!B:H, 2, 0)</f>
        <v>بقلة*****</v>
      </c>
      <c r="J450" s="184" t="str">
        <f>VLOOKUP(H450, 'RM &amp; SF'!B:E, 4, 0)</f>
        <v>غم</v>
      </c>
      <c r="K450" s="12">
        <v>20</v>
      </c>
      <c r="L450" s="13">
        <f>VLOOKUP(H450, 'RM &amp; SF'!B:H, 7, 0)</f>
        <v>7.5000000000000002E-4</v>
      </c>
      <c r="M450" s="7">
        <f t="shared" si="21"/>
        <v>1.4999999999999999E-2</v>
      </c>
      <c r="N450" s="4" t="s">
        <v>825</v>
      </c>
      <c r="O450" s="4">
        <f>VLOOKUP(B450, 'All Menu'!B:L, 6, 0)</f>
        <v>2.8017241379310347</v>
      </c>
      <c r="P450" s="6">
        <f>VLOOKUP(B450, 'All Menu'!B:L, 9, 0)</f>
        <v>0.42878500000000003</v>
      </c>
      <c r="Q450" s="14">
        <f>VLOOKUP(B450, 'All Menu'!B:M, 12, 0)</f>
        <v>0.84695673846153852</v>
      </c>
      <c r="R450" s="173">
        <f t="shared" si="22"/>
        <v>0</v>
      </c>
    </row>
    <row r="451" spans="1:18" ht="14" hidden="1">
      <c r="A451" s="78" t="s">
        <v>2576</v>
      </c>
      <c r="B451" s="220" t="s">
        <v>861</v>
      </c>
      <c r="C451" s="185"/>
      <c r="D451" s="103" t="str">
        <f>VLOOKUP(B451, 'All Menu'!B:M, 4, 0)</f>
        <v>فتوش</v>
      </c>
      <c r="E451" s="30" t="str">
        <f>VLOOKUP(B451, 'All Menu'!B:M, 2, 0)</f>
        <v>قسم الصالة</v>
      </c>
      <c r="F451" s="103" t="str">
        <f>VLOOKUP(B451, 'All Menu'!B:M, 3, 0)</f>
        <v>سلطات صالة</v>
      </c>
      <c r="G451" s="90" t="s">
        <v>2215</v>
      </c>
      <c r="H451" s="188">
        <v>4224</v>
      </c>
      <c r="I451" s="110" t="str">
        <f>VLOOKUP(H451, 'RM &amp; SF'!B:H, 2, 0)</f>
        <v>سماق*****</v>
      </c>
      <c r="J451" s="184" t="str">
        <f>VLOOKUP(H451, 'RM &amp; SF'!B:E, 4, 0)</f>
        <v>غم</v>
      </c>
      <c r="K451" s="12">
        <v>5</v>
      </c>
      <c r="L451" s="13">
        <f>VLOOKUP(H451, 'RM &amp; SF'!B:H, 7, 0)</f>
        <v>4.3099999999999996E-3</v>
      </c>
      <c r="M451" s="7">
        <f t="shared" ref="M451:M452" si="25">L451*K451</f>
        <v>2.155E-2</v>
      </c>
      <c r="N451" s="4" t="s">
        <v>825</v>
      </c>
      <c r="O451" s="4">
        <f>VLOOKUP(B451, 'All Menu'!B:L, 6, 0)</f>
        <v>2.8017241379310347</v>
      </c>
      <c r="P451" s="6">
        <f>VLOOKUP(B451, 'All Menu'!B:L, 9, 0)</f>
        <v>0.42878500000000003</v>
      </c>
      <c r="Q451" s="14">
        <f>VLOOKUP(B451, 'All Menu'!B:M, 12, 0)</f>
        <v>0.84695673846153852</v>
      </c>
      <c r="R451" s="173">
        <f t="shared" si="22"/>
        <v>0</v>
      </c>
    </row>
    <row r="452" spans="1:18" ht="14" hidden="1">
      <c r="A452" s="78" t="s">
        <v>2576</v>
      </c>
      <c r="B452" s="220" t="s">
        <v>861</v>
      </c>
      <c r="C452" s="185"/>
      <c r="D452" s="103" t="str">
        <f>VLOOKUP(B452, 'All Menu'!B:M, 4, 0)</f>
        <v>فتوش</v>
      </c>
      <c r="E452" s="30" t="str">
        <f>VLOOKUP(B452, 'All Menu'!B:M, 2, 0)</f>
        <v>قسم الصالة</v>
      </c>
      <c r="F452" s="103" t="str">
        <f>VLOOKUP(B452, 'All Menu'!B:M, 3, 0)</f>
        <v>سلطات صالة</v>
      </c>
      <c r="G452" s="90" t="s">
        <v>2225</v>
      </c>
      <c r="H452" s="188">
        <v>4991</v>
      </c>
      <c r="I452" s="110" t="str">
        <f>VLOOKUP(H452, 'RM &amp; SF'!B:H, 2, 0)</f>
        <v>خبز عربي (خبز لبناني) صغير*****</v>
      </c>
      <c r="J452" s="184" t="str">
        <f>VLOOKUP(H452, 'RM &amp; SF'!B:E, 4, 0)</f>
        <v>غم</v>
      </c>
      <c r="K452" s="12">
        <v>100</v>
      </c>
      <c r="L452" s="13">
        <f>VLOOKUP(H452, 'RM &amp; SF'!B:H, 7, 0)</f>
        <v>3.2000000000000003E-4</v>
      </c>
      <c r="M452" s="7">
        <f t="shared" si="25"/>
        <v>3.2000000000000001E-2</v>
      </c>
      <c r="N452" s="4" t="s">
        <v>825</v>
      </c>
      <c r="O452" s="4">
        <f>VLOOKUP(B452, 'All Menu'!B:L, 6, 0)</f>
        <v>2.8017241379310347</v>
      </c>
      <c r="P452" s="6">
        <f>VLOOKUP(B452, 'All Menu'!B:L, 9, 0)</f>
        <v>0.42878500000000003</v>
      </c>
      <c r="Q452" s="14">
        <f>VLOOKUP(B452, 'All Menu'!B:M, 12, 0)</f>
        <v>0.84695673846153852</v>
      </c>
      <c r="R452" s="173">
        <f t="shared" si="22"/>
        <v>0</v>
      </c>
    </row>
    <row r="453" spans="1:18" ht="14" hidden="1">
      <c r="A453" s="78" t="s">
        <v>2576</v>
      </c>
      <c r="B453" s="220" t="s">
        <v>861</v>
      </c>
      <c r="C453" s="185"/>
      <c r="D453" s="103" t="str">
        <f>VLOOKUP(B453, 'All Menu'!B:M, 4, 0)</f>
        <v>فتوش</v>
      </c>
      <c r="E453" s="30" t="str">
        <f>VLOOKUP(B453, 'All Menu'!B:M, 2, 0)</f>
        <v>قسم الصالة</v>
      </c>
      <c r="F453" s="103" t="str">
        <f>VLOOKUP(B453, 'All Menu'!B:M, 3, 0)</f>
        <v>سلطات صالة</v>
      </c>
      <c r="G453" s="90" t="s">
        <v>2265</v>
      </c>
      <c r="H453" s="188">
        <v>4006</v>
      </c>
      <c r="I453" s="110" t="str">
        <f>VLOOKUP(H453, 'RM &amp; SF'!B:H, 2, 0)</f>
        <v>دبس رمان 5 كغ (مادة أولية)*****</v>
      </c>
      <c r="J453" s="184" t="str">
        <f>VLOOKUP(H453, 'RM &amp; SF'!B:E, 4, 0)</f>
        <v>غم</v>
      </c>
      <c r="K453" s="12">
        <v>20</v>
      </c>
      <c r="L453" s="13">
        <f>VLOOKUP(H453, 'RM &amp; SF'!B:H, 7, 0)</f>
        <v>1.508E-3</v>
      </c>
      <c r="M453" s="7">
        <f t="shared" si="21"/>
        <v>3.0159999999999999E-2</v>
      </c>
      <c r="N453" s="4" t="s">
        <v>825</v>
      </c>
      <c r="O453" s="4">
        <f>VLOOKUP(B453, 'All Menu'!B:L, 6, 0)</f>
        <v>2.8017241379310347</v>
      </c>
      <c r="P453" s="6">
        <f>VLOOKUP(B453, 'All Menu'!B:L, 9, 0)</f>
        <v>0.42878500000000003</v>
      </c>
      <c r="Q453" s="14">
        <f>VLOOKUP(B453, 'All Menu'!B:M, 12, 0)</f>
        <v>0.84695673846153852</v>
      </c>
      <c r="R453" s="173">
        <f t="shared" si="22"/>
        <v>0</v>
      </c>
    </row>
    <row r="454" spans="1:18" ht="14" hidden="1">
      <c r="A454" s="78" t="s">
        <v>2576</v>
      </c>
      <c r="B454" s="220" t="s">
        <v>861</v>
      </c>
      <c r="C454" s="185"/>
      <c r="D454" s="103" t="str">
        <f>VLOOKUP(B454, 'All Menu'!B:M, 4, 0)</f>
        <v>فتوش</v>
      </c>
      <c r="E454" s="30" t="str">
        <f>VLOOKUP(B454, 'All Menu'!B:M, 2, 0)</f>
        <v>قسم الصالة</v>
      </c>
      <c r="F454" s="103" t="str">
        <f>VLOOKUP(B454, 'All Menu'!B:M, 3, 0)</f>
        <v>سلطات صالة</v>
      </c>
      <c r="G454" s="90" t="s">
        <v>2357</v>
      </c>
      <c r="H454" s="219" t="s">
        <v>744</v>
      </c>
      <c r="I454" s="110" t="str">
        <f>VLOOKUP(H454, 'RM &amp; SF'!B:H, 2, 0)</f>
        <v>زيت زيتون مكسور</v>
      </c>
      <c r="J454" s="184" t="str">
        <f>VLOOKUP(H454, 'RM &amp; SF'!B:E, 4, 0)</f>
        <v>غم</v>
      </c>
      <c r="K454" s="12">
        <v>30</v>
      </c>
      <c r="L454" s="13">
        <f>VLOOKUP(H454, 'RM &amp; SF'!B:H, 7, 0)</f>
        <v>3.3899999999999998E-3</v>
      </c>
      <c r="M454" s="7">
        <f t="shared" si="21"/>
        <v>0.1017</v>
      </c>
      <c r="N454" s="4" t="s">
        <v>825</v>
      </c>
      <c r="O454" s="4">
        <f>VLOOKUP(B454, 'All Menu'!B:L, 6, 0)</f>
        <v>2.8017241379310347</v>
      </c>
      <c r="P454" s="6">
        <f>VLOOKUP(B454, 'All Menu'!B:L, 9, 0)</f>
        <v>0.42878500000000003</v>
      </c>
      <c r="Q454" s="14">
        <f>VLOOKUP(B454, 'All Menu'!B:M, 12, 0)</f>
        <v>0.84695673846153852</v>
      </c>
      <c r="R454" s="173">
        <f t="shared" si="22"/>
        <v>0</v>
      </c>
    </row>
    <row r="455" spans="1:18" ht="14" hidden="1">
      <c r="A455" s="78" t="s">
        <v>2750</v>
      </c>
      <c r="B455" s="220" t="s">
        <v>862</v>
      </c>
      <c r="C455" s="185"/>
      <c r="D455" s="103" t="str">
        <f>VLOOKUP(B455, 'All Menu'!B:M, 4, 0)</f>
        <v>شقف خاروف كيلو</v>
      </c>
      <c r="E455" s="30" t="str">
        <f>VLOOKUP(B455, 'All Menu'!B:M, 2, 0)</f>
        <v>قسم الصالة</v>
      </c>
      <c r="F455" s="103" t="str">
        <f>VLOOKUP(B455, 'All Menu'!B:M, 3, 0)</f>
        <v>المشاوي صالة</v>
      </c>
      <c r="G455" s="90" t="s">
        <v>2452</v>
      </c>
      <c r="H455" s="219" t="s">
        <v>528</v>
      </c>
      <c r="I455" s="110" t="str">
        <f>VLOOKUP(H455, 'RM &amp; SF'!B:H, 2, 0)</f>
        <v>شقف متبلة</v>
      </c>
      <c r="J455" s="184" t="str">
        <f>VLOOKUP(H455, 'RM &amp; SF'!B:E, 4, 0)</f>
        <v>غم</v>
      </c>
      <c r="K455" s="12">
        <v>1000</v>
      </c>
      <c r="L455" s="13">
        <f>VLOOKUP(H455, 'RM &amp; SF'!B:H, 7, 0)</f>
        <v>2.0415146666666665E-2</v>
      </c>
      <c r="M455" s="7">
        <f t="shared" si="21"/>
        <v>20.415146666666665</v>
      </c>
      <c r="N455" s="4" t="s">
        <v>825</v>
      </c>
      <c r="O455" s="4">
        <f>VLOOKUP(B455, 'All Menu'!B:L, 6, 0)</f>
        <v>26.077586206896555</v>
      </c>
      <c r="P455" s="6">
        <f>VLOOKUP(B455, 'All Menu'!B:L, 9, 0)</f>
        <v>20.819963946834338</v>
      </c>
      <c r="Q455" s="14">
        <f>VLOOKUP(B455, 'All Menu'!B:M, 12, 0)</f>
        <v>0.20161460567511308</v>
      </c>
      <c r="R455" s="173">
        <f t="shared" si="22"/>
        <v>0</v>
      </c>
    </row>
    <row r="456" spans="1:18" ht="14" hidden="1">
      <c r="A456" s="78" t="s">
        <v>2750</v>
      </c>
      <c r="B456" s="220" t="s">
        <v>862</v>
      </c>
      <c r="C456" s="185"/>
      <c r="D456" s="103" t="str">
        <f>VLOOKUP(B456, 'All Menu'!B:M, 4, 0)</f>
        <v>شقف خاروف كيلو</v>
      </c>
      <c r="E456" s="30" t="str">
        <f>VLOOKUP(B456, 'All Menu'!B:M, 2, 0)</f>
        <v>قسم الصالة</v>
      </c>
      <c r="F456" s="103" t="str">
        <f>VLOOKUP(B456, 'All Menu'!B:M, 3, 0)</f>
        <v>المشاوي صالة</v>
      </c>
      <c r="G456" s="90" t="s">
        <v>2235</v>
      </c>
      <c r="H456" s="188">
        <v>4504</v>
      </c>
      <c r="I456" s="110" t="str">
        <f>VLOOKUP(H456, 'RM &amp; SF'!B:H, 2, 0)</f>
        <v>بصل مشاوي (بصل بيبي)***</v>
      </c>
      <c r="J456" s="184" t="str">
        <f>VLOOKUP(H456, 'RM &amp; SF'!B:E, 4, 0)</f>
        <v>غم</v>
      </c>
      <c r="K456" s="12">
        <v>200</v>
      </c>
      <c r="L456" s="13">
        <f>VLOOKUP(H456, 'RM &amp; SF'!B:H, 7, 0)</f>
        <v>3.5E-4</v>
      </c>
      <c r="M456" s="7">
        <f t="shared" si="21"/>
        <v>6.9999999999999993E-2</v>
      </c>
      <c r="N456" s="4" t="s">
        <v>825</v>
      </c>
      <c r="O456" s="4">
        <f>VLOOKUP(B456, 'All Menu'!B:L, 6, 0)</f>
        <v>26.077586206896555</v>
      </c>
      <c r="P456" s="6">
        <f>VLOOKUP(B456, 'All Menu'!B:L, 9, 0)</f>
        <v>20.819963946834338</v>
      </c>
      <c r="Q456" s="14">
        <f>VLOOKUP(B456, 'All Menu'!B:M, 12, 0)</f>
        <v>0.20161460567511308</v>
      </c>
      <c r="R456" s="173">
        <f t="shared" si="22"/>
        <v>0</v>
      </c>
    </row>
    <row r="457" spans="1:18" ht="14" hidden="1">
      <c r="A457" s="78" t="s">
        <v>2750</v>
      </c>
      <c r="B457" s="220" t="s">
        <v>862</v>
      </c>
      <c r="C457" s="185"/>
      <c r="D457" s="103" t="str">
        <f>VLOOKUP(B457, 'All Menu'!B:M, 4, 0)</f>
        <v>شقف خاروف كيلو</v>
      </c>
      <c r="E457" s="30" t="str">
        <f>VLOOKUP(B457, 'All Menu'!B:M, 2, 0)</f>
        <v>قسم الصالة</v>
      </c>
      <c r="F457" s="103" t="str">
        <f>VLOOKUP(B457, 'All Menu'!B:M, 3, 0)</f>
        <v>المشاوي صالة</v>
      </c>
      <c r="G457" s="90" t="s">
        <v>2257</v>
      </c>
      <c r="H457" s="188">
        <v>5281</v>
      </c>
      <c r="I457" s="110" t="str">
        <f>VLOOKUP(H457, 'RM &amp; SF'!B:H, 2, 0)</f>
        <v>بندوره مشاوي</v>
      </c>
      <c r="J457" s="184" t="str">
        <f>VLOOKUP(H457, 'RM &amp; SF'!B:E, 4, 0)</f>
        <v>غم</v>
      </c>
      <c r="K457" s="12">
        <v>200</v>
      </c>
      <c r="L457" s="13">
        <f>VLOOKUP(H457, 'RM &amp; SF'!B:H, 7, 0)</f>
        <v>4.0000000000000002E-4</v>
      </c>
      <c r="M457" s="7">
        <f t="shared" si="21"/>
        <v>0.08</v>
      </c>
      <c r="N457" s="4" t="s">
        <v>825</v>
      </c>
      <c r="O457" s="4">
        <f>VLOOKUP(B457, 'All Menu'!B:L, 6, 0)</f>
        <v>26.077586206896555</v>
      </c>
      <c r="P457" s="6">
        <f>VLOOKUP(B457, 'All Menu'!B:L, 9, 0)</f>
        <v>20.819963946834338</v>
      </c>
      <c r="Q457" s="14">
        <f>VLOOKUP(B457, 'All Menu'!B:M, 12, 0)</f>
        <v>0.20161460567511308</v>
      </c>
      <c r="R457" s="173">
        <f t="shared" si="22"/>
        <v>0</v>
      </c>
    </row>
    <row r="458" spans="1:18" ht="14" hidden="1">
      <c r="A458" s="78" t="s">
        <v>2750</v>
      </c>
      <c r="B458" s="220" t="s">
        <v>862</v>
      </c>
      <c r="C458" s="185"/>
      <c r="D458" s="103" t="str">
        <f>VLOOKUP(B458, 'All Menu'!B:M, 4, 0)</f>
        <v>شقف خاروف كيلو</v>
      </c>
      <c r="E458" s="30" t="str">
        <f>VLOOKUP(B458, 'All Menu'!B:M, 2, 0)</f>
        <v>قسم الصالة</v>
      </c>
      <c r="F458" s="103" t="str">
        <f>VLOOKUP(B458, 'All Menu'!B:M, 3, 0)</f>
        <v>المشاوي صالة</v>
      </c>
      <c r="G458" s="90" t="s">
        <v>2331</v>
      </c>
      <c r="H458" s="219" t="s">
        <v>530</v>
      </c>
      <c r="I458" s="110" t="str">
        <f>VLOOKUP(H458, 'RM &amp; SF'!B:H, 2, 0)</f>
        <v>خبز صاج</v>
      </c>
      <c r="J458" s="184" t="str">
        <f>VLOOKUP(H458, 'RM &amp; SF'!B:E, 4, 0)</f>
        <v>غم</v>
      </c>
      <c r="K458" s="12">
        <v>400</v>
      </c>
      <c r="L458" s="13">
        <f>VLOOKUP(H458, 'RM &amp; SF'!B:H, 7, 0)</f>
        <v>1.8806451612903227E-4</v>
      </c>
      <c r="M458" s="7">
        <f t="shared" si="21"/>
        <v>7.5225806451612906E-2</v>
      </c>
      <c r="N458" s="4" t="s">
        <v>825</v>
      </c>
      <c r="O458" s="4">
        <f>VLOOKUP(B458, 'All Menu'!B:L, 6, 0)</f>
        <v>26.077586206896555</v>
      </c>
      <c r="P458" s="6">
        <f>VLOOKUP(B458, 'All Menu'!B:L, 9, 0)</f>
        <v>20.819963946834338</v>
      </c>
      <c r="Q458" s="14">
        <f>VLOOKUP(B458, 'All Menu'!B:M, 12, 0)</f>
        <v>0.20161460567511308</v>
      </c>
      <c r="R458" s="173">
        <f t="shared" si="22"/>
        <v>0</v>
      </c>
    </row>
    <row r="459" spans="1:18" ht="14" hidden="1">
      <c r="A459" s="78" t="s">
        <v>2750</v>
      </c>
      <c r="B459" s="220" t="s">
        <v>862</v>
      </c>
      <c r="C459" s="185"/>
      <c r="D459" s="103" t="str">
        <f>VLOOKUP(B459, 'All Menu'!B:M, 4, 0)</f>
        <v>شقف خاروف كيلو</v>
      </c>
      <c r="E459" s="30" t="str">
        <f>VLOOKUP(B459, 'All Menu'!B:M, 2, 0)</f>
        <v>قسم الصالة</v>
      </c>
      <c r="F459" s="103" t="str">
        <f>VLOOKUP(B459, 'All Menu'!B:M, 3, 0)</f>
        <v>المشاوي صالة</v>
      </c>
      <c r="G459" s="90" t="s">
        <v>2231</v>
      </c>
      <c r="H459" s="188">
        <v>4499</v>
      </c>
      <c r="I459" s="110" t="str">
        <f>VLOOKUP(H459, 'RM &amp; SF'!B:H, 2, 0)</f>
        <v>فلفل حار اخضر*****</v>
      </c>
      <c r="J459" s="184" t="str">
        <f>VLOOKUP(H459, 'RM &amp; SF'!B:E, 4, 0)</f>
        <v>غم</v>
      </c>
      <c r="K459" s="12">
        <v>100</v>
      </c>
      <c r="L459" s="13">
        <f>VLOOKUP(H459, 'RM &amp; SF'!B:H, 7, 0)</f>
        <v>5.0000000000000001E-4</v>
      </c>
      <c r="M459" s="7">
        <f t="shared" si="21"/>
        <v>0.05</v>
      </c>
      <c r="N459" s="4" t="s">
        <v>825</v>
      </c>
      <c r="O459" s="4">
        <f>VLOOKUP(B459, 'All Menu'!B:L, 6, 0)</f>
        <v>26.077586206896555</v>
      </c>
      <c r="P459" s="6">
        <f>VLOOKUP(B459, 'All Menu'!B:L, 9, 0)</f>
        <v>20.819963946834338</v>
      </c>
      <c r="Q459" s="14">
        <f>VLOOKUP(B459, 'All Menu'!B:M, 12, 0)</f>
        <v>0.20161460567511308</v>
      </c>
      <c r="R459" s="173">
        <f t="shared" si="22"/>
        <v>0</v>
      </c>
    </row>
    <row r="460" spans="1:18" ht="14" hidden="1">
      <c r="A460" s="78" t="s">
        <v>2750</v>
      </c>
      <c r="B460" s="220" t="s">
        <v>862</v>
      </c>
      <c r="C460" s="185"/>
      <c r="D460" s="103" t="str">
        <f>VLOOKUP(B460, 'All Menu'!B:M, 4, 0)</f>
        <v>شقف خاروف كيلو</v>
      </c>
      <c r="E460" s="30" t="str">
        <f>VLOOKUP(B460, 'All Menu'!B:M, 2, 0)</f>
        <v>قسم الصالة</v>
      </c>
      <c r="F460" s="103" t="str">
        <f>VLOOKUP(B460, 'All Menu'!B:M, 3, 0)</f>
        <v>المشاوي صالة</v>
      </c>
      <c r="G460" s="90" t="s">
        <v>2397</v>
      </c>
      <c r="H460" s="219" t="s">
        <v>580</v>
      </c>
      <c r="I460" s="110" t="str">
        <f>VLOOKUP(H460, 'RM &amp; SF'!B:H, 2, 0)</f>
        <v>طحينة مشاوي</v>
      </c>
      <c r="J460" s="184" t="str">
        <f>VLOOKUP(H460, 'RM &amp; SF'!B:E, 4, 0)</f>
        <v>غم</v>
      </c>
      <c r="K460" s="12">
        <v>110</v>
      </c>
      <c r="L460" s="13">
        <f>VLOOKUP(H460, 'RM &amp; SF'!B:H, 7, 0)</f>
        <v>1.0841676434676436E-3</v>
      </c>
      <c r="M460" s="7">
        <f t="shared" si="21"/>
        <v>0.11925844078144079</v>
      </c>
      <c r="N460" s="4" t="s">
        <v>825</v>
      </c>
      <c r="O460" s="4">
        <f>VLOOKUP(B460, 'All Menu'!B:L, 6, 0)</f>
        <v>26.077586206896555</v>
      </c>
      <c r="P460" s="6">
        <f>VLOOKUP(B460, 'All Menu'!B:L, 9, 0)</f>
        <v>20.819963946834338</v>
      </c>
      <c r="Q460" s="14">
        <f>VLOOKUP(B460, 'All Menu'!B:M, 12, 0)</f>
        <v>0.20161460567511308</v>
      </c>
      <c r="R460" s="173">
        <f t="shared" si="22"/>
        <v>0</v>
      </c>
    </row>
    <row r="461" spans="1:18" ht="14" hidden="1">
      <c r="A461" s="78" t="s">
        <v>2750</v>
      </c>
      <c r="B461" s="220" t="s">
        <v>862</v>
      </c>
      <c r="C461" s="185"/>
      <c r="D461" s="103" t="str">
        <f>VLOOKUP(B461, 'All Menu'!B:M, 4, 0)</f>
        <v>شقف خاروف كيلو</v>
      </c>
      <c r="E461" s="30" t="str">
        <f>VLOOKUP(B461, 'All Menu'!B:M, 2, 0)</f>
        <v>قسم الصالة</v>
      </c>
      <c r="F461" s="103" t="str">
        <f>VLOOKUP(B461, 'All Menu'!B:M, 3, 0)</f>
        <v>المشاوي صالة</v>
      </c>
      <c r="G461" s="90" t="s">
        <v>2396</v>
      </c>
      <c r="H461" s="219" t="s">
        <v>582</v>
      </c>
      <c r="I461" s="110" t="str">
        <f>VLOOKUP(H461, 'RM &amp; SF'!B:H, 2, 0)</f>
        <v>بيواز</v>
      </c>
      <c r="J461" s="184" t="str">
        <f>VLOOKUP(H461, 'RM &amp; SF'!B:E, 4, 0)</f>
        <v>غم</v>
      </c>
      <c r="K461" s="12">
        <v>50</v>
      </c>
      <c r="L461" s="13">
        <f>VLOOKUP(H461, 'RM &amp; SF'!B:H, 7, 0)</f>
        <v>2.0666065869244635E-4</v>
      </c>
      <c r="M461" s="7">
        <f t="shared" si="21"/>
        <v>1.0333032934622318E-2</v>
      </c>
      <c r="N461" s="4" t="s">
        <v>825</v>
      </c>
      <c r="O461" s="4">
        <f>VLOOKUP(B461, 'All Menu'!B:L, 6, 0)</f>
        <v>26.077586206896555</v>
      </c>
      <c r="P461" s="6">
        <f>VLOOKUP(B461, 'All Menu'!B:L, 9, 0)</f>
        <v>20.819963946834338</v>
      </c>
      <c r="Q461" s="14">
        <f>VLOOKUP(B461, 'All Menu'!B:M, 12, 0)</f>
        <v>0.20161460567511308</v>
      </c>
      <c r="R461" s="173">
        <f t="shared" si="22"/>
        <v>0</v>
      </c>
    </row>
    <row r="462" spans="1:18" ht="14" hidden="1">
      <c r="A462" s="78" t="s">
        <v>2517</v>
      </c>
      <c r="B462" s="220" t="s">
        <v>864</v>
      </c>
      <c r="C462" s="185"/>
      <c r="D462" s="103" t="str">
        <f>VLOOKUP(B462, 'All Menu'!B:M, 4, 0)</f>
        <v>كباب مشوي كيلو</v>
      </c>
      <c r="E462" s="30" t="str">
        <f>VLOOKUP(B462, 'All Menu'!B:M, 2, 0)</f>
        <v>قسم الصالة</v>
      </c>
      <c r="F462" s="103" t="str">
        <f>VLOOKUP(B462, 'All Menu'!B:M, 3, 0)</f>
        <v>المشاوي صالة</v>
      </c>
      <c r="G462" s="90" t="s">
        <v>2453</v>
      </c>
      <c r="H462" s="219" t="s">
        <v>536</v>
      </c>
      <c r="I462" s="110" t="str">
        <f>VLOOKUP(H462, 'RM &amp; SF'!B:H, 2, 0)</f>
        <v>كباب</v>
      </c>
      <c r="J462" s="184" t="str">
        <f>VLOOKUP(H462, 'RM &amp; SF'!B:E, 4, 0)</f>
        <v>غم</v>
      </c>
      <c r="K462" s="12">
        <v>1000</v>
      </c>
      <c r="L462" s="13">
        <f>VLOOKUP(H462, 'RM &amp; SF'!B:H, 7, 0)</f>
        <v>1.1636090242685134E-2</v>
      </c>
      <c r="M462" s="7">
        <f t="shared" si="21"/>
        <v>11.636090242685134</v>
      </c>
      <c r="N462" s="4" t="s">
        <v>825</v>
      </c>
      <c r="O462" s="4">
        <f>VLOOKUP(B462, 'All Menu'!B:L, 6, 0)</f>
        <v>20.387931034482758</v>
      </c>
      <c r="P462" s="6">
        <f>VLOOKUP(B462, 'All Menu'!B:L, 9, 0)</f>
        <v>11.863700692697115</v>
      </c>
      <c r="Q462" s="14">
        <f>VLOOKUP(B462, 'All Menu'!B:M, 12, 0)</f>
        <v>0.41810178420597655</v>
      </c>
      <c r="R462" s="173">
        <f t="shared" si="22"/>
        <v>0</v>
      </c>
    </row>
    <row r="463" spans="1:18" ht="14" hidden="1">
      <c r="A463" s="78" t="s">
        <v>2517</v>
      </c>
      <c r="B463" s="220" t="s">
        <v>864</v>
      </c>
      <c r="C463" s="185"/>
      <c r="D463" s="103" t="str">
        <f>VLOOKUP(B463, 'All Menu'!B:M, 4, 0)</f>
        <v>كباب مشوي كيلو</v>
      </c>
      <c r="E463" s="30" t="str">
        <f>VLOOKUP(B463, 'All Menu'!B:M, 2, 0)</f>
        <v>قسم الصالة</v>
      </c>
      <c r="F463" s="103" t="str">
        <f>VLOOKUP(B463, 'All Menu'!B:M, 3, 0)</f>
        <v>المشاوي صالة</v>
      </c>
      <c r="G463" s="90" t="s">
        <v>2235</v>
      </c>
      <c r="H463" s="188">
        <v>4504</v>
      </c>
      <c r="I463" s="110" t="str">
        <f>VLOOKUP(H463, 'RM &amp; SF'!B:H, 2, 0)</f>
        <v>بصل مشاوي (بصل بيبي)***</v>
      </c>
      <c r="J463" s="184" t="str">
        <f>VLOOKUP(H463, 'RM &amp; SF'!B:E, 4, 0)</f>
        <v>غم</v>
      </c>
      <c r="K463" s="12">
        <v>120</v>
      </c>
      <c r="L463" s="13">
        <f>VLOOKUP(H463, 'RM &amp; SF'!B:H, 7, 0)</f>
        <v>3.5E-4</v>
      </c>
      <c r="M463" s="7">
        <f t="shared" si="21"/>
        <v>4.2000000000000003E-2</v>
      </c>
      <c r="N463" s="4" t="s">
        <v>825</v>
      </c>
      <c r="O463" s="4">
        <f>VLOOKUP(B463, 'All Menu'!B:L, 6, 0)</f>
        <v>20.387931034482758</v>
      </c>
      <c r="P463" s="6">
        <f>VLOOKUP(B463, 'All Menu'!B:L, 9, 0)</f>
        <v>11.863700692697115</v>
      </c>
      <c r="Q463" s="14">
        <f>VLOOKUP(B463, 'All Menu'!B:M, 12, 0)</f>
        <v>0.41810178420597655</v>
      </c>
      <c r="R463" s="173">
        <f t="shared" si="22"/>
        <v>0</v>
      </c>
    </row>
    <row r="464" spans="1:18" ht="14" hidden="1">
      <c r="A464" s="78" t="s">
        <v>2517</v>
      </c>
      <c r="B464" s="220" t="s">
        <v>864</v>
      </c>
      <c r="C464" s="185"/>
      <c r="D464" s="103" t="str">
        <f>VLOOKUP(B464, 'All Menu'!B:M, 4, 0)</f>
        <v>كباب مشوي كيلو</v>
      </c>
      <c r="E464" s="30" t="str">
        <f>VLOOKUP(B464, 'All Menu'!B:M, 2, 0)</f>
        <v>قسم الصالة</v>
      </c>
      <c r="F464" s="103" t="str">
        <f>VLOOKUP(B464, 'All Menu'!B:M, 3, 0)</f>
        <v>المشاوي صالة</v>
      </c>
      <c r="G464" s="90" t="s">
        <v>2257</v>
      </c>
      <c r="H464" s="188">
        <v>5281</v>
      </c>
      <c r="I464" s="110" t="str">
        <f>VLOOKUP(H464, 'RM &amp; SF'!B:H, 2, 0)</f>
        <v>بندوره مشاوي</v>
      </c>
      <c r="J464" s="184" t="str">
        <f>VLOOKUP(H464, 'RM &amp; SF'!B:E, 4, 0)</f>
        <v>غم</v>
      </c>
      <c r="K464" s="12">
        <v>140</v>
      </c>
      <c r="L464" s="13">
        <f>VLOOKUP(H464, 'RM &amp; SF'!B:H, 7, 0)</f>
        <v>4.0000000000000002E-4</v>
      </c>
      <c r="M464" s="7">
        <f t="shared" si="21"/>
        <v>5.6000000000000001E-2</v>
      </c>
      <c r="N464" s="4" t="s">
        <v>825</v>
      </c>
      <c r="O464" s="4">
        <f>VLOOKUP(B464, 'All Menu'!B:L, 6, 0)</f>
        <v>20.387931034482758</v>
      </c>
      <c r="P464" s="6">
        <f>VLOOKUP(B464, 'All Menu'!B:L, 9, 0)</f>
        <v>11.863700692697115</v>
      </c>
      <c r="Q464" s="14">
        <f>VLOOKUP(B464, 'All Menu'!B:M, 12, 0)</f>
        <v>0.41810178420597655</v>
      </c>
      <c r="R464" s="173">
        <f t="shared" si="22"/>
        <v>0</v>
      </c>
    </row>
    <row r="465" spans="1:18" ht="14" hidden="1">
      <c r="A465" s="78" t="s">
        <v>2517</v>
      </c>
      <c r="B465" s="220" t="s">
        <v>864</v>
      </c>
      <c r="C465" s="185"/>
      <c r="D465" s="103" t="str">
        <f>VLOOKUP(B465, 'All Menu'!B:M, 4, 0)</f>
        <v>كباب مشوي كيلو</v>
      </c>
      <c r="E465" s="30" t="str">
        <f>VLOOKUP(B465, 'All Menu'!B:M, 2, 0)</f>
        <v>قسم الصالة</v>
      </c>
      <c r="F465" s="103" t="str">
        <f>VLOOKUP(B465, 'All Menu'!B:M, 3, 0)</f>
        <v>المشاوي صالة</v>
      </c>
      <c r="G465" s="90" t="s">
        <v>2396</v>
      </c>
      <c r="H465" s="219" t="s">
        <v>582</v>
      </c>
      <c r="I465" s="110" t="str">
        <f>VLOOKUP(H465, 'RM &amp; SF'!B:H, 2, 0)</f>
        <v>بيواز</v>
      </c>
      <c r="J465" s="184" t="str">
        <f>VLOOKUP(H465, 'RM &amp; SF'!B:E, 4, 0)</f>
        <v>غم</v>
      </c>
      <c r="K465" s="12">
        <v>100</v>
      </c>
      <c r="L465" s="13">
        <f>VLOOKUP(H465, 'RM &amp; SF'!B:H, 7, 0)</f>
        <v>2.0666065869244635E-4</v>
      </c>
      <c r="M465" s="7">
        <f t="shared" si="21"/>
        <v>2.0666065869244635E-2</v>
      </c>
      <c r="N465" s="4" t="s">
        <v>825</v>
      </c>
      <c r="O465" s="4">
        <f>VLOOKUP(B465, 'All Menu'!B:L, 6, 0)</f>
        <v>20.387931034482758</v>
      </c>
      <c r="P465" s="6">
        <f>VLOOKUP(B465, 'All Menu'!B:L, 9, 0)</f>
        <v>11.863700692697115</v>
      </c>
      <c r="Q465" s="14">
        <f>VLOOKUP(B465, 'All Menu'!B:M, 12, 0)</f>
        <v>0.41810178420597655</v>
      </c>
      <c r="R465" s="173">
        <f t="shared" si="22"/>
        <v>0</v>
      </c>
    </row>
    <row r="466" spans="1:18" ht="14" hidden="1">
      <c r="A466" s="78" t="s">
        <v>2517</v>
      </c>
      <c r="B466" s="220" t="s">
        <v>864</v>
      </c>
      <c r="C466" s="185"/>
      <c r="D466" s="103" t="str">
        <f>VLOOKUP(B466, 'All Menu'!B:M, 4, 0)</f>
        <v>كباب مشوي كيلو</v>
      </c>
      <c r="E466" s="30" t="str">
        <f>VLOOKUP(B466, 'All Menu'!B:M, 2, 0)</f>
        <v>قسم الصالة</v>
      </c>
      <c r="F466" s="103" t="str">
        <f>VLOOKUP(B466, 'All Menu'!B:M, 3, 0)</f>
        <v>المشاوي صالة</v>
      </c>
      <c r="G466" s="90" t="s">
        <v>2331</v>
      </c>
      <c r="H466" s="219" t="s">
        <v>530</v>
      </c>
      <c r="I466" s="110" t="str">
        <f>VLOOKUP(H466, 'RM &amp; SF'!B:H, 2, 0)</f>
        <v>خبز صاج</v>
      </c>
      <c r="J466" s="184" t="str">
        <f>VLOOKUP(H466, 'RM &amp; SF'!B:E, 4, 0)</f>
        <v>غم</v>
      </c>
      <c r="K466" s="12">
        <v>300</v>
      </c>
      <c r="L466" s="13">
        <f>VLOOKUP(H466, 'RM &amp; SF'!B:H, 7, 0)</f>
        <v>1.8806451612903227E-4</v>
      </c>
      <c r="M466" s="7">
        <f t="shared" si="21"/>
        <v>5.6419354838709683E-2</v>
      </c>
      <c r="N466" s="4" t="s">
        <v>825</v>
      </c>
      <c r="O466" s="4">
        <f>VLOOKUP(B466, 'All Menu'!B:L, 6, 0)</f>
        <v>20.387931034482758</v>
      </c>
      <c r="P466" s="6">
        <f>VLOOKUP(B466, 'All Menu'!B:L, 9, 0)</f>
        <v>11.863700692697115</v>
      </c>
      <c r="Q466" s="14">
        <f>VLOOKUP(B466, 'All Menu'!B:M, 12, 0)</f>
        <v>0.41810178420597655</v>
      </c>
      <c r="R466" s="173">
        <f t="shared" si="22"/>
        <v>0</v>
      </c>
    </row>
    <row r="467" spans="1:18" ht="14" hidden="1">
      <c r="A467" s="78" t="s">
        <v>2517</v>
      </c>
      <c r="B467" s="220" t="s">
        <v>864</v>
      </c>
      <c r="C467" s="185"/>
      <c r="D467" s="103" t="str">
        <f>VLOOKUP(B467, 'All Menu'!B:M, 4, 0)</f>
        <v>كباب مشوي كيلو</v>
      </c>
      <c r="E467" s="30" t="str">
        <f>VLOOKUP(B467, 'All Menu'!B:M, 2, 0)</f>
        <v>قسم الصالة</v>
      </c>
      <c r="F467" s="103" t="str">
        <f>VLOOKUP(B467, 'All Menu'!B:M, 3, 0)</f>
        <v>المشاوي صالة</v>
      </c>
      <c r="G467" s="90" t="s">
        <v>2231</v>
      </c>
      <c r="H467" s="188">
        <v>4499</v>
      </c>
      <c r="I467" s="110" t="str">
        <f>VLOOKUP(H467, 'RM &amp; SF'!B:H, 2, 0)</f>
        <v>فلفل حار اخضر*****</v>
      </c>
      <c r="J467" s="184" t="str">
        <f>VLOOKUP(H467, 'RM &amp; SF'!B:E, 4, 0)</f>
        <v>غم</v>
      </c>
      <c r="K467" s="12">
        <v>40</v>
      </c>
      <c r="L467" s="13">
        <f>VLOOKUP(H467, 'RM &amp; SF'!B:H, 7, 0)</f>
        <v>5.0000000000000001E-4</v>
      </c>
      <c r="M467" s="7">
        <f t="shared" si="21"/>
        <v>0.02</v>
      </c>
      <c r="N467" s="4" t="s">
        <v>825</v>
      </c>
      <c r="O467" s="4">
        <f>VLOOKUP(B467, 'All Menu'!B:L, 6, 0)</f>
        <v>20.387931034482758</v>
      </c>
      <c r="P467" s="6">
        <f>VLOOKUP(B467, 'All Menu'!B:L, 9, 0)</f>
        <v>11.863700692697115</v>
      </c>
      <c r="Q467" s="14">
        <f>VLOOKUP(B467, 'All Menu'!B:M, 12, 0)</f>
        <v>0.41810178420597655</v>
      </c>
      <c r="R467" s="173">
        <f t="shared" si="22"/>
        <v>0</v>
      </c>
    </row>
    <row r="468" spans="1:18" ht="14" hidden="1">
      <c r="A468" s="78" t="s">
        <v>2517</v>
      </c>
      <c r="B468" s="220" t="s">
        <v>864</v>
      </c>
      <c r="C468" s="185"/>
      <c r="D468" s="103" t="str">
        <f>VLOOKUP(B468, 'All Menu'!B:M, 4, 0)</f>
        <v>كباب مشوي كيلو</v>
      </c>
      <c r="E468" s="30" t="str">
        <f>VLOOKUP(B468, 'All Menu'!B:M, 2, 0)</f>
        <v>قسم الصالة</v>
      </c>
      <c r="F468" s="103" t="str">
        <f>VLOOKUP(B468, 'All Menu'!B:M, 3, 0)</f>
        <v>المشاوي صالة</v>
      </c>
      <c r="G468" s="90" t="s">
        <v>2397</v>
      </c>
      <c r="H468" s="219" t="s">
        <v>580</v>
      </c>
      <c r="I468" s="110" t="str">
        <f>VLOOKUP(H468, 'RM &amp; SF'!B:H, 2, 0)</f>
        <v>طحينة مشاوي</v>
      </c>
      <c r="J468" s="184" t="str">
        <f>VLOOKUP(H468, 'RM &amp; SF'!B:E, 4, 0)</f>
        <v>غم</v>
      </c>
      <c r="K468" s="12">
        <v>30</v>
      </c>
      <c r="L468" s="13">
        <f>VLOOKUP(H468, 'RM &amp; SF'!B:H, 7, 0)</f>
        <v>1.0841676434676436E-3</v>
      </c>
      <c r="M468" s="7">
        <f t="shared" si="21"/>
        <v>3.2525029304029306E-2</v>
      </c>
      <c r="N468" s="4" t="s">
        <v>825</v>
      </c>
      <c r="O468" s="4">
        <f>VLOOKUP(B468, 'All Menu'!B:L, 6, 0)</f>
        <v>20.387931034482758</v>
      </c>
      <c r="P468" s="6">
        <f>VLOOKUP(B468, 'All Menu'!B:L, 9, 0)</f>
        <v>11.863700692697115</v>
      </c>
      <c r="Q468" s="14">
        <f>VLOOKUP(B468, 'All Menu'!B:M, 12, 0)</f>
        <v>0.41810178420597655</v>
      </c>
      <c r="R468" s="173">
        <f t="shared" si="22"/>
        <v>0</v>
      </c>
    </row>
    <row r="469" spans="1:18" ht="14" hidden="1">
      <c r="A469" s="78" t="s">
        <v>2519</v>
      </c>
      <c r="B469" s="220" t="s">
        <v>865</v>
      </c>
      <c r="C469" s="185"/>
      <c r="D469" s="103" t="str">
        <f>VLOOKUP(B469, 'All Menu'!B:M, 4, 0)</f>
        <v>شيش طاووق كيلو</v>
      </c>
      <c r="E469" s="30" t="str">
        <f>VLOOKUP(B469, 'All Menu'!B:M, 2, 0)</f>
        <v>قسم الصالة</v>
      </c>
      <c r="F469" s="103" t="str">
        <f>VLOOKUP(B469, 'All Menu'!B:M, 3, 0)</f>
        <v>المشاوي صالة</v>
      </c>
      <c r="G469" s="90" t="s">
        <v>2456</v>
      </c>
      <c r="H469" s="219" t="s">
        <v>506</v>
      </c>
      <c r="I469" s="110" t="str">
        <f>VLOOKUP(H469, 'RM &amp; SF'!B:H, 2, 0)</f>
        <v>شيش</v>
      </c>
      <c r="J469" s="184" t="str">
        <f>VLOOKUP(H469, 'RM &amp; SF'!B:E, 4, 0)</f>
        <v>غم</v>
      </c>
      <c r="K469" s="12">
        <v>1000</v>
      </c>
      <c r="L469" s="13">
        <f>VLOOKUP(H469, 'RM &amp; SF'!B:H, 7, 0)</f>
        <v>4.6721213030918281E-3</v>
      </c>
      <c r="M469" s="7">
        <f t="shared" si="21"/>
        <v>4.6721213030918278</v>
      </c>
      <c r="N469" s="4" t="s">
        <v>825</v>
      </c>
      <c r="O469" s="4">
        <f>VLOOKUP(B469, 'All Menu'!B:L, 6, 0)</f>
        <v>16.120689655172413</v>
      </c>
      <c r="P469" s="6">
        <f>VLOOKUP(B469, 'All Menu'!B:L, 9, 0)</f>
        <v>5.0645528621415128</v>
      </c>
      <c r="Q469" s="14">
        <f>VLOOKUP(B469, 'All Menu'!B:M, 12, 0)</f>
        <v>0.68583522352491144</v>
      </c>
      <c r="R469" s="173">
        <f t="shared" si="22"/>
        <v>0</v>
      </c>
    </row>
    <row r="470" spans="1:18" ht="14" hidden="1">
      <c r="A470" s="78" t="s">
        <v>2519</v>
      </c>
      <c r="B470" s="220" t="s">
        <v>865</v>
      </c>
      <c r="C470" s="185"/>
      <c r="D470" s="103" t="str">
        <f>VLOOKUP(B470, 'All Menu'!B:M, 4, 0)</f>
        <v>شيش طاووق كيلو</v>
      </c>
      <c r="E470" s="30" t="str">
        <f>VLOOKUP(B470, 'All Menu'!B:M, 2, 0)</f>
        <v>قسم الصالة</v>
      </c>
      <c r="F470" s="103" t="str">
        <f>VLOOKUP(B470, 'All Menu'!B:M, 3, 0)</f>
        <v>المشاوي صالة</v>
      </c>
      <c r="G470" s="90" t="s">
        <v>2235</v>
      </c>
      <c r="H470" s="188">
        <v>4504</v>
      </c>
      <c r="I470" s="110" t="str">
        <f>VLOOKUP(H470, 'RM &amp; SF'!B:H, 2, 0)</f>
        <v>بصل مشاوي (بصل بيبي)***</v>
      </c>
      <c r="J470" s="184" t="str">
        <f>VLOOKUP(H470, 'RM &amp; SF'!B:E, 4, 0)</f>
        <v>غم</v>
      </c>
      <c r="K470" s="12">
        <v>120</v>
      </c>
      <c r="L470" s="13">
        <f>VLOOKUP(H470, 'RM &amp; SF'!B:H, 7, 0)</f>
        <v>3.5E-4</v>
      </c>
      <c r="M470" s="7">
        <f t="shared" si="21"/>
        <v>4.2000000000000003E-2</v>
      </c>
      <c r="N470" s="4" t="s">
        <v>825</v>
      </c>
      <c r="O470" s="4">
        <f>VLOOKUP(B470, 'All Menu'!B:L, 6, 0)</f>
        <v>16.120689655172413</v>
      </c>
      <c r="P470" s="6">
        <f>VLOOKUP(B470, 'All Menu'!B:L, 9, 0)</f>
        <v>5.0645528621415128</v>
      </c>
      <c r="Q470" s="14">
        <f>VLOOKUP(B470, 'All Menu'!B:M, 12, 0)</f>
        <v>0.68583522352491144</v>
      </c>
      <c r="R470" s="173">
        <f t="shared" si="22"/>
        <v>0</v>
      </c>
    </row>
    <row r="471" spans="1:18" ht="14" hidden="1">
      <c r="A471" s="78" t="s">
        <v>2519</v>
      </c>
      <c r="B471" s="220" t="s">
        <v>865</v>
      </c>
      <c r="C471" s="185"/>
      <c r="D471" s="103" t="str">
        <f>VLOOKUP(B471, 'All Menu'!B:M, 4, 0)</f>
        <v>شيش طاووق كيلو</v>
      </c>
      <c r="E471" s="30" t="str">
        <f>VLOOKUP(B471, 'All Menu'!B:M, 2, 0)</f>
        <v>قسم الصالة</v>
      </c>
      <c r="F471" s="103" t="str">
        <f>VLOOKUP(B471, 'All Menu'!B:M, 3, 0)</f>
        <v>المشاوي صالة</v>
      </c>
      <c r="G471" s="90" t="s">
        <v>2257</v>
      </c>
      <c r="H471" s="188">
        <v>5281</v>
      </c>
      <c r="I471" s="110" t="str">
        <f>VLOOKUP(H471, 'RM &amp; SF'!B:H, 2, 0)</f>
        <v>بندوره مشاوي</v>
      </c>
      <c r="J471" s="184" t="str">
        <f>VLOOKUP(H471, 'RM &amp; SF'!B:E, 4, 0)</f>
        <v>غم</v>
      </c>
      <c r="K471" s="12">
        <v>140</v>
      </c>
      <c r="L471" s="13">
        <f>VLOOKUP(H471, 'RM &amp; SF'!B:H, 7, 0)</f>
        <v>4.0000000000000002E-4</v>
      </c>
      <c r="M471" s="7">
        <f t="shared" si="21"/>
        <v>5.6000000000000001E-2</v>
      </c>
      <c r="N471" s="4" t="s">
        <v>825</v>
      </c>
      <c r="O471" s="4">
        <f>VLOOKUP(B471, 'All Menu'!B:L, 6, 0)</f>
        <v>16.120689655172413</v>
      </c>
      <c r="P471" s="6">
        <f>VLOOKUP(B471, 'All Menu'!B:L, 9, 0)</f>
        <v>5.0645528621415128</v>
      </c>
      <c r="Q471" s="14">
        <f>VLOOKUP(B471, 'All Menu'!B:M, 12, 0)</f>
        <v>0.68583522352491144</v>
      </c>
      <c r="R471" s="173">
        <f t="shared" si="22"/>
        <v>0</v>
      </c>
    </row>
    <row r="472" spans="1:18" ht="14" hidden="1">
      <c r="A472" s="78" t="s">
        <v>2519</v>
      </c>
      <c r="B472" s="220" t="s">
        <v>865</v>
      </c>
      <c r="C472" s="185"/>
      <c r="D472" s="103" t="str">
        <f>VLOOKUP(B472, 'All Menu'!B:M, 4, 0)</f>
        <v>شيش طاووق كيلو</v>
      </c>
      <c r="E472" s="30" t="str">
        <f>VLOOKUP(B472, 'All Menu'!B:M, 2, 0)</f>
        <v>قسم الصالة</v>
      </c>
      <c r="F472" s="103" t="str">
        <f>VLOOKUP(B472, 'All Menu'!B:M, 3, 0)</f>
        <v>المشاوي صالة</v>
      </c>
      <c r="G472" s="90" t="s">
        <v>2396</v>
      </c>
      <c r="H472" s="219" t="s">
        <v>582</v>
      </c>
      <c r="I472" s="110" t="str">
        <f>VLOOKUP(H472, 'RM &amp; SF'!B:H, 2, 0)</f>
        <v>بيواز</v>
      </c>
      <c r="J472" s="184" t="str">
        <f>VLOOKUP(H472, 'RM &amp; SF'!B:E, 4, 0)</f>
        <v>غم</v>
      </c>
      <c r="K472" s="12">
        <v>100</v>
      </c>
      <c r="L472" s="13">
        <f>VLOOKUP(H472, 'RM &amp; SF'!B:H, 7, 0)</f>
        <v>2.0666065869244635E-4</v>
      </c>
      <c r="M472" s="7">
        <f t="shared" si="21"/>
        <v>2.0666065869244635E-2</v>
      </c>
      <c r="N472" s="4" t="s">
        <v>825</v>
      </c>
      <c r="O472" s="4">
        <f>VLOOKUP(B472, 'All Menu'!B:L, 6, 0)</f>
        <v>16.120689655172413</v>
      </c>
      <c r="P472" s="6">
        <f>VLOOKUP(B472, 'All Menu'!B:L, 9, 0)</f>
        <v>5.0645528621415128</v>
      </c>
      <c r="Q472" s="14">
        <f>VLOOKUP(B472, 'All Menu'!B:M, 12, 0)</f>
        <v>0.68583522352491144</v>
      </c>
      <c r="R472" s="173">
        <f t="shared" si="22"/>
        <v>0</v>
      </c>
    </row>
    <row r="473" spans="1:18" ht="14" hidden="1">
      <c r="A473" s="78" t="s">
        <v>2519</v>
      </c>
      <c r="B473" s="220" t="s">
        <v>865</v>
      </c>
      <c r="C473" s="185"/>
      <c r="D473" s="103" t="str">
        <f>VLOOKUP(B473, 'All Menu'!B:M, 4, 0)</f>
        <v>شيش طاووق كيلو</v>
      </c>
      <c r="E473" s="30" t="str">
        <f>VLOOKUP(B473, 'All Menu'!B:M, 2, 0)</f>
        <v>قسم الصالة</v>
      </c>
      <c r="F473" s="103" t="str">
        <f>VLOOKUP(B473, 'All Menu'!B:M, 3, 0)</f>
        <v>المشاوي صالة</v>
      </c>
      <c r="G473" s="90" t="s">
        <v>2331</v>
      </c>
      <c r="H473" s="219" t="s">
        <v>530</v>
      </c>
      <c r="I473" s="110" t="str">
        <f>VLOOKUP(H473, 'RM &amp; SF'!B:H, 2, 0)</f>
        <v>خبز صاج</v>
      </c>
      <c r="J473" s="184" t="str">
        <f>VLOOKUP(H473, 'RM &amp; SF'!B:E, 4, 0)</f>
        <v>غم</v>
      </c>
      <c r="K473" s="12">
        <v>300</v>
      </c>
      <c r="L473" s="13">
        <f>VLOOKUP(H473, 'RM &amp; SF'!B:H, 7, 0)</f>
        <v>1.8806451612903227E-4</v>
      </c>
      <c r="M473" s="7">
        <f t="shared" si="21"/>
        <v>5.6419354838709683E-2</v>
      </c>
      <c r="N473" s="4" t="s">
        <v>825</v>
      </c>
      <c r="O473" s="4">
        <f>VLOOKUP(B473, 'All Menu'!B:L, 6, 0)</f>
        <v>16.120689655172413</v>
      </c>
      <c r="P473" s="6">
        <f>VLOOKUP(B473, 'All Menu'!B:L, 9, 0)</f>
        <v>5.0645528621415128</v>
      </c>
      <c r="Q473" s="14">
        <f>VLOOKUP(B473, 'All Menu'!B:M, 12, 0)</f>
        <v>0.68583522352491144</v>
      </c>
      <c r="R473" s="173">
        <f t="shared" si="22"/>
        <v>0</v>
      </c>
    </row>
    <row r="474" spans="1:18" ht="14" hidden="1">
      <c r="A474" s="78" t="s">
        <v>2519</v>
      </c>
      <c r="B474" s="220" t="s">
        <v>865</v>
      </c>
      <c r="C474" s="185"/>
      <c r="D474" s="103" t="str">
        <f>VLOOKUP(B474, 'All Menu'!B:M, 4, 0)</f>
        <v>شيش طاووق كيلو</v>
      </c>
      <c r="E474" s="30" t="str">
        <f>VLOOKUP(B474, 'All Menu'!B:M, 2, 0)</f>
        <v>قسم الصالة</v>
      </c>
      <c r="F474" s="103" t="str">
        <f>VLOOKUP(B474, 'All Menu'!B:M, 3, 0)</f>
        <v>المشاوي صالة</v>
      </c>
      <c r="G474" s="90" t="s">
        <v>2231</v>
      </c>
      <c r="H474" s="188">
        <v>4499</v>
      </c>
      <c r="I474" s="110" t="str">
        <f>VLOOKUP(H474, 'RM &amp; SF'!B:H, 2, 0)</f>
        <v>فلفل حار اخضر*****</v>
      </c>
      <c r="J474" s="184" t="str">
        <f>VLOOKUP(H474, 'RM &amp; SF'!B:E, 4, 0)</f>
        <v>غم</v>
      </c>
      <c r="K474" s="12">
        <v>40</v>
      </c>
      <c r="L474" s="13">
        <f>VLOOKUP(H474, 'RM &amp; SF'!B:H, 7, 0)</f>
        <v>5.0000000000000001E-4</v>
      </c>
      <c r="M474" s="7">
        <f t="shared" si="21"/>
        <v>0.02</v>
      </c>
      <c r="N474" s="4" t="s">
        <v>825</v>
      </c>
      <c r="O474" s="4">
        <f>VLOOKUP(B474, 'All Menu'!B:L, 6, 0)</f>
        <v>16.120689655172413</v>
      </c>
      <c r="P474" s="6">
        <f>VLOOKUP(B474, 'All Menu'!B:L, 9, 0)</f>
        <v>5.0645528621415128</v>
      </c>
      <c r="Q474" s="14">
        <f>VLOOKUP(B474, 'All Menu'!B:M, 12, 0)</f>
        <v>0.68583522352491144</v>
      </c>
      <c r="R474" s="173">
        <f t="shared" si="22"/>
        <v>0</v>
      </c>
    </row>
    <row r="475" spans="1:18" ht="14" hidden="1">
      <c r="A475" s="78" t="s">
        <v>2519</v>
      </c>
      <c r="B475" s="220" t="s">
        <v>865</v>
      </c>
      <c r="C475" s="185"/>
      <c r="D475" s="103" t="str">
        <f>VLOOKUP(B475, 'All Menu'!B:M, 4, 0)</f>
        <v>شيش طاووق كيلو</v>
      </c>
      <c r="E475" s="30" t="str">
        <f>VLOOKUP(B475, 'All Menu'!B:M, 2, 0)</f>
        <v>قسم الصالة</v>
      </c>
      <c r="F475" s="103" t="str">
        <f>VLOOKUP(B475, 'All Menu'!B:M, 3, 0)</f>
        <v>المشاوي صالة</v>
      </c>
      <c r="G475" s="90" t="s">
        <v>2325</v>
      </c>
      <c r="H475" s="219" t="s">
        <v>534</v>
      </c>
      <c r="I475" s="110" t="str">
        <f>VLOOKUP(H475, 'RM &amp; SF'!B:H, 2, 0)</f>
        <v>مثومه</v>
      </c>
      <c r="J475" s="184" t="str">
        <f>VLOOKUP(H475, 'RM &amp; SF'!B:E, 4, 0)</f>
        <v>غم</v>
      </c>
      <c r="K475" s="12">
        <v>150</v>
      </c>
      <c r="L475" s="13">
        <f>VLOOKUP(H475, 'RM &amp; SF'!B:H, 7, 0)</f>
        <v>6.6564092227821051E-4</v>
      </c>
      <c r="M475" s="7">
        <f t="shared" si="21"/>
        <v>9.9846138341731575E-2</v>
      </c>
      <c r="N475" s="4" t="s">
        <v>825</v>
      </c>
      <c r="O475" s="4">
        <f>VLOOKUP(B475, 'All Menu'!B:L, 6, 0)</f>
        <v>16.120689655172413</v>
      </c>
      <c r="P475" s="6">
        <f>VLOOKUP(B475, 'All Menu'!B:L, 9, 0)</f>
        <v>5.0645528621415128</v>
      </c>
      <c r="Q475" s="14">
        <f>VLOOKUP(B475, 'All Menu'!B:M, 12, 0)</f>
        <v>0.68583522352491144</v>
      </c>
      <c r="R475" s="173">
        <f t="shared" si="22"/>
        <v>0</v>
      </c>
    </row>
    <row r="476" spans="1:18" ht="14" hidden="1">
      <c r="A476" s="78" t="s">
        <v>2519</v>
      </c>
      <c r="B476" s="220" t="s">
        <v>865</v>
      </c>
      <c r="C476" s="185"/>
      <c r="D476" s="103" t="str">
        <f>VLOOKUP(B476, 'All Menu'!B:M, 4, 0)</f>
        <v>شيش طاووق كيلو</v>
      </c>
      <c r="E476" s="30" t="str">
        <f>VLOOKUP(B476, 'All Menu'!B:M, 2, 0)</f>
        <v>قسم الصالة</v>
      </c>
      <c r="F476" s="103" t="str">
        <f>VLOOKUP(B476, 'All Menu'!B:M, 3, 0)</f>
        <v>المشاوي صالة</v>
      </c>
      <c r="G476" s="90" t="s">
        <v>3058</v>
      </c>
      <c r="H476" s="188">
        <v>4483</v>
      </c>
      <c r="I476" s="110" t="str">
        <f>VLOOKUP(H476, 'RM &amp; SF'!B:H, 2, 0)</f>
        <v>مخلل مشكل 10 كغ*****</v>
      </c>
      <c r="J476" s="184" t="str">
        <f>VLOOKUP(H476, 'RM &amp; SF'!B:E, 4, 0)</f>
        <v>غم</v>
      </c>
      <c r="K476" s="12">
        <v>150</v>
      </c>
      <c r="L476" s="13">
        <f>VLOOKUP(H476, 'RM &amp; SF'!B:H, 7, 0)</f>
        <v>6.4999999999999997E-4</v>
      </c>
      <c r="M476" s="7">
        <f t="shared" si="21"/>
        <v>9.7499999999999989E-2</v>
      </c>
      <c r="N476" s="4" t="s">
        <v>825</v>
      </c>
      <c r="O476" s="4">
        <f>VLOOKUP(B476, 'All Menu'!B:L, 6, 0)</f>
        <v>16.120689655172413</v>
      </c>
      <c r="P476" s="6">
        <f>VLOOKUP(B476, 'All Menu'!B:L, 9, 0)</f>
        <v>5.0645528621415128</v>
      </c>
      <c r="Q476" s="14">
        <f>VLOOKUP(B476, 'All Menu'!B:M, 12, 0)</f>
        <v>0.68583522352491144</v>
      </c>
      <c r="R476" s="173">
        <f t="shared" si="22"/>
        <v>0</v>
      </c>
    </row>
    <row r="477" spans="1:18" ht="14" hidden="1">
      <c r="A477" s="78" t="s">
        <v>2526</v>
      </c>
      <c r="B477" s="220" t="s">
        <v>866</v>
      </c>
      <c r="C477" s="185"/>
      <c r="D477" s="103" t="str">
        <f>VLOOKUP(B477, 'All Menu'!B:M, 4, 0)</f>
        <v>ريش خاروف مشوية كيلو</v>
      </c>
      <c r="E477" s="30" t="str">
        <f>VLOOKUP(B477, 'All Menu'!B:M, 2, 0)</f>
        <v>قسم الصالة</v>
      </c>
      <c r="F477" s="103" t="str">
        <f>VLOOKUP(B477, 'All Menu'!B:M, 3, 0)</f>
        <v>المشاوي صالة</v>
      </c>
      <c r="G477" s="90" t="s">
        <v>3058</v>
      </c>
      <c r="H477" s="188">
        <v>4614</v>
      </c>
      <c r="I477" s="110" t="str">
        <f>VLOOKUP(H477, 'RM &amp; SF'!B:H, 2, 0)</f>
        <v>ريش ضأن متبلة*****</v>
      </c>
      <c r="J477" s="184" t="str">
        <f>VLOOKUP(H477, 'RM &amp; SF'!B:E, 4, 0)</f>
        <v>غم</v>
      </c>
      <c r="K477" s="12">
        <v>1000</v>
      </c>
      <c r="L477" s="13">
        <f>VLOOKUP(H477, 'RM &amp; SF'!B:H, 7, 0)</f>
        <v>1.4E-2</v>
      </c>
      <c r="M477" s="7">
        <f t="shared" ref="M477:M531" si="26">L477*K477</f>
        <v>14</v>
      </c>
      <c r="N477" s="4" t="s">
        <v>825</v>
      </c>
      <c r="O477" s="4">
        <f>VLOOKUP(B477, 'All Menu'!B:L, 6, 0)</f>
        <v>21.551724137931036</v>
      </c>
      <c r="P477" s="6">
        <f>VLOOKUP(B477, 'All Menu'!B:L, 9, 0)</f>
        <v>14.195085420707953</v>
      </c>
      <c r="Q477" s="14">
        <f>VLOOKUP(B477, 'All Menu'!B:M, 12, 0)</f>
        <v>0.34134803647915102</v>
      </c>
      <c r="R477" s="173">
        <f t="shared" si="22"/>
        <v>0</v>
      </c>
    </row>
    <row r="478" spans="1:18" ht="14" hidden="1">
      <c r="A478" s="78" t="s">
        <v>2526</v>
      </c>
      <c r="B478" s="220" t="s">
        <v>866</v>
      </c>
      <c r="C478" s="185"/>
      <c r="D478" s="103" t="str">
        <f>VLOOKUP(B478, 'All Menu'!B:M, 4, 0)</f>
        <v>ريش خاروف مشوية كيلو</v>
      </c>
      <c r="E478" s="30" t="str">
        <f>VLOOKUP(B478, 'All Menu'!B:M, 2, 0)</f>
        <v>قسم الصالة</v>
      </c>
      <c r="F478" s="103" t="str">
        <f>VLOOKUP(B478, 'All Menu'!B:M, 3, 0)</f>
        <v>المشاوي صالة</v>
      </c>
      <c r="G478" s="90" t="s">
        <v>2235</v>
      </c>
      <c r="H478" s="188">
        <v>4504</v>
      </c>
      <c r="I478" s="110" t="str">
        <f>VLOOKUP(H478, 'RM &amp; SF'!B:H, 2, 0)</f>
        <v>بصل مشاوي (بصل بيبي)***</v>
      </c>
      <c r="J478" s="184" t="str">
        <f>VLOOKUP(H478, 'RM &amp; SF'!B:E, 4, 0)</f>
        <v>غم</v>
      </c>
      <c r="K478" s="12">
        <v>120</v>
      </c>
      <c r="L478" s="13">
        <f>VLOOKUP(H478, 'RM &amp; SF'!B:H, 7, 0)</f>
        <v>3.5E-4</v>
      </c>
      <c r="M478" s="7">
        <f t="shared" si="26"/>
        <v>4.2000000000000003E-2</v>
      </c>
      <c r="N478" s="4" t="s">
        <v>825</v>
      </c>
      <c r="O478" s="4">
        <f>VLOOKUP(B478, 'All Menu'!B:L, 6, 0)</f>
        <v>21.551724137931036</v>
      </c>
      <c r="P478" s="6">
        <f>VLOOKUP(B478, 'All Menu'!B:L, 9, 0)</f>
        <v>14.195085420707953</v>
      </c>
      <c r="Q478" s="14">
        <f>VLOOKUP(B478, 'All Menu'!B:M, 12, 0)</f>
        <v>0.34134803647915102</v>
      </c>
      <c r="R478" s="173">
        <f t="shared" si="22"/>
        <v>0</v>
      </c>
    </row>
    <row r="479" spans="1:18" ht="14" hidden="1">
      <c r="A479" s="78" t="s">
        <v>2526</v>
      </c>
      <c r="B479" s="220" t="s">
        <v>866</v>
      </c>
      <c r="C479" s="185"/>
      <c r="D479" s="103" t="str">
        <f>VLOOKUP(B479, 'All Menu'!B:M, 4, 0)</f>
        <v>ريش خاروف مشوية كيلو</v>
      </c>
      <c r="E479" s="30" t="str">
        <f>VLOOKUP(B479, 'All Menu'!B:M, 2, 0)</f>
        <v>قسم الصالة</v>
      </c>
      <c r="F479" s="103" t="str">
        <f>VLOOKUP(B479, 'All Menu'!B:M, 3, 0)</f>
        <v>المشاوي صالة</v>
      </c>
      <c r="G479" s="90" t="s">
        <v>2257</v>
      </c>
      <c r="H479" s="188">
        <v>5281</v>
      </c>
      <c r="I479" s="110" t="str">
        <f>VLOOKUP(H479, 'RM &amp; SF'!B:H, 2, 0)</f>
        <v>بندوره مشاوي</v>
      </c>
      <c r="J479" s="184" t="str">
        <f>VLOOKUP(H479, 'RM &amp; SF'!B:E, 4, 0)</f>
        <v>غم</v>
      </c>
      <c r="K479" s="12">
        <v>140</v>
      </c>
      <c r="L479" s="13">
        <f>VLOOKUP(H479, 'RM &amp; SF'!B:H, 7, 0)</f>
        <v>4.0000000000000002E-4</v>
      </c>
      <c r="M479" s="7">
        <f t="shared" si="26"/>
        <v>5.6000000000000001E-2</v>
      </c>
      <c r="N479" s="4" t="s">
        <v>825</v>
      </c>
      <c r="O479" s="4">
        <f>VLOOKUP(B479, 'All Menu'!B:L, 6, 0)</f>
        <v>21.551724137931036</v>
      </c>
      <c r="P479" s="6">
        <f>VLOOKUP(B479, 'All Menu'!B:L, 9, 0)</f>
        <v>14.195085420707953</v>
      </c>
      <c r="Q479" s="14">
        <f>VLOOKUP(B479, 'All Menu'!B:M, 12, 0)</f>
        <v>0.34134803647915102</v>
      </c>
      <c r="R479" s="173">
        <f t="shared" si="22"/>
        <v>0</v>
      </c>
    </row>
    <row r="480" spans="1:18" ht="14" hidden="1">
      <c r="A480" s="78" t="s">
        <v>2526</v>
      </c>
      <c r="B480" s="220" t="s">
        <v>866</v>
      </c>
      <c r="C480" s="185"/>
      <c r="D480" s="103" t="str">
        <f>VLOOKUP(B480, 'All Menu'!B:M, 4, 0)</f>
        <v>ريش خاروف مشوية كيلو</v>
      </c>
      <c r="E480" s="30" t="str">
        <f>VLOOKUP(B480, 'All Menu'!B:M, 2, 0)</f>
        <v>قسم الصالة</v>
      </c>
      <c r="F480" s="103" t="str">
        <f>VLOOKUP(B480, 'All Menu'!B:M, 3, 0)</f>
        <v>المشاوي صالة</v>
      </c>
      <c r="G480" s="90" t="s">
        <v>2396</v>
      </c>
      <c r="H480" s="219" t="s">
        <v>582</v>
      </c>
      <c r="I480" s="110" t="str">
        <f>VLOOKUP(H480, 'RM &amp; SF'!B:H, 2, 0)</f>
        <v>بيواز</v>
      </c>
      <c r="J480" s="184" t="str">
        <f>VLOOKUP(H480, 'RM &amp; SF'!B:E, 4, 0)</f>
        <v>غم</v>
      </c>
      <c r="K480" s="12">
        <v>100</v>
      </c>
      <c r="L480" s="13">
        <f>VLOOKUP(H480, 'RM &amp; SF'!B:H, 7, 0)</f>
        <v>2.0666065869244635E-4</v>
      </c>
      <c r="M480" s="7">
        <f t="shared" si="26"/>
        <v>2.0666065869244635E-2</v>
      </c>
      <c r="N480" s="4" t="s">
        <v>825</v>
      </c>
      <c r="O480" s="4">
        <f>VLOOKUP(B480, 'All Menu'!B:L, 6, 0)</f>
        <v>21.551724137931036</v>
      </c>
      <c r="P480" s="6">
        <f>VLOOKUP(B480, 'All Menu'!B:L, 9, 0)</f>
        <v>14.195085420707953</v>
      </c>
      <c r="Q480" s="14">
        <f>VLOOKUP(B480, 'All Menu'!B:M, 12, 0)</f>
        <v>0.34134803647915102</v>
      </c>
      <c r="R480" s="173">
        <f t="shared" si="22"/>
        <v>0</v>
      </c>
    </row>
    <row r="481" spans="1:18" ht="14" hidden="1">
      <c r="A481" s="78" t="s">
        <v>2526</v>
      </c>
      <c r="B481" s="220" t="s">
        <v>866</v>
      </c>
      <c r="C481" s="185"/>
      <c r="D481" s="103" t="str">
        <f>VLOOKUP(B481, 'All Menu'!B:M, 4, 0)</f>
        <v>ريش خاروف مشوية كيلو</v>
      </c>
      <c r="E481" s="30" t="str">
        <f>VLOOKUP(B481, 'All Menu'!B:M, 2, 0)</f>
        <v>قسم الصالة</v>
      </c>
      <c r="F481" s="103" t="str">
        <f>VLOOKUP(B481, 'All Menu'!B:M, 3, 0)</f>
        <v>المشاوي صالة</v>
      </c>
      <c r="G481" s="90" t="s">
        <v>2331</v>
      </c>
      <c r="H481" s="219" t="s">
        <v>530</v>
      </c>
      <c r="I481" s="110" t="str">
        <f>VLOOKUP(H481, 'RM &amp; SF'!B:H, 2, 0)</f>
        <v>خبز صاج</v>
      </c>
      <c r="J481" s="184" t="str">
        <f>VLOOKUP(H481, 'RM &amp; SF'!B:E, 4, 0)</f>
        <v>غم</v>
      </c>
      <c r="K481" s="12">
        <v>300</v>
      </c>
      <c r="L481" s="13">
        <f>VLOOKUP(H481, 'RM &amp; SF'!B:H, 7, 0)</f>
        <v>1.8806451612903227E-4</v>
      </c>
      <c r="M481" s="7">
        <f t="shared" si="26"/>
        <v>5.6419354838709683E-2</v>
      </c>
      <c r="N481" s="4" t="s">
        <v>825</v>
      </c>
      <c r="O481" s="4">
        <f>VLOOKUP(B481, 'All Menu'!B:L, 6, 0)</f>
        <v>21.551724137931036</v>
      </c>
      <c r="P481" s="6">
        <f>VLOOKUP(B481, 'All Menu'!B:L, 9, 0)</f>
        <v>14.195085420707953</v>
      </c>
      <c r="Q481" s="14">
        <f>VLOOKUP(B481, 'All Menu'!B:M, 12, 0)</f>
        <v>0.34134803647915102</v>
      </c>
      <c r="R481" s="173">
        <f t="shared" si="22"/>
        <v>0</v>
      </c>
    </row>
    <row r="482" spans="1:18" ht="14" hidden="1">
      <c r="A482" s="78" t="s">
        <v>2526</v>
      </c>
      <c r="B482" s="220" t="s">
        <v>866</v>
      </c>
      <c r="C482" s="185"/>
      <c r="D482" s="103" t="str">
        <f>VLOOKUP(B482, 'All Menu'!B:M, 4, 0)</f>
        <v>ريش خاروف مشوية كيلو</v>
      </c>
      <c r="E482" s="30" t="str">
        <f>VLOOKUP(B482, 'All Menu'!B:M, 2, 0)</f>
        <v>قسم الصالة</v>
      </c>
      <c r="F482" s="103" t="str">
        <f>VLOOKUP(B482, 'All Menu'!B:M, 3, 0)</f>
        <v>المشاوي صالة</v>
      </c>
      <c r="G482" s="90" t="s">
        <v>2231</v>
      </c>
      <c r="H482" s="188">
        <v>4499</v>
      </c>
      <c r="I482" s="110" t="str">
        <f>VLOOKUP(H482, 'RM &amp; SF'!B:H, 2, 0)</f>
        <v>فلفل حار اخضر*****</v>
      </c>
      <c r="J482" s="184" t="str">
        <f>VLOOKUP(H482, 'RM &amp; SF'!B:E, 4, 0)</f>
        <v>غم</v>
      </c>
      <c r="K482" s="12">
        <v>40</v>
      </c>
      <c r="L482" s="13">
        <f>VLOOKUP(H482, 'RM &amp; SF'!B:H, 7, 0)</f>
        <v>5.0000000000000001E-4</v>
      </c>
      <c r="M482" s="7">
        <f t="shared" si="26"/>
        <v>0.02</v>
      </c>
      <c r="N482" s="4" t="s">
        <v>825</v>
      </c>
      <c r="O482" s="4">
        <f>VLOOKUP(B482, 'All Menu'!B:L, 6, 0)</f>
        <v>21.551724137931036</v>
      </c>
      <c r="P482" s="6">
        <f>VLOOKUP(B482, 'All Menu'!B:L, 9, 0)</f>
        <v>14.195085420707953</v>
      </c>
      <c r="Q482" s="14">
        <f>VLOOKUP(B482, 'All Menu'!B:M, 12, 0)</f>
        <v>0.34134803647915102</v>
      </c>
      <c r="R482" s="173">
        <f t="shared" si="22"/>
        <v>0</v>
      </c>
    </row>
    <row r="483" spans="1:18" ht="14" hidden="1">
      <c r="A483" s="78" t="s">
        <v>2515</v>
      </c>
      <c r="B483" s="220" t="s">
        <v>868</v>
      </c>
      <c r="C483" s="185"/>
      <c r="D483" s="103" t="str">
        <f>VLOOKUP(B483, 'All Menu'!B:M, 4, 0)</f>
        <v>شقف خاروف نص كيلو</v>
      </c>
      <c r="E483" s="30" t="str">
        <f>VLOOKUP(B483, 'All Menu'!B:M, 2, 0)</f>
        <v>قسم الصالة</v>
      </c>
      <c r="F483" s="103" t="str">
        <f>VLOOKUP(B483, 'All Menu'!B:M, 3, 0)</f>
        <v>المشاوي صالة</v>
      </c>
      <c r="G483" s="90" t="s">
        <v>2452</v>
      </c>
      <c r="H483" s="219" t="s">
        <v>528</v>
      </c>
      <c r="I483" s="110" t="str">
        <f>VLOOKUP(H483, 'RM &amp; SF'!B:H, 2, 0)</f>
        <v>شقف متبلة</v>
      </c>
      <c r="J483" s="184" t="str">
        <f>VLOOKUP(H483, 'RM &amp; SF'!B:E, 4, 0)</f>
        <v>غم</v>
      </c>
      <c r="K483" s="12">
        <v>500</v>
      </c>
      <c r="L483" s="13">
        <f>VLOOKUP(H483, 'RM &amp; SF'!B:H, 7, 0)</f>
        <v>2.0415146666666665E-2</v>
      </c>
      <c r="M483" s="7">
        <f t="shared" si="26"/>
        <v>10.207573333333332</v>
      </c>
      <c r="N483" s="4" t="s">
        <v>825</v>
      </c>
      <c r="O483" s="4">
        <f>VLOOKUP(B483, 'All Menu'!B:L, 6, 0)</f>
        <v>13.75</v>
      </c>
      <c r="P483" s="6">
        <f>VLOOKUP(B483, 'All Menu'!B:L, 9, 0)</f>
        <v>10.388044298797791</v>
      </c>
      <c r="Q483" s="14">
        <f>VLOOKUP(B483, 'All Menu'!B:M, 12, 0)</f>
        <v>0.24450586917834249</v>
      </c>
      <c r="R483" s="173">
        <f t="shared" ref="R483:R542" si="27">C483*K483</f>
        <v>0</v>
      </c>
    </row>
    <row r="484" spans="1:18" ht="14" hidden="1">
      <c r="A484" s="78" t="s">
        <v>2515</v>
      </c>
      <c r="B484" s="220" t="s">
        <v>868</v>
      </c>
      <c r="C484" s="185"/>
      <c r="D484" s="103" t="str">
        <f>VLOOKUP(B484, 'All Menu'!B:M, 4, 0)</f>
        <v>شقف خاروف نص كيلو</v>
      </c>
      <c r="E484" s="30" t="str">
        <f>VLOOKUP(B484, 'All Menu'!B:M, 2, 0)</f>
        <v>قسم الصالة</v>
      </c>
      <c r="F484" s="103" t="str">
        <f>VLOOKUP(B484, 'All Menu'!B:M, 3, 0)</f>
        <v>المشاوي صالة</v>
      </c>
      <c r="G484" s="90" t="s">
        <v>2235</v>
      </c>
      <c r="H484" s="188">
        <v>4504</v>
      </c>
      <c r="I484" s="110" t="str">
        <f>VLOOKUP(H484, 'RM &amp; SF'!B:H, 2, 0)</f>
        <v>بصل مشاوي (بصل بيبي)***</v>
      </c>
      <c r="J484" s="184" t="str">
        <f>VLOOKUP(H484, 'RM &amp; SF'!B:E, 4, 0)</f>
        <v>غم</v>
      </c>
      <c r="K484" s="12">
        <v>100</v>
      </c>
      <c r="L484" s="13">
        <f>VLOOKUP(H484, 'RM &amp; SF'!B:H, 7, 0)</f>
        <v>3.5E-4</v>
      </c>
      <c r="M484" s="7">
        <f t="shared" si="26"/>
        <v>3.4999999999999996E-2</v>
      </c>
      <c r="N484" s="4" t="s">
        <v>825</v>
      </c>
      <c r="O484" s="4">
        <f>VLOOKUP(B484, 'All Menu'!B:L, 6, 0)</f>
        <v>13.75</v>
      </c>
      <c r="P484" s="6">
        <f>VLOOKUP(B484, 'All Menu'!B:L, 9, 0)</f>
        <v>10.388044298797791</v>
      </c>
      <c r="Q484" s="14">
        <f>VLOOKUP(B484, 'All Menu'!B:M, 12, 0)</f>
        <v>0.24450586917834249</v>
      </c>
      <c r="R484" s="173">
        <f t="shared" si="27"/>
        <v>0</v>
      </c>
    </row>
    <row r="485" spans="1:18" ht="14" hidden="1">
      <c r="A485" s="78" t="s">
        <v>2515</v>
      </c>
      <c r="B485" s="220" t="s">
        <v>868</v>
      </c>
      <c r="C485" s="185"/>
      <c r="D485" s="103" t="str">
        <f>VLOOKUP(B485, 'All Menu'!B:M, 4, 0)</f>
        <v>شقف خاروف نص كيلو</v>
      </c>
      <c r="E485" s="30" t="str">
        <f>VLOOKUP(B485, 'All Menu'!B:M, 2, 0)</f>
        <v>قسم الصالة</v>
      </c>
      <c r="F485" s="103" t="str">
        <f>VLOOKUP(B485, 'All Menu'!B:M, 3, 0)</f>
        <v>المشاوي صالة</v>
      </c>
      <c r="G485" s="90" t="s">
        <v>2257</v>
      </c>
      <c r="H485" s="188">
        <v>5281</v>
      </c>
      <c r="I485" s="110" t="str">
        <f>VLOOKUP(H485, 'RM &amp; SF'!B:H, 2, 0)</f>
        <v>بندوره مشاوي</v>
      </c>
      <c r="J485" s="184" t="str">
        <f>VLOOKUP(H485, 'RM &amp; SF'!B:E, 4, 0)</f>
        <v>غم</v>
      </c>
      <c r="K485" s="12">
        <v>100</v>
      </c>
      <c r="L485" s="13">
        <f>VLOOKUP(H485, 'RM &amp; SF'!B:H, 7, 0)</f>
        <v>4.0000000000000002E-4</v>
      </c>
      <c r="M485" s="7">
        <f t="shared" si="26"/>
        <v>0.04</v>
      </c>
      <c r="N485" s="4" t="s">
        <v>825</v>
      </c>
      <c r="O485" s="4">
        <f>VLOOKUP(B485, 'All Menu'!B:L, 6, 0)</f>
        <v>13.75</v>
      </c>
      <c r="P485" s="6">
        <f>VLOOKUP(B485, 'All Menu'!B:L, 9, 0)</f>
        <v>10.388044298797791</v>
      </c>
      <c r="Q485" s="14">
        <f>VLOOKUP(B485, 'All Menu'!B:M, 12, 0)</f>
        <v>0.24450586917834249</v>
      </c>
      <c r="R485" s="173">
        <f t="shared" si="27"/>
        <v>0</v>
      </c>
    </row>
    <row r="486" spans="1:18" ht="14" hidden="1">
      <c r="A486" s="78" t="s">
        <v>2515</v>
      </c>
      <c r="B486" s="220" t="s">
        <v>868</v>
      </c>
      <c r="C486" s="185"/>
      <c r="D486" s="103" t="str">
        <f>VLOOKUP(B486, 'All Menu'!B:M, 4, 0)</f>
        <v>شقف خاروف نص كيلو</v>
      </c>
      <c r="E486" s="30" t="str">
        <f>VLOOKUP(B486, 'All Menu'!B:M, 2, 0)</f>
        <v>قسم الصالة</v>
      </c>
      <c r="F486" s="103" t="str">
        <f>VLOOKUP(B486, 'All Menu'!B:M, 3, 0)</f>
        <v>المشاوي صالة</v>
      </c>
      <c r="G486" s="90" t="s">
        <v>2331</v>
      </c>
      <c r="H486" s="219" t="s">
        <v>530</v>
      </c>
      <c r="I486" s="110" t="str">
        <f>VLOOKUP(H486, 'RM &amp; SF'!B:H, 2, 0)</f>
        <v>خبز صاج</v>
      </c>
      <c r="J486" s="184" t="str">
        <f>VLOOKUP(H486, 'RM &amp; SF'!B:E, 4, 0)</f>
        <v>غم</v>
      </c>
      <c r="K486" s="12">
        <v>200</v>
      </c>
      <c r="L486" s="13">
        <f>VLOOKUP(H486, 'RM &amp; SF'!B:H, 7, 0)</f>
        <v>1.8806451612903227E-4</v>
      </c>
      <c r="M486" s="7">
        <f t="shared" si="26"/>
        <v>3.7612903225806453E-2</v>
      </c>
      <c r="N486" s="4" t="s">
        <v>825</v>
      </c>
      <c r="O486" s="4">
        <f>VLOOKUP(B486, 'All Menu'!B:L, 6, 0)</f>
        <v>13.75</v>
      </c>
      <c r="P486" s="6">
        <f>VLOOKUP(B486, 'All Menu'!B:L, 9, 0)</f>
        <v>10.388044298797791</v>
      </c>
      <c r="Q486" s="14">
        <f>VLOOKUP(B486, 'All Menu'!B:M, 12, 0)</f>
        <v>0.24450586917834249</v>
      </c>
      <c r="R486" s="173">
        <f t="shared" si="27"/>
        <v>0</v>
      </c>
    </row>
    <row r="487" spans="1:18" ht="14" hidden="1">
      <c r="A487" s="78" t="s">
        <v>2515</v>
      </c>
      <c r="B487" s="220" t="s">
        <v>868</v>
      </c>
      <c r="C487" s="185"/>
      <c r="D487" s="103" t="str">
        <f>VLOOKUP(B487, 'All Menu'!B:M, 4, 0)</f>
        <v>شقف خاروف نص كيلو</v>
      </c>
      <c r="E487" s="30" t="str">
        <f>VLOOKUP(B487, 'All Menu'!B:M, 2, 0)</f>
        <v>قسم الصالة</v>
      </c>
      <c r="F487" s="103" t="str">
        <f>VLOOKUP(B487, 'All Menu'!B:M, 3, 0)</f>
        <v>المشاوي صالة</v>
      </c>
      <c r="G487" s="90" t="s">
        <v>2231</v>
      </c>
      <c r="H487" s="188">
        <v>4499</v>
      </c>
      <c r="I487" s="110" t="str">
        <f>VLOOKUP(H487, 'RM &amp; SF'!B:H, 2, 0)</f>
        <v>فلفل حار اخضر*****</v>
      </c>
      <c r="J487" s="184" t="str">
        <f>VLOOKUP(H487, 'RM &amp; SF'!B:E, 4, 0)</f>
        <v>غم</v>
      </c>
      <c r="K487" s="12">
        <v>50</v>
      </c>
      <c r="L487" s="13">
        <f>VLOOKUP(H487, 'RM &amp; SF'!B:H, 7, 0)</f>
        <v>5.0000000000000001E-4</v>
      </c>
      <c r="M487" s="7">
        <f t="shared" si="26"/>
        <v>2.5000000000000001E-2</v>
      </c>
      <c r="N487" s="4" t="s">
        <v>825</v>
      </c>
      <c r="O487" s="4">
        <f>VLOOKUP(B487, 'All Menu'!B:L, 6, 0)</f>
        <v>13.75</v>
      </c>
      <c r="P487" s="6">
        <f>VLOOKUP(B487, 'All Menu'!B:L, 9, 0)</f>
        <v>10.388044298797791</v>
      </c>
      <c r="Q487" s="14">
        <f>VLOOKUP(B487, 'All Menu'!B:M, 12, 0)</f>
        <v>0.24450586917834249</v>
      </c>
      <c r="R487" s="173">
        <f t="shared" si="27"/>
        <v>0</v>
      </c>
    </row>
    <row r="488" spans="1:18" ht="14" hidden="1">
      <c r="A488" s="78" t="s">
        <v>2515</v>
      </c>
      <c r="B488" s="220" t="s">
        <v>868</v>
      </c>
      <c r="C488" s="185"/>
      <c r="D488" s="103" t="str">
        <f>VLOOKUP(B488, 'All Menu'!B:M, 4, 0)</f>
        <v>شقف خاروف نص كيلو</v>
      </c>
      <c r="E488" s="30" t="str">
        <f>VLOOKUP(B488, 'All Menu'!B:M, 2, 0)</f>
        <v>قسم الصالة</v>
      </c>
      <c r="F488" s="103" t="str">
        <f>VLOOKUP(B488, 'All Menu'!B:M, 3, 0)</f>
        <v>المشاوي صالة</v>
      </c>
      <c r="G488" s="90" t="s">
        <v>2397</v>
      </c>
      <c r="H488" s="219" t="s">
        <v>580</v>
      </c>
      <c r="I488" s="110" t="str">
        <f>VLOOKUP(H488, 'RM &amp; SF'!B:H, 2, 0)</f>
        <v>طحينة مشاوي</v>
      </c>
      <c r="J488" s="184" t="str">
        <f>VLOOKUP(H488, 'RM &amp; SF'!B:E, 4, 0)</f>
        <v>غم</v>
      </c>
      <c r="K488" s="12">
        <v>30</v>
      </c>
      <c r="L488" s="13">
        <f>VLOOKUP(H488, 'RM &amp; SF'!B:H, 7, 0)</f>
        <v>1.0841676434676436E-3</v>
      </c>
      <c r="M488" s="7">
        <f t="shared" si="26"/>
        <v>3.2525029304029306E-2</v>
      </c>
      <c r="N488" s="4" t="s">
        <v>825</v>
      </c>
      <c r="O488" s="4">
        <f>VLOOKUP(B488, 'All Menu'!B:L, 6, 0)</f>
        <v>13.75</v>
      </c>
      <c r="P488" s="6">
        <f>VLOOKUP(B488, 'All Menu'!B:L, 9, 0)</f>
        <v>10.388044298797791</v>
      </c>
      <c r="Q488" s="14">
        <f>VLOOKUP(B488, 'All Menu'!B:M, 12, 0)</f>
        <v>0.24450586917834249</v>
      </c>
      <c r="R488" s="173">
        <f t="shared" si="27"/>
        <v>0</v>
      </c>
    </row>
    <row r="489" spans="1:18" ht="14" hidden="1">
      <c r="A489" s="78" t="s">
        <v>2515</v>
      </c>
      <c r="B489" s="220" t="s">
        <v>868</v>
      </c>
      <c r="C489" s="185"/>
      <c r="D489" s="103" t="str">
        <f>VLOOKUP(B489, 'All Menu'!B:M, 4, 0)</f>
        <v>شقف خاروف نص كيلو</v>
      </c>
      <c r="E489" s="30" t="str">
        <f>VLOOKUP(B489, 'All Menu'!B:M, 2, 0)</f>
        <v>قسم الصالة</v>
      </c>
      <c r="F489" s="103" t="str">
        <f>VLOOKUP(B489, 'All Menu'!B:M, 3, 0)</f>
        <v>المشاوي صالة</v>
      </c>
      <c r="G489" s="90" t="s">
        <v>2396</v>
      </c>
      <c r="H489" s="219" t="s">
        <v>582</v>
      </c>
      <c r="I489" s="110" t="str">
        <f>VLOOKUP(H489, 'RM &amp; SF'!B:H, 2, 0)</f>
        <v>بيواز</v>
      </c>
      <c r="J489" s="184" t="str">
        <f>VLOOKUP(H489, 'RM &amp; SF'!B:E, 4, 0)</f>
        <v>غم</v>
      </c>
      <c r="K489" s="12">
        <v>50</v>
      </c>
      <c r="L489" s="13">
        <f>VLOOKUP(H489, 'RM &amp; SF'!B:H, 7, 0)</f>
        <v>2.0666065869244635E-4</v>
      </c>
      <c r="M489" s="7">
        <f t="shared" si="26"/>
        <v>1.0333032934622318E-2</v>
      </c>
      <c r="N489" s="4" t="s">
        <v>825</v>
      </c>
      <c r="O489" s="4">
        <f>VLOOKUP(B489, 'All Menu'!B:L, 6, 0)</f>
        <v>13.75</v>
      </c>
      <c r="P489" s="6">
        <f>VLOOKUP(B489, 'All Menu'!B:L, 9, 0)</f>
        <v>10.388044298797791</v>
      </c>
      <c r="Q489" s="14">
        <f>VLOOKUP(B489, 'All Menu'!B:M, 12, 0)</f>
        <v>0.24450586917834249</v>
      </c>
      <c r="R489" s="173">
        <f t="shared" si="27"/>
        <v>0</v>
      </c>
    </row>
    <row r="490" spans="1:18" ht="14" hidden="1">
      <c r="A490" s="78" t="s">
        <v>2521</v>
      </c>
      <c r="B490" s="220" t="s">
        <v>869</v>
      </c>
      <c r="C490" s="185"/>
      <c r="D490" s="103" t="str">
        <f>VLOOKUP(B490, 'All Menu'!B:M, 4, 0)</f>
        <v>كباب دجاج نص كيلو</v>
      </c>
      <c r="E490" s="30" t="str">
        <f>VLOOKUP(B490, 'All Menu'!B:M, 2, 0)</f>
        <v>قسم الصالة</v>
      </c>
      <c r="F490" s="103" t="str">
        <f>VLOOKUP(B490, 'All Menu'!B:M, 3, 0)</f>
        <v>المشاوي صالة</v>
      </c>
      <c r="G490" s="90" t="s">
        <v>2338</v>
      </c>
      <c r="H490" s="219" t="s">
        <v>532</v>
      </c>
      <c r="I490" s="110" t="str">
        <f>VLOOKUP(H490, 'RM &amp; SF'!B:H, 2, 0)</f>
        <v>كباب دجاج</v>
      </c>
      <c r="J490" s="184" t="str">
        <f>VLOOKUP(H490, 'RM &amp; SF'!B:E, 4, 0)</f>
        <v>غم</v>
      </c>
      <c r="K490" s="12">
        <v>480</v>
      </c>
      <c r="L490" s="13">
        <f>VLOOKUP(H490, 'RM &amp; SF'!B:H, 7, 0)</f>
        <v>3.8874234320164847E-3</v>
      </c>
      <c r="M490" s="7">
        <f t="shared" si="26"/>
        <v>1.8659632473679126</v>
      </c>
      <c r="N490" s="4" t="s">
        <v>825</v>
      </c>
      <c r="O490" s="4">
        <f>VLOOKUP(B490, 'All Menu'!B:L, 6, 0)</f>
        <v>7.7586206896551726</v>
      </c>
      <c r="P490" s="6">
        <f>VLOOKUP(B490, 'All Menu'!B:L, 9, 0)</f>
        <v>2.0727553218700727</v>
      </c>
      <c r="Q490" s="14">
        <f>VLOOKUP(B490, 'All Menu'!B:M, 12, 0)</f>
        <v>0.73284486962563511</v>
      </c>
      <c r="R490" s="173">
        <f t="shared" si="27"/>
        <v>0</v>
      </c>
    </row>
    <row r="491" spans="1:18" ht="14" hidden="1">
      <c r="A491" s="78" t="s">
        <v>2521</v>
      </c>
      <c r="B491" s="220" t="s">
        <v>869</v>
      </c>
      <c r="C491" s="185"/>
      <c r="D491" s="103" t="str">
        <f>VLOOKUP(B491, 'All Menu'!B:M, 4, 0)</f>
        <v>كباب دجاج نص كيلو</v>
      </c>
      <c r="E491" s="30" t="str">
        <f>VLOOKUP(B491, 'All Menu'!B:M, 2, 0)</f>
        <v>قسم الصالة</v>
      </c>
      <c r="F491" s="103" t="str">
        <f>VLOOKUP(B491, 'All Menu'!B:M, 3, 0)</f>
        <v>المشاوي صالة</v>
      </c>
      <c r="G491" s="90" t="s">
        <v>2235</v>
      </c>
      <c r="H491" s="188">
        <v>4504</v>
      </c>
      <c r="I491" s="110" t="str">
        <f>VLOOKUP(H491, 'RM &amp; SF'!B:H, 2, 0)</f>
        <v>بصل مشاوي (بصل بيبي)***</v>
      </c>
      <c r="J491" s="184" t="str">
        <f>VLOOKUP(H491, 'RM &amp; SF'!B:E, 4, 0)</f>
        <v>غم</v>
      </c>
      <c r="K491" s="12">
        <v>60</v>
      </c>
      <c r="L491" s="13">
        <f>VLOOKUP(H491, 'RM &amp; SF'!B:H, 7, 0)</f>
        <v>3.5E-4</v>
      </c>
      <c r="M491" s="7">
        <f t="shared" si="26"/>
        <v>2.1000000000000001E-2</v>
      </c>
      <c r="N491" s="4" t="s">
        <v>825</v>
      </c>
      <c r="O491" s="4">
        <f>VLOOKUP(B491, 'All Menu'!B:L, 6, 0)</f>
        <v>7.7586206896551726</v>
      </c>
      <c r="P491" s="6">
        <f>VLOOKUP(B491, 'All Menu'!B:L, 9, 0)</f>
        <v>2.0727553218700727</v>
      </c>
      <c r="Q491" s="14">
        <f>VLOOKUP(B491, 'All Menu'!B:M, 12, 0)</f>
        <v>0.73284486962563511</v>
      </c>
      <c r="R491" s="173">
        <f t="shared" si="27"/>
        <v>0</v>
      </c>
    </row>
    <row r="492" spans="1:18" ht="14" hidden="1">
      <c r="A492" s="78" t="s">
        <v>2521</v>
      </c>
      <c r="B492" s="220" t="s">
        <v>869</v>
      </c>
      <c r="C492" s="185"/>
      <c r="D492" s="103" t="str">
        <f>VLOOKUP(B492, 'All Menu'!B:M, 4, 0)</f>
        <v>كباب دجاج نص كيلو</v>
      </c>
      <c r="E492" s="30" t="str">
        <f>VLOOKUP(B492, 'All Menu'!B:M, 2, 0)</f>
        <v>قسم الصالة</v>
      </c>
      <c r="F492" s="103" t="str">
        <f>VLOOKUP(B492, 'All Menu'!B:M, 3, 0)</f>
        <v>المشاوي صالة</v>
      </c>
      <c r="G492" s="90" t="s">
        <v>2257</v>
      </c>
      <c r="H492" s="188">
        <v>5281</v>
      </c>
      <c r="I492" s="110" t="str">
        <f>VLOOKUP(H492, 'RM &amp; SF'!B:H, 2, 0)</f>
        <v>بندوره مشاوي</v>
      </c>
      <c r="J492" s="184" t="str">
        <f>VLOOKUP(H492, 'RM &amp; SF'!B:E, 4, 0)</f>
        <v>غم</v>
      </c>
      <c r="K492" s="12">
        <v>70</v>
      </c>
      <c r="L492" s="13">
        <f>VLOOKUP(H492, 'RM &amp; SF'!B:H, 7, 0)</f>
        <v>4.0000000000000002E-4</v>
      </c>
      <c r="M492" s="7">
        <f t="shared" si="26"/>
        <v>2.8000000000000001E-2</v>
      </c>
      <c r="N492" s="4" t="s">
        <v>825</v>
      </c>
      <c r="O492" s="4">
        <f>VLOOKUP(B492, 'All Menu'!B:L, 6, 0)</f>
        <v>7.7586206896551726</v>
      </c>
      <c r="P492" s="6">
        <f>VLOOKUP(B492, 'All Menu'!B:L, 9, 0)</f>
        <v>2.0727553218700727</v>
      </c>
      <c r="Q492" s="14">
        <f>VLOOKUP(B492, 'All Menu'!B:M, 12, 0)</f>
        <v>0.73284486962563511</v>
      </c>
      <c r="R492" s="173">
        <f t="shared" si="27"/>
        <v>0</v>
      </c>
    </row>
    <row r="493" spans="1:18" ht="14" hidden="1">
      <c r="A493" s="78" t="s">
        <v>2521</v>
      </c>
      <c r="B493" s="220" t="s">
        <v>869</v>
      </c>
      <c r="C493" s="185"/>
      <c r="D493" s="103" t="str">
        <f>VLOOKUP(B493, 'All Menu'!B:M, 4, 0)</f>
        <v>كباب دجاج نص كيلو</v>
      </c>
      <c r="E493" s="30" t="str">
        <f>VLOOKUP(B493, 'All Menu'!B:M, 2, 0)</f>
        <v>قسم الصالة</v>
      </c>
      <c r="F493" s="103" t="str">
        <f>VLOOKUP(B493, 'All Menu'!B:M, 3, 0)</f>
        <v>المشاوي صالة</v>
      </c>
      <c r="G493" s="90" t="s">
        <v>2396</v>
      </c>
      <c r="H493" s="219" t="s">
        <v>582</v>
      </c>
      <c r="I493" s="110" t="str">
        <f>VLOOKUP(H493, 'RM &amp; SF'!B:H, 2, 0)</f>
        <v>بيواز</v>
      </c>
      <c r="J493" s="184" t="str">
        <f>VLOOKUP(H493, 'RM &amp; SF'!B:E, 4, 0)</f>
        <v>غم</v>
      </c>
      <c r="K493" s="12">
        <v>50</v>
      </c>
      <c r="L493" s="13">
        <f>VLOOKUP(H493, 'RM &amp; SF'!B:H, 7, 0)</f>
        <v>2.0666065869244635E-4</v>
      </c>
      <c r="M493" s="7">
        <f t="shared" si="26"/>
        <v>1.0333032934622318E-2</v>
      </c>
      <c r="N493" s="4" t="s">
        <v>825</v>
      </c>
      <c r="O493" s="4">
        <f>VLOOKUP(B493, 'All Menu'!B:L, 6, 0)</f>
        <v>7.7586206896551726</v>
      </c>
      <c r="P493" s="6">
        <f>VLOOKUP(B493, 'All Menu'!B:L, 9, 0)</f>
        <v>2.0727553218700727</v>
      </c>
      <c r="Q493" s="14">
        <f>VLOOKUP(B493, 'All Menu'!B:M, 12, 0)</f>
        <v>0.73284486962563511</v>
      </c>
      <c r="R493" s="173">
        <f t="shared" si="27"/>
        <v>0</v>
      </c>
    </row>
    <row r="494" spans="1:18" ht="14" hidden="1">
      <c r="A494" s="78" t="s">
        <v>2521</v>
      </c>
      <c r="B494" s="220" t="s">
        <v>869</v>
      </c>
      <c r="C494" s="185"/>
      <c r="D494" s="103" t="str">
        <f>VLOOKUP(B494, 'All Menu'!B:M, 4, 0)</f>
        <v>كباب دجاج نص كيلو</v>
      </c>
      <c r="E494" s="30" t="str">
        <f>VLOOKUP(B494, 'All Menu'!B:M, 2, 0)</f>
        <v>قسم الصالة</v>
      </c>
      <c r="F494" s="103" t="str">
        <f>VLOOKUP(B494, 'All Menu'!B:M, 3, 0)</f>
        <v>المشاوي صالة</v>
      </c>
      <c r="G494" s="90" t="s">
        <v>2331</v>
      </c>
      <c r="H494" s="219" t="s">
        <v>530</v>
      </c>
      <c r="I494" s="110" t="str">
        <f>VLOOKUP(H494, 'RM &amp; SF'!B:H, 2, 0)</f>
        <v>خبز صاج</v>
      </c>
      <c r="J494" s="184" t="str">
        <f>VLOOKUP(H494, 'RM &amp; SF'!B:E, 4, 0)</f>
        <v>غم</v>
      </c>
      <c r="K494" s="12">
        <v>200</v>
      </c>
      <c r="L494" s="13">
        <f>VLOOKUP(H494, 'RM &amp; SF'!B:H, 7, 0)</f>
        <v>1.8806451612903227E-4</v>
      </c>
      <c r="M494" s="7">
        <f t="shared" si="26"/>
        <v>3.7612903225806453E-2</v>
      </c>
      <c r="N494" s="4" t="s">
        <v>825</v>
      </c>
      <c r="O494" s="4">
        <f>VLOOKUP(B494, 'All Menu'!B:L, 6, 0)</f>
        <v>7.7586206896551726</v>
      </c>
      <c r="P494" s="6">
        <f>VLOOKUP(B494, 'All Menu'!B:L, 9, 0)</f>
        <v>2.0727553218700727</v>
      </c>
      <c r="Q494" s="14">
        <f>VLOOKUP(B494, 'All Menu'!B:M, 12, 0)</f>
        <v>0.73284486962563511</v>
      </c>
      <c r="R494" s="173">
        <f t="shared" si="27"/>
        <v>0</v>
      </c>
    </row>
    <row r="495" spans="1:18" ht="14" hidden="1">
      <c r="A495" s="78" t="s">
        <v>2521</v>
      </c>
      <c r="B495" s="220" t="s">
        <v>869</v>
      </c>
      <c r="C495" s="185"/>
      <c r="D495" s="103" t="str">
        <f>VLOOKUP(B495, 'All Menu'!B:M, 4, 0)</f>
        <v>كباب دجاج نص كيلو</v>
      </c>
      <c r="E495" s="30" t="str">
        <f>VLOOKUP(B495, 'All Menu'!B:M, 2, 0)</f>
        <v>قسم الصالة</v>
      </c>
      <c r="F495" s="103" t="str">
        <f>VLOOKUP(B495, 'All Menu'!B:M, 3, 0)</f>
        <v>المشاوي صالة</v>
      </c>
      <c r="G495" s="90" t="s">
        <v>2231</v>
      </c>
      <c r="H495" s="188">
        <v>4499</v>
      </c>
      <c r="I495" s="110" t="str">
        <f>VLOOKUP(H495, 'RM &amp; SF'!B:H, 2, 0)</f>
        <v>فلفل حار اخضر*****</v>
      </c>
      <c r="J495" s="184" t="str">
        <f>VLOOKUP(H495, 'RM &amp; SF'!B:E, 4, 0)</f>
        <v>غم</v>
      </c>
      <c r="K495" s="12">
        <v>20</v>
      </c>
      <c r="L495" s="13">
        <f>VLOOKUP(H495, 'RM &amp; SF'!B:H, 7, 0)</f>
        <v>5.0000000000000001E-4</v>
      </c>
      <c r="M495" s="7">
        <f t="shared" si="26"/>
        <v>0.01</v>
      </c>
      <c r="N495" s="4" t="s">
        <v>825</v>
      </c>
      <c r="O495" s="4">
        <f>VLOOKUP(B495, 'All Menu'!B:L, 6, 0)</f>
        <v>7.7586206896551726</v>
      </c>
      <c r="P495" s="6">
        <f>VLOOKUP(B495, 'All Menu'!B:L, 9, 0)</f>
        <v>2.0727553218700727</v>
      </c>
      <c r="Q495" s="14">
        <f>VLOOKUP(B495, 'All Menu'!B:M, 12, 0)</f>
        <v>0.73284486962563511</v>
      </c>
      <c r="R495" s="173">
        <f t="shared" si="27"/>
        <v>0</v>
      </c>
    </row>
    <row r="496" spans="1:18" ht="14" hidden="1">
      <c r="A496" s="78" t="s">
        <v>2521</v>
      </c>
      <c r="B496" s="220" t="s">
        <v>869</v>
      </c>
      <c r="C496" s="185"/>
      <c r="D496" s="103" t="str">
        <f>VLOOKUP(B496, 'All Menu'!B:M, 4, 0)</f>
        <v>كباب دجاج نص كيلو</v>
      </c>
      <c r="E496" s="30" t="str">
        <f>VLOOKUP(B496, 'All Menu'!B:M, 2, 0)</f>
        <v>قسم الصالة</v>
      </c>
      <c r="F496" s="103" t="str">
        <f>VLOOKUP(B496, 'All Menu'!B:M, 3, 0)</f>
        <v>المشاوي صالة</v>
      </c>
      <c r="G496" s="90" t="s">
        <v>2325</v>
      </c>
      <c r="H496" s="219" t="s">
        <v>534</v>
      </c>
      <c r="I496" s="110" t="str">
        <f>VLOOKUP(H496, 'RM &amp; SF'!B:H, 2, 0)</f>
        <v>مثومه</v>
      </c>
      <c r="J496" s="184" t="str">
        <f>VLOOKUP(H496, 'RM &amp; SF'!B:E, 4, 0)</f>
        <v>غم</v>
      </c>
      <c r="K496" s="12">
        <v>150</v>
      </c>
      <c r="L496" s="13">
        <f>VLOOKUP(H496, 'RM &amp; SF'!B:H, 7, 0)</f>
        <v>6.6564092227821051E-4</v>
      </c>
      <c r="M496" s="7">
        <f t="shared" si="26"/>
        <v>9.9846138341731575E-2</v>
      </c>
      <c r="N496" s="4" t="s">
        <v>825</v>
      </c>
      <c r="O496" s="4">
        <f>VLOOKUP(B496, 'All Menu'!B:L, 6, 0)</f>
        <v>7.7586206896551726</v>
      </c>
      <c r="P496" s="6">
        <f>VLOOKUP(B496, 'All Menu'!B:L, 9, 0)</f>
        <v>2.0727553218700727</v>
      </c>
      <c r="Q496" s="14">
        <f>VLOOKUP(B496, 'All Menu'!B:M, 12, 0)</f>
        <v>0.73284486962563511</v>
      </c>
      <c r="R496" s="173">
        <f t="shared" si="27"/>
        <v>0</v>
      </c>
    </row>
    <row r="497" spans="1:18" ht="14" hidden="1">
      <c r="A497" s="78" t="s">
        <v>2516</v>
      </c>
      <c r="B497" s="220" t="s">
        <v>870</v>
      </c>
      <c r="C497" s="185"/>
      <c r="D497" s="103" t="str">
        <f>VLOOKUP(B497, 'All Menu'!B:M, 4, 0)</f>
        <v>كباب مشوي نص كيلو</v>
      </c>
      <c r="E497" s="30" t="str">
        <f>VLOOKUP(B497, 'All Menu'!B:M, 2, 0)</f>
        <v>قسم الصالة</v>
      </c>
      <c r="F497" s="103" t="str">
        <f>VLOOKUP(B497, 'All Menu'!B:M, 3, 0)</f>
        <v>المشاوي صالة</v>
      </c>
      <c r="G497" s="90" t="s">
        <v>2453</v>
      </c>
      <c r="H497" s="219" t="s">
        <v>536</v>
      </c>
      <c r="I497" s="110" t="str">
        <f>VLOOKUP(H497, 'RM &amp; SF'!B:H, 2, 0)</f>
        <v>كباب</v>
      </c>
      <c r="J497" s="184" t="str">
        <f>VLOOKUP(H497, 'RM &amp; SF'!B:E, 4, 0)</f>
        <v>غم</v>
      </c>
      <c r="K497" s="12">
        <v>480</v>
      </c>
      <c r="L497" s="13">
        <f>VLOOKUP(H497, 'RM &amp; SF'!B:H, 7, 0)</f>
        <v>1.1636090242685134E-2</v>
      </c>
      <c r="M497" s="7">
        <f t="shared" si="26"/>
        <v>5.5853233164888643</v>
      </c>
      <c r="N497" s="4" t="s">
        <v>825</v>
      </c>
      <c r="O497" s="4">
        <f>VLOOKUP(B497, 'All Menu'!B:L, 6, 0)</f>
        <v>10.431034482758621</v>
      </c>
      <c r="P497" s="6">
        <f>VLOOKUP(B497, 'All Menu'!B:L, 9, 0)</f>
        <v>5.699519252649293</v>
      </c>
      <c r="Q497" s="14">
        <f>VLOOKUP(B497, 'All Menu'!B:M, 12, 0)</f>
        <v>0.45359980718403475</v>
      </c>
      <c r="R497" s="173">
        <f t="shared" si="27"/>
        <v>0</v>
      </c>
    </row>
    <row r="498" spans="1:18" ht="14" hidden="1">
      <c r="A498" s="78" t="s">
        <v>2516</v>
      </c>
      <c r="B498" s="220" t="s">
        <v>870</v>
      </c>
      <c r="C498" s="185"/>
      <c r="D498" s="103" t="str">
        <f>VLOOKUP(B498, 'All Menu'!B:M, 4, 0)</f>
        <v>كباب مشوي نص كيلو</v>
      </c>
      <c r="E498" s="30" t="str">
        <f>VLOOKUP(B498, 'All Menu'!B:M, 2, 0)</f>
        <v>قسم الصالة</v>
      </c>
      <c r="F498" s="103" t="str">
        <f>VLOOKUP(B498, 'All Menu'!B:M, 3, 0)</f>
        <v>المشاوي صالة</v>
      </c>
      <c r="G498" s="90" t="s">
        <v>2235</v>
      </c>
      <c r="H498" s="188">
        <v>4504</v>
      </c>
      <c r="I498" s="110" t="str">
        <f>VLOOKUP(H498, 'RM &amp; SF'!B:H, 2, 0)</f>
        <v>بصل مشاوي (بصل بيبي)***</v>
      </c>
      <c r="J498" s="184" t="str">
        <f>VLOOKUP(H498, 'RM &amp; SF'!B:E, 4, 0)</f>
        <v>غم</v>
      </c>
      <c r="K498" s="12">
        <v>75</v>
      </c>
      <c r="L498" s="13">
        <f>VLOOKUP(H498, 'RM &amp; SF'!B:H, 7, 0)</f>
        <v>3.5E-4</v>
      </c>
      <c r="M498" s="7">
        <f t="shared" si="26"/>
        <v>2.6249999999999999E-2</v>
      </c>
      <c r="N498" s="4" t="s">
        <v>825</v>
      </c>
      <c r="O498" s="4">
        <f>VLOOKUP(B498, 'All Menu'!B:L, 6, 0)</f>
        <v>10.431034482758621</v>
      </c>
      <c r="P498" s="6">
        <f>VLOOKUP(B498, 'All Menu'!B:L, 9, 0)</f>
        <v>5.699519252649293</v>
      </c>
      <c r="Q498" s="14">
        <f>VLOOKUP(B498, 'All Menu'!B:M, 12, 0)</f>
        <v>0.45359980718403475</v>
      </c>
      <c r="R498" s="173">
        <f t="shared" si="27"/>
        <v>0</v>
      </c>
    </row>
    <row r="499" spans="1:18" ht="14" hidden="1">
      <c r="A499" s="78" t="s">
        <v>2516</v>
      </c>
      <c r="B499" s="220" t="s">
        <v>870</v>
      </c>
      <c r="C499" s="185"/>
      <c r="D499" s="103" t="str">
        <f>VLOOKUP(B499, 'All Menu'!B:M, 4, 0)</f>
        <v>كباب مشوي نص كيلو</v>
      </c>
      <c r="E499" s="30" t="str">
        <f>VLOOKUP(B499, 'All Menu'!B:M, 2, 0)</f>
        <v>قسم الصالة</v>
      </c>
      <c r="F499" s="103" t="str">
        <f>VLOOKUP(B499, 'All Menu'!B:M, 3, 0)</f>
        <v>المشاوي صالة</v>
      </c>
      <c r="G499" s="90" t="s">
        <v>2257</v>
      </c>
      <c r="H499" s="188">
        <v>5281</v>
      </c>
      <c r="I499" s="110" t="str">
        <f>VLOOKUP(H499, 'RM &amp; SF'!B:H, 2, 0)</f>
        <v>بندوره مشاوي</v>
      </c>
      <c r="J499" s="184" t="str">
        <f>VLOOKUP(H499, 'RM &amp; SF'!B:E, 4, 0)</f>
        <v>غم</v>
      </c>
      <c r="K499" s="12">
        <v>75</v>
      </c>
      <c r="L499" s="13">
        <f>VLOOKUP(H499, 'RM &amp; SF'!B:H, 7, 0)</f>
        <v>4.0000000000000002E-4</v>
      </c>
      <c r="M499" s="7">
        <f t="shared" si="26"/>
        <v>3.0000000000000002E-2</v>
      </c>
      <c r="N499" s="4" t="s">
        <v>825</v>
      </c>
      <c r="O499" s="4">
        <f>VLOOKUP(B499, 'All Menu'!B:L, 6, 0)</f>
        <v>10.431034482758621</v>
      </c>
      <c r="P499" s="6">
        <f>VLOOKUP(B499, 'All Menu'!B:L, 9, 0)</f>
        <v>5.699519252649293</v>
      </c>
      <c r="Q499" s="14">
        <f>VLOOKUP(B499, 'All Menu'!B:M, 12, 0)</f>
        <v>0.45359980718403475</v>
      </c>
      <c r="R499" s="173">
        <f t="shared" si="27"/>
        <v>0</v>
      </c>
    </row>
    <row r="500" spans="1:18" ht="14" hidden="1">
      <c r="A500" s="78" t="s">
        <v>2516</v>
      </c>
      <c r="B500" s="220" t="s">
        <v>870</v>
      </c>
      <c r="C500" s="185"/>
      <c r="D500" s="103" t="str">
        <f>VLOOKUP(B500, 'All Menu'!B:M, 4, 0)</f>
        <v>كباب مشوي نص كيلو</v>
      </c>
      <c r="E500" s="30" t="str">
        <f>VLOOKUP(B500, 'All Menu'!B:M, 2, 0)</f>
        <v>قسم الصالة</v>
      </c>
      <c r="F500" s="103" t="str">
        <f>VLOOKUP(B500, 'All Menu'!B:M, 3, 0)</f>
        <v>المشاوي صالة</v>
      </c>
      <c r="G500" s="90" t="s">
        <v>2396</v>
      </c>
      <c r="H500" s="219" t="s">
        <v>582</v>
      </c>
      <c r="I500" s="110" t="str">
        <f>VLOOKUP(H500, 'RM &amp; SF'!B:H, 2, 0)</f>
        <v>بيواز</v>
      </c>
      <c r="J500" s="184" t="str">
        <f>VLOOKUP(H500, 'RM &amp; SF'!B:E, 4, 0)</f>
        <v>غم</v>
      </c>
      <c r="K500" s="12">
        <v>50</v>
      </c>
      <c r="L500" s="13">
        <f>VLOOKUP(H500, 'RM &amp; SF'!B:H, 7, 0)</f>
        <v>2.0666065869244635E-4</v>
      </c>
      <c r="M500" s="7">
        <f t="shared" si="26"/>
        <v>1.0333032934622318E-2</v>
      </c>
      <c r="N500" s="4" t="s">
        <v>825</v>
      </c>
      <c r="O500" s="4">
        <f>VLOOKUP(B500, 'All Menu'!B:L, 6, 0)</f>
        <v>10.431034482758621</v>
      </c>
      <c r="P500" s="6">
        <f>VLOOKUP(B500, 'All Menu'!B:L, 9, 0)</f>
        <v>5.699519252649293</v>
      </c>
      <c r="Q500" s="14">
        <f>VLOOKUP(B500, 'All Menu'!B:M, 12, 0)</f>
        <v>0.45359980718403475</v>
      </c>
      <c r="R500" s="173">
        <f t="shared" si="27"/>
        <v>0</v>
      </c>
    </row>
    <row r="501" spans="1:18" ht="14" hidden="1">
      <c r="A501" s="78" t="s">
        <v>2516</v>
      </c>
      <c r="B501" s="220" t="s">
        <v>870</v>
      </c>
      <c r="C501" s="185"/>
      <c r="D501" s="103" t="str">
        <f>VLOOKUP(B501, 'All Menu'!B:M, 4, 0)</f>
        <v>كباب مشوي نص كيلو</v>
      </c>
      <c r="E501" s="30" t="str">
        <f>VLOOKUP(B501, 'All Menu'!B:M, 2, 0)</f>
        <v>قسم الصالة</v>
      </c>
      <c r="F501" s="103" t="str">
        <f>VLOOKUP(B501, 'All Menu'!B:M, 3, 0)</f>
        <v>المشاوي صالة</v>
      </c>
      <c r="G501" s="90" t="s">
        <v>2331</v>
      </c>
      <c r="H501" s="219" t="s">
        <v>530</v>
      </c>
      <c r="I501" s="110" t="str">
        <f>VLOOKUP(H501, 'RM &amp; SF'!B:H, 2, 0)</f>
        <v>خبز صاج</v>
      </c>
      <c r="J501" s="184" t="str">
        <f>VLOOKUP(H501, 'RM &amp; SF'!B:E, 4, 0)</f>
        <v>غم</v>
      </c>
      <c r="K501" s="12">
        <v>200</v>
      </c>
      <c r="L501" s="13">
        <f>VLOOKUP(H501, 'RM &amp; SF'!B:H, 7, 0)</f>
        <v>1.8806451612903227E-4</v>
      </c>
      <c r="M501" s="7">
        <f t="shared" si="26"/>
        <v>3.7612903225806453E-2</v>
      </c>
      <c r="N501" s="4" t="s">
        <v>825</v>
      </c>
      <c r="O501" s="4">
        <f>VLOOKUP(B501, 'All Menu'!B:L, 6, 0)</f>
        <v>10.431034482758621</v>
      </c>
      <c r="P501" s="6">
        <f>VLOOKUP(B501, 'All Menu'!B:L, 9, 0)</f>
        <v>5.699519252649293</v>
      </c>
      <c r="Q501" s="14">
        <f>VLOOKUP(B501, 'All Menu'!B:M, 12, 0)</f>
        <v>0.45359980718403475</v>
      </c>
      <c r="R501" s="173">
        <f t="shared" si="27"/>
        <v>0</v>
      </c>
    </row>
    <row r="502" spans="1:18" ht="14" hidden="1">
      <c r="A502" s="78" t="s">
        <v>2516</v>
      </c>
      <c r="B502" s="220" t="s">
        <v>870</v>
      </c>
      <c r="C502" s="185"/>
      <c r="D502" s="103" t="str">
        <f>VLOOKUP(B502, 'All Menu'!B:M, 4, 0)</f>
        <v>كباب مشوي نص كيلو</v>
      </c>
      <c r="E502" s="30" t="str">
        <f>VLOOKUP(B502, 'All Menu'!B:M, 2, 0)</f>
        <v>قسم الصالة</v>
      </c>
      <c r="F502" s="103" t="str">
        <f>VLOOKUP(B502, 'All Menu'!B:M, 3, 0)</f>
        <v>المشاوي صالة</v>
      </c>
      <c r="G502" s="90" t="s">
        <v>2231</v>
      </c>
      <c r="H502" s="188">
        <v>4499</v>
      </c>
      <c r="I502" s="110" t="str">
        <f>VLOOKUP(H502, 'RM &amp; SF'!B:H, 2, 0)</f>
        <v>فلفل حار اخضر*****</v>
      </c>
      <c r="J502" s="184" t="str">
        <f>VLOOKUP(H502, 'RM &amp; SF'!B:E, 4, 0)</f>
        <v>غم</v>
      </c>
      <c r="K502" s="12">
        <v>20</v>
      </c>
      <c r="L502" s="13">
        <f>VLOOKUP(H502, 'RM &amp; SF'!B:H, 7, 0)</f>
        <v>5.0000000000000001E-4</v>
      </c>
      <c r="M502" s="7">
        <f t="shared" si="26"/>
        <v>0.01</v>
      </c>
      <c r="N502" s="4" t="s">
        <v>825</v>
      </c>
      <c r="O502" s="4">
        <f>VLOOKUP(B502, 'All Menu'!B:L, 6, 0)</f>
        <v>10.431034482758621</v>
      </c>
      <c r="P502" s="6">
        <f>VLOOKUP(B502, 'All Menu'!B:L, 9, 0)</f>
        <v>5.699519252649293</v>
      </c>
      <c r="Q502" s="14">
        <f>VLOOKUP(B502, 'All Menu'!B:M, 12, 0)</f>
        <v>0.45359980718403475</v>
      </c>
      <c r="R502" s="173">
        <f t="shared" si="27"/>
        <v>0</v>
      </c>
    </row>
    <row r="503" spans="1:18" ht="14" hidden="1">
      <c r="A503" s="78" t="s">
        <v>2518</v>
      </c>
      <c r="B503" s="220" t="s">
        <v>871</v>
      </c>
      <c r="C503" s="185"/>
      <c r="D503" s="103" t="str">
        <f>VLOOKUP(B503, 'All Menu'!B:M, 4, 0)</f>
        <v>شيش طاووق نص كيلو</v>
      </c>
      <c r="E503" s="30" t="str">
        <f>VLOOKUP(B503, 'All Menu'!B:M, 2, 0)</f>
        <v>قسم الصالة</v>
      </c>
      <c r="F503" s="103" t="str">
        <f>VLOOKUP(B503, 'All Menu'!B:M, 3, 0)</f>
        <v>المشاوي صالة</v>
      </c>
      <c r="G503" s="90" t="s">
        <v>2456</v>
      </c>
      <c r="H503" s="219" t="s">
        <v>506</v>
      </c>
      <c r="I503" s="110" t="str">
        <f>VLOOKUP(H503, 'RM &amp; SF'!B:H, 2, 0)</f>
        <v>شيش</v>
      </c>
      <c r="J503" s="184" t="str">
        <f>VLOOKUP(H503, 'RM &amp; SF'!B:E, 4, 0)</f>
        <v>غم</v>
      </c>
      <c r="K503" s="12">
        <v>500</v>
      </c>
      <c r="L503" s="13">
        <f>VLOOKUP(H503, 'RM &amp; SF'!B:H, 7, 0)</f>
        <v>4.6721213030918281E-3</v>
      </c>
      <c r="M503" s="7">
        <f t="shared" si="26"/>
        <v>2.3360606515459139</v>
      </c>
      <c r="N503" s="4" t="s">
        <v>825</v>
      </c>
      <c r="O503" s="4">
        <f>VLOOKUP(B503, 'All Menu'!B:L, 6, 0)</f>
        <v>8.5344827586206904</v>
      </c>
      <c r="P503" s="6">
        <f>VLOOKUP(B503, 'All Menu'!B:L, 9, 0)</f>
        <v>2.5677258153746889</v>
      </c>
      <c r="Q503" s="14">
        <f>VLOOKUP(B503, 'All Menu'!B:M, 12, 0)</f>
        <v>0.69913515698640016</v>
      </c>
      <c r="R503" s="173">
        <f t="shared" si="27"/>
        <v>0</v>
      </c>
    </row>
    <row r="504" spans="1:18" ht="14" hidden="1">
      <c r="A504" s="78" t="s">
        <v>2518</v>
      </c>
      <c r="B504" s="220" t="s">
        <v>871</v>
      </c>
      <c r="C504" s="185"/>
      <c r="D504" s="103" t="str">
        <f>VLOOKUP(B504, 'All Menu'!B:M, 4, 0)</f>
        <v>شيش طاووق نص كيلو</v>
      </c>
      <c r="E504" s="30" t="str">
        <f>VLOOKUP(B504, 'All Menu'!B:M, 2, 0)</f>
        <v>قسم الصالة</v>
      </c>
      <c r="F504" s="103" t="str">
        <f>VLOOKUP(B504, 'All Menu'!B:M, 3, 0)</f>
        <v>المشاوي صالة</v>
      </c>
      <c r="G504" s="90" t="s">
        <v>2235</v>
      </c>
      <c r="H504" s="188">
        <v>4504</v>
      </c>
      <c r="I504" s="110" t="str">
        <f>VLOOKUP(H504, 'RM &amp; SF'!B:H, 2, 0)</f>
        <v>بصل مشاوي (بصل بيبي)***</v>
      </c>
      <c r="J504" s="184" t="str">
        <f>VLOOKUP(H504, 'RM &amp; SF'!B:E, 4, 0)</f>
        <v>غم</v>
      </c>
      <c r="K504" s="12">
        <v>75</v>
      </c>
      <c r="L504" s="13">
        <f>VLOOKUP(H504, 'RM &amp; SF'!B:H, 7, 0)</f>
        <v>3.5E-4</v>
      </c>
      <c r="M504" s="7">
        <f t="shared" si="26"/>
        <v>2.6249999999999999E-2</v>
      </c>
      <c r="N504" s="4" t="s">
        <v>825</v>
      </c>
      <c r="O504" s="4">
        <f>VLOOKUP(B504, 'All Menu'!B:L, 6, 0)</f>
        <v>8.5344827586206904</v>
      </c>
      <c r="P504" s="6">
        <f>VLOOKUP(B504, 'All Menu'!B:L, 9, 0)</f>
        <v>2.5677258153746889</v>
      </c>
      <c r="Q504" s="14">
        <f>VLOOKUP(B504, 'All Menu'!B:M, 12, 0)</f>
        <v>0.69913515698640016</v>
      </c>
      <c r="R504" s="173">
        <f t="shared" si="27"/>
        <v>0</v>
      </c>
    </row>
    <row r="505" spans="1:18" ht="14" hidden="1">
      <c r="A505" s="78" t="s">
        <v>2518</v>
      </c>
      <c r="B505" s="220" t="s">
        <v>871</v>
      </c>
      <c r="C505" s="185"/>
      <c r="D505" s="103" t="str">
        <f>VLOOKUP(B505, 'All Menu'!B:M, 4, 0)</f>
        <v>شيش طاووق نص كيلو</v>
      </c>
      <c r="E505" s="30" t="str">
        <f>VLOOKUP(B505, 'All Menu'!B:M, 2, 0)</f>
        <v>قسم الصالة</v>
      </c>
      <c r="F505" s="103" t="str">
        <f>VLOOKUP(B505, 'All Menu'!B:M, 3, 0)</f>
        <v>المشاوي صالة</v>
      </c>
      <c r="G505" s="90" t="s">
        <v>2257</v>
      </c>
      <c r="H505" s="188">
        <v>5281</v>
      </c>
      <c r="I505" s="110" t="str">
        <f>VLOOKUP(H505, 'RM &amp; SF'!B:H, 2, 0)</f>
        <v>بندوره مشاوي</v>
      </c>
      <c r="J505" s="184" t="str">
        <f>VLOOKUP(H505, 'RM &amp; SF'!B:E, 4, 0)</f>
        <v>غم</v>
      </c>
      <c r="K505" s="12">
        <v>75</v>
      </c>
      <c r="L505" s="13">
        <f>VLOOKUP(H505, 'RM &amp; SF'!B:H, 7, 0)</f>
        <v>4.0000000000000002E-4</v>
      </c>
      <c r="M505" s="7">
        <f t="shared" si="26"/>
        <v>3.0000000000000002E-2</v>
      </c>
      <c r="N505" s="4" t="s">
        <v>825</v>
      </c>
      <c r="O505" s="4">
        <f>VLOOKUP(B505, 'All Menu'!B:L, 6, 0)</f>
        <v>8.5344827586206904</v>
      </c>
      <c r="P505" s="6">
        <f>VLOOKUP(B505, 'All Menu'!B:L, 9, 0)</f>
        <v>2.5677258153746889</v>
      </c>
      <c r="Q505" s="14">
        <f>VLOOKUP(B505, 'All Menu'!B:M, 12, 0)</f>
        <v>0.69913515698640016</v>
      </c>
      <c r="R505" s="173">
        <f t="shared" si="27"/>
        <v>0</v>
      </c>
    </row>
    <row r="506" spans="1:18" ht="14" hidden="1">
      <c r="A506" s="78" t="s">
        <v>2518</v>
      </c>
      <c r="B506" s="220" t="s">
        <v>871</v>
      </c>
      <c r="C506" s="185"/>
      <c r="D506" s="103" t="str">
        <f>VLOOKUP(B506, 'All Menu'!B:M, 4, 0)</f>
        <v>شيش طاووق نص كيلو</v>
      </c>
      <c r="E506" s="30" t="str">
        <f>VLOOKUP(B506, 'All Menu'!B:M, 2, 0)</f>
        <v>قسم الصالة</v>
      </c>
      <c r="F506" s="103" t="str">
        <f>VLOOKUP(B506, 'All Menu'!B:M, 3, 0)</f>
        <v>المشاوي صالة</v>
      </c>
      <c r="G506" s="90" t="s">
        <v>2396</v>
      </c>
      <c r="H506" s="219" t="s">
        <v>582</v>
      </c>
      <c r="I506" s="110" t="str">
        <f>VLOOKUP(H506, 'RM &amp; SF'!B:H, 2, 0)</f>
        <v>بيواز</v>
      </c>
      <c r="J506" s="184" t="str">
        <f>VLOOKUP(H506, 'RM &amp; SF'!B:E, 4, 0)</f>
        <v>غم</v>
      </c>
      <c r="K506" s="12">
        <v>50</v>
      </c>
      <c r="L506" s="13">
        <f>VLOOKUP(H506, 'RM &amp; SF'!B:H, 7, 0)</f>
        <v>2.0666065869244635E-4</v>
      </c>
      <c r="M506" s="7">
        <f t="shared" si="26"/>
        <v>1.0333032934622318E-2</v>
      </c>
      <c r="N506" s="4" t="s">
        <v>825</v>
      </c>
      <c r="O506" s="4">
        <f>VLOOKUP(B506, 'All Menu'!B:L, 6, 0)</f>
        <v>8.5344827586206904</v>
      </c>
      <c r="P506" s="6">
        <f>VLOOKUP(B506, 'All Menu'!B:L, 9, 0)</f>
        <v>2.5677258153746889</v>
      </c>
      <c r="Q506" s="14">
        <f>VLOOKUP(B506, 'All Menu'!B:M, 12, 0)</f>
        <v>0.69913515698640016</v>
      </c>
      <c r="R506" s="173">
        <f t="shared" si="27"/>
        <v>0</v>
      </c>
    </row>
    <row r="507" spans="1:18" ht="14" hidden="1">
      <c r="A507" s="78" t="s">
        <v>2518</v>
      </c>
      <c r="B507" s="220" t="s">
        <v>871</v>
      </c>
      <c r="C507" s="185"/>
      <c r="D507" s="103" t="str">
        <f>VLOOKUP(B507, 'All Menu'!B:M, 4, 0)</f>
        <v>شيش طاووق نص كيلو</v>
      </c>
      <c r="E507" s="30" t="str">
        <f>VLOOKUP(B507, 'All Menu'!B:M, 2, 0)</f>
        <v>قسم الصالة</v>
      </c>
      <c r="F507" s="103" t="str">
        <f>VLOOKUP(B507, 'All Menu'!B:M, 3, 0)</f>
        <v>المشاوي صالة</v>
      </c>
      <c r="G507" s="90" t="s">
        <v>2331</v>
      </c>
      <c r="H507" s="219" t="s">
        <v>530</v>
      </c>
      <c r="I507" s="110" t="str">
        <f>VLOOKUP(H507, 'RM &amp; SF'!B:H, 2, 0)</f>
        <v>خبز صاج</v>
      </c>
      <c r="J507" s="184" t="str">
        <f>VLOOKUP(H507, 'RM &amp; SF'!B:E, 4, 0)</f>
        <v>غم</v>
      </c>
      <c r="K507" s="12">
        <v>200</v>
      </c>
      <c r="L507" s="13">
        <f>VLOOKUP(H507, 'RM &amp; SF'!B:H, 7, 0)</f>
        <v>1.8806451612903227E-4</v>
      </c>
      <c r="M507" s="7">
        <f t="shared" si="26"/>
        <v>3.7612903225806453E-2</v>
      </c>
      <c r="N507" s="4" t="s">
        <v>825</v>
      </c>
      <c r="O507" s="4">
        <f>VLOOKUP(B507, 'All Menu'!B:L, 6, 0)</f>
        <v>8.5344827586206904</v>
      </c>
      <c r="P507" s="6">
        <f>VLOOKUP(B507, 'All Menu'!B:L, 9, 0)</f>
        <v>2.5677258153746889</v>
      </c>
      <c r="Q507" s="14">
        <f>VLOOKUP(B507, 'All Menu'!B:M, 12, 0)</f>
        <v>0.69913515698640016</v>
      </c>
      <c r="R507" s="173">
        <f t="shared" si="27"/>
        <v>0</v>
      </c>
    </row>
    <row r="508" spans="1:18" ht="14" hidden="1">
      <c r="A508" s="78" t="s">
        <v>2518</v>
      </c>
      <c r="B508" s="220" t="s">
        <v>871</v>
      </c>
      <c r="C508" s="185"/>
      <c r="D508" s="103" t="str">
        <f>VLOOKUP(B508, 'All Menu'!B:M, 4, 0)</f>
        <v>شيش طاووق نص كيلو</v>
      </c>
      <c r="E508" s="30" t="str">
        <f>VLOOKUP(B508, 'All Menu'!B:M, 2, 0)</f>
        <v>قسم الصالة</v>
      </c>
      <c r="F508" s="103" t="str">
        <f>VLOOKUP(B508, 'All Menu'!B:M, 3, 0)</f>
        <v>المشاوي صالة</v>
      </c>
      <c r="G508" s="90" t="s">
        <v>2231</v>
      </c>
      <c r="H508" s="188">
        <v>4499</v>
      </c>
      <c r="I508" s="110" t="str">
        <f>VLOOKUP(H508, 'RM &amp; SF'!B:H, 2, 0)</f>
        <v>فلفل حار اخضر*****</v>
      </c>
      <c r="J508" s="184" t="str">
        <f>VLOOKUP(H508, 'RM &amp; SF'!B:E, 4, 0)</f>
        <v>غم</v>
      </c>
      <c r="K508" s="12">
        <v>20</v>
      </c>
      <c r="L508" s="13">
        <f>VLOOKUP(H508, 'RM &amp; SF'!B:H, 7, 0)</f>
        <v>5.0000000000000001E-4</v>
      </c>
      <c r="M508" s="7">
        <f t="shared" si="26"/>
        <v>0.01</v>
      </c>
      <c r="N508" s="4" t="s">
        <v>825</v>
      </c>
      <c r="O508" s="4">
        <f>VLOOKUP(B508, 'All Menu'!B:L, 6, 0)</f>
        <v>8.5344827586206904</v>
      </c>
      <c r="P508" s="6">
        <f>VLOOKUP(B508, 'All Menu'!B:L, 9, 0)</f>
        <v>2.5677258153746889</v>
      </c>
      <c r="Q508" s="14">
        <f>VLOOKUP(B508, 'All Menu'!B:M, 12, 0)</f>
        <v>0.69913515698640016</v>
      </c>
      <c r="R508" s="173">
        <f t="shared" si="27"/>
        <v>0</v>
      </c>
    </row>
    <row r="509" spans="1:18" ht="14" hidden="1">
      <c r="A509" s="78" t="s">
        <v>2518</v>
      </c>
      <c r="B509" s="220" t="s">
        <v>871</v>
      </c>
      <c r="C509" s="185"/>
      <c r="D509" s="103" t="str">
        <f>VLOOKUP(B509, 'All Menu'!B:M, 4, 0)</f>
        <v>شيش طاووق نص كيلو</v>
      </c>
      <c r="E509" s="30" t="str">
        <f>VLOOKUP(B509, 'All Menu'!B:M, 2, 0)</f>
        <v>قسم الصالة</v>
      </c>
      <c r="F509" s="103" t="str">
        <f>VLOOKUP(B509, 'All Menu'!B:M, 3, 0)</f>
        <v>المشاوي صالة</v>
      </c>
      <c r="G509" s="90" t="s">
        <v>2325</v>
      </c>
      <c r="H509" s="219" t="s">
        <v>534</v>
      </c>
      <c r="I509" s="110" t="str">
        <f>VLOOKUP(H509, 'RM &amp; SF'!B:H, 2, 0)</f>
        <v>مثومه</v>
      </c>
      <c r="J509" s="184" t="str">
        <f>VLOOKUP(H509, 'RM &amp; SF'!B:E, 4, 0)</f>
        <v>غم</v>
      </c>
      <c r="K509" s="12">
        <v>30</v>
      </c>
      <c r="L509" s="13">
        <f>VLOOKUP(H509, 'RM &amp; SF'!B:H, 7, 0)</f>
        <v>6.6564092227821051E-4</v>
      </c>
      <c r="M509" s="7">
        <f t="shared" si="26"/>
        <v>1.9969227668346315E-2</v>
      </c>
      <c r="N509" s="4" t="s">
        <v>825</v>
      </c>
      <c r="O509" s="4">
        <f>VLOOKUP(B509, 'All Menu'!B:L, 6, 0)</f>
        <v>8.5344827586206904</v>
      </c>
      <c r="P509" s="6">
        <f>VLOOKUP(B509, 'All Menu'!B:L, 9, 0)</f>
        <v>2.5677258153746889</v>
      </c>
      <c r="Q509" s="14">
        <f>VLOOKUP(B509, 'All Menu'!B:M, 12, 0)</f>
        <v>0.69913515698640016</v>
      </c>
      <c r="R509" s="173">
        <f t="shared" si="27"/>
        <v>0</v>
      </c>
    </row>
    <row r="510" spans="1:18" ht="14" hidden="1">
      <c r="A510" s="78" t="s">
        <v>2518</v>
      </c>
      <c r="B510" s="220" t="s">
        <v>871</v>
      </c>
      <c r="C510" s="185"/>
      <c r="D510" s="103" t="str">
        <f>VLOOKUP(B510, 'All Menu'!B:M, 4, 0)</f>
        <v>شيش طاووق نص كيلو</v>
      </c>
      <c r="E510" s="30" t="str">
        <f>VLOOKUP(B510, 'All Menu'!B:M, 2, 0)</f>
        <v>قسم الصالة</v>
      </c>
      <c r="F510" s="103" t="str">
        <f>VLOOKUP(B510, 'All Menu'!B:M, 3, 0)</f>
        <v>المشاوي صالة</v>
      </c>
      <c r="G510" s="90" t="s">
        <v>3058</v>
      </c>
      <c r="H510" s="188">
        <v>4483</v>
      </c>
      <c r="I510" s="110" t="str">
        <f>VLOOKUP(H510, 'RM &amp; SF'!B:H, 2, 0)</f>
        <v>مخلل مشكل 10 كغ*****</v>
      </c>
      <c r="J510" s="184" t="str">
        <f>VLOOKUP(H510, 'RM &amp; SF'!B:E, 4, 0)</f>
        <v>غم</v>
      </c>
      <c r="K510" s="12">
        <v>150</v>
      </c>
      <c r="L510" s="13">
        <f>VLOOKUP(H510, 'RM &amp; SF'!B:H, 7, 0)</f>
        <v>6.4999999999999997E-4</v>
      </c>
      <c r="M510" s="7">
        <f t="shared" si="26"/>
        <v>9.7499999999999989E-2</v>
      </c>
      <c r="N510" s="4" t="s">
        <v>825</v>
      </c>
      <c r="O510" s="4">
        <f>VLOOKUP(B510, 'All Menu'!B:L, 6, 0)</f>
        <v>8.5344827586206904</v>
      </c>
      <c r="P510" s="6">
        <f>VLOOKUP(B510, 'All Menu'!B:L, 9, 0)</f>
        <v>2.5677258153746889</v>
      </c>
      <c r="Q510" s="14">
        <f>VLOOKUP(B510, 'All Menu'!B:M, 12, 0)</f>
        <v>0.69913515698640016</v>
      </c>
      <c r="R510" s="173">
        <f t="shared" si="27"/>
        <v>0</v>
      </c>
    </row>
    <row r="511" spans="1:18" ht="14" hidden="1">
      <c r="A511" s="78" t="s">
        <v>2525</v>
      </c>
      <c r="B511" s="220" t="s">
        <v>872</v>
      </c>
      <c r="C511" s="185"/>
      <c r="D511" s="103" t="str">
        <f>VLOOKUP(B511, 'All Menu'!B:M, 4, 0)</f>
        <v>ريش خاروف مشوية نص كيلو</v>
      </c>
      <c r="E511" s="30" t="str">
        <f>VLOOKUP(B511, 'All Menu'!B:M, 2, 0)</f>
        <v>قسم الصالة</v>
      </c>
      <c r="F511" s="103" t="str">
        <f>VLOOKUP(B511, 'All Menu'!B:M, 3, 0)</f>
        <v>المشاوي صالة</v>
      </c>
      <c r="G511" s="90" t="s">
        <v>3058</v>
      </c>
      <c r="H511" s="188">
        <v>4614</v>
      </c>
      <c r="I511" s="110" t="str">
        <f>VLOOKUP(H511, 'RM &amp; SF'!B:H, 2, 0)</f>
        <v>ريش ضأن متبلة*****</v>
      </c>
      <c r="J511" s="184" t="str">
        <f>VLOOKUP(H511, 'RM &amp; SF'!B:E, 4, 0)</f>
        <v>غم</v>
      </c>
      <c r="K511" s="12">
        <v>500</v>
      </c>
      <c r="L511" s="13">
        <f>VLOOKUP(H511, 'RM &amp; SF'!B:H, 7, 0)</f>
        <v>1.4E-2</v>
      </c>
      <c r="M511" s="7">
        <f t="shared" si="26"/>
        <v>7</v>
      </c>
      <c r="N511" s="4" t="s">
        <v>825</v>
      </c>
      <c r="O511" s="4">
        <f>VLOOKUP(B511, 'All Menu'!B:L, 6, 0)</f>
        <v>11.63793103448276</v>
      </c>
      <c r="P511" s="6">
        <f>VLOOKUP(B511, 'All Menu'!B:L, 9, 0)</f>
        <v>7.1069459361604279</v>
      </c>
      <c r="Q511" s="14">
        <f>VLOOKUP(B511, 'All Menu'!B:M, 12, 0)</f>
        <v>0.38932908992991883</v>
      </c>
      <c r="R511" s="173">
        <f t="shared" si="27"/>
        <v>0</v>
      </c>
    </row>
    <row r="512" spans="1:18" ht="14" hidden="1">
      <c r="A512" s="78" t="s">
        <v>2525</v>
      </c>
      <c r="B512" s="220" t="s">
        <v>872</v>
      </c>
      <c r="C512" s="185"/>
      <c r="D512" s="103" t="str">
        <f>VLOOKUP(B512, 'All Menu'!B:M, 4, 0)</f>
        <v>ريش خاروف مشوية نص كيلو</v>
      </c>
      <c r="E512" s="30" t="str">
        <f>VLOOKUP(B512, 'All Menu'!B:M, 2, 0)</f>
        <v>قسم الصالة</v>
      </c>
      <c r="F512" s="103" t="str">
        <f>VLOOKUP(B512, 'All Menu'!B:M, 3, 0)</f>
        <v>المشاوي صالة</v>
      </c>
      <c r="G512" s="90" t="s">
        <v>2235</v>
      </c>
      <c r="H512" s="188">
        <v>4504</v>
      </c>
      <c r="I512" s="110" t="str">
        <f>VLOOKUP(H512, 'RM &amp; SF'!B:H, 2, 0)</f>
        <v>بصل مشاوي (بصل بيبي)***</v>
      </c>
      <c r="J512" s="184" t="str">
        <f>VLOOKUP(H512, 'RM &amp; SF'!B:E, 4, 0)</f>
        <v>غم</v>
      </c>
      <c r="K512" s="12">
        <v>60</v>
      </c>
      <c r="L512" s="13">
        <f>VLOOKUP(H512, 'RM &amp; SF'!B:H, 7, 0)</f>
        <v>3.5E-4</v>
      </c>
      <c r="M512" s="7">
        <f t="shared" si="26"/>
        <v>2.1000000000000001E-2</v>
      </c>
      <c r="N512" s="4" t="s">
        <v>825</v>
      </c>
      <c r="O512" s="4">
        <f>VLOOKUP(B512, 'All Menu'!B:L, 6, 0)</f>
        <v>11.63793103448276</v>
      </c>
      <c r="P512" s="6">
        <f>VLOOKUP(B512, 'All Menu'!B:L, 9, 0)</f>
        <v>7.1069459361604279</v>
      </c>
      <c r="Q512" s="14">
        <f>VLOOKUP(B512, 'All Menu'!B:M, 12, 0)</f>
        <v>0.38932908992991883</v>
      </c>
      <c r="R512" s="173">
        <f t="shared" si="27"/>
        <v>0</v>
      </c>
    </row>
    <row r="513" spans="1:18" ht="14" hidden="1">
      <c r="A513" s="78" t="s">
        <v>2525</v>
      </c>
      <c r="B513" s="220" t="s">
        <v>872</v>
      </c>
      <c r="C513" s="185"/>
      <c r="D513" s="103" t="str">
        <f>VLOOKUP(B513, 'All Menu'!B:M, 4, 0)</f>
        <v>ريش خاروف مشوية نص كيلو</v>
      </c>
      <c r="E513" s="30" t="str">
        <f>VLOOKUP(B513, 'All Menu'!B:M, 2, 0)</f>
        <v>قسم الصالة</v>
      </c>
      <c r="F513" s="103" t="str">
        <f>VLOOKUP(B513, 'All Menu'!B:M, 3, 0)</f>
        <v>المشاوي صالة</v>
      </c>
      <c r="G513" s="90" t="s">
        <v>2257</v>
      </c>
      <c r="H513" s="188">
        <v>5281</v>
      </c>
      <c r="I513" s="110" t="str">
        <f>VLOOKUP(H513, 'RM &amp; SF'!B:H, 2, 0)</f>
        <v>بندوره مشاوي</v>
      </c>
      <c r="J513" s="184" t="str">
        <f>VLOOKUP(H513, 'RM &amp; SF'!B:E, 4, 0)</f>
        <v>غم</v>
      </c>
      <c r="K513" s="12">
        <v>70</v>
      </c>
      <c r="L513" s="13">
        <f>VLOOKUP(H513, 'RM &amp; SF'!B:H, 7, 0)</f>
        <v>4.0000000000000002E-4</v>
      </c>
      <c r="M513" s="7">
        <f t="shared" si="26"/>
        <v>2.8000000000000001E-2</v>
      </c>
      <c r="N513" s="4" t="s">
        <v>825</v>
      </c>
      <c r="O513" s="4">
        <f>VLOOKUP(B513, 'All Menu'!B:L, 6, 0)</f>
        <v>11.63793103448276</v>
      </c>
      <c r="P513" s="6">
        <f>VLOOKUP(B513, 'All Menu'!B:L, 9, 0)</f>
        <v>7.1069459361604279</v>
      </c>
      <c r="Q513" s="14">
        <f>VLOOKUP(B513, 'All Menu'!B:M, 12, 0)</f>
        <v>0.38932908992991883</v>
      </c>
      <c r="R513" s="173">
        <f t="shared" si="27"/>
        <v>0</v>
      </c>
    </row>
    <row r="514" spans="1:18" ht="14" hidden="1">
      <c r="A514" s="78" t="s">
        <v>2525</v>
      </c>
      <c r="B514" s="220" t="s">
        <v>872</v>
      </c>
      <c r="C514" s="185"/>
      <c r="D514" s="103" t="str">
        <f>VLOOKUP(B514, 'All Menu'!B:M, 4, 0)</f>
        <v>ريش خاروف مشوية نص كيلو</v>
      </c>
      <c r="E514" s="30" t="str">
        <f>VLOOKUP(B514, 'All Menu'!B:M, 2, 0)</f>
        <v>قسم الصالة</v>
      </c>
      <c r="F514" s="103" t="str">
        <f>VLOOKUP(B514, 'All Menu'!B:M, 3, 0)</f>
        <v>المشاوي صالة</v>
      </c>
      <c r="G514" s="90" t="s">
        <v>2396</v>
      </c>
      <c r="H514" s="219" t="s">
        <v>582</v>
      </c>
      <c r="I514" s="110" t="str">
        <f>VLOOKUP(H514, 'RM &amp; SF'!B:H, 2, 0)</f>
        <v>بيواز</v>
      </c>
      <c r="J514" s="184" t="str">
        <f>VLOOKUP(H514, 'RM &amp; SF'!B:E, 4, 0)</f>
        <v>غم</v>
      </c>
      <c r="K514" s="12">
        <v>50</v>
      </c>
      <c r="L514" s="13">
        <f>VLOOKUP(H514, 'RM &amp; SF'!B:H, 7, 0)</f>
        <v>2.0666065869244635E-4</v>
      </c>
      <c r="M514" s="7">
        <f t="shared" si="26"/>
        <v>1.0333032934622318E-2</v>
      </c>
      <c r="N514" s="4" t="s">
        <v>825</v>
      </c>
      <c r="O514" s="4">
        <f>VLOOKUP(B514, 'All Menu'!B:L, 6, 0)</f>
        <v>11.63793103448276</v>
      </c>
      <c r="P514" s="6">
        <f>VLOOKUP(B514, 'All Menu'!B:L, 9, 0)</f>
        <v>7.1069459361604279</v>
      </c>
      <c r="Q514" s="14">
        <f>VLOOKUP(B514, 'All Menu'!B:M, 12, 0)</f>
        <v>0.38932908992991883</v>
      </c>
      <c r="R514" s="173">
        <f t="shared" si="27"/>
        <v>0</v>
      </c>
    </row>
    <row r="515" spans="1:18" ht="14" hidden="1">
      <c r="A515" s="78" t="s">
        <v>2525</v>
      </c>
      <c r="B515" s="220" t="s">
        <v>872</v>
      </c>
      <c r="C515" s="185"/>
      <c r="D515" s="103" t="str">
        <f>VLOOKUP(B515, 'All Menu'!B:M, 4, 0)</f>
        <v>ريش خاروف مشوية نص كيلو</v>
      </c>
      <c r="E515" s="30" t="str">
        <f>VLOOKUP(B515, 'All Menu'!B:M, 2, 0)</f>
        <v>قسم الصالة</v>
      </c>
      <c r="F515" s="103" t="str">
        <f>VLOOKUP(B515, 'All Menu'!B:M, 3, 0)</f>
        <v>المشاوي صالة</v>
      </c>
      <c r="G515" s="90" t="s">
        <v>2331</v>
      </c>
      <c r="H515" s="219" t="s">
        <v>530</v>
      </c>
      <c r="I515" s="110" t="str">
        <f>VLOOKUP(H515, 'RM &amp; SF'!B:H, 2, 0)</f>
        <v>خبز صاج</v>
      </c>
      <c r="J515" s="184" t="str">
        <f>VLOOKUP(H515, 'RM &amp; SF'!B:E, 4, 0)</f>
        <v>غم</v>
      </c>
      <c r="K515" s="12">
        <v>200</v>
      </c>
      <c r="L515" s="13">
        <f>VLOOKUP(H515, 'RM &amp; SF'!B:H, 7, 0)</f>
        <v>1.8806451612903227E-4</v>
      </c>
      <c r="M515" s="7">
        <f t="shared" si="26"/>
        <v>3.7612903225806453E-2</v>
      </c>
      <c r="N515" s="4" t="s">
        <v>825</v>
      </c>
      <c r="O515" s="4">
        <f>VLOOKUP(B515, 'All Menu'!B:L, 6, 0)</f>
        <v>11.63793103448276</v>
      </c>
      <c r="P515" s="6">
        <f>VLOOKUP(B515, 'All Menu'!B:L, 9, 0)</f>
        <v>7.1069459361604279</v>
      </c>
      <c r="Q515" s="14">
        <f>VLOOKUP(B515, 'All Menu'!B:M, 12, 0)</f>
        <v>0.38932908992991883</v>
      </c>
      <c r="R515" s="173">
        <f t="shared" si="27"/>
        <v>0</v>
      </c>
    </row>
    <row r="516" spans="1:18" ht="14" hidden="1">
      <c r="A516" s="78" t="s">
        <v>2525</v>
      </c>
      <c r="B516" s="220" t="s">
        <v>872</v>
      </c>
      <c r="C516" s="185"/>
      <c r="D516" s="103" t="str">
        <f>VLOOKUP(B516, 'All Menu'!B:M, 4, 0)</f>
        <v>ريش خاروف مشوية نص كيلو</v>
      </c>
      <c r="E516" s="30" t="str">
        <f>VLOOKUP(B516, 'All Menu'!B:M, 2, 0)</f>
        <v>قسم الصالة</v>
      </c>
      <c r="F516" s="103" t="str">
        <f>VLOOKUP(B516, 'All Menu'!B:M, 3, 0)</f>
        <v>المشاوي صالة</v>
      </c>
      <c r="G516" s="90" t="s">
        <v>2231</v>
      </c>
      <c r="H516" s="188">
        <v>4499</v>
      </c>
      <c r="I516" s="110" t="str">
        <f>VLOOKUP(H516, 'RM &amp; SF'!B:H, 2, 0)</f>
        <v>فلفل حار اخضر*****</v>
      </c>
      <c r="J516" s="184" t="str">
        <f>VLOOKUP(H516, 'RM &amp; SF'!B:E, 4, 0)</f>
        <v>غم</v>
      </c>
      <c r="K516" s="12">
        <v>20</v>
      </c>
      <c r="L516" s="13">
        <f>VLOOKUP(H516, 'RM &amp; SF'!B:H, 7, 0)</f>
        <v>5.0000000000000001E-4</v>
      </c>
      <c r="M516" s="7">
        <f t="shared" si="26"/>
        <v>0.01</v>
      </c>
      <c r="N516" s="4" t="s">
        <v>825</v>
      </c>
      <c r="O516" s="4">
        <f>VLOOKUP(B516, 'All Menu'!B:L, 6, 0)</f>
        <v>11.63793103448276</v>
      </c>
      <c r="P516" s="6">
        <f>VLOOKUP(B516, 'All Menu'!B:L, 9, 0)</f>
        <v>7.1069459361604279</v>
      </c>
      <c r="Q516" s="14">
        <f>VLOOKUP(B516, 'All Menu'!B:M, 12, 0)</f>
        <v>0.38932908992991883</v>
      </c>
      <c r="R516" s="173">
        <f t="shared" si="27"/>
        <v>0</v>
      </c>
    </row>
    <row r="517" spans="1:18" ht="14" hidden="1">
      <c r="A517" s="78" t="s">
        <v>2522</v>
      </c>
      <c r="B517" s="220" t="s">
        <v>873</v>
      </c>
      <c r="C517" s="185"/>
      <c r="D517" s="103" t="str">
        <f>VLOOKUP(B517, 'All Menu'!B:M, 4, 0)</f>
        <v>كبدة خاروف مشوية نص كيلو</v>
      </c>
      <c r="E517" s="30" t="str">
        <f>VLOOKUP(B517, 'All Menu'!B:M, 2, 0)</f>
        <v>قسم الصالة</v>
      </c>
      <c r="F517" s="103" t="str">
        <f>VLOOKUP(B517, 'All Menu'!B:M, 3, 0)</f>
        <v>المشاوي صالة</v>
      </c>
      <c r="G517" s="90" t="s">
        <v>3058</v>
      </c>
      <c r="H517" s="188">
        <v>1082</v>
      </c>
      <c r="I517" s="110" t="str">
        <f>VLOOKUP(H517, 'RM &amp; SF'!B:H, 2, 0)</f>
        <v>كبدة غنم</v>
      </c>
      <c r="J517" s="184" t="str">
        <f>VLOOKUP(H517, 'RM &amp; SF'!B:E, 4, 0)</f>
        <v>غم</v>
      </c>
      <c r="K517" s="12">
        <v>500</v>
      </c>
      <c r="L517" s="13">
        <f>VLOOKUP(H517, 'RM &amp; SF'!B:H, 7, 0)</f>
        <v>7.0000000000000001E-3</v>
      </c>
      <c r="M517" s="7">
        <f t="shared" si="26"/>
        <v>3.5</v>
      </c>
      <c r="N517" s="4" t="s">
        <v>825</v>
      </c>
      <c r="O517" s="4">
        <f>VLOOKUP(B517, 'All Menu'!B:L, 6, 0)</f>
        <v>6.8965517241379315</v>
      </c>
      <c r="P517" s="6">
        <f>VLOOKUP(B517, 'All Menu'!B:L, 9, 0)</f>
        <v>3.6495342694937616</v>
      </c>
      <c r="Q517" s="14">
        <f>VLOOKUP(B517, 'All Menu'!B:M, 12, 0)</f>
        <v>0.47081753092340461</v>
      </c>
      <c r="R517" s="173">
        <f t="shared" si="27"/>
        <v>0</v>
      </c>
    </row>
    <row r="518" spans="1:18" ht="14" hidden="1">
      <c r="A518" s="78" t="s">
        <v>2522</v>
      </c>
      <c r="B518" s="220" t="s">
        <v>873</v>
      </c>
      <c r="C518" s="185"/>
      <c r="D518" s="103" t="str">
        <f>VLOOKUP(B518, 'All Menu'!B:M, 4, 0)</f>
        <v>كبدة خاروف مشوية نص كيلو</v>
      </c>
      <c r="E518" s="30" t="str">
        <f>VLOOKUP(B518, 'All Menu'!B:M, 2, 0)</f>
        <v>قسم الصالة</v>
      </c>
      <c r="F518" s="103" t="str">
        <f>VLOOKUP(B518, 'All Menu'!B:M, 3, 0)</f>
        <v>المشاوي صالة</v>
      </c>
      <c r="G518" s="90" t="s">
        <v>2203</v>
      </c>
      <c r="H518" s="188">
        <v>4152</v>
      </c>
      <c r="I518" s="110" t="str">
        <f>VLOOKUP(H518, 'RM &amp; SF'!B:H, 2, 0)</f>
        <v>ملح طعام 750غم*****</v>
      </c>
      <c r="J518" s="184" t="str">
        <f>VLOOKUP(H518, 'RM &amp; SF'!B:E, 4, 0)</f>
        <v>غم</v>
      </c>
      <c r="K518" s="12">
        <v>5</v>
      </c>
      <c r="L518" s="13">
        <f>VLOOKUP(H518, 'RM &amp; SF'!B:H, 7, 0)</f>
        <v>1.7066666666666665E-4</v>
      </c>
      <c r="M518" s="7">
        <f t="shared" si="26"/>
        <v>8.5333333333333322E-4</v>
      </c>
      <c r="N518" s="4" t="s">
        <v>825</v>
      </c>
      <c r="O518" s="4">
        <f>VLOOKUP(B518, 'All Menu'!B:L, 6, 0)</f>
        <v>6.8965517241379315</v>
      </c>
      <c r="P518" s="6">
        <f>VLOOKUP(B518, 'All Menu'!B:L, 9, 0)</f>
        <v>3.6495342694937616</v>
      </c>
      <c r="Q518" s="14">
        <f>VLOOKUP(B518, 'All Menu'!B:M, 12, 0)</f>
        <v>0.47081753092340461</v>
      </c>
      <c r="R518" s="173">
        <f t="shared" si="27"/>
        <v>0</v>
      </c>
    </row>
    <row r="519" spans="1:18" ht="14" hidden="1">
      <c r="A519" s="78" t="s">
        <v>2522</v>
      </c>
      <c r="B519" s="220" t="s">
        <v>873</v>
      </c>
      <c r="C519" s="185"/>
      <c r="D519" s="103" t="str">
        <f>VLOOKUP(B519, 'All Menu'!B:M, 4, 0)</f>
        <v>كبدة خاروف مشوية نص كيلو</v>
      </c>
      <c r="E519" s="30" t="str">
        <f>VLOOKUP(B519, 'All Menu'!B:M, 2, 0)</f>
        <v>قسم الصالة</v>
      </c>
      <c r="F519" s="103" t="str">
        <f>VLOOKUP(B519, 'All Menu'!B:M, 3, 0)</f>
        <v>المشاوي صالة</v>
      </c>
      <c r="G519" s="90" t="s">
        <v>2206</v>
      </c>
      <c r="H519" s="188">
        <v>4204</v>
      </c>
      <c r="I519" s="110" t="str">
        <f>VLOOKUP(H519, 'RM &amp; SF'!B:H, 2, 0)</f>
        <v>فلفل اسود ناعم*****</v>
      </c>
      <c r="J519" s="184" t="str">
        <f>VLOOKUP(H519, 'RM &amp; SF'!B:E, 4, 0)</f>
        <v>غم</v>
      </c>
      <c r="K519" s="12">
        <v>5</v>
      </c>
      <c r="L519" s="13">
        <f>VLOOKUP(H519, 'RM &amp; SF'!B:H, 7, 0)</f>
        <v>6.8970000000000004E-3</v>
      </c>
      <c r="M519" s="7">
        <f t="shared" si="26"/>
        <v>3.4485000000000002E-2</v>
      </c>
      <c r="N519" s="4" t="s">
        <v>825</v>
      </c>
      <c r="O519" s="4">
        <f>VLOOKUP(B519, 'All Menu'!B:L, 6, 0)</f>
        <v>6.8965517241379315</v>
      </c>
      <c r="P519" s="6">
        <f>VLOOKUP(B519, 'All Menu'!B:L, 9, 0)</f>
        <v>3.6495342694937616</v>
      </c>
      <c r="Q519" s="14">
        <f>VLOOKUP(B519, 'All Menu'!B:M, 12, 0)</f>
        <v>0.47081753092340461</v>
      </c>
      <c r="R519" s="173">
        <f t="shared" si="27"/>
        <v>0</v>
      </c>
    </row>
    <row r="520" spans="1:18" ht="14" hidden="1">
      <c r="A520" s="78" t="s">
        <v>2522</v>
      </c>
      <c r="B520" s="220" t="s">
        <v>873</v>
      </c>
      <c r="C520" s="185"/>
      <c r="D520" s="103" t="str">
        <f>VLOOKUP(B520, 'All Menu'!B:M, 4, 0)</f>
        <v>كبدة خاروف مشوية نص كيلو</v>
      </c>
      <c r="E520" s="30" t="str">
        <f>VLOOKUP(B520, 'All Menu'!B:M, 2, 0)</f>
        <v>قسم الصالة</v>
      </c>
      <c r="F520" s="103" t="str">
        <f>VLOOKUP(B520, 'All Menu'!B:M, 3, 0)</f>
        <v>المشاوي صالة</v>
      </c>
      <c r="G520" s="90" t="s">
        <v>2235</v>
      </c>
      <c r="H520" s="188">
        <v>4504</v>
      </c>
      <c r="I520" s="110" t="str">
        <f>VLOOKUP(H520, 'RM &amp; SF'!B:H, 2, 0)</f>
        <v>بصل مشاوي (بصل بيبي)***</v>
      </c>
      <c r="J520" s="184" t="str">
        <f>VLOOKUP(H520, 'RM &amp; SF'!B:E, 4, 0)</f>
        <v>غم</v>
      </c>
      <c r="K520" s="12">
        <v>75</v>
      </c>
      <c r="L520" s="13">
        <f>VLOOKUP(H520, 'RM &amp; SF'!B:H, 7, 0)</f>
        <v>3.5E-4</v>
      </c>
      <c r="M520" s="7">
        <f t="shared" si="26"/>
        <v>2.6249999999999999E-2</v>
      </c>
      <c r="N520" s="4" t="s">
        <v>825</v>
      </c>
      <c r="O520" s="4">
        <f>VLOOKUP(B520, 'All Menu'!B:L, 6, 0)</f>
        <v>6.8965517241379315</v>
      </c>
      <c r="P520" s="6">
        <f>VLOOKUP(B520, 'All Menu'!B:L, 9, 0)</f>
        <v>3.6495342694937616</v>
      </c>
      <c r="Q520" s="14">
        <f>VLOOKUP(B520, 'All Menu'!B:M, 12, 0)</f>
        <v>0.47081753092340461</v>
      </c>
      <c r="R520" s="173">
        <f t="shared" si="27"/>
        <v>0</v>
      </c>
    </row>
    <row r="521" spans="1:18" ht="14" hidden="1">
      <c r="A521" s="78" t="s">
        <v>2522</v>
      </c>
      <c r="B521" s="220" t="s">
        <v>873</v>
      </c>
      <c r="C521" s="185"/>
      <c r="D521" s="103" t="str">
        <f>VLOOKUP(B521, 'All Menu'!B:M, 4, 0)</f>
        <v>كبدة خاروف مشوية نص كيلو</v>
      </c>
      <c r="E521" s="30" t="str">
        <f>VLOOKUP(B521, 'All Menu'!B:M, 2, 0)</f>
        <v>قسم الصالة</v>
      </c>
      <c r="F521" s="103" t="str">
        <f>VLOOKUP(B521, 'All Menu'!B:M, 3, 0)</f>
        <v>المشاوي صالة</v>
      </c>
      <c r="G521" s="90" t="s">
        <v>2257</v>
      </c>
      <c r="H521" s="188">
        <v>5281</v>
      </c>
      <c r="I521" s="110" t="str">
        <f>VLOOKUP(H521, 'RM &amp; SF'!B:H, 2, 0)</f>
        <v>بندوره مشاوي</v>
      </c>
      <c r="J521" s="184" t="str">
        <f>VLOOKUP(H521, 'RM &amp; SF'!B:E, 4, 0)</f>
        <v>غم</v>
      </c>
      <c r="K521" s="12">
        <v>75</v>
      </c>
      <c r="L521" s="13">
        <f>VLOOKUP(H521, 'RM &amp; SF'!B:H, 7, 0)</f>
        <v>4.0000000000000002E-4</v>
      </c>
      <c r="M521" s="7">
        <f t="shared" si="26"/>
        <v>3.0000000000000002E-2</v>
      </c>
      <c r="N521" s="4" t="s">
        <v>825</v>
      </c>
      <c r="O521" s="4">
        <f>VLOOKUP(B521, 'All Menu'!B:L, 6, 0)</f>
        <v>6.8965517241379315</v>
      </c>
      <c r="P521" s="6">
        <f>VLOOKUP(B521, 'All Menu'!B:L, 9, 0)</f>
        <v>3.6495342694937616</v>
      </c>
      <c r="Q521" s="14">
        <f>VLOOKUP(B521, 'All Menu'!B:M, 12, 0)</f>
        <v>0.47081753092340461</v>
      </c>
      <c r="R521" s="173">
        <f t="shared" si="27"/>
        <v>0</v>
      </c>
    </row>
    <row r="522" spans="1:18" ht="14" hidden="1">
      <c r="A522" s="78" t="s">
        <v>2522</v>
      </c>
      <c r="B522" s="220" t="s">
        <v>873</v>
      </c>
      <c r="C522" s="185"/>
      <c r="D522" s="103" t="str">
        <f>VLOOKUP(B522, 'All Menu'!B:M, 4, 0)</f>
        <v>كبدة خاروف مشوية نص كيلو</v>
      </c>
      <c r="E522" s="30" t="str">
        <f>VLOOKUP(B522, 'All Menu'!B:M, 2, 0)</f>
        <v>قسم الصالة</v>
      </c>
      <c r="F522" s="103" t="str">
        <f>VLOOKUP(B522, 'All Menu'!B:M, 3, 0)</f>
        <v>المشاوي صالة</v>
      </c>
      <c r="G522" s="90" t="s">
        <v>2396</v>
      </c>
      <c r="H522" s="219" t="s">
        <v>582</v>
      </c>
      <c r="I522" s="110" t="str">
        <f>VLOOKUP(H522, 'RM &amp; SF'!B:H, 2, 0)</f>
        <v>بيواز</v>
      </c>
      <c r="J522" s="184" t="str">
        <f>VLOOKUP(H522, 'RM &amp; SF'!B:E, 4, 0)</f>
        <v>غم</v>
      </c>
      <c r="K522" s="12">
        <v>50</v>
      </c>
      <c r="L522" s="13">
        <f>VLOOKUP(H522, 'RM &amp; SF'!B:H, 7, 0)</f>
        <v>2.0666065869244635E-4</v>
      </c>
      <c r="M522" s="7">
        <f t="shared" si="26"/>
        <v>1.0333032934622318E-2</v>
      </c>
      <c r="N522" s="4" t="s">
        <v>825</v>
      </c>
      <c r="O522" s="4">
        <f>VLOOKUP(B522, 'All Menu'!B:L, 6, 0)</f>
        <v>6.8965517241379315</v>
      </c>
      <c r="P522" s="6">
        <f>VLOOKUP(B522, 'All Menu'!B:L, 9, 0)</f>
        <v>3.6495342694937616</v>
      </c>
      <c r="Q522" s="14">
        <f>VLOOKUP(B522, 'All Menu'!B:M, 12, 0)</f>
        <v>0.47081753092340461</v>
      </c>
      <c r="R522" s="173">
        <f t="shared" si="27"/>
        <v>0</v>
      </c>
    </row>
    <row r="523" spans="1:18" ht="14" hidden="1">
      <c r="A523" s="78" t="s">
        <v>2522</v>
      </c>
      <c r="B523" s="220" t="s">
        <v>873</v>
      </c>
      <c r="C523" s="185"/>
      <c r="D523" s="103" t="str">
        <f>VLOOKUP(B523, 'All Menu'!B:M, 4, 0)</f>
        <v>كبدة خاروف مشوية نص كيلو</v>
      </c>
      <c r="E523" s="30" t="str">
        <f>VLOOKUP(B523, 'All Menu'!B:M, 2, 0)</f>
        <v>قسم الصالة</v>
      </c>
      <c r="F523" s="103" t="str">
        <f>VLOOKUP(B523, 'All Menu'!B:M, 3, 0)</f>
        <v>المشاوي صالة</v>
      </c>
      <c r="G523" s="90" t="s">
        <v>2331</v>
      </c>
      <c r="H523" s="219" t="s">
        <v>530</v>
      </c>
      <c r="I523" s="110" t="str">
        <f>VLOOKUP(H523, 'RM &amp; SF'!B:H, 2, 0)</f>
        <v>خبز صاج</v>
      </c>
      <c r="J523" s="184" t="str">
        <f>VLOOKUP(H523, 'RM &amp; SF'!B:E, 4, 0)</f>
        <v>غم</v>
      </c>
      <c r="K523" s="12">
        <v>200</v>
      </c>
      <c r="L523" s="13">
        <f>VLOOKUP(H523, 'RM &amp; SF'!B:H, 7, 0)</f>
        <v>1.8806451612903227E-4</v>
      </c>
      <c r="M523" s="7">
        <f t="shared" si="26"/>
        <v>3.7612903225806453E-2</v>
      </c>
      <c r="N523" s="4" t="s">
        <v>825</v>
      </c>
      <c r="O523" s="4">
        <f>VLOOKUP(B523, 'All Menu'!B:L, 6, 0)</f>
        <v>6.8965517241379315</v>
      </c>
      <c r="P523" s="6">
        <f>VLOOKUP(B523, 'All Menu'!B:L, 9, 0)</f>
        <v>3.6495342694937616</v>
      </c>
      <c r="Q523" s="14">
        <f>VLOOKUP(B523, 'All Menu'!B:M, 12, 0)</f>
        <v>0.47081753092340461</v>
      </c>
      <c r="R523" s="173">
        <f t="shared" si="27"/>
        <v>0</v>
      </c>
    </row>
    <row r="524" spans="1:18" ht="14" hidden="1">
      <c r="A524" s="78" t="s">
        <v>2522</v>
      </c>
      <c r="B524" s="220" t="s">
        <v>873</v>
      </c>
      <c r="C524" s="185"/>
      <c r="D524" s="103" t="str">
        <f>VLOOKUP(B524, 'All Menu'!B:M, 4, 0)</f>
        <v>كبدة خاروف مشوية نص كيلو</v>
      </c>
      <c r="E524" s="30" t="str">
        <f>VLOOKUP(B524, 'All Menu'!B:M, 2, 0)</f>
        <v>قسم الصالة</v>
      </c>
      <c r="F524" s="103" t="str">
        <f>VLOOKUP(B524, 'All Menu'!B:M, 3, 0)</f>
        <v>المشاوي صالة</v>
      </c>
      <c r="G524" s="90" t="s">
        <v>2231</v>
      </c>
      <c r="H524" s="188">
        <v>4499</v>
      </c>
      <c r="I524" s="110" t="str">
        <f>VLOOKUP(H524, 'RM &amp; SF'!B:H, 2, 0)</f>
        <v>فلفل حار اخضر*****</v>
      </c>
      <c r="J524" s="184" t="str">
        <f>VLOOKUP(H524, 'RM &amp; SF'!B:E, 4, 0)</f>
        <v>غم</v>
      </c>
      <c r="K524" s="12">
        <v>20</v>
      </c>
      <c r="L524" s="13">
        <f>VLOOKUP(H524, 'RM &amp; SF'!B:H, 7, 0)</f>
        <v>5.0000000000000001E-4</v>
      </c>
      <c r="M524" s="7">
        <f t="shared" si="26"/>
        <v>0.01</v>
      </c>
      <c r="N524" s="4" t="s">
        <v>825</v>
      </c>
      <c r="O524" s="4">
        <f>VLOOKUP(B524, 'All Menu'!B:L, 6, 0)</f>
        <v>6.8965517241379315</v>
      </c>
      <c r="P524" s="6">
        <f>VLOOKUP(B524, 'All Menu'!B:L, 9, 0)</f>
        <v>3.6495342694937616</v>
      </c>
      <c r="Q524" s="14">
        <f>VLOOKUP(B524, 'All Menu'!B:M, 12, 0)</f>
        <v>0.47081753092340461</v>
      </c>
      <c r="R524" s="173">
        <f t="shared" si="27"/>
        <v>0</v>
      </c>
    </row>
    <row r="525" spans="1:18" ht="14" hidden="1">
      <c r="A525" s="78" t="s">
        <v>2523</v>
      </c>
      <c r="B525" s="220" t="s">
        <v>874</v>
      </c>
      <c r="C525" s="185"/>
      <c r="D525" s="103" t="str">
        <f>VLOOKUP(B525, 'All Menu'!B:M, 4, 0)</f>
        <v>نصف دجاجة تركي</v>
      </c>
      <c r="E525" s="30" t="str">
        <f>VLOOKUP(B525, 'All Menu'!B:M, 2, 0)</f>
        <v>قسم الصالة</v>
      </c>
      <c r="F525" s="103" t="str">
        <f>VLOOKUP(B525, 'All Menu'!B:M, 3, 0)</f>
        <v>المشاوي صالة</v>
      </c>
      <c r="G525" s="90" t="s">
        <v>2384</v>
      </c>
      <c r="H525" s="219" t="s">
        <v>538</v>
      </c>
      <c r="I525" s="110" t="str">
        <f>VLOOKUP(H525, 'RM &amp; SF'!B:H, 2, 0)</f>
        <v>دجاج تركي</v>
      </c>
      <c r="J525" s="184" t="str">
        <f>VLOOKUP(H525, 'RM &amp; SF'!B:E, 4, 0)</f>
        <v>قطعة</v>
      </c>
      <c r="K525" s="12">
        <v>0.5</v>
      </c>
      <c r="L525" s="13">
        <f>VLOOKUP(H525, 'RM &amp; SF'!B:H, 7, 0)</f>
        <v>3.5399982955314506</v>
      </c>
      <c r="M525" s="7">
        <f t="shared" si="26"/>
        <v>1.7699991477657253</v>
      </c>
      <c r="N525" s="4" t="s">
        <v>825</v>
      </c>
      <c r="O525" s="4">
        <f>VLOOKUP(B525, 'All Menu'!B:L, 6, 0)</f>
        <v>3.75</v>
      </c>
      <c r="P525" s="6">
        <f>VLOOKUP(B525, 'All Menu'!B:L, 9, 0)</f>
        <v>2.021245083926154</v>
      </c>
      <c r="Q525" s="14">
        <f>VLOOKUP(B525, 'All Menu'!B:M, 12, 0)</f>
        <v>0.4610013109530256</v>
      </c>
      <c r="R525" s="173">
        <f t="shared" si="27"/>
        <v>0</v>
      </c>
    </row>
    <row r="526" spans="1:18" ht="14" hidden="1">
      <c r="A526" s="78" t="s">
        <v>2523</v>
      </c>
      <c r="B526" s="220" t="s">
        <v>874</v>
      </c>
      <c r="C526" s="185"/>
      <c r="D526" s="103" t="str">
        <f>VLOOKUP(B526, 'All Menu'!B:M, 4, 0)</f>
        <v>نصف دجاجة تركي</v>
      </c>
      <c r="E526" s="30" t="str">
        <f>VLOOKUP(B526, 'All Menu'!B:M, 2, 0)</f>
        <v>قسم الصالة</v>
      </c>
      <c r="F526" s="103" t="str">
        <f>VLOOKUP(B526, 'All Menu'!B:M, 3, 0)</f>
        <v>المشاوي صالة</v>
      </c>
      <c r="G526" s="90" t="s">
        <v>2235</v>
      </c>
      <c r="H526" s="188">
        <v>4504</v>
      </c>
      <c r="I526" s="110" t="str">
        <f>VLOOKUP(H526, 'RM &amp; SF'!B:H, 2, 0)</f>
        <v>بصل مشاوي (بصل بيبي)***</v>
      </c>
      <c r="J526" s="184" t="str">
        <f>VLOOKUP(H526, 'RM &amp; SF'!B:E, 4, 0)</f>
        <v>غم</v>
      </c>
      <c r="K526" s="12">
        <v>75</v>
      </c>
      <c r="L526" s="13">
        <f>VLOOKUP(H526, 'RM &amp; SF'!B:H, 7, 0)</f>
        <v>3.5E-4</v>
      </c>
      <c r="M526" s="7">
        <f t="shared" si="26"/>
        <v>2.6249999999999999E-2</v>
      </c>
      <c r="N526" s="4" t="s">
        <v>825</v>
      </c>
      <c r="O526" s="4">
        <f>VLOOKUP(B526, 'All Menu'!B:L, 6, 0)</f>
        <v>3.75</v>
      </c>
      <c r="P526" s="6">
        <f>VLOOKUP(B526, 'All Menu'!B:L, 9, 0)</f>
        <v>2.021245083926154</v>
      </c>
      <c r="Q526" s="14">
        <f>VLOOKUP(B526, 'All Menu'!B:M, 12, 0)</f>
        <v>0.4610013109530256</v>
      </c>
      <c r="R526" s="173">
        <f t="shared" si="27"/>
        <v>0</v>
      </c>
    </row>
    <row r="527" spans="1:18" ht="14" hidden="1">
      <c r="A527" s="78" t="s">
        <v>2523</v>
      </c>
      <c r="B527" s="220" t="s">
        <v>874</v>
      </c>
      <c r="C527" s="185"/>
      <c r="D527" s="103" t="str">
        <f>VLOOKUP(B527, 'All Menu'!B:M, 4, 0)</f>
        <v>نصف دجاجة تركي</v>
      </c>
      <c r="E527" s="30" t="str">
        <f>VLOOKUP(B527, 'All Menu'!B:M, 2, 0)</f>
        <v>قسم الصالة</v>
      </c>
      <c r="F527" s="103" t="str">
        <f>VLOOKUP(B527, 'All Menu'!B:M, 3, 0)</f>
        <v>المشاوي صالة</v>
      </c>
      <c r="G527" s="90" t="s">
        <v>2309</v>
      </c>
      <c r="H527" s="188">
        <v>4491</v>
      </c>
      <c r="I527" s="110" t="str">
        <f>VLOOKUP(H527, 'RM &amp; SF'!B:H, 2, 0)</f>
        <v>بندورة جامدة*****</v>
      </c>
      <c r="J527" s="184" t="str">
        <f>VLOOKUP(H527, 'RM &amp; SF'!B:E, 4, 0)</f>
        <v>غم</v>
      </c>
      <c r="K527" s="12">
        <v>75</v>
      </c>
      <c r="L527" s="13">
        <f>VLOOKUP(H527, 'RM &amp; SF'!B:H, 7, 0)</f>
        <v>5.0000000000000001E-4</v>
      </c>
      <c r="M527" s="7">
        <f t="shared" si="26"/>
        <v>3.7499999999999999E-2</v>
      </c>
      <c r="N527" s="4" t="s">
        <v>825</v>
      </c>
      <c r="O527" s="4">
        <f>VLOOKUP(B527, 'All Menu'!B:L, 6, 0)</f>
        <v>3.75</v>
      </c>
      <c r="P527" s="6">
        <f>VLOOKUP(B527, 'All Menu'!B:L, 9, 0)</f>
        <v>2.021245083926154</v>
      </c>
      <c r="Q527" s="14">
        <f>VLOOKUP(B527, 'All Menu'!B:M, 12, 0)</f>
        <v>0.4610013109530256</v>
      </c>
      <c r="R527" s="173">
        <f t="shared" si="27"/>
        <v>0</v>
      </c>
    </row>
    <row r="528" spans="1:18" ht="14" hidden="1">
      <c r="A528" s="78" t="s">
        <v>2523</v>
      </c>
      <c r="B528" s="220" t="s">
        <v>874</v>
      </c>
      <c r="C528" s="185"/>
      <c r="D528" s="103" t="str">
        <f>VLOOKUP(B528, 'All Menu'!B:M, 4, 0)</f>
        <v>نصف دجاجة تركي</v>
      </c>
      <c r="E528" s="30" t="str">
        <f>VLOOKUP(B528, 'All Menu'!B:M, 2, 0)</f>
        <v>قسم الصالة</v>
      </c>
      <c r="F528" s="103" t="str">
        <f>VLOOKUP(B528, 'All Menu'!B:M, 3, 0)</f>
        <v>المشاوي صالة</v>
      </c>
      <c r="G528" s="90" t="s">
        <v>2396</v>
      </c>
      <c r="H528" s="219" t="s">
        <v>582</v>
      </c>
      <c r="I528" s="110" t="str">
        <f>VLOOKUP(H528, 'RM &amp; SF'!B:H, 2, 0)</f>
        <v>بيواز</v>
      </c>
      <c r="J528" s="184" t="str">
        <f>VLOOKUP(H528, 'RM &amp; SF'!B:E, 4, 0)</f>
        <v>غم</v>
      </c>
      <c r="K528" s="12">
        <v>50</v>
      </c>
      <c r="L528" s="13">
        <f>VLOOKUP(H528, 'RM &amp; SF'!B:H, 7, 0)</f>
        <v>2.0666065869244635E-4</v>
      </c>
      <c r="M528" s="7">
        <f t="shared" si="26"/>
        <v>1.0333032934622318E-2</v>
      </c>
      <c r="N528" s="4" t="s">
        <v>825</v>
      </c>
      <c r="O528" s="4">
        <f>VLOOKUP(B528, 'All Menu'!B:L, 6, 0)</f>
        <v>3.75</v>
      </c>
      <c r="P528" s="6">
        <f>VLOOKUP(B528, 'All Menu'!B:L, 9, 0)</f>
        <v>2.021245083926154</v>
      </c>
      <c r="Q528" s="14">
        <f>VLOOKUP(B528, 'All Menu'!B:M, 12, 0)</f>
        <v>0.4610013109530256</v>
      </c>
      <c r="R528" s="173">
        <f t="shared" si="27"/>
        <v>0</v>
      </c>
    </row>
    <row r="529" spans="1:18" ht="14" hidden="1">
      <c r="A529" s="78" t="s">
        <v>2523</v>
      </c>
      <c r="B529" s="220" t="s">
        <v>874</v>
      </c>
      <c r="C529" s="185"/>
      <c r="D529" s="103" t="str">
        <f>VLOOKUP(B529, 'All Menu'!B:M, 4, 0)</f>
        <v>نصف دجاجة تركي</v>
      </c>
      <c r="E529" s="30" t="str">
        <f>VLOOKUP(B529, 'All Menu'!B:M, 2, 0)</f>
        <v>قسم الصالة</v>
      </c>
      <c r="F529" s="103" t="str">
        <f>VLOOKUP(B529, 'All Menu'!B:M, 3, 0)</f>
        <v>المشاوي صالة</v>
      </c>
      <c r="G529" s="90" t="s">
        <v>2331</v>
      </c>
      <c r="H529" s="219" t="s">
        <v>530</v>
      </c>
      <c r="I529" s="110" t="str">
        <f>VLOOKUP(H529, 'RM &amp; SF'!B:H, 2, 0)</f>
        <v>خبز صاج</v>
      </c>
      <c r="J529" s="184" t="str">
        <f>VLOOKUP(H529, 'RM &amp; SF'!B:E, 4, 0)</f>
        <v>غم</v>
      </c>
      <c r="K529" s="12">
        <v>200</v>
      </c>
      <c r="L529" s="13">
        <f>VLOOKUP(H529, 'RM &amp; SF'!B:H, 7, 0)</f>
        <v>1.8806451612903227E-4</v>
      </c>
      <c r="M529" s="7">
        <f t="shared" si="26"/>
        <v>3.7612903225806453E-2</v>
      </c>
      <c r="N529" s="4" t="s">
        <v>825</v>
      </c>
      <c r="O529" s="4">
        <f>VLOOKUP(B529, 'All Menu'!B:L, 6, 0)</f>
        <v>3.75</v>
      </c>
      <c r="P529" s="6">
        <f>VLOOKUP(B529, 'All Menu'!B:L, 9, 0)</f>
        <v>2.021245083926154</v>
      </c>
      <c r="Q529" s="14">
        <f>VLOOKUP(B529, 'All Menu'!B:M, 12, 0)</f>
        <v>0.4610013109530256</v>
      </c>
      <c r="R529" s="173">
        <f t="shared" si="27"/>
        <v>0</v>
      </c>
    </row>
    <row r="530" spans="1:18" ht="14" hidden="1">
      <c r="A530" s="78" t="s">
        <v>2523</v>
      </c>
      <c r="B530" s="220" t="s">
        <v>874</v>
      </c>
      <c r="C530" s="185"/>
      <c r="D530" s="103" t="str">
        <f>VLOOKUP(B530, 'All Menu'!B:M, 4, 0)</f>
        <v>نصف دجاجة تركي</v>
      </c>
      <c r="E530" s="30" t="str">
        <f>VLOOKUP(B530, 'All Menu'!B:M, 2, 0)</f>
        <v>قسم الصالة</v>
      </c>
      <c r="F530" s="103" t="str">
        <f>VLOOKUP(B530, 'All Menu'!B:M, 3, 0)</f>
        <v>المشاوي صالة</v>
      </c>
      <c r="G530" s="90" t="s">
        <v>2231</v>
      </c>
      <c r="H530" s="188">
        <v>4499</v>
      </c>
      <c r="I530" s="110" t="str">
        <f>VLOOKUP(H530, 'RM &amp; SF'!B:H, 2, 0)</f>
        <v>فلفل حار اخضر*****</v>
      </c>
      <c r="J530" s="184" t="str">
        <f>VLOOKUP(H530, 'RM &amp; SF'!B:E, 4, 0)</f>
        <v>غم</v>
      </c>
      <c r="K530" s="12">
        <v>40</v>
      </c>
      <c r="L530" s="13">
        <f>VLOOKUP(H530, 'RM &amp; SF'!B:H, 7, 0)</f>
        <v>5.0000000000000001E-4</v>
      </c>
      <c r="M530" s="7">
        <f t="shared" si="26"/>
        <v>0.02</v>
      </c>
      <c r="N530" s="4" t="s">
        <v>825</v>
      </c>
      <c r="O530" s="4">
        <f>VLOOKUP(B530, 'All Menu'!B:L, 6, 0)</f>
        <v>3.75</v>
      </c>
      <c r="P530" s="6">
        <f>VLOOKUP(B530, 'All Menu'!B:L, 9, 0)</f>
        <v>2.021245083926154</v>
      </c>
      <c r="Q530" s="14">
        <f>VLOOKUP(B530, 'All Menu'!B:M, 12, 0)</f>
        <v>0.4610013109530256</v>
      </c>
      <c r="R530" s="173">
        <f t="shared" si="27"/>
        <v>0</v>
      </c>
    </row>
    <row r="531" spans="1:18" ht="14" hidden="1">
      <c r="A531" s="78" t="s">
        <v>2523</v>
      </c>
      <c r="B531" s="220" t="s">
        <v>874</v>
      </c>
      <c r="C531" s="185"/>
      <c r="D531" s="103" t="str">
        <f>VLOOKUP(B531, 'All Menu'!B:M, 4, 0)</f>
        <v>نصف دجاجة تركي</v>
      </c>
      <c r="E531" s="30" t="str">
        <f>VLOOKUP(B531, 'All Menu'!B:M, 2, 0)</f>
        <v>قسم الصالة</v>
      </c>
      <c r="F531" s="103" t="str">
        <f>VLOOKUP(B531, 'All Menu'!B:M, 3, 0)</f>
        <v>المشاوي صالة</v>
      </c>
      <c r="G531" s="90" t="s">
        <v>2385</v>
      </c>
      <c r="H531" s="219" t="s">
        <v>540</v>
      </c>
      <c r="I531" s="110" t="str">
        <f>VLOOKUP(H531, 'RM &amp; SF'!B:H, 2, 0)</f>
        <v xml:space="preserve">بطاطا مقلية </v>
      </c>
      <c r="J531" s="184" t="str">
        <f>VLOOKUP(H531, 'RM &amp; SF'!B:E, 4, 0)</f>
        <v>غم</v>
      </c>
      <c r="K531" s="12">
        <v>150</v>
      </c>
      <c r="L531" s="13">
        <f>VLOOKUP(H531, 'RM &amp; SF'!B:H, 7, 0)</f>
        <v>7.9700000000000007E-4</v>
      </c>
      <c r="M531" s="7">
        <f t="shared" si="26"/>
        <v>0.11955000000000002</v>
      </c>
      <c r="N531" s="4" t="s">
        <v>825</v>
      </c>
      <c r="O531" s="4">
        <f>VLOOKUP(B531, 'All Menu'!B:L, 6, 0)</f>
        <v>3.75</v>
      </c>
      <c r="P531" s="6">
        <f>VLOOKUP(B531, 'All Menu'!B:L, 9, 0)</f>
        <v>2.021245083926154</v>
      </c>
      <c r="Q531" s="14">
        <f>VLOOKUP(B531, 'All Menu'!B:M, 12, 0)</f>
        <v>0.4610013109530256</v>
      </c>
      <c r="R531" s="173">
        <f t="shared" si="27"/>
        <v>0</v>
      </c>
    </row>
    <row r="532" spans="1:18" ht="14" hidden="1">
      <c r="A532" s="78" t="s">
        <v>2230</v>
      </c>
      <c r="B532" s="220" t="s">
        <v>875</v>
      </c>
      <c r="C532" s="185"/>
      <c r="D532" s="103" t="str">
        <f>VLOOKUP(B532, 'All Menu'!B:M, 4, 0)</f>
        <v>بطاطا مقلية</v>
      </c>
      <c r="E532" s="30" t="str">
        <f>VLOOKUP(B532, 'All Menu'!B:M, 2, 0)</f>
        <v>قسم الصالة</v>
      </c>
      <c r="F532" s="103" t="str">
        <f>VLOOKUP(B532, 'All Menu'!B:M, 3, 0)</f>
        <v>مقبلات ساخنة صالة</v>
      </c>
      <c r="G532" s="90" t="s">
        <v>2385</v>
      </c>
      <c r="H532" s="219" t="s">
        <v>540</v>
      </c>
      <c r="I532" s="110" t="str">
        <f>VLOOKUP(H532, 'RM &amp; SF'!B:H, 2, 0)</f>
        <v xml:space="preserve">بطاطا مقلية </v>
      </c>
      <c r="J532" s="184" t="str">
        <f>VLOOKUP(H532, 'RM &amp; SF'!B:E, 4, 0)</f>
        <v>غم</v>
      </c>
      <c r="K532" s="12">
        <v>150</v>
      </c>
      <c r="L532" s="13">
        <f>VLOOKUP(H532, 'RM &amp; SF'!B:H, 7, 0)</f>
        <v>7.9700000000000007E-4</v>
      </c>
      <c r="M532" s="7">
        <f t="shared" ref="M532:M589" si="28">L532*K532</f>
        <v>0.11955000000000002</v>
      </c>
      <c r="N532" s="4" t="s">
        <v>825</v>
      </c>
      <c r="O532" s="4">
        <f>VLOOKUP(B532, 'All Menu'!B:L, 6, 0)</f>
        <v>1.6810344827586208</v>
      </c>
      <c r="P532" s="6">
        <f>VLOOKUP(B532, 'All Menu'!B:L, 9, 0)</f>
        <v>0.13689300000000001</v>
      </c>
      <c r="Q532" s="14">
        <f>VLOOKUP(B532, 'All Menu'!B:M, 12, 0)</f>
        <v>0.91856621538461547</v>
      </c>
      <c r="R532" s="173">
        <f t="shared" si="27"/>
        <v>0</v>
      </c>
    </row>
    <row r="533" spans="1:18" ht="14" hidden="1">
      <c r="A533" s="78" t="s">
        <v>2230</v>
      </c>
      <c r="B533" s="220" t="s">
        <v>875</v>
      </c>
      <c r="C533" s="185"/>
      <c r="D533" s="103" t="str">
        <f>VLOOKUP(B533, 'All Menu'!B:M, 4, 0)</f>
        <v>بطاطا مقلية</v>
      </c>
      <c r="E533" s="30" t="str">
        <f>VLOOKUP(B533, 'All Menu'!B:M, 2, 0)</f>
        <v>قسم الصالة</v>
      </c>
      <c r="F533" s="103" t="str">
        <f>VLOOKUP(B533, 'All Menu'!B:M, 3, 0)</f>
        <v>مقبلات ساخنة صالة</v>
      </c>
      <c r="G533" s="90" t="s">
        <v>3058</v>
      </c>
      <c r="H533" s="219">
        <v>5257</v>
      </c>
      <c r="I533" s="110" t="str">
        <f>VLOOKUP(H533, 'RM &amp; SF'!B:H, 2, 0)</f>
        <v>بهار شيتوس*****</v>
      </c>
      <c r="J533" s="184" t="str">
        <f>VLOOKUP(H533, 'RM &amp; SF'!B:E, 4, 0)</f>
        <v>غم</v>
      </c>
      <c r="K533" s="12">
        <v>3</v>
      </c>
      <c r="L533" s="13">
        <f>VLOOKUP(H533, 'RM &amp; SF'!B:H, 7, 0)</f>
        <v>4.3099999999999996E-3</v>
      </c>
      <c r="M533" s="7">
        <f t="shared" ref="M533" si="29">L533*K533</f>
        <v>1.2929999999999999E-2</v>
      </c>
      <c r="N533" s="4" t="s">
        <v>825</v>
      </c>
      <c r="O533" s="4">
        <f>VLOOKUP(B533, 'All Menu'!B:L, 6, 0)</f>
        <v>1.6810344827586208</v>
      </c>
      <c r="P533" s="6">
        <f>VLOOKUP(B533, 'All Menu'!B:L, 9, 0)</f>
        <v>0.13689300000000001</v>
      </c>
      <c r="Q533" s="14">
        <f>VLOOKUP(B533, 'All Menu'!B:M, 12, 0)</f>
        <v>0.91856621538461547</v>
      </c>
      <c r="R533" s="173">
        <f t="shared" si="27"/>
        <v>0</v>
      </c>
    </row>
    <row r="534" spans="1:18" ht="14" hidden="1">
      <c r="A534" s="78" t="s">
        <v>2230</v>
      </c>
      <c r="B534" s="220" t="s">
        <v>875</v>
      </c>
      <c r="C534" s="185"/>
      <c r="D534" s="103" t="str">
        <f>VLOOKUP(B534, 'All Menu'!B:M, 4, 0)</f>
        <v>بطاطا مقلية</v>
      </c>
      <c r="E534" s="30" t="str">
        <f>VLOOKUP(B534, 'All Menu'!B:M, 2, 0)</f>
        <v>قسم الصالة</v>
      </c>
      <c r="F534" s="103" t="str">
        <f>VLOOKUP(B534, 'All Menu'!B:M, 3, 0)</f>
        <v>مقبلات ساخنة صالة</v>
      </c>
      <c r="G534" s="90" t="s">
        <v>3058</v>
      </c>
      <c r="H534" s="188">
        <v>5087</v>
      </c>
      <c r="I534" s="110" t="str">
        <f>VLOOKUP(H534, 'RM &amp; SF'!B:H, 2, 0)</f>
        <v>ملح هملايا*****</v>
      </c>
      <c r="J534" s="184" t="str">
        <f>VLOOKUP(H534, 'RM &amp; SF'!B:E, 4, 0)</f>
        <v>غم</v>
      </c>
      <c r="K534" s="12">
        <v>3</v>
      </c>
      <c r="L534" s="13">
        <f>VLOOKUP(H534, 'RM &amp; SF'!B:H, 7, 0)</f>
        <v>1.4710000000000001E-3</v>
      </c>
      <c r="M534" s="7">
        <f t="shared" si="28"/>
        <v>4.4130000000000003E-3</v>
      </c>
      <c r="N534" s="4" t="s">
        <v>825</v>
      </c>
      <c r="O534" s="4">
        <f>VLOOKUP(B534, 'All Menu'!B:L, 6, 0)</f>
        <v>1.6810344827586208</v>
      </c>
      <c r="P534" s="6">
        <f>VLOOKUP(B534, 'All Menu'!B:L, 9, 0)</f>
        <v>0.13689300000000001</v>
      </c>
      <c r="Q534" s="14">
        <f>VLOOKUP(B534, 'All Menu'!B:M, 12, 0)</f>
        <v>0.91856621538461547</v>
      </c>
      <c r="R534" s="173">
        <f t="shared" si="27"/>
        <v>0</v>
      </c>
    </row>
    <row r="535" spans="1:18" ht="14" hidden="1">
      <c r="A535" s="78" t="s">
        <v>2612</v>
      </c>
      <c r="B535" s="220" t="s">
        <v>876</v>
      </c>
      <c r="C535" s="185"/>
      <c r="D535" s="103" t="str">
        <f>VLOOKUP(B535, 'All Menu'!B:M, 4, 0)</f>
        <v>زربيان</v>
      </c>
      <c r="E535" s="30" t="str">
        <f>VLOOKUP(B535, 'All Menu'!B:M, 2, 0)</f>
        <v>قسم الصالة</v>
      </c>
      <c r="F535" s="103" t="str">
        <f>VLOOKUP(B535, 'All Menu'!B:M, 3, 0)</f>
        <v>اطباق اليوم صالة</v>
      </c>
      <c r="G535" s="90" t="s">
        <v>2393</v>
      </c>
      <c r="H535" s="219" t="s">
        <v>542</v>
      </c>
      <c r="I535" s="110" t="str">
        <f>VLOOKUP(H535, 'RM &amp; SF'!B:H, 2, 0)</f>
        <v>رز زربيان</v>
      </c>
      <c r="J535" s="184" t="str">
        <f>VLOOKUP(H535, 'RM &amp; SF'!B:E, 4, 0)</f>
        <v>غم</v>
      </c>
      <c r="K535" s="12">
        <v>500</v>
      </c>
      <c r="L535" s="13">
        <f>VLOOKUP(H535, 'RM &amp; SF'!B:H, 7, 0)</f>
        <v>5.2538680076628355E-4</v>
      </c>
      <c r="M535" s="7">
        <f t="shared" si="28"/>
        <v>0.26269340038314176</v>
      </c>
      <c r="N535" s="4" t="s">
        <v>825</v>
      </c>
      <c r="O535" s="4">
        <f>VLOOKUP(B535, 'All Menu'!B:L, 6, 0)</f>
        <v>3.2327586206896552</v>
      </c>
      <c r="P535" s="6">
        <f>VLOOKUP(B535, 'All Menu'!B:L, 9, 0)</f>
        <v>1.2367311555555558</v>
      </c>
      <c r="Q535" s="14">
        <f>VLOOKUP(B535, 'All Menu'!B:M, 12, 0)</f>
        <v>0.61743782921481472</v>
      </c>
      <c r="R535" s="173">
        <f t="shared" si="27"/>
        <v>0</v>
      </c>
    </row>
    <row r="536" spans="1:18" ht="14" hidden="1">
      <c r="A536" s="78" t="s">
        <v>2612</v>
      </c>
      <c r="B536" s="220" t="s">
        <v>876</v>
      </c>
      <c r="C536" s="185"/>
      <c r="D536" s="103" t="str">
        <f>VLOOKUP(B536, 'All Menu'!B:M, 4, 0)</f>
        <v>زربيان</v>
      </c>
      <c r="E536" s="30" t="str">
        <f>VLOOKUP(B536, 'All Menu'!B:M, 2, 0)</f>
        <v>قسم الصالة</v>
      </c>
      <c r="F536" s="103" t="str">
        <f>VLOOKUP(B536, 'All Menu'!B:M, 3, 0)</f>
        <v>اطباق اليوم صالة</v>
      </c>
      <c r="G536" s="90" t="s">
        <v>2417</v>
      </c>
      <c r="H536" s="219" t="s">
        <v>544</v>
      </c>
      <c r="I536" s="110" t="str">
        <f>VLOOKUP(H536, 'RM &amp; SF'!B:H, 2, 0)</f>
        <v>دجاجة متبلة</v>
      </c>
      <c r="J536" s="184" t="str">
        <f>VLOOKUP(H536, 'RM &amp; SF'!B:E, 4, 0)</f>
        <v>قطعة</v>
      </c>
      <c r="K536" s="12">
        <v>0.25</v>
      </c>
      <c r="L536" s="13">
        <f>VLOOKUP(H536, 'RM &amp; SF'!B:H, 7, 0)</f>
        <v>3.0853324000000004</v>
      </c>
      <c r="M536" s="7">
        <f t="shared" si="28"/>
        <v>0.7713331000000001</v>
      </c>
      <c r="N536" s="4" t="s">
        <v>825</v>
      </c>
      <c r="O536" s="4">
        <f>VLOOKUP(B536, 'All Menu'!B:L, 6, 0)</f>
        <v>3.2327586206896552</v>
      </c>
      <c r="P536" s="6">
        <f>VLOOKUP(B536, 'All Menu'!B:L, 9, 0)</f>
        <v>1.2367311555555558</v>
      </c>
      <c r="Q536" s="14">
        <f>VLOOKUP(B536, 'All Menu'!B:M, 12, 0)</f>
        <v>0.61743782921481472</v>
      </c>
      <c r="R536" s="173">
        <f t="shared" si="27"/>
        <v>0</v>
      </c>
    </row>
    <row r="537" spans="1:18" ht="14" hidden="1">
      <c r="A537" s="78" t="s">
        <v>2612</v>
      </c>
      <c r="B537" s="220" t="s">
        <v>876</v>
      </c>
      <c r="C537" s="185"/>
      <c r="D537" s="103" t="str">
        <f>VLOOKUP(B537, 'All Menu'!B:M, 4, 0)</f>
        <v>زربيان</v>
      </c>
      <c r="E537" s="30" t="str">
        <f>VLOOKUP(B537, 'All Menu'!B:M, 2, 0)</f>
        <v>قسم الصالة</v>
      </c>
      <c r="F537" s="103" t="str">
        <f>VLOOKUP(B537, 'All Menu'!B:M, 3, 0)</f>
        <v>اطباق اليوم صالة</v>
      </c>
      <c r="G537" s="90" t="s">
        <v>2341</v>
      </c>
      <c r="H537" s="219" t="s">
        <v>706</v>
      </c>
      <c r="I537" s="110" t="str">
        <f>VLOOKUP(H537, 'RM &amp; SF'!B:H, 2, 0)</f>
        <v>لوز مقلي</v>
      </c>
      <c r="J537" s="184" t="str">
        <f>VLOOKUP(H537, 'RM &amp; SF'!B:E, 4, 0)</f>
        <v>غم</v>
      </c>
      <c r="K537" s="12">
        <v>20</v>
      </c>
      <c r="L537" s="13">
        <f>VLOOKUP(H537, 'RM &amp; SF'!B:H, 7, 0)</f>
        <v>4.1352327586206888E-3</v>
      </c>
      <c r="M537" s="7">
        <f t="shared" si="28"/>
        <v>8.270465517241378E-2</v>
      </c>
      <c r="N537" s="4" t="s">
        <v>825</v>
      </c>
      <c r="O537" s="4">
        <f>VLOOKUP(B537, 'All Menu'!B:L, 6, 0)</f>
        <v>3.2327586206896552</v>
      </c>
      <c r="P537" s="6">
        <f>VLOOKUP(B537, 'All Menu'!B:L, 9, 0)</f>
        <v>1.2367311555555558</v>
      </c>
      <c r="Q537" s="14">
        <f>VLOOKUP(B537, 'All Menu'!B:M, 12, 0)</f>
        <v>0.61743782921481472</v>
      </c>
      <c r="R537" s="173">
        <f t="shared" si="27"/>
        <v>0</v>
      </c>
    </row>
    <row r="538" spans="1:18" ht="14" hidden="1">
      <c r="A538" s="78" t="s">
        <v>2612</v>
      </c>
      <c r="B538" s="220" t="s">
        <v>876</v>
      </c>
      <c r="C538" s="185"/>
      <c r="D538" s="103" t="str">
        <f>VLOOKUP(B538, 'All Menu'!B:M, 4, 0)</f>
        <v>زربيان</v>
      </c>
      <c r="E538" s="30" t="str">
        <f>VLOOKUP(B538, 'All Menu'!B:M, 2, 0)</f>
        <v>قسم الصالة</v>
      </c>
      <c r="F538" s="103" t="str">
        <f>VLOOKUP(B538, 'All Menu'!B:M, 3, 0)</f>
        <v>اطباق اليوم صالة</v>
      </c>
      <c r="G538" s="90" t="s">
        <v>2170</v>
      </c>
      <c r="H538" s="188">
        <v>4552</v>
      </c>
      <c r="I538" s="110" t="str">
        <f>VLOOKUP(H538, 'RM &amp; SF'!B:H, 2, 0)</f>
        <v>لبن رايب 5 كغ*****</v>
      </c>
      <c r="J538" s="184" t="str">
        <f>VLOOKUP(H538, 'RM &amp; SF'!B:E, 4, 0)</f>
        <v>غم</v>
      </c>
      <c r="K538" s="12">
        <v>150</v>
      </c>
      <c r="L538" s="13">
        <f>VLOOKUP(H538, 'RM &amp; SF'!B:H, 7, 0)</f>
        <v>8.0000000000000004E-4</v>
      </c>
      <c r="M538" s="7">
        <f t="shared" si="28"/>
        <v>0.12000000000000001</v>
      </c>
      <c r="N538" s="4" t="s">
        <v>825</v>
      </c>
      <c r="O538" s="4">
        <f>VLOOKUP(B538, 'All Menu'!B:L, 6, 0)</f>
        <v>3.2327586206896552</v>
      </c>
      <c r="P538" s="6">
        <f>VLOOKUP(B538, 'All Menu'!B:L, 9, 0)</f>
        <v>1.2367311555555558</v>
      </c>
      <c r="Q538" s="14">
        <f>VLOOKUP(B538, 'All Menu'!B:M, 12, 0)</f>
        <v>0.61743782921481472</v>
      </c>
      <c r="R538" s="173">
        <f t="shared" si="27"/>
        <v>0</v>
      </c>
    </row>
    <row r="539" spans="1:18" ht="14" hidden="1">
      <c r="A539" s="78" t="s">
        <v>2627</v>
      </c>
      <c r="B539" s="220" t="s">
        <v>877</v>
      </c>
      <c r="C539" s="185"/>
      <c r="D539" s="103" t="str">
        <f>VLOOKUP(B539, 'All Menu'!B:M, 4, 0)</f>
        <v>كباب هندي</v>
      </c>
      <c r="E539" s="30" t="str">
        <f>VLOOKUP(B539, 'All Menu'!B:M, 2, 0)</f>
        <v>قسم الصالة</v>
      </c>
      <c r="F539" s="103" t="str">
        <f>VLOOKUP(B539, 'All Menu'!B:M, 3, 0)</f>
        <v>اطباق اليوم صالة</v>
      </c>
      <c r="G539" s="90" t="s">
        <v>2399</v>
      </c>
      <c r="H539" s="219" t="s">
        <v>546</v>
      </c>
      <c r="I539" s="110" t="str">
        <f>VLOOKUP(H539, 'RM &amp; SF'!B:H, 2, 0)</f>
        <v>كباب هندي</v>
      </c>
      <c r="J539" s="184" t="str">
        <f>VLOOKUP(H539, 'RM &amp; SF'!B:E, 4, 0)</f>
        <v>غم</v>
      </c>
      <c r="K539" s="12">
        <v>500</v>
      </c>
      <c r="L539" s="13">
        <f>VLOOKUP(H539, 'RM &amp; SF'!B:H, 7, 0)</f>
        <v>2.5579763748357965E-3</v>
      </c>
      <c r="M539" s="7">
        <f t="shared" si="28"/>
        <v>1.2789881874178983</v>
      </c>
      <c r="N539" s="4" t="s">
        <v>825</v>
      </c>
      <c r="O539" s="4">
        <f>VLOOKUP(B539, 'All Menu'!B:L, 6, 0)</f>
        <v>4.6120689655172411</v>
      </c>
      <c r="P539" s="6">
        <f>VLOOKUP(B539, 'All Menu'!B:L, 9, 0)</f>
        <v>1.5280409233983929</v>
      </c>
      <c r="Q539" s="14">
        <f>VLOOKUP(B539, 'All Menu'!B:M, 12, 0)</f>
        <v>0.66868645399212412</v>
      </c>
      <c r="R539" s="173">
        <f t="shared" si="27"/>
        <v>0</v>
      </c>
    </row>
    <row r="540" spans="1:18" ht="14" hidden="1">
      <c r="A540" s="78" t="s">
        <v>2627</v>
      </c>
      <c r="B540" s="220" t="s">
        <v>877</v>
      </c>
      <c r="C540" s="185"/>
      <c r="D540" s="103" t="str">
        <f>VLOOKUP(B540, 'All Menu'!B:M, 4, 0)</f>
        <v>كباب هندي</v>
      </c>
      <c r="E540" s="30" t="str">
        <f>VLOOKUP(B540, 'All Menu'!B:M, 2, 0)</f>
        <v>قسم الصالة</v>
      </c>
      <c r="F540" s="103" t="str">
        <f>VLOOKUP(B540, 'All Menu'!B:M, 3, 0)</f>
        <v>اطباق اليوم صالة</v>
      </c>
      <c r="G540" s="90" t="s">
        <v>2342</v>
      </c>
      <c r="H540" s="219" t="s">
        <v>708</v>
      </c>
      <c r="I540" s="110" t="str">
        <f>VLOOKUP(H540, 'RM &amp; SF'!B:H, 2, 0)</f>
        <v>ارز بشعيرية</v>
      </c>
      <c r="J540" s="184" t="str">
        <f>VLOOKUP(H540, 'RM &amp; SF'!B:E, 4, 0)</f>
        <v>غم</v>
      </c>
      <c r="K540" s="12">
        <v>500</v>
      </c>
      <c r="L540" s="13">
        <f>VLOOKUP(H540, 'RM &amp; SF'!B:H, 7, 0)</f>
        <v>3.3269616161616159E-4</v>
      </c>
      <c r="M540" s="7">
        <f t="shared" si="28"/>
        <v>0.16634808080808081</v>
      </c>
      <c r="N540" s="4" t="s">
        <v>825</v>
      </c>
      <c r="O540" s="4">
        <f>VLOOKUP(B540, 'All Menu'!B:L, 6, 0)</f>
        <v>4.6120689655172411</v>
      </c>
      <c r="P540" s="6">
        <f>VLOOKUP(B540, 'All Menu'!B:L, 9, 0)</f>
        <v>1.5280409233983929</v>
      </c>
      <c r="Q540" s="14">
        <f>VLOOKUP(B540, 'All Menu'!B:M, 12, 0)</f>
        <v>0.66868645399212412</v>
      </c>
      <c r="R540" s="173">
        <f t="shared" si="27"/>
        <v>0</v>
      </c>
    </row>
    <row r="541" spans="1:18" ht="14" hidden="1">
      <c r="A541" s="78" t="s">
        <v>2627</v>
      </c>
      <c r="B541" s="220" t="s">
        <v>877</v>
      </c>
      <c r="C541" s="185"/>
      <c r="D541" s="103" t="str">
        <f>VLOOKUP(B541, 'All Menu'!B:M, 4, 0)</f>
        <v>كباب هندي</v>
      </c>
      <c r="E541" s="30" t="str">
        <f>VLOOKUP(B541, 'All Menu'!B:M, 2, 0)</f>
        <v>قسم الصالة</v>
      </c>
      <c r="F541" s="103" t="str">
        <f>VLOOKUP(B541, 'All Menu'!B:M, 3, 0)</f>
        <v>اطباق اليوم صالة</v>
      </c>
      <c r="G541" s="90" t="s">
        <v>2341</v>
      </c>
      <c r="H541" s="219" t="s">
        <v>706</v>
      </c>
      <c r="I541" s="110" t="str">
        <f>VLOOKUP(H541, 'RM &amp; SF'!B:H, 2, 0)</f>
        <v>لوز مقلي</v>
      </c>
      <c r="J541" s="184" t="str">
        <f>VLOOKUP(H541, 'RM &amp; SF'!B:E, 4, 0)</f>
        <v>غم</v>
      </c>
      <c r="K541" s="12">
        <v>20</v>
      </c>
      <c r="L541" s="13">
        <f>VLOOKUP(H541, 'RM &amp; SF'!B:H, 7, 0)</f>
        <v>4.1352327586206888E-3</v>
      </c>
      <c r="M541" s="7">
        <f t="shared" si="28"/>
        <v>8.270465517241378E-2</v>
      </c>
      <c r="N541" s="4" t="s">
        <v>825</v>
      </c>
      <c r="O541" s="4">
        <f>VLOOKUP(B541, 'All Menu'!B:L, 6, 0)</f>
        <v>4.6120689655172411</v>
      </c>
      <c r="P541" s="6">
        <f>VLOOKUP(B541, 'All Menu'!B:L, 9, 0)</f>
        <v>1.5280409233983929</v>
      </c>
      <c r="Q541" s="14">
        <f>VLOOKUP(B541, 'All Menu'!B:M, 12, 0)</f>
        <v>0.66868645399212412</v>
      </c>
      <c r="R541" s="173">
        <f t="shared" si="27"/>
        <v>0</v>
      </c>
    </row>
    <row r="542" spans="1:18" ht="14">
      <c r="A542" s="78" t="s">
        <v>2624</v>
      </c>
      <c r="B542" s="220" t="s">
        <v>878</v>
      </c>
      <c r="C542" s="185"/>
      <c r="D542" s="103" t="str">
        <f>VLOOKUP(B542, 'All Menu'!B:M, 4, 0)</f>
        <v>منسف لحمة</v>
      </c>
      <c r="E542" s="30" t="str">
        <f>VLOOKUP(B542, 'All Menu'!B:M, 2, 0)</f>
        <v>قسم الصالة</v>
      </c>
      <c r="F542" s="103" t="str">
        <f>VLOOKUP(B542, 'All Menu'!B:M, 3, 0)</f>
        <v>اطباق اليوم صالة</v>
      </c>
      <c r="G542" s="90" t="s">
        <v>2389</v>
      </c>
      <c r="H542" s="219" t="s">
        <v>550</v>
      </c>
      <c r="I542" s="110" t="str">
        <f>VLOOKUP(H542, 'RM &amp; SF'!B:H, 2, 0)</f>
        <v>ارز منسف</v>
      </c>
      <c r="J542" s="184" t="str">
        <f>VLOOKUP(H542, 'RM &amp; SF'!B:E, 4, 0)</f>
        <v>غم</v>
      </c>
      <c r="K542" s="12">
        <v>400</v>
      </c>
      <c r="L542" s="13">
        <f>VLOOKUP(H542, 'RM &amp; SF'!B:H, 7, 0)</f>
        <v>4.9216375000000004E-4</v>
      </c>
      <c r="M542" s="7">
        <f t="shared" si="28"/>
        <v>0.19686550000000003</v>
      </c>
      <c r="N542" s="4" t="s">
        <v>825</v>
      </c>
      <c r="O542" s="4">
        <f>VLOOKUP(B542, 'All Menu'!B:L, 6, 0)</f>
        <v>9.3534482758620694</v>
      </c>
      <c r="P542" s="6">
        <f>VLOOKUP(B542, 'All Menu'!B:L, 9, 0)</f>
        <v>4.7421068886412456</v>
      </c>
      <c r="Q542" s="14">
        <f>VLOOKUP(B542, 'All Menu'!B:M, 12, 0)</f>
        <v>0.49300977043098204</v>
      </c>
      <c r="R542" s="173">
        <f t="shared" si="27"/>
        <v>0</v>
      </c>
    </row>
    <row r="543" spans="1:18" ht="14" hidden="1">
      <c r="A543" s="78" t="s">
        <v>2624</v>
      </c>
      <c r="B543" s="220" t="s">
        <v>878</v>
      </c>
      <c r="C543" s="185"/>
      <c r="D543" s="103" t="str">
        <f>VLOOKUP(B543, 'All Menu'!B:M, 4, 0)</f>
        <v>منسف لحمة</v>
      </c>
      <c r="E543" s="30" t="str">
        <f>VLOOKUP(B543, 'All Menu'!B:M, 2, 0)</f>
        <v>قسم الصالة</v>
      </c>
      <c r="F543" s="103" t="str">
        <f>VLOOKUP(B543, 'All Menu'!B:M, 3, 0)</f>
        <v>اطباق اليوم صالة</v>
      </c>
      <c r="G543" s="90" t="s">
        <v>3058</v>
      </c>
      <c r="H543" s="188">
        <v>4608</v>
      </c>
      <c r="I543" s="110" t="str">
        <f>VLOOKUP(H543, 'RM &amp; SF'!B:H, 2, 0)</f>
        <v>لحمة قطع نية بالكيلو*****</v>
      </c>
      <c r="J543" s="184" t="str">
        <f>VLOOKUP(H543, 'RM &amp; SF'!B:E, 4, 0)</f>
        <v>غم</v>
      </c>
      <c r="K543" s="12">
        <v>350</v>
      </c>
      <c r="L543" s="13">
        <f>VLOOKUP(H543, 'RM &amp; SF'!B:H, 7, 0)</f>
        <v>1.1615493158849017E-2</v>
      </c>
      <c r="M543" s="7">
        <f t="shared" si="28"/>
        <v>4.0654226055971554</v>
      </c>
      <c r="N543" s="4" t="s">
        <v>825</v>
      </c>
      <c r="O543" s="4">
        <f>VLOOKUP(B543, 'All Menu'!B:L, 6, 0)</f>
        <v>9.3534482758620694</v>
      </c>
      <c r="P543" s="6">
        <f>VLOOKUP(B543, 'All Menu'!B:L, 9, 0)</f>
        <v>4.7421068886412456</v>
      </c>
      <c r="Q543" s="14">
        <f>VLOOKUP(B543, 'All Menu'!B:M, 12, 0)</f>
        <v>0.49300977043098204</v>
      </c>
      <c r="R543" s="173">
        <f t="shared" ref="R543:R598" si="30">C543*K543</f>
        <v>0</v>
      </c>
    </row>
    <row r="544" spans="1:18" ht="14" hidden="1">
      <c r="A544" s="78" t="s">
        <v>2624</v>
      </c>
      <c r="B544" s="220" t="s">
        <v>878</v>
      </c>
      <c r="C544" s="185"/>
      <c r="D544" s="103" t="str">
        <f>VLOOKUP(B544, 'All Menu'!B:M, 4, 0)</f>
        <v>منسف لحمة</v>
      </c>
      <c r="E544" s="30" t="str">
        <f>VLOOKUP(B544, 'All Menu'!B:M, 2, 0)</f>
        <v>قسم الصالة</v>
      </c>
      <c r="F544" s="103" t="str">
        <f>VLOOKUP(B544, 'All Menu'!B:M, 3, 0)</f>
        <v>اطباق اليوم صالة</v>
      </c>
      <c r="G544" s="90" t="s">
        <v>2431</v>
      </c>
      <c r="H544" s="219" t="s">
        <v>552</v>
      </c>
      <c r="I544" s="110" t="str">
        <f>VLOOKUP(H544, 'RM &amp; SF'!B:H, 2, 0)</f>
        <v xml:space="preserve">لبن </v>
      </c>
      <c r="J544" s="184" t="str">
        <f>VLOOKUP(H544, 'RM &amp; SF'!B:E, 4, 0)</f>
        <v>غم</v>
      </c>
      <c r="K544" s="12">
        <v>570</v>
      </c>
      <c r="L544" s="13">
        <f>VLOOKUP(H544, 'RM &amp; SF'!B:H, 7, 0)</f>
        <v>5.9114973451327433E-4</v>
      </c>
      <c r="M544" s="7">
        <f t="shared" si="28"/>
        <v>0.33695534867256638</v>
      </c>
      <c r="N544" s="4" t="s">
        <v>825</v>
      </c>
      <c r="O544" s="4">
        <f>VLOOKUP(B544, 'All Menu'!B:L, 6, 0)</f>
        <v>9.3534482758620694</v>
      </c>
      <c r="P544" s="6">
        <f>VLOOKUP(B544, 'All Menu'!B:L, 9, 0)</f>
        <v>4.7421068886412456</v>
      </c>
      <c r="Q544" s="14">
        <f>VLOOKUP(B544, 'All Menu'!B:M, 12, 0)</f>
        <v>0.49300977043098204</v>
      </c>
      <c r="R544" s="173">
        <f t="shared" si="30"/>
        <v>0</v>
      </c>
    </row>
    <row r="545" spans="1:18" ht="14" hidden="1">
      <c r="A545" s="78" t="s">
        <v>2624</v>
      </c>
      <c r="B545" s="220" t="s">
        <v>878</v>
      </c>
      <c r="C545" s="185"/>
      <c r="D545" s="103" t="str">
        <f>VLOOKUP(B545, 'All Menu'!B:M, 4, 0)</f>
        <v>منسف لحمة</v>
      </c>
      <c r="E545" s="30" t="str">
        <f>VLOOKUP(B545, 'All Menu'!B:M, 2, 0)</f>
        <v>قسم الصالة</v>
      </c>
      <c r="F545" s="103" t="str">
        <f>VLOOKUP(B545, 'All Menu'!B:M, 3, 0)</f>
        <v>اطباق اليوم صالة</v>
      </c>
      <c r="G545" s="90" t="s">
        <v>2341</v>
      </c>
      <c r="H545" s="219" t="s">
        <v>706</v>
      </c>
      <c r="I545" s="110" t="str">
        <f>VLOOKUP(H545, 'RM &amp; SF'!B:H, 2, 0)</f>
        <v>لوز مقلي</v>
      </c>
      <c r="J545" s="184" t="str">
        <f>VLOOKUP(H545, 'RM &amp; SF'!B:E, 4, 0)</f>
        <v>غم</v>
      </c>
      <c r="K545" s="12">
        <v>30</v>
      </c>
      <c r="L545" s="13">
        <f>VLOOKUP(H545, 'RM &amp; SF'!B:H, 7, 0)</f>
        <v>4.1352327586206888E-3</v>
      </c>
      <c r="M545" s="7">
        <f t="shared" si="28"/>
        <v>0.12405698275862066</v>
      </c>
      <c r="N545" s="4" t="s">
        <v>825</v>
      </c>
      <c r="O545" s="4">
        <f>VLOOKUP(B545, 'All Menu'!B:L, 6, 0)</f>
        <v>9.3534482758620694</v>
      </c>
      <c r="P545" s="6">
        <f>VLOOKUP(B545, 'All Menu'!B:L, 9, 0)</f>
        <v>4.7421068886412456</v>
      </c>
      <c r="Q545" s="14">
        <f>VLOOKUP(B545, 'All Menu'!B:M, 12, 0)</f>
        <v>0.49300977043098204</v>
      </c>
      <c r="R545" s="173">
        <f t="shared" si="30"/>
        <v>0</v>
      </c>
    </row>
    <row r="546" spans="1:18" ht="14" hidden="1">
      <c r="A546" s="78" t="s">
        <v>2624</v>
      </c>
      <c r="B546" s="220" t="s">
        <v>878</v>
      </c>
      <c r="C546" s="185"/>
      <c r="D546" s="103" t="str">
        <f>VLOOKUP(B546, 'All Menu'!B:M, 4, 0)</f>
        <v>منسف لحمة</v>
      </c>
      <c r="E546" s="30" t="str">
        <f>VLOOKUP(B546, 'All Menu'!B:M, 2, 0)</f>
        <v>قسم الصالة</v>
      </c>
      <c r="F546" s="103" t="str">
        <f>VLOOKUP(B546, 'All Menu'!B:M, 3, 0)</f>
        <v>اطباق اليوم صالة</v>
      </c>
      <c r="G546" s="90" t="s">
        <v>2331</v>
      </c>
      <c r="H546" s="219" t="s">
        <v>530</v>
      </c>
      <c r="I546" s="110" t="str">
        <f>VLOOKUP(H546, 'RM &amp; SF'!B:H, 2, 0)</f>
        <v>خبز صاج</v>
      </c>
      <c r="J546" s="184" t="str">
        <f>VLOOKUP(H546, 'RM &amp; SF'!B:E, 4, 0)</f>
        <v>غم</v>
      </c>
      <c r="K546" s="12">
        <v>100</v>
      </c>
      <c r="L546" s="13">
        <f>VLOOKUP(H546, 'RM &amp; SF'!B:H, 7, 0)</f>
        <v>1.8806451612903227E-4</v>
      </c>
      <c r="M546" s="7">
        <f t="shared" si="28"/>
        <v>1.8806451612903227E-2</v>
      </c>
      <c r="N546" s="4" t="s">
        <v>825</v>
      </c>
      <c r="O546" s="4">
        <f>VLOOKUP(B546, 'All Menu'!B:L, 6, 0)</f>
        <v>9.3534482758620694</v>
      </c>
      <c r="P546" s="6">
        <f>VLOOKUP(B546, 'All Menu'!B:L, 9, 0)</f>
        <v>4.7421068886412456</v>
      </c>
      <c r="Q546" s="14">
        <f>VLOOKUP(B546, 'All Menu'!B:M, 12, 0)</f>
        <v>0.49300977043098204</v>
      </c>
      <c r="R546" s="173">
        <f t="shared" si="30"/>
        <v>0</v>
      </c>
    </row>
    <row r="547" spans="1:18" ht="14">
      <c r="A547" s="78" t="s">
        <v>2620</v>
      </c>
      <c r="B547" s="220" t="s">
        <v>879</v>
      </c>
      <c r="C547" s="185"/>
      <c r="D547" s="103" t="str">
        <f>VLOOKUP(B547, 'All Menu'!B:M, 4, 0)</f>
        <v>منسف دجاج</v>
      </c>
      <c r="E547" s="30" t="str">
        <f>VLOOKUP(B547, 'All Menu'!B:M, 2, 0)</f>
        <v>قسم الصالة</v>
      </c>
      <c r="F547" s="103" t="str">
        <f>VLOOKUP(B547, 'All Menu'!B:M, 3, 0)</f>
        <v>اطباق اليوم صالة</v>
      </c>
      <c r="G547" s="90" t="s">
        <v>2389</v>
      </c>
      <c r="H547" s="219" t="s">
        <v>550</v>
      </c>
      <c r="I547" s="110" t="str">
        <f>VLOOKUP(H547, 'RM &amp; SF'!B:H, 2, 0)</f>
        <v>ارز منسف</v>
      </c>
      <c r="J547" s="184" t="str">
        <f>VLOOKUP(H547, 'RM &amp; SF'!B:E, 4, 0)</f>
        <v>غم</v>
      </c>
      <c r="K547" s="12">
        <v>500</v>
      </c>
      <c r="L547" s="13">
        <f>VLOOKUP(H547, 'RM &amp; SF'!B:H, 7, 0)</f>
        <v>4.9216375000000004E-4</v>
      </c>
      <c r="M547" s="7">
        <f t="shared" si="28"/>
        <v>0.24608187500000001</v>
      </c>
      <c r="N547" s="4" t="s">
        <v>825</v>
      </c>
      <c r="O547" s="4">
        <f>VLOOKUP(B547, 'All Menu'!B:L, 6, 0)</f>
        <v>5.1293103448275863</v>
      </c>
      <c r="P547" s="6">
        <f>VLOOKUP(B547, 'All Menu'!B:L, 9, 0)</f>
        <v>1.4003961103322768</v>
      </c>
      <c r="Q547" s="14">
        <f>VLOOKUP(B547, 'All Menu'!B:M, 12, 0)</f>
        <v>0.72698159865790901</v>
      </c>
      <c r="R547" s="173">
        <f t="shared" si="30"/>
        <v>0</v>
      </c>
    </row>
    <row r="548" spans="1:18" ht="14" hidden="1">
      <c r="A548" s="78" t="s">
        <v>2620</v>
      </c>
      <c r="B548" s="220" t="s">
        <v>879</v>
      </c>
      <c r="C548" s="185"/>
      <c r="D548" s="103" t="str">
        <f>VLOOKUP(B548, 'All Menu'!B:M, 4, 0)</f>
        <v>منسف دجاج</v>
      </c>
      <c r="E548" s="30" t="str">
        <f>VLOOKUP(B548, 'All Menu'!B:M, 2, 0)</f>
        <v>قسم الصالة</v>
      </c>
      <c r="F548" s="103" t="str">
        <f>VLOOKUP(B548, 'All Menu'!B:M, 3, 0)</f>
        <v>اطباق اليوم صالة</v>
      </c>
      <c r="G548" s="90" t="s">
        <v>2417</v>
      </c>
      <c r="H548" s="219" t="s">
        <v>544</v>
      </c>
      <c r="I548" s="110" t="str">
        <f>VLOOKUP(H548, 'RM &amp; SF'!B:H, 2, 0)</f>
        <v>دجاجة متبلة</v>
      </c>
      <c r="J548" s="184" t="str">
        <f>VLOOKUP(H548, 'RM &amp; SF'!B:E, 4, 0)</f>
        <v>قطعة</v>
      </c>
      <c r="K548" s="12">
        <v>0.25</v>
      </c>
      <c r="L548" s="13">
        <f>VLOOKUP(H548, 'RM &amp; SF'!B:H, 7, 0)</f>
        <v>3.0853324000000004</v>
      </c>
      <c r="M548" s="7">
        <f t="shared" si="28"/>
        <v>0.7713331000000001</v>
      </c>
      <c r="N548" s="4" t="s">
        <v>825</v>
      </c>
      <c r="O548" s="4">
        <f>VLOOKUP(B548, 'All Menu'!B:L, 6, 0)</f>
        <v>5.1293103448275863</v>
      </c>
      <c r="P548" s="6">
        <f>VLOOKUP(B548, 'All Menu'!B:L, 9, 0)</f>
        <v>1.4003961103322768</v>
      </c>
      <c r="Q548" s="14">
        <f>VLOOKUP(B548, 'All Menu'!B:M, 12, 0)</f>
        <v>0.72698159865790901</v>
      </c>
      <c r="R548" s="173">
        <f t="shared" si="30"/>
        <v>0</v>
      </c>
    </row>
    <row r="549" spans="1:18" ht="14" hidden="1">
      <c r="A549" s="78" t="s">
        <v>2620</v>
      </c>
      <c r="B549" s="220" t="s">
        <v>879</v>
      </c>
      <c r="C549" s="185"/>
      <c r="D549" s="103" t="str">
        <f>VLOOKUP(B549, 'All Menu'!B:M, 4, 0)</f>
        <v>منسف دجاج</v>
      </c>
      <c r="E549" s="30" t="str">
        <f>VLOOKUP(B549, 'All Menu'!B:M, 2, 0)</f>
        <v>قسم الصالة</v>
      </c>
      <c r="F549" s="103" t="str">
        <f>VLOOKUP(B549, 'All Menu'!B:M, 3, 0)</f>
        <v>اطباق اليوم صالة</v>
      </c>
      <c r="G549" s="90" t="s">
        <v>2431</v>
      </c>
      <c r="H549" s="219" t="s">
        <v>552</v>
      </c>
      <c r="I549" s="110" t="str">
        <f>VLOOKUP(H549, 'RM &amp; SF'!B:H, 2, 0)</f>
        <v xml:space="preserve">لبن </v>
      </c>
      <c r="J549" s="184" t="str">
        <f>VLOOKUP(H549, 'RM &amp; SF'!B:E, 4, 0)</f>
        <v>غم</v>
      </c>
      <c r="K549" s="12">
        <v>500</v>
      </c>
      <c r="L549" s="13">
        <f>VLOOKUP(H549, 'RM &amp; SF'!B:H, 7, 0)</f>
        <v>5.9114973451327433E-4</v>
      </c>
      <c r="M549" s="7">
        <f t="shared" si="28"/>
        <v>0.29557486725663717</v>
      </c>
      <c r="N549" s="4" t="s">
        <v>825</v>
      </c>
      <c r="O549" s="4">
        <f>VLOOKUP(B549, 'All Menu'!B:L, 6, 0)</f>
        <v>5.1293103448275863</v>
      </c>
      <c r="P549" s="6">
        <f>VLOOKUP(B549, 'All Menu'!B:L, 9, 0)</f>
        <v>1.4003961103322768</v>
      </c>
      <c r="Q549" s="14">
        <f>VLOOKUP(B549, 'All Menu'!B:M, 12, 0)</f>
        <v>0.72698159865790901</v>
      </c>
      <c r="R549" s="173">
        <f t="shared" si="30"/>
        <v>0</v>
      </c>
    </row>
    <row r="550" spans="1:18" ht="14" hidden="1">
      <c r="A550" s="78" t="s">
        <v>2620</v>
      </c>
      <c r="B550" s="220" t="s">
        <v>879</v>
      </c>
      <c r="C550" s="185"/>
      <c r="D550" s="103" t="str">
        <f>VLOOKUP(B550, 'All Menu'!B:M, 4, 0)</f>
        <v>منسف دجاج</v>
      </c>
      <c r="E550" s="30" t="str">
        <f>VLOOKUP(B550, 'All Menu'!B:M, 2, 0)</f>
        <v>قسم الصالة</v>
      </c>
      <c r="F550" s="103" t="str">
        <f>VLOOKUP(B550, 'All Menu'!B:M, 3, 0)</f>
        <v>اطباق اليوم صالة</v>
      </c>
      <c r="G550" s="90" t="s">
        <v>2341</v>
      </c>
      <c r="H550" s="219" t="s">
        <v>706</v>
      </c>
      <c r="I550" s="110" t="str">
        <f>VLOOKUP(H550, 'RM &amp; SF'!B:H, 2, 0)</f>
        <v>لوز مقلي</v>
      </c>
      <c r="J550" s="184" t="str">
        <f>VLOOKUP(H550, 'RM &amp; SF'!B:E, 4, 0)</f>
        <v>غم</v>
      </c>
      <c r="K550" s="12">
        <v>20</v>
      </c>
      <c r="L550" s="13">
        <f>VLOOKUP(H550, 'RM &amp; SF'!B:H, 7, 0)</f>
        <v>4.1352327586206888E-3</v>
      </c>
      <c r="M550" s="7">
        <f t="shared" si="28"/>
        <v>8.270465517241378E-2</v>
      </c>
      <c r="N550" s="4" t="s">
        <v>825</v>
      </c>
      <c r="O550" s="4">
        <f>VLOOKUP(B550, 'All Menu'!B:L, 6, 0)</f>
        <v>5.1293103448275863</v>
      </c>
      <c r="P550" s="6">
        <f>VLOOKUP(B550, 'All Menu'!B:L, 9, 0)</f>
        <v>1.4003961103322768</v>
      </c>
      <c r="Q550" s="14">
        <f>VLOOKUP(B550, 'All Menu'!B:M, 12, 0)</f>
        <v>0.72698159865790901</v>
      </c>
      <c r="R550" s="173">
        <f t="shared" si="30"/>
        <v>0</v>
      </c>
    </row>
    <row r="551" spans="1:18" ht="14" hidden="1">
      <c r="A551" s="78" t="s">
        <v>2620</v>
      </c>
      <c r="B551" s="220" t="s">
        <v>879</v>
      </c>
      <c r="C551" s="185"/>
      <c r="D551" s="103" t="str">
        <f>VLOOKUP(B551, 'All Menu'!B:M, 4, 0)</f>
        <v>منسف دجاج</v>
      </c>
      <c r="E551" s="30" t="str">
        <f>VLOOKUP(B551, 'All Menu'!B:M, 2, 0)</f>
        <v>قسم الصالة</v>
      </c>
      <c r="F551" s="103" t="str">
        <f>VLOOKUP(B551, 'All Menu'!B:M, 3, 0)</f>
        <v>اطباق اليوم صالة</v>
      </c>
      <c r="G551" s="90" t="s">
        <v>2331</v>
      </c>
      <c r="H551" s="219" t="s">
        <v>530</v>
      </c>
      <c r="I551" s="110" t="str">
        <f>VLOOKUP(H551, 'RM &amp; SF'!B:H, 2, 0)</f>
        <v>خبز صاج</v>
      </c>
      <c r="J551" s="184" t="str">
        <f>VLOOKUP(H551, 'RM &amp; SF'!B:E, 4, 0)</f>
        <v>غم</v>
      </c>
      <c r="K551" s="12">
        <v>25</v>
      </c>
      <c r="L551" s="13">
        <f>VLOOKUP(H551, 'RM &amp; SF'!B:H, 7, 0)</f>
        <v>1.8806451612903227E-4</v>
      </c>
      <c r="M551" s="7">
        <f t="shared" si="28"/>
        <v>4.7016129032258066E-3</v>
      </c>
      <c r="N551" s="4" t="s">
        <v>825</v>
      </c>
      <c r="O551" s="4">
        <f>VLOOKUP(B551, 'All Menu'!B:L, 6, 0)</f>
        <v>5.1293103448275863</v>
      </c>
      <c r="P551" s="6">
        <f>VLOOKUP(B551, 'All Menu'!B:L, 9, 0)</f>
        <v>1.4003961103322768</v>
      </c>
      <c r="Q551" s="14">
        <f>VLOOKUP(B551, 'All Menu'!B:M, 12, 0)</f>
        <v>0.72698159865790901</v>
      </c>
      <c r="R551" s="173">
        <f t="shared" si="30"/>
        <v>0</v>
      </c>
    </row>
    <row r="552" spans="1:18" ht="14" hidden="1">
      <c r="A552" s="78" t="s">
        <v>2629</v>
      </c>
      <c r="B552" s="220" t="s">
        <v>880</v>
      </c>
      <c r="C552" s="185"/>
      <c r="D552" s="103" t="str">
        <f>VLOOKUP(B552, 'All Menu'!B:M, 4, 0)</f>
        <v>مندي</v>
      </c>
      <c r="E552" s="30" t="str">
        <f>VLOOKUP(B552, 'All Menu'!B:M, 2, 0)</f>
        <v>قسم الصالة</v>
      </c>
      <c r="F552" s="103" t="str">
        <f>VLOOKUP(B552, 'All Menu'!B:M, 3, 0)</f>
        <v>اطباق اليوم صالة</v>
      </c>
      <c r="G552" s="90" t="s">
        <v>2387</v>
      </c>
      <c r="H552" s="219" t="s">
        <v>554</v>
      </c>
      <c r="I552" s="110" t="str">
        <f>VLOOKUP(H552, 'RM &amp; SF'!B:H, 2, 0)</f>
        <v>مندي</v>
      </c>
      <c r="J552" s="184" t="str">
        <f>VLOOKUP(H552, 'RM &amp; SF'!B:E, 4, 0)</f>
        <v>غم</v>
      </c>
      <c r="K552" s="12">
        <v>450</v>
      </c>
      <c r="L552" s="13">
        <f>VLOOKUP(H552, 'RM &amp; SF'!B:H, 7, 0)</f>
        <v>4.9271573151695748E-4</v>
      </c>
      <c r="M552" s="7">
        <f t="shared" si="28"/>
        <v>0.22172207918263087</v>
      </c>
      <c r="N552" s="4" t="s">
        <v>825</v>
      </c>
      <c r="O552" s="4">
        <f>VLOOKUP(B552, 'All Menu'!B:L, 6, 0)</f>
        <v>3.2327586206896552</v>
      </c>
      <c r="P552" s="6">
        <f>VLOOKUP(B552, 'All Menu'!B:L, 9, 0)</f>
        <v>1.6103971404182633</v>
      </c>
      <c r="Q552" s="14">
        <f>VLOOKUP(B552, 'All Menu'!B:M, 12, 0)</f>
        <v>0.50185048456395054</v>
      </c>
      <c r="R552" s="173">
        <f t="shared" si="30"/>
        <v>0</v>
      </c>
    </row>
    <row r="553" spans="1:18" ht="14" hidden="1">
      <c r="A553" s="78" t="s">
        <v>2629</v>
      </c>
      <c r="B553" s="220" t="s">
        <v>880</v>
      </c>
      <c r="C553" s="185"/>
      <c r="D553" s="103" t="str">
        <f>VLOOKUP(B553, 'All Menu'!B:M, 4, 0)</f>
        <v>مندي</v>
      </c>
      <c r="E553" s="30" t="str">
        <f>VLOOKUP(B553, 'All Menu'!B:M, 2, 0)</f>
        <v>قسم الصالة</v>
      </c>
      <c r="F553" s="103" t="str">
        <f>VLOOKUP(B553, 'All Menu'!B:M, 3, 0)</f>
        <v>اطباق اليوم صالة</v>
      </c>
      <c r="G553" s="90" t="s">
        <v>2417</v>
      </c>
      <c r="H553" s="219" t="s">
        <v>544</v>
      </c>
      <c r="I553" s="110" t="str">
        <f>VLOOKUP(H553, 'RM &amp; SF'!B:H, 2, 0)</f>
        <v>دجاجة متبلة</v>
      </c>
      <c r="J553" s="184" t="str">
        <f>VLOOKUP(H553, 'RM &amp; SF'!B:E, 4, 0)</f>
        <v>قطعة</v>
      </c>
      <c r="K553" s="12">
        <v>0.3</v>
      </c>
      <c r="L553" s="13">
        <f>VLOOKUP(H553, 'RM &amp; SF'!B:H, 7, 0)</f>
        <v>3.0853324000000004</v>
      </c>
      <c r="M553" s="7">
        <f t="shared" si="28"/>
        <v>0.92559972000000013</v>
      </c>
      <c r="N553" s="4" t="s">
        <v>825</v>
      </c>
      <c r="O553" s="4">
        <f>VLOOKUP(B553, 'All Menu'!B:L, 6, 0)</f>
        <v>3.2327586206896552</v>
      </c>
      <c r="P553" s="6">
        <f>VLOOKUP(B553, 'All Menu'!B:L, 9, 0)</f>
        <v>1.6103971404182633</v>
      </c>
      <c r="Q553" s="14">
        <f>VLOOKUP(B553, 'All Menu'!B:M, 12, 0)</f>
        <v>0.50185048456395054</v>
      </c>
      <c r="R553" s="173">
        <f t="shared" si="30"/>
        <v>0</v>
      </c>
    </row>
    <row r="554" spans="1:18" ht="14" hidden="1">
      <c r="A554" s="78" t="s">
        <v>2629</v>
      </c>
      <c r="B554" s="220" t="s">
        <v>880</v>
      </c>
      <c r="C554" s="185"/>
      <c r="D554" s="103" t="str">
        <f>VLOOKUP(B554, 'All Menu'!B:M, 4, 0)</f>
        <v>مندي</v>
      </c>
      <c r="E554" s="30" t="str">
        <f>VLOOKUP(B554, 'All Menu'!B:M, 2, 0)</f>
        <v>قسم الصالة</v>
      </c>
      <c r="F554" s="103" t="str">
        <f>VLOOKUP(B554, 'All Menu'!B:M, 3, 0)</f>
        <v>اطباق اليوم صالة</v>
      </c>
      <c r="G554" s="90" t="s">
        <v>3058</v>
      </c>
      <c r="H554" s="219" t="s">
        <v>3043</v>
      </c>
      <c r="I554" s="110" t="str">
        <f>VLOOKUP(H554, 'RM &amp; SF'!B:H, 2, 0)</f>
        <v>علبة لوز مقلي 25 غرام</v>
      </c>
      <c r="J554" s="184" t="str">
        <f>VLOOKUP(H554, 'RM &amp; SF'!B:E, 4, 0)</f>
        <v>قطعة</v>
      </c>
      <c r="K554" s="12">
        <v>25</v>
      </c>
      <c r="L554" s="13">
        <f>VLOOKUP(H554, 'RM &amp; SF'!B:H, 7, 0)</f>
        <v>1.3723013649425287E-2</v>
      </c>
      <c r="M554" s="7">
        <f t="shared" si="28"/>
        <v>0.34307534123563216</v>
      </c>
      <c r="N554" s="4" t="s">
        <v>825</v>
      </c>
      <c r="O554" s="4">
        <f>VLOOKUP(B554, 'All Menu'!B:L, 6, 0)</f>
        <v>3.2327586206896552</v>
      </c>
      <c r="P554" s="6">
        <f>VLOOKUP(B554, 'All Menu'!B:L, 9, 0)</f>
        <v>1.6103971404182633</v>
      </c>
      <c r="Q554" s="14">
        <f>VLOOKUP(B554, 'All Menu'!B:M, 12, 0)</f>
        <v>0.50185048456395054</v>
      </c>
      <c r="R554" s="173">
        <f t="shared" si="30"/>
        <v>0</v>
      </c>
    </row>
    <row r="555" spans="1:18" ht="14" hidden="1">
      <c r="A555" s="78" t="s">
        <v>2629</v>
      </c>
      <c r="B555" s="220" t="s">
        <v>880</v>
      </c>
      <c r="C555" s="185"/>
      <c r="D555" s="103" t="str">
        <f>VLOOKUP(B555, 'All Menu'!B:M, 4, 0)</f>
        <v>مندي</v>
      </c>
      <c r="E555" s="30" t="str">
        <f>VLOOKUP(B555, 'All Menu'!B:M, 2, 0)</f>
        <v>قسم الصالة</v>
      </c>
      <c r="F555" s="103" t="str">
        <f>VLOOKUP(B555, 'All Menu'!B:M, 3, 0)</f>
        <v>اطباق اليوم صالة</v>
      </c>
      <c r="G555" s="90" t="s">
        <v>2170</v>
      </c>
      <c r="H555" s="188">
        <v>4552</v>
      </c>
      <c r="I555" s="110" t="str">
        <f>VLOOKUP(H555, 'RM &amp; SF'!B:H, 2, 0)</f>
        <v>لبن رايب 5 كغ*****</v>
      </c>
      <c r="J555" s="184" t="str">
        <f>VLOOKUP(H555, 'RM &amp; SF'!B:E, 4, 0)</f>
        <v>غم</v>
      </c>
      <c r="K555" s="12">
        <v>150</v>
      </c>
      <c r="L555" s="13">
        <f>VLOOKUP(H555, 'RM &amp; SF'!B:H, 7, 0)</f>
        <v>8.0000000000000004E-4</v>
      </c>
      <c r="M555" s="7">
        <f t="shared" si="28"/>
        <v>0.12000000000000001</v>
      </c>
      <c r="N555" s="4" t="s">
        <v>825</v>
      </c>
      <c r="O555" s="4">
        <f>VLOOKUP(B555, 'All Menu'!B:L, 6, 0)</f>
        <v>3.2327586206896552</v>
      </c>
      <c r="P555" s="6">
        <f>VLOOKUP(B555, 'All Menu'!B:L, 9, 0)</f>
        <v>1.6103971404182633</v>
      </c>
      <c r="Q555" s="14">
        <f>VLOOKUP(B555, 'All Menu'!B:M, 12, 0)</f>
        <v>0.50185048456395054</v>
      </c>
      <c r="R555" s="173">
        <f t="shared" si="30"/>
        <v>0</v>
      </c>
    </row>
    <row r="556" spans="1:18" ht="14" hidden="1">
      <c r="A556" s="78" t="s">
        <v>2628</v>
      </c>
      <c r="B556" s="220" t="s">
        <v>881</v>
      </c>
      <c r="C556" s="185"/>
      <c r="D556" s="103" t="str">
        <f>VLOOKUP(B556, 'All Menu'!B:M, 4, 0)</f>
        <v>كبسة</v>
      </c>
      <c r="E556" s="30" t="str">
        <f>VLOOKUP(B556, 'All Menu'!B:M, 2, 0)</f>
        <v>قسم الصالة</v>
      </c>
      <c r="F556" s="103" t="str">
        <f>VLOOKUP(B556, 'All Menu'!B:M, 3, 0)</f>
        <v>اطباق اليوم صالة</v>
      </c>
      <c r="G556" s="90" t="s">
        <v>2388</v>
      </c>
      <c r="H556" s="219" t="s">
        <v>558</v>
      </c>
      <c r="I556" s="110" t="str">
        <f>VLOOKUP(H556, 'RM &amp; SF'!B:H, 2, 0)</f>
        <v xml:space="preserve">كبسة </v>
      </c>
      <c r="J556" s="184" t="str">
        <f>VLOOKUP(H556, 'RM &amp; SF'!B:E, 4, 0)</f>
        <v>غم</v>
      </c>
      <c r="K556" s="12">
        <v>500</v>
      </c>
      <c r="L556" s="13">
        <f>VLOOKUP(H556, 'RM &amp; SF'!B:H, 7, 0)</f>
        <v>6.3725786356821576E-4</v>
      </c>
      <c r="M556" s="7">
        <f t="shared" si="28"/>
        <v>0.31862893178410789</v>
      </c>
      <c r="N556" s="4" t="s">
        <v>825</v>
      </c>
      <c r="O556" s="4">
        <f>VLOOKUP(B556, 'All Menu'!B:L, 6, 0)</f>
        <v>3.2327586206896552</v>
      </c>
      <c r="P556" s="6">
        <f>VLOOKUP(B556, 'All Menu'!B:L, 9, 0)</f>
        <v>1.292666686956522</v>
      </c>
      <c r="Q556" s="14">
        <f>VLOOKUP(B556, 'All Menu'!B:M, 12, 0)</f>
        <v>0.6001351048347825</v>
      </c>
      <c r="R556" s="173">
        <f t="shared" si="30"/>
        <v>0</v>
      </c>
    </row>
    <row r="557" spans="1:18" ht="14" hidden="1">
      <c r="A557" s="78" t="s">
        <v>2628</v>
      </c>
      <c r="B557" s="220" t="s">
        <v>881</v>
      </c>
      <c r="C557" s="185"/>
      <c r="D557" s="103" t="str">
        <f>VLOOKUP(B557, 'All Menu'!B:M, 4, 0)</f>
        <v>كبسة</v>
      </c>
      <c r="E557" s="30" t="str">
        <f>VLOOKUP(B557, 'All Menu'!B:M, 2, 0)</f>
        <v>قسم الصالة</v>
      </c>
      <c r="F557" s="103" t="str">
        <f>VLOOKUP(B557, 'All Menu'!B:M, 3, 0)</f>
        <v>اطباق اليوم صالة</v>
      </c>
      <c r="G557" s="90" t="s">
        <v>2417</v>
      </c>
      <c r="H557" s="219" t="s">
        <v>544</v>
      </c>
      <c r="I557" s="110" t="str">
        <f>VLOOKUP(H557, 'RM &amp; SF'!B:H, 2, 0)</f>
        <v>دجاجة متبلة</v>
      </c>
      <c r="J557" s="184" t="str">
        <f>VLOOKUP(H557, 'RM &amp; SF'!B:E, 4, 0)</f>
        <v>قطعة</v>
      </c>
      <c r="K557" s="12">
        <v>0.25</v>
      </c>
      <c r="L557" s="13">
        <f>VLOOKUP(H557, 'RM &amp; SF'!B:H, 7, 0)</f>
        <v>3.0853324000000004</v>
      </c>
      <c r="M557" s="7">
        <f t="shared" si="28"/>
        <v>0.7713331000000001</v>
      </c>
      <c r="N557" s="4" t="s">
        <v>825</v>
      </c>
      <c r="O557" s="4">
        <f>VLOOKUP(B557, 'All Menu'!B:L, 6, 0)</f>
        <v>3.2327586206896552</v>
      </c>
      <c r="P557" s="6">
        <f>VLOOKUP(B557, 'All Menu'!B:L, 9, 0)</f>
        <v>1.292666686956522</v>
      </c>
      <c r="Q557" s="14">
        <f>VLOOKUP(B557, 'All Menu'!B:M, 12, 0)</f>
        <v>0.6001351048347825</v>
      </c>
      <c r="R557" s="173">
        <f t="shared" si="30"/>
        <v>0</v>
      </c>
    </row>
    <row r="558" spans="1:18" ht="14" hidden="1">
      <c r="A558" s="78" t="s">
        <v>2628</v>
      </c>
      <c r="B558" s="220" t="s">
        <v>881</v>
      </c>
      <c r="C558" s="185"/>
      <c r="D558" s="103" t="str">
        <f>VLOOKUP(B558, 'All Menu'!B:M, 4, 0)</f>
        <v>كبسة</v>
      </c>
      <c r="E558" s="30" t="str">
        <f>VLOOKUP(B558, 'All Menu'!B:M, 2, 0)</f>
        <v>قسم الصالة</v>
      </c>
      <c r="F558" s="103" t="str">
        <f>VLOOKUP(B558, 'All Menu'!B:M, 3, 0)</f>
        <v>اطباق اليوم صالة</v>
      </c>
      <c r="G558" s="90" t="s">
        <v>2341</v>
      </c>
      <c r="H558" s="219" t="s">
        <v>706</v>
      </c>
      <c r="I558" s="110" t="str">
        <f>VLOOKUP(H558, 'RM &amp; SF'!B:H, 2, 0)</f>
        <v>لوز مقلي</v>
      </c>
      <c r="J558" s="184" t="str">
        <f>VLOOKUP(H558, 'RM &amp; SF'!B:E, 4, 0)</f>
        <v>غم</v>
      </c>
      <c r="K558" s="12">
        <v>20</v>
      </c>
      <c r="L558" s="13">
        <f>VLOOKUP(H558, 'RM &amp; SF'!B:H, 7, 0)</f>
        <v>4.1352327586206888E-3</v>
      </c>
      <c r="M558" s="7">
        <f t="shared" si="28"/>
        <v>8.270465517241378E-2</v>
      </c>
      <c r="N558" s="4" t="s">
        <v>825</v>
      </c>
      <c r="O558" s="4">
        <f>VLOOKUP(B558, 'All Menu'!B:L, 6, 0)</f>
        <v>3.2327586206896552</v>
      </c>
      <c r="P558" s="6">
        <f>VLOOKUP(B558, 'All Menu'!B:L, 9, 0)</f>
        <v>1.292666686956522</v>
      </c>
      <c r="Q558" s="14">
        <f>VLOOKUP(B558, 'All Menu'!B:M, 12, 0)</f>
        <v>0.6001351048347825</v>
      </c>
      <c r="R558" s="173">
        <f t="shared" si="30"/>
        <v>0</v>
      </c>
    </row>
    <row r="559" spans="1:18" ht="14" hidden="1">
      <c r="A559" s="78" t="s">
        <v>2628</v>
      </c>
      <c r="B559" s="220" t="s">
        <v>881</v>
      </c>
      <c r="C559" s="185"/>
      <c r="D559" s="103" t="str">
        <f>VLOOKUP(B559, 'All Menu'!B:M, 4, 0)</f>
        <v>كبسة</v>
      </c>
      <c r="E559" s="30" t="str">
        <f>VLOOKUP(B559, 'All Menu'!B:M, 2, 0)</f>
        <v>قسم الصالة</v>
      </c>
      <c r="F559" s="103" t="str">
        <f>VLOOKUP(B559, 'All Menu'!B:M, 3, 0)</f>
        <v>اطباق اليوم صالة</v>
      </c>
      <c r="G559" s="90" t="s">
        <v>2170</v>
      </c>
      <c r="H559" s="188">
        <v>4552</v>
      </c>
      <c r="I559" s="110" t="str">
        <f>VLOOKUP(H559, 'RM &amp; SF'!B:H, 2, 0)</f>
        <v>لبن رايب 5 كغ*****</v>
      </c>
      <c r="J559" s="184" t="str">
        <f>VLOOKUP(H559, 'RM &amp; SF'!B:E, 4, 0)</f>
        <v>غم</v>
      </c>
      <c r="K559" s="12">
        <v>150</v>
      </c>
      <c r="L559" s="13">
        <f>VLOOKUP(H559, 'RM &amp; SF'!B:H, 7, 0)</f>
        <v>8.0000000000000004E-4</v>
      </c>
      <c r="M559" s="7">
        <f t="shared" si="28"/>
        <v>0.12000000000000001</v>
      </c>
      <c r="N559" s="4" t="s">
        <v>825</v>
      </c>
      <c r="O559" s="4">
        <f>VLOOKUP(B559, 'All Menu'!B:L, 6, 0)</f>
        <v>3.2327586206896552</v>
      </c>
      <c r="P559" s="6">
        <f>VLOOKUP(B559, 'All Menu'!B:L, 9, 0)</f>
        <v>1.292666686956522</v>
      </c>
      <c r="Q559" s="14">
        <f>VLOOKUP(B559, 'All Menu'!B:M, 12, 0)</f>
        <v>0.6001351048347825</v>
      </c>
      <c r="R559" s="173">
        <f t="shared" si="30"/>
        <v>0</v>
      </c>
    </row>
    <row r="560" spans="1:18" ht="14" hidden="1">
      <c r="A560" s="78" t="s">
        <v>2580</v>
      </c>
      <c r="B560" s="220" t="s">
        <v>894</v>
      </c>
      <c r="C560" s="185"/>
      <c r="D560" s="103" t="str">
        <f>VLOOKUP(B560, 'All Menu'!B:M, 4, 0)</f>
        <v>سلطة تركية</v>
      </c>
      <c r="E560" s="30" t="str">
        <f>VLOOKUP(B560, 'All Menu'!B:M, 2, 0)</f>
        <v>قسم الصالة</v>
      </c>
      <c r="F560" s="103" t="str">
        <f>VLOOKUP(B560, 'All Menu'!B:M, 3, 0)</f>
        <v>سلطات صالة</v>
      </c>
      <c r="G560" s="90" t="s">
        <v>2450</v>
      </c>
      <c r="H560" s="219" t="s">
        <v>570</v>
      </c>
      <c r="I560" s="110" t="str">
        <f>VLOOKUP(H560, 'RM &amp; SF'!B:H, 2, 0)</f>
        <v>سلطة تركية</v>
      </c>
      <c r="J560" s="184" t="str">
        <f>VLOOKUP(H560, 'RM &amp; SF'!B:E, 4, 0)</f>
        <v>غم</v>
      </c>
      <c r="K560" s="12">
        <v>250</v>
      </c>
      <c r="L560" s="13">
        <f>VLOOKUP(H560, 'RM &amp; SF'!B:H, 7, 0)</f>
        <v>9.3877101247799523E-4</v>
      </c>
      <c r="M560" s="7">
        <f t="shared" si="28"/>
        <v>0.2346927531194988</v>
      </c>
      <c r="N560" s="4" t="s">
        <v>825</v>
      </c>
      <c r="O560" s="4">
        <f>VLOOKUP(B560, 'All Menu'!B:L, 6, 0)</f>
        <v>1.9396551724137931</v>
      </c>
      <c r="P560" s="6">
        <f>VLOOKUP(B560, 'All Menu'!B:L, 9, 0)</f>
        <v>0.2346927531194988</v>
      </c>
      <c r="Q560" s="14">
        <f>VLOOKUP(B560, 'All Menu'!B:M, 12, 0)</f>
        <v>0.87900284728061395</v>
      </c>
      <c r="R560" s="173">
        <f t="shared" si="30"/>
        <v>0</v>
      </c>
    </row>
    <row r="561" spans="1:18" ht="14" hidden="1">
      <c r="A561" s="78" t="s">
        <v>2508</v>
      </c>
      <c r="B561" s="220" t="s">
        <v>993</v>
      </c>
      <c r="C561" s="185"/>
      <c r="D561" s="103" t="str">
        <f>VLOOKUP(B561, 'All Menu'!B:M, 4, 0)</f>
        <v>مسخن رول</v>
      </c>
      <c r="E561" s="30" t="str">
        <f>VLOOKUP(B561, 'All Menu'!B:M, 2, 0)</f>
        <v>قسم الصالة</v>
      </c>
      <c r="F561" s="103" t="str">
        <f>VLOOKUP(B561, 'All Menu'!B:M, 3, 0)</f>
        <v>مقبلات ساخنة صالة</v>
      </c>
      <c r="G561" s="90" t="s">
        <v>2326</v>
      </c>
      <c r="H561" s="219" t="s">
        <v>576</v>
      </c>
      <c r="I561" s="110" t="str">
        <f>VLOOKUP(H561, 'RM &amp; SF'!B:H, 2, 0)</f>
        <v>حشوة مسخن</v>
      </c>
      <c r="J561" s="184" t="str">
        <f>VLOOKUP(H561, 'RM &amp; SF'!B:E, 4, 0)</f>
        <v>غم</v>
      </c>
      <c r="K561" s="12">
        <v>120</v>
      </c>
      <c r="L561" s="13">
        <f>VLOOKUP(H561, 'RM &amp; SF'!B:H, 7, 0)</f>
        <v>1.3608476190476188E-3</v>
      </c>
      <c r="M561" s="7">
        <f t="shared" si="28"/>
        <v>0.16330171428571427</v>
      </c>
      <c r="N561" s="4" t="s">
        <v>825</v>
      </c>
      <c r="O561" s="4">
        <f>VLOOKUP(B561, 'All Menu'!B:L, 6, 0)</f>
        <v>1.5517241379310347</v>
      </c>
      <c r="P561" s="6">
        <f>VLOOKUP(B561, 'All Menu'!B:L, 9, 0)</f>
        <v>0.23830171428571428</v>
      </c>
      <c r="Q561" s="14">
        <f>VLOOKUP(B561, 'All Menu'!B:M, 12, 0)</f>
        <v>0.84642778412698416</v>
      </c>
      <c r="R561" s="173">
        <f t="shared" si="30"/>
        <v>0</v>
      </c>
    </row>
    <row r="562" spans="1:18" ht="14" hidden="1">
      <c r="A562" s="78" t="s">
        <v>2508</v>
      </c>
      <c r="B562" s="220" t="s">
        <v>993</v>
      </c>
      <c r="C562" s="185"/>
      <c r="D562" s="103" t="str">
        <f>VLOOKUP(B562, 'All Menu'!B:M, 4, 0)</f>
        <v>مسخن رول</v>
      </c>
      <c r="E562" s="30" t="str">
        <f>VLOOKUP(B562, 'All Menu'!B:M, 2, 0)</f>
        <v>قسم الصالة</v>
      </c>
      <c r="F562" s="103" t="str">
        <f>VLOOKUP(B562, 'All Menu'!B:M, 3, 0)</f>
        <v>مقبلات ساخنة صالة</v>
      </c>
      <c r="G562" s="90" t="s">
        <v>2224</v>
      </c>
      <c r="H562" s="188">
        <v>4115</v>
      </c>
      <c r="I562" s="110" t="str">
        <f>VLOOKUP(H562, 'RM &amp; SF'!B:H, 2, 0)</f>
        <v>خبز شراك*****</v>
      </c>
      <c r="J562" s="184" t="str">
        <f>VLOOKUP(H562, 'RM &amp; SF'!B:E, 4, 0)</f>
        <v>قطعة</v>
      </c>
      <c r="K562" s="12">
        <v>0.75</v>
      </c>
      <c r="L562" s="13">
        <f>VLOOKUP(H562, 'RM &amp; SF'!B:H, 7, 0)</f>
        <v>0.1</v>
      </c>
      <c r="M562" s="7">
        <f t="shared" si="28"/>
        <v>7.5000000000000011E-2</v>
      </c>
      <c r="N562" s="4" t="s">
        <v>825</v>
      </c>
      <c r="O562" s="4">
        <f>VLOOKUP(B562, 'All Menu'!B:L, 6, 0)</f>
        <v>1.5517241379310347</v>
      </c>
      <c r="P562" s="6">
        <f>VLOOKUP(B562, 'All Menu'!B:L, 9, 0)</f>
        <v>0.23830171428571428</v>
      </c>
      <c r="Q562" s="14">
        <f>VLOOKUP(B562, 'All Menu'!B:M, 12, 0)</f>
        <v>0.84642778412698416</v>
      </c>
      <c r="R562" s="173">
        <f t="shared" si="30"/>
        <v>0</v>
      </c>
    </row>
    <row r="563" spans="1:18" ht="14" hidden="1">
      <c r="A563" s="78" t="s">
        <v>2607</v>
      </c>
      <c r="B563" s="220" t="s">
        <v>995</v>
      </c>
      <c r="C563" s="185"/>
      <c r="D563" s="103" t="str">
        <f>VLOOKUP(B563, 'All Menu'!B:M, 4, 0)</f>
        <v>قدرة</v>
      </c>
      <c r="E563" s="30" t="str">
        <f>VLOOKUP(B563, 'All Menu'!B:M, 2, 0)</f>
        <v>قسم الصالة</v>
      </c>
      <c r="F563" s="103" t="str">
        <f>VLOOKUP(B563, 'All Menu'!B:M, 3, 0)</f>
        <v>اطباق اليوم صالة</v>
      </c>
      <c r="G563" s="90" t="s">
        <v>2386</v>
      </c>
      <c r="H563" s="219" t="s">
        <v>584</v>
      </c>
      <c r="I563" s="110" t="str">
        <f>VLOOKUP(H563, 'RM &amp; SF'!B:H, 2, 0)</f>
        <v>رز قدرة</v>
      </c>
      <c r="J563" s="184" t="str">
        <f>VLOOKUP(H563, 'RM &amp; SF'!B:E, 4, 0)</f>
        <v>غم</v>
      </c>
      <c r="K563" s="12">
        <v>500</v>
      </c>
      <c r="L563" s="13">
        <f>VLOOKUP(H563, 'RM &amp; SF'!B:H, 7, 0)</f>
        <v>4.9428737588652486E-4</v>
      </c>
      <c r="M563" s="7">
        <f t="shared" si="28"/>
        <v>0.24714368794326244</v>
      </c>
      <c r="N563" s="4" t="s">
        <v>825</v>
      </c>
      <c r="O563" s="4">
        <f>VLOOKUP(B563, 'All Menu'!B:L, 6, 0)</f>
        <v>3.2327586206896552</v>
      </c>
      <c r="P563" s="6">
        <f>VLOOKUP(B563, 'All Menu'!B:L, 9, 0)</f>
        <v>1.2211814431156764</v>
      </c>
      <c r="Q563" s="14">
        <f>VLOOKUP(B563, 'All Menu'!B:M, 12, 0)</f>
        <v>0.62224787359621736</v>
      </c>
      <c r="R563" s="173">
        <f t="shared" si="30"/>
        <v>0</v>
      </c>
    </row>
    <row r="564" spans="1:18" ht="14" hidden="1">
      <c r="A564" s="78" t="s">
        <v>2607</v>
      </c>
      <c r="B564" s="220" t="s">
        <v>995</v>
      </c>
      <c r="C564" s="185"/>
      <c r="D564" s="103" t="str">
        <f>VLOOKUP(B564, 'All Menu'!B:M, 4, 0)</f>
        <v>قدرة</v>
      </c>
      <c r="E564" s="30" t="str">
        <f>VLOOKUP(B564, 'All Menu'!B:M, 2, 0)</f>
        <v>قسم الصالة</v>
      </c>
      <c r="F564" s="103" t="str">
        <f>VLOOKUP(B564, 'All Menu'!B:M, 3, 0)</f>
        <v>اطباق اليوم صالة</v>
      </c>
      <c r="G564" s="90" t="s">
        <v>2417</v>
      </c>
      <c r="H564" s="219" t="s">
        <v>544</v>
      </c>
      <c r="I564" s="110" t="str">
        <f>VLOOKUP(H564, 'RM &amp; SF'!B:H, 2, 0)</f>
        <v>دجاجة متبلة</v>
      </c>
      <c r="J564" s="184" t="str">
        <f>VLOOKUP(H564, 'RM &amp; SF'!B:E, 4, 0)</f>
        <v>قطعة</v>
      </c>
      <c r="K564" s="12">
        <v>0.25</v>
      </c>
      <c r="L564" s="13">
        <f>VLOOKUP(H564, 'RM &amp; SF'!B:H, 7, 0)</f>
        <v>3.0853324000000004</v>
      </c>
      <c r="M564" s="7">
        <f t="shared" si="28"/>
        <v>0.7713331000000001</v>
      </c>
      <c r="N564" s="4" t="s">
        <v>825</v>
      </c>
      <c r="O564" s="4">
        <f>VLOOKUP(B564, 'All Menu'!B:L, 6, 0)</f>
        <v>3.2327586206896552</v>
      </c>
      <c r="P564" s="6">
        <f>VLOOKUP(B564, 'All Menu'!B:L, 9, 0)</f>
        <v>1.2211814431156764</v>
      </c>
      <c r="Q564" s="14">
        <f>VLOOKUP(B564, 'All Menu'!B:M, 12, 0)</f>
        <v>0.62224787359621736</v>
      </c>
      <c r="R564" s="173">
        <f t="shared" si="30"/>
        <v>0</v>
      </c>
    </row>
    <row r="565" spans="1:18" ht="14" hidden="1">
      <c r="A565" s="78" t="s">
        <v>2607</v>
      </c>
      <c r="B565" s="220" t="s">
        <v>995</v>
      </c>
      <c r="C565" s="185"/>
      <c r="D565" s="103" t="str">
        <f>VLOOKUP(B565, 'All Menu'!B:M, 4, 0)</f>
        <v>قدرة</v>
      </c>
      <c r="E565" s="30" t="str">
        <f>VLOOKUP(B565, 'All Menu'!B:M, 2, 0)</f>
        <v>قسم الصالة</v>
      </c>
      <c r="F565" s="103" t="str">
        <f>VLOOKUP(B565, 'All Menu'!B:M, 3, 0)</f>
        <v>اطباق اليوم صالة</v>
      </c>
      <c r="G565" s="90" t="s">
        <v>2341</v>
      </c>
      <c r="H565" s="219" t="s">
        <v>706</v>
      </c>
      <c r="I565" s="110" t="str">
        <f>VLOOKUP(H565, 'RM &amp; SF'!B:H, 2, 0)</f>
        <v>لوز مقلي</v>
      </c>
      <c r="J565" s="184" t="str">
        <f>VLOOKUP(H565, 'RM &amp; SF'!B:E, 4, 0)</f>
        <v>غم</v>
      </c>
      <c r="K565" s="12">
        <v>20</v>
      </c>
      <c r="L565" s="13">
        <f>VLOOKUP(H565, 'RM &amp; SF'!B:H, 7, 0)</f>
        <v>4.1352327586206888E-3</v>
      </c>
      <c r="M565" s="7">
        <f t="shared" si="28"/>
        <v>8.270465517241378E-2</v>
      </c>
      <c r="N565" s="4" t="s">
        <v>825</v>
      </c>
      <c r="O565" s="4">
        <f>VLOOKUP(B565, 'All Menu'!B:L, 6, 0)</f>
        <v>3.2327586206896552</v>
      </c>
      <c r="P565" s="6">
        <f>VLOOKUP(B565, 'All Menu'!B:L, 9, 0)</f>
        <v>1.2211814431156764</v>
      </c>
      <c r="Q565" s="14">
        <f>VLOOKUP(B565, 'All Menu'!B:M, 12, 0)</f>
        <v>0.62224787359621736</v>
      </c>
      <c r="R565" s="173">
        <f t="shared" si="30"/>
        <v>0</v>
      </c>
    </row>
    <row r="566" spans="1:18" ht="14" hidden="1">
      <c r="A566" s="78" t="s">
        <v>2607</v>
      </c>
      <c r="B566" s="220" t="s">
        <v>995</v>
      </c>
      <c r="C566" s="185"/>
      <c r="D566" s="103" t="str">
        <f>VLOOKUP(B566, 'All Menu'!B:M, 4, 0)</f>
        <v>قدرة</v>
      </c>
      <c r="E566" s="30" t="str">
        <f>VLOOKUP(B566, 'All Menu'!B:M, 2, 0)</f>
        <v>قسم الصالة</v>
      </c>
      <c r="F566" s="103" t="str">
        <f>VLOOKUP(B566, 'All Menu'!B:M, 3, 0)</f>
        <v>اطباق اليوم صالة</v>
      </c>
      <c r="G566" s="90" t="s">
        <v>2170</v>
      </c>
      <c r="H566" s="188">
        <v>4552</v>
      </c>
      <c r="I566" s="110" t="str">
        <f>VLOOKUP(H566, 'RM &amp; SF'!B:H, 2, 0)</f>
        <v>لبن رايب 5 كغ*****</v>
      </c>
      <c r="J566" s="184" t="str">
        <f>VLOOKUP(H566, 'RM &amp; SF'!B:E, 4, 0)</f>
        <v>غم</v>
      </c>
      <c r="K566" s="12">
        <v>150</v>
      </c>
      <c r="L566" s="13">
        <f>VLOOKUP(H566, 'RM &amp; SF'!B:H, 7, 0)</f>
        <v>8.0000000000000004E-4</v>
      </c>
      <c r="M566" s="7">
        <f t="shared" si="28"/>
        <v>0.12000000000000001</v>
      </c>
      <c r="N566" s="4" t="s">
        <v>825</v>
      </c>
      <c r="O566" s="4">
        <f>VLOOKUP(B566, 'All Menu'!B:L, 6, 0)</f>
        <v>3.2327586206896552</v>
      </c>
      <c r="P566" s="6">
        <f>VLOOKUP(B566, 'All Menu'!B:L, 9, 0)</f>
        <v>1.2211814431156764</v>
      </c>
      <c r="Q566" s="14">
        <f>VLOOKUP(B566, 'All Menu'!B:M, 12, 0)</f>
        <v>0.62224787359621736</v>
      </c>
      <c r="R566" s="173">
        <f t="shared" si="30"/>
        <v>0</v>
      </c>
    </row>
    <row r="567" spans="1:18" ht="14" hidden="1">
      <c r="A567" s="78" t="s">
        <v>2626</v>
      </c>
      <c r="B567" s="220" t="s">
        <v>997</v>
      </c>
      <c r="C567" s="185"/>
      <c r="D567" s="103" t="str">
        <f>VLOOKUP(B567, 'All Menu'!B:M, 4, 0)</f>
        <v>كبة لبنية</v>
      </c>
      <c r="E567" s="30" t="str">
        <f>VLOOKUP(B567, 'All Menu'!B:M, 2, 0)</f>
        <v>قسم الصالة</v>
      </c>
      <c r="F567" s="103" t="str">
        <f>VLOOKUP(B567, 'All Menu'!B:M, 3, 0)</f>
        <v>اطباق اليوم صالة</v>
      </c>
      <c r="G567" s="90" t="s">
        <v>2342</v>
      </c>
      <c r="H567" s="219" t="s">
        <v>708</v>
      </c>
      <c r="I567" s="110" t="str">
        <f>VLOOKUP(H567, 'RM &amp; SF'!B:H, 2, 0)</f>
        <v>ارز بشعيرية</v>
      </c>
      <c r="J567" s="184" t="str">
        <f>VLOOKUP(H567, 'RM &amp; SF'!B:E, 4, 0)</f>
        <v>غم</v>
      </c>
      <c r="K567" s="12">
        <v>500</v>
      </c>
      <c r="L567" s="13">
        <f>VLOOKUP(H567, 'RM &amp; SF'!B:H, 7, 0)</f>
        <v>3.3269616161616159E-4</v>
      </c>
      <c r="M567" s="7">
        <f t="shared" si="28"/>
        <v>0.16634808080808081</v>
      </c>
      <c r="N567" s="4" t="s">
        <v>825</v>
      </c>
      <c r="O567" s="4">
        <f>VLOOKUP(B567, 'All Menu'!B:L, 6, 0)</f>
        <v>4.5258620689655178</v>
      </c>
      <c r="P567" s="6">
        <f>VLOOKUP(B567, 'All Menu'!B:L, 9, 0)</f>
        <v>2.0869322880320169</v>
      </c>
      <c r="Q567" s="14">
        <f>VLOOKUP(B567, 'All Menu'!B:M, 12, 0)</f>
        <v>0.53888734207292588</v>
      </c>
      <c r="R567" s="173">
        <f t="shared" si="30"/>
        <v>0</v>
      </c>
    </row>
    <row r="568" spans="1:18" ht="14" hidden="1">
      <c r="A568" s="78" t="s">
        <v>2626</v>
      </c>
      <c r="B568" s="220" t="s">
        <v>997</v>
      </c>
      <c r="C568" s="185"/>
      <c r="D568" s="103" t="str">
        <f>VLOOKUP(B568, 'All Menu'!B:M, 4, 0)</f>
        <v>كبة لبنية</v>
      </c>
      <c r="E568" s="30" t="str">
        <f>VLOOKUP(B568, 'All Menu'!B:M, 2, 0)</f>
        <v>قسم الصالة</v>
      </c>
      <c r="F568" s="103" t="str">
        <f>VLOOKUP(B568, 'All Menu'!B:M, 3, 0)</f>
        <v>اطباق اليوم صالة</v>
      </c>
      <c r="G568" s="90" t="s">
        <v>2407</v>
      </c>
      <c r="H568" s="219" t="s">
        <v>586</v>
      </c>
      <c r="I568" s="110" t="str">
        <f>VLOOKUP(H568, 'RM &amp; SF'!B:H, 2, 0)</f>
        <v xml:space="preserve">كبة لبنية   </v>
      </c>
      <c r="J568" s="184" t="str">
        <f>VLOOKUP(H568, 'RM &amp; SF'!B:E, 4, 0)</f>
        <v>قطعة</v>
      </c>
      <c r="K568" s="12">
        <v>4</v>
      </c>
      <c r="L568" s="13">
        <f>VLOOKUP(H568, 'RM &amp; SF'!B:H, 7, 0)</f>
        <v>0.32143523705263155</v>
      </c>
      <c r="M568" s="7">
        <f t="shared" si="28"/>
        <v>1.2857409482105262</v>
      </c>
      <c r="N568" s="4" t="s">
        <v>825</v>
      </c>
      <c r="O568" s="4">
        <f>VLOOKUP(B568, 'All Menu'!B:L, 6, 0)</f>
        <v>4.5258620689655178</v>
      </c>
      <c r="P568" s="6">
        <f>VLOOKUP(B568, 'All Menu'!B:L, 9, 0)</f>
        <v>2.0869322880320169</v>
      </c>
      <c r="Q568" s="14">
        <f>VLOOKUP(B568, 'All Menu'!B:M, 12, 0)</f>
        <v>0.53888734207292588</v>
      </c>
      <c r="R568" s="173">
        <f t="shared" si="30"/>
        <v>0</v>
      </c>
    </row>
    <row r="569" spans="1:18" ht="14" hidden="1">
      <c r="A569" s="78" t="s">
        <v>2626</v>
      </c>
      <c r="B569" s="220" t="s">
        <v>997</v>
      </c>
      <c r="C569" s="185"/>
      <c r="D569" s="103" t="str">
        <f>VLOOKUP(B569, 'All Menu'!B:M, 4, 0)</f>
        <v>كبة لبنية</v>
      </c>
      <c r="E569" s="30" t="str">
        <f>VLOOKUP(B569, 'All Menu'!B:M, 2, 0)</f>
        <v>قسم الصالة</v>
      </c>
      <c r="F569" s="103" t="str">
        <f>VLOOKUP(B569, 'All Menu'!B:M, 3, 0)</f>
        <v>اطباق اليوم صالة</v>
      </c>
      <c r="G569" s="90" t="s">
        <v>2394</v>
      </c>
      <c r="H569" s="219" t="s">
        <v>588</v>
      </c>
      <c r="I569" s="110" t="str">
        <f>VLOOKUP(H569, 'RM &amp; SF'!B:H, 2, 0)</f>
        <v xml:space="preserve">لبن الكبة </v>
      </c>
      <c r="J569" s="184" t="str">
        <f>VLOOKUP(H569, 'RM &amp; SF'!B:E, 4, 0)</f>
        <v>غم</v>
      </c>
      <c r="K569" s="12">
        <v>400</v>
      </c>
      <c r="L569" s="13">
        <f>VLOOKUP(H569, 'RM &amp; SF'!B:H, 7, 0)</f>
        <v>7.294197944444444E-4</v>
      </c>
      <c r="M569" s="7">
        <f t="shared" si="28"/>
        <v>0.29176791777777777</v>
      </c>
      <c r="N569" s="4" t="s">
        <v>825</v>
      </c>
      <c r="O569" s="4">
        <f>VLOOKUP(B569, 'All Menu'!B:L, 6, 0)</f>
        <v>4.5258620689655178</v>
      </c>
      <c r="P569" s="6">
        <f>VLOOKUP(B569, 'All Menu'!B:L, 9, 0)</f>
        <v>2.0869322880320169</v>
      </c>
      <c r="Q569" s="14">
        <f>VLOOKUP(B569, 'All Menu'!B:M, 12, 0)</f>
        <v>0.53888734207292588</v>
      </c>
      <c r="R569" s="173">
        <f t="shared" si="30"/>
        <v>0</v>
      </c>
    </row>
    <row r="570" spans="1:18" ht="14" hidden="1">
      <c r="A570" s="78" t="s">
        <v>2626</v>
      </c>
      <c r="B570" s="220" t="s">
        <v>997</v>
      </c>
      <c r="C570" s="185"/>
      <c r="D570" s="103" t="str">
        <f>VLOOKUP(B570, 'All Menu'!B:M, 4, 0)</f>
        <v>كبة لبنية</v>
      </c>
      <c r="E570" s="30" t="str">
        <f>VLOOKUP(B570, 'All Menu'!B:M, 2, 0)</f>
        <v>قسم الصالة</v>
      </c>
      <c r="F570" s="103" t="str">
        <f>VLOOKUP(B570, 'All Menu'!B:M, 3, 0)</f>
        <v>اطباق اليوم صالة</v>
      </c>
      <c r="G570" s="90" t="s">
        <v>3058</v>
      </c>
      <c r="H570" s="219" t="s">
        <v>3043</v>
      </c>
      <c r="I570" s="110" t="str">
        <f>VLOOKUP(H570, 'RM &amp; SF'!B:H, 2, 0)</f>
        <v>علبة لوز مقلي 25 غرام</v>
      </c>
      <c r="J570" s="184" t="str">
        <f>VLOOKUP(H570, 'RM &amp; SF'!B:E, 4, 0)</f>
        <v>قطعة</v>
      </c>
      <c r="K570" s="12">
        <v>25</v>
      </c>
      <c r="L570" s="13">
        <f>VLOOKUP(H570, 'RM &amp; SF'!B:H, 7, 0)</f>
        <v>1.3723013649425287E-2</v>
      </c>
      <c r="M570" s="7">
        <f t="shared" si="28"/>
        <v>0.34307534123563216</v>
      </c>
      <c r="N570" s="4" t="s">
        <v>825</v>
      </c>
      <c r="O570" s="4">
        <f>VLOOKUP(B570, 'All Menu'!B:L, 6, 0)</f>
        <v>4.5258620689655178</v>
      </c>
      <c r="P570" s="6">
        <f>VLOOKUP(B570, 'All Menu'!B:L, 9, 0)</f>
        <v>2.0869322880320169</v>
      </c>
      <c r="Q570" s="14">
        <f>VLOOKUP(B570, 'All Menu'!B:M, 12, 0)</f>
        <v>0.53888734207292588</v>
      </c>
      <c r="R570" s="173">
        <f t="shared" si="30"/>
        <v>0</v>
      </c>
    </row>
    <row r="571" spans="1:18" ht="14" hidden="1">
      <c r="A571" s="78" t="s">
        <v>2615</v>
      </c>
      <c r="B571" s="220" t="s">
        <v>999</v>
      </c>
      <c r="C571" s="185"/>
      <c r="D571" s="103" t="str">
        <f>VLOOKUP(B571, 'All Menu'!B:M, 4, 0)</f>
        <v>زرب دجاج</v>
      </c>
      <c r="E571" s="30" t="str">
        <f>VLOOKUP(B571, 'All Menu'!B:M, 2, 0)</f>
        <v>قسم الصالة</v>
      </c>
      <c r="F571" s="103" t="str">
        <f>VLOOKUP(B571, 'All Menu'!B:M, 3, 0)</f>
        <v>اطباق اليوم صالة</v>
      </c>
      <c r="G571" s="90" t="s">
        <v>2392</v>
      </c>
      <c r="H571" s="219" t="s">
        <v>590</v>
      </c>
      <c r="I571" s="110" t="str">
        <f>VLOOKUP(H571, 'RM &amp; SF'!B:H, 2, 0)</f>
        <v>ارز زرب</v>
      </c>
      <c r="J571" s="184" t="str">
        <f>VLOOKUP(H571, 'RM &amp; SF'!B:E, 4, 0)</f>
        <v>غم</v>
      </c>
      <c r="K571" s="12">
        <v>500</v>
      </c>
      <c r="L571" s="13">
        <f>VLOOKUP(H571, 'RM &amp; SF'!B:H, 7, 0)</f>
        <v>5.1539514056513406E-4</v>
      </c>
      <c r="M571" s="7">
        <f t="shared" si="28"/>
        <v>0.25769757028256701</v>
      </c>
      <c r="N571" s="4" t="s">
        <v>825</v>
      </c>
      <c r="O571" s="4">
        <f>VLOOKUP(B571, 'All Menu'!B:L, 6, 0)</f>
        <v>3.2327586206896552</v>
      </c>
      <c r="P571" s="6">
        <f>VLOOKUP(B571, 'All Menu'!B:L, 9, 0)</f>
        <v>1.231735325454981</v>
      </c>
      <c r="Q571" s="14">
        <f>VLOOKUP(B571, 'All Menu'!B:M, 12, 0)</f>
        <v>0.61898320599259249</v>
      </c>
      <c r="R571" s="173">
        <f t="shared" si="30"/>
        <v>0</v>
      </c>
    </row>
    <row r="572" spans="1:18" ht="14" hidden="1">
      <c r="A572" s="78" t="s">
        <v>2615</v>
      </c>
      <c r="B572" s="220" t="s">
        <v>999</v>
      </c>
      <c r="C572" s="185"/>
      <c r="D572" s="103" t="str">
        <f>VLOOKUP(B572, 'All Menu'!B:M, 4, 0)</f>
        <v>زرب دجاج</v>
      </c>
      <c r="E572" s="30" t="str">
        <f>VLOOKUP(B572, 'All Menu'!B:M, 2, 0)</f>
        <v>قسم الصالة</v>
      </c>
      <c r="F572" s="103" t="str">
        <f>VLOOKUP(B572, 'All Menu'!B:M, 3, 0)</f>
        <v>اطباق اليوم صالة</v>
      </c>
      <c r="G572" s="90" t="s">
        <v>2417</v>
      </c>
      <c r="H572" s="219" t="s">
        <v>544</v>
      </c>
      <c r="I572" s="110" t="str">
        <f>VLOOKUP(H572, 'RM &amp; SF'!B:H, 2, 0)</f>
        <v>دجاجة متبلة</v>
      </c>
      <c r="J572" s="184" t="str">
        <f>VLOOKUP(H572, 'RM &amp; SF'!B:E, 4, 0)</f>
        <v>قطعة</v>
      </c>
      <c r="K572" s="12">
        <v>0.25</v>
      </c>
      <c r="L572" s="13">
        <f>VLOOKUP(H572, 'RM &amp; SF'!B:H, 7, 0)</f>
        <v>3.0853324000000004</v>
      </c>
      <c r="M572" s="7">
        <f t="shared" si="28"/>
        <v>0.7713331000000001</v>
      </c>
      <c r="N572" s="4" t="s">
        <v>825</v>
      </c>
      <c r="O572" s="4">
        <f>VLOOKUP(B572, 'All Menu'!B:L, 6, 0)</f>
        <v>3.2327586206896552</v>
      </c>
      <c r="P572" s="6">
        <f>VLOOKUP(B572, 'All Menu'!B:L, 9, 0)</f>
        <v>1.231735325454981</v>
      </c>
      <c r="Q572" s="14">
        <f>VLOOKUP(B572, 'All Menu'!B:M, 12, 0)</f>
        <v>0.61898320599259249</v>
      </c>
      <c r="R572" s="173">
        <f t="shared" si="30"/>
        <v>0</v>
      </c>
    </row>
    <row r="573" spans="1:18" ht="14" hidden="1">
      <c r="A573" s="78" t="s">
        <v>2615</v>
      </c>
      <c r="B573" s="220" t="s">
        <v>999</v>
      </c>
      <c r="C573" s="185"/>
      <c r="D573" s="103" t="str">
        <f>VLOOKUP(B573, 'All Menu'!B:M, 4, 0)</f>
        <v>زرب دجاج</v>
      </c>
      <c r="E573" s="30" t="str">
        <f>VLOOKUP(B573, 'All Menu'!B:M, 2, 0)</f>
        <v>قسم الصالة</v>
      </c>
      <c r="F573" s="103" t="str">
        <f>VLOOKUP(B573, 'All Menu'!B:M, 3, 0)</f>
        <v>اطباق اليوم صالة</v>
      </c>
      <c r="G573" s="90" t="s">
        <v>2341</v>
      </c>
      <c r="H573" s="219" t="s">
        <v>706</v>
      </c>
      <c r="I573" s="110" t="str">
        <f>VLOOKUP(H573, 'RM &amp; SF'!B:H, 2, 0)</f>
        <v>لوز مقلي</v>
      </c>
      <c r="J573" s="184" t="str">
        <f>VLOOKUP(H573, 'RM &amp; SF'!B:E, 4, 0)</f>
        <v>غم</v>
      </c>
      <c r="K573" s="12">
        <v>20</v>
      </c>
      <c r="L573" s="13">
        <f>VLOOKUP(H573, 'RM &amp; SF'!B:H, 7, 0)</f>
        <v>4.1352327586206888E-3</v>
      </c>
      <c r="M573" s="7">
        <f t="shared" si="28"/>
        <v>8.270465517241378E-2</v>
      </c>
      <c r="N573" s="4" t="s">
        <v>825</v>
      </c>
      <c r="O573" s="4">
        <f>VLOOKUP(B573, 'All Menu'!B:L, 6, 0)</f>
        <v>3.2327586206896552</v>
      </c>
      <c r="P573" s="6">
        <f>VLOOKUP(B573, 'All Menu'!B:L, 9, 0)</f>
        <v>1.231735325454981</v>
      </c>
      <c r="Q573" s="14">
        <f>VLOOKUP(B573, 'All Menu'!B:M, 12, 0)</f>
        <v>0.61898320599259249</v>
      </c>
      <c r="R573" s="173">
        <f t="shared" si="30"/>
        <v>0</v>
      </c>
    </row>
    <row r="574" spans="1:18" ht="14" hidden="1">
      <c r="A574" s="78" t="s">
        <v>2615</v>
      </c>
      <c r="B574" s="220" t="s">
        <v>999</v>
      </c>
      <c r="C574" s="185"/>
      <c r="D574" s="103" t="str">
        <f>VLOOKUP(B574, 'All Menu'!B:M, 4, 0)</f>
        <v>زرب دجاج</v>
      </c>
      <c r="E574" s="30" t="str">
        <f>VLOOKUP(B574, 'All Menu'!B:M, 2, 0)</f>
        <v>قسم الصالة</v>
      </c>
      <c r="F574" s="103" t="str">
        <f>VLOOKUP(B574, 'All Menu'!B:M, 3, 0)</f>
        <v>اطباق اليوم صالة</v>
      </c>
      <c r="G574" s="90" t="s">
        <v>2170</v>
      </c>
      <c r="H574" s="188">
        <v>4552</v>
      </c>
      <c r="I574" s="110" t="str">
        <f>VLOOKUP(H574, 'RM &amp; SF'!B:H, 2, 0)</f>
        <v>لبن رايب 5 كغ*****</v>
      </c>
      <c r="J574" s="184" t="str">
        <f>VLOOKUP(H574, 'RM &amp; SF'!B:E, 4, 0)</f>
        <v>غم</v>
      </c>
      <c r="K574" s="12">
        <v>150</v>
      </c>
      <c r="L574" s="13">
        <f>VLOOKUP(H574, 'RM &amp; SF'!B:H, 7, 0)</f>
        <v>8.0000000000000004E-4</v>
      </c>
      <c r="M574" s="7">
        <f t="shared" si="28"/>
        <v>0.12000000000000001</v>
      </c>
      <c r="N574" s="4" t="s">
        <v>825</v>
      </c>
      <c r="O574" s="4">
        <f>VLOOKUP(B574, 'All Menu'!B:L, 6, 0)</f>
        <v>3.2327586206896552</v>
      </c>
      <c r="P574" s="6">
        <f>VLOOKUP(B574, 'All Menu'!B:L, 9, 0)</f>
        <v>1.231735325454981</v>
      </c>
      <c r="Q574" s="14">
        <f>VLOOKUP(B574, 'All Menu'!B:M, 12, 0)</f>
        <v>0.61898320599259249</v>
      </c>
      <c r="R574" s="173">
        <f t="shared" si="30"/>
        <v>0</v>
      </c>
    </row>
    <row r="575" spans="1:18" ht="14" hidden="1">
      <c r="A575" s="78" t="s">
        <v>2616</v>
      </c>
      <c r="B575" s="220" t="s">
        <v>1001</v>
      </c>
      <c r="C575" s="185"/>
      <c r="D575" s="103" t="str">
        <f>VLOOKUP(B575, 'All Menu'!B:M, 4, 0)</f>
        <v>فاصوليا خضراء</v>
      </c>
      <c r="E575" s="30" t="str">
        <f>VLOOKUP(B575, 'All Menu'!B:M, 2, 0)</f>
        <v>قسم الصالة</v>
      </c>
      <c r="F575" s="103" t="str">
        <f>VLOOKUP(B575, 'All Menu'!B:M, 3, 0)</f>
        <v>اطباق اليوم صالة</v>
      </c>
      <c r="G575" s="90" t="s">
        <v>2342</v>
      </c>
      <c r="H575" s="219" t="s">
        <v>708</v>
      </c>
      <c r="I575" s="110" t="str">
        <f>VLOOKUP(H575, 'RM &amp; SF'!B:H, 2, 0)</f>
        <v>ارز بشعيرية</v>
      </c>
      <c r="J575" s="184" t="str">
        <f>VLOOKUP(H575, 'RM &amp; SF'!B:E, 4, 0)</f>
        <v>غم</v>
      </c>
      <c r="K575" s="12">
        <v>500</v>
      </c>
      <c r="L575" s="13">
        <f>VLOOKUP(H575, 'RM &amp; SF'!B:H, 7, 0)</f>
        <v>3.3269616161616159E-4</v>
      </c>
      <c r="M575" s="7">
        <f t="shared" si="28"/>
        <v>0.16634808080808081</v>
      </c>
      <c r="N575" s="4" t="s">
        <v>825</v>
      </c>
      <c r="O575" s="4">
        <f>VLOOKUP(B575, 'All Menu'!B:L, 6, 0)</f>
        <v>4.5258620689655178</v>
      </c>
      <c r="P575" s="6">
        <f>VLOOKUP(B575, 'All Menu'!B:L, 9, 0)</f>
        <v>1.3126720141414145</v>
      </c>
      <c r="Q575" s="14">
        <f>VLOOKUP(B575, 'All Menu'!B:M, 12, 0)</f>
        <v>0.70996199306589702</v>
      </c>
      <c r="R575" s="173">
        <f t="shared" si="30"/>
        <v>0</v>
      </c>
    </row>
    <row r="576" spans="1:18" ht="14" hidden="1">
      <c r="A576" s="78" t="s">
        <v>2616</v>
      </c>
      <c r="B576" s="220" t="s">
        <v>1001</v>
      </c>
      <c r="C576" s="185"/>
      <c r="D576" s="103" t="str">
        <f>VLOOKUP(B576, 'All Menu'!B:M, 4, 0)</f>
        <v>فاصوليا خضراء</v>
      </c>
      <c r="E576" s="30" t="str">
        <f>VLOOKUP(B576, 'All Menu'!B:M, 2, 0)</f>
        <v>قسم الصالة</v>
      </c>
      <c r="F576" s="103" t="str">
        <f>VLOOKUP(B576, 'All Menu'!B:M, 3, 0)</f>
        <v>اطباق اليوم صالة</v>
      </c>
      <c r="G576" s="90" t="s">
        <v>2398</v>
      </c>
      <c r="H576" s="219" t="s">
        <v>592</v>
      </c>
      <c r="I576" s="110" t="str">
        <f>VLOOKUP(H576, 'RM &amp; SF'!B:H, 2, 0)</f>
        <v>فاصوليا خضراء</v>
      </c>
      <c r="J576" s="184" t="str">
        <f>VLOOKUP(H576, 'RM &amp; SF'!B:E, 4, 0)</f>
        <v>غم</v>
      </c>
      <c r="K576" s="12">
        <v>500</v>
      </c>
      <c r="L576" s="13">
        <f>VLOOKUP(H576, 'RM &amp; SF'!B:H, 7, 0)</f>
        <v>2.2926478666666673E-3</v>
      </c>
      <c r="M576" s="7">
        <f t="shared" si="28"/>
        <v>1.1463239333333337</v>
      </c>
      <c r="N576" s="4" t="s">
        <v>825</v>
      </c>
      <c r="O576" s="4">
        <f>VLOOKUP(B576, 'All Menu'!B:L, 6, 0)</f>
        <v>4.5258620689655178</v>
      </c>
      <c r="P576" s="6">
        <f>VLOOKUP(B576, 'All Menu'!B:L, 9, 0)</f>
        <v>1.3126720141414145</v>
      </c>
      <c r="Q576" s="14">
        <f>VLOOKUP(B576, 'All Menu'!B:M, 12, 0)</f>
        <v>0.70996199306589702</v>
      </c>
      <c r="R576" s="173">
        <f t="shared" si="30"/>
        <v>0</v>
      </c>
    </row>
    <row r="577" spans="1:18" ht="14" hidden="1">
      <c r="A577" s="78" t="s">
        <v>2610</v>
      </c>
      <c r="B577" s="220" t="s">
        <v>1003</v>
      </c>
      <c r="C577" s="185"/>
      <c r="D577" s="103" t="str">
        <f>VLOOKUP(B577, 'All Menu'!B:M, 4, 0)</f>
        <v>بيف استراغنوف</v>
      </c>
      <c r="E577" s="30" t="str">
        <f>VLOOKUP(B577, 'All Menu'!B:M, 2, 0)</f>
        <v>قسم الصالة</v>
      </c>
      <c r="F577" s="103" t="str">
        <f>VLOOKUP(B577, 'All Menu'!B:M, 3, 0)</f>
        <v>اطباق اليوم صالة</v>
      </c>
      <c r="G577" s="90" t="s">
        <v>2390</v>
      </c>
      <c r="H577" s="219" t="s">
        <v>548</v>
      </c>
      <c r="I577" s="110" t="str">
        <f>VLOOKUP(H577, 'RM &amp; SF'!B:H, 2, 0)</f>
        <v>رز ابيض</v>
      </c>
      <c r="J577" s="184" t="str">
        <f>VLOOKUP(H577, 'RM &amp; SF'!B:E, 4, 0)</f>
        <v>غم</v>
      </c>
      <c r="K577" s="12">
        <v>500</v>
      </c>
      <c r="L577" s="13">
        <f>VLOOKUP(H577, 'RM &amp; SF'!B:H, 7, 0)</f>
        <v>4.1596433333333332E-4</v>
      </c>
      <c r="M577" s="7">
        <f t="shared" si="28"/>
        <v>0.20798216666666666</v>
      </c>
      <c r="N577" s="4" t="s">
        <v>825</v>
      </c>
      <c r="O577" s="4">
        <f>VLOOKUP(B577, 'All Menu'!B:L, 6, 0)</f>
        <v>6.0344827586206904</v>
      </c>
      <c r="P577" s="6">
        <f>VLOOKUP(B577, 'All Menu'!B:L, 9, 0)</f>
        <v>2.5482321666666667</v>
      </c>
      <c r="Q577" s="14">
        <f>VLOOKUP(B577, 'All Menu'!B:M, 12, 0)</f>
        <v>0.57772152666666665</v>
      </c>
      <c r="R577" s="173">
        <f t="shared" si="30"/>
        <v>0</v>
      </c>
    </row>
    <row r="578" spans="1:18" ht="15.5" hidden="1">
      <c r="A578" s="78" t="s">
        <v>2610</v>
      </c>
      <c r="B578" s="220" t="s">
        <v>1003</v>
      </c>
      <c r="C578" s="185"/>
      <c r="D578" s="103" t="str">
        <f>VLOOKUP(B578, 'All Menu'!B:M, 4, 0)</f>
        <v>بيف استراغنوف</v>
      </c>
      <c r="E578" s="30" t="str">
        <f>VLOOKUP(B578, 'All Menu'!B:M, 2, 0)</f>
        <v>قسم الصالة</v>
      </c>
      <c r="F578" s="103" t="str">
        <f>VLOOKUP(B578, 'All Menu'!B:M, 3, 0)</f>
        <v>اطباق اليوم صالة</v>
      </c>
      <c r="G578" s="90" t="s">
        <v>3058</v>
      </c>
      <c r="H578" s="112">
        <v>5401</v>
      </c>
      <c r="I578" s="110" t="str">
        <f>VLOOKUP(H578, 'RM &amp; SF'!B:H, 2, 0)</f>
        <v xml:space="preserve">روز بيف  </v>
      </c>
      <c r="J578" s="184" t="str">
        <f>VLOOKUP(H578, 'RM &amp; SF'!B:E, 4, 0)</f>
        <v>غم</v>
      </c>
      <c r="K578" s="12">
        <v>120</v>
      </c>
      <c r="L578" s="13">
        <f>VLOOKUP(H578, 'RM &amp; SF'!B:H, 7, 0)</f>
        <v>1.2580000000000001E-2</v>
      </c>
      <c r="M578" s="7">
        <f t="shared" si="28"/>
        <v>1.5096000000000001</v>
      </c>
      <c r="N578" s="4" t="s">
        <v>825</v>
      </c>
      <c r="O578" s="4">
        <f>VLOOKUP(B578, 'All Menu'!B:L, 6, 0)</f>
        <v>6.0344827586206904</v>
      </c>
      <c r="P578" s="6">
        <f>VLOOKUP(B578, 'All Menu'!B:L, 9, 0)</f>
        <v>2.5482321666666667</v>
      </c>
      <c r="Q578" s="14">
        <f>VLOOKUP(B578, 'All Menu'!B:M, 12, 0)</f>
        <v>0.57772152666666665</v>
      </c>
      <c r="R578" s="173">
        <f t="shared" si="30"/>
        <v>0</v>
      </c>
    </row>
    <row r="579" spans="1:18" ht="14" hidden="1">
      <c r="A579" s="78" t="s">
        <v>2610</v>
      </c>
      <c r="B579" s="220" t="s">
        <v>1003</v>
      </c>
      <c r="C579" s="185"/>
      <c r="D579" s="103" t="str">
        <f>VLOOKUP(B579, 'All Menu'!B:M, 4, 0)</f>
        <v>بيف استراغنوف</v>
      </c>
      <c r="E579" s="30" t="str">
        <f>VLOOKUP(B579, 'All Menu'!B:M, 2, 0)</f>
        <v>قسم الصالة</v>
      </c>
      <c r="F579" s="103" t="str">
        <f>VLOOKUP(B579, 'All Menu'!B:M, 3, 0)</f>
        <v>اطباق اليوم صالة</v>
      </c>
      <c r="G579" s="90" t="s">
        <v>2178</v>
      </c>
      <c r="H579" s="188">
        <v>4623</v>
      </c>
      <c r="I579" s="110" t="str">
        <f>VLOOKUP(H579, 'RM &amp; SF'!B:H, 2, 0)</f>
        <v>زبدة مبسترة غير مملحة 1 كغ*****</v>
      </c>
      <c r="J579" s="184" t="str">
        <f>VLOOKUP(H579, 'RM &amp; SF'!B:E, 4, 0)</f>
        <v>غم</v>
      </c>
      <c r="K579" s="12">
        <v>30</v>
      </c>
      <c r="L579" s="13">
        <f>VLOOKUP(H579, 'RM &amp; SF'!B:H, 7, 0)</f>
        <v>2.8839999999999998E-3</v>
      </c>
      <c r="M579" s="7">
        <f t="shared" si="28"/>
        <v>8.652E-2</v>
      </c>
      <c r="N579" s="4" t="s">
        <v>825</v>
      </c>
      <c r="O579" s="4">
        <f>VLOOKUP(B579, 'All Menu'!B:L, 6, 0)</f>
        <v>6.0344827586206904</v>
      </c>
      <c r="P579" s="6">
        <f>VLOOKUP(B579, 'All Menu'!B:L, 9, 0)</f>
        <v>2.5482321666666667</v>
      </c>
      <c r="Q579" s="14">
        <f>VLOOKUP(B579, 'All Menu'!B:M, 12, 0)</f>
        <v>0.57772152666666665</v>
      </c>
      <c r="R579" s="173">
        <f t="shared" si="30"/>
        <v>0</v>
      </c>
    </row>
    <row r="580" spans="1:18" ht="14" hidden="1">
      <c r="A580" s="78" t="s">
        <v>2610</v>
      </c>
      <c r="B580" s="220" t="s">
        <v>1003</v>
      </c>
      <c r="C580" s="185"/>
      <c r="D580" s="103" t="str">
        <f>VLOOKUP(B580, 'All Menu'!B:M, 4, 0)</f>
        <v>بيف استراغنوف</v>
      </c>
      <c r="E580" s="30" t="str">
        <f>VLOOKUP(B580, 'All Menu'!B:M, 2, 0)</f>
        <v>قسم الصالة</v>
      </c>
      <c r="F580" s="103" t="str">
        <f>VLOOKUP(B580, 'All Menu'!B:M, 3, 0)</f>
        <v>اطباق اليوم صالة</v>
      </c>
      <c r="G580" s="90" t="s">
        <v>2291</v>
      </c>
      <c r="H580" s="188">
        <v>4556</v>
      </c>
      <c r="I580" s="110" t="str">
        <f>VLOOKUP(H580, 'RM &amp; SF'!B:H, 2, 0)</f>
        <v>كريما طبخ 1 لتر*****</v>
      </c>
      <c r="J580" s="184" t="str">
        <f>VLOOKUP(H580, 'RM &amp; SF'!B:E, 4, 0)</f>
        <v>مل</v>
      </c>
      <c r="K580" s="12">
        <v>15</v>
      </c>
      <c r="L580" s="13">
        <f>VLOOKUP(H580, 'RM &amp; SF'!B:H, 7, 0)</f>
        <v>2.2269999999999998E-3</v>
      </c>
      <c r="M580" s="7">
        <f t="shared" si="28"/>
        <v>3.3404999999999997E-2</v>
      </c>
      <c r="N580" s="4" t="s">
        <v>825</v>
      </c>
      <c r="O580" s="4">
        <f>VLOOKUP(B580, 'All Menu'!B:L, 6, 0)</f>
        <v>6.0344827586206904</v>
      </c>
      <c r="P580" s="6">
        <f>VLOOKUP(B580, 'All Menu'!B:L, 9, 0)</f>
        <v>2.5482321666666667</v>
      </c>
      <c r="Q580" s="14">
        <f>VLOOKUP(B580, 'All Menu'!B:M, 12, 0)</f>
        <v>0.57772152666666665</v>
      </c>
      <c r="R580" s="173">
        <f t="shared" si="30"/>
        <v>0</v>
      </c>
    </row>
    <row r="581" spans="1:18" ht="14" hidden="1">
      <c r="A581" s="78" t="s">
        <v>2610</v>
      </c>
      <c r="B581" s="220" t="s">
        <v>1003</v>
      </c>
      <c r="C581" s="185"/>
      <c r="D581" s="103" t="str">
        <f>VLOOKUP(B581, 'All Menu'!B:M, 4, 0)</f>
        <v>بيف استراغنوف</v>
      </c>
      <c r="E581" s="30" t="str">
        <f>VLOOKUP(B581, 'All Menu'!B:M, 2, 0)</f>
        <v>قسم الصالة</v>
      </c>
      <c r="F581" s="103" t="str">
        <f>VLOOKUP(B581, 'All Menu'!B:M, 3, 0)</f>
        <v>اطباق اليوم صالة</v>
      </c>
      <c r="G581" s="90" t="s">
        <v>3058</v>
      </c>
      <c r="H581" s="188">
        <v>4019</v>
      </c>
      <c r="I581" s="110" t="str">
        <f>VLOOKUP(H581, 'RM &amp; SF'!B:H, 2, 0)</f>
        <v>صوص ديمي جلاس 1 كغ*****</v>
      </c>
      <c r="J581" s="184" t="str">
        <f>VLOOKUP(H581, 'RM &amp; SF'!B:E, 4, 0)</f>
        <v>غم</v>
      </c>
      <c r="K581" s="12">
        <v>140</v>
      </c>
      <c r="L581" s="13">
        <f>VLOOKUP(H581, 'RM &amp; SF'!B:H, 7, 0)</f>
        <v>4.7409999999999996E-3</v>
      </c>
      <c r="M581" s="7">
        <f t="shared" si="28"/>
        <v>0.66373999999999989</v>
      </c>
      <c r="N581" s="4" t="s">
        <v>825</v>
      </c>
      <c r="O581" s="4">
        <f>VLOOKUP(B581, 'All Menu'!B:L, 6, 0)</f>
        <v>6.0344827586206904</v>
      </c>
      <c r="P581" s="6">
        <f>VLOOKUP(B581, 'All Menu'!B:L, 9, 0)</f>
        <v>2.5482321666666667</v>
      </c>
      <c r="Q581" s="14">
        <f>VLOOKUP(B581, 'All Menu'!B:M, 12, 0)</f>
        <v>0.57772152666666665</v>
      </c>
      <c r="R581" s="173">
        <f t="shared" si="30"/>
        <v>0</v>
      </c>
    </row>
    <row r="582" spans="1:18" ht="14" hidden="1">
      <c r="A582" s="78" t="s">
        <v>2610</v>
      </c>
      <c r="B582" s="220" t="s">
        <v>1003</v>
      </c>
      <c r="C582" s="185"/>
      <c r="D582" s="103" t="str">
        <f>VLOOKUP(B582, 'All Menu'!B:M, 4, 0)</f>
        <v>بيف استراغنوف</v>
      </c>
      <c r="E582" s="30" t="str">
        <f>VLOOKUP(B582, 'All Menu'!B:M, 2, 0)</f>
        <v>قسم الصالة</v>
      </c>
      <c r="F582" s="103" t="str">
        <f>VLOOKUP(B582, 'All Menu'!B:M, 3, 0)</f>
        <v>اطباق اليوم صالة</v>
      </c>
      <c r="G582" s="90" t="s">
        <v>2206</v>
      </c>
      <c r="H582" s="188">
        <v>4204</v>
      </c>
      <c r="I582" s="110" t="str">
        <f>VLOOKUP(H582, 'RM &amp; SF'!B:H, 2, 0)</f>
        <v>فلفل اسود ناعم*****</v>
      </c>
      <c r="J582" s="184" t="str">
        <f>VLOOKUP(H582, 'RM &amp; SF'!B:E, 4, 0)</f>
        <v>غم</v>
      </c>
      <c r="K582" s="12">
        <v>5</v>
      </c>
      <c r="L582" s="13">
        <f>VLOOKUP(H582, 'RM &amp; SF'!B:H, 7, 0)</f>
        <v>6.8970000000000004E-3</v>
      </c>
      <c r="M582" s="7">
        <f t="shared" si="28"/>
        <v>3.4485000000000002E-2</v>
      </c>
      <c r="N582" s="4" t="s">
        <v>825</v>
      </c>
      <c r="O582" s="4">
        <f>VLOOKUP(B582, 'All Menu'!B:L, 6, 0)</f>
        <v>6.0344827586206904</v>
      </c>
      <c r="P582" s="6">
        <f>VLOOKUP(B582, 'All Menu'!B:L, 9, 0)</f>
        <v>2.5482321666666667</v>
      </c>
      <c r="Q582" s="14">
        <f>VLOOKUP(B582, 'All Menu'!B:M, 12, 0)</f>
        <v>0.57772152666666665</v>
      </c>
      <c r="R582" s="173">
        <f t="shared" si="30"/>
        <v>0</v>
      </c>
    </row>
    <row r="583" spans="1:18" ht="14" hidden="1">
      <c r="A583" s="78" t="s">
        <v>2610</v>
      </c>
      <c r="B583" s="220" t="s">
        <v>1003</v>
      </c>
      <c r="C583" s="185"/>
      <c r="D583" s="103" t="str">
        <f>VLOOKUP(B583, 'All Menu'!B:M, 4, 0)</f>
        <v>بيف استراغنوف</v>
      </c>
      <c r="E583" s="30" t="str">
        <f>VLOOKUP(B583, 'All Menu'!B:M, 2, 0)</f>
        <v>قسم الصالة</v>
      </c>
      <c r="F583" s="103" t="str">
        <f>VLOOKUP(B583, 'All Menu'!B:M, 3, 0)</f>
        <v>اطباق اليوم صالة</v>
      </c>
      <c r="G583" s="90" t="s">
        <v>2234</v>
      </c>
      <c r="H583" s="188">
        <v>4503</v>
      </c>
      <c r="I583" s="110" t="str">
        <f>VLOOKUP(H583, 'RM &amp; SF'!B:H, 2, 0)</f>
        <v>بصل ناشف دفش*****</v>
      </c>
      <c r="J583" s="184" t="str">
        <f>VLOOKUP(H583, 'RM &amp; SF'!B:E, 4, 0)</f>
        <v>غم</v>
      </c>
      <c r="K583" s="12">
        <v>50</v>
      </c>
      <c r="L583" s="13">
        <f>VLOOKUP(H583, 'RM &amp; SF'!B:H, 7, 0)</f>
        <v>2.5000000000000001E-4</v>
      </c>
      <c r="M583" s="7">
        <f t="shared" si="28"/>
        <v>1.2500000000000001E-2</v>
      </c>
      <c r="N583" s="4" t="s">
        <v>825</v>
      </c>
      <c r="O583" s="4">
        <f>VLOOKUP(B583, 'All Menu'!B:L, 6, 0)</f>
        <v>6.0344827586206904</v>
      </c>
      <c r="P583" s="6">
        <f>VLOOKUP(B583, 'All Menu'!B:L, 9, 0)</f>
        <v>2.5482321666666667</v>
      </c>
      <c r="Q583" s="14">
        <f>VLOOKUP(B583, 'All Menu'!B:M, 12, 0)</f>
        <v>0.57772152666666665</v>
      </c>
      <c r="R583" s="173">
        <f t="shared" si="30"/>
        <v>0</v>
      </c>
    </row>
    <row r="584" spans="1:18" ht="14" hidden="1">
      <c r="A584" s="78" t="s">
        <v>2613</v>
      </c>
      <c r="B584" s="220" t="s">
        <v>1012</v>
      </c>
      <c r="C584" s="185"/>
      <c r="D584" s="103" t="str">
        <f>VLOOKUP(B584, 'All Menu'!B:M, 4, 0)</f>
        <v>بامية</v>
      </c>
      <c r="E584" s="30" t="str">
        <f>VLOOKUP(B584, 'All Menu'!B:M, 2, 0)</f>
        <v>قسم الصالة</v>
      </c>
      <c r="F584" s="103" t="str">
        <f>VLOOKUP(B584, 'All Menu'!B:M, 3, 0)</f>
        <v>اطباق اليوم صالة</v>
      </c>
      <c r="G584" s="90" t="s">
        <v>2390</v>
      </c>
      <c r="H584" s="219" t="s">
        <v>548</v>
      </c>
      <c r="I584" s="110" t="str">
        <f>VLOOKUP(H584, 'RM &amp; SF'!B:H, 2, 0)</f>
        <v>رز ابيض</v>
      </c>
      <c r="J584" s="184" t="str">
        <f>VLOOKUP(H584, 'RM &amp; SF'!B:E, 4, 0)</f>
        <v>غم</v>
      </c>
      <c r="K584" s="12">
        <v>500</v>
      </c>
      <c r="L584" s="13">
        <f>VLOOKUP(H584, 'RM &amp; SF'!B:H, 7, 0)</f>
        <v>4.1596433333333332E-4</v>
      </c>
      <c r="M584" s="7">
        <f t="shared" si="28"/>
        <v>0.20798216666666666</v>
      </c>
      <c r="N584" s="4" t="s">
        <v>825</v>
      </c>
      <c r="O584" s="4">
        <f>VLOOKUP(B584, 'All Menu'!B:L, 6, 0)</f>
        <v>4.9568965517241379</v>
      </c>
      <c r="P584" s="6">
        <f>VLOOKUP(B584, 'All Menu'!B:L, 9, 0)</f>
        <v>1.6953586547619046</v>
      </c>
      <c r="Q584" s="14">
        <f>VLOOKUP(B584, 'All Menu'!B:M, 12, 0)</f>
        <v>0.65797981921325055</v>
      </c>
      <c r="R584" s="173">
        <f t="shared" si="30"/>
        <v>0</v>
      </c>
    </row>
    <row r="585" spans="1:18" ht="14" hidden="1">
      <c r="A585" s="78" t="s">
        <v>2613</v>
      </c>
      <c r="B585" s="220" t="s">
        <v>1012</v>
      </c>
      <c r="C585" s="185"/>
      <c r="D585" s="103" t="str">
        <f>VLOOKUP(B585, 'All Menu'!B:M, 4, 0)</f>
        <v>بامية</v>
      </c>
      <c r="E585" s="30" t="str">
        <f>VLOOKUP(B585, 'All Menu'!B:M, 2, 0)</f>
        <v>قسم الصالة</v>
      </c>
      <c r="F585" s="103" t="str">
        <f>VLOOKUP(B585, 'All Menu'!B:M, 3, 0)</f>
        <v>اطباق اليوم صالة</v>
      </c>
      <c r="G585" s="90" t="s">
        <v>2402</v>
      </c>
      <c r="H585" s="219" t="s">
        <v>600</v>
      </c>
      <c r="I585" s="110" t="str">
        <f>VLOOKUP(H585, 'RM &amp; SF'!B:H, 2, 0)</f>
        <v xml:space="preserve">بامية </v>
      </c>
      <c r="J585" s="184" t="str">
        <f>VLOOKUP(H585, 'RM &amp; SF'!B:E, 4, 0)</f>
        <v>غم</v>
      </c>
      <c r="K585" s="12">
        <v>500</v>
      </c>
      <c r="L585" s="13">
        <f>VLOOKUP(H585, 'RM &amp; SF'!B:H, 7, 0)</f>
        <v>2.9747529761904759E-3</v>
      </c>
      <c r="M585" s="7">
        <f t="shared" si="28"/>
        <v>1.487376488095238</v>
      </c>
      <c r="N585" s="4" t="s">
        <v>825</v>
      </c>
      <c r="O585" s="4">
        <f>VLOOKUP(B585, 'All Menu'!B:L, 6, 0)</f>
        <v>4.9568965517241379</v>
      </c>
      <c r="P585" s="6">
        <f>VLOOKUP(B585, 'All Menu'!B:L, 9, 0)</f>
        <v>1.6953586547619046</v>
      </c>
      <c r="Q585" s="14">
        <f>VLOOKUP(B585, 'All Menu'!B:M, 12, 0)</f>
        <v>0.65797981921325055</v>
      </c>
      <c r="R585" s="173">
        <f t="shared" si="30"/>
        <v>0</v>
      </c>
    </row>
    <row r="586" spans="1:18" ht="14" hidden="1">
      <c r="A586" s="78" t="s">
        <v>2625</v>
      </c>
      <c r="B586" s="220" t="s">
        <v>1013</v>
      </c>
      <c r="C586" s="185"/>
      <c r="D586" s="103" t="str">
        <f>VLOOKUP(B586, 'All Menu'!B:M, 4, 0)</f>
        <v>كوسا بلبن</v>
      </c>
      <c r="E586" s="30" t="str">
        <f>VLOOKUP(B586, 'All Menu'!B:M, 2, 0)</f>
        <v>قسم الصالة</v>
      </c>
      <c r="F586" s="103" t="str">
        <f>VLOOKUP(B586, 'All Menu'!B:M, 3, 0)</f>
        <v>اطباق اليوم صالة</v>
      </c>
      <c r="G586" s="90" t="s">
        <v>2390</v>
      </c>
      <c r="H586" s="219" t="s">
        <v>548</v>
      </c>
      <c r="I586" s="110" t="str">
        <f>VLOOKUP(H586, 'RM &amp; SF'!B:H, 2, 0)</f>
        <v>رز ابيض</v>
      </c>
      <c r="J586" s="184" t="str">
        <f>VLOOKUP(H586, 'RM &amp; SF'!B:E, 4, 0)</f>
        <v>غم</v>
      </c>
      <c r="K586" s="12">
        <v>500</v>
      </c>
      <c r="L586" s="13">
        <f>VLOOKUP(H586, 'RM &amp; SF'!B:H, 7, 0)</f>
        <v>4.1596433333333332E-4</v>
      </c>
      <c r="M586" s="7">
        <f t="shared" si="28"/>
        <v>0.20798216666666666</v>
      </c>
      <c r="N586" s="4" t="s">
        <v>825</v>
      </c>
      <c r="O586" s="4">
        <f>VLOOKUP(B586, 'All Menu'!B:L, 6, 0)</f>
        <v>4.5258620689655178</v>
      </c>
      <c r="P586" s="6">
        <f>VLOOKUP(B586, 'All Menu'!B:L, 9, 0)</f>
        <v>1.7070253255555554</v>
      </c>
      <c r="Q586" s="14">
        <f>VLOOKUP(B586, 'All Menu'!B:M, 12, 0)</f>
        <v>0.62282868997248675</v>
      </c>
      <c r="R586" s="173">
        <f t="shared" si="30"/>
        <v>0</v>
      </c>
    </row>
    <row r="587" spans="1:18" ht="14" hidden="1">
      <c r="A587" s="78" t="s">
        <v>2625</v>
      </c>
      <c r="B587" s="220" t="s">
        <v>1013</v>
      </c>
      <c r="C587" s="185"/>
      <c r="D587" s="103" t="str">
        <f>VLOOKUP(B587, 'All Menu'!B:M, 4, 0)</f>
        <v>كوسا بلبن</v>
      </c>
      <c r="E587" s="30" t="str">
        <f>VLOOKUP(B587, 'All Menu'!B:M, 2, 0)</f>
        <v>قسم الصالة</v>
      </c>
      <c r="F587" s="103" t="str">
        <f>VLOOKUP(B587, 'All Menu'!B:M, 3, 0)</f>
        <v>اطباق اليوم صالة</v>
      </c>
      <c r="G587" s="90" t="s">
        <v>2411</v>
      </c>
      <c r="H587" s="219" t="s">
        <v>606</v>
      </c>
      <c r="I587" s="110" t="str">
        <f>VLOOKUP(H587, 'RM &amp; SF'!B:H, 2, 0)</f>
        <v>كوسا مخشي</v>
      </c>
      <c r="J587" s="184" t="str">
        <f>VLOOKUP(H587, 'RM &amp; SF'!B:E, 4, 0)</f>
        <v>قطعة</v>
      </c>
      <c r="K587" s="12">
        <v>4</v>
      </c>
      <c r="L587" s="13">
        <f>VLOOKUP(H587, 'RM &amp; SF'!B:H, 7, 0)</f>
        <v>0.33828979999999997</v>
      </c>
      <c r="M587" s="7">
        <f t="shared" si="28"/>
        <v>1.3531591999999999</v>
      </c>
      <c r="N587" s="4" t="s">
        <v>825</v>
      </c>
      <c r="O587" s="4">
        <f>VLOOKUP(B587, 'All Menu'!B:L, 6, 0)</f>
        <v>4.5258620689655178</v>
      </c>
      <c r="P587" s="6">
        <f>VLOOKUP(B587, 'All Menu'!B:L, 9, 0)</f>
        <v>1.7070253255555554</v>
      </c>
      <c r="Q587" s="14">
        <f>VLOOKUP(B587, 'All Menu'!B:M, 12, 0)</f>
        <v>0.62282868997248675</v>
      </c>
      <c r="R587" s="173">
        <f t="shared" si="30"/>
        <v>0</v>
      </c>
    </row>
    <row r="588" spans="1:18" ht="14" hidden="1">
      <c r="A588" s="78" t="s">
        <v>2625</v>
      </c>
      <c r="B588" s="220" t="s">
        <v>1013</v>
      </c>
      <c r="C588" s="185"/>
      <c r="D588" s="103" t="str">
        <f>VLOOKUP(B588, 'All Menu'!B:M, 4, 0)</f>
        <v>كوسا بلبن</v>
      </c>
      <c r="E588" s="30" t="str">
        <f>VLOOKUP(B588, 'All Menu'!B:M, 2, 0)</f>
        <v>قسم الصالة</v>
      </c>
      <c r="F588" s="103" t="str">
        <f>VLOOKUP(B588, 'All Menu'!B:M, 3, 0)</f>
        <v>اطباق اليوم صالة</v>
      </c>
      <c r="G588" s="90" t="s">
        <v>2394</v>
      </c>
      <c r="H588" s="219" t="s">
        <v>588</v>
      </c>
      <c r="I588" s="110" t="str">
        <f>VLOOKUP(H588, 'RM &amp; SF'!B:H, 2, 0)</f>
        <v xml:space="preserve">لبن الكبة </v>
      </c>
      <c r="J588" s="184" t="str">
        <f>VLOOKUP(H588, 'RM &amp; SF'!B:E, 4, 0)</f>
        <v>غم</v>
      </c>
      <c r="K588" s="12">
        <v>200</v>
      </c>
      <c r="L588" s="13">
        <f>VLOOKUP(H588, 'RM &amp; SF'!B:H, 7, 0)</f>
        <v>7.294197944444444E-4</v>
      </c>
      <c r="M588" s="7">
        <f t="shared" si="28"/>
        <v>0.14588395888888889</v>
      </c>
      <c r="N588" s="4" t="s">
        <v>825</v>
      </c>
      <c r="O588" s="4">
        <f>VLOOKUP(B588, 'All Menu'!B:L, 6, 0)</f>
        <v>4.5258620689655178</v>
      </c>
      <c r="P588" s="6">
        <f>VLOOKUP(B588, 'All Menu'!B:L, 9, 0)</f>
        <v>1.7070253255555554</v>
      </c>
      <c r="Q588" s="14">
        <f>VLOOKUP(B588, 'All Menu'!B:M, 12, 0)</f>
        <v>0.62282868997248675</v>
      </c>
      <c r="R588" s="173">
        <f t="shared" si="30"/>
        <v>0</v>
      </c>
    </row>
    <row r="589" spans="1:18" ht="14" hidden="1">
      <c r="A589" s="78" t="s">
        <v>2609</v>
      </c>
      <c r="B589" s="220" t="s">
        <v>1015</v>
      </c>
      <c r="C589" s="185"/>
      <c r="D589" s="103" t="str">
        <f>VLOOKUP(B589, 'All Menu'!B:M, 4, 0)</f>
        <v>تشكن مسالا</v>
      </c>
      <c r="E589" s="30" t="str">
        <f>VLOOKUP(B589, 'All Menu'!B:M, 2, 0)</f>
        <v>قسم الصالة</v>
      </c>
      <c r="F589" s="103" t="str">
        <f>VLOOKUP(B589, 'All Menu'!B:M, 3, 0)</f>
        <v>اطباق اليوم صالة</v>
      </c>
      <c r="G589" s="90" t="s">
        <v>2390</v>
      </c>
      <c r="H589" s="219" t="s">
        <v>548</v>
      </c>
      <c r="I589" s="110" t="str">
        <f>VLOOKUP(H589, 'RM &amp; SF'!B:H, 2, 0)</f>
        <v>رز ابيض</v>
      </c>
      <c r="J589" s="184" t="str">
        <f>VLOOKUP(H589, 'RM &amp; SF'!B:E, 4, 0)</f>
        <v>غم</v>
      </c>
      <c r="K589" s="12">
        <v>500</v>
      </c>
      <c r="L589" s="13">
        <f>VLOOKUP(H589, 'RM &amp; SF'!B:H, 7, 0)</f>
        <v>4.1596433333333332E-4</v>
      </c>
      <c r="M589" s="7">
        <f t="shared" si="28"/>
        <v>0.20798216666666666</v>
      </c>
      <c r="N589" s="4" t="s">
        <v>825</v>
      </c>
      <c r="O589" s="4">
        <f>VLOOKUP(B589, 'All Menu'!B:L, 6, 0)</f>
        <v>4.4396551724137936</v>
      </c>
      <c r="P589" s="6">
        <f>VLOOKUP(B589, 'All Menu'!B:L, 9, 0)</f>
        <v>1.7893961972969561</v>
      </c>
      <c r="Q589" s="14">
        <f>VLOOKUP(B589, 'All Menu'!B:M, 12, 0)</f>
        <v>0.59695153614282159</v>
      </c>
      <c r="R589" s="173">
        <f t="shared" si="30"/>
        <v>0</v>
      </c>
    </row>
    <row r="590" spans="1:18" ht="14" hidden="1">
      <c r="A590" s="78" t="s">
        <v>2609</v>
      </c>
      <c r="B590" s="220" t="s">
        <v>1015</v>
      </c>
      <c r="C590" s="185"/>
      <c r="D590" s="103" t="str">
        <f>VLOOKUP(B590, 'All Menu'!B:M, 4, 0)</f>
        <v>تشكن مسالا</v>
      </c>
      <c r="E590" s="30" t="str">
        <f>VLOOKUP(B590, 'All Menu'!B:M, 2, 0)</f>
        <v>قسم الصالة</v>
      </c>
      <c r="F590" s="103" t="str">
        <f>VLOOKUP(B590, 'All Menu'!B:M, 3, 0)</f>
        <v>اطباق اليوم صالة</v>
      </c>
      <c r="G590" s="90" t="s">
        <v>2403</v>
      </c>
      <c r="H590" s="219" t="s">
        <v>608</v>
      </c>
      <c r="I590" s="110" t="str">
        <f>VLOOKUP(H590, 'RM &amp; SF'!B:H, 2, 0)</f>
        <v>ماسالا</v>
      </c>
      <c r="J590" s="184" t="str">
        <f>VLOOKUP(H590, 'RM &amp; SF'!B:E, 4, 0)</f>
        <v>غم</v>
      </c>
      <c r="K590" s="12">
        <v>400</v>
      </c>
      <c r="L590" s="13">
        <f>VLOOKUP(H590, 'RM &amp; SF'!B:H, 7, 0)</f>
        <v>3.7467734386446893E-3</v>
      </c>
      <c r="M590" s="7">
        <f t="shared" ref="M590:M633" si="31">L590*K590</f>
        <v>1.4987093754578757</v>
      </c>
      <c r="N590" s="4" t="s">
        <v>825</v>
      </c>
      <c r="O590" s="4">
        <f>VLOOKUP(B590, 'All Menu'!B:L, 6, 0)</f>
        <v>4.4396551724137936</v>
      </c>
      <c r="P590" s="6">
        <f>VLOOKUP(B590, 'All Menu'!B:L, 9, 0)</f>
        <v>1.7893961972969561</v>
      </c>
      <c r="Q590" s="14">
        <f>VLOOKUP(B590, 'All Menu'!B:M, 12, 0)</f>
        <v>0.59695153614282159</v>
      </c>
      <c r="R590" s="173">
        <f t="shared" si="30"/>
        <v>0</v>
      </c>
    </row>
    <row r="591" spans="1:18" ht="14" hidden="1">
      <c r="A591" s="78" t="s">
        <v>2609</v>
      </c>
      <c r="B591" s="220" t="s">
        <v>1015</v>
      </c>
      <c r="C591" s="185"/>
      <c r="D591" s="103" t="str">
        <f>VLOOKUP(B591, 'All Menu'!B:M, 4, 0)</f>
        <v>تشكن مسالا</v>
      </c>
      <c r="E591" s="30" t="str">
        <f>VLOOKUP(B591, 'All Menu'!B:M, 2, 0)</f>
        <v>قسم الصالة</v>
      </c>
      <c r="F591" s="103" t="str">
        <f>VLOOKUP(B591, 'All Menu'!B:M, 3, 0)</f>
        <v>اطباق اليوم صالة</v>
      </c>
      <c r="G591" s="90" t="s">
        <v>2341</v>
      </c>
      <c r="H591" s="219" t="s">
        <v>706</v>
      </c>
      <c r="I591" s="110" t="str">
        <f>VLOOKUP(H591, 'RM &amp; SF'!B:H, 2, 0)</f>
        <v>لوز مقلي</v>
      </c>
      <c r="J591" s="184" t="str">
        <f>VLOOKUP(H591, 'RM &amp; SF'!B:E, 4, 0)</f>
        <v>غم</v>
      </c>
      <c r="K591" s="12">
        <v>20</v>
      </c>
      <c r="L591" s="13">
        <f>VLOOKUP(H591, 'RM &amp; SF'!B:H, 7, 0)</f>
        <v>4.1352327586206888E-3</v>
      </c>
      <c r="M591" s="7">
        <f t="shared" si="31"/>
        <v>8.270465517241378E-2</v>
      </c>
      <c r="N591" s="4" t="s">
        <v>825</v>
      </c>
      <c r="O591" s="4">
        <f>VLOOKUP(B591, 'All Menu'!B:L, 6, 0)</f>
        <v>4.4396551724137936</v>
      </c>
      <c r="P591" s="6">
        <f>VLOOKUP(B591, 'All Menu'!B:L, 9, 0)</f>
        <v>1.7893961972969561</v>
      </c>
      <c r="Q591" s="14">
        <f>VLOOKUP(B591, 'All Menu'!B:M, 12, 0)</f>
        <v>0.59695153614282159</v>
      </c>
      <c r="R591" s="173">
        <f t="shared" si="30"/>
        <v>0</v>
      </c>
    </row>
    <row r="592" spans="1:18" ht="14" hidden="1">
      <c r="A592" s="78" t="s">
        <v>2554</v>
      </c>
      <c r="B592" s="220" t="s">
        <v>1016</v>
      </c>
      <c r="C592" s="185"/>
      <c r="D592" s="103" t="str">
        <f>VLOOKUP(B592, 'All Menu'!B:M, 4, 0)</f>
        <v>صفيحة شامية بلبن</v>
      </c>
      <c r="E592" s="30" t="str">
        <f>VLOOKUP(B592, 'All Menu'!B:M, 2, 0)</f>
        <v>قسم الصالة</v>
      </c>
      <c r="F592" s="103" t="str">
        <f>VLOOKUP(B592, 'All Menu'!B:M, 3, 0)</f>
        <v>عجين صالة</v>
      </c>
      <c r="G592" s="90" t="s">
        <v>2454</v>
      </c>
      <c r="H592" s="219" t="s">
        <v>504</v>
      </c>
      <c r="I592" s="110" t="str">
        <f>VLOOKUP(H592, 'RM &amp; SF'!B:H, 2, 0)</f>
        <v>لحمة الصفيحة بلبن المشغل</v>
      </c>
      <c r="J592" s="184" t="str">
        <f>VLOOKUP(H592, 'RM &amp; SF'!B:E, 4, 0)</f>
        <v>غم</v>
      </c>
      <c r="K592" s="12">
        <v>165</v>
      </c>
      <c r="L592" s="13">
        <f>VLOOKUP(H592, 'RM &amp; SF'!B:H, 7, 0)</f>
        <v>5.666775058438712E-3</v>
      </c>
      <c r="M592" s="7">
        <f t="shared" si="31"/>
        <v>0.93501788464238744</v>
      </c>
      <c r="N592" s="4" t="s">
        <v>825</v>
      </c>
      <c r="O592" s="4">
        <f>VLOOKUP(B592, 'All Menu'!B:L, 6, 0)</f>
        <v>2.8017241379310347</v>
      </c>
      <c r="P592" s="6">
        <f>VLOOKUP(B592, 'All Menu'!B:L, 9, 0)</f>
        <v>1.0294577133917389</v>
      </c>
      <c r="Q592" s="14">
        <f>VLOOKUP(B592, 'All Menu'!B:M, 12, 0)</f>
        <v>0.63256278537402555</v>
      </c>
      <c r="R592" s="173">
        <f t="shared" si="30"/>
        <v>0</v>
      </c>
    </row>
    <row r="593" spans="1:18" ht="14" hidden="1">
      <c r="A593" s="78" t="s">
        <v>2554</v>
      </c>
      <c r="B593" s="220" t="s">
        <v>1016</v>
      </c>
      <c r="C593" s="185"/>
      <c r="D593" s="103" t="str">
        <f>VLOOKUP(B593, 'All Menu'!B:M, 4, 0)</f>
        <v>صفيحة شامية بلبن</v>
      </c>
      <c r="E593" s="30" t="str">
        <f>VLOOKUP(B593, 'All Menu'!B:M, 2, 0)</f>
        <v>قسم الصالة</v>
      </c>
      <c r="F593" s="103" t="str">
        <f>VLOOKUP(B593, 'All Menu'!B:M, 3, 0)</f>
        <v>عجين صالة</v>
      </c>
      <c r="G593" s="90" t="s">
        <v>2333</v>
      </c>
      <c r="H593" s="219" t="s">
        <v>498</v>
      </c>
      <c r="I593" s="110" t="str">
        <f>VLOOKUP(H593, 'RM &amp; SF'!B:H, 2, 0)</f>
        <v>عجين الصفيحة والمناقيش</v>
      </c>
      <c r="J593" s="184" t="str">
        <f>VLOOKUP(H593, 'RM &amp; SF'!B:E, 4, 0)</f>
        <v>غم</v>
      </c>
      <c r="K593" s="12">
        <v>90</v>
      </c>
      <c r="L593" s="13">
        <f>VLOOKUP(H593, 'RM &amp; SF'!B:H, 7, 0)</f>
        <v>4.659980972150147E-4</v>
      </c>
      <c r="M593" s="7">
        <f t="shared" si="31"/>
        <v>4.1939828749351322E-2</v>
      </c>
      <c r="N593" s="4" t="s">
        <v>825</v>
      </c>
      <c r="O593" s="4">
        <f>VLOOKUP(B593, 'All Menu'!B:L, 6, 0)</f>
        <v>2.8017241379310347</v>
      </c>
      <c r="P593" s="6">
        <f>VLOOKUP(B593, 'All Menu'!B:L, 9, 0)</f>
        <v>1.0294577133917389</v>
      </c>
      <c r="Q593" s="14">
        <f>VLOOKUP(B593, 'All Menu'!B:M, 12, 0)</f>
        <v>0.63256278537402555</v>
      </c>
      <c r="R593" s="173">
        <f t="shared" si="30"/>
        <v>0</v>
      </c>
    </row>
    <row r="594" spans="1:18" ht="14" hidden="1">
      <c r="A594" s="78" t="s">
        <v>2554</v>
      </c>
      <c r="B594" s="220" t="s">
        <v>1016</v>
      </c>
      <c r="C594" s="185"/>
      <c r="D594" s="103" t="str">
        <f>VLOOKUP(B594, 'All Menu'!B:M, 4, 0)</f>
        <v>صفيحة شامية بلبن</v>
      </c>
      <c r="E594" s="30" t="str">
        <f>VLOOKUP(B594, 'All Menu'!B:M, 2, 0)</f>
        <v>قسم الصالة</v>
      </c>
      <c r="F594" s="103" t="str">
        <f>VLOOKUP(B594, 'All Menu'!B:M, 3, 0)</f>
        <v>عجين صالة</v>
      </c>
      <c r="G594" s="90" t="s">
        <v>2239</v>
      </c>
      <c r="H594" s="188">
        <v>4513</v>
      </c>
      <c r="I594" s="110" t="str">
        <f>VLOOKUP(H594, 'RM &amp; SF'!B:H, 2, 0)</f>
        <v>ليمون اصفر*****</v>
      </c>
      <c r="J594" s="184" t="str">
        <f>VLOOKUP(H594, 'RM &amp; SF'!B:E, 4, 0)</f>
        <v>غم</v>
      </c>
      <c r="K594" s="12">
        <v>30</v>
      </c>
      <c r="L594" s="13">
        <f>VLOOKUP(H594, 'RM &amp; SF'!B:H, 7, 0)</f>
        <v>1.75E-3</v>
      </c>
      <c r="M594" s="7">
        <f t="shared" si="31"/>
        <v>5.2499999999999998E-2</v>
      </c>
      <c r="N594" s="4" t="s">
        <v>825</v>
      </c>
      <c r="O594" s="4">
        <f>VLOOKUP(B594, 'All Menu'!B:L, 6, 0)</f>
        <v>2.8017241379310347</v>
      </c>
      <c r="P594" s="6">
        <f>VLOOKUP(B594, 'All Menu'!B:L, 9, 0)</f>
        <v>1.0294577133917389</v>
      </c>
      <c r="Q594" s="14">
        <f>VLOOKUP(B594, 'All Menu'!B:M, 12, 0)</f>
        <v>0.63256278537402555</v>
      </c>
      <c r="R594" s="173">
        <f t="shared" si="30"/>
        <v>0</v>
      </c>
    </row>
    <row r="595" spans="1:18" ht="14" hidden="1">
      <c r="A595" s="78" t="s">
        <v>2555</v>
      </c>
      <c r="B595" s="220" t="s">
        <v>1017</v>
      </c>
      <c r="C595" s="185"/>
      <c r="D595" s="103" t="str">
        <f>VLOOKUP(B595, 'All Menu'!B:M, 4, 0)</f>
        <v>صفيحة شامية ببندورة</v>
      </c>
      <c r="E595" s="30" t="str">
        <f>VLOOKUP(B595, 'All Menu'!B:M, 2, 0)</f>
        <v>قسم الصالة</v>
      </c>
      <c r="F595" s="103" t="str">
        <f>VLOOKUP(B595, 'All Menu'!B:M, 3, 0)</f>
        <v>عجين صالة</v>
      </c>
      <c r="G595" s="90" t="s">
        <v>2455</v>
      </c>
      <c r="H595" s="219" t="s">
        <v>604</v>
      </c>
      <c r="I595" s="110" t="str">
        <f>VLOOKUP(H595, 'RM &amp; SF'!B:H, 2, 0)</f>
        <v xml:space="preserve">لحمة صفيحة ببندورة </v>
      </c>
      <c r="J595" s="184" t="str">
        <f>VLOOKUP(H595, 'RM &amp; SF'!B:E, 4, 0)</f>
        <v>غم</v>
      </c>
      <c r="K595" s="12">
        <v>165</v>
      </c>
      <c r="L595" s="13">
        <f>VLOOKUP(H595, 'RM &amp; SF'!B:H, 7, 0)</f>
        <v>2.7389557329462995E-3</v>
      </c>
      <c r="M595" s="7">
        <f t="shared" si="31"/>
        <v>0.45192769593613941</v>
      </c>
      <c r="N595" s="4" t="s">
        <v>825</v>
      </c>
      <c r="O595" s="4">
        <f>VLOOKUP(B595, 'All Menu'!B:L, 6, 0)</f>
        <v>1.9396551724137931</v>
      </c>
      <c r="P595" s="6">
        <f>VLOOKUP(B595, 'All Menu'!B:L, 9, 0)</f>
        <v>0.55335749614371599</v>
      </c>
      <c r="Q595" s="14">
        <f>VLOOKUP(B595, 'All Menu'!B:M, 12, 0)</f>
        <v>0.71471346865479535</v>
      </c>
      <c r="R595" s="173">
        <f t="shared" si="30"/>
        <v>0</v>
      </c>
    </row>
    <row r="596" spans="1:18" ht="14" hidden="1">
      <c r="A596" s="78" t="s">
        <v>2555</v>
      </c>
      <c r="B596" s="220" t="s">
        <v>1017</v>
      </c>
      <c r="C596" s="185"/>
      <c r="D596" s="103" t="str">
        <f>VLOOKUP(B596, 'All Menu'!B:M, 4, 0)</f>
        <v>صفيحة شامية ببندورة</v>
      </c>
      <c r="E596" s="30" t="str">
        <f>VLOOKUP(B596, 'All Menu'!B:M, 2, 0)</f>
        <v>قسم الصالة</v>
      </c>
      <c r="F596" s="103" t="str">
        <f>VLOOKUP(B596, 'All Menu'!B:M, 3, 0)</f>
        <v>عجين صالة</v>
      </c>
      <c r="G596" s="90" t="s">
        <v>2333</v>
      </c>
      <c r="H596" s="219" t="s">
        <v>498</v>
      </c>
      <c r="I596" s="110" t="str">
        <f>VLOOKUP(H596, 'RM &amp; SF'!B:H, 2, 0)</f>
        <v>عجين الصفيحة والمناقيش</v>
      </c>
      <c r="J596" s="184" t="str">
        <f>VLOOKUP(H596, 'RM &amp; SF'!B:E, 4, 0)</f>
        <v>غم</v>
      </c>
      <c r="K596" s="12">
        <v>105</v>
      </c>
      <c r="L596" s="13">
        <f>VLOOKUP(H596, 'RM &amp; SF'!B:H, 7, 0)</f>
        <v>4.659980972150147E-4</v>
      </c>
      <c r="M596" s="7">
        <f t="shared" si="31"/>
        <v>4.8929800207576542E-2</v>
      </c>
      <c r="N596" s="4" t="s">
        <v>825</v>
      </c>
      <c r="O596" s="4">
        <f>VLOOKUP(B596, 'All Menu'!B:L, 6, 0)</f>
        <v>1.9396551724137931</v>
      </c>
      <c r="P596" s="6">
        <f>VLOOKUP(B596, 'All Menu'!B:L, 9, 0)</f>
        <v>0.55335749614371599</v>
      </c>
      <c r="Q596" s="14">
        <f>VLOOKUP(B596, 'All Menu'!B:M, 12, 0)</f>
        <v>0.71471346865479535</v>
      </c>
      <c r="R596" s="173">
        <f t="shared" si="30"/>
        <v>0</v>
      </c>
    </row>
    <row r="597" spans="1:18" ht="14" hidden="1">
      <c r="A597" s="78" t="s">
        <v>2555</v>
      </c>
      <c r="B597" s="220" t="s">
        <v>1017</v>
      </c>
      <c r="C597" s="185"/>
      <c r="D597" s="103" t="str">
        <f>VLOOKUP(B597, 'All Menu'!B:M, 4, 0)</f>
        <v>صفيحة شامية ببندورة</v>
      </c>
      <c r="E597" s="30" t="str">
        <f>VLOOKUP(B597, 'All Menu'!B:M, 2, 0)</f>
        <v>قسم الصالة</v>
      </c>
      <c r="F597" s="103" t="str">
        <f>VLOOKUP(B597, 'All Menu'!B:M, 3, 0)</f>
        <v>عجين صالة</v>
      </c>
      <c r="G597" s="90" t="s">
        <v>2239</v>
      </c>
      <c r="H597" s="188">
        <v>4513</v>
      </c>
      <c r="I597" s="110" t="str">
        <f>VLOOKUP(H597, 'RM &amp; SF'!B:H, 2, 0)</f>
        <v>ليمون اصفر*****</v>
      </c>
      <c r="J597" s="184" t="str">
        <f>VLOOKUP(H597, 'RM &amp; SF'!B:E, 4, 0)</f>
        <v>غم</v>
      </c>
      <c r="K597" s="12">
        <v>30</v>
      </c>
      <c r="L597" s="13">
        <f>VLOOKUP(H597, 'RM &amp; SF'!B:H, 7, 0)</f>
        <v>1.75E-3</v>
      </c>
      <c r="M597" s="7">
        <f t="shared" si="31"/>
        <v>5.2499999999999998E-2</v>
      </c>
      <c r="N597" s="4" t="s">
        <v>825</v>
      </c>
      <c r="O597" s="4">
        <f>VLOOKUP(B597, 'All Menu'!B:L, 6, 0)</f>
        <v>1.9396551724137931</v>
      </c>
      <c r="P597" s="6">
        <f>VLOOKUP(B597, 'All Menu'!B:L, 9, 0)</f>
        <v>0.55335749614371599</v>
      </c>
      <c r="Q597" s="14">
        <f>VLOOKUP(B597, 'All Menu'!B:M, 12, 0)</f>
        <v>0.71471346865479535</v>
      </c>
      <c r="R597" s="173">
        <f t="shared" si="30"/>
        <v>0</v>
      </c>
    </row>
    <row r="598" spans="1:18" ht="14" hidden="1">
      <c r="A598" s="78" t="s">
        <v>2582</v>
      </c>
      <c r="B598" s="220" t="s">
        <v>1019</v>
      </c>
      <c r="C598" s="185"/>
      <c r="D598" s="103" t="str">
        <f>VLOOKUP(B598, 'All Menu'!B:M, 4, 0)</f>
        <v>كولسلو</v>
      </c>
      <c r="E598" s="30" t="str">
        <f>VLOOKUP(B598, 'All Menu'!B:M, 2, 0)</f>
        <v>قسم الصالة</v>
      </c>
      <c r="F598" s="103" t="str">
        <f>VLOOKUP(B598, 'All Menu'!B:M, 3, 0)</f>
        <v>سلطات صالة</v>
      </c>
      <c r="G598" s="90" t="s">
        <v>2395</v>
      </c>
      <c r="H598" s="219" t="s">
        <v>560</v>
      </c>
      <c r="I598" s="110" t="str">
        <f>VLOOKUP(H598, 'RM &amp; SF'!B:H, 2, 0)</f>
        <v>كولسلو</v>
      </c>
      <c r="J598" s="184" t="str">
        <f>VLOOKUP(H598, 'RM &amp; SF'!B:E, 4, 0)</f>
        <v>غم</v>
      </c>
      <c r="K598" s="12">
        <v>300</v>
      </c>
      <c r="L598" s="13">
        <f>VLOOKUP(H598, 'RM &amp; SF'!B:H, 7, 0)</f>
        <v>1.2345483193277309E-3</v>
      </c>
      <c r="M598" s="7">
        <f t="shared" si="31"/>
        <v>0.37036449579831926</v>
      </c>
      <c r="N598" s="4" t="s">
        <v>825</v>
      </c>
      <c r="O598" s="4">
        <f>VLOOKUP(B598, 'All Menu'!B:L, 6, 0)</f>
        <v>2.8017241379310347</v>
      </c>
      <c r="P598" s="6">
        <f>VLOOKUP(B598, 'All Menu'!B:L, 9, 0)</f>
        <v>0.37036449579831926</v>
      </c>
      <c r="Q598" s="14">
        <f>VLOOKUP(B598, 'All Menu'!B:M, 12, 0)</f>
        <v>0.86780836457659993</v>
      </c>
      <c r="R598" s="173">
        <f t="shared" si="30"/>
        <v>0</v>
      </c>
    </row>
    <row r="599" spans="1:18" ht="14" hidden="1">
      <c r="A599" s="78" t="s">
        <v>2567</v>
      </c>
      <c r="B599" s="220" t="s">
        <v>1033</v>
      </c>
      <c r="C599" s="185"/>
      <c r="D599" s="103" t="str">
        <f>VLOOKUP(B599, 'All Menu'!B:M, 4, 0)</f>
        <v>منقوشة مكس اجبان</v>
      </c>
      <c r="E599" s="30" t="str">
        <f>VLOOKUP(B599, 'All Menu'!B:M, 2, 0)</f>
        <v>قسم الصالة</v>
      </c>
      <c r="F599" s="103" t="str">
        <f>VLOOKUP(B599, 'All Menu'!B:M, 3, 0)</f>
        <v>عجين صالة</v>
      </c>
      <c r="G599" s="90" t="s">
        <v>2333</v>
      </c>
      <c r="H599" s="219" t="s">
        <v>498</v>
      </c>
      <c r="I599" s="110" t="str">
        <f>VLOOKUP(H599, 'RM &amp; SF'!B:H, 2, 0)</f>
        <v>عجين الصفيحة والمناقيش</v>
      </c>
      <c r="J599" s="184" t="str">
        <f>VLOOKUP(H599, 'RM &amp; SF'!B:E, 4, 0)</f>
        <v>غم</v>
      </c>
      <c r="K599" s="12">
        <v>140</v>
      </c>
      <c r="L599" s="13">
        <f>VLOOKUP(H599, 'RM &amp; SF'!B:H, 7, 0)</f>
        <v>4.659980972150147E-4</v>
      </c>
      <c r="M599" s="7">
        <f t="shared" si="31"/>
        <v>6.523973361010206E-2</v>
      </c>
      <c r="N599" s="4" t="s">
        <v>825</v>
      </c>
      <c r="O599" s="4">
        <f>VLOOKUP(B599, 'All Menu'!B:L, 6, 0)</f>
        <v>1.9396551724137931</v>
      </c>
      <c r="P599" s="6">
        <f>VLOOKUP(B599, 'All Menu'!B:L, 9, 0)</f>
        <v>0.48604806694343539</v>
      </c>
      <c r="Q599" s="14">
        <f>VLOOKUP(B599, 'All Menu'!B:M, 12, 0)</f>
        <v>0.74941521882027329</v>
      </c>
      <c r="R599" s="173">
        <f t="shared" ref="R599:R640" si="32">C599*K599</f>
        <v>0</v>
      </c>
    </row>
    <row r="600" spans="1:18" ht="14" hidden="1">
      <c r="A600" s="78" t="s">
        <v>2567</v>
      </c>
      <c r="B600" s="220" t="s">
        <v>1033</v>
      </c>
      <c r="C600" s="185"/>
      <c r="D600" s="103" t="str">
        <f>VLOOKUP(B600, 'All Menu'!B:M, 4, 0)</f>
        <v>منقوشة مكس اجبان</v>
      </c>
      <c r="E600" s="30" t="str">
        <f>VLOOKUP(B600, 'All Menu'!B:M, 2, 0)</f>
        <v>قسم الصالة</v>
      </c>
      <c r="F600" s="103" t="str">
        <f>VLOOKUP(B600, 'All Menu'!B:M, 3, 0)</f>
        <v>عجين صالة</v>
      </c>
      <c r="G600" s="90" t="s">
        <v>2172</v>
      </c>
      <c r="H600" s="188">
        <v>4559</v>
      </c>
      <c r="I600" s="110" t="str">
        <f>VLOOKUP(H600, 'RM &amp; SF'!B:H, 2, 0)</f>
        <v>جبنة عكاوي 5 كغ*****</v>
      </c>
      <c r="J600" s="184" t="str">
        <f>VLOOKUP(H600, 'RM &amp; SF'!B:E, 4, 0)</f>
        <v>غم</v>
      </c>
      <c r="K600" s="12">
        <v>50</v>
      </c>
      <c r="L600" s="13">
        <f>VLOOKUP(H600, 'RM &amp; SF'!B:H, 7, 0)</f>
        <v>4.7619999999999997E-3</v>
      </c>
      <c r="M600" s="7">
        <f t="shared" si="31"/>
        <v>0.23809999999999998</v>
      </c>
      <c r="N600" s="4" t="s">
        <v>825</v>
      </c>
      <c r="O600" s="4">
        <f>VLOOKUP(B600, 'All Menu'!B:L, 6, 0)</f>
        <v>1.9396551724137931</v>
      </c>
      <c r="P600" s="6">
        <f>VLOOKUP(B600, 'All Menu'!B:L, 9, 0)</f>
        <v>0.48604806694343539</v>
      </c>
      <c r="Q600" s="14">
        <f>VLOOKUP(B600, 'All Menu'!B:M, 12, 0)</f>
        <v>0.74941521882027329</v>
      </c>
      <c r="R600" s="173">
        <f t="shared" si="32"/>
        <v>0</v>
      </c>
    </row>
    <row r="601" spans="1:18" ht="14" hidden="1">
      <c r="A601" s="78" t="s">
        <v>2567</v>
      </c>
      <c r="B601" s="220" t="s">
        <v>1033</v>
      </c>
      <c r="C601" s="185"/>
      <c r="D601" s="103" t="str">
        <f>VLOOKUP(B601, 'All Menu'!B:M, 4, 0)</f>
        <v>منقوشة مكس اجبان</v>
      </c>
      <c r="E601" s="30" t="str">
        <f>VLOOKUP(B601, 'All Menu'!B:M, 2, 0)</f>
        <v>قسم الصالة</v>
      </c>
      <c r="F601" s="103" t="str">
        <f>VLOOKUP(B601, 'All Menu'!B:M, 3, 0)</f>
        <v>عجين صالة</v>
      </c>
      <c r="G601" s="90" t="s">
        <v>2173</v>
      </c>
      <c r="H601" s="188">
        <v>4624</v>
      </c>
      <c r="I601" s="110" t="str">
        <f>VLOOKUP(H601, 'RM &amp; SF'!B:H, 2, 0)</f>
        <v>جبنة موزريلا قالب 2.380 كغ*****</v>
      </c>
      <c r="J601" s="184" t="str">
        <f>VLOOKUP(H601, 'RM &amp; SF'!B:E, 4, 0)</f>
        <v>غم</v>
      </c>
      <c r="K601" s="12">
        <v>25</v>
      </c>
      <c r="L601" s="13">
        <f>VLOOKUP(H601, 'RM &amp; SF'!B:H, 7, 0)</f>
        <v>5.1749999999999999E-3</v>
      </c>
      <c r="M601" s="7">
        <f t="shared" si="31"/>
        <v>0.12937499999999999</v>
      </c>
      <c r="N601" s="4" t="s">
        <v>825</v>
      </c>
      <c r="O601" s="4">
        <f>VLOOKUP(B601, 'All Menu'!B:L, 6, 0)</f>
        <v>1.9396551724137931</v>
      </c>
      <c r="P601" s="6">
        <f>VLOOKUP(B601, 'All Menu'!B:L, 9, 0)</f>
        <v>0.48604806694343539</v>
      </c>
      <c r="Q601" s="14">
        <f>VLOOKUP(B601, 'All Menu'!B:M, 12, 0)</f>
        <v>0.74941521882027329</v>
      </c>
      <c r="R601" s="173">
        <f t="shared" si="32"/>
        <v>0</v>
      </c>
    </row>
    <row r="602" spans="1:18" ht="14" hidden="1">
      <c r="A602" s="78" t="s">
        <v>2567</v>
      </c>
      <c r="B602" s="220" t="s">
        <v>1033</v>
      </c>
      <c r="C602" s="185"/>
      <c r="D602" s="103" t="str">
        <f>VLOOKUP(B602, 'All Menu'!B:M, 4, 0)</f>
        <v>منقوشة مكس اجبان</v>
      </c>
      <c r="E602" s="30" t="str">
        <f>VLOOKUP(B602, 'All Menu'!B:M, 2, 0)</f>
        <v>قسم الصالة</v>
      </c>
      <c r="F602" s="103" t="str">
        <f>VLOOKUP(B602, 'All Menu'!B:M, 3, 0)</f>
        <v>عجين صالة</v>
      </c>
      <c r="G602" s="90" t="s">
        <v>2174</v>
      </c>
      <c r="H602" s="188">
        <v>4561</v>
      </c>
      <c r="I602" s="110" t="str">
        <f>VLOOKUP(H602, 'RM &amp; SF'!B:H, 2, 0)</f>
        <v>جبنة صفراء 950 غم*****</v>
      </c>
      <c r="J602" s="184" t="str">
        <f>VLOOKUP(H602, 'RM &amp; SF'!B:E, 4, 0)</f>
        <v>غم</v>
      </c>
      <c r="K602" s="12">
        <v>20</v>
      </c>
      <c r="L602" s="13">
        <f>VLOOKUP(H602, 'RM &amp; SF'!B:H, 7, 0)</f>
        <v>2.6666666666666666E-3</v>
      </c>
      <c r="M602" s="7">
        <f t="shared" si="31"/>
        <v>5.333333333333333E-2</v>
      </c>
      <c r="N602" s="4" t="s">
        <v>825</v>
      </c>
      <c r="O602" s="4">
        <f>VLOOKUP(B602, 'All Menu'!B:L, 6, 0)</f>
        <v>1.9396551724137931</v>
      </c>
      <c r="P602" s="6">
        <f>VLOOKUP(B602, 'All Menu'!B:L, 9, 0)</f>
        <v>0.48604806694343539</v>
      </c>
      <c r="Q602" s="14">
        <f>VLOOKUP(B602, 'All Menu'!B:M, 12, 0)</f>
        <v>0.74941521882027329</v>
      </c>
      <c r="R602" s="173">
        <f t="shared" si="32"/>
        <v>0</v>
      </c>
    </row>
    <row r="603" spans="1:18" ht="14" hidden="1">
      <c r="A603" s="78" t="s">
        <v>2608</v>
      </c>
      <c r="B603" s="220" t="s">
        <v>1039</v>
      </c>
      <c r="C603" s="185"/>
      <c r="D603" s="103" t="str">
        <f>VLOOKUP(B603, 'All Menu'!B:M, 4, 0)</f>
        <v>فريكة دجاج</v>
      </c>
      <c r="E603" s="30" t="str">
        <f>VLOOKUP(B603, 'All Menu'!B:M, 2, 0)</f>
        <v>قسم الصالة</v>
      </c>
      <c r="F603" s="103" t="str">
        <f>VLOOKUP(B603, 'All Menu'!B:M, 3, 0)</f>
        <v>اطباق اليوم صالة</v>
      </c>
      <c r="G603" s="90" t="s">
        <v>2421</v>
      </c>
      <c r="H603" s="219" t="s">
        <v>622</v>
      </c>
      <c r="I603" s="110" t="str">
        <f>VLOOKUP(H603, 'RM &amp; SF'!B:H, 2, 0)</f>
        <v>فريكة مطبوخة</v>
      </c>
      <c r="J603" s="184" t="str">
        <f>VLOOKUP(H603, 'RM &amp; SF'!B:E, 4, 0)</f>
        <v>غم</v>
      </c>
      <c r="K603" s="12">
        <v>400</v>
      </c>
      <c r="L603" s="13">
        <f>VLOOKUP(H603, 'RM &amp; SF'!B:H, 7, 0)</f>
        <v>1.2594586666666669E-3</v>
      </c>
      <c r="M603" s="7">
        <f t="shared" si="31"/>
        <v>0.50378346666666673</v>
      </c>
      <c r="N603" s="4" t="s">
        <v>825</v>
      </c>
      <c r="O603" s="4">
        <f>VLOOKUP(B603, 'All Menu'!B:L, 6, 0)</f>
        <v>5.1293103448275863</v>
      </c>
      <c r="P603" s="6">
        <f>VLOOKUP(B603, 'All Menu'!B:L, 9, 0)</f>
        <v>1.4571450580459773</v>
      </c>
      <c r="Q603" s="14">
        <f>VLOOKUP(B603, 'All Menu'!B:M, 12, 0)</f>
        <v>0.71591793826330519</v>
      </c>
      <c r="R603" s="173">
        <f t="shared" si="32"/>
        <v>0</v>
      </c>
    </row>
    <row r="604" spans="1:18" ht="14" hidden="1">
      <c r="A604" s="78" t="s">
        <v>2608</v>
      </c>
      <c r="B604" s="220" t="s">
        <v>1039</v>
      </c>
      <c r="C604" s="185"/>
      <c r="D604" s="103" t="str">
        <f>VLOOKUP(B604, 'All Menu'!B:M, 4, 0)</f>
        <v>فريكة دجاج</v>
      </c>
      <c r="E604" s="30" t="str">
        <f>VLOOKUP(B604, 'All Menu'!B:M, 2, 0)</f>
        <v>قسم الصالة</v>
      </c>
      <c r="F604" s="103" t="str">
        <f>VLOOKUP(B604, 'All Menu'!B:M, 3, 0)</f>
        <v>اطباق اليوم صالة</v>
      </c>
      <c r="G604" s="90" t="s">
        <v>2417</v>
      </c>
      <c r="H604" s="219" t="s">
        <v>544</v>
      </c>
      <c r="I604" s="110" t="str">
        <f>VLOOKUP(H604, 'RM &amp; SF'!B:H, 2, 0)</f>
        <v>دجاجة متبلة</v>
      </c>
      <c r="J604" s="184" t="str">
        <f>VLOOKUP(H604, 'RM &amp; SF'!B:E, 4, 0)</f>
        <v>قطعة</v>
      </c>
      <c r="K604" s="12">
        <v>0.25</v>
      </c>
      <c r="L604" s="13">
        <f>VLOOKUP(H604, 'RM &amp; SF'!B:H, 7, 0)</f>
        <v>3.0853324000000004</v>
      </c>
      <c r="M604" s="7">
        <f t="shared" si="31"/>
        <v>0.7713331000000001</v>
      </c>
      <c r="N604" s="4" t="s">
        <v>825</v>
      </c>
      <c r="O604" s="4">
        <f>VLOOKUP(B604, 'All Menu'!B:L, 6, 0)</f>
        <v>5.1293103448275863</v>
      </c>
      <c r="P604" s="6">
        <f>VLOOKUP(B604, 'All Menu'!B:L, 9, 0)</f>
        <v>1.4571450580459773</v>
      </c>
      <c r="Q604" s="14">
        <f>VLOOKUP(B604, 'All Menu'!B:M, 12, 0)</f>
        <v>0.71591793826330519</v>
      </c>
      <c r="R604" s="173">
        <f t="shared" si="32"/>
        <v>0</v>
      </c>
    </row>
    <row r="605" spans="1:18" ht="14" hidden="1">
      <c r="A605" s="78" t="s">
        <v>2608</v>
      </c>
      <c r="B605" s="220" t="s">
        <v>1039</v>
      </c>
      <c r="C605" s="185"/>
      <c r="D605" s="103" t="str">
        <f>VLOOKUP(B605, 'All Menu'!B:M, 4, 0)</f>
        <v>فريكة دجاج</v>
      </c>
      <c r="E605" s="30" t="str">
        <f>VLOOKUP(B605, 'All Menu'!B:M, 2, 0)</f>
        <v>قسم الصالة</v>
      </c>
      <c r="F605" s="103" t="str">
        <f>VLOOKUP(B605, 'All Menu'!B:M, 3, 0)</f>
        <v>اطباق اليوم صالة</v>
      </c>
      <c r="G605" s="90" t="s">
        <v>2341</v>
      </c>
      <c r="H605" s="219" t="s">
        <v>706</v>
      </c>
      <c r="I605" s="110" t="str">
        <f>VLOOKUP(H605, 'RM &amp; SF'!B:H, 2, 0)</f>
        <v>لوز مقلي</v>
      </c>
      <c r="J605" s="184" t="str">
        <f>VLOOKUP(H605, 'RM &amp; SF'!B:E, 4, 0)</f>
        <v>غم</v>
      </c>
      <c r="K605" s="12">
        <v>15</v>
      </c>
      <c r="L605" s="13">
        <f>VLOOKUP(H605, 'RM &amp; SF'!B:H, 7, 0)</f>
        <v>4.1352327586206888E-3</v>
      </c>
      <c r="M605" s="7">
        <f t="shared" si="31"/>
        <v>6.2028491379310331E-2</v>
      </c>
      <c r="N605" s="4" t="s">
        <v>825</v>
      </c>
      <c r="O605" s="4">
        <f>VLOOKUP(B605, 'All Menu'!B:L, 6, 0)</f>
        <v>5.1293103448275863</v>
      </c>
      <c r="P605" s="6">
        <f>VLOOKUP(B605, 'All Menu'!B:L, 9, 0)</f>
        <v>1.4571450580459773</v>
      </c>
      <c r="Q605" s="14">
        <f>VLOOKUP(B605, 'All Menu'!B:M, 12, 0)</f>
        <v>0.71591793826330519</v>
      </c>
      <c r="R605" s="173">
        <f t="shared" si="32"/>
        <v>0</v>
      </c>
    </row>
    <row r="606" spans="1:18" ht="14" hidden="1">
      <c r="A606" s="78" t="s">
        <v>2608</v>
      </c>
      <c r="B606" s="220" t="s">
        <v>1039</v>
      </c>
      <c r="C606" s="185"/>
      <c r="D606" s="103" t="str">
        <f>VLOOKUP(B606, 'All Menu'!B:M, 4, 0)</f>
        <v>فريكة دجاج</v>
      </c>
      <c r="E606" s="30" t="str">
        <f>VLOOKUP(B606, 'All Menu'!B:M, 2, 0)</f>
        <v>قسم الصالة</v>
      </c>
      <c r="F606" s="103" t="str">
        <f>VLOOKUP(B606, 'All Menu'!B:M, 3, 0)</f>
        <v>اطباق اليوم صالة</v>
      </c>
      <c r="G606" s="90" t="s">
        <v>2170</v>
      </c>
      <c r="H606" s="188">
        <v>4552</v>
      </c>
      <c r="I606" s="110" t="str">
        <f>VLOOKUP(H606, 'RM &amp; SF'!B:H, 2, 0)</f>
        <v>لبن رايب 5 كغ*****</v>
      </c>
      <c r="J606" s="184" t="str">
        <f>VLOOKUP(H606, 'RM &amp; SF'!B:E, 4, 0)</f>
        <v>غم</v>
      </c>
      <c r="K606" s="12">
        <v>150</v>
      </c>
      <c r="L606" s="13">
        <f>VLOOKUP(H606, 'RM &amp; SF'!B:H, 7, 0)</f>
        <v>8.0000000000000004E-4</v>
      </c>
      <c r="M606" s="7">
        <f t="shared" si="31"/>
        <v>0.12000000000000001</v>
      </c>
      <c r="N606" s="4" t="s">
        <v>825</v>
      </c>
      <c r="O606" s="4">
        <f>VLOOKUP(B606, 'All Menu'!B:L, 6, 0)</f>
        <v>5.1293103448275863</v>
      </c>
      <c r="P606" s="6">
        <f>VLOOKUP(B606, 'All Menu'!B:L, 9, 0)</f>
        <v>1.4571450580459773</v>
      </c>
      <c r="Q606" s="14">
        <f>VLOOKUP(B606, 'All Menu'!B:M, 12, 0)</f>
        <v>0.71591793826330519</v>
      </c>
      <c r="R606" s="173">
        <f t="shared" si="32"/>
        <v>0</v>
      </c>
    </row>
    <row r="607" spans="1:18" ht="14" hidden="1">
      <c r="A607" s="78" t="s">
        <v>2529</v>
      </c>
      <c r="B607" s="220" t="s">
        <v>1040</v>
      </c>
      <c r="C607" s="185"/>
      <c r="D607" s="103" t="str">
        <f>VLOOKUP(B607, 'All Menu'!B:M, 4, 0)</f>
        <v>ساندويش كباب</v>
      </c>
      <c r="E607" s="30" t="str">
        <f>VLOOKUP(B607, 'All Menu'!B:M, 2, 0)</f>
        <v>قسم الصالة</v>
      </c>
      <c r="F607" s="103" t="str">
        <f>VLOOKUP(B607, 'All Menu'!B:M, 3, 0)</f>
        <v>المشاوي صالة</v>
      </c>
      <c r="G607" s="90" t="s">
        <v>2429</v>
      </c>
      <c r="H607" s="219" t="s">
        <v>610</v>
      </c>
      <c r="I607" s="110" t="str">
        <f>VLOOKUP(H607, 'RM &amp; SF'!B:H, 2, 0)</f>
        <v>كباب الساندويش</v>
      </c>
      <c r="J607" s="184" t="str">
        <f>VLOOKUP(H607, 'RM &amp; SF'!B:E, 4, 0)</f>
        <v>غم</v>
      </c>
      <c r="K607" s="12">
        <v>120</v>
      </c>
      <c r="L607" s="13">
        <f>VLOOKUP(H607, 'RM &amp; SF'!B:H, 7, 0)</f>
        <v>6.0066783033033031E-3</v>
      </c>
      <c r="M607" s="7">
        <f t="shared" si="31"/>
        <v>0.7208013963963964</v>
      </c>
      <c r="N607" s="4" t="s">
        <v>825</v>
      </c>
      <c r="O607" s="4">
        <f>VLOOKUP(B607, 'All Menu'!B:L, 6, 0)</f>
        <v>2.1120689655172415</v>
      </c>
      <c r="P607" s="6">
        <f>VLOOKUP(B607, 'All Menu'!B:L, 9, 0)</f>
        <v>0.86512044713232117</v>
      </c>
      <c r="Q607" s="14">
        <f>VLOOKUP(B607, 'All Menu'!B:M, 12, 0)</f>
        <v>0.59039195156183988</v>
      </c>
      <c r="R607" s="173">
        <f t="shared" si="32"/>
        <v>0</v>
      </c>
    </row>
    <row r="608" spans="1:18" ht="14" hidden="1">
      <c r="A608" s="78" t="s">
        <v>2529</v>
      </c>
      <c r="B608" s="220" t="s">
        <v>1040</v>
      </c>
      <c r="C608" s="185"/>
      <c r="D608" s="103" t="str">
        <f>VLOOKUP(B608, 'All Menu'!B:M, 4, 0)</f>
        <v>ساندويش كباب</v>
      </c>
      <c r="E608" s="30" t="str">
        <f>VLOOKUP(B608, 'All Menu'!B:M, 2, 0)</f>
        <v>قسم الصالة</v>
      </c>
      <c r="F608" s="103" t="str">
        <f>VLOOKUP(B608, 'All Menu'!B:M, 3, 0)</f>
        <v>المشاوي صالة</v>
      </c>
      <c r="G608" s="90" t="s">
        <v>2331</v>
      </c>
      <c r="H608" s="219" t="s">
        <v>530</v>
      </c>
      <c r="I608" s="110" t="str">
        <f>VLOOKUP(H608, 'RM &amp; SF'!B:H, 2, 0)</f>
        <v>خبز صاج</v>
      </c>
      <c r="J608" s="184" t="str">
        <f>VLOOKUP(H608, 'RM &amp; SF'!B:E, 4, 0)</f>
        <v>غم</v>
      </c>
      <c r="K608" s="12">
        <v>90</v>
      </c>
      <c r="L608" s="13">
        <f>VLOOKUP(H608, 'RM &amp; SF'!B:H, 7, 0)</f>
        <v>1.8806451612903227E-4</v>
      </c>
      <c r="M608" s="7">
        <f t="shared" si="31"/>
        <v>1.6925806451612905E-2</v>
      </c>
      <c r="N608" s="4" t="s">
        <v>825</v>
      </c>
      <c r="O608" s="4">
        <f>VLOOKUP(B608, 'All Menu'!B:L, 6, 0)</f>
        <v>2.1120689655172415</v>
      </c>
      <c r="P608" s="6">
        <f>VLOOKUP(B608, 'All Menu'!B:L, 9, 0)</f>
        <v>0.86512044713232117</v>
      </c>
      <c r="Q608" s="14">
        <f>VLOOKUP(B608, 'All Menu'!B:M, 12, 0)</f>
        <v>0.59039195156183988</v>
      </c>
      <c r="R608" s="173">
        <f t="shared" si="32"/>
        <v>0</v>
      </c>
    </row>
    <row r="609" spans="1:18" ht="14" hidden="1">
      <c r="A609" s="78" t="s">
        <v>2529</v>
      </c>
      <c r="B609" s="220" t="s">
        <v>1040</v>
      </c>
      <c r="C609" s="185"/>
      <c r="D609" s="103" t="str">
        <f>VLOOKUP(B609, 'All Menu'!B:M, 4, 0)</f>
        <v>ساندويش كباب</v>
      </c>
      <c r="E609" s="30" t="str">
        <f>VLOOKUP(B609, 'All Menu'!B:M, 2, 0)</f>
        <v>قسم الصالة</v>
      </c>
      <c r="F609" s="103" t="str">
        <f>VLOOKUP(B609, 'All Menu'!B:M, 3, 0)</f>
        <v>المشاوي صالة</v>
      </c>
      <c r="G609" s="90" t="s">
        <v>2397</v>
      </c>
      <c r="H609" s="219" t="s">
        <v>580</v>
      </c>
      <c r="I609" s="110" t="str">
        <f>VLOOKUP(H609, 'RM &amp; SF'!B:H, 2, 0)</f>
        <v>طحينة مشاوي</v>
      </c>
      <c r="J609" s="184" t="str">
        <f>VLOOKUP(H609, 'RM &amp; SF'!B:E, 4, 0)</f>
        <v>غم</v>
      </c>
      <c r="K609" s="12">
        <v>38</v>
      </c>
      <c r="L609" s="13">
        <f>VLOOKUP(H609, 'RM &amp; SF'!B:H, 7, 0)</f>
        <v>1.0841676434676436E-3</v>
      </c>
      <c r="M609" s="7">
        <f t="shared" si="31"/>
        <v>4.1198370451770452E-2</v>
      </c>
      <c r="N609" s="4" t="s">
        <v>825</v>
      </c>
      <c r="O609" s="4">
        <f>VLOOKUP(B609, 'All Menu'!B:L, 6, 0)</f>
        <v>2.1120689655172415</v>
      </c>
      <c r="P609" s="6">
        <f>VLOOKUP(B609, 'All Menu'!B:L, 9, 0)</f>
        <v>0.86512044713232117</v>
      </c>
      <c r="Q609" s="14">
        <f>VLOOKUP(B609, 'All Menu'!B:M, 12, 0)</f>
        <v>0.59039195156183988</v>
      </c>
      <c r="R609" s="173">
        <f t="shared" si="32"/>
        <v>0</v>
      </c>
    </row>
    <row r="610" spans="1:18" ht="14" hidden="1">
      <c r="A610" s="78" t="s">
        <v>2529</v>
      </c>
      <c r="B610" s="220" t="s">
        <v>1040</v>
      </c>
      <c r="C610" s="185"/>
      <c r="D610" s="103" t="str">
        <f>VLOOKUP(B610, 'All Menu'!B:M, 4, 0)</f>
        <v>ساندويش كباب</v>
      </c>
      <c r="E610" s="30" t="str">
        <f>VLOOKUP(B610, 'All Menu'!B:M, 2, 0)</f>
        <v>قسم الصالة</v>
      </c>
      <c r="F610" s="103" t="str">
        <f>VLOOKUP(B610, 'All Menu'!B:M, 3, 0)</f>
        <v>المشاوي صالة</v>
      </c>
      <c r="G610" s="90" t="s">
        <v>2396</v>
      </c>
      <c r="H610" s="219" t="s">
        <v>582</v>
      </c>
      <c r="I610" s="110" t="str">
        <f>VLOOKUP(H610, 'RM &amp; SF'!B:H, 2, 0)</f>
        <v>بيواز</v>
      </c>
      <c r="J610" s="184" t="str">
        <f>VLOOKUP(H610, 'RM &amp; SF'!B:E, 4, 0)</f>
        <v>غم</v>
      </c>
      <c r="K610" s="12">
        <v>21</v>
      </c>
      <c r="L610" s="13">
        <f>VLOOKUP(H610, 'RM &amp; SF'!B:H, 7, 0)</f>
        <v>2.0666065869244635E-4</v>
      </c>
      <c r="M610" s="7">
        <f t="shared" si="31"/>
        <v>4.3398738325413737E-3</v>
      </c>
      <c r="N610" s="4" t="s">
        <v>825</v>
      </c>
      <c r="O610" s="4">
        <f>VLOOKUP(B610, 'All Menu'!B:L, 6, 0)</f>
        <v>2.1120689655172415</v>
      </c>
      <c r="P610" s="6">
        <f>VLOOKUP(B610, 'All Menu'!B:L, 9, 0)</f>
        <v>0.86512044713232117</v>
      </c>
      <c r="Q610" s="14">
        <f>VLOOKUP(B610, 'All Menu'!B:M, 12, 0)</f>
        <v>0.59039195156183988</v>
      </c>
      <c r="R610" s="173">
        <f t="shared" si="32"/>
        <v>0</v>
      </c>
    </row>
    <row r="611" spans="1:18" ht="14" hidden="1">
      <c r="A611" s="78" t="s">
        <v>2529</v>
      </c>
      <c r="B611" s="220" t="s">
        <v>1040</v>
      </c>
      <c r="C611" s="185"/>
      <c r="D611" s="103" t="str">
        <f>VLOOKUP(B611, 'All Menu'!B:M, 4, 0)</f>
        <v>ساندويش كباب</v>
      </c>
      <c r="E611" s="30" t="str">
        <f>VLOOKUP(B611, 'All Menu'!B:M, 2, 0)</f>
        <v>قسم الصالة</v>
      </c>
      <c r="F611" s="103" t="str">
        <f>VLOOKUP(B611, 'All Menu'!B:M, 3, 0)</f>
        <v>المشاوي صالة</v>
      </c>
      <c r="G611" s="90" t="s">
        <v>3058</v>
      </c>
      <c r="H611" s="219">
        <v>5280</v>
      </c>
      <c r="I611" s="110" t="str">
        <f>VLOOKUP(H611, 'RM &amp; SF'!B:H, 2, 0)</f>
        <v>ورق مع قصدير مطبوع*****</v>
      </c>
      <c r="J611" s="184" t="str">
        <f>VLOOKUP(H611, 'RM &amp; SF'!B:E, 4, 0)</f>
        <v>قطعة</v>
      </c>
      <c r="K611" s="12">
        <v>1</v>
      </c>
      <c r="L611" s="13">
        <f>VLOOKUP(H611, 'RM &amp; SF'!B:H, 7, 0)</f>
        <v>6.4655000000000004E-2</v>
      </c>
      <c r="M611" s="7">
        <f t="shared" ref="M611" si="33">L611*K611</f>
        <v>6.4655000000000004E-2</v>
      </c>
      <c r="N611" s="4" t="s">
        <v>825</v>
      </c>
      <c r="O611" s="4">
        <f>VLOOKUP(B611, 'All Menu'!B:L, 6, 0)</f>
        <v>2.1120689655172415</v>
      </c>
      <c r="P611" s="6">
        <f>VLOOKUP(B611, 'All Menu'!B:L, 9, 0)</f>
        <v>0.86512044713232117</v>
      </c>
      <c r="Q611" s="14">
        <f>VLOOKUP(B611, 'All Menu'!B:M, 12, 0)</f>
        <v>0.59039195156183988</v>
      </c>
      <c r="R611" s="173">
        <f t="shared" ref="R611" si="34">C611*K611</f>
        <v>0</v>
      </c>
    </row>
    <row r="612" spans="1:18" ht="14" hidden="1">
      <c r="A612" s="78" t="s">
        <v>2529</v>
      </c>
      <c r="B612" s="220" t="s">
        <v>1040</v>
      </c>
      <c r="C612" s="185"/>
      <c r="D612" s="103" t="str">
        <f>VLOOKUP(B612, 'All Menu'!B:M, 4, 0)</f>
        <v>ساندويش كباب</v>
      </c>
      <c r="E612" s="30" t="str">
        <f>VLOOKUP(B612, 'All Menu'!B:M, 2, 0)</f>
        <v>قسم الصالة</v>
      </c>
      <c r="F612" s="103" t="str">
        <f>VLOOKUP(B612, 'All Menu'!B:M, 3, 0)</f>
        <v>المشاوي صالة</v>
      </c>
      <c r="G612" s="90" t="s">
        <v>2257</v>
      </c>
      <c r="H612" s="188">
        <v>5281</v>
      </c>
      <c r="I612" s="110" t="str">
        <f>VLOOKUP(H612, 'RM &amp; SF'!B:H, 2, 0)</f>
        <v>بندوره مشاوي</v>
      </c>
      <c r="J612" s="184" t="str">
        <f>VLOOKUP(H612, 'RM &amp; SF'!B:E, 4, 0)</f>
        <v>غم</v>
      </c>
      <c r="K612" s="12">
        <v>43</v>
      </c>
      <c r="L612" s="13">
        <f>VLOOKUP(H612, 'RM &amp; SF'!B:H, 7, 0)</f>
        <v>4.0000000000000002E-4</v>
      </c>
      <c r="M612" s="7">
        <f t="shared" si="31"/>
        <v>1.72E-2</v>
      </c>
      <c r="N612" s="4" t="s">
        <v>825</v>
      </c>
      <c r="O612" s="4">
        <f>VLOOKUP(B612, 'All Menu'!B:L, 6, 0)</f>
        <v>2.1120689655172415</v>
      </c>
      <c r="P612" s="6">
        <f>VLOOKUP(B612, 'All Menu'!B:L, 9, 0)</f>
        <v>0.86512044713232117</v>
      </c>
      <c r="Q612" s="14">
        <f>VLOOKUP(B612, 'All Menu'!B:M, 12, 0)</f>
        <v>0.59039195156183988</v>
      </c>
      <c r="R612" s="173">
        <f t="shared" si="32"/>
        <v>0</v>
      </c>
    </row>
    <row r="613" spans="1:18" ht="14" hidden="1">
      <c r="A613" s="78" t="s">
        <v>2530</v>
      </c>
      <c r="B613" s="220" t="s">
        <v>1042</v>
      </c>
      <c r="C613" s="185"/>
      <c r="D613" s="103" t="str">
        <f>VLOOKUP(B613, 'All Menu'!B:M, 4, 0)</f>
        <v>ساندويش شيش</v>
      </c>
      <c r="E613" s="30" t="str">
        <f>VLOOKUP(B613, 'All Menu'!B:M, 2, 0)</f>
        <v>قسم الصالة</v>
      </c>
      <c r="F613" s="103" t="str">
        <f>VLOOKUP(B613, 'All Menu'!B:M, 3, 0)</f>
        <v>المشاوي صالة</v>
      </c>
      <c r="G613" s="90" t="s">
        <v>2456</v>
      </c>
      <c r="H613" s="219" t="s">
        <v>506</v>
      </c>
      <c r="I613" s="110" t="str">
        <f>VLOOKUP(H613, 'RM &amp; SF'!B:H, 2, 0)</f>
        <v>شيش</v>
      </c>
      <c r="J613" s="184" t="str">
        <f>VLOOKUP(H613, 'RM &amp; SF'!B:E, 4, 0)</f>
        <v>غم</v>
      </c>
      <c r="K613" s="12">
        <v>100</v>
      </c>
      <c r="L613" s="13">
        <f>VLOOKUP(H613, 'RM &amp; SF'!B:H, 7, 0)</f>
        <v>4.6721213030918281E-3</v>
      </c>
      <c r="M613" s="7">
        <f t="shared" si="31"/>
        <v>0.46721213030918279</v>
      </c>
      <c r="N613" s="4" t="s">
        <v>825</v>
      </c>
      <c r="O613" s="4">
        <f>VLOOKUP(B613, 'All Menu'!B:L, 6, 0)</f>
        <v>2.1120689655172415</v>
      </c>
      <c r="P613" s="6">
        <f>VLOOKUP(B613, 'All Menu'!B:L, 9, 0)</f>
        <v>0.65352174672911134</v>
      </c>
      <c r="Q613" s="14">
        <f>VLOOKUP(B613, 'All Menu'!B:M, 12, 0)</f>
        <v>0.69057745869152276</v>
      </c>
      <c r="R613" s="173">
        <f t="shared" si="32"/>
        <v>0</v>
      </c>
    </row>
    <row r="614" spans="1:18" ht="14" hidden="1">
      <c r="A614" s="78" t="s">
        <v>2530</v>
      </c>
      <c r="B614" s="220" t="s">
        <v>1042</v>
      </c>
      <c r="C614" s="185"/>
      <c r="D614" s="103" t="str">
        <f>VLOOKUP(B614, 'All Menu'!B:M, 4, 0)</f>
        <v>ساندويش شيش</v>
      </c>
      <c r="E614" s="30" t="str">
        <f>VLOOKUP(B614, 'All Menu'!B:M, 2, 0)</f>
        <v>قسم الصالة</v>
      </c>
      <c r="F614" s="103" t="str">
        <f>VLOOKUP(B614, 'All Menu'!B:M, 3, 0)</f>
        <v>المشاوي صالة</v>
      </c>
      <c r="G614" s="90" t="s">
        <v>2331</v>
      </c>
      <c r="H614" s="219" t="s">
        <v>530</v>
      </c>
      <c r="I614" s="110" t="str">
        <f>VLOOKUP(H614, 'RM &amp; SF'!B:H, 2, 0)</f>
        <v>خبز صاج</v>
      </c>
      <c r="J614" s="184" t="str">
        <f>VLOOKUP(H614, 'RM &amp; SF'!B:E, 4, 0)</f>
        <v>غم</v>
      </c>
      <c r="K614" s="12">
        <v>100</v>
      </c>
      <c r="L614" s="13">
        <f>VLOOKUP(H614, 'RM &amp; SF'!B:H, 7, 0)</f>
        <v>1.8806451612903227E-4</v>
      </c>
      <c r="M614" s="7">
        <f t="shared" si="31"/>
        <v>1.8806451612903227E-2</v>
      </c>
      <c r="N614" s="4" t="s">
        <v>825</v>
      </c>
      <c r="O614" s="4">
        <f>VLOOKUP(B614, 'All Menu'!B:L, 6, 0)</f>
        <v>2.1120689655172415</v>
      </c>
      <c r="P614" s="6">
        <f>VLOOKUP(B614, 'All Menu'!B:L, 9, 0)</f>
        <v>0.65352174672911134</v>
      </c>
      <c r="Q614" s="14">
        <f>VLOOKUP(B614, 'All Menu'!B:M, 12, 0)</f>
        <v>0.69057745869152276</v>
      </c>
      <c r="R614" s="173">
        <f t="shared" si="32"/>
        <v>0</v>
      </c>
    </row>
    <row r="615" spans="1:18" ht="14" hidden="1">
      <c r="A615" s="78" t="s">
        <v>2530</v>
      </c>
      <c r="B615" s="220" t="s">
        <v>1042</v>
      </c>
      <c r="C615" s="185"/>
      <c r="D615" s="103" t="str">
        <f>VLOOKUP(B615, 'All Menu'!B:M, 4, 0)</f>
        <v>ساندويش شيش</v>
      </c>
      <c r="E615" s="30" t="str">
        <f>VLOOKUP(B615, 'All Menu'!B:M, 2, 0)</f>
        <v>قسم الصالة</v>
      </c>
      <c r="F615" s="103" t="str">
        <f>VLOOKUP(B615, 'All Menu'!B:M, 3, 0)</f>
        <v>المشاوي صالة</v>
      </c>
      <c r="G615" s="90" t="s">
        <v>3058</v>
      </c>
      <c r="H615" s="219" t="s">
        <v>3057</v>
      </c>
      <c r="I615" s="110" t="str">
        <f>VLOOKUP(H615, 'RM &amp; SF'!B:H, 2, 0)</f>
        <v>صوص ساندويش</v>
      </c>
      <c r="J615" s="184" t="str">
        <f>VLOOKUP(H615, 'RM &amp; SF'!B:E, 4, 0)</f>
        <v>غم</v>
      </c>
      <c r="K615" s="12">
        <v>20</v>
      </c>
      <c r="L615" s="13">
        <f>VLOOKUP(H615, 'RM &amp; SF'!B:H, 7, 0)</f>
        <v>2.2283059346557385E-3</v>
      </c>
      <c r="M615" s="7">
        <f t="shared" ref="M615" si="35">L615*K615</f>
        <v>4.4566118693114769E-2</v>
      </c>
      <c r="N615" s="4" t="s">
        <v>825</v>
      </c>
      <c r="O615" s="4">
        <f>VLOOKUP(B615, 'All Menu'!B:L, 6, 0)</f>
        <v>2.1120689655172415</v>
      </c>
      <c r="P615" s="6">
        <f>VLOOKUP(B615, 'All Menu'!B:L, 9, 0)</f>
        <v>0.65352174672911134</v>
      </c>
      <c r="Q615" s="14">
        <f>VLOOKUP(B615, 'All Menu'!B:M, 12, 0)</f>
        <v>0.69057745869152276</v>
      </c>
      <c r="R615" s="173">
        <f t="shared" ref="R615" si="36">C615*K615</f>
        <v>0</v>
      </c>
    </row>
    <row r="616" spans="1:18" ht="14" hidden="1">
      <c r="A616" s="78" t="s">
        <v>2530</v>
      </c>
      <c r="B616" s="220" t="s">
        <v>1042</v>
      </c>
      <c r="C616" s="185"/>
      <c r="D616" s="103" t="str">
        <f>VLOOKUP(B616, 'All Menu'!B:M, 4, 0)</f>
        <v>ساندويش شيش</v>
      </c>
      <c r="E616" s="30" t="str">
        <f>VLOOKUP(B616, 'All Menu'!B:M, 2, 0)</f>
        <v>قسم الصالة</v>
      </c>
      <c r="F616" s="103" t="str">
        <f>VLOOKUP(B616, 'All Menu'!B:M, 3, 0)</f>
        <v>المشاوي صالة</v>
      </c>
      <c r="G616" s="90" t="s">
        <v>2325</v>
      </c>
      <c r="H616" s="219" t="s">
        <v>534</v>
      </c>
      <c r="I616" s="110" t="str">
        <f>VLOOKUP(H616, 'RM &amp; SF'!B:H, 2, 0)</f>
        <v>مثومه</v>
      </c>
      <c r="J616" s="184" t="str">
        <f>VLOOKUP(H616, 'RM &amp; SF'!B:E, 4, 0)</f>
        <v>غم</v>
      </c>
      <c r="K616" s="12">
        <v>50</v>
      </c>
      <c r="L616" s="13">
        <f>VLOOKUP(H616, 'RM &amp; SF'!B:H, 7, 0)</f>
        <v>6.6564092227821051E-4</v>
      </c>
      <c r="M616" s="7">
        <f t="shared" si="31"/>
        <v>3.3282046113910523E-2</v>
      </c>
      <c r="N616" s="4" t="s">
        <v>825</v>
      </c>
      <c r="O616" s="4">
        <f>VLOOKUP(B616, 'All Menu'!B:L, 6, 0)</f>
        <v>2.1120689655172415</v>
      </c>
      <c r="P616" s="6">
        <f>VLOOKUP(B616, 'All Menu'!B:L, 9, 0)</f>
        <v>0.65352174672911134</v>
      </c>
      <c r="Q616" s="14">
        <f>VLOOKUP(B616, 'All Menu'!B:M, 12, 0)</f>
        <v>0.69057745869152276</v>
      </c>
      <c r="R616" s="173">
        <f t="shared" si="32"/>
        <v>0</v>
      </c>
    </row>
    <row r="617" spans="1:18" ht="14" hidden="1">
      <c r="A617" s="78" t="s">
        <v>2530</v>
      </c>
      <c r="B617" s="220" t="s">
        <v>1042</v>
      </c>
      <c r="C617" s="185"/>
      <c r="D617" s="103" t="str">
        <f>VLOOKUP(B617, 'All Menu'!B:M, 4, 0)</f>
        <v>ساندويش شيش</v>
      </c>
      <c r="E617" s="30" t="str">
        <f>VLOOKUP(B617, 'All Menu'!B:M, 2, 0)</f>
        <v>قسم الصالة</v>
      </c>
      <c r="F617" s="103" t="str">
        <f>VLOOKUP(B617, 'All Menu'!B:M, 3, 0)</f>
        <v>المشاوي صالة</v>
      </c>
      <c r="G617" s="90" t="s">
        <v>2296</v>
      </c>
      <c r="H617" s="188">
        <v>4866</v>
      </c>
      <c r="I617" s="110" t="str">
        <f>VLOOKUP(H617, 'RM &amp; SF'!B:H, 2, 0)</f>
        <v>*****مخلل خيار شرائح 10 كغ</v>
      </c>
      <c r="J617" s="184" t="str">
        <f>VLOOKUP(H617, 'RM &amp; SF'!B:E, 4, 0)</f>
        <v>غم</v>
      </c>
      <c r="K617" s="12">
        <v>20</v>
      </c>
      <c r="L617" s="13">
        <f>VLOOKUP(H617, 'RM &amp; SF'!B:H, 7, 0)</f>
        <v>1E-3</v>
      </c>
      <c r="M617" s="7">
        <f t="shared" si="31"/>
        <v>0.02</v>
      </c>
      <c r="N617" s="4" t="s">
        <v>825</v>
      </c>
      <c r="O617" s="4">
        <f>VLOOKUP(B617, 'All Menu'!B:L, 6, 0)</f>
        <v>2.1120689655172415</v>
      </c>
      <c r="P617" s="6">
        <f>VLOOKUP(B617, 'All Menu'!B:L, 9, 0)</f>
        <v>0.65352174672911134</v>
      </c>
      <c r="Q617" s="14">
        <f>VLOOKUP(B617, 'All Menu'!B:M, 12, 0)</f>
        <v>0.69057745869152276</v>
      </c>
      <c r="R617" s="173">
        <f t="shared" si="32"/>
        <v>0</v>
      </c>
    </row>
    <row r="618" spans="1:18" ht="14" hidden="1">
      <c r="A618" s="78" t="s">
        <v>2530</v>
      </c>
      <c r="B618" s="220" t="s">
        <v>1042</v>
      </c>
      <c r="C618" s="185"/>
      <c r="D618" s="103" t="str">
        <f>VLOOKUP(B618, 'All Menu'!B:M, 4, 0)</f>
        <v>ساندويش شيش</v>
      </c>
      <c r="E618" s="30" t="str">
        <f>VLOOKUP(B618, 'All Menu'!B:M, 2, 0)</f>
        <v>قسم الصالة</v>
      </c>
      <c r="F618" s="103" t="str">
        <f>VLOOKUP(B618, 'All Menu'!B:M, 3, 0)</f>
        <v>المشاوي صالة</v>
      </c>
      <c r="G618" s="90" t="s">
        <v>3058</v>
      </c>
      <c r="H618" s="188">
        <v>5280</v>
      </c>
      <c r="I618" s="110" t="str">
        <f>VLOOKUP(H618, 'RM &amp; SF'!B:H, 2, 0)</f>
        <v>ورق مع قصدير مطبوع*****</v>
      </c>
      <c r="J618" s="184" t="str">
        <f>VLOOKUP(H618, 'RM &amp; SF'!B:E, 4, 0)</f>
        <v>قطعة</v>
      </c>
      <c r="K618" s="12">
        <v>1</v>
      </c>
      <c r="L618" s="13">
        <f>VLOOKUP(H618, 'RM &amp; SF'!B:H, 7, 0)</f>
        <v>6.4655000000000004E-2</v>
      </c>
      <c r="M618" s="7">
        <f t="shared" ref="M618" si="37">L618*K618</f>
        <v>6.4655000000000004E-2</v>
      </c>
      <c r="N618" s="4" t="s">
        <v>825</v>
      </c>
      <c r="O618" s="4">
        <f>VLOOKUP(B618, 'All Menu'!B:L, 6, 0)</f>
        <v>2.1120689655172415</v>
      </c>
      <c r="P618" s="6">
        <f>VLOOKUP(B618, 'All Menu'!B:L, 9, 0)</f>
        <v>0.65352174672911134</v>
      </c>
      <c r="Q618" s="14">
        <f>VLOOKUP(B618, 'All Menu'!B:M, 12, 0)</f>
        <v>0.69057745869152276</v>
      </c>
      <c r="R618" s="173">
        <f t="shared" ref="R618" si="38">C618*K618</f>
        <v>0</v>
      </c>
    </row>
    <row r="619" spans="1:18" ht="14" hidden="1">
      <c r="A619" s="78" t="s">
        <v>2530</v>
      </c>
      <c r="B619" s="220" t="s">
        <v>1042</v>
      </c>
      <c r="C619" s="185"/>
      <c r="D619" s="103" t="str">
        <f>VLOOKUP(B619, 'All Menu'!B:M, 4, 0)</f>
        <v>ساندويش شيش</v>
      </c>
      <c r="E619" s="30" t="str">
        <f>VLOOKUP(B619, 'All Menu'!B:M, 2, 0)</f>
        <v>قسم الصالة</v>
      </c>
      <c r="F619" s="103" t="str">
        <f>VLOOKUP(B619, 'All Menu'!B:M, 3, 0)</f>
        <v>المشاوي صالة</v>
      </c>
      <c r="G619" s="90" t="s">
        <v>3058</v>
      </c>
      <c r="H619" s="188">
        <v>4517</v>
      </c>
      <c r="I619" s="110" t="str">
        <f>VLOOKUP(H619, 'RM &amp; SF'!B:H, 2, 0)</f>
        <v>خس بلدي*****</v>
      </c>
      <c r="J619" s="184" t="str">
        <f>VLOOKUP(H619, 'RM &amp; SF'!B:E, 4, 0)</f>
        <v>غم</v>
      </c>
      <c r="K619" s="12">
        <v>10</v>
      </c>
      <c r="L619" s="13">
        <f>VLOOKUP(H619, 'RM &amp; SF'!B:H, 7, 0)</f>
        <v>5.0000000000000001E-4</v>
      </c>
      <c r="M619" s="7">
        <f t="shared" si="31"/>
        <v>5.0000000000000001E-3</v>
      </c>
      <c r="N619" s="4" t="s">
        <v>825</v>
      </c>
      <c r="O619" s="4">
        <f>VLOOKUP(B619, 'All Menu'!B:L, 6, 0)</f>
        <v>2.1120689655172415</v>
      </c>
      <c r="P619" s="6">
        <f>VLOOKUP(B619, 'All Menu'!B:L, 9, 0)</f>
        <v>0.65352174672911134</v>
      </c>
      <c r="Q619" s="14">
        <f>VLOOKUP(B619, 'All Menu'!B:M, 12, 0)</f>
        <v>0.69057745869152276</v>
      </c>
      <c r="R619" s="173">
        <f t="shared" si="32"/>
        <v>0</v>
      </c>
    </row>
    <row r="620" spans="1:18" ht="14" hidden="1">
      <c r="A620" s="78" t="s">
        <v>2531</v>
      </c>
      <c r="B620" s="220" t="s">
        <v>1043</v>
      </c>
      <c r="C620" s="185"/>
      <c r="D620" s="103" t="str">
        <f>VLOOKUP(B620, 'All Menu'!B:M, 4, 0)</f>
        <v>ساندويش شيش سوبر</v>
      </c>
      <c r="E620" s="30" t="str">
        <f>VLOOKUP(B620, 'All Menu'!B:M, 2, 0)</f>
        <v>قسم الصالة</v>
      </c>
      <c r="F620" s="103" t="str">
        <f>VLOOKUP(B620, 'All Menu'!B:M, 3, 0)</f>
        <v>المشاوي صالة</v>
      </c>
      <c r="G620" s="90" t="s">
        <v>2456</v>
      </c>
      <c r="H620" s="219" t="s">
        <v>506</v>
      </c>
      <c r="I620" s="110" t="str">
        <f>VLOOKUP(H620, 'RM &amp; SF'!B:H, 2, 0)</f>
        <v>شيش</v>
      </c>
      <c r="J620" s="184" t="str">
        <f>VLOOKUP(H620, 'RM &amp; SF'!B:E, 4, 0)</f>
        <v>غم</v>
      </c>
      <c r="K620" s="12">
        <v>200</v>
      </c>
      <c r="L620" s="13">
        <f>VLOOKUP(H620, 'RM &amp; SF'!B:H, 7, 0)</f>
        <v>4.6721213030918281E-3</v>
      </c>
      <c r="M620" s="7">
        <f t="shared" si="31"/>
        <v>0.93442426061836559</v>
      </c>
      <c r="N620" s="4" t="s">
        <v>825</v>
      </c>
      <c r="O620" s="4">
        <f>VLOOKUP(B620, 'All Menu'!B:L, 6, 0)</f>
        <v>3.4482758620689657</v>
      </c>
      <c r="P620" s="6">
        <f>VLOOKUP(B620, 'All Menu'!B:L, 9, 0)</f>
        <v>1.1629861640531975</v>
      </c>
      <c r="Q620" s="14">
        <f>VLOOKUP(B620, 'All Menu'!B:M, 12, 0)</f>
        <v>0.66273401242457275</v>
      </c>
      <c r="R620" s="173">
        <f t="shared" si="32"/>
        <v>0</v>
      </c>
    </row>
    <row r="621" spans="1:18" ht="14" hidden="1">
      <c r="A621" s="78" t="s">
        <v>2531</v>
      </c>
      <c r="B621" s="220" t="s">
        <v>1043</v>
      </c>
      <c r="C621" s="185"/>
      <c r="D621" s="103" t="str">
        <f>VLOOKUP(B621, 'All Menu'!B:M, 4, 0)</f>
        <v>ساندويش شيش سوبر</v>
      </c>
      <c r="E621" s="30" t="str">
        <f>VLOOKUP(B621, 'All Menu'!B:M, 2, 0)</f>
        <v>قسم الصالة</v>
      </c>
      <c r="F621" s="103" t="str">
        <f>VLOOKUP(B621, 'All Menu'!B:M, 3, 0)</f>
        <v>المشاوي صالة</v>
      </c>
      <c r="G621" s="90" t="s">
        <v>3058</v>
      </c>
      <c r="H621" s="219" t="s">
        <v>3057</v>
      </c>
      <c r="I621" s="110" t="str">
        <f>VLOOKUP(H621, 'RM &amp; SF'!B:H, 2, 0)</f>
        <v>صوص ساندويش</v>
      </c>
      <c r="J621" s="184" t="str">
        <f>VLOOKUP(H621, 'RM &amp; SF'!B:E, 4, 0)</f>
        <v>غم</v>
      </c>
      <c r="K621" s="12">
        <v>30</v>
      </c>
      <c r="L621" s="13">
        <f>VLOOKUP(H621, 'RM &amp; SF'!B:H, 7, 0)</f>
        <v>2.2283059346557385E-3</v>
      </c>
      <c r="M621" s="7">
        <f t="shared" ref="M621" si="39">L621*K621</f>
        <v>6.684917803967215E-2</v>
      </c>
      <c r="N621" s="4" t="s">
        <v>825</v>
      </c>
      <c r="O621" s="4">
        <f>VLOOKUP(B621, 'All Menu'!B:L, 6, 0)</f>
        <v>3.4482758620689657</v>
      </c>
      <c r="P621" s="6">
        <f>VLOOKUP(B621, 'All Menu'!B:L, 9, 0)</f>
        <v>1.1629861640531975</v>
      </c>
      <c r="Q621" s="14">
        <f>VLOOKUP(B621, 'All Menu'!B:M, 12, 0)</f>
        <v>0.66273401242457275</v>
      </c>
      <c r="R621" s="173">
        <f t="shared" ref="R621" si="40">C621*K621</f>
        <v>0</v>
      </c>
    </row>
    <row r="622" spans="1:18" ht="14" hidden="1">
      <c r="A622" s="78" t="s">
        <v>2531</v>
      </c>
      <c r="B622" s="220" t="s">
        <v>1043</v>
      </c>
      <c r="C622" s="185"/>
      <c r="D622" s="103" t="str">
        <f>VLOOKUP(B622, 'All Menu'!B:M, 4, 0)</f>
        <v>ساندويش شيش سوبر</v>
      </c>
      <c r="E622" s="30" t="str">
        <f>VLOOKUP(B622, 'All Menu'!B:M, 2, 0)</f>
        <v>قسم الصالة</v>
      </c>
      <c r="F622" s="103" t="str">
        <f>VLOOKUP(B622, 'All Menu'!B:M, 3, 0)</f>
        <v>المشاوي صالة</v>
      </c>
      <c r="G622" s="90" t="s">
        <v>2331</v>
      </c>
      <c r="H622" s="219" t="s">
        <v>530</v>
      </c>
      <c r="I622" s="110" t="str">
        <f>VLOOKUP(H622, 'RM &amp; SF'!B:H, 2, 0)</f>
        <v>خبز صاج</v>
      </c>
      <c r="J622" s="184" t="str">
        <f>VLOOKUP(H622, 'RM &amp; SF'!B:E, 4, 0)</f>
        <v>غم</v>
      </c>
      <c r="K622" s="12">
        <v>100</v>
      </c>
      <c r="L622" s="13">
        <f>VLOOKUP(H622, 'RM &amp; SF'!B:H, 7, 0)</f>
        <v>1.8806451612903227E-4</v>
      </c>
      <c r="M622" s="7">
        <f t="shared" si="31"/>
        <v>1.8806451612903227E-2</v>
      </c>
      <c r="N622" s="4" t="s">
        <v>825</v>
      </c>
      <c r="O622" s="4">
        <f>VLOOKUP(B622, 'All Menu'!B:L, 6, 0)</f>
        <v>3.4482758620689657</v>
      </c>
      <c r="P622" s="6">
        <f>VLOOKUP(B622, 'All Menu'!B:L, 9, 0)</f>
        <v>1.1629861640531975</v>
      </c>
      <c r="Q622" s="14">
        <f>VLOOKUP(B622, 'All Menu'!B:M, 12, 0)</f>
        <v>0.66273401242457275</v>
      </c>
      <c r="R622" s="173">
        <f t="shared" si="32"/>
        <v>0</v>
      </c>
    </row>
    <row r="623" spans="1:18" ht="14" hidden="1">
      <c r="A623" s="78" t="s">
        <v>2531</v>
      </c>
      <c r="B623" s="220" t="s">
        <v>1043</v>
      </c>
      <c r="C623" s="185"/>
      <c r="D623" s="103" t="str">
        <f>VLOOKUP(B623, 'All Menu'!B:M, 4, 0)</f>
        <v>ساندويش شيش سوبر</v>
      </c>
      <c r="E623" s="30" t="str">
        <f>VLOOKUP(B623, 'All Menu'!B:M, 2, 0)</f>
        <v>قسم الصالة</v>
      </c>
      <c r="F623" s="103" t="str">
        <f>VLOOKUP(B623, 'All Menu'!B:M, 3, 0)</f>
        <v>المشاوي صالة</v>
      </c>
      <c r="G623" s="90" t="s">
        <v>2325</v>
      </c>
      <c r="H623" s="219" t="s">
        <v>534</v>
      </c>
      <c r="I623" s="110" t="str">
        <f>VLOOKUP(H623, 'RM &amp; SF'!B:H, 2, 0)</f>
        <v>مثومه</v>
      </c>
      <c r="J623" s="184" t="str">
        <f>VLOOKUP(H623, 'RM &amp; SF'!B:E, 4, 0)</f>
        <v>غم</v>
      </c>
      <c r="K623" s="12">
        <v>50</v>
      </c>
      <c r="L623" s="13">
        <f>VLOOKUP(H623, 'RM &amp; SF'!B:H, 7, 0)</f>
        <v>6.6564092227821051E-4</v>
      </c>
      <c r="M623" s="7">
        <f t="shared" si="31"/>
        <v>3.3282046113910523E-2</v>
      </c>
      <c r="N623" s="4" t="s">
        <v>825</v>
      </c>
      <c r="O623" s="4">
        <f>VLOOKUP(B623, 'All Menu'!B:L, 6, 0)</f>
        <v>3.4482758620689657</v>
      </c>
      <c r="P623" s="6">
        <f>VLOOKUP(B623, 'All Menu'!B:L, 9, 0)</f>
        <v>1.1629861640531975</v>
      </c>
      <c r="Q623" s="14">
        <f>VLOOKUP(B623, 'All Menu'!B:M, 12, 0)</f>
        <v>0.66273401242457275</v>
      </c>
      <c r="R623" s="173">
        <f t="shared" si="32"/>
        <v>0</v>
      </c>
    </row>
    <row r="624" spans="1:18" ht="14" hidden="1">
      <c r="A624" s="78" t="s">
        <v>2531</v>
      </c>
      <c r="B624" s="220" t="s">
        <v>1043</v>
      </c>
      <c r="C624" s="185"/>
      <c r="D624" s="103" t="str">
        <f>VLOOKUP(B624, 'All Menu'!B:M, 4, 0)</f>
        <v>ساندويش شيش سوبر</v>
      </c>
      <c r="E624" s="30" t="str">
        <f>VLOOKUP(B624, 'All Menu'!B:M, 2, 0)</f>
        <v>قسم الصالة</v>
      </c>
      <c r="F624" s="103" t="str">
        <f>VLOOKUP(B624, 'All Menu'!B:M, 3, 0)</f>
        <v>المشاوي صالة</v>
      </c>
      <c r="G624" s="90" t="s">
        <v>2296</v>
      </c>
      <c r="H624" s="188">
        <v>4866</v>
      </c>
      <c r="I624" s="110" t="str">
        <f>VLOOKUP(H624, 'RM &amp; SF'!B:H, 2, 0)</f>
        <v>*****مخلل خيار شرائح 10 كغ</v>
      </c>
      <c r="J624" s="184" t="str">
        <f>VLOOKUP(H624, 'RM &amp; SF'!B:E, 4, 0)</f>
        <v>غم</v>
      </c>
      <c r="K624" s="12">
        <v>20</v>
      </c>
      <c r="L624" s="13">
        <f>VLOOKUP(H624, 'RM &amp; SF'!B:H, 7, 0)</f>
        <v>1E-3</v>
      </c>
      <c r="M624" s="7">
        <f t="shared" si="31"/>
        <v>0.02</v>
      </c>
      <c r="N624" s="4" t="s">
        <v>825</v>
      </c>
      <c r="O624" s="4">
        <f>VLOOKUP(B624, 'All Menu'!B:L, 6, 0)</f>
        <v>3.4482758620689657</v>
      </c>
      <c r="P624" s="6">
        <f>VLOOKUP(B624, 'All Menu'!B:L, 9, 0)</f>
        <v>1.1629861640531975</v>
      </c>
      <c r="Q624" s="14">
        <f>VLOOKUP(B624, 'All Menu'!B:M, 12, 0)</f>
        <v>0.66273401242457275</v>
      </c>
      <c r="R624" s="173">
        <f t="shared" si="32"/>
        <v>0</v>
      </c>
    </row>
    <row r="625" spans="1:18" ht="14" hidden="1">
      <c r="A625" s="78" t="s">
        <v>2531</v>
      </c>
      <c r="B625" s="220" t="s">
        <v>1043</v>
      </c>
      <c r="C625" s="185"/>
      <c r="D625" s="103" t="str">
        <f>VLOOKUP(B625, 'All Menu'!B:M, 4, 0)</f>
        <v>ساندويش شيش سوبر</v>
      </c>
      <c r="E625" s="30" t="str">
        <f>VLOOKUP(B625, 'All Menu'!B:M, 2, 0)</f>
        <v>قسم الصالة</v>
      </c>
      <c r="F625" s="103" t="str">
        <f>VLOOKUP(B625, 'All Menu'!B:M, 3, 0)</f>
        <v>المشاوي صالة</v>
      </c>
      <c r="G625" s="90" t="s">
        <v>3058</v>
      </c>
      <c r="H625" s="188">
        <v>4517</v>
      </c>
      <c r="I625" s="110" t="str">
        <f>VLOOKUP(H625, 'RM &amp; SF'!B:H, 2, 0)</f>
        <v>خس بلدي*****</v>
      </c>
      <c r="J625" s="184" t="str">
        <f>VLOOKUP(H625, 'RM &amp; SF'!B:E, 4, 0)</f>
        <v>غم</v>
      </c>
      <c r="K625" s="12">
        <v>10</v>
      </c>
      <c r="L625" s="13">
        <f>VLOOKUP(H625, 'RM &amp; SF'!B:H, 7, 0)</f>
        <v>5.0000000000000001E-4</v>
      </c>
      <c r="M625" s="7">
        <f t="shared" si="31"/>
        <v>5.0000000000000001E-3</v>
      </c>
      <c r="N625" s="4" t="s">
        <v>825</v>
      </c>
      <c r="O625" s="4">
        <f>VLOOKUP(B625, 'All Menu'!B:L, 6, 0)</f>
        <v>3.4482758620689657</v>
      </c>
      <c r="P625" s="6">
        <f>VLOOKUP(B625, 'All Menu'!B:L, 9, 0)</f>
        <v>1.1629861640531975</v>
      </c>
      <c r="Q625" s="14">
        <f>VLOOKUP(B625, 'All Menu'!B:M, 12, 0)</f>
        <v>0.66273401242457275</v>
      </c>
      <c r="R625" s="173">
        <f t="shared" si="32"/>
        <v>0</v>
      </c>
    </row>
    <row r="626" spans="1:18" ht="14" hidden="1">
      <c r="A626" s="78" t="s">
        <v>2531</v>
      </c>
      <c r="B626" s="220" t="s">
        <v>1043</v>
      </c>
      <c r="C626" s="185"/>
      <c r="D626" s="103" t="str">
        <f>VLOOKUP(B626, 'All Menu'!B:M, 4, 0)</f>
        <v>ساندويش شيش سوبر</v>
      </c>
      <c r="E626" s="30" t="str">
        <f>VLOOKUP(B626, 'All Menu'!B:M, 2, 0)</f>
        <v>قسم الصالة</v>
      </c>
      <c r="F626" s="103" t="str">
        <f>VLOOKUP(B626, 'All Menu'!B:M, 3, 0)</f>
        <v>المشاوي صالة</v>
      </c>
      <c r="G626" s="90" t="s">
        <v>3058</v>
      </c>
      <c r="H626" s="188">
        <v>5280</v>
      </c>
      <c r="I626" s="110" t="str">
        <f>VLOOKUP(H626, 'RM &amp; SF'!B:H, 2, 0)</f>
        <v>ورق مع قصدير مطبوع*****</v>
      </c>
      <c r="J626" s="184" t="str">
        <f>VLOOKUP(H626, 'RM &amp; SF'!B:E, 4, 0)</f>
        <v>قطعة</v>
      </c>
      <c r="K626" s="12">
        <v>1</v>
      </c>
      <c r="L626" s="13">
        <f>VLOOKUP(H626, 'RM &amp; SF'!B:H, 7, 0)</f>
        <v>6.4655000000000004E-2</v>
      </c>
      <c r="M626" s="7">
        <f t="shared" ref="M626" si="41">L626*K626</f>
        <v>6.4655000000000004E-2</v>
      </c>
      <c r="N626" s="4" t="s">
        <v>825</v>
      </c>
      <c r="O626" s="4">
        <f>VLOOKUP(B626, 'All Menu'!B:L, 6, 0)</f>
        <v>3.4482758620689657</v>
      </c>
      <c r="P626" s="6">
        <f>VLOOKUP(B626, 'All Menu'!B:L, 9, 0)</f>
        <v>1.1629861640531975</v>
      </c>
      <c r="Q626" s="14">
        <f>VLOOKUP(B626, 'All Menu'!B:M, 12, 0)</f>
        <v>0.66273401242457275</v>
      </c>
      <c r="R626" s="173">
        <f t="shared" ref="R626" si="42">C626*K626</f>
        <v>0</v>
      </c>
    </row>
    <row r="627" spans="1:18" ht="14" hidden="1">
      <c r="A627" s="78" t="s">
        <v>2531</v>
      </c>
      <c r="B627" s="220" t="s">
        <v>1043</v>
      </c>
      <c r="C627" s="185"/>
      <c r="D627" s="103" t="str">
        <f>VLOOKUP(B627, 'All Menu'!B:M, 4, 0)</f>
        <v>ساندويش شيش سوبر</v>
      </c>
      <c r="E627" s="30" t="str">
        <f>VLOOKUP(B627, 'All Menu'!B:M, 2, 0)</f>
        <v>قسم الصالة</v>
      </c>
      <c r="F627" s="103" t="str">
        <f>VLOOKUP(B627, 'All Menu'!B:M, 3, 0)</f>
        <v>المشاوي صالة</v>
      </c>
      <c r="G627" s="90" t="s">
        <v>2325</v>
      </c>
      <c r="H627" s="219" t="s">
        <v>534</v>
      </c>
      <c r="I627" s="110" t="str">
        <f>VLOOKUP(H627, 'RM &amp; SF'!B:H, 2, 0)</f>
        <v>مثومه</v>
      </c>
      <c r="J627" s="184" t="str">
        <f>VLOOKUP(H627, 'RM &amp; SF'!B:E, 4, 0)</f>
        <v>غم</v>
      </c>
      <c r="K627" s="12">
        <v>30</v>
      </c>
      <c r="L627" s="13">
        <f>VLOOKUP(H627, 'RM &amp; SF'!B:H, 7, 0)</f>
        <v>6.6564092227821051E-4</v>
      </c>
      <c r="M627" s="7">
        <f t="shared" si="31"/>
        <v>1.9969227668346315E-2</v>
      </c>
      <c r="N627" s="4" t="s">
        <v>825</v>
      </c>
      <c r="O627" s="4">
        <f>VLOOKUP(B627, 'All Menu'!B:L, 6, 0)</f>
        <v>3.4482758620689657</v>
      </c>
      <c r="P627" s="6">
        <f>VLOOKUP(B627, 'All Menu'!B:L, 9, 0)</f>
        <v>1.1629861640531975</v>
      </c>
      <c r="Q627" s="14">
        <f>VLOOKUP(B627, 'All Menu'!B:M, 12, 0)</f>
        <v>0.66273401242457275</v>
      </c>
      <c r="R627" s="173">
        <f t="shared" si="32"/>
        <v>0</v>
      </c>
    </row>
    <row r="628" spans="1:18" ht="14" hidden="1">
      <c r="A628" s="78" t="s">
        <v>2532</v>
      </c>
      <c r="B628" s="220" t="s">
        <v>1044</v>
      </c>
      <c r="C628" s="185"/>
      <c r="D628" s="103" t="str">
        <f>VLOOKUP(B628, 'All Menu'!B:M, 4, 0)</f>
        <v>ساندويش شقف عادي</v>
      </c>
      <c r="E628" s="30" t="str">
        <f>VLOOKUP(B628, 'All Menu'!B:M, 2, 0)</f>
        <v>قسم الصالة</v>
      </c>
      <c r="F628" s="103" t="str">
        <f>VLOOKUP(B628, 'All Menu'!B:M, 3, 0)</f>
        <v>المشاوي صالة</v>
      </c>
      <c r="G628" s="90" t="s">
        <v>2452</v>
      </c>
      <c r="H628" s="219" t="s">
        <v>528</v>
      </c>
      <c r="I628" s="110" t="str">
        <f>VLOOKUP(H628, 'RM &amp; SF'!B:H, 2, 0)</f>
        <v>شقف متبلة</v>
      </c>
      <c r="J628" s="184" t="str">
        <f>VLOOKUP(H628, 'RM &amp; SF'!B:E, 4, 0)</f>
        <v>غم</v>
      </c>
      <c r="K628" s="12">
        <v>100</v>
      </c>
      <c r="L628" s="13">
        <f>VLOOKUP(H628, 'RM &amp; SF'!B:H, 7, 0)</f>
        <v>2.0415146666666665E-2</v>
      </c>
      <c r="M628" s="7">
        <f t="shared" si="31"/>
        <v>2.0415146666666666</v>
      </c>
      <c r="N628" s="4" t="s">
        <v>825</v>
      </c>
      <c r="O628" s="4">
        <f>VLOOKUP(B628, 'All Menu'!B:L, 6, 0)</f>
        <v>3.146551724137931</v>
      </c>
      <c r="P628" s="6">
        <f>VLOOKUP(B628, 'All Menu'!B:L, 9, 0)</f>
        <v>2.1913177136268009</v>
      </c>
      <c r="Q628" s="14">
        <f>VLOOKUP(B628, 'All Menu'!B:M, 12, 0)</f>
        <v>0.3035812197788797</v>
      </c>
      <c r="R628" s="173">
        <f t="shared" si="32"/>
        <v>0</v>
      </c>
    </row>
    <row r="629" spans="1:18" ht="14" hidden="1">
      <c r="A629" s="78" t="s">
        <v>2532</v>
      </c>
      <c r="B629" s="220" t="s">
        <v>1044</v>
      </c>
      <c r="C629" s="185"/>
      <c r="D629" s="103" t="str">
        <f>VLOOKUP(B629, 'All Menu'!B:M, 4, 0)</f>
        <v>ساندويش شقف عادي</v>
      </c>
      <c r="E629" s="30" t="str">
        <f>VLOOKUP(B629, 'All Menu'!B:M, 2, 0)</f>
        <v>قسم الصالة</v>
      </c>
      <c r="F629" s="103" t="str">
        <f>VLOOKUP(B629, 'All Menu'!B:M, 3, 0)</f>
        <v>المشاوي صالة</v>
      </c>
      <c r="G629" s="90" t="s">
        <v>2257</v>
      </c>
      <c r="H629" s="188">
        <v>5281</v>
      </c>
      <c r="I629" s="110" t="str">
        <f>VLOOKUP(H629, 'RM &amp; SF'!B:H, 2, 0)</f>
        <v>بندوره مشاوي</v>
      </c>
      <c r="J629" s="184" t="str">
        <f>VLOOKUP(H629, 'RM &amp; SF'!B:E, 4, 0)</f>
        <v>غم</v>
      </c>
      <c r="K629" s="12">
        <v>20</v>
      </c>
      <c r="L629" s="13">
        <f>VLOOKUP(H629, 'RM &amp; SF'!B:H, 7, 0)</f>
        <v>4.0000000000000002E-4</v>
      </c>
      <c r="M629" s="7">
        <f t="shared" si="31"/>
        <v>8.0000000000000002E-3</v>
      </c>
      <c r="N629" s="4" t="s">
        <v>825</v>
      </c>
      <c r="O629" s="4">
        <f>VLOOKUP(B629, 'All Menu'!B:L, 6, 0)</f>
        <v>3.146551724137931</v>
      </c>
      <c r="P629" s="6">
        <f>VLOOKUP(B629, 'All Menu'!B:L, 9, 0)</f>
        <v>2.1913177136268009</v>
      </c>
      <c r="Q629" s="14">
        <f>VLOOKUP(B629, 'All Menu'!B:M, 12, 0)</f>
        <v>0.3035812197788797</v>
      </c>
      <c r="R629" s="173">
        <f t="shared" si="32"/>
        <v>0</v>
      </c>
    </row>
    <row r="630" spans="1:18" ht="14" hidden="1">
      <c r="A630" s="78" t="s">
        <v>2532</v>
      </c>
      <c r="B630" s="220" t="s">
        <v>1044</v>
      </c>
      <c r="C630" s="185"/>
      <c r="D630" s="103" t="str">
        <f>VLOOKUP(B630, 'All Menu'!B:M, 4, 0)</f>
        <v>ساندويش شقف عادي</v>
      </c>
      <c r="E630" s="30" t="str">
        <f>VLOOKUP(B630, 'All Menu'!B:M, 2, 0)</f>
        <v>قسم الصالة</v>
      </c>
      <c r="F630" s="103" t="str">
        <f>VLOOKUP(B630, 'All Menu'!B:M, 3, 0)</f>
        <v>المشاوي صالة</v>
      </c>
      <c r="G630" s="90" t="s">
        <v>2396</v>
      </c>
      <c r="H630" s="219" t="s">
        <v>582</v>
      </c>
      <c r="I630" s="110" t="str">
        <f>VLOOKUP(H630, 'RM &amp; SF'!B:H, 2, 0)</f>
        <v>بيواز</v>
      </c>
      <c r="J630" s="184" t="str">
        <f>VLOOKUP(H630, 'RM &amp; SF'!B:E, 4, 0)</f>
        <v>غم</v>
      </c>
      <c r="K630" s="12">
        <v>20</v>
      </c>
      <c r="L630" s="13">
        <f>VLOOKUP(H630, 'RM &amp; SF'!B:H, 7, 0)</f>
        <v>2.0666065869244635E-4</v>
      </c>
      <c r="M630" s="7">
        <f t="shared" si="31"/>
        <v>4.1332131738489267E-3</v>
      </c>
      <c r="N630" s="4" t="s">
        <v>825</v>
      </c>
      <c r="O630" s="4">
        <f>VLOOKUP(B630, 'All Menu'!B:L, 6, 0)</f>
        <v>3.146551724137931</v>
      </c>
      <c r="P630" s="6">
        <f>VLOOKUP(B630, 'All Menu'!B:L, 9, 0)</f>
        <v>2.1913177136268009</v>
      </c>
      <c r="Q630" s="14">
        <f>VLOOKUP(B630, 'All Menu'!B:M, 12, 0)</f>
        <v>0.3035812197788797</v>
      </c>
      <c r="R630" s="173">
        <f t="shared" si="32"/>
        <v>0</v>
      </c>
    </row>
    <row r="631" spans="1:18" ht="14" hidden="1">
      <c r="A631" s="78" t="s">
        <v>2532</v>
      </c>
      <c r="B631" s="220" t="s">
        <v>1044</v>
      </c>
      <c r="C631" s="185"/>
      <c r="D631" s="103" t="str">
        <f>VLOOKUP(B631, 'All Menu'!B:M, 4, 0)</f>
        <v>ساندويش شقف عادي</v>
      </c>
      <c r="E631" s="30" t="str">
        <f>VLOOKUP(B631, 'All Menu'!B:M, 2, 0)</f>
        <v>قسم الصالة</v>
      </c>
      <c r="F631" s="103" t="str">
        <f>VLOOKUP(B631, 'All Menu'!B:M, 3, 0)</f>
        <v>المشاوي صالة</v>
      </c>
      <c r="G631" s="90" t="s">
        <v>2397</v>
      </c>
      <c r="H631" s="219" t="s">
        <v>580</v>
      </c>
      <c r="I631" s="110" t="str">
        <f>VLOOKUP(H631, 'RM &amp; SF'!B:H, 2, 0)</f>
        <v>طحينة مشاوي</v>
      </c>
      <c r="J631" s="184" t="str">
        <f>VLOOKUP(H631, 'RM &amp; SF'!B:E, 4, 0)</f>
        <v>غم</v>
      </c>
      <c r="K631" s="12">
        <v>50</v>
      </c>
      <c r="L631" s="13">
        <f>VLOOKUP(H631, 'RM &amp; SF'!B:H, 7, 0)</f>
        <v>1.0841676434676436E-3</v>
      </c>
      <c r="M631" s="7">
        <f t="shared" si="31"/>
        <v>5.4208382173382176E-2</v>
      </c>
      <c r="N631" s="4" t="s">
        <v>825</v>
      </c>
      <c r="O631" s="4">
        <f>VLOOKUP(B631, 'All Menu'!B:L, 6, 0)</f>
        <v>3.146551724137931</v>
      </c>
      <c r="P631" s="6">
        <f>VLOOKUP(B631, 'All Menu'!B:L, 9, 0)</f>
        <v>2.1913177136268009</v>
      </c>
      <c r="Q631" s="14">
        <f>VLOOKUP(B631, 'All Menu'!B:M, 12, 0)</f>
        <v>0.3035812197788797</v>
      </c>
      <c r="R631" s="173">
        <f t="shared" si="32"/>
        <v>0</v>
      </c>
    </row>
    <row r="632" spans="1:18" ht="14" hidden="1">
      <c r="A632" s="78" t="s">
        <v>2532</v>
      </c>
      <c r="B632" s="220" t="s">
        <v>1044</v>
      </c>
      <c r="C632" s="185"/>
      <c r="D632" s="103" t="str">
        <f>VLOOKUP(B632, 'All Menu'!B:M, 4, 0)</f>
        <v>ساندويش شقف عادي</v>
      </c>
      <c r="E632" s="30" t="str">
        <f>VLOOKUP(B632, 'All Menu'!B:M, 2, 0)</f>
        <v>قسم الصالة</v>
      </c>
      <c r="F632" s="103" t="str">
        <f>VLOOKUP(B632, 'All Menu'!B:M, 3, 0)</f>
        <v>المشاوي صالة</v>
      </c>
      <c r="G632" s="90" t="s">
        <v>3058</v>
      </c>
      <c r="H632" s="219">
        <v>5280</v>
      </c>
      <c r="I632" s="110" t="str">
        <f>VLOOKUP(H632, 'RM &amp; SF'!B:H, 2, 0)</f>
        <v>ورق مع قصدير مطبوع*****</v>
      </c>
      <c r="J632" s="184" t="str">
        <f>VLOOKUP(H632, 'RM &amp; SF'!B:E, 4, 0)</f>
        <v>قطعة</v>
      </c>
      <c r="K632" s="12">
        <v>1</v>
      </c>
      <c r="L632" s="13">
        <f>VLOOKUP(H632, 'RM &amp; SF'!B:H, 7, 0)</f>
        <v>6.4655000000000004E-2</v>
      </c>
      <c r="M632" s="7">
        <f t="shared" ref="M632" si="43">L632*K632</f>
        <v>6.4655000000000004E-2</v>
      </c>
      <c r="N632" s="4" t="s">
        <v>825</v>
      </c>
      <c r="O632" s="4">
        <f>VLOOKUP(B632, 'All Menu'!B:L, 6, 0)</f>
        <v>3.146551724137931</v>
      </c>
      <c r="P632" s="6">
        <f>VLOOKUP(B632, 'All Menu'!B:L, 9, 0)</f>
        <v>2.1913177136268009</v>
      </c>
      <c r="Q632" s="14">
        <f>VLOOKUP(B632, 'All Menu'!B:M, 12, 0)</f>
        <v>0.3035812197788797</v>
      </c>
      <c r="R632" s="173">
        <f t="shared" ref="R632" si="44">C632*K632</f>
        <v>0</v>
      </c>
    </row>
    <row r="633" spans="1:18" ht="14" hidden="1">
      <c r="A633" s="78" t="s">
        <v>2532</v>
      </c>
      <c r="B633" s="220" t="s">
        <v>1044</v>
      </c>
      <c r="C633" s="185"/>
      <c r="D633" s="103" t="str">
        <f>VLOOKUP(B633, 'All Menu'!B:M, 4, 0)</f>
        <v>ساندويش شقف عادي</v>
      </c>
      <c r="E633" s="30" t="str">
        <f>VLOOKUP(B633, 'All Menu'!B:M, 2, 0)</f>
        <v>قسم الصالة</v>
      </c>
      <c r="F633" s="103" t="str">
        <f>VLOOKUP(B633, 'All Menu'!B:M, 3, 0)</f>
        <v>المشاوي صالة</v>
      </c>
      <c r="G633" s="90" t="s">
        <v>2331</v>
      </c>
      <c r="H633" s="219" t="s">
        <v>530</v>
      </c>
      <c r="I633" s="110" t="str">
        <f>VLOOKUP(H633, 'RM &amp; SF'!B:H, 2, 0)</f>
        <v>خبز صاج</v>
      </c>
      <c r="J633" s="184" t="str">
        <f>VLOOKUP(H633, 'RM &amp; SF'!B:E, 4, 0)</f>
        <v>غم</v>
      </c>
      <c r="K633" s="12">
        <v>100</v>
      </c>
      <c r="L633" s="13">
        <f>VLOOKUP(H633, 'RM &amp; SF'!B:H, 7, 0)</f>
        <v>1.8806451612903227E-4</v>
      </c>
      <c r="M633" s="7">
        <f t="shared" si="31"/>
        <v>1.8806451612903227E-2</v>
      </c>
      <c r="N633" s="4" t="s">
        <v>825</v>
      </c>
      <c r="O633" s="4">
        <f>VLOOKUP(B633, 'All Menu'!B:L, 6, 0)</f>
        <v>3.146551724137931</v>
      </c>
      <c r="P633" s="6">
        <f>VLOOKUP(B633, 'All Menu'!B:L, 9, 0)</f>
        <v>2.1913177136268009</v>
      </c>
      <c r="Q633" s="14">
        <f>VLOOKUP(B633, 'All Menu'!B:M, 12, 0)</f>
        <v>0.3035812197788797</v>
      </c>
      <c r="R633" s="173">
        <f t="shared" si="32"/>
        <v>0</v>
      </c>
    </row>
    <row r="634" spans="1:18" ht="14" hidden="1">
      <c r="A634" s="78" t="s">
        <v>2575</v>
      </c>
      <c r="B634" s="220" t="s">
        <v>1046</v>
      </c>
      <c r="C634" s="185"/>
      <c r="D634" s="103" t="str">
        <f>VLOOKUP(B634, 'All Menu'!B:M, 4, 0)</f>
        <v>تبولة</v>
      </c>
      <c r="E634" s="30" t="str">
        <f>VLOOKUP(B634, 'All Menu'!B:M, 2, 0)</f>
        <v>قسم الصالة</v>
      </c>
      <c r="F634" s="103" t="str">
        <f>VLOOKUP(B634, 'All Menu'!B:M, 3, 0)</f>
        <v>سلطات صالة</v>
      </c>
      <c r="G634" s="90" t="s">
        <v>2251</v>
      </c>
      <c r="H634" s="188">
        <v>4544</v>
      </c>
      <c r="I634" s="110" t="str">
        <f>VLOOKUP(H634, 'RM &amp; SF'!B:H, 2, 0)</f>
        <v>بقدونس*****</v>
      </c>
      <c r="J634" s="184" t="str">
        <f>VLOOKUP(H634, 'RM &amp; SF'!B:E, 4, 0)</f>
        <v>غم</v>
      </c>
      <c r="K634" s="12">
        <v>12</v>
      </c>
      <c r="L634" s="13">
        <f>VLOOKUP(H634, 'RM &amp; SF'!B:H, 7, 0)</f>
        <v>7.5000000000000002E-4</v>
      </c>
      <c r="M634" s="7">
        <f t="shared" ref="M634:M692" si="45">L634*K634</f>
        <v>9.0000000000000011E-3</v>
      </c>
      <c r="N634" s="4" t="s">
        <v>825</v>
      </c>
      <c r="O634" s="4">
        <f>VLOOKUP(B634, 'All Menu'!B:L, 6, 0)</f>
        <v>2.8017241379310347</v>
      </c>
      <c r="P634" s="6">
        <f>VLOOKUP(B634, 'All Menu'!B:L, 9, 0)</f>
        <v>0.27696159999999997</v>
      </c>
      <c r="Q634" s="14">
        <f>VLOOKUP(B634, 'All Menu'!B:M, 12, 0)</f>
        <v>0.90114601353846158</v>
      </c>
      <c r="R634" s="173">
        <f t="shared" si="32"/>
        <v>0</v>
      </c>
    </row>
    <row r="635" spans="1:18" ht="14" hidden="1">
      <c r="A635" s="78" t="s">
        <v>2575</v>
      </c>
      <c r="B635" s="220" t="s">
        <v>1046</v>
      </c>
      <c r="C635" s="185"/>
      <c r="D635" s="103" t="str">
        <f>VLOOKUP(B635, 'All Menu'!B:M, 4, 0)</f>
        <v>تبولة</v>
      </c>
      <c r="E635" s="30" t="str">
        <f>VLOOKUP(B635, 'All Menu'!B:M, 2, 0)</f>
        <v>قسم الصالة</v>
      </c>
      <c r="F635" s="103" t="str">
        <f>VLOOKUP(B635, 'All Menu'!B:M, 3, 0)</f>
        <v>سلطات صالة</v>
      </c>
      <c r="G635" s="90" t="s">
        <v>2253</v>
      </c>
      <c r="H635" s="188">
        <v>4547</v>
      </c>
      <c r="I635" s="110" t="str">
        <f>VLOOKUP(H635, 'RM &amp; SF'!B:H, 2, 0)</f>
        <v>نعنع*****</v>
      </c>
      <c r="J635" s="184" t="str">
        <f>VLOOKUP(H635, 'RM &amp; SF'!B:E, 4, 0)</f>
        <v>غم</v>
      </c>
      <c r="K635" s="12">
        <v>0.8</v>
      </c>
      <c r="L635" s="13">
        <f>VLOOKUP(H635, 'RM &amp; SF'!B:H, 7, 0)</f>
        <v>7.5000000000000002E-4</v>
      </c>
      <c r="M635" s="7">
        <f t="shared" si="45"/>
        <v>6.0000000000000006E-4</v>
      </c>
      <c r="N635" s="4" t="s">
        <v>825</v>
      </c>
      <c r="O635" s="4">
        <f>VLOOKUP(B635, 'All Menu'!B:L, 6, 0)</f>
        <v>2.8017241379310347</v>
      </c>
      <c r="P635" s="6">
        <f>VLOOKUP(B635, 'All Menu'!B:L, 9, 0)</f>
        <v>0.27696159999999997</v>
      </c>
      <c r="Q635" s="14">
        <f>VLOOKUP(B635, 'All Menu'!B:M, 12, 0)</f>
        <v>0.90114601353846158</v>
      </c>
      <c r="R635" s="173">
        <f t="shared" si="32"/>
        <v>0</v>
      </c>
    </row>
    <row r="636" spans="1:18" ht="14" hidden="1">
      <c r="A636" s="78" t="s">
        <v>2575</v>
      </c>
      <c r="B636" s="220" t="s">
        <v>1046</v>
      </c>
      <c r="C636" s="185"/>
      <c r="D636" s="103" t="str">
        <f>VLOOKUP(B636, 'All Menu'!B:M, 4, 0)</f>
        <v>تبولة</v>
      </c>
      <c r="E636" s="30" t="str">
        <f>VLOOKUP(B636, 'All Menu'!B:M, 2, 0)</f>
        <v>قسم الصالة</v>
      </c>
      <c r="F636" s="103" t="str">
        <f>VLOOKUP(B636, 'All Menu'!B:M, 3, 0)</f>
        <v>سلطات صالة</v>
      </c>
      <c r="G636" s="90" t="s">
        <v>2309</v>
      </c>
      <c r="H636" s="188">
        <v>4491</v>
      </c>
      <c r="I636" s="110" t="str">
        <f>VLOOKUP(H636, 'RM &amp; SF'!B:H, 2, 0)</f>
        <v>بندورة جامدة*****</v>
      </c>
      <c r="J636" s="184" t="str">
        <f>VLOOKUP(H636, 'RM &amp; SF'!B:E, 4, 0)</f>
        <v>غم</v>
      </c>
      <c r="K636" s="12">
        <v>140</v>
      </c>
      <c r="L636" s="13">
        <f>VLOOKUP(H636, 'RM &amp; SF'!B:H, 7, 0)</f>
        <v>5.0000000000000001E-4</v>
      </c>
      <c r="M636" s="7">
        <f t="shared" si="45"/>
        <v>7.0000000000000007E-2</v>
      </c>
      <c r="N636" s="4" t="s">
        <v>825</v>
      </c>
      <c r="O636" s="4">
        <f>VLOOKUP(B636, 'All Menu'!B:L, 6, 0)</f>
        <v>2.8017241379310347</v>
      </c>
      <c r="P636" s="6">
        <f>VLOOKUP(B636, 'All Menu'!B:L, 9, 0)</f>
        <v>0.27696159999999997</v>
      </c>
      <c r="Q636" s="14">
        <f>VLOOKUP(B636, 'All Menu'!B:M, 12, 0)</f>
        <v>0.90114601353846158</v>
      </c>
      <c r="R636" s="173">
        <f t="shared" si="32"/>
        <v>0</v>
      </c>
    </row>
    <row r="637" spans="1:18" ht="14" hidden="1">
      <c r="A637" s="78" t="s">
        <v>2575</v>
      </c>
      <c r="B637" s="220" t="s">
        <v>1046</v>
      </c>
      <c r="C637" s="185"/>
      <c r="D637" s="103" t="str">
        <f>VLOOKUP(B637, 'All Menu'!B:M, 4, 0)</f>
        <v>تبولة</v>
      </c>
      <c r="E637" s="30" t="str">
        <f>VLOOKUP(B637, 'All Menu'!B:M, 2, 0)</f>
        <v>قسم الصالة</v>
      </c>
      <c r="F637" s="103" t="str">
        <f>VLOOKUP(B637, 'All Menu'!B:M, 3, 0)</f>
        <v>سلطات صالة</v>
      </c>
      <c r="G637" s="90" t="s">
        <v>2283</v>
      </c>
      <c r="H637" s="188">
        <v>4139</v>
      </c>
      <c r="I637" s="110" t="str">
        <f>VLOOKUP(H637, 'RM &amp; SF'!B:H, 2, 0)</f>
        <v>برغل ناعم*****</v>
      </c>
      <c r="J637" s="184" t="str">
        <f>VLOOKUP(H637, 'RM &amp; SF'!B:E, 4, 0)</f>
        <v>غم</v>
      </c>
      <c r="K637" s="12">
        <v>15</v>
      </c>
      <c r="L637" s="13">
        <f>VLOOKUP(H637, 'RM &amp; SF'!B:H, 7, 0)</f>
        <v>5.6863999999999992E-4</v>
      </c>
      <c r="M637" s="7">
        <f t="shared" si="45"/>
        <v>8.5295999999999983E-3</v>
      </c>
      <c r="N637" s="4" t="s">
        <v>825</v>
      </c>
      <c r="O637" s="4">
        <f>VLOOKUP(B637, 'All Menu'!B:L, 6, 0)</f>
        <v>2.8017241379310347</v>
      </c>
      <c r="P637" s="6">
        <f>VLOOKUP(B637, 'All Menu'!B:L, 9, 0)</f>
        <v>0.27696159999999997</v>
      </c>
      <c r="Q637" s="14">
        <f>VLOOKUP(B637, 'All Menu'!B:M, 12, 0)</f>
        <v>0.90114601353846158</v>
      </c>
      <c r="R637" s="173">
        <f t="shared" si="32"/>
        <v>0</v>
      </c>
    </row>
    <row r="638" spans="1:18" ht="14" hidden="1">
      <c r="A638" s="78" t="s">
        <v>2575</v>
      </c>
      <c r="B638" s="220" t="s">
        <v>1046</v>
      </c>
      <c r="C638" s="185"/>
      <c r="D638" s="103" t="str">
        <f>VLOOKUP(B638, 'All Menu'!B:M, 4, 0)</f>
        <v>تبولة</v>
      </c>
      <c r="E638" s="30" t="str">
        <f>VLOOKUP(B638, 'All Menu'!B:M, 2, 0)</f>
        <v>قسم الصالة</v>
      </c>
      <c r="F638" s="103" t="str">
        <f>VLOOKUP(B638, 'All Menu'!B:M, 3, 0)</f>
        <v>سلطات صالة</v>
      </c>
      <c r="G638" s="90" t="s">
        <v>2203</v>
      </c>
      <c r="H638" s="188">
        <v>4152</v>
      </c>
      <c r="I638" s="110" t="str">
        <f>VLOOKUP(H638, 'RM &amp; SF'!B:H, 2, 0)</f>
        <v>ملح طعام 750غم*****</v>
      </c>
      <c r="J638" s="184" t="str">
        <f>VLOOKUP(H638, 'RM &amp; SF'!B:E, 4, 0)</f>
        <v>غم</v>
      </c>
      <c r="K638" s="12">
        <v>3</v>
      </c>
      <c r="L638" s="13">
        <f>VLOOKUP(H638, 'RM &amp; SF'!B:H, 7, 0)</f>
        <v>1.7066666666666665E-4</v>
      </c>
      <c r="M638" s="7">
        <f t="shared" si="45"/>
        <v>5.1199999999999998E-4</v>
      </c>
      <c r="N638" s="4" t="s">
        <v>825</v>
      </c>
      <c r="O638" s="4">
        <f>VLOOKUP(B638, 'All Menu'!B:L, 6, 0)</f>
        <v>2.8017241379310347</v>
      </c>
      <c r="P638" s="6">
        <f>VLOOKUP(B638, 'All Menu'!B:L, 9, 0)</f>
        <v>0.27696159999999997</v>
      </c>
      <c r="Q638" s="14">
        <f>VLOOKUP(B638, 'All Menu'!B:M, 12, 0)</f>
        <v>0.90114601353846158</v>
      </c>
      <c r="R638" s="173">
        <f t="shared" si="32"/>
        <v>0</v>
      </c>
    </row>
    <row r="639" spans="1:18" ht="14" hidden="1">
      <c r="A639" s="78" t="s">
        <v>2575</v>
      </c>
      <c r="B639" s="220" t="s">
        <v>1046</v>
      </c>
      <c r="C639" s="185"/>
      <c r="D639" s="103" t="str">
        <f>VLOOKUP(B639, 'All Menu'!B:M, 4, 0)</f>
        <v>تبولة</v>
      </c>
      <c r="E639" s="30" t="str">
        <f>VLOOKUP(B639, 'All Menu'!B:M, 2, 0)</f>
        <v>قسم الصالة</v>
      </c>
      <c r="F639" s="103" t="str">
        <f>VLOOKUP(B639, 'All Menu'!B:M, 3, 0)</f>
        <v>سلطات صالة</v>
      </c>
      <c r="G639" s="90" t="s">
        <v>2255</v>
      </c>
      <c r="H639" s="188">
        <v>4573</v>
      </c>
      <c r="I639" s="110" t="str">
        <f>VLOOKUP(H639, 'RM &amp; SF'!B:H, 2, 0)</f>
        <v>عصير ليمون طازج 2.5 لتر*****</v>
      </c>
      <c r="J639" s="184" t="str">
        <f>VLOOKUP(H639, 'RM &amp; SF'!B:E, 4, 0)</f>
        <v>مل</v>
      </c>
      <c r="K639" s="12">
        <v>30</v>
      </c>
      <c r="L639" s="13">
        <f>VLOOKUP(H639, 'RM &amp; SF'!B:H, 7, 0)</f>
        <v>2.5999999999999999E-3</v>
      </c>
      <c r="M639" s="7">
        <f t="shared" si="45"/>
        <v>7.8E-2</v>
      </c>
      <c r="N639" s="4" t="s">
        <v>825</v>
      </c>
      <c r="O639" s="4">
        <f>VLOOKUP(B639, 'All Menu'!B:L, 6, 0)</f>
        <v>2.8017241379310347</v>
      </c>
      <c r="P639" s="6">
        <f>VLOOKUP(B639, 'All Menu'!B:L, 9, 0)</f>
        <v>0.27696159999999997</v>
      </c>
      <c r="Q639" s="14">
        <f>VLOOKUP(B639, 'All Menu'!B:M, 12, 0)</f>
        <v>0.90114601353846158</v>
      </c>
      <c r="R639" s="173">
        <f t="shared" si="32"/>
        <v>0</v>
      </c>
    </row>
    <row r="640" spans="1:18" ht="14" hidden="1">
      <c r="A640" s="78" t="s">
        <v>2575</v>
      </c>
      <c r="B640" s="220" t="s">
        <v>1046</v>
      </c>
      <c r="C640" s="185"/>
      <c r="D640" s="103" t="str">
        <f>VLOOKUP(B640, 'All Menu'!B:M, 4, 0)</f>
        <v>تبولة</v>
      </c>
      <c r="E640" s="30" t="str">
        <f>VLOOKUP(B640, 'All Menu'!B:M, 2, 0)</f>
        <v>قسم الصالة</v>
      </c>
      <c r="F640" s="103" t="str">
        <f>VLOOKUP(B640, 'All Menu'!B:M, 3, 0)</f>
        <v>سلطات صالة</v>
      </c>
      <c r="G640" s="90" t="s">
        <v>2215</v>
      </c>
      <c r="H640" s="188">
        <v>4224</v>
      </c>
      <c r="I640" s="110" t="str">
        <f>VLOOKUP(H640, 'RM &amp; SF'!B:H, 2, 0)</f>
        <v>سماق*****</v>
      </c>
      <c r="J640" s="184" t="str">
        <f>VLOOKUP(H640, 'RM &amp; SF'!B:E, 4, 0)</f>
        <v>غم</v>
      </c>
      <c r="K640" s="12">
        <v>2</v>
      </c>
      <c r="L640" s="13">
        <f>VLOOKUP(H640, 'RM &amp; SF'!B:H, 7, 0)</f>
        <v>4.3099999999999996E-3</v>
      </c>
      <c r="M640" s="7">
        <f t="shared" si="45"/>
        <v>8.6199999999999992E-3</v>
      </c>
      <c r="N640" s="4" t="s">
        <v>825</v>
      </c>
      <c r="O640" s="4">
        <f>VLOOKUP(B640, 'All Menu'!B:L, 6, 0)</f>
        <v>2.8017241379310347</v>
      </c>
      <c r="P640" s="6">
        <f>VLOOKUP(B640, 'All Menu'!B:L, 9, 0)</f>
        <v>0.27696159999999997</v>
      </c>
      <c r="Q640" s="14">
        <f>VLOOKUP(B640, 'All Menu'!B:M, 12, 0)</f>
        <v>0.90114601353846158</v>
      </c>
      <c r="R640" s="173">
        <f t="shared" si="32"/>
        <v>0</v>
      </c>
    </row>
    <row r="641" spans="1:18" ht="14" hidden="1">
      <c r="A641" s="78" t="s">
        <v>2575</v>
      </c>
      <c r="B641" s="220" t="s">
        <v>1046</v>
      </c>
      <c r="C641" s="185"/>
      <c r="D641" s="103" t="str">
        <f>VLOOKUP(B641, 'All Menu'!B:M, 4, 0)</f>
        <v>تبولة</v>
      </c>
      <c r="E641" s="30" t="str">
        <f>VLOOKUP(B641, 'All Menu'!B:M, 2, 0)</f>
        <v>قسم الصالة</v>
      </c>
      <c r="F641" s="103" t="str">
        <f>VLOOKUP(B641, 'All Menu'!B:M, 3, 0)</f>
        <v>سلطات صالة</v>
      </c>
      <c r="G641" s="90" t="s">
        <v>2357</v>
      </c>
      <c r="H641" s="219" t="s">
        <v>744</v>
      </c>
      <c r="I641" s="110" t="str">
        <f>VLOOKUP(H641, 'RM &amp; SF'!B:H, 2, 0)</f>
        <v>زيت زيتون مكسور</v>
      </c>
      <c r="J641" s="184" t="str">
        <f>VLOOKUP(H641, 'RM &amp; SF'!B:E, 4, 0)</f>
        <v>غم</v>
      </c>
      <c r="K641" s="12">
        <v>30</v>
      </c>
      <c r="L641" s="13">
        <f>VLOOKUP(H641, 'RM &amp; SF'!B:H, 7, 0)</f>
        <v>3.3899999999999998E-3</v>
      </c>
      <c r="M641" s="7">
        <f t="shared" si="45"/>
        <v>0.1017</v>
      </c>
      <c r="N641" s="4" t="s">
        <v>825</v>
      </c>
      <c r="O641" s="4">
        <f>VLOOKUP(B641, 'All Menu'!B:L, 6, 0)</f>
        <v>2.8017241379310347</v>
      </c>
      <c r="P641" s="6">
        <f>VLOOKUP(B641, 'All Menu'!B:L, 9, 0)</f>
        <v>0.27696159999999997</v>
      </c>
      <c r="Q641" s="14">
        <f>VLOOKUP(B641, 'All Menu'!B:M, 12, 0)</f>
        <v>0.90114601353846158</v>
      </c>
      <c r="R641" s="173">
        <f t="shared" ref="R641:R702" si="46">C641*K641</f>
        <v>0</v>
      </c>
    </row>
    <row r="642" spans="1:18" ht="14" hidden="1">
      <c r="A642" s="78" t="s">
        <v>2617</v>
      </c>
      <c r="B642" s="220" t="s">
        <v>1049</v>
      </c>
      <c r="C642" s="185"/>
      <c r="D642" s="103" t="str">
        <f>VLOOKUP(B642, 'All Menu'!B:M, 4, 0)</f>
        <v>ششبرك</v>
      </c>
      <c r="E642" s="30" t="str">
        <f>VLOOKUP(B642, 'All Menu'!B:M, 2, 0)</f>
        <v>قسم الصالة</v>
      </c>
      <c r="F642" s="103" t="str">
        <f>VLOOKUP(B642, 'All Menu'!B:M, 3, 0)</f>
        <v>اطباق اليوم صالة</v>
      </c>
      <c r="G642" s="90" t="s">
        <v>2342</v>
      </c>
      <c r="H642" s="219" t="s">
        <v>708</v>
      </c>
      <c r="I642" s="110" t="str">
        <f>VLOOKUP(H642, 'RM &amp; SF'!B:H, 2, 0)</f>
        <v>ارز بشعيرية</v>
      </c>
      <c r="J642" s="184" t="str">
        <f>VLOOKUP(H642, 'RM &amp; SF'!B:E, 4, 0)</f>
        <v>غم</v>
      </c>
      <c r="K642" s="12">
        <v>500</v>
      </c>
      <c r="L642" s="13">
        <f>VLOOKUP(H642, 'RM &amp; SF'!B:H, 7, 0)</f>
        <v>3.3269616161616159E-4</v>
      </c>
      <c r="M642" s="7">
        <f t="shared" si="45"/>
        <v>0.16634808080808081</v>
      </c>
      <c r="N642" s="4" t="s">
        <v>825</v>
      </c>
      <c r="O642" s="4">
        <f>VLOOKUP(B642, 'All Menu'!B:L, 6, 0)</f>
        <v>4.5258620689655178</v>
      </c>
      <c r="P642" s="6">
        <f>VLOOKUP(B642, 'All Menu'!B:L, 9, 0)</f>
        <v>0.74261713191919199</v>
      </c>
      <c r="Q642" s="14">
        <f>VLOOKUP(B642, 'All Menu'!B:M, 12, 0)</f>
        <v>0.83591697656642616</v>
      </c>
      <c r="R642" s="173">
        <f t="shared" si="46"/>
        <v>0</v>
      </c>
    </row>
    <row r="643" spans="1:18" ht="14" hidden="1">
      <c r="A643" s="78" t="s">
        <v>2617</v>
      </c>
      <c r="B643" s="220" t="s">
        <v>1049</v>
      </c>
      <c r="C643" s="185"/>
      <c r="D643" s="103" t="str">
        <f>VLOOKUP(B643, 'All Menu'!B:M, 4, 0)</f>
        <v>ششبرك</v>
      </c>
      <c r="E643" s="30" t="str">
        <f>VLOOKUP(B643, 'All Menu'!B:M, 2, 0)</f>
        <v>قسم الصالة</v>
      </c>
      <c r="F643" s="103" t="str">
        <f>VLOOKUP(B643, 'All Menu'!B:M, 3, 0)</f>
        <v>اطباق اليوم صالة</v>
      </c>
      <c r="G643" s="90" t="s">
        <v>2423</v>
      </c>
      <c r="H643" s="219" t="s">
        <v>626</v>
      </c>
      <c r="I643" s="110" t="str">
        <f>VLOOKUP(H643, 'RM &amp; SF'!B:H, 2, 0)</f>
        <v>تجهيز شيشبرك</v>
      </c>
      <c r="J643" s="184" t="str">
        <f>VLOOKUP(H643, 'RM &amp; SF'!B:E, 4, 0)</f>
        <v>قطعة</v>
      </c>
      <c r="K643" s="12">
        <v>6</v>
      </c>
      <c r="L643" s="13">
        <f>VLOOKUP(H643, 'RM &amp; SF'!B:H, 7, 0)</f>
        <v>4.7416855555555561E-2</v>
      </c>
      <c r="M643" s="7">
        <f t="shared" si="45"/>
        <v>0.28450113333333338</v>
      </c>
      <c r="N643" s="4" t="s">
        <v>825</v>
      </c>
      <c r="O643" s="4">
        <f>VLOOKUP(B643, 'All Menu'!B:L, 6, 0)</f>
        <v>4.5258620689655178</v>
      </c>
      <c r="P643" s="6">
        <f>VLOOKUP(B643, 'All Menu'!B:L, 9, 0)</f>
        <v>0.74261713191919199</v>
      </c>
      <c r="Q643" s="14">
        <f>VLOOKUP(B643, 'All Menu'!B:M, 12, 0)</f>
        <v>0.83591697656642616</v>
      </c>
      <c r="R643" s="173">
        <f t="shared" si="46"/>
        <v>0</v>
      </c>
    </row>
    <row r="644" spans="1:18" ht="14" hidden="1">
      <c r="A644" s="78" t="s">
        <v>2617</v>
      </c>
      <c r="B644" s="220" t="s">
        <v>1049</v>
      </c>
      <c r="C644" s="185"/>
      <c r="D644" s="103" t="str">
        <f>VLOOKUP(B644, 'All Menu'!B:M, 4, 0)</f>
        <v>ششبرك</v>
      </c>
      <c r="E644" s="30" t="str">
        <f>VLOOKUP(B644, 'All Menu'!B:M, 2, 0)</f>
        <v>قسم الصالة</v>
      </c>
      <c r="F644" s="103" t="str">
        <f>VLOOKUP(B644, 'All Menu'!B:M, 3, 0)</f>
        <v>اطباق اليوم صالة</v>
      </c>
      <c r="G644" s="90" t="s">
        <v>2394</v>
      </c>
      <c r="H644" s="219" t="s">
        <v>588</v>
      </c>
      <c r="I644" s="110" t="str">
        <f>VLOOKUP(H644, 'RM &amp; SF'!B:H, 2, 0)</f>
        <v xml:space="preserve">لبن الكبة </v>
      </c>
      <c r="J644" s="184" t="str">
        <f>VLOOKUP(H644, 'RM &amp; SF'!B:E, 4, 0)</f>
        <v>غم</v>
      </c>
      <c r="K644" s="12">
        <v>400</v>
      </c>
      <c r="L644" s="13">
        <f>VLOOKUP(H644, 'RM &amp; SF'!B:H, 7, 0)</f>
        <v>7.294197944444444E-4</v>
      </c>
      <c r="M644" s="7">
        <f t="shared" si="45"/>
        <v>0.29176791777777777</v>
      </c>
      <c r="N644" s="4" t="s">
        <v>825</v>
      </c>
      <c r="O644" s="4">
        <f>VLOOKUP(B644, 'All Menu'!B:L, 6, 0)</f>
        <v>4.5258620689655178</v>
      </c>
      <c r="P644" s="6">
        <f>VLOOKUP(B644, 'All Menu'!B:L, 9, 0)</f>
        <v>0.74261713191919199</v>
      </c>
      <c r="Q644" s="14">
        <f>VLOOKUP(B644, 'All Menu'!B:M, 12, 0)</f>
        <v>0.83591697656642616</v>
      </c>
      <c r="R644" s="173">
        <f t="shared" si="46"/>
        <v>0</v>
      </c>
    </row>
    <row r="645" spans="1:18" ht="14" hidden="1">
      <c r="A645" s="78" t="s">
        <v>2614</v>
      </c>
      <c r="B645" s="220" t="s">
        <v>1050</v>
      </c>
      <c r="C645" s="185"/>
      <c r="D645" s="103" t="str">
        <f>VLOOKUP(B645, 'All Menu'!B:M, 4, 0)</f>
        <v>الباشا وعساكره</v>
      </c>
      <c r="E645" s="30" t="str">
        <f>VLOOKUP(B645, 'All Menu'!B:M, 2, 0)</f>
        <v>قسم الصالة</v>
      </c>
      <c r="F645" s="103" t="str">
        <f>VLOOKUP(B645, 'All Menu'!B:M, 3, 0)</f>
        <v>اطباق اليوم صالة</v>
      </c>
      <c r="G645" s="90" t="s">
        <v>2407</v>
      </c>
      <c r="H645" s="219" t="s">
        <v>586</v>
      </c>
      <c r="I645" s="110" t="str">
        <f>VLOOKUP(H645, 'RM &amp; SF'!B:H, 2, 0)</f>
        <v xml:space="preserve">كبة لبنية   </v>
      </c>
      <c r="J645" s="184" t="str">
        <f>VLOOKUP(H645, 'RM &amp; SF'!B:E, 4, 0)</f>
        <v>قطعة</v>
      </c>
      <c r="K645" s="12">
        <v>2</v>
      </c>
      <c r="L645" s="13">
        <f>VLOOKUP(H645, 'RM &amp; SF'!B:H, 7, 0)</f>
        <v>0.32143523705263155</v>
      </c>
      <c r="M645" s="7">
        <f t="shared" si="45"/>
        <v>0.6428704741052631</v>
      </c>
      <c r="N645" s="4" t="s">
        <v>825</v>
      </c>
      <c r="O645" s="4">
        <f>VLOOKUP(B645, 'All Menu'!B:L, 6, 0)</f>
        <v>4.9568965517241379</v>
      </c>
      <c r="P645" s="6">
        <f>VLOOKUP(B645, 'All Menu'!B:L, 9, 0)</f>
        <v>1.5768962186742286</v>
      </c>
      <c r="Q645" s="14">
        <f>VLOOKUP(B645, 'All Menu'!B:M, 12, 0)</f>
        <v>0.68187832805876436</v>
      </c>
      <c r="R645" s="173">
        <f t="shared" si="46"/>
        <v>0</v>
      </c>
    </row>
    <row r="646" spans="1:18" ht="14" hidden="1">
      <c r="A646" s="78" t="s">
        <v>2614</v>
      </c>
      <c r="B646" s="220" t="s">
        <v>1050</v>
      </c>
      <c r="C646" s="185"/>
      <c r="D646" s="103" t="str">
        <f>VLOOKUP(B646, 'All Menu'!B:M, 4, 0)</f>
        <v>الباشا وعساكره</v>
      </c>
      <c r="E646" s="30" t="str">
        <f>VLOOKUP(B646, 'All Menu'!B:M, 2, 0)</f>
        <v>قسم الصالة</v>
      </c>
      <c r="F646" s="103" t="str">
        <f>VLOOKUP(B646, 'All Menu'!B:M, 3, 0)</f>
        <v>اطباق اليوم صالة</v>
      </c>
      <c r="G646" s="90" t="s">
        <v>2423</v>
      </c>
      <c r="H646" s="219" t="s">
        <v>626</v>
      </c>
      <c r="I646" s="110" t="str">
        <f>VLOOKUP(H646, 'RM &amp; SF'!B:H, 2, 0)</f>
        <v>تجهيز شيشبرك</v>
      </c>
      <c r="J646" s="184" t="str">
        <f>VLOOKUP(H646, 'RM &amp; SF'!B:E, 4, 0)</f>
        <v>قطعة</v>
      </c>
      <c r="K646" s="12">
        <v>5</v>
      </c>
      <c r="L646" s="13">
        <f>VLOOKUP(H646, 'RM &amp; SF'!B:H, 7, 0)</f>
        <v>4.7416855555555561E-2</v>
      </c>
      <c r="M646" s="7">
        <f t="shared" si="45"/>
        <v>0.2370842777777778</v>
      </c>
      <c r="N646" s="4" t="s">
        <v>825</v>
      </c>
      <c r="O646" s="4">
        <f>VLOOKUP(B646, 'All Menu'!B:L, 6, 0)</f>
        <v>4.9568965517241379</v>
      </c>
      <c r="P646" s="6">
        <f>VLOOKUP(B646, 'All Menu'!B:L, 9, 0)</f>
        <v>1.5768962186742286</v>
      </c>
      <c r="Q646" s="14">
        <f>VLOOKUP(B646, 'All Menu'!B:M, 12, 0)</f>
        <v>0.68187832805876436</v>
      </c>
      <c r="R646" s="173">
        <f t="shared" si="46"/>
        <v>0</v>
      </c>
    </row>
    <row r="647" spans="1:18" ht="14" hidden="1">
      <c r="A647" s="78" t="s">
        <v>2614</v>
      </c>
      <c r="B647" s="220" t="s">
        <v>1050</v>
      </c>
      <c r="C647" s="185"/>
      <c r="D647" s="103" t="str">
        <f>VLOOKUP(B647, 'All Menu'!B:M, 4, 0)</f>
        <v>الباشا وعساكره</v>
      </c>
      <c r="E647" s="30" t="str">
        <f>VLOOKUP(B647, 'All Menu'!B:M, 2, 0)</f>
        <v>قسم الصالة</v>
      </c>
      <c r="F647" s="103" t="str">
        <f>VLOOKUP(B647, 'All Menu'!B:M, 3, 0)</f>
        <v>اطباق اليوم صالة</v>
      </c>
      <c r="G647" s="90" t="s">
        <v>3058</v>
      </c>
      <c r="H647" s="219" t="s">
        <v>3043</v>
      </c>
      <c r="I647" s="110" t="str">
        <f>VLOOKUP(H647, 'RM &amp; SF'!B:H, 2, 0)</f>
        <v>علبة لوز مقلي 25 غرام</v>
      </c>
      <c r="J647" s="184" t="str">
        <f>VLOOKUP(H647, 'RM &amp; SF'!B:E, 4, 0)</f>
        <v>قطعة</v>
      </c>
      <c r="K647" s="12">
        <v>25</v>
      </c>
      <c r="L647" s="13">
        <f>VLOOKUP(H647, 'RM &amp; SF'!B:H, 7, 0)</f>
        <v>1.3723013649425287E-2</v>
      </c>
      <c r="M647" s="7">
        <f t="shared" si="45"/>
        <v>0.34307534123563216</v>
      </c>
      <c r="N647" s="4" t="s">
        <v>825</v>
      </c>
      <c r="O647" s="4">
        <f>VLOOKUP(B647, 'All Menu'!B:L, 6, 0)</f>
        <v>4.9568965517241379</v>
      </c>
      <c r="P647" s="6">
        <f>VLOOKUP(B647, 'All Menu'!B:L, 9, 0)</f>
        <v>1.5768962186742286</v>
      </c>
      <c r="Q647" s="14">
        <f>VLOOKUP(B647, 'All Menu'!B:M, 12, 0)</f>
        <v>0.68187832805876436</v>
      </c>
      <c r="R647" s="173">
        <f t="shared" si="46"/>
        <v>0</v>
      </c>
    </row>
    <row r="648" spans="1:18" ht="14" hidden="1">
      <c r="A648" s="78" t="s">
        <v>2614</v>
      </c>
      <c r="B648" s="220" t="s">
        <v>1050</v>
      </c>
      <c r="C648" s="185"/>
      <c r="D648" s="103" t="str">
        <f>VLOOKUP(B648, 'All Menu'!B:M, 4, 0)</f>
        <v>الباشا وعساكره</v>
      </c>
      <c r="E648" s="30" t="str">
        <f>VLOOKUP(B648, 'All Menu'!B:M, 2, 0)</f>
        <v>قسم الصالة</v>
      </c>
      <c r="F648" s="103" t="str">
        <f>VLOOKUP(B648, 'All Menu'!B:M, 3, 0)</f>
        <v>اطباق اليوم صالة</v>
      </c>
      <c r="G648" s="90" t="s">
        <v>2394</v>
      </c>
      <c r="H648" s="219" t="s">
        <v>588</v>
      </c>
      <c r="I648" s="110" t="str">
        <f>VLOOKUP(H648, 'RM &amp; SF'!B:H, 2, 0)</f>
        <v xml:space="preserve">لبن الكبة </v>
      </c>
      <c r="J648" s="184" t="str">
        <f>VLOOKUP(H648, 'RM &amp; SF'!B:E, 4, 0)</f>
        <v>غم</v>
      </c>
      <c r="K648" s="12">
        <v>200</v>
      </c>
      <c r="L648" s="13">
        <f>VLOOKUP(H648, 'RM &amp; SF'!B:H, 7, 0)</f>
        <v>7.294197944444444E-4</v>
      </c>
      <c r="M648" s="7">
        <f t="shared" si="45"/>
        <v>0.14588395888888889</v>
      </c>
      <c r="N648" s="4" t="s">
        <v>825</v>
      </c>
      <c r="O648" s="4">
        <f>VLOOKUP(B648, 'All Menu'!B:L, 6, 0)</f>
        <v>4.9568965517241379</v>
      </c>
      <c r="P648" s="6">
        <f>VLOOKUP(B648, 'All Menu'!B:L, 9, 0)</f>
        <v>1.5768962186742286</v>
      </c>
      <c r="Q648" s="14">
        <f>VLOOKUP(B648, 'All Menu'!B:M, 12, 0)</f>
        <v>0.68187832805876436</v>
      </c>
      <c r="R648" s="173">
        <f t="shared" si="46"/>
        <v>0</v>
      </c>
    </row>
    <row r="649" spans="1:18" ht="14" hidden="1">
      <c r="A649" s="78" t="s">
        <v>2614</v>
      </c>
      <c r="B649" s="220" t="s">
        <v>1050</v>
      </c>
      <c r="C649" s="185"/>
      <c r="D649" s="103" t="str">
        <f>VLOOKUP(B649, 'All Menu'!B:M, 4, 0)</f>
        <v>الباشا وعساكره</v>
      </c>
      <c r="E649" s="30" t="str">
        <f>VLOOKUP(B649, 'All Menu'!B:M, 2, 0)</f>
        <v>قسم الصالة</v>
      </c>
      <c r="F649" s="103" t="str">
        <f>VLOOKUP(B649, 'All Menu'!B:M, 3, 0)</f>
        <v>اطباق اليوم صالة</v>
      </c>
      <c r="G649" s="90" t="s">
        <v>2390</v>
      </c>
      <c r="H649" s="219" t="s">
        <v>548</v>
      </c>
      <c r="I649" s="110" t="str">
        <f>VLOOKUP(H649, 'RM &amp; SF'!B:H, 2, 0)</f>
        <v>رز ابيض</v>
      </c>
      <c r="J649" s="184" t="str">
        <f>VLOOKUP(H649, 'RM &amp; SF'!B:E, 4, 0)</f>
        <v>غم</v>
      </c>
      <c r="K649" s="12">
        <v>500</v>
      </c>
      <c r="L649" s="13">
        <f>VLOOKUP(H649, 'RM &amp; SF'!B:H, 7, 0)</f>
        <v>4.1596433333333332E-4</v>
      </c>
      <c r="M649" s="7">
        <f t="shared" si="45"/>
        <v>0.20798216666666666</v>
      </c>
      <c r="N649" s="4" t="s">
        <v>825</v>
      </c>
      <c r="O649" s="4">
        <f>VLOOKUP(B649, 'All Menu'!B:L, 6, 0)</f>
        <v>4.9568965517241379</v>
      </c>
      <c r="P649" s="6">
        <f>VLOOKUP(B649, 'All Menu'!B:L, 9, 0)</f>
        <v>1.5768962186742286</v>
      </c>
      <c r="Q649" s="14">
        <f>VLOOKUP(B649, 'All Menu'!B:M, 12, 0)</f>
        <v>0.68187832805876436</v>
      </c>
      <c r="R649" s="173">
        <f t="shared" si="46"/>
        <v>0</v>
      </c>
    </row>
    <row r="650" spans="1:18" ht="14" hidden="1">
      <c r="A650" s="78" t="s">
        <v>2534</v>
      </c>
      <c r="B650" s="220" t="s">
        <v>1051</v>
      </c>
      <c r="C650" s="185"/>
      <c r="D650" s="103" t="str">
        <f>VLOOKUP(B650, 'All Menu'!B:M, 4, 0)</f>
        <v>وجبة شيش فردية</v>
      </c>
      <c r="E650" s="30" t="str">
        <f>VLOOKUP(B650, 'All Menu'!B:M, 2, 0)</f>
        <v>قسم الصالة</v>
      </c>
      <c r="F650" s="103" t="str">
        <f>VLOOKUP(B650, 'All Menu'!B:M, 3, 0)</f>
        <v>المشاوي صالة</v>
      </c>
      <c r="G650" s="90" t="s">
        <v>2456</v>
      </c>
      <c r="H650" s="219" t="s">
        <v>506</v>
      </c>
      <c r="I650" s="110" t="str">
        <f>VLOOKUP(H650, 'RM &amp; SF'!B:H, 2, 0)</f>
        <v>شيش</v>
      </c>
      <c r="J650" s="184" t="str">
        <f>VLOOKUP(H650, 'RM &amp; SF'!B:E, 4, 0)</f>
        <v>غم</v>
      </c>
      <c r="K650" s="12">
        <v>300</v>
      </c>
      <c r="L650" s="13">
        <f>VLOOKUP(H650, 'RM &amp; SF'!B:H, 7, 0)</f>
        <v>4.6721213030918281E-3</v>
      </c>
      <c r="M650" s="7">
        <f t="shared" si="45"/>
        <v>1.4016363909275484</v>
      </c>
      <c r="N650" s="4" t="s">
        <v>825</v>
      </c>
      <c r="O650" s="4">
        <f>VLOOKUP(B650, 'All Menu'!B:L, 6, 0)</f>
        <v>5.1724137931034484</v>
      </c>
      <c r="P650" s="6">
        <f>VLOOKUP(B650, 'All Menu'!B:L, 9, 0)</f>
        <v>1.5378015547563235</v>
      </c>
      <c r="Q650" s="14">
        <f>VLOOKUP(B650, 'All Menu'!B:M, 12, 0)</f>
        <v>0.70269169941377752</v>
      </c>
      <c r="R650" s="173">
        <f t="shared" si="46"/>
        <v>0</v>
      </c>
    </row>
    <row r="651" spans="1:18" ht="14" hidden="1">
      <c r="A651" s="78" t="s">
        <v>2534</v>
      </c>
      <c r="B651" s="220" t="s">
        <v>1051</v>
      </c>
      <c r="C651" s="185"/>
      <c r="D651" s="103" t="str">
        <f>VLOOKUP(B651, 'All Menu'!B:M, 4, 0)</f>
        <v>وجبة شيش فردية</v>
      </c>
      <c r="E651" s="30" t="str">
        <f>VLOOKUP(B651, 'All Menu'!B:M, 2, 0)</f>
        <v>قسم الصالة</v>
      </c>
      <c r="F651" s="103" t="str">
        <f>VLOOKUP(B651, 'All Menu'!B:M, 3, 0)</f>
        <v>المشاوي صالة</v>
      </c>
      <c r="G651" s="90" t="s">
        <v>2257</v>
      </c>
      <c r="H651" s="188">
        <v>5281</v>
      </c>
      <c r="I651" s="110" t="str">
        <f>VLOOKUP(H651, 'RM &amp; SF'!B:H, 2, 0)</f>
        <v>بندوره مشاوي</v>
      </c>
      <c r="J651" s="184" t="str">
        <f>VLOOKUP(H651, 'RM &amp; SF'!B:E, 4, 0)</f>
        <v>غم</v>
      </c>
      <c r="K651" s="12">
        <v>75</v>
      </c>
      <c r="L651" s="13">
        <f>VLOOKUP(H651, 'RM &amp; SF'!B:H, 7, 0)</f>
        <v>4.0000000000000002E-4</v>
      </c>
      <c r="M651" s="7">
        <f t="shared" si="45"/>
        <v>3.0000000000000002E-2</v>
      </c>
      <c r="N651" s="4" t="s">
        <v>825</v>
      </c>
      <c r="O651" s="4">
        <f>VLOOKUP(B651, 'All Menu'!B:L, 6, 0)</f>
        <v>5.1724137931034484</v>
      </c>
      <c r="P651" s="6">
        <f>VLOOKUP(B651, 'All Menu'!B:L, 9, 0)</f>
        <v>1.5378015547563235</v>
      </c>
      <c r="Q651" s="14">
        <f>VLOOKUP(B651, 'All Menu'!B:M, 12, 0)</f>
        <v>0.70269169941377752</v>
      </c>
      <c r="R651" s="173">
        <f t="shared" si="46"/>
        <v>0</v>
      </c>
    </row>
    <row r="652" spans="1:18" ht="14" hidden="1">
      <c r="A652" s="78" t="s">
        <v>2534</v>
      </c>
      <c r="B652" s="220" t="s">
        <v>1051</v>
      </c>
      <c r="C652" s="185"/>
      <c r="D652" s="103" t="str">
        <f>VLOOKUP(B652, 'All Menu'!B:M, 4, 0)</f>
        <v>وجبة شيش فردية</v>
      </c>
      <c r="E652" s="30" t="str">
        <f>VLOOKUP(B652, 'All Menu'!B:M, 2, 0)</f>
        <v>قسم الصالة</v>
      </c>
      <c r="F652" s="103" t="str">
        <f>VLOOKUP(B652, 'All Menu'!B:M, 3, 0)</f>
        <v>المشاوي صالة</v>
      </c>
      <c r="G652" s="90" t="s">
        <v>2235</v>
      </c>
      <c r="H652" s="188">
        <v>4504</v>
      </c>
      <c r="I652" s="110" t="str">
        <f>VLOOKUP(H652, 'RM &amp; SF'!B:H, 2, 0)</f>
        <v>بصل مشاوي (بصل بيبي)***</v>
      </c>
      <c r="J652" s="184" t="str">
        <f>VLOOKUP(H652, 'RM &amp; SF'!B:E, 4, 0)</f>
        <v>غم</v>
      </c>
      <c r="K652" s="12">
        <v>75</v>
      </c>
      <c r="L652" s="13">
        <f>VLOOKUP(H652, 'RM &amp; SF'!B:H, 7, 0)</f>
        <v>3.5E-4</v>
      </c>
      <c r="M652" s="7">
        <f t="shared" si="45"/>
        <v>2.6249999999999999E-2</v>
      </c>
      <c r="N652" s="4" t="s">
        <v>825</v>
      </c>
      <c r="O652" s="4">
        <f>VLOOKUP(B652, 'All Menu'!B:L, 6, 0)</f>
        <v>5.1724137931034484</v>
      </c>
      <c r="P652" s="6">
        <f>VLOOKUP(B652, 'All Menu'!B:L, 9, 0)</f>
        <v>1.5378015547563235</v>
      </c>
      <c r="Q652" s="14">
        <f>VLOOKUP(B652, 'All Menu'!B:M, 12, 0)</f>
        <v>0.70269169941377752</v>
      </c>
      <c r="R652" s="173">
        <f t="shared" si="46"/>
        <v>0</v>
      </c>
    </row>
    <row r="653" spans="1:18" ht="14" hidden="1">
      <c r="A653" s="78" t="s">
        <v>2534</v>
      </c>
      <c r="B653" s="220" t="s">
        <v>1051</v>
      </c>
      <c r="C653" s="185"/>
      <c r="D653" s="103" t="str">
        <f>VLOOKUP(B653, 'All Menu'!B:M, 4, 0)</f>
        <v>وجبة شيش فردية</v>
      </c>
      <c r="E653" s="30" t="str">
        <f>VLOOKUP(B653, 'All Menu'!B:M, 2, 0)</f>
        <v>قسم الصالة</v>
      </c>
      <c r="F653" s="103" t="str">
        <f>VLOOKUP(B653, 'All Menu'!B:M, 3, 0)</f>
        <v>المشاوي صالة</v>
      </c>
      <c r="G653" s="90" t="s">
        <v>2396</v>
      </c>
      <c r="H653" s="219" t="s">
        <v>582</v>
      </c>
      <c r="I653" s="110" t="str">
        <f>VLOOKUP(H653, 'RM &amp; SF'!B:H, 2, 0)</f>
        <v>بيواز</v>
      </c>
      <c r="J653" s="184" t="str">
        <f>VLOOKUP(H653, 'RM &amp; SF'!B:E, 4, 0)</f>
        <v>غم</v>
      </c>
      <c r="K653" s="12">
        <v>50</v>
      </c>
      <c r="L653" s="13">
        <f>VLOOKUP(H653, 'RM &amp; SF'!B:H, 7, 0)</f>
        <v>2.0666065869244635E-4</v>
      </c>
      <c r="M653" s="7">
        <f t="shared" si="45"/>
        <v>1.0333032934622318E-2</v>
      </c>
      <c r="N653" s="4" t="s">
        <v>825</v>
      </c>
      <c r="O653" s="4">
        <f>VLOOKUP(B653, 'All Menu'!B:L, 6, 0)</f>
        <v>5.1724137931034484</v>
      </c>
      <c r="P653" s="6">
        <f>VLOOKUP(B653, 'All Menu'!B:L, 9, 0)</f>
        <v>1.5378015547563235</v>
      </c>
      <c r="Q653" s="14">
        <f>VLOOKUP(B653, 'All Menu'!B:M, 12, 0)</f>
        <v>0.70269169941377752</v>
      </c>
      <c r="R653" s="173">
        <f t="shared" si="46"/>
        <v>0</v>
      </c>
    </row>
    <row r="654" spans="1:18" ht="14" hidden="1">
      <c r="A654" s="78" t="s">
        <v>2534</v>
      </c>
      <c r="B654" s="220" t="s">
        <v>1051</v>
      </c>
      <c r="C654" s="185"/>
      <c r="D654" s="103" t="str">
        <f>VLOOKUP(B654, 'All Menu'!B:M, 4, 0)</f>
        <v>وجبة شيش فردية</v>
      </c>
      <c r="E654" s="30" t="str">
        <f>VLOOKUP(B654, 'All Menu'!B:M, 2, 0)</f>
        <v>قسم الصالة</v>
      </c>
      <c r="F654" s="103" t="str">
        <f>VLOOKUP(B654, 'All Menu'!B:M, 3, 0)</f>
        <v>المشاوي صالة</v>
      </c>
      <c r="G654" s="90" t="s">
        <v>2325</v>
      </c>
      <c r="H654" s="219" t="s">
        <v>534</v>
      </c>
      <c r="I654" s="110" t="str">
        <f>VLOOKUP(H654, 'RM &amp; SF'!B:H, 2, 0)</f>
        <v>مثومه</v>
      </c>
      <c r="J654" s="184" t="str">
        <f>VLOOKUP(H654, 'RM &amp; SF'!B:E, 4, 0)</f>
        <v>غم</v>
      </c>
      <c r="K654" s="12">
        <v>30</v>
      </c>
      <c r="L654" s="13">
        <f>VLOOKUP(H654, 'RM &amp; SF'!B:H, 7, 0)</f>
        <v>6.6564092227821051E-4</v>
      </c>
      <c r="M654" s="7">
        <f t="shared" si="45"/>
        <v>1.9969227668346315E-2</v>
      </c>
      <c r="N654" s="4" t="s">
        <v>825</v>
      </c>
      <c r="O654" s="4">
        <f>VLOOKUP(B654, 'All Menu'!B:L, 6, 0)</f>
        <v>5.1724137931034484</v>
      </c>
      <c r="P654" s="6">
        <f>VLOOKUP(B654, 'All Menu'!B:L, 9, 0)</f>
        <v>1.5378015547563235</v>
      </c>
      <c r="Q654" s="14">
        <f>VLOOKUP(B654, 'All Menu'!B:M, 12, 0)</f>
        <v>0.70269169941377752</v>
      </c>
      <c r="R654" s="173">
        <f t="shared" si="46"/>
        <v>0</v>
      </c>
    </row>
    <row r="655" spans="1:18" ht="14" hidden="1">
      <c r="A655" s="78" t="s">
        <v>2534</v>
      </c>
      <c r="B655" s="220" t="s">
        <v>1051</v>
      </c>
      <c r="C655" s="185"/>
      <c r="D655" s="103" t="str">
        <f>VLOOKUP(B655, 'All Menu'!B:M, 4, 0)</f>
        <v>وجبة شيش فردية</v>
      </c>
      <c r="E655" s="30" t="str">
        <f>VLOOKUP(B655, 'All Menu'!B:M, 2, 0)</f>
        <v>قسم الصالة</v>
      </c>
      <c r="F655" s="103" t="str">
        <f>VLOOKUP(B655, 'All Menu'!B:M, 3, 0)</f>
        <v>المشاوي صالة</v>
      </c>
      <c r="G655" s="90" t="s">
        <v>3058</v>
      </c>
      <c r="H655" s="188">
        <v>4289</v>
      </c>
      <c r="I655" s="110" t="str">
        <f>VLOOKUP(H655, 'RM &amp; SF'!B:H, 2, 0)</f>
        <v>علب صوص دائري منفصل أسود 30 مل 1*100 حبة*****</v>
      </c>
      <c r="J655" s="184" t="str">
        <f>VLOOKUP(H655, 'RM &amp; SF'!B:E, 4, 0)</f>
        <v>قطعة</v>
      </c>
      <c r="K655" s="12">
        <v>1</v>
      </c>
      <c r="L655" s="13">
        <f>VLOOKUP(H655, 'RM &amp; SF'!B:H, 7, 0)</f>
        <v>1.2E-2</v>
      </c>
      <c r="M655" s="7">
        <f t="shared" si="45"/>
        <v>1.2E-2</v>
      </c>
      <c r="N655" s="4" t="s">
        <v>825</v>
      </c>
      <c r="O655" s="4">
        <f>VLOOKUP(B655, 'All Menu'!B:L, 6, 0)</f>
        <v>5.1724137931034484</v>
      </c>
      <c r="P655" s="6">
        <f>VLOOKUP(B655, 'All Menu'!B:L, 9, 0)</f>
        <v>1.5378015547563235</v>
      </c>
      <c r="Q655" s="14">
        <f>VLOOKUP(B655, 'All Menu'!B:M, 12, 0)</f>
        <v>0.70269169941377752</v>
      </c>
      <c r="R655" s="173">
        <f t="shared" si="46"/>
        <v>0</v>
      </c>
    </row>
    <row r="656" spans="1:18" ht="14" hidden="1">
      <c r="A656" s="78" t="s">
        <v>2534</v>
      </c>
      <c r="B656" s="220" t="s">
        <v>1051</v>
      </c>
      <c r="C656" s="185"/>
      <c r="D656" s="103" t="str">
        <f>VLOOKUP(B656, 'All Menu'!B:M, 4, 0)</f>
        <v>وجبة شيش فردية</v>
      </c>
      <c r="E656" s="30" t="str">
        <f>VLOOKUP(B656, 'All Menu'!B:M, 2, 0)</f>
        <v>قسم الصالة</v>
      </c>
      <c r="F656" s="103" t="str">
        <f>VLOOKUP(B656, 'All Menu'!B:M, 3, 0)</f>
        <v>المشاوي صالة</v>
      </c>
      <c r="G656" s="90" t="s">
        <v>2331</v>
      </c>
      <c r="H656" s="219" t="s">
        <v>530</v>
      </c>
      <c r="I656" s="110" t="str">
        <f>VLOOKUP(H656, 'RM &amp; SF'!B:H, 2, 0)</f>
        <v>خبز صاج</v>
      </c>
      <c r="J656" s="184" t="str">
        <f>VLOOKUP(H656, 'RM &amp; SF'!B:E, 4, 0)</f>
        <v>غم</v>
      </c>
      <c r="K656" s="12">
        <v>200</v>
      </c>
      <c r="L656" s="13">
        <f>VLOOKUP(H656, 'RM &amp; SF'!B:H, 7, 0)</f>
        <v>1.8806451612903227E-4</v>
      </c>
      <c r="M656" s="7">
        <f t="shared" si="45"/>
        <v>3.7612903225806453E-2</v>
      </c>
      <c r="N656" s="4" t="s">
        <v>825</v>
      </c>
      <c r="O656" s="4">
        <f>VLOOKUP(B656, 'All Menu'!B:L, 6, 0)</f>
        <v>5.1724137931034484</v>
      </c>
      <c r="P656" s="6">
        <f>VLOOKUP(B656, 'All Menu'!B:L, 9, 0)</f>
        <v>1.5378015547563235</v>
      </c>
      <c r="Q656" s="14">
        <f>VLOOKUP(B656, 'All Menu'!B:M, 12, 0)</f>
        <v>0.70269169941377752</v>
      </c>
      <c r="R656" s="173">
        <f t="shared" si="46"/>
        <v>0</v>
      </c>
    </row>
    <row r="657" spans="1:18" ht="14" hidden="1">
      <c r="A657" s="78" t="s">
        <v>2533</v>
      </c>
      <c r="B657" s="220" t="s">
        <v>1052</v>
      </c>
      <c r="C657" s="185"/>
      <c r="D657" s="103" t="str">
        <f>VLOOKUP(B657, 'All Menu'!B:M, 4, 0)</f>
        <v>وجبة كباب فردية</v>
      </c>
      <c r="E657" s="30" t="str">
        <f>VLOOKUP(B657, 'All Menu'!B:M, 2, 0)</f>
        <v>قسم الصالة</v>
      </c>
      <c r="F657" s="103" t="str">
        <f>VLOOKUP(B657, 'All Menu'!B:M, 3, 0)</f>
        <v>المشاوي صالة</v>
      </c>
      <c r="G657" s="90" t="s">
        <v>2453</v>
      </c>
      <c r="H657" s="219" t="s">
        <v>536</v>
      </c>
      <c r="I657" s="110" t="str">
        <f>VLOOKUP(H657, 'RM &amp; SF'!B:H, 2, 0)</f>
        <v>كباب</v>
      </c>
      <c r="J657" s="184" t="str">
        <f>VLOOKUP(H657, 'RM &amp; SF'!B:E, 4, 0)</f>
        <v>غم</v>
      </c>
      <c r="K657" s="12">
        <v>300</v>
      </c>
      <c r="L657" s="13">
        <f>VLOOKUP(H657, 'RM &amp; SF'!B:H, 7, 0)</f>
        <v>1.1636090242685134E-2</v>
      </c>
      <c r="M657" s="7">
        <f t="shared" si="45"/>
        <v>3.4908270728055402</v>
      </c>
      <c r="N657" s="4" t="s">
        <v>825</v>
      </c>
      <c r="O657" s="4">
        <f>VLOOKUP(B657, 'All Menu'!B:L, 6, 0)</f>
        <v>6.2931034482758621</v>
      </c>
      <c r="P657" s="6">
        <f>VLOOKUP(B657, 'All Menu'!B:L, 9, 0)</f>
        <v>3.6395480382699978</v>
      </c>
      <c r="Q657" s="14">
        <f>VLOOKUP(B657, 'All Menu'!B:M, 12, 0)</f>
        <v>0.42166085967216471</v>
      </c>
      <c r="R657" s="173">
        <f t="shared" si="46"/>
        <v>0</v>
      </c>
    </row>
    <row r="658" spans="1:18" ht="14" hidden="1">
      <c r="A658" s="78" t="s">
        <v>2533</v>
      </c>
      <c r="B658" s="220" t="s">
        <v>1052</v>
      </c>
      <c r="C658" s="185"/>
      <c r="D658" s="103" t="str">
        <f>VLOOKUP(B658, 'All Menu'!B:M, 4, 0)</f>
        <v>وجبة كباب فردية</v>
      </c>
      <c r="E658" s="30" t="str">
        <f>VLOOKUP(B658, 'All Menu'!B:M, 2, 0)</f>
        <v>قسم الصالة</v>
      </c>
      <c r="F658" s="103" t="str">
        <f>VLOOKUP(B658, 'All Menu'!B:M, 3, 0)</f>
        <v>المشاوي صالة</v>
      </c>
      <c r="G658" s="90" t="s">
        <v>2257</v>
      </c>
      <c r="H658" s="188">
        <v>5281</v>
      </c>
      <c r="I658" s="110" t="str">
        <f>VLOOKUP(H658, 'RM &amp; SF'!B:H, 2, 0)</f>
        <v>بندوره مشاوي</v>
      </c>
      <c r="J658" s="184" t="str">
        <f>VLOOKUP(H658, 'RM &amp; SF'!B:E, 4, 0)</f>
        <v>غم</v>
      </c>
      <c r="K658" s="12">
        <v>75</v>
      </c>
      <c r="L658" s="13">
        <f>VLOOKUP(H658, 'RM &amp; SF'!B:H, 7, 0)</f>
        <v>4.0000000000000002E-4</v>
      </c>
      <c r="M658" s="7">
        <f t="shared" si="45"/>
        <v>3.0000000000000002E-2</v>
      </c>
      <c r="N658" s="4" t="s">
        <v>825</v>
      </c>
      <c r="O658" s="4">
        <f>VLOOKUP(B658, 'All Menu'!B:L, 6, 0)</f>
        <v>6.2931034482758621</v>
      </c>
      <c r="P658" s="6">
        <f>VLOOKUP(B658, 'All Menu'!B:L, 9, 0)</f>
        <v>3.6395480382699978</v>
      </c>
      <c r="Q658" s="14">
        <f>VLOOKUP(B658, 'All Menu'!B:M, 12, 0)</f>
        <v>0.42166085967216471</v>
      </c>
      <c r="R658" s="173">
        <f t="shared" si="46"/>
        <v>0</v>
      </c>
    </row>
    <row r="659" spans="1:18" ht="14" hidden="1">
      <c r="A659" s="78" t="s">
        <v>2533</v>
      </c>
      <c r="B659" s="220" t="s">
        <v>1052</v>
      </c>
      <c r="C659" s="185"/>
      <c r="D659" s="103" t="str">
        <f>VLOOKUP(B659, 'All Menu'!B:M, 4, 0)</f>
        <v>وجبة كباب فردية</v>
      </c>
      <c r="E659" s="30" t="str">
        <f>VLOOKUP(B659, 'All Menu'!B:M, 2, 0)</f>
        <v>قسم الصالة</v>
      </c>
      <c r="F659" s="103" t="str">
        <f>VLOOKUP(B659, 'All Menu'!B:M, 3, 0)</f>
        <v>المشاوي صالة</v>
      </c>
      <c r="G659" s="90" t="s">
        <v>2235</v>
      </c>
      <c r="H659" s="188">
        <v>4504</v>
      </c>
      <c r="I659" s="110" t="str">
        <f>VLOOKUP(H659, 'RM &amp; SF'!B:H, 2, 0)</f>
        <v>بصل مشاوي (بصل بيبي)***</v>
      </c>
      <c r="J659" s="184" t="str">
        <f>VLOOKUP(H659, 'RM &amp; SF'!B:E, 4, 0)</f>
        <v>غم</v>
      </c>
      <c r="K659" s="12">
        <v>75</v>
      </c>
      <c r="L659" s="13">
        <f>VLOOKUP(H659, 'RM &amp; SF'!B:H, 7, 0)</f>
        <v>3.5E-4</v>
      </c>
      <c r="M659" s="7">
        <f t="shared" si="45"/>
        <v>2.6249999999999999E-2</v>
      </c>
      <c r="N659" s="4" t="s">
        <v>825</v>
      </c>
      <c r="O659" s="4">
        <f>VLOOKUP(B659, 'All Menu'!B:L, 6, 0)</f>
        <v>6.2931034482758621</v>
      </c>
      <c r="P659" s="6">
        <f>VLOOKUP(B659, 'All Menu'!B:L, 9, 0)</f>
        <v>3.6395480382699978</v>
      </c>
      <c r="Q659" s="14">
        <f>VLOOKUP(B659, 'All Menu'!B:M, 12, 0)</f>
        <v>0.42166085967216471</v>
      </c>
      <c r="R659" s="173">
        <f t="shared" si="46"/>
        <v>0</v>
      </c>
    </row>
    <row r="660" spans="1:18" ht="14" hidden="1">
      <c r="A660" s="78" t="s">
        <v>2533</v>
      </c>
      <c r="B660" s="220" t="s">
        <v>1052</v>
      </c>
      <c r="C660" s="185"/>
      <c r="D660" s="103" t="str">
        <f>VLOOKUP(B660, 'All Menu'!B:M, 4, 0)</f>
        <v>وجبة كباب فردية</v>
      </c>
      <c r="E660" s="30" t="str">
        <f>VLOOKUP(B660, 'All Menu'!B:M, 2, 0)</f>
        <v>قسم الصالة</v>
      </c>
      <c r="F660" s="103" t="str">
        <f>VLOOKUP(B660, 'All Menu'!B:M, 3, 0)</f>
        <v>المشاوي صالة</v>
      </c>
      <c r="G660" s="90" t="s">
        <v>2396</v>
      </c>
      <c r="H660" s="219" t="s">
        <v>582</v>
      </c>
      <c r="I660" s="110" t="str">
        <f>VLOOKUP(H660, 'RM &amp; SF'!B:H, 2, 0)</f>
        <v>بيواز</v>
      </c>
      <c r="J660" s="184" t="str">
        <f>VLOOKUP(H660, 'RM &amp; SF'!B:E, 4, 0)</f>
        <v>غم</v>
      </c>
      <c r="K660" s="12">
        <v>50</v>
      </c>
      <c r="L660" s="13">
        <f>VLOOKUP(H660, 'RM &amp; SF'!B:H, 7, 0)</f>
        <v>2.0666065869244635E-4</v>
      </c>
      <c r="M660" s="7">
        <f t="shared" si="45"/>
        <v>1.0333032934622318E-2</v>
      </c>
      <c r="N660" s="4" t="s">
        <v>825</v>
      </c>
      <c r="O660" s="4">
        <f>VLOOKUP(B660, 'All Menu'!B:L, 6, 0)</f>
        <v>6.2931034482758621</v>
      </c>
      <c r="P660" s="6">
        <f>VLOOKUP(B660, 'All Menu'!B:L, 9, 0)</f>
        <v>3.6395480382699978</v>
      </c>
      <c r="Q660" s="14">
        <f>VLOOKUP(B660, 'All Menu'!B:M, 12, 0)</f>
        <v>0.42166085967216471</v>
      </c>
      <c r="R660" s="173">
        <f t="shared" si="46"/>
        <v>0</v>
      </c>
    </row>
    <row r="661" spans="1:18" ht="14" hidden="1">
      <c r="A661" s="78" t="s">
        <v>2533</v>
      </c>
      <c r="B661" s="220" t="s">
        <v>1052</v>
      </c>
      <c r="C661" s="185"/>
      <c r="D661" s="103" t="str">
        <f>VLOOKUP(B661, 'All Menu'!B:M, 4, 0)</f>
        <v>وجبة كباب فردية</v>
      </c>
      <c r="E661" s="30" t="str">
        <f>VLOOKUP(B661, 'All Menu'!B:M, 2, 0)</f>
        <v>قسم الصالة</v>
      </c>
      <c r="F661" s="103" t="str">
        <f>VLOOKUP(B661, 'All Menu'!B:M, 3, 0)</f>
        <v>المشاوي صالة</v>
      </c>
      <c r="G661" s="90" t="s">
        <v>2331</v>
      </c>
      <c r="H661" s="219" t="s">
        <v>530</v>
      </c>
      <c r="I661" s="110" t="str">
        <f>VLOOKUP(H661, 'RM &amp; SF'!B:H, 2, 0)</f>
        <v>خبز صاج</v>
      </c>
      <c r="J661" s="184" t="str">
        <f>VLOOKUP(H661, 'RM &amp; SF'!B:E, 4, 0)</f>
        <v>غم</v>
      </c>
      <c r="K661" s="12">
        <v>200</v>
      </c>
      <c r="L661" s="13">
        <f>VLOOKUP(H661, 'RM &amp; SF'!B:H, 7, 0)</f>
        <v>1.8806451612903227E-4</v>
      </c>
      <c r="M661" s="7">
        <f t="shared" si="45"/>
        <v>3.7612903225806453E-2</v>
      </c>
      <c r="N661" s="4" t="s">
        <v>825</v>
      </c>
      <c r="O661" s="4">
        <f>VLOOKUP(B661, 'All Menu'!B:L, 6, 0)</f>
        <v>6.2931034482758621</v>
      </c>
      <c r="P661" s="6">
        <f>VLOOKUP(B661, 'All Menu'!B:L, 9, 0)</f>
        <v>3.6395480382699978</v>
      </c>
      <c r="Q661" s="14">
        <f>VLOOKUP(B661, 'All Menu'!B:M, 12, 0)</f>
        <v>0.42166085967216471</v>
      </c>
      <c r="R661" s="173">
        <f t="shared" si="46"/>
        <v>0</v>
      </c>
    </row>
    <row r="662" spans="1:18" ht="14" hidden="1">
      <c r="A662" s="78" t="s">
        <v>2533</v>
      </c>
      <c r="B662" s="220" t="s">
        <v>1052</v>
      </c>
      <c r="C662" s="185"/>
      <c r="D662" s="103" t="str">
        <f>VLOOKUP(B662, 'All Menu'!B:M, 4, 0)</f>
        <v>وجبة كباب فردية</v>
      </c>
      <c r="E662" s="30" t="str">
        <f>VLOOKUP(B662, 'All Menu'!B:M, 2, 0)</f>
        <v>قسم الصالة</v>
      </c>
      <c r="F662" s="103" t="str">
        <f>VLOOKUP(B662, 'All Menu'!B:M, 3, 0)</f>
        <v>المشاوي صالة</v>
      </c>
      <c r="G662" s="90" t="s">
        <v>2397</v>
      </c>
      <c r="H662" s="219" t="s">
        <v>580</v>
      </c>
      <c r="I662" s="110" t="str">
        <f>VLOOKUP(H662, 'RM &amp; SF'!B:H, 2, 0)</f>
        <v>طحينة مشاوي</v>
      </c>
      <c r="J662" s="184" t="str">
        <f>VLOOKUP(H662, 'RM &amp; SF'!B:E, 4, 0)</f>
        <v>غم</v>
      </c>
      <c r="K662" s="12">
        <v>30</v>
      </c>
      <c r="L662" s="13">
        <f>VLOOKUP(H662, 'RM &amp; SF'!B:H, 7, 0)</f>
        <v>1.0841676434676436E-3</v>
      </c>
      <c r="M662" s="7">
        <f t="shared" si="45"/>
        <v>3.2525029304029306E-2</v>
      </c>
      <c r="N662" s="4" t="s">
        <v>825</v>
      </c>
      <c r="O662" s="4">
        <f>VLOOKUP(B662, 'All Menu'!B:L, 6, 0)</f>
        <v>6.2931034482758621</v>
      </c>
      <c r="P662" s="6">
        <f>VLOOKUP(B662, 'All Menu'!B:L, 9, 0)</f>
        <v>3.6395480382699978</v>
      </c>
      <c r="Q662" s="14">
        <f>VLOOKUP(B662, 'All Menu'!B:M, 12, 0)</f>
        <v>0.42166085967216471</v>
      </c>
      <c r="R662" s="173">
        <f t="shared" si="46"/>
        <v>0</v>
      </c>
    </row>
    <row r="663" spans="1:18" ht="14" hidden="1">
      <c r="A663" s="78" t="s">
        <v>2533</v>
      </c>
      <c r="B663" s="220" t="s">
        <v>1052</v>
      </c>
      <c r="C663" s="185"/>
      <c r="D663" s="103" t="str">
        <f>VLOOKUP(B663, 'All Menu'!B:M, 4, 0)</f>
        <v>وجبة كباب فردية</v>
      </c>
      <c r="E663" s="30" t="str">
        <f>VLOOKUP(B663, 'All Menu'!B:M, 2, 0)</f>
        <v>قسم الصالة</v>
      </c>
      <c r="F663" s="103" t="str">
        <f>VLOOKUP(B663, 'All Menu'!B:M, 3, 0)</f>
        <v>المشاوي صالة</v>
      </c>
      <c r="G663" s="90" t="s">
        <v>3058</v>
      </c>
      <c r="H663" s="188">
        <v>4289</v>
      </c>
      <c r="I663" s="110" t="str">
        <f>VLOOKUP(H663, 'RM &amp; SF'!B:H, 2, 0)</f>
        <v>علب صوص دائري منفصل أسود 30 مل 1*100 حبة*****</v>
      </c>
      <c r="J663" s="184" t="str">
        <f>VLOOKUP(H663, 'RM &amp; SF'!B:E, 4, 0)</f>
        <v>قطعة</v>
      </c>
      <c r="K663" s="12">
        <v>1</v>
      </c>
      <c r="L663" s="13">
        <f>VLOOKUP(H663, 'RM &amp; SF'!B:H, 7, 0)</f>
        <v>1.2E-2</v>
      </c>
      <c r="M663" s="7">
        <f t="shared" si="45"/>
        <v>1.2E-2</v>
      </c>
      <c r="N663" s="4" t="s">
        <v>825</v>
      </c>
      <c r="O663" s="4">
        <f>VLOOKUP(B663, 'All Menu'!B:L, 6, 0)</f>
        <v>6.2931034482758621</v>
      </c>
      <c r="P663" s="6">
        <f>VLOOKUP(B663, 'All Menu'!B:L, 9, 0)</f>
        <v>3.6395480382699978</v>
      </c>
      <c r="Q663" s="14">
        <f>VLOOKUP(B663, 'All Menu'!B:M, 12, 0)</f>
        <v>0.42166085967216471</v>
      </c>
      <c r="R663" s="173">
        <f t="shared" si="46"/>
        <v>0</v>
      </c>
    </row>
    <row r="664" spans="1:18" ht="14" hidden="1">
      <c r="A664" s="78" t="s">
        <v>2535</v>
      </c>
      <c r="B664" s="220" t="s">
        <v>1053</v>
      </c>
      <c r="C664" s="185"/>
      <c r="D664" s="103" t="str">
        <f>VLOOKUP(B664, 'All Menu'!B:M, 4, 0)</f>
        <v>وجبة مشاوي فردي</v>
      </c>
      <c r="E664" s="30" t="str">
        <f>VLOOKUP(B664, 'All Menu'!B:M, 2, 0)</f>
        <v>قسم الصالة</v>
      </c>
      <c r="F664" s="103" t="str">
        <f>VLOOKUP(B664, 'All Menu'!B:M, 3, 0)</f>
        <v>المشاوي صالة</v>
      </c>
      <c r="G664" s="90" t="s">
        <v>2452</v>
      </c>
      <c r="H664" s="219" t="s">
        <v>528</v>
      </c>
      <c r="I664" s="110" t="str">
        <f>VLOOKUP(H664, 'RM &amp; SF'!B:H, 2, 0)</f>
        <v>شقف متبلة</v>
      </c>
      <c r="J664" s="184" t="str">
        <f>VLOOKUP(H664, 'RM &amp; SF'!B:E, 4, 0)</f>
        <v>غم</v>
      </c>
      <c r="K664" s="12">
        <v>100</v>
      </c>
      <c r="L664" s="13">
        <f>VLOOKUP(H664, 'RM &amp; SF'!B:H, 7, 0)</f>
        <v>2.0415146666666665E-2</v>
      </c>
      <c r="M664" s="7">
        <f t="shared" si="45"/>
        <v>2.0415146666666666</v>
      </c>
      <c r="N664" s="4" t="s">
        <v>825</v>
      </c>
      <c r="O664" s="4">
        <f>VLOOKUP(B664, 'All Menu'!B:L, 6, 0)</f>
        <v>6.6379310344827589</v>
      </c>
      <c r="P664" s="6">
        <f>VLOOKUP(B664, 'All Menu'!B:L, 9, 0)</f>
        <v>3.8082288492555931</v>
      </c>
      <c r="Q664" s="14">
        <f>VLOOKUP(B664, 'All Menu'!B:M, 12, 0)</f>
        <v>0.42629279673552106</v>
      </c>
      <c r="R664" s="173">
        <f t="shared" si="46"/>
        <v>0</v>
      </c>
    </row>
    <row r="665" spans="1:18" ht="14" hidden="1">
      <c r="A665" s="78" t="s">
        <v>2535</v>
      </c>
      <c r="B665" s="220" t="s">
        <v>1053</v>
      </c>
      <c r="C665" s="185"/>
      <c r="D665" s="103" t="str">
        <f>VLOOKUP(B665, 'All Menu'!B:M, 4, 0)</f>
        <v>وجبة مشاوي فردي</v>
      </c>
      <c r="E665" s="30" t="str">
        <f>VLOOKUP(B665, 'All Menu'!B:M, 2, 0)</f>
        <v>قسم الصالة</v>
      </c>
      <c r="F665" s="103" t="str">
        <f>VLOOKUP(B665, 'All Menu'!B:M, 3, 0)</f>
        <v>المشاوي صالة</v>
      </c>
      <c r="G665" s="90" t="s">
        <v>2453</v>
      </c>
      <c r="H665" s="219" t="s">
        <v>536</v>
      </c>
      <c r="I665" s="110" t="str">
        <f>VLOOKUP(H665, 'RM &amp; SF'!B:H, 2, 0)</f>
        <v>كباب</v>
      </c>
      <c r="J665" s="184" t="str">
        <f>VLOOKUP(H665, 'RM &amp; SF'!B:E, 4, 0)</f>
        <v>غم</v>
      </c>
      <c r="K665" s="12">
        <v>100</v>
      </c>
      <c r="L665" s="13">
        <f>VLOOKUP(H665, 'RM &amp; SF'!B:H, 7, 0)</f>
        <v>1.1636090242685134E-2</v>
      </c>
      <c r="M665" s="7">
        <f t="shared" si="45"/>
        <v>1.1636090242685133</v>
      </c>
      <c r="N665" s="4" t="s">
        <v>825</v>
      </c>
      <c r="O665" s="4">
        <f>VLOOKUP(B665, 'All Menu'!B:L, 6, 0)</f>
        <v>6.6379310344827589</v>
      </c>
      <c r="P665" s="6">
        <f>VLOOKUP(B665, 'All Menu'!B:L, 9, 0)</f>
        <v>3.8082288492555931</v>
      </c>
      <c r="Q665" s="14">
        <f>VLOOKUP(B665, 'All Menu'!B:M, 12, 0)</f>
        <v>0.42629279673552106</v>
      </c>
      <c r="R665" s="173">
        <f t="shared" si="46"/>
        <v>0</v>
      </c>
    </row>
    <row r="666" spans="1:18" ht="14" hidden="1">
      <c r="A666" s="78" t="s">
        <v>2535</v>
      </c>
      <c r="B666" s="220" t="s">
        <v>1053</v>
      </c>
      <c r="C666" s="185"/>
      <c r="D666" s="103" t="str">
        <f>VLOOKUP(B666, 'All Menu'!B:M, 4, 0)</f>
        <v>وجبة مشاوي فردي</v>
      </c>
      <c r="E666" s="30" t="str">
        <f>VLOOKUP(B666, 'All Menu'!B:M, 2, 0)</f>
        <v>قسم الصالة</v>
      </c>
      <c r="F666" s="103" t="str">
        <f>VLOOKUP(B666, 'All Menu'!B:M, 3, 0)</f>
        <v>المشاوي صالة</v>
      </c>
      <c r="G666" s="90" t="s">
        <v>2456</v>
      </c>
      <c r="H666" s="219" t="s">
        <v>506</v>
      </c>
      <c r="I666" s="110" t="str">
        <f>VLOOKUP(H666, 'RM &amp; SF'!B:H, 2, 0)</f>
        <v>شيش</v>
      </c>
      <c r="J666" s="184" t="str">
        <f>VLOOKUP(H666, 'RM &amp; SF'!B:E, 4, 0)</f>
        <v>غم</v>
      </c>
      <c r="K666" s="12">
        <v>100</v>
      </c>
      <c r="L666" s="13">
        <f>VLOOKUP(H666, 'RM &amp; SF'!B:H, 7, 0)</f>
        <v>4.6721213030918281E-3</v>
      </c>
      <c r="M666" s="7">
        <f t="shared" si="45"/>
        <v>0.46721213030918279</v>
      </c>
      <c r="N666" s="4" t="s">
        <v>825</v>
      </c>
      <c r="O666" s="4">
        <f>VLOOKUP(B666, 'All Menu'!B:L, 6, 0)</f>
        <v>6.6379310344827589</v>
      </c>
      <c r="P666" s="6">
        <f>VLOOKUP(B666, 'All Menu'!B:L, 9, 0)</f>
        <v>3.8082288492555931</v>
      </c>
      <c r="Q666" s="14">
        <f>VLOOKUP(B666, 'All Menu'!B:M, 12, 0)</f>
        <v>0.42629279673552106</v>
      </c>
      <c r="R666" s="173">
        <f t="shared" si="46"/>
        <v>0</v>
      </c>
    </row>
    <row r="667" spans="1:18" ht="14" hidden="1">
      <c r="A667" s="78" t="s">
        <v>2535</v>
      </c>
      <c r="B667" s="220" t="s">
        <v>1053</v>
      </c>
      <c r="C667" s="185"/>
      <c r="D667" s="103" t="str">
        <f>VLOOKUP(B667, 'All Menu'!B:M, 4, 0)</f>
        <v>وجبة مشاوي فردي</v>
      </c>
      <c r="E667" s="30" t="str">
        <f>VLOOKUP(B667, 'All Menu'!B:M, 2, 0)</f>
        <v>قسم الصالة</v>
      </c>
      <c r="F667" s="103" t="str">
        <f>VLOOKUP(B667, 'All Menu'!B:M, 3, 0)</f>
        <v>المشاوي صالة</v>
      </c>
      <c r="G667" s="90" t="s">
        <v>2257</v>
      </c>
      <c r="H667" s="188">
        <v>5281</v>
      </c>
      <c r="I667" s="110" t="str">
        <f>VLOOKUP(H667, 'RM &amp; SF'!B:H, 2, 0)</f>
        <v>بندوره مشاوي</v>
      </c>
      <c r="J667" s="184" t="str">
        <f>VLOOKUP(H667, 'RM &amp; SF'!B:E, 4, 0)</f>
        <v>غم</v>
      </c>
      <c r="K667" s="12">
        <v>50</v>
      </c>
      <c r="L667" s="13">
        <f>VLOOKUP(H667, 'RM &amp; SF'!B:H, 7, 0)</f>
        <v>4.0000000000000002E-4</v>
      </c>
      <c r="M667" s="7">
        <f t="shared" si="45"/>
        <v>0.02</v>
      </c>
      <c r="N667" s="4" t="s">
        <v>825</v>
      </c>
      <c r="O667" s="4">
        <f>VLOOKUP(B667, 'All Menu'!B:L, 6, 0)</f>
        <v>6.6379310344827589</v>
      </c>
      <c r="P667" s="6">
        <f>VLOOKUP(B667, 'All Menu'!B:L, 9, 0)</f>
        <v>3.8082288492555931</v>
      </c>
      <c r="Q667" s="14">
        <f>VLOOKUP(B667, 'All Menu'!B:M, 12, 0)</f>
        <v>0.42629279673552106</v>
      </c>
      <c r="R667" s="173">
        <f t="shared" si="46"/>
        <v>0</v>
      </c>
    </row>
    <row r="668" spans="1:18" ht="14" hidden="1">
      <c r="A668" s="78" t="s">
        <v>2535</v>
      </c>
      <c r="B668" s="220" t="s">
        <v>1053</v>
      </c>
      <c r="C668" s="185"/>
      <c r="D668" s="103" t="str">
        <f>VLOOKUP(B668, 'All Menu'!B:M, 4, 0)</f>
        <v>وجبة مشاوي فردي</v>
      </c>
      <c r="E668" s="30" t="str">
        <f>VLOOKUP(B668, 'All Menu'!B:M, 2, 0)</f>
        <v>قسم الصالة</v>
      </c>
      <c r="F668" s="103" t="str">
        <f>VLOOKUP(B668, 'All Menu'!B:M, 3, 0)</f>
        <v>المشاوي صالة</v>
      </c>
      <c r="G668" s="90" t="s">
        <v>2235</v>
      </c>
      <c r="H668" s="188">
        <v>4504</v>
      </c>
      <c r="I668" s="110" t="str">
        <f>VLOOKUP(H668, 'RM &amp; SF'!B:H, 2, 0)</f>
        <v>بصل مشاوي (بصل بيبي)***</v>
      </c>
      <c r="J668" s="184" t="str">
        <f>VLOOKUP(H668, 'RM &amp; SF'!B:E, 4, 0)</f>
        <v>غم</v>
      </c>
      <c r="K668" s="12">
        <v>50</v>
      </c>
      <c r="L668" s="13">
        <f>VLOOKUP(H668, 'RM &amp; SF'!B:H, 7, 0)</f>
        <v>3.5E-4</v>
      </c>
      <c r="M668" s="7">
        <f t="shared" si="45"/>
        <v>1.7499999999999998E-2</v>
      </c>
      <c r="N668" s="4" t="s">
        <v>825</v>
      </c>
      <c r="O668" s="4">
        <f>VLOOKUP(B668, 'All Menu'!B:L, 6, 0)</f>
        <v>6.6379310344827589</v>
      </c>
      <c r="P668" s="6">
        <f>VLOOKUP(B668, 'All Menu'!B:L, 9, 0)</f>
        <v>3.8082288492555931</v>
      </c>
      <c r="Q668" s="14">
        <f>VLOOKUP(B668, 'All Menu'!B:M, 12, 0)</f>
        <v>0.42629279673552106</v>
      </c>
      <c r="R668" s="173">
        <f t="shared" si="46"/>
        <v>0</v>
      </c>
    </row>
    <row r="669" spans="1:18" ht="14" hidden="1">
      <c r="A669" s="78" t="s">
        <v>2535</v>
      </c>
      <c r="B669" s="220" t="s">
        <v>1053</v>
      </c>
      <c r="C669" s="185"/>
      <c r="D669" s="103" t="str">
        <f>VLOOKUP(B669, 'All Menu'!B:M, 4, 0)</f>
        <v>وجبة مشاوي فردي</v>
      </c>
      <c r="E669" s="30" t="str">
        <f>VLOOKUP(B669, 'All Menu'!B:M, 2, 0)</f>
        <v>قسم الصالة</v>
      </c>
      <c r="F669" s="103" t="str">
        <f>VLOOKUP(B669, 'All Menu'!B:M, 3, 0)</f>
        <v>المشاوي صالة</v>
      </c>
      <c r="G669" s="90" t="s">
        <v>2396</v>
      </c>
      <c r="H669" s="219" t="s">
        <v>582</v>
      </c>
      <c r="I669" s="110" t="str">
        <f>VLOOKUP(H669, 'RM &amp; SF'!B:H, 2, 0)</f>
        <v>بيواز</v>
      </c>
      <c r="J669" s="184" t="str">
        <f>VLOOKUP(H669, 'RM &amp; SF'!B:E, 4, 0)</f>
        <v>غم</v>
      </c>
      <c r="K669" s="12">
        <v>50</v>
      </c>
      <c r="L669" s="13">
        <f>VLOOKUP(H669, 'RM &amp; SF'!B:H, 7, 0)</f>
        <v>2.0666065869244635E-4</v>
      </c>
      <c r="M669" s="7">
        <f t="shared" si="45"/>
        <v>1.0333032934622318E-2</v>
      </c>
      <c r="N669" s="4" t="s">
        <v>825</v>
      </c>
      <c r="O669" s="4">
        <f>VLOOKUP(B669, 'All Menu'!B:L, 6, 0)</f>
        <v>6.6379310344827589</v>
      </c>
      <c r="P669" s="6">
        <f>VLOOKUP(B669, 'All Menu'!B:L, 9, 0)</f>
        <v>3.8082288492555931</v>
      </c>
      <c r="Q669" s="14">
        <f>VLOOKUP(B669, 'All Menu'!B:M, 12, 0)</f>
        <v>0.42629279673552106</v>
      </c>
      <c r="R669" s="173">
        <f t="shared" si="46"/>
        <v>0</v>
      </c>
    </row>
    <row r="670" spans="1:18" ht="14" hidden="1">
      <c r="A670" s="78" t="s">
        <v>2535</v>
      </c>
      <c r="B670" s="220" t="s">
        <v>1053</v>
      </c>
      <c r="C670" s="185"/>
      <c r="D670" s="103" t="str">
        <f>VLOOKUP(B670, 'All Menu'!B:M, 4, 0)</f>
        <v>وجبة مشاوي فردي</v>
      </c>
      <c r="E670" s="30" t="str">
        <f>VLOOKUP(B670, 'All Menu'!B:M, 2, 0)</f>
        <v>قسم الصالة</v>
      </c>
      <c r="F670" s="103" t="str">
        <f>VLOOKUP(B670, 'All Menu'!B:M, 3, 0)</f>
        <v>المشاوي صالة</v>
      </c>
      <c r="G670" s="90" t="s">
        <v>2331</v>
      </c>
      <c r="H670" s="219" t="s">
        <v>530</v>
      </c>
      <c r="I670" s="110" t="str">
        <f>VLOOKUP(H670, 'RM &amp; SF'!B:H, 2, 0)</f>
        <v>خبز صاج</v>
      </c>
      <c r="J670" s="184" t="str">
        <f>VLOOKUP(H670, 'RM &amp; SF'!B:E, 4, 0)</f>
        <v>غم</v>
      </c>
      <c r="K670" s="12">
        <v>180</v>
      </c>
      <c r="L670" s="13">
        <f>VLOOKUP(H670, 'RM &amp; SF'!B:H, 7, 0)</f>
        <v>1.8806451612903227E-4</v>
      </c>
      <c r="M670" s="7">
        <f t="shared" si="45"/>
        <v>3.385161290322581E-2</v>
      </c>
      <c r="N670" s="4" t="s">
        <v>825</v>
      </c>
      <c r="O670" s="4">
        <f>VLOOKUP(B670, 'All Menu'!B:L, 6, 0)</f>
        <v>6.6379310344827589</v>
      </c>
      <c r="P670" s="6">
        <f>VLOOKUP(B670, 'All Menu'!B:L, 9, 0)</f>
        <v>3.8082288492555931</v>
      </c>
      <c r="Q670" s="14">
        <f>VLOOKUP(B670, 'All Menu'!B:M, 12, 0)</f>
        <v>0.42629279673552106</v>
      </c>
      <c r="R670" s="173">
        <f t="shared" si="46"/>
        <v>0</v>
      </c>
    </row>
    <row r="671" spans="1:18" ht="14" hidden="1">
      <c r="A671" s="78" t="s">
        <v>2535</v>
      </c>
      <c r="B671" s="220" t="s">
        <v>1053</v>
      </c>
      <c r="C671" s="185"/>
      <c r="D671" s="103" t="str">
        <f>VLOOKUP(B671, 'All Menu'!B:M, 4, 0)</f>
        <v>وجبة مشاوي فردي</v>
      </c>
      <c r="E671" s="30" t="str">
        <f>VLOOKUP(B671, 'All Menu'!B:M, 2, 0)</f>
        <v>قسم الصالة</v>
      </c>
      <c r="F671" s="103" t="str">
        <f>VLOOKUP(B671, 'All Menu'!B:M, 3, 0)</f>
        <v>المشاوي صالة</v>
      </c>
      <c r="G671" s="90" t="s">
        <v>2397</v>
      </c>
      <c r="H671" s="219" t="s">
        <v>580</v>
      </c>
      <c r="I671" s="110" t="str">
        <f>VLOOKUP(H671, 'RM &amp; SF'!B:H, 2, 0)</f>
        <v>طحينة مشاوي</v>
      </c>
      <c r="J671" s="184" t="str">
        <f>VLOOKUP(H671, 'RM &amp; SF'!B:E, 4, 0)</f>
        <v>غم</v>
      </c>
      <c r="K671" s="12">
        <v>50</v>
      </c>
      <c r="L671" s="13">
        <f>VLOOKUP(H671, 'RM &amp; SF'!B:H, 7, 0)</f>
        <v>1.0841676434676436E-3</v>
      </c>
      <c r="M671" s="7">
        <f t="shared" si="45"/>
        <v>5.4208382173382176E-2</v>
      </c>
      <c r="N671" s="4" t="s">
        <v>825</v>
      </c>
      <c r="O671" s="4">
        <f>VLOOKUP(B671, 'All Menu'!B:L, 6, 0)</f>
        <v>6.6379310344827589</v>
      </c>
      <c r="P671" s="6">
        <f>VLOOKUP(B671, 'All Menu'!B:L, 9, 0)</f>
        <v>3.8082288492555931</v>
      </c>
      <c r="Q671" s="14">
        <f>VLOOKUP(B671, 'All Menu'!B:M, 12, 0)</f>
        <v>0.42629279673552106</v>
      </c>
      <c r="R671" s="173">
        <f t="shared" si="46"/>
        <v>0</v>
      </c>
    </row>
    <row r="672" spans="1:18" ht="14" hidden="1">
      <c r="A672" s="78" t="s">
        <v>2499</v>
      </c>
      <c r="B672" s="220" t="s">
        <v>1054</v>
      </c>
      <c r="C672" s="185"/>
      <c r="D672" s="103" t="str">
        <f>VLOOKUP(B672, 'All Menu'!B:M, 4, 0)</f>
        <v>يلنجي</v>
      </c>
      <c r="E672" s="30" t="str">
        <f>VLOOKUP(B672, 'All Menu'!B:M, 2, 0)</f>
        <v>قسم الصالة</v>
      </c>
      <c r="F672" s="103" t="str">
        <f>VLOOKUP(B672, 'All Menu'!B:M, 3, 0)</f>
        <v>مقبلات باردة صالة</v>
      </c>
      <c r="G672" s="90" t="s">
        <v>2381</v>
      </c>
      <c r="H672" s="219" t="s">
        <v>492</v>
      </c>
      <c r="I672" s="110" t="str">
        <f>VLOOKUP(H672, 'RM &amp; SF'!B:H, 2, 0)</f>
        <v>يلنجي بالحبة</v>
      </c>
      <c r="J672" s="184" t="str">
        <f>VLOOKUP(H672, 'RM &amp; SF'!B:E, 4, 0)</f>
        <v>قطعة</v>
      </c>
      <c r="K672" s="12">
        <v>6</v>
      </c>
      <c r="L672" s="13">
        <f>VLOOKUP(H672, 'RM &amp; SF'!B:H, 7, 0)</f>
        <v>3.3316857762056666E-2</v>
      </c>
      <c r="M672" s="7">
        <f t="shared" si="45"/>
        <v>0.19990114657233998</v>
      </c>
      <c r="N672" s="4" t="s">
        <v>825</v>
      </c>
      <c r="O672" s="4">
        <f>VLOOKUP(B672, 'All Menu'!B:L, 6, 0)</f>
        <v>2.8017241379310347</v>
      </c>
      <c r="P672" s="6">
        <f>VLOOKUP(B672, 'All Menu'!B:L, 9, 0)</f>
        <v>0.24244864657233997</v>
      </c>
      <c r="Q672" s="14">
        <f>VLOOKUP(B672, 'All Menu'!B:M, 12, 0)</f>
        <v>0.91346448306956474</v>
      </c>
      <c r="R672" s="173">
        <f t="shared" si="46"/>
        <v>0</v>
      </c>
    </row>
    <row r="673" spans="1:18" ht="14" hidden="1">
      <c r="A673" s="78" t="s">
        <v>2499</v>
      </c>
      <c r="B673" s="220" t="s">
        <v>1054</v>
      </c>
      <c r="C673" s="185"/>
      <c r="D673" s="103" t="str">
        <f>VLOOKUP(B673, 'All Menu'!B:M, 4, 0)</f>
        <v>يلنجي</v>
      </c>
      <c r="E673" s="30" t="str">
        <f>VLOOKUP(B673, 'All Menu'!B:M, 2, 0)</f>
        <v>قسم الصالة</v>
      </c>
      <c r="F673" s="103" t="str">
        <f>VLOOKUP(B673, 'All Menu'!B:M, 3, 0)</f>
        <v>مقبلات باردة صالة</v>
      </c>
      <c r="G673" s="90" t="s">
        <v>2265</v>
      </c>
      <c r="H673" s="188">
        <v>4006</v>
      </c>
      <c r="I673" s="110" t="str">
        <f>VLOOKUP(H673, 'RM &amp; SF'!B:H, 2, 0)</f>
        <v>دبس رمان 5 كغ (مادة أولية)*****</v>
      </c>
      <c r="J673" s="184" t="str">
        <f>VLOOKUP(H673, 'RM &amp; SF'!B:E, 4, 0)</f>
        <v>غم</v>
      </c>
      <c r="K673" s="12">
        <v>5</v>
      </c>
      <c r="L673" s="13">
        <f>VLOOKUP(H673, 'RM &amp; SF'!B:H, 7, 0)</f>
        <v>1.508E-3</v>
      </c>
      <c r="M673" s="7">
        <f t="shared" si="45"/>
        <v>7.5399999999999998E-3</v>
      </c>
      <c r="N673" s="4" t="s">
        <v>825</v>
      </c>
      <c r="O673" s="4">
        <f>VLOOKUP(B673, 'All Menu'!B:L, 6, 0)</f>
        <v>2.8017241379310347</v>
      </c>
      <c r="P673" s="6">
        <f>VLOOKUP(B673, 'All Menu'!B:L, 9, 0)</f>
        <v>0.24244864657233997</v>
      </c>
      <c r="Q673" s="14">
        <f>VLOOKUP(B673, 'All Menu'!B:M, 12, 0)</f>
        <v>0.91346448306956474</v>
      </c>
      <c r="R673" s="173">
        <f t="shared" si="46"/>
        <v>0</v>
      </c>
    </row>
    <row r="674" spans="1:18" ht="14" hidden="1">
      <c r="A674" s="78" t="s">
        <v>2499</v>
      </c>
      <c r="B674" s="220" t="s">
        <v>1054</v>
      </c>
      <c r="C674" s="185"/>
      <c r="D674" s="103" t="str">
        <f>VLOOKUP(B674, 'All Menu'!B:M, 4, 0)</f>
        <v>يلنجي</v>
      </c>
      <c r="E674" s="30" t="str">
        <f>VLOOKUP(B674, 'All Menu'!B:M, 2, 0)</f>
        <v>قسم الصالة</v>
      </c>
      <c r="F674" s="103" t="str">
        <f>VLOOKUP(B674, 'All Menu'!B:M, 3, 0)</f>
        <v>مقبلات باردة صالة</v>
      </c>
      <c r="G674" s="90" t="s">
        <v>2244</v>
      </c>
      <c r="H674" s="188">
        <v>4522</v>
      </c>
      <c r="I674" s="110" t="str">
        <f>VLOOKUP(H674, 'RM &amp; SF'!B:H, 2, 0)</f>
        <v>رمان*****</v>
      </c>
      <c r="J674" s="184" t="str">
        <f>VLOOKUP(H674, 'RM &amp; SF'!B:E, 4, 0)</f>
        <v>غم</v>
      </c>
      <c r="K674" s="12">
        <v>20</v>
      </c>
      <c r="L674" s="13">
        <f>VLOOKUP(H674, 'RM &amp; SF'!B:H, 7, 0)</f>
        <v>1.75E-3</v>
      </c>
      <c r="M674" s="7">
        <f t="shared" si="45"/>
        <v>3.5000000000000003E-2</v>
      </c>
      <c r="N674" s="4" t="s">
        <v>825</v>
      </c>
      <c r="O674" s="4">
        <f>VLOOKUP(B674, 'All Menu'!B:L, 6, 0)</f>
        <v>2.8017241379310347</v>
      </c>
      <c r="P674" s="6">
        <f>VLOOKUP(B674, 'All Menu'!B:L, 9, 0)</f>
        <v>0.24244864657233997</v>
      </c>
      <c r="Q674" s="14">
        <f>VLOOKUP(B674, 'All Menu'!B:M, 12, 0)</f>
        <v>0.91346448306956474</v>
      </c>
      <c r="R674" s="173">
        <f t="shared" si="46"/>
        <v>0</v>
      </c>
    </row>
    <row r="675" spans="1:18" ht="14" hidden="1">
      <c r="A675" s="78" t="s">
        <v>2499</v>
      </c>
      <c r="B675" s="220" t="s">
        <v>1054</v>
      </c>
      <c r="C675" s="185"/>
      <c r="D675" s="103" t="str">
        <f>VLOOKUP(B675, 'All Menu'!B:M, 4, 0)</f>
        <v>يلنجي</v>
      </c>
      <c r="E675" s="30" t="str">
        <f>VLOOKUP(B675, 'All Menu'!B:M, 2, 0)</f>
        <v>قسم الصالة</v>
      </c>
      <c r="F675" s="103" t="str">
        <f>VLOOKUP(B675, 'All Menu'!B:M, 3, 0)</f>
        <v>مقبلات باردة صالة</v>
      </c>
      <c r="G675" s="90" t="s">
        <v>2253</v>
      </c>
      <c r="H675" s="188">
        <v>4547</v>
      </c>
      <c r="I675" s="110" t="str">
        <f>VLOOKUP(H675, 'RM &amp; SF'!B:H, 2, 0)</f>
        <v>نعنع*****</v>
      </c>
      <c r="J675" s="184" t="str">
        <f>VLOOKUP(H675, 'RM &amp; SF'!B:E, 4, 0)</f>
        <v>غم</v>
      </c>
      <c r="K675" s="12">
        <v>0.01</v>
      </c>
      <c r="L675" s="13">
        <f>VLOOKUP(H675, 'RM &amp; SF'!B:H, 7, 0)</f>
        <v>7.5000000000000002E-4</v>
      </c>
      <c r="M675" s="7">
        <f t="shared" si="45"/>
        <v>7.5000000000000002E-6</v>
      </c>
      <c r="N675" s="4" t="s">
        <v>825</v>
      </c>
      <c r="O675" s="4">
        <f>VLOOKUP(B675, 'All Menu'!B:L, 6, 0)</f>
        <v>2.8017241379310347</v>
      </c>
      <c r="P675" s="6">
        <f>VLOOKUP(B675, 'All Menu'!B:L, 9, 0)</f>
        <v>0.24244864657233997</v>
      </c>
      <c r="Q675" s="14">
        <f>VLOOKUP(B675, 'All Menu'!B:M, 12, 0)</f>
        <v>0.91346448306956474</v>
      </c>
      <c r="R675" s="173">
        <f t="shared" si="46"/>
        <v>0</v>
      </c>
    </row>
    <row r="676" spans="1:18" ht="14" hidden="1">
      <c r="A676" s="78" t="s">
        <v>2502</v>
      </c>
      <c r="B676" s="220" t="s">
        <v>1055</v>
      </c>
      <c r="C676" s="185"/>
      <c r="D676" s="103" t="str">
        <f>VLOOKUP(B676, 'All Menu'!B:M, 4, 0)</f>
        <v>لبن رايب</v>
      </c>
      <c r="E676" s="30" t="str">
        <f>VLOOKUP(B676, 'All Menu'!B:M, 2, 0)</f>
        <v>قسم الصالة</v>
      </c>
      <c r="F676" s="103" t="str">
        <f>VLOOKUP(B676, 'All Menu'!B:M, 3, 0)</f>
        <v>مقبلات باردة صالة</v>
      </c>
      <c r="G676" s="90" t="s">
        <v>2170</v>
      </c>
      <c r="H676" s="188">
        <v>4552</v>
      </c>
      <c r="I676" s="110" t="str">
        <f>VLOOKUP(H676, 'RM &amp; SF'!B:H, 2, 0)</f>
        <v>لبن رايب 5 كغ*****</v>
      </c>
      <c r="J676" s="184" t="str">
        <f>VLOOKUP(H676, 'RM &amp; SF'!B:E, 4, 0)</f>
        <v>غم</v>
      </c>
      <c r="K676" s="12">
        <v>150</v>
      </c>
      <c r="L676" s="13">
        <f>VLOOKUP(H676, 'RM &amp; SF'!B:H, 7, 0)</f>
        <v>8.0000000000000004E-4</v>
      </c>
      <c r="M676" s="7">
        <f t="shared" si="45"/>
        <v>0.12000000000000001</v>
      </c>
      <c r="N676" s="4" t="s">
        <v>825</v>
      </c>
      <c r="O676" s="4">
        <f>VLOOKUP(B676, 'All Menu'!B:L, 6, 0)</f>
        <v>0.60344827586206895</v>
      </c>
      <c r="P676" s="6">
        <f>VLOOKUP(B676, 'All Menu'!B:L, 9, 0)</f>
        <v>0.12000000000000001</v>
      </c>
      <c r="Q676" s="14">
        <f>VLOOKUP(B676, 'All Menu'!B:M, 12, 0)</f>
        <v>0.80114285714285716</v>
      </c>
      <c r="R676" s="173">
        <f t="shared" si="46"/>
        <v>0</v>
      </c>
    </row>
    <row r="677" spans="1:18" ht="14" hidden="1">
      <c r="A677" s="78" t="s">
        <v>2503</v>
      </c>
      <c r="B677" s="220" t="s">
        <v>1057</v>
      </c>
      <c r="C677" s="185"/>
      <c r="D677" s="103" t="str">
        <f>VLOOKUP(B677, 'All Menu'!B:M, 4, 0)</f>
        <v>خيار بلبن</v>
      </c>
      <c r="E677" s="30" t="str">
        <f>VLOOKUP(B677, 'All Menu'!B:M, 2, 0)</f>
        <v>قسم الصالة</v>
      </c>
      <c r="F677" s="103" t="str">
        <f>VLOOKUP(B677, 'All Menu'!B:M, 3, 0)</f>
        <v>مقبلات باردة صالة</v>
      </c>
      <c r="G677" s="90" t="s">
        <v>2170</v>
      </c>
      <c r="H677" s="188">
        <v>4552</v>
      </c>
      <c r="I677" s="110" t="str">
        <f>VLOOKUP(H677, 'RM &amp; SF'!B:H, 2, 0)</f>
        <v>لبن رايب 5 كغ*****</v>
      </c>
      <c r="J677" s="184" t="str">
        <f>VLOOKUP(H677, 'RM &amp; SF'!B:E, 4, 0)</f>
        <v>غم</v>
      </c>
      <c r="K677" s="12">
        <v>200</v>
      </c>
      <c r="L677" s="13">
        <f>VLOOKUP(H677, 'RM &amp; SF'!B:H, 7, 0)</f>
        <v>8.0000000000000004E-4</v>
      </c>
      <c r="M677" s="7">
        <f t="shared" si="45"/>
        <v>0.16</v>
      </c>
      <c r="N677" s="4" t="s">
        <v>825</v>
      </c>
      <c r="O677" s="4">
        <f>VLOOKUP(B677, 'All Menu'!B:L, 6, 0)</f>
        <v>1.9396551724137931</v>
      </c>
      <c r="P677" s="6">
        <f>VLOOKUP(B677, 'All Menu'!B:L, 9, 0)</f>
        <v>0.25285333333333337</v>
      </c>
      <c r="Q677" s="14">
        <f>VLOOKUP(B677, 'All Menu'!B:M, 12, 0)</f>
        <v>0.86964005925925925</v>
      </c>
      <c r="R677" s="173">
        <f t="shared" si="46"/>
        <v>0</v>
      </c>
    </row>
    <row r="678" spans="1:18" ht="14" hidden="1">
      <c r="A678" s="78" t="s">
        <v>2503</v>
      </c>
      <c r="B678" s="220" t="s">
        <v>1057</v>
      </c>
      <c r="C678" s="185"/>
      <c r="D678" s="103" t="str">
        <f>VLOOKUP(B678, 'All Menu'!B:M, 4, 0)</f>
        <v>خيار بلبن</v>
      </c>
      <c r="E678" s="30" t="str">
        <f>VLOOKUP(B678, 'All Menu'!B:M, 2, 0)</f>
        <v>قسم الصالة</v>
      </c>
      <c r="F678" s="103" t="str">
        <f>VLOOKUP(B678, 'All Menu'!B:M, 3, 0)</f>
        <v>مقبلات باردة صالة</v>
      </c>
      <c r="G678" s="90" t="s">
        <v>2228</v>
      </c>
      <c r="H678" s="188">
        <v>4493</v>
      </c>
      <c r="I678" s="110" t="str">
        <f>VLOOKUP(H678, 'RM &amp; SF'!B:H, 2, 0)</f>
        <v>خيار*****</v>
      </c>
      <c r="J678" s="184" t="str">
        <f>VLOOKUP(H678, 'RM &amp; SF'!B:E, 4, 0)</f>
        <v>غم</v>
      </c>
      <c r="K678" s="12">
        <v>100</v>
      </c>
      <c r="L678" s="13">
        <f>VLOOKUP(H678, 'RM &amp; SF'!B:H, 7, 0)</f>
        <v>4.0000000000000002E-4</v>
      </c>
      <c r="M678" s="7">
        <f t="shared" si="45"/>
        <v>0.04</v>
      </c>
      <c r="N678" s="4" t="s">
        <v>825</v>
      </c>
      <c r="O678" s="4">
        <f>VLOOKUP(B678, 'All Menu'!B:L, 6, 0)</f>
        <v>1.9396551724137931</v>
      </c>
      <c r="P678" s="6">
        <f>VLOOKUP(B678, 'All Menu'!B:L, 9, 0)</f>
        <v>0.25285333333333337</v>
      </c>
      <c r="Q678" s="14">
        <f>VLOOKUP(B678, 'All Menu'!B:M, 12, 0)</f>
        <v>0.86964005925925925</v>
      </c>
      <c r="R678" s="173">
        <f t="shared" si="46"/>
        <v>0</v>
      </c>
    </row>
    <row r="679" spans="1:18" ht="14" hidden="1">
      <c r="A679" s="78" t="s">
        <v>2503</v>
      </c>
      <c r="B679" s="220" t="s">
        <v>1057</v>
      </c>
      <c r="C679" s="185"/>
      <c r="D679" s="103" t="str">
        <f>VLOOKUP(B679, 'All Menu'!B:M, 4, 0)</f>
        <v>خيار بلبن</v>
      </c>
      <c r="E679" s="30" t="str">
        <f>VLOOKUP(B679, 'All Menu'!B:M, 2, 0)</f>
        <v>قسم الصالة</v>
      </c>
      <c r="F679" s="103" t="str">
        <f>VLOOKUP(B679, 'All Menu'!B:M, 3, 0)</f>
        <v>مقبلات باردة صالة</v>
      </c>
      <c r="G679" s="90" t="s">
        <v>2203</v>
      </c>
      <c r="H679" s="188">
        <v>4152</v>
      </c>
      <c r="I679" s="110" t="str">
        <f>VLOOKUP(H679, 'RM &amp; SF'!B:H, 2, 0)</f>
        <v>ملح طعام 750غم*****</v>
      </c>
      <c r="J679" s="184" t="str">
        <f>VLOOKUP(H679, 'RM &amp; SF'!B:E, 4, 0)</f>
        <v>غم</v>
      </c>
      <c r="K679" s="12">
        <v>5</v>
      </c>
      <c r="L679" s="13">
        <f>VLOOKUP(H679, 'RM &amp; SF'!B:H, 7, 0)</f>
        <v>1.7066666666666665E-4</v>
      </c>
      <c r="M679" s="7">
        <f t="shared" si="45"/>
        <v>8.5333333333333322E-4</v>
      </c>
      <c r="N679" s="4" t="s">
        <v>825</v>
      </c>
      <c r="O679" s="4">
        <f>VLOOKUP(B679, 'All Menu'!B:L, 6, 0)</f>
        <v>1.9396551724137931</v>
      </c>
      <c r="P679" s="6">
        <f>VLOOKUP(B679, 'All Menu'!B:L, 9, 0)</f>
        <v>0.25285333333333337</v>
      </c>
      <c r="Q679" s="14">
        <f>VLOOKUP(B679, 'All Menu'!B:M, 12, 0)</f>
        <v>0.86964005925925925</v>
      </c>
      <c r="R679" s="173">
        <f t="shared" si="46"/>
        <v>0</v>
      </c>
    </row>
    <row r="680" spans="1:18" ht="14" hidden="1">
      <c r="A680" s="78" t="s">
        <v>2503</v>
      </c>
      <c r="B680" s="220" t="s">
        <v>1057</v>
      </c>
      <c r="C680" s="185"/>
      <c r="D680" s="103" t="str">
        <f>VLOOKUP(B680, 'All Menu'!B:M, 4, 0)</f>
        <v>خيار بلبن</v>
      </c>
      <c r="E680" s="30" t="str">
        <f>VLOOKUP(B680, 'All Menu'!B:M, 2, 0)</f>
        <v>قسم الصالة</v>
      </c>
      <c r="F680" s="103" t="str">
        <f>VLOOKUP(B680, 'All Menu'!B:M, 3, 0)</f>
        <v>مقبلات باردة صالة</v>
      </c>
      <c r="G680" s="90" t="s">
        <v>2255</v>
      </c>
      <c r="H680" s="188">
        <v>4573</v>
      </c>
      <c r="I680" s="110" t="str">
        <f>VLOOKUP(H680, 'RM &amp; SF'!B:H, 2, 0)</f>
        <v>عصير ليمون طازج 2.5 لتر*****</v>
      </c>
      <c r="J680" s="184" t="str">
        <f>VLOOKUP(H680, 'RM &amp; SF'!B:E, 4, 0)</f>
        <v>مل</v>
      </c>
      <c r="K680" s="12">
        <v>20</v>
      </c>
      <c r="L680" s="13">
        <f>VLOOKUP(H680, 'RM &amp; SF'!B:H, 7, 0)</f>
        <v>2.5999999999999999E-3</v>
      </c>
      <c r="M680" s="7">
        <f t="shared" si="45"/>
        <v>5.1999999999999998E-2</v>
      </c>
      <c r="N680" s="4" t="s">
        <v>825</v>
      </c>
      <c r="O680" s="4">
        <f>VLOOKUP(B680, 'All Menu'!B:L, 6, 0)</f>
        <v>1.9396551724137931</v>
      </c>
      <c r="P680" s="6">
        <f>VLOOKUP(B680, 'All Menu'!B:L, 9, 0)</f>
        <v>0.25285333333333337</v>
      </c>
      <c r="Q680" s="14">
        <f>VLOOKUP(B680, 'All Menu'!B:M, 12, 0)</f>
        <v>0.86964005925925925</v>
      </c>
      <c r="R680" s="173">
        <f t="shared" si="46"/>
        <v>0</v>
      </c>
    </row>
    <row r="681" spans="1:18" ht="14" hidden="1">
      <c r="A681" s="78" t="s">
        <v>2506</v>
      </c>
      <c r="B681" s="220" t="s">
        <v>1879</v>
      </c>
      <c r="C681" s="185"/>
      <c r="D681" s="103" t="str">
        <f>VLOOKUP(B681, 'All Menu'!B:M, 4, 0)</f>
        <v>حمص بيروتي</v>
      </c>
      <c r="E681" s="30" t="str">
        <f>VLOOKUP(B681, 'All Menu'!B:M, 2, 0)</f>
        <v>قسم الصالة</v>
      </c>
      <c r="F681" s="103" t="str">
        <f>VLOOKUP(B681, 'All Menu'!B:M, 3, 0)</f>
        <v>مقبلات باردة صالة</v>
      </c>
      <c r="G681" s="90" t="s">
        <v>2404</v>
      </c>
      <c r="H681" s="219" t="s">
        <v>488</v>
      </c>
      <c r="I681" s="110" t="str">
        <f>VLOOKUP(H681, 'RM &amp; SF'!B:H, 2, 0)</f>
        <v>حمص</v>
      </c>
      <c r="J681" s="184" t="str">
        <f>VLOOKUP(H681, 'RM &amp; SF'!B:E, 4, 0)</f>
        <v>غم</v>
      </c>
      <c r="K681" s="12">
        <v>220</v>
      </c>
      <c r="L681" s="13">
        <f>VLOOKUP(H681, 'RM &amp; SF'!B:H, 7, 0)</f>
        <v>1.3232918279569891E-3</v>
      </c>
      <c r="M681" s="7">
        <f t="shared" si="45"/>
        <v>0.29112420215053758</v>
      </c>
      <c r="N681" s="4" t="s">
        <v>825</v>
      </c>
      <c r="O681" s="4">
        <f>VLOOKUP(B681, 'All Menu'!B:L, 6, 0)</f>
        <v>2.5431034482758625</v>
      </c>
      <c r="P681" s="6">
        <f>VLOOKUP(B681, 'All Menu'!B:L, 9, 0)</f>
        <v>0.30320240676192861</v>
      </c>
      <c r="Q681" s="14">
        <f>VLOOKUP(B681, 'All Menu'!B:M, 12, 0)</f>
        <v>0.88077464683259754</v>
      </c>
      <c r="R681" s="173">
        <f t="shared" si="46"/>
        <v>0</v>
      </c>
    </row>
    <row r="682" spans="1:18" ht="14" hidden="1">
      <c r="A682" s="78" t="s">
        <v>2506</v>
      </c>
      <c r="B682" s="220" t="s">
        <v>1879</v>
      </c>
      <c r="C682" s="185"/>
      <c r="D682" s="103" t="str">
        <f>VLOOKUP(B682, 'All Menu'!B:M, 4, 0)</f>
        <v>حمص بيروتي</v>
      </c>
      <c r="E682" s="30" t="str">
        <f>VLOOKUP(B682, 'All Menu'!B:M, 2, 0)</f>
        <v>قسم الصالة</v>
      </c>
      <c r="F682" s="103" t="str">
        <f>VLOOKUP(B682, 'All Menu'!B:M, 3, 0)</f>
        <v>مقبلات باردة صالة</v>
      </c>
      <c r="G682" s="90" t="s">
        <v>2309</v>
      </c>
      <c r="H682" s="188">
        <v>4491</v>
      </c>
      <c r="I682" s="110" t="str">
        <f>VLOOKUP(H682, 'RM &amp; SF'!B:H, 2, 0)</f>
        <v>بندورة جامدة*****</v>
      </c>
      <c r="J682" s="184" t="str">
        <f>VLOOKUP(H682, 'RM &amp; SF'!B:E, 4, 0)</f>
        <v>غم</v>
      </c>
      <c r="K682" s="12">
        <v>10</v>
      </c>
      <c r="L682" s="13">
        <f>VLOOKUP(H682, 'RM &amp; SF'!B:H, 7, 0)</f>
        <v>5.0000000000000001E-4</v>
      </c>
      <c r="M682" s="7">
        <f t="shared" si="45"/>
        <v>5.0000000000000001E-3</v>
      </c>
      <c r="N682" s="4" t="s">
        <v>825</v>
      </c>
      <c r="O682" s="4">
        <f>VLOOKUP(B682, 'All Menu'!B:L, 6, 0)</f>
        <v>2.5431034482758625</v>
      </c>
      <c r="P682" s="6">
        <f>VLOOKUP(B682, 'All Menu'!B:L, 9, 0)</f>
        <v>0.30320240676192861</v>
      </c>
      <c r="Q682" s="14">
        <f>VLOOKUP(B682, 'All Menu'!B:M, 12, 0)</f>
        <v>0.88077464683259754</v>
      </c>
      <c r="R682" s="173">
        <f t="shared" si="46"/>
        <v>0</v>
      </c>
    </row>
    <row r="683" spans="1:18" ht="14" hidden="1">
      <c r="A683" s="78" t="s">
        <v>2506</v>
      </c>
      <c r="B683" s="220" t="s">
        <v>1879</v>
      </c>
      <c r="C683" s="185"/>
      <c r="D683" s="103" t="str">
        <f>VLOOKUP(B683, 'All Menu'!B:M, 4, 0)</f>
        <v>حمص بيروتي</v>
      </c>
      <c r="E683" s="30" t="str">
        <f>VLOOKUP(B683, 'All Menu'!B:M, 2, 0)</f>
        <v>قسم الصالة</v>
      </c>
      <c r="F683" s="103" t="str">
        <f>VLOOKUP(B683, 'All Menu'!B:M, 3, 0)</f>
        <v>مقبلات باردة صالة</v>
      </c>
      <c r="G683" s="90" t="s">
        <v>2251</v>
      </c>
      <c r="H683" s="188">
        <v>4544</v>
      </c>
      <c r="I683" s="110" t="str">
        <f>VLOOKUP(H683, 'RM &amp; SF'!B:H, 2, 0)</f>
        <v>بقدونس*****</v>
      </c>
      <c r="J683" s="184" t="str">
        <f>VLOOKUP(H683, 'RM &amp; SF'!B:E, 4, 0)</f>
        <v>غم</v>
      </c>
      <c r="K683" s="12">
        <v>5</v>
      </c>
      <c r="L683" s="13">
        <f>VLOOKUP(H683, 'RM &amp; SF'!B:H, 7, 0)</f>
        <v>7.5000000000000002E-4</v>
      </c>
      <c r="M683" s="7">
        <f t="shared" si="45"/>
        <v>3.7499999999999999E-3</v>
      </c>
      <c r="N683" s="4" t="s">
        <v>825</v>
      </c>
      <c r="O683" s="4">
        <f>VLOOKUP(B683, 'All Menu'!B:L, 6, 0)</f>
        <v>2.5431034482758625</v>
      </c>
      <c r="P683" s="6">
        <f>VLOOKUP(B683, 'All Menu'!B:L, 9, 0)</f>
        <v>0.30320240676192861</v>
      </c>
      <c r="Q683" s="14">
        <f>VLOOKUP(B683, 'All Menu'!B:M, 12, 0)</f>
        <v>0.88077464683259754</v>
      </c>
      <c r="R683" s="173">
        <f t="shared" si="46"/>
        <v>0</v>
      </c>
    </row>
    <row r="684" spans="1:18" ht="14" hidden="1">
      <c r="A684" s="78" t="s">
        <v>2506</v>
      </c>
      <c r="B684" s="220" t="s">
        <v>1879</v>
      </c>
      <c r="C684" s="185"/>
      <c r="D684" s="103" t="str">
        <f>VLOOKUP(B684, 'All Menu'!B:M, 4, 0)</f>
        <v>حمص بيروتي</v>
      </c>
      <c r="E684" s="30" t="str">
        <f>VLOOKUP(B684, 'All Menu'!B:M, 2, 0)</f>
        <v>قسم الصالة</v>
      </c>
      <c r="F684" s="103" t="str">
        <f>VLOOKUP(B684, 'All Menu'!B:M, 3, 0)</f>
        <v>مقبلات باردة صالة</v>
      </c>
      <c r="G684" s="90" t="s">
        <v>2325</v>
      </c>
      <c r="H684" s="219" t="s">
        <v>534</v>
      </c>
      <c r="I684" s="110" t="str">
        <f>VLOOKUP(H684, 'RM &amp; SF'!B:H, 2, 0)</f>
        <v>مثومه</v>
      </c>
      <c r="J684" s="184" t="str">
        <f>VLOOKUP(H684, 'RM &amp; SF'!B:E, 4, 0)</f>
        <v>غم</v>
      </c>
      <c r="K684" s="12">
        <v>5</v>
      </c>
      <c r="L684" s="13">
        <f>VLOOKUP(H684, 'RM &amp; SF'!B:H, 7, 0)</f>
        <v>6.6564092227821051E-4</v>
      </c>
      <c r="M684" s="7">
        <f t="shared" si="45"/>
        <v>3.3282046113910528E-3</v>
      </c>
      <c r="N684" s="4" t="s">
        <v>825</v>
      </c>
      <c r="O684" s="4">
        <f>VLOOKUP(B684, 'All Menu'!B:L, 6, 0)</f>
        <v>2.5431034482758625</v>
      </c>
      <c r="P684" s="6">
        <f>VLOOKUP(B684, 'All Menu'!B:L, 9, 0)</f>
        <v>0.30320240676192861</v>
      </c>
      <c r="Q684" s="14">
        <f>VLOOKUP(B684, 'All Menu'!B:M, 12, 0)</f>
        <v>0.88077464683259754</v>
      </c>
      <c r="R684" s="173">
        <f t="shared" si="46"/>
        <v>0</v>
      </c>
    </row>
    <row r="685" spans="1:18" ht="14" hidden="1">
      <c r="A685" s="78" t="s">
        <v>2507</v>
      </c>
      <c r="B685" s="220" t="s">
        <v>1890</v>
      </c>
      <c r="C685" s="185"/>
      <c r="D685" s="103" t="str">
        <f>VLOOKUP(B685, 'All Menu'!B:M, 4, 0)</f>
        <v>حمص المركزية</v>
      </c>
      <c r="E685" s="30" t="str">
        <f>VLOOKUP(B685, 'All Menu'!B:M, 2, 0)</f>
        <v>قسم الصالة</v>
      </c>
      <c r="F685" s="103" t="str">
        <f>VLOOKUP(B685, 'All Menu'!B:M, 3, 0)</f>
        <v>مقبلات باردة صالة</v>
      </c>
      <c r="G685" s="90" t="s">
        <v>2404</v>
      </c>
      <c r="H685" s="219" t="s">
        <v>488</v>
      </c>
      <c r="I685" s="110" t="str">
        <f>VLOOKUP(H685, 'RM &amp; SF'!B:H, 2, 0)</f>
        <v>حمص</v>
      </c>
      <c r="J685" s="184" t="str">
        <f>VLOOKUP(H685, 'RM &amp; SF'!B:E, 4, 0)</f>
        <v>غم</v>
      </c>
      <c r="K685" s="12">
        <v>220</v>
      </c>
      <c r="L685" s="13">
        <f>VLOOKUP(H685, 'RM &amp; SF'!B:H, 7, 0)</f>
        <v>1.3232918279569891E-3</v>
      </c>
      <c r="M685" s="7">
        <f t="shared" si="45"/>
        <v>0.29112420215053758</v>
      </c>
      <c r="N685" s="4" t="s">
        <v>825</v>
      </c>
      <c r="O685" s="4">
        <f>VLOOKUP(B685, 'All Menu'!B:L, 6, 0)</f>
        <v>2.8017241379310347</v>
      </c>
      <c r="P685" s="6">
        <f>VLOOKUP(B685, 'All Menu'!B:L, 9, 0)</f>
        <v>0.31238329305962848</v>
      </c>
      <c r="Q685" s="14">
        <f>VLOOKUP(B685, 'All Menu'!B:M, 12, 0)</f>
        <v>0.8885031938617941</v>
      </c>
      <c r="R685" s="173">
        <f t="shared" si="46"/>
        <v>0</v>
      </c>
    </row>
    <row r="686" spans="1:18" ht="14" hidden="1">
      <c r="A686" s="78" t="s">
        <v>2507</v>
      </c>
      <c r="B686" s="220" t="s">
        <v>1890</v>
      </c>
      <c r="C686" s="185"/>
      <c r="D686" s="103" t="str">
        <f>VLOOKUP(B686, 'All Menu'!B:M, 4, 0)</f>
        <v>حمص المركزية</v>
      </c>
      <c r="E686" s="30" t="str">
        <f>VLOOKUP(B686, 'All Menu'!B:M, 2, 0)</f>
        <v>قسم الصالة</v>
      </c>
      <c r="F686" s="103" t="str">
        <f>VLOOKUP(B686, 'All Menu'!B:M, 3, 0)</f>
        <v>مقبلات باردة صالة</v>
      </c>
      <c r="G686" s="90" t="s">
        <v>2379</v>
      </c>
      <c r="H686" s="219" t="s">
        <v>1903</v>
      </c>
      <c r="I686" s="110" t="str">
        <f>VLOOKUP(H686, 'RM &amp; SF'!B:H, 2, 0)</f>
        <v>صوص الكزبرة</v>
      </c>
      <c r="J686" s="184" t="str">
        <f>VLOOKUP(H686, 'RM &amp; SF'!B:E, 4, 0)</f>
        <v>غم</v>
      </c>
      <c r="K686" s="12">
        <v>15</v>
      </c>
      <c r="L686" s="13">
        <f>VLOOKUP(H686, 'RM &amp; SF'!B:H, 7, 0)</f>
        <v>1.4172727272727273E-3</v>
      </c>
      <c r="M686" s="7">
        <f t="shared" si="45"/>
        <v>2.1259090909090908E-2</v>
      </c>
      <c r="N686" s="4" t="s">
        <v>825</v>
      </c>
      <c r="O686" s="4">
        <f>VLOOKUP(B686, 'All Menu'!B:L, 6, 0)</f>
        <v>2.8017241379310347</v>
      </c>
      <c r="P686" s="6">
        <f>VLOOKUP(B686, 'All Menu'!B:L, 9, 0)</f>
        <v>0.31238329305962848</v>
      </c>
      <c r="Q686" s="14">
        <f>VLOOKUP(B686, 'All Menu'!B:M, 12, 0)</f>
        <v>0.8885031938617941</v>
      </c>
      <c r="R686" s="173">
        <f t="shared" si="46"/>
        <v>0</v>
      </c>
    </row>
    <row r="687" spans="1:18" ht="14" hidden="1">
      <c r="A687" s="78" t="s">
        <v>2560</v>
      </c>
      <c r="B687" s="220" t="s">
        <v>1058</v>
      </c>
      <c r="C687" s="185"/>
      <c r="D687" s="103" t="str">
        <f>VLOOKUP(B687, 'All Menu'!B:M, 4, 0)</f>
        <v>بيدا جبنة</v>
      </c>
      <c r="E687" s="30" t="str">
        <f>VLOOKUP(B687, 'All Menu'!B:M, 2, 0)</f>
        <v>قسم الصالة</v>
      </c>
      <c r="F687" s="103" t="str">
        <f>VLOOKUP(B687, 'All Menu'!B:M, 3, 0)</f>
        <v>عجين صالة</v>
      </c>
      <c r="G687" s="90" t="s">
        <v>2333</v>
      </c>
      <c r="H687" s="219" t="s">
        <v>498</v>
      </c>
      <c r="I687" s="110" t="str">
        <f>VLOOKUP(H687, 'RM &amp; SF'!B:H, 2, 0)</f>
        <v>عجين الصفيحة والمناقيش</v>
      </c>
      <c r="J687" s="184" t="str">
        <f>VLOOKUP(H687, 'RM &amp; SF'!B:E, 4, 0)</f>
        <v>غم</v>
      </c>
      <c r="K687" s="12">
        <v>350</v>
      </c>
      <c r="L687" s="13">
        <f>VLOOKUP(H687, 'RM &amp; SF'!B:H, 7, 0)</f>
        <v>4.659980972150147E-4</v>
      </c>
      <c r="M687" s="7">
        <f t="shared" si="45"/>
        <v>0.16309933402525514</v>
      </c>
      <c r="N687" s="4" t="s">
        <v>825</v>
      </c>
      <c r="O687" s="4">
        <f>VLOOKUP(B687, 'All Menu'!B:L, 6, 0)</f>
        <v>4.6120689655172411</v>
      </c>
      <c r="P687" s="6">
        <f>VLOOKUP(B687, 'All Menu'!B:L, 9, 0)</f>
        <v>1.920005154131075</v>
      </c>
      <c r="Q687" s="14">
        <f>VLOOKUP(B687, 'All Menu'!B:M, 12, 0)</f>
        <v>0.5836998170482155</v>
      </c>
      <c r="R687" s="173">
        <f t="shared" si="46"/>
        <v>0</v>
      </c>
    </row>
    <row r="688" spans="1:18" ht="14" hidden="1">
      <c r="A688" s="78" t="s">
        <v>2560</v>
      </c>
      <c r="B688" s="220" t="s">
        <v>1058</v>
      </c>
      <c r="C688" s="185"/>
      <c r="D688" s="103" t="str">
        <f>VLOOKUP(B688, 'All Menu'!B:M, 4, 0)</f>
        <v>بيدا جبنة</v>
      </c>
      <c r="E688" s="30" t="str">
        <f>VLOOKUP(B688, 'All Menu'!B:M, 2, 0)</f>
        <v>قسم الصالة</v>
      </c>
      <c r="F688" s="103" t="str">
        <f>VLOOKUP(B688, 'All Menu'!B:M, 3, 0)</f>
        <v>عجين صالة</v>
      </c>
      <c r="G688" s="90" t="s">
        <v>2173</v>
      </c>
      <c r="H688" s="188">
        <v>4624</v>
      </c>
      <c r="I688" s="110" t="str">
        <f>VLOOKUP(H688, 'RM &amp; SF'!B:H, 2, 0)</f>
        <v>جبنة موزريلا قالب 2.380 كغ*****</v>
      </c>
      <c r="J688" s="184" t="str">
        <f>VLOOKUP(H688, 'RM &amp; SF'!B:E, 4, 0)</f>
        <v>غم</v>
      </c>
      <c r="K688" s="12">
        <v>200</v>
      </c>
      <c r="L688" s="13">
        <f>VLOOKUP(H688, 'RM &amp; SF'!B:H, 7, 0)</f>
        <v>5.1749999999999999E-3</v>
      </c>
      <c r="M688" s="7">
        <f t="shared" si="45"/>
        <v>1.0349999999999999</v>
      </c>
      <c r="N688" s="4" t="s">
        <v>825</v>
      </c>
      <c r="O688" s="4">
        <f>VLOOKUP(B688, 'All Menu'!B:L, 6, 0)</f>
        <v>4.6120689655172411</v>
      </c>
      <c r="P688" s="6">
        <f>VLOOKUP(B688, 'All Menu'!B:L, 9, 0)</f>
        <v>1.920005154131075</v>
      </c>
      <c r="Q688" s="14">
        <f>VLOOKUP(B688, 'All Menu'!B:M, 12, 0)</f>
        <v>0.5836998170482155</v>
      </c>
      <c r="R688" s="173">
        <f t="shared" si="46"/>
        <v>0</v>
      </c>
    </row>
    <row r="689" spans="1:18" ht="14" hidden="1">
      <c r="A689" s="78" t="s">
        <v>2560</v>
      </c>
      <c r="B689" s="220" t="s">
        <v>1058</v>
      </c>
      <c r="C689" s="185"/>
      <c r="D689" s="103" t="str">
        <f>VLOOKUP(B689, 'All Menu'!B:M, 4, 0)</f>
        <v>بيدا جبنة</v>
      </c>
      <c r="E689" s="30" t="str">
        <f>VLOOKUP(B689, 'All Menu'!B:M, 2, 0)</f>
        <v>قسم الصالة</v>
      </c>
      <c r="F689" s="103" t="str">
        <f>VLOOKUP(B689, 'All Menu'!B:M, 3, 0)</f>
        <v>عجين صالة</v>
      </c>
      <c r="G689" s="90" t="s">
        <v>2172</v>
      </c>
      <c r="H689" s="188">
        <v>4559</v>
      </c>
      <c r="I689" s="110" t="str">
        <f>VLOOKUP(H689, 'RM &amp; SF'!B:H, 2, 0)</f>
        <v>جبنة عكاوي 5 كغ*****</v>
      </c>
      <c r="J689" s="184" t="str">
        <f>VLOOKUP(H689, 'RM &amp; SF'!B:E, 4, 0)</f>
        <v>غم</v>
      </c>
      <c r="K689" s="12">
        <v>150</v>
      </c>
      <c r="L689" s="13">
        <f>VLOOKUP(H689, 'RM &amp; SF'!B:H, 7, 0)</f>
        <v>4.7619999999999997E-3</v>
      </c>
      <c r="M689" s="7">
        <f t="shared" si="45"/>
        <v>0.71429999999999993</v>
      </c>
      <c r="N689" s="4" t="s">
        <v>825</v>
      </c>
      <c r="O689" s="4">
        <f>VLOOKUP(B689, 'All Menu'!B:L, 6, 0)</f>
        <v>4.6120689655172411</v>
      </c>
      <c r="P689" s="6">
        <f>VLOOKUP(B689, 'All Menu'!B:L, 9, 0)</f>
        <v>1.920005154131075</v>
      </c>
      <c r="Q689" s="14">
        <f>VLOOKUP(B689, 'All Menu'!B:M, 12, 0)</f>
        <v>0.5836998170482155</v>
      </c>
      <c r="R689" s="173">
        <f t="shared" si="46"/>
        <v>0</v>
      </c>
    </row>
    <row r="690" spans="1:18" ht="14" hidden="1">
      <c r="A690" s="78" t="s">
        <v>2560</v>
      </c>
      <c r="B690" s="220" t="s">
        <v>1058</v>
      </c>
      <c r="C690" s="185"/>
      <c r="D690" s="103" t="str">
        <f>VLOOKUP(B690, 'All Menu'!B:M, 4, 0)</f>
        <v>بيدا جبنة</v>
      </c>
      <c r="E690" s="30" t="str">
        <f>VLOOKUP(B690, 'All Menu'!B:M, 2, 0)</f>
        <v>قسم الصالة</v>
      </c>
      <c r="F690" s="103" t="str">
        <f>VLOOKUP(B690, 'All Menu'!B:M, 3, 0)</f>
        <v>عجين صالة</v>
      </c>
      <c r="G690" s="90" t="s">
        <v>3058</v>
      </c>
      <c r="H690" s="188">
        <v>4074</v>
      </c>
      <c r="I690" s="110" t="str">
        <f>VLOOKUP(H690, 'RM &amp; SF'!B:H, 2, 0)</f>
        <v>زيتون اسود شرائح 4.200 كغ*****</v>
      </c>
      <c r="J690" s="184" t="str">
        <f>VLOOKUP(H690, 'RM &amp; SF'!B:E, 4, 0)</f>
        <v>غم</v>
      </c>
      <c r="K690" s="12">
        <v>5</v>
      </c>
      <c r="L690" s="13">
        <f>VLOOKUP(H690, 'RM &amp; SF'!B:H, 7, 0)</f>
        <v>1.5211640211640213E-3</v>
      </c>
      <c r="M690" s="7">
        <f t="shared" si="45"/>
        <v>7.6058201058201063E-3</v>
      </c>
      <c r="N690" s="4" t="s">
        <v>825</v>
      </c>
      <c r="O690" s="4">
        <f>VLOOKUP(B690, 'All Menu'!B:L, 6, 0)</f>
        <v>4.6120689655172411</v>
      </c>
      <c r="P690" s="6">
        <f>VLOOKUP(B690, 'All Menu'!B:L, 9, 0)</f>
        <v>1.920005154131075</v>
      </c>
      <c r="Q690" s="14">
        <f>VLOOKUP(B690, 'All Menu'!B:M, 12, 0)</f>
        <v>0.5836998170482155</v>
      </c>
      <c r="R690" s="173">
        <f t="shared" si="46"/>
        <v>0</v>
      </c>
    </row>
    <row r="691" spans="1:18" ht="14" hidden="1">
      <c r="A691" s="78" t="s">
        <v>2559</v>
      </c>
      <c r="B691" s="220" t="s">
        <v>1059</v>
      </c>
      <c r="C691" s="185"/>
      <c r="D691" s="103" t="str">
        <f>VLOOKUP(B691, 'All Menu'!B:M, 4, 0)</f>
        <v>بيدا لحمة</v>
      </c>
      <c r="E691" s="30" t="str">
        <f>VLOOKUP(B691, 'All Menu'!B:M, 2, 0)</f>
        <v>قسم الصالة</v>
      </c>
      <c r="F691" s="103" t="str">
        <f>VLOOKUP(B691, 'All Menu'!B:M, 3, 0)</f>
        <v>عجين صالة</v>
      </c>
      <c r="G691" s="90" t="s">
        <v>2333</v>
      </c>
      <c r="H691" s="219" t="s">
        <v>498</v>
      </c>
      <c r="I691" s="110" t="str">
        <f>VLOOKUP(H691, 'RM &amp; SF'!B:H, 2, 0)</f>
        <v>عجين الصفيحة والمناقيش</v>
      </c>
      <c r="J691" s="184" t="str">
        <f>VLOOKUP(H691, 'RM &amp; SF'!B:E, 4, 0)</f>
        <v>غم</v>
      </c>
      <c r="K691" s="12">
        <v>350</v>
      </c>
      <c r="L691" s="13">
        <f>VLOOKUP(H691, 'RM &amp; SF'!B:H, 7, 0)</f>
        <v>4.659980972150147E-4</v>
      </c>
      <c r="M691" s="7">
        <f t="shared" si="45"/>
        <v>0.16309933402525514</v>
      </c>
      <c r="N691" s="4" t="s">
        <v>825</v>
      </c>
      <c r="O691" s="4">
        <f>VLOOKUP(B691, 'All Menu'!B:L, 6, 0)</f>
        <v>5.0431034482758621</v>
      </c>
      <c r="P691" s="6">
        <f>VLOOKUP(B691, 'All Menu'!B:L, 9, 0)</f>
        <v>1.4278214859239893</v>
      </c>
      <c r="Q691" s="14">
        <f>VLOOKUP(B691, 'All Menu'!B:M, 12, 0)</f>
        <v>0.71687642330396106</v>
      </c>
      <c r="R691" s="173">
        <f t="shared" si="46"/>
        <v>0</v>
      </c>
    </row>
    <row r="692" spans="1:18" ht="14" hidden="1">
      <c r="A692" s="78" t="s">
        <v>2559</v>
      </c>
      <c r="B692" s="220" t="s">
        <v>1059</v>
      </c>
      <c r="C692" s="185"/>
      <c r="D692" s="103" t="str">
        <f>VLOOKUP(B692, 'All Menu'!B:M, 4, 0)</f>
        <v>بيدا لحمة</v>
      </c>
      <c r="E692" s="30" t="str">
        <f>VLOOKUP(B692, 'All Menu'!B:M, 2, 0)</f>
        <v>قسم الصالة</v>
      </c>
      <c r="F692" s="103" t="str">
        <f>VLOOKUP(B692, 'All Menu'!B:M, 3, 0)</f>
        <v>عجين صالة</v>
      </c>
      <c r="G692" s="90" t="s">
        <v>2173</v>
      </c>
      <c r="H692" s="188">
        <v>4624</v>
      </c>
      <c r="I692" s="110" t="str">
        <f>VLOOKUP(H692, 'RM &amp; SF'!B:H, 2, 0)</f>
        <v>جبنة موزريلا قالب 2.380 كغ*****</v>
      </c>
      <c r="J692" s="184" t="str">
        <f>VLOOKUP(H692, 'RM &amp; SF'!B:E, 4, 0)</f>
        <v>غم</v>
      </c>
      <c r="K692" s="12">
        <v>150</v>
      </c>
      <c r="L692" s="13">
        <f>VLOOKUP(H692, 'RM &amp; SF'!B:H, 7, 0)</f>
        <v>5.1749999999999999E-3</v>
      </c>
      <c r="M692" s="7">
        <f t="shared" si="45"/>
        <v>0.77625</v>
      </c>
      <c r="N692" s="4" t="s">
        <v>825</v>
      </c>
      <c r="O692" s="4">
        <f>VLOOKUP(B692, 'All Menu'!B:L, 6, 0)</f>
        <v>5.0431034482758621</v>
      </c>
      <c r="P692" s="6">
        <f>VLOOKUP(B692, 'All Menu'!B:L, 9, 0)</f>
        <v>1.4278214859239893</v>
      </c>
      <c r="Q692" s="14">
        <f>VLOOKUP(B692, 'All Menu'!B:M, 12, 0)</f>
        <v>0.71687642330396106</v>
      </c>
      <c r="R692" s="173">
        <f t="shared" si="46"/>
        <v>0</v>
      </c>
    </row>
    <row r="693" spans="1:18" ht="14" hidden="1">
      <c r="A693" s="78" t="s">
        <v>2559</v>
      </c>
      <c r="B693" s="220" t="s">
        <v>1059</v>
      </c>
      <c r="C693" s="185"/>
      <c r="D693" s="103" t="str">
        <f>VLOOKUP(B693, 'All Menu'!B:M, 4, 0)</f>
        <v>بيدا لحمة</v>
      </c>
      <c r="E693" s="30" t="str">
        <f>VLOOKUP(B693, 'All Menu'!B:M, 2, 0)</f>
        <v>قسم الصالة</v>
      </c>
      <c r="F693" s="103" t="str">
        <f>VLOOKUP(B693, 'All Menu'!B:M, 3, 0)</f>
        <v>عجين صالة</v>
      </c>
      <c r="G693" s="90" t="s">
        <v>2336</v>
      </c>
      <c r="H693" s="219" t="s">
        <v>496</v>
      </c>
      <c r="I693" s="110" t="str">
        <f>VLOOKUP(H693, 'RM &amp; SF'!B:H, 2, 0)</f>
        <v>لحمة عرايس</v>
      </c>
      <c r="J693" s="184" t="str">
        <f>VLOOKUP(H693, 'RM &amp; SF'!B:E, 4, 0)</f>
        <v>غم</v>
      </c>
      <c r="K693" s="12">
        <v>180</v>
      </c>
      <c r="L693" s="13">
        <f>VLOOKUP(H693, 'RM &amp; SF'!B:H, 7, 0)</f>
        <v>2.7137341772151898E-3</v>
      </c>
      <c r="M693" s="7">
        <f t="shared" ref="M693:M746" si="47">L693*K693</f>
        <v>0.48847215189873416</v>
      </c>
      <c r="N693" s="4" t="s">
        <v>825</v>
      </c>
      <c r="O693" s="4">
        <f>VLOOKUP(B693, 'All Menu'!B:L, 6, 0)</f>
        <v>5.0431034482758621</v>
      </c>
      <c r="P693" s="6">
        <f>VLOOKUP(B693, 'All Menu'!B:L, 9, 0)</f>
        <v>1.4278214859239893</v>
      </c>
      <c r="Q693" s="14">
        <f>VLOOKUP(B693, 'All Menu'!B:M, 12, 0)</f>
        <v>0.71687642330396106</v>
      </c>
      <c r="R693" s="173">
        <f t="shared" si="46"/>
        <v>0</v>
      </c>
    </row>
    <row r="694" spans="1:18" ht="14" hidden="1">
      <c r="A694" s="78" t="s">
        <v>2581</v>
      </c>
      <c r="B694" s="220" t="s">
        <v>1060</v>
      </c>
      <c r="C694" s="185"/>
      <c r="D694" s="103" t="str">
        <f>VLOOKUP(B694, 'All Menu'!B:M, 4, 0)</f>
        <v>سلطة جرجير</v>
      </c>
      <c r="E694" s="30" t="str">
        <f>VLOOKUP(B694, 'All Menu'!B:M, 2, 0)</f>
        <v>قسم الصالة</v>
      </c>
      <c r="F694" s="103" t="str">
        <f>VLOOKUP(B694, 'All Menu'!B:M, 3, 0)</f>
        <v>سلطات صالة</v>
      </c>
      <c r="G694" s="90" t="s">
        <v>2252</v>
      </c>
      <c r="H694" s="188">
        <v>4545</v>
      </c>
      <c r="I694" s="110" t="str">
        <f>VLOOKUP(H694, 'RM &amp; SF'!B:H, 2, 0)</f>
        <v>جرجير*****</v>
      </c>
      <c r="J694" s="184" t="str">
        <f>VLOOKUP(H694, 'RM &amp; SF'!B:E, 4, 0)</f>
        <v>غم</v>
      </c>
      <c r="K694" s="12">
        <v>85</v>
      </c>
      <c r="L694" s="13">
        <f>VLOOKUP(H694, 'RM &amp; SF'!B:H, 7, 0)</f>
        <v>7.5000000000000002E-4</v>
      </c>
      <c r="M694" s="7">
        <f t="shared" si="47"/>
        <v>6.3750000000000001E-2</v>
      </c>
      <c r="N694" s="4" t="s">
        <v>825</v>
      </c>
      <c r="O694" s="4">
        <f>VLOOKUP(B694, 'All Menu'!B:L, 6, 0)</f>
        <v>2.8017241379310347</v>
      </c>
      <c r="P694" s="6">
        <f>VLOOKUP(B694, 'All Menu'!B:L, 9, 0)</f>
        <v>0.81227168801313632</v>
      </c>
      <c r="Q694" s="14">
        <f>VLOOKUP(B694, 'All Menu'!B:M, 12, 0)</f>
        <v>0.71008148981684982</v>
      </c>
      <c r="R694" s="173">
        <f t="shared" si="46"/>
        <v>0</v>
      </c>
    </row>
    <row r="695" spans="1:18" ht="14" hidden="1">
      <c r="A695" s="78" t="s">
        <v>2581</v>
      </c>
      <c r="B695" s="220" t="s">
        <v>1060</v>
      </c>
      <c r="C695" s="185"/>
      <c r="D695" s="103" t="str">
        <f>VLOOKUP(B695, 'All Menu'!B:M, 4, 0)</f>
        <v>سلطة جرجير</v>
      </c>
      <c r="E695" s="30" t="str">
        <f>VLOOKUP(B695, 'All Menu'!B:M, 2, 0)</f>
        <v>قسم الصالة</v>
      </c>
      <c r="F695" s="103" t="str">
        <f>VLOOKUP(B695, 'All Menu'!B:M, 3, 0)</f>
        <v>سلطات صالة</v>
      </c>
      <c r="G695" s="90" t="s">
        <v>2250</v>
      </c>
      <c r="H695" s="188">
        <v>4531</v>
      </c>
      <c r="I695" s="110" t="str">
        <f>VLOOKUP(H695, 'RM &amp; SF'!B:H, 2, 0)</f>
        <v>فراولة*****</v>
      </c>
      <c r="J695" s="184" t="str">
        <f>VLOOKUP(H695, 'RM &amp; SF'!B:E, 4, 0)</f>
        <v>غم</v>
      </c>
      <c r="K695" s="12">
        <v>35</v>
      </c>
      <c r="L695" s="13">
        <f>VLOOKUP(H695, 'RM &amp; SF'!B:H, 7, 0)</f>
        <v>2.5000000000000001E-3</v>
      </c>
      <c r="M695" s="7">
        <f t="shared" si="47"/>
        <v>8.7500000000000008E-2</v>
      </c>
      <c r="N695" s="4" t="s">
        <v>825</v>
      </c>
      <c r="O695" s="4">
        <f>VLOOKUP(B695, 'All Menu'!B:L, 6, 0)</f>
        <v>2.8017241379310347</v>
      </c>
      <c r="P695" s="6">
        <f>VLOOKUP(B695, 'All Menu'!B:L, 9, 0)</f>
        <v>0.81227168801313632</v>
      </c>
      <c r="Q695" s="14">
        <f>VLOOKUP(B695, 'All Menu'!B:M, 12, 0)</f>
        <v>0.71008148981684982</v>
      </c>
      <c r="R695" s="173">
        <f t="shared" si="46"/>
        <v>0</v>
      </c>
    </row>
    <row r="696" spans="1:18" ht="14" hidden="1">
      <c r="A696" s="78" t="s">
        <v>2581</v>
      </c>
      <c r="B696" s="220" t="s">
        <v>1060</v>
      </c>
      <c r="C696" s="185"/>
      <c r="D696" s="103" t="str">
        <f>VLOOKUP(B696, 'All Menu'!B:M, 4, 0)</f>
        <v>سلطة جرجير</v>
      </c>
      <c r="E696" s="30" t="str">
        <f>VLOOKUP(B696, 'All Menu'!B:M, 2, 0)</f>
        <v>قسم الصالة</v>
      </c>
      <c r="F696" s="103" t="str">
        <f>VLOOKUP(B696, 'All Menu'!B:M, 3, 0)</f>
        <v>سلطات صالة</v>
      </c>
      <c r="G696" s="90" t="s">
        <v>2240</v>
      </c>
      <c r="H696" s="188">
        <v>4515</v>
      </c>
      <c r="I696" s="110" t="str">
        <f>VLOOKUP(H696, 'RM &amp; SF'!B:H, 2, 0)</f>
        <v>فطر طازج (فطر فرش)*****</v>
      </c>
      <c r="J696" s="184" t="str">
        <f>VLOOKUP(H696, 'RM &amp; SF'!B:E, 4, 0)</f>
        <v>غم</v>
      </c>
      <c r="K696" s="12">
        <v>25</v>
      </c>
      <c r="L696" s="13">
        <f>VLOOKUP(H696, 'RM &amp; SF'!B:H, 7, 0)</f>
        <v>5.9999999999999993E-3</v>
      </c>
      <c r="M696" s="7">
        <f t="shared" si="47"/>
        <v>0.15</v>
      </c>
      <c r="N696" s="4" t="s">
        <v>825</v>
      </c>
      <c r="O696" s="4">
        <f>VLOOKUP(B696, 'All Menu'!B:L, 6, 0)</f>
        <v>2.8017241379310347</v>
      </c>
      <c r="P696" s="6">
        <f>VLOOKUP(B696, 'All Menu'!B:L, 9, 0)</f>
        <v>0.81227168801313632</v>
      </c>
      <c r="Q696" s="14">
        <f>VLOOKUP(B696, 'All Menu'!B:M, 12, 0)</f>
        <v>0.71008148981684982</v>
      </c>
      <c r="R696" s="173">
        <f t="shared" si="46"/>
        <v>0</v>
      </c>
    </row>
    <row r="697" spans="1:18" ht="14" hidden="1">
      <c r="A697" s="78" t="s">
        <v>2581</v>
      </c>
      <c r="B697" s="220" t="s">
        <v>1060</v>
      </c>
      <c r="C697" s="185"/>
      <c r="D697" s="103" t="str">
        <f>VLOOKUP(B697, 'All Menu'!B:M, 4, 0)</f>
        <v>سلطة جرجير</v>
      </c>
      <c r="E697" s="30" t="str">
        <f>VLOOKUP(B697, 'All Menu'!B:M, 2, 0)</f>
        <v>قسم الصالة</v>
      </c>
      <c r="F697" s="103" t="str">
        <f>VLOOKUP(B697, 'All Menu'!B:M, 3, 0)</f>
        <v>سلطات صالة</v>
      </c>
      <c r="G697" s="90" t="s">
        <v>2179</v>
      </c>
      <c r="H697" s="188">
        <v>4560</v>
      </c>
      <c r="I697" s="110" t="str">
        <f>VLOOKUP(H697, 'RM &amp; SF'!B:H, 2, 0)</f>
        <v>جبنة بارميزان قالب*****</v>
      </c>
      <c r="J697" s="184" t="str">
        <f>VLOOKUP(H697, 'RM &amp; SF'!B:E, 4, 0)</f>
        <v>غم</v>
      </c>
      <c r="K697" s="12">
        <v>20</v>
      </c>
      <c r="L697" s="13">
        <f>VLOOKUP(H697, 'RM &amp; SF'!B:H, 7, 0)</f>
        <v>6.5100000000000002E-3</v>
      </c>
      <c r="M697" s="7">
        <f t="shared" si="47"/>
        <v>0.13020000000000001</v>
      </c>
      <c r="N697" s="4" t="s">
        <v>825</v>
      </c>
      <c r="O697" s="4">
        <f>VLOOKUP(B697, 'All Menu'!B:L, 6, 0)</f>
        <v>2.8017241379310347</v>
      </c>
      <c r="P697" s="6">
        <f>VLOOKUP(B697, 'All Menu'!B:L, 9, 0)</f>
        <v>0.81227168801313632</v>
      </c>
      <c r="Q697" s="14">
        <f>VLOOKUP(B697, 'All Menu'!B:M, 12, 0)</f>
        <v>0.71008148981684982</v>
      </c>
      <c r="R697" s="173">
        <f t="shared" si="46"/>
        <v>0</v>
      </c>
    </row>
    <row r="698" spans="1:18" ht="14" hidden="1">
      <c r="A698" s="78" t="s">
        <v>2581</v>
      </c>
      <c r="B698" s="220" t="s">
        <v>1060</v>
      </c>
      <c r="C698" s="185"/>
      <c r="D698" s="103" t="str">
        <f>VLOOKUP(B698, 'All Menu'!B:M, 4, 0)</f>
        <v>سلطة جرجير</v>
      </c>
      <c r="E698" s="30" t="str">
        <f>VLOOKUP(B698, 'All Menu'!B:M, 2, 0)</f>
        <v>قسم الصالة</v>
      </c>
      <c r="F698" s="103" t="str">
        <f>VLOOKUP(B698, 'All Menu'!B:M, 3, 0)</f>
        <v>سلطات صالة</v>
      </c>
      <c r="G698" s="90" t="s">
        <v>2356</v>
      </c>
      <c r="H698" s="219" t="s">
        <v>738</v>
      </c>
      <c r="I698" s="110" t="str">
        <f>VLOOKUP(H698, 'RM &amp; SF'!B:H, 2, 0)</f>
        <v>صوص بلسمك</v>
      </c>
      <c r="J698" s="184" t="str">
        <f>VLOOKUP(H698, 'RM &amp; SF'!B:E, 4, 0)</f>
        <v>غم</v>
      </c>
      <c r="K698" s="12">
        <v>80</v>
      </c>
      <c r="L698" s="13">
        <f>VLOOKUP(H698, 'RM &amp; SF'!B:H, 7, 0)</f>
        <v>3.9905666666666673E-3</v>
      </c>
      <c r="M698" s="7">
        <f t="shared" si="47"/>
        <v>0.31924533333333338</v>
      </c>
      <c r="N698" s="4" t="s">
        <v>825</v>
      </c>
      <c r="O698" s="4">
        <f>VLOOKUP(B698, 'All Menu'!B:L, 6, 0)</f>
        <v>2.8017241379310347</v>
      </c>
      <c r="P698" s="6">
        <f>VLOOKUP(B698, 'All Menu'!B:L, 9, 0)</f>
        <v>0.81227168801313632</v>
      </c>
      <c r="Q698" s="14">
        <f>VLOOKUP(B698, 'All Menu'!B:M, 12, 0)</f>
        <v>0.71008148981684982</v>
      </c>
      <c r="R698" s="173">
        <f t="shared" si="46"/>
        <v>0</v>
      </c>
    </row>
    <row r="699" spans="1:18" ht="14" hidden="1">
      <c r="A699" s="78" t="s">
        <v>2581</v>
      </c>
      <c r="B699" s="220" t="s">
        <v>1060</v>
      </c>
      <c r="C699" s="185"/>
      <c r="D699" s="103" t="str">
        <f>VLOOKUP(B699, 'All Menu'!B:M, 4, 0)</f>
        <v>سلطة جرجير</v>
      </c>
      <c r="E699" s="30" t="str">
        <f>VLOOKUP(B699, 'All Menu'!B:M, 2, 0)</f>
        <v>قسم الصالة</v>
      </c>
      <c r="F699" s="103" t="str">
        <f>VLOOKUP(B699, 'All Menu'!B:M, 3, 0)</f>
        <v>سلطات صالة</v>
      </c>
      <c r="G699" s="90" t="s">
        <v>3058</v>
      </c>
      <c r="H699" s="188">
        <v>5410</v>
      </c>
      <c r="I699" s="110" t="str">
        <f>VLOOKUP(H699, 'RM &amp; SF'!B:H, 2, 0)</f>
        <v>قرسيني (موالح)</v>
      </c>
      <c r="J699" s="184" t="str">
        <f>VLOOKUP(H699, 'RM &amp; SF'!B:E, 4, 0)</f>
        <v>غم</v>
      </c>
      <c r="K699" s="12">
        <v>20</v>
      </c>
      <c r="L699" s="13">
        <f>VLOOKUP(H699, 'RM &amp; SF'!B:H, 7, 0)</f>
        <v>3.0788177339901479E-3</v>
      </c>
      <c r="M699" s="7">
        <f t="shared" si="47"/>
        <v>6.1576354679802957E-2</v>
      </c>
      <c r="N699" s="4" t="s">
        <v>825</v>
      </c>
      <c r="O699" s="4">
        <f>VLOOKUP(B699, 'All Menu'!B:L, 6, 0)</f>
        <v>2.8017241379310347</v>
      </c>
      <c r="P699" s="6">
        <f>VLOOKUP(B699, 'All Menu'!B:L, 9, 0)</f>
        <v>0.81227168801313632</v>
      </c>
      <c r="Q699" s="14">
        <f>VLOOKUP(B699, 'All Menu'!B:M, 12, 0)</f>
        <v>0.71008148981684982</v>
      </c>
      <c r="R699" s="173">
        <f t="shared" si="46"/>
        <v>0</v>
      </c>
    </row>
    <row r="700" spans="1:18" ht="14" hidden="1">
      <c r="A700" s="78" t="s">
        <v>2619</v>
      </c>
      <c r="B700" s="220" t="s">
        <v>1061</v>
      </c>
      <c r="C700" s="185"/>
      <c r="D700" s="103" t="str">
        <f>VLOOKUP(B700, 'All Menu'!B:M, 4, 0)</f>
        <v>رز مبهر</v>
      </c>
      <c r="E700" s="30" t="str">
        <f>VLOOKUP(B700, 'All Menu'!B:M, 2, 0)</f>
        <v>قسم الصالة</v>
      </c>
      <c r="F700" s="103" t="str">
        <f>VLOOKUP(B700, 'All Menu'!B:M, 3, 0)</f>
        <v>اطباق اليوم صالة</v>
      </c>
      <c r="G700" s="90" t="s">
        <v>2377</v>
      </c>
      <c r="H700" s="219" t="s">
        <v>796</v>
      </c>
      <c r="I700" s="110" t="str">
        <f>VLOOKUP(H700, 'RM &amp; SF'!B:H, 2, 0)</f>
        <v>رز مبهر</v>
      </c>
      <c r="J700" s="184" t="str">
        <f>VLOOKUP(H700, 'RM &amp; SF'!B:E, 4, 0)</f>
        <v>غم</v>
      </c>
      <c r="K700" s="12">
        <v>500</v>
      </c>
      <c r="L700" s="13">
        <f>VLOOKUP(H700, 'RM &amp; SF'!B:H, 7, 0)</f>
        <v>8.1314491666666653E-4</v>
      </c>
      <c r="M700" s="7">
        <f t="shared" si="47"/>
        <v>0.40657245833333328</v>
      </c>
      <c r="N700" s="4" t="s">
        <v>825</v>
      </c>
      <c r="O700" s="4">
        <f>VLOOKUP(B700, 'All Menu'!B:L, 6, 0)</f>
        <v>1.9396551724137931</v>
      </c>
      <c r="P700" s="6">
        <f>VLOOKUP(B700, 'All Menu'!B:L, 9, 0)</f>
        <v>0.40657245833333328</v>
      </c>
      <c r="Q700" s="14">
        <f>VLOOKUP(B700, 'All Menu'!B:M, 12, 0)</f>
        <v>0.79038931037037041</v>
      </c>
      <c r="R700" s="173">
        <f t="shared" si="46"/>
        <v>0</v>
      </c>
    </row>
    <row r="701" spans="1:18" ht="14" hidden="1">
      <c r="A701" s="78" t="s">
        <v>2599</v>
      </c>
      <c r="B701" s="220" t="s">
        <v>1062</v>
      </c>
      <c r="C701" s="185"/>
      <c r="D701" s="103" t="str">
        <f>VLOOKUP(B701, 'All Menu'!B:M, 4, 0)</f>
        <v>فخارة فريكة بالكريمة</v>
      </c>
      <c r="E701" s="30" t="str">
        <f>VLOOKUP(B701, 'All Menu'!B:M, 2, 0)</f>
        <v>قسم الصالة</v>
      </c>
      <c r="F701" s="103" t="str">
        <f>VLOOKUP(B701, 'All Menu'!B:M, 3, 0)</f>
        <v>صواني وصاجيات صالة</v>
      </c>
      <c r="G701" s="90" t="s">
        <v>2282</v>
      </c>
      <c r="H701" s="188">
        <v>4137</v>
      </c>
      <c r="I701" s="110" t="str">
        <f>VLOOKUP(H701, 'RM &amp; SF'!B:H, 2, 0)</f>
        <v>فريكة خشنة*****</v>
      </c>
      <c r="J701" s="184" t="str">
        <f>VLOOKUP(H701, 'RM &amp; SF'!B:E, 4, 0)</f>
        <v>غم</v>
      </c>
      <c r="K701" s="12">
        <v>250</v>
      </c>
      <c r="L701" s="13">
        <f>VLOOKUP(H701, 'RM &amp; SF'!B:H, 7, 0)</f>
        <v>2.2059000000000002E-3</v>
      </c>
      <c r="M701" s="7">
        <f t="shared" si="47"/>
        <v>0.55147500000000005</v>
      </c>
      <c r="N701" s="4" t="s">
        <v>825</v>
      </c>
      <c r="O701" s="4">
        <f>VLOOKUP(B701, 'All Menu'!B:L, 6, 0)</f>
        <v>4.9568965517241379</v>
      </c>
      <c r="P701" s="6">
        <f>VLOOKUP(B701, 'All Menu'!B:L, 9, 0)</f>
        <v>1.9318031998084291</v>
      </c>
      <c r="Q701" s="14">
        <f>VLOOKUP(B701, 'All Menu'!B:M, 12, 0)</f>
        <v>0.610279702299517</v>
      </c>
      <c r="R701" s="173">
        <f t="shared" si="46"/>
        <v>0</v>
      </c>
    </row>
    <row r="702" spans="1:18" ht="14" hidden="1">
      <c r="A702" s="78" t="s">
        <v>2599</v>
      </c>
      <c r="B702" s="220" t="s">
        <v>1062</v>
      </c>
      <c r="C702" s="185"/>
      <c r="D702" s="103" t="str">
        <f>VLOOKUP(B702, 'All Menu'!B:M, 4, 0)</f>
        <v>فخارة فريكة بالكريمة</v>
      </c>
      <c r="E702" s="30" t="str">
        <f>VLOOKUP(B702, 'All Menu'!B:M, 2, 0)</f>
        <v>قسم الصالة</v>
      </c>
      <c r="F702" s="103" t="str">
        <f>VLOOKUP(B702, 'All Menu'!B:M, 3, 0)</f>
        <v>صواني وصاجيات صالة</v>
      </c>
      <c r="G702" s="90" t="s">
        <v>2445</v>
      </c>
      <c r="H702" s="219" t="s">
        <v>668</v>
      </c>
      <c r="I702" s="110" t="str">
        <f>VLOOKUP(H702, 'RM &amp; SF'!B:H, 2, 0)</f>
        <v>دجاج مسحب بالفرن انترناشونال</v>
      </c>
      <c r="J702" s="184" t="str">
        <f>VLOOKUP(H702, 'RM &amp; SF'!B:E, 4, 0)</f>
        <v>غم</v>
      </c>
      <c r="K702" s="12">
        <v>100</v>
      </c>
      <c r="L702" s="13">
        <f>VLOOKUP(H702, 'RM &amp; SF'!B:H, 7, 0)</f>
        <v>4.5947853888888886E-3</v>
      </c>
      <c r="M702" s="7">
        <f t="shared" si="47"/>
        <v>0.45947853888888884</v>
      </c>
      <c r="N702" s="4" t="s">
        <v>825</v>
      </c>
      <c r="O702" s="4">
        <f>VLOOKUP(B702, 'All Menu'!B:L, 6, 0)</f>
        <v>4.9568965517241379</v>
      </c>
      <c r="P702" s="6">
        <f>VLOOKUP(B702, 'All Menu'!B:L, 9, 0)</f>
        <v>1.9318031998084291</v>
      </c>
      <c r="Q702" s="14">
        <f>VLOOKUP(B702, 'All Menu'!B:M, 12, 0)</f>
        <v>0.610279702299517</v>
      </c>
      <c r="R702" s="173">
        <f t="shared" si="46"/>
        <v>0</v>
      </c>
    </row>
    <row r="703" spans="1:18" ht="14" hidden="1">
      <c r="A703" s="78" t="s">
        <v>2599</v>
      </c>
      <c r="B703" s="220" t="s">
        <v>1062</v>
      </c>
      <c r="C703" s="185"/>
      <c r="D703" s="103" t="str">
        <f>VLOOKUP(B703, 'All Menu'!B:M, 4, 0)</f>
        <v>فخارة فريكة بالكريمة</v>
      </c>
      <c r="E703" s="30" t="str">
        <f>VLOOKUP(B703, 'All Menu'!B:M, 2, 0)</f>
        <v>قسم الصالة</v>
      </c>
      <c r="F703" s="103" t="str">
        <f>VLOOKUP(B703, 'All Menu'!B:M, 3, 0)</f>
        <v>صواني وصاجيات صالة</v>
      </c>
      <c r="G703" s="90" t="s">
        <v>2240</v>
      </c>
      <c r="H703" s="188">
        <v>4515</v>
      </c>
      <c r="I703" s="110" t="str">
        <f>VLOOKUP(H703, 'RM &amp; SF'!B:H, 2, 0)</f>
        <v>فطر طازج (فطر فرش)*****</v>
      </c>
      <c r="J703" s="184" t="str">
        <f>VLOOKUP(H703, 'RM &amp; SF'!B:E, 4, 0)</f>
        <v>غم</v>
      </c>
      <c r="K703" s="12">
        <v>60</v>
      </c>
      <c r="L703" s="13">
        <f>VLOOKUP(H703, 'RM &amp; SF'!B:H, 7, 0)</f>
        <v>5.9999999999999993E-3</v>
      </c>
      <c r="M703" s="7">
        <f t="shared" si="47"/>
        <v>0.35999999999999993</v>
      </c>
      <c r="N703" s="4" t="s">
        <v>825</v>
      </c>
      <c r="O703" s="4">
        <f>VLOOKUP(B703, 'All Menu'!B:L, 6, 0)</f>
        <v>4.9568965517241379</v>
      </c>
      <c r="P703" s="6">
        <f>VLOOKUP(B703, 'All Menu'!B:L, 9, 0)</f>
        <v>1.9318031998084291</v>
      </c>
      <c r="Q703" s="14">
        <f>VLOOKUP(B703, 'All Menu'!B:M, 12, 0)</f>
        <v>0.610279702299517</v>
      </c>
      <c r="R703" s="173">
        <f t="shared" ref="R703:R755" si="48">C703*K703</f>
        <v>0</v>
      </c>
    </row>
    <row r="704" spans="1:18" ht="14" hidden="1">
      <c r="A704" s="78" t="s">
        <v>2599</v>
      </c>
      <c r="B704" s="220" t="s">
        <v>1062</v>
      </c>
      <c r="C704" s="185"/>
      <c r="D704" s="103" t="str">
        <f>VLOOKUP(B704, 'All Menu'!B:M, 4, 0)</f>
        <v>فخارة فريكة بالكريمة</v>
      </c>
      <c r="E704" s="30" t="str">
        <f>VLOOKUP(B704, 'All Menu'!B:M, 2, 0)</f>
        <v>قسم الصالة</v>
      </c>
      <c r="F704" s="103" t="str">
        <f>VLOOKUP(B704, 'All Menu'!B:M, 3, 0)</f>
        <v>صواني وصاجيات صالة</v>
      </c>
      <c r="G704" s="90" t="s">
        <v>2291</v>
      </c>
      <c r="H704" s="188">
        <v>4556</v>
      </c>
      <c r="I704" s="110" t="str">
        <f>VLOOKUP(H704, 'RM &amp; SF'!B:H, 2, 0)</f>
        <v>كريما طبخ 1 لتر*****</v>
      </c>
      <c r="J704" s="184" t="str">
        <f>VLOOKUP(H704, 'RM &amp; SF'!B:E, 4, 0)</f>
        <v>مل</v>
      </c>
      <c r="K704" s="12">
        <v>125</v>
      </c>
      <c r="L704" s="13">
        <f>VLOOKUP(H704, 'RM &amp; SF'!B:H, 7, 0)</f>
        <v>2.2269999999999998E-3</v>
      </c>
      <c r="M704" s="7">
        <f t="shared" si="47"/>
        <v>0.27837499999999998</v>
      </c>
      <c r="N704" s="4" t="s">
        <v>825</v>
      </c>
      <c r="O704" s="4">
        <f>VLOOKUP(B704, 'All Menu'!B:L, 6, 0)</f>
        <v>4.9568965517241379</v>
      </c>
      <c r="P704" s="6">
        <f>VLOOKUP(B704, 'All Menu'!B:L, 9, 0)</f>
        <v>1.9318031998084291</v>
      </c>
      <c r="Q704" s="14">
        <f>VLOOKUP(B704, 'All Menu'!B:M, 12, 0)</f>
        <v>0.610279702299517</v>
      </c>
      <c r="R704" s="173">
        <f t="shared" si="48"/>
        <v>0</v>
      </c>
    </row>
    <row r="705" spans="1:18" ht="14" hidden="1">
      <c r="A705" s="78" t="s">
        <v>2599</v>
      </c>
      <c r="B705" s="220" t="s">
        <v>1062</v>
      </c>
      <c r="C705" s="185"/>
      <c r="D705" s="103" t="str">
        <f>VLOOKUP(B705, 'All Menu'!B:M, 4, 0)</f>
        <v>فخارة فريكة بالكريمة</v>
      </c>
      <c r="E705" s="30" t="str">
        <f>VLOOKUP(B705, 'All Menu'!B:M, 2, 0)</f>
        <v>قسم الصالة</v>
      </c>
      <c r="F705" s="103" t="str">
        <f>VLOOKUP(B705, 'All Menu'!B:M, 3, 0)</f>
        <v>صواني وصاجيات صالة</v>
      </c>
      <c r="G705" s="90" t="s">
        <v>2173</v>
      </c>
      <c r="H705" s="188">
        <v>4624</v>
      </c>
      <c r="I705" s="110" t="str">
        <f>VLOOKUP(H705, 'RM &amp; SF'!B:H, 2, 0)</f>
        <v>جبنة موزريلا قالب 2.380 كغ*****</v>
      </c>
      <c r="J705" s="184" t="str">
        <f>VLOOKUP(H705, 'RM &amp; SF'!B:E, 4, 0)</f>
        <v>غم</v>
      </c>
      <c r="K705" s="12">
        <v>25</v>
      </c>
      <c r="L705" s="13">
        <f>VLOOKUP(H705, 'RM &amp; SF'!B:H, 7, 0)</f>
        <v>5.1749999999999999E-3</v>
      </c>
      <c r="M705" s="7">
        <f t="shared" si="47"/>
        <v>0.12937499999999999</v>
      </c>
      <c r="N705" s="4" t="s">
        <v>825</v>
      </c>
      <c r="O705" s="4">
        <f>VLOOKUP(B705, 'All Menu'!B:L, 6, 0)</f>
        <v>4.9568965517241379</v>
      </c>
      <c r="P705" s="6">
        <f>VLOOKUP(B705, 'All Menu'!B:L, 9, 0)</f>
        <v>1.9318031998084291</v>
      </c>
      <c r="Q705" s="14">
        <f>VLOOKUP(B705, 'All Menu'!B:M, 12, 0)</f>
        <v>0.610279702299517</v>
      </c>
      <c r="R705" s="173">
        <f t="shared" si="48"/>
        <v>0</v>
      </c>
    </row>
    <row r="706" spans="1:18" ht="14" hidden="1">
      <c r="A706" s="78" t="s">
        <v>2599</v>
      </c>
      <c r="B706" s="220" t="s">
        <v>1062</v>
      </c>
      <c r="C706" s="185"/>
      <c r="D706" s="103" t="str">
        <f>VLOOKUP(B706, 'All Menu'!B:M, 4, 0)</f>
        <v>فخارة فريكة بالكريمة</v>
      </c>
      <c r="E706" s="30" t="str">
        <f>VLOOKUP(B706, 'All Menu'!B:M, 2, 0)</f>
        <v>قسم الصالة</v>
      </c>
      <c r="F706" s="103" t="str">
        <f>VLOOKUP(B706, 'All Menu'!B:M, 3, 0)</f>
        <v>صواني وصاجيات صالة</v>
      </c>
      <c r="G706" s="90" t="s">
        <v>2234</v>
      </c>
      <c r="H706" s="188">
        <v>4503</v>
      </c>
      <c r="I706" s="110" t="str">
        <f>VLOOKUP(H706, 'RM &amp; SF'!B:H, 2, 0)</f>
        <v>بصل ناشف دفش*****</v>
      </c>
      <c r="J706" s="184" t="str">
        <f>VLOOKUP(H706, 'RM &amp; SF'!B:E, 4, 0)</f>
        <v>غم</v>
      </c>
      <c r="K706" s="12">
        <v>10</v>
      </c>
      <c r="L706" s="13">
        <f>VLOOKUP(H706, 'RM &amp; SF'!B:H, 7, 0)</f>
        <v>2.5000000000000001E-4</v>
      </c>
      <c r="M706" s="7">
        <f t="shared" si="47"/>
        <v>2.5000000000000001E-3</v>
      </c>
      <c r="N706" s="4" t="s">
        <v>825</v>
      </c>
      <c r="O706" s="4">
        <f>VLOOKUP(B706, 'All Menu'!B:L, 6, 0)</f>
        <v>4.9568965517241379</v>
      </c>
      <c r="P706" s="6">
        <f>VLOOKUP(B706, 'All Menu'!B:L, 9, 0)</f>
        <v>1.9318031998084291</v>
      </c>
      <c r="Q706" s="14">
        <f>VLOOKUP(B706, 'All Menu'!B:M, 12, 0)</f>
        <v>0.610279702299517</v>
      </c>
      <c r="R706" s="173">
        <f t="shared" si="48"/>
        <v>0</v>
      </c>
    </row>
    <row r="707" spans="1:18" ht="14" hidden="1">
      <c r="A707" s="78" t="s">
        <v>2599</v>
      </c>
      <c r="B707" s="220" t="s">
        <v>1062</v>
      </c>
      <c r="C707" s="185"/>
      <c r="D707" s="103" t="str">
        <f>VLOOKUP(B707, 'All Menu'!B:M, 4, 0)</f>
        <v>فخارة فريكة بالكريمة</v>
      </c>
      <c r="E707" s="30" t="str">
        <f>VLOOKUP(B707, 'All Menu'!B:M, 2, 0)</f>
        <v>قسم الصالة</v>
      </c>
      <c r="F707" s="103" t="str">
        <f>VLOOKUP(B707, 'All Menu'!B:M, 3, 0)</f>
        <v>صواني وصاجيات صالة</v>
      </c>
      <c r="G707" s="90" t="s">
        <v>2178</v>
      </c>
      <c r="H707" s="188">
        <v>4623</v>
      </c>
      <c r="I707" s="110" t="str">
        <f>VLOOKUP(H707, 'RM &amp; SF'!B:H, 2, 0)</f>
        <v>زبدة مبسترة غير مملحة 1 كغ*****</v>
      </c>
      <c r="J707" s="184" t="str">
        <f>VLOOKUP(H707, 'RM &amp; SF'!B:E, 4, 0)</f>
        <v>غم</v>
      </c>
      <c r="K707" s="12">
        <v>25</v>
      </c>
      <c r="L707" s="13">
        <f>VLOOKUP(H707, 'RM &amp; SF'!B:H, 7, 0)</f>
        <v>2.8839999999999998E-3</v>
      </c>
      <c r="M707" s="7">
        <f t="shared" si="47"/>
        <v>7.2099999999999997E-2</v>
      </c>
      <c r="N707" s="4" t="s">
        <v>825</v>
      </c>
      <c r="O707" s="4">
        <f>VLOOKUP(B707, 'All Menu'!B:L, 6, 0)</f>
        <v>4.9568965517241379</v>
      </c>
      <c r="P707" s="6">
        <f>VLOOKUP(B707, 'All Menu'!B:L, 9, 0)</f>
        <v>1.9318031998084291</v>
      </c>
      <c r="Q707" s="14">
        <f>VLOOKUP(B707, 'All Menu'!B:M, 12, 0)</f>
        <v>0.610279702299517</v>
      </c>
      <c r="R707" s="173">
        <f t="shared" si="48"/>
        <v>0</v>
      </c>
    </row>
    <row r="708" spans="1:18" ht="14" hidden="1">
      <c r="A708" s="78" t="s">
        <v>2599</v>
      </c>
      <c r="B708" s="220" t="s">
        <v>1062</v>
      </c>
      <c r="C708" s="185"/>
      <c r="D708" s="103" t="str">
        <f>VLOOKUP(B708, 'All Menu'!B:M, 4, 0)</f>
        <v>فخارة فريكة بالكريمة</v>
      </c>
      <c r="E708" s="30" t="str">
        <f>VLOOKUP(B708, 'All Menu'!B:M, 2, 0)</f>
        <v>قسم الصالة</v>
      </c>
      <c r="F708" s="103" t="str">
        <f>VLOOKUP(B708, 'All Menu'!B:M, 3, 0)</f>
        <v>صواني وصاجيات صالة</v>
      </c>
      <c r="G708" s="90" t="s">
        <v>2341</v>
      </c>
      <c r="H708" s="219" t="s">
        <v>706</v>
      </c>
      <c r="I708" s="110" t="str">
        <f>VLOOKUP(H708, 'RM &amp; SF'!B:H, 2, 0)</f>
        <v>لوز مقلي</v>
      </c>
      <c r="J708" s="184" t="str">
        <f>VLOOKUP(H708, 'RM &amp; SF'!B:E, 4, 0)</f>
        <v>غم</v>
      </c>
      <c r="K708" s="12">
        <v>10</v>
      </c>
      <c r="L708" s="13">
        <f>VLOOKUP(H708, 'RM &amp; SF'!B:H, 7, 0)</f>
        <v>4.1352327586206888E-3</v>
      </c>
      <c r="M708" s="7">
        <f t="shared" si="47"/>
        <v>4.135232758620689E-2</v>
      </c>
      <c r="N708" s="4" t="s">
        <v>825</v>
      </c>
      <c r="O708" s="4">
        <f>VLOOKUP(B708, 'All Menu'!B:L, 6, 0)</f>
        <v>4.9568965517241379</v>
      </c>
      <c r="P708" s="6">
        <f>VLOOKUP(B708, 'All Menu'!B:L, 9, 0)</f>
        <v>1.9318031998084291</v>
      </c>
      <c r="Q708" s="14">
        <f>VLOOKUP(B708, 'All Menu'!B:M, 12, 0)</f>
        <v>0.610279702299517</v>
      </c>
      <c r="R708" s="173">
        <f t="shared" si="48"/>
        <v>0</v>
      </c>
    </row>
    <row r="709" spans="1:18" ht="14" hidden="1">
      <c r="A709" s="78" t="s">
        <v>2599</v>
      </c>
      <c r="B709" s="220" t="s">
        <v>1062</v>
      </c>
      <c r="C709" s="185"/>
      <c r="D709" s="103" t="str">
        <f>VLOOKUP(B709, 'All Menu'!B:M, 4, 0)</f>
        <v>فخارة فريكة بالكريمة</v>
      </c>
      <c r="E709" s="30" t="str">
        <f>VLOOKUP(B709, 'All Menu'!B:M, 2, 0)</f>
        <v>قسم الصالة</v>
      </c>
      <c r="F709" s="103" t="str">
        <f>VLOOKUP(B709, 'All Menu'!B:M, 3, 0)</f>
        <v>صواني وصاجيات صالة</v>
      </c>
      <c r="G709" s="90" t="s">
        <v>2203</v>
      </c>
      <c r="H709" s="188">
        <v>4152</v>
      </c>
      <c r="I709" s="110" t="str">
        <f>VLOOKUP(H709, 'RM &amp; SF'!B:H, 2, 0)</f>
        <v>ملح طعام 750غم*****</v>
      </c>
      <c r="J709" s="184" t="str">
        <f>VLOOKUP(H709, 'RM &amp; SF'!B:E, 4, 0)</f>
        <v>غم</v>
      </c>
      <c r="K709" s="12">
        <v>5</v>
      </c>
      <c r="L709" s="13">
        <f>VLOOKUP(H709, 'RM &amp; SF'!B:H, 7, 0)</f>
        <v>1.7066666666666665E-4</v>
      </c>
      <c r="M709" s="7">
        <f t="shared" si="47"/>
        <v>8.5333333333333322E-4</v>
      </c>
      <c r="N709" s="4" t="s">
        <v>825</v>
      </c>
      <c r="O709" s="4">
        <f>VLOOKUP(B709, 'All Menu'!B:L, 6, 0)</f>
        <v>4.9568965517241379</v>
      </c>
      <c r="P709" s="6">
        <f>VLOOKUP(B709, 'All Menu'!B:L, 9, 0)</f>
        <v>1.9318031998084291</v>
      </c>
      <c r="Q709" s="14">
        <f>VLOOKUP(B709, 'All Menu'!B:M, 12, 0)</f>
        <v>0.610279702299517</v>
      </c>
      <c r="R709" s="173">
        <f t="shared" si="48"/>
        <v>0</v>
      </c>
    </row>
    <row r="710" spans="1:18" ht="14" hidden="1">
      <c r="A710" s="78" t="s">
        <v>2599</v>
      </c>
      <c r="B710" s="220" t="s">
        <v>1062</v>
      </c>
      <c r="C710" s="185"/>
      <c r="D710" s="103" t="str">
        <f>VLOOKUP(B710, 'All Menu'!B:M, 4, 0)</f>
        <v>فخارة فريكة بالكريمة</v>
      </c>
      <c r="E710" s="30" t="str">
        <f>VLOOKUP(B710, 'All Menu'!B:M, 2, 0)</f>
        <v>قسم الصالة</v>
      </c>
      <c r="F710" s="103" t="str">
        <f>VLOOKUP(B710, 'All Menu'!B:M, 3, 0)</f>
        <v>صواني وصاجيات صالة</v>
      </c>
      <c r="G710" s="90" t="s">
        <v>2206</v>
      </c>
      <c r="H710" s="188">
        <v>4204</v>
      </c>
      <c r="I710" s="110" t="str">
        <f>VLOOKUP(H710, 'RM &amp; SF'!B:H, 2, 0)</f>
        <v>فلفل اسود ناعم*****</v>
      </c>
      <c r="J710" s="184" t="str">
        <f>VLOOKUP(H710, 'RM &amp; SF'!B:E, 4, 0)</f>
        <v>غم</v>
      </c>
      <c r="K710" s="12">
        <v>2</v>
      </c>
      <c r="L710" s="13">
        <f>VLOOKUP(H710, 'RM &amp; SF'!B:H, 7, 0)</f>
        <v>6.8970000000000004E-3</v>
      </c>
      <c r="M710" s="7">
        <f t="shared" si="47"/>
        <v>1.3794000000000001E-2</v>
      </c>
      <c r="N710" s="4" t="s">
        <v>825</v>
      </c>
      <c r="O710" s="4">
        <f>VLOOKUP(B710, 'All Menu'!B:L, 6, 0)</f>
        <v>4.9568965517241379</v>
      </c>
      <c r="P710" s="6">
        <f>VLOOKUP(B710, 'All Menu'!B:L, 9, 0)</f>
        <v>1.9318031998084291</v>
      </c>
      <c r="Q710" s="14">
        <f>VLOOKUP(B710, 'All Menu'!B:M, 12, 0)</f>
        <v>0.610279702299517</v>
      </c>
      <c r="R710" s="173">
        <f t="shared" si="48"/>
        <v>0</v>
      </c>
    </row>
    <row r="711" spans="1:18" ht="14" hidden="1">
      <c r="A711" s="78" t="s">
        <v>2599</v>
      </c>
      <c r="B711" s="220" t="s">
        <v>1062</v>
      </c>
      <c r="C711" s="185"/>
      <c r="D711" s="103" t="str">
        <f>VLOOKUP(B711, 'All Menu'!B:M, 4, 0)</f>
        <v>فخارة فريكة بالكريمة</v>
      </c>
      <c r="E711" s="30" t="str">
        <f>VLOOKUP(B711, 'All Menu'!B:M, 2, 0)</f>
        <v>قسم الصالة</v>
      </c>
      <c r="F711" s="103" t="str">
        <f>VLOOKUP(B711, 'All Menu'!B:M, 3, 0)</f>
        <v>صواني وصاجيات صالة</v>
      </c>
      <c r="G711" s="90" t="s">
        <v>2251</v>
      </c>
      <c r="H711" s="188">
        <v>4544</v>
      </c>
      <c r="I711" s="110" t="str">
        <f>VLOOKUP(H711, 'RM &amp; SF'!B:H, 2, 0)</f>
        <v>بقدونس*****</v>
      </c>
      <c r="J711" s="184" t="str">
        <f>VLOOKUP(H711, 'RM &amp; SF'!B:E, 4, 0)</f>
        <v>غم</v>
      </c>
      <c r="K711" s="12">
        <v>30</v>
      </c>
      <c r="L711" s="13">
        <f>VLOOKUP(H711, 'RM &amp; SF'!B:H, 7, 0)</f>
        <v>7.5000000000000002E-4</v>
      </c>
      <c r="M711" s="7">
        <f t="shared" si="47"/>
        <v>2.2499999999999999E-2</v>
      </c>
      <c r="N711" s="4" t="s">
        <v>825</v>
      </c>
      <c r="O711" s="4">
        <f>VLOOKUP(B711, 'All Menu'!B:L, 6, 0)</f>
        <v>4.9568965517241379</v>
      </c>
      <c r="P711" s="6">
        <f>VLOOKUP(B711, 'All Menu'!B:L, 9, 0)</f>
        <v>1.9318031998084291</v>
      </c>
      <c r="Q711" s="14">
        <f>VLOOKUP(B711, 'All Menu'!B:M, 12, 0)</f>
        <v>0.610279702299517</v>
      </c>
      <c r="R711" s="173">
        <f t="shared" si="48"/>
        <v>0</v>
      </c>
    </row>
    <row r="712" spans="1:18" ht="14" hidden="1">
      <c r="A712" s="78" t="s">
        <v>2564</v>
      </c>
      <c r="B712" s="220" t="s">
        <v>1063</v>
      </c>
      <c r="C712" s="185"/>
      <c r="D712" s="103" t="str">
        <f>VLOOKUP(B712, 'All Menu'!B:M, 4, 0)</f>
        <v>بيتزا الفريدو</v>
      </c>
      <c r="E712" s="30" t="str">
        <f>VLOOKUP(B712, 'All Menu'!B:M, 2, 0)</f>
        <v>قسم الصالة</v>
      </c>
      <c r="F712" s="103" t="str">
        <f>VLOOKUP(B712, 'All Menu'!B:M, 3, 0)</f>
        <v>عجين صالة</v>
      </c>
      <c r="G712" s="90" t="s">
        <v>2333</v>
      </c>
      <c r="H712" s="219" t="s">
        <v>498</v>
      </c>
      <c r="I712" s="110" t="str">
        <f>VLOOKUP(H712, 'RM &amp; SF'!B:H, 2, 0)</f>
        <v>عجين الصفيحة والمناقيش</v>
      </c>
      <c r="J712" s="184" t="str">
        <f>VLOOKUP(H712, 'RM &amp; SF'!B:E, 4, 0)</f>
        <v>غم</v>
      </c>
      <c r="K712" s="12">
        <v>450</v>
      </c>
      <c r="L712" s="13">
        <f>VLOOKUP(H712, 'RM &amp; SF'!B:H, 7, 0)</f>
        <v>4.659980972150147E-4</v>
      </c>
      <c r="M712" s="7">
        <f t="shared" si="47"/>
        <v>0.20969914374675661</v>
      </c>
      <c r="N712" s="4" t="s">
        <v>825</v>
      </c>
      <c r="O712" s="4">
        <f>VLOOKUP(B712, 'All Menu'!B:L, 6, 0)</f>
        <v>4.7413793103448283</v>
      </c>
      <c r="P712" s="6">
        <f>VLOOKUP(B712, 'All Menu'!B:L, 9, 0)</f>
        <v>1.8061274591589429</v>
      </c>
      <c r="Q712" s="14">
        <f>VLOOKUP(B712, 'All Menu'!B:M, 12, 0)</f>
        <v>0.61907129952284123</v>
      </c>
      <c r="R712" s="173">
        <f t="shared" si="48"/>
        <v>0</v>
      </c>
    </row>
    <row r="713" spans="1:18" ht="14" hidden="1">
      <c r="A713" s="78" t="s">
        <v>2564</v>
      </c>
      <c r="B713" s="220" t="s">
        <v>1063</v>
      </c>
      <c r="C713" s="185"/>
      <c r="D713" s="103" t="str">
        <f>VLOOKUP(B713, 'All Menu'!B:M, 4, 0)</f>
        <v>بيتزا الفريدو</v>
      </c>
      <c r="E713" s="30" t="str">
        <f>VLOOKUP(B713, 'All Menu'!B:M, 2, 0)</f>
        <v>قسم الصالة</v>
      </c>
      <c r="F713" s="103" t="str">
        <f>VLOOKUP(B713, 'All Menu'!B:M, 3, 0)</f>
        <v>عجين صالة</v>
      </c>
      <c r="G713" s="90" t="s">
        <v>2173</v>
      </c>
      <c r="H713" s="188">
        <v>4624</v>
      </c>
      <c r="I713" s="110" t="str">
        <f>VLOOKUP(H713, 'RM &amp; SF'!B:H, 2, 0)</f>
        <v>جبنة موزريلا قالب 2.380 كغ*****</v>
      </c>
      <c r="J713" s="184" t="str">
        <f>VLOOKUP(H713, 'RM &amp; SF'!B:E, 4, 0)</f>
        <v>غم</v>
      </c>
      <c r="K713" s="12">
        <v>160</v>
      </c>
      <c r="L713" s="13">
        <f>VLOOKUP(H713, 'RM &amp; SF'!B:H, 7, 0)</f>
        <v>5.1749999999999999E-3</v>
      </c>
      <c r="M713" s="7">
        <f t="shared" si="47"/>
        <v>0.82799999999999996</v>
      </c>
      <c r="N713" s="4" t="s">
        <v>825</v>
      </c>
      <c r="O713" s="4">
        <f>VLOOKUP(B713, 'All Menu'!B:L, 6, 0)</f>
        <v>4.7413793103448283</v>
      </c>
      <c r="P713" s="6">
        <f>VLOOKUP(B713, 'All Menu'!B:L, 9, 0)</f>
        <v>1.8061274591589429</v>
      </c>
      <c r="Q713" s="14">
        <f>VLOOKUP(B713, 'All Menu'!B:M, 12, 0)</f>
        <v>0.61907129952284123</v>
      </c>
      <c r="R713" s="173">
        <f t="shared" si="48"/>
        <v>0</v>
      </c>
    </row>
    <row r="714" spans="1:18" ht="14" hidden="1">
      <c r="A714" s="78" t="s">
        <v>2564</v>
      </c>
      <c r="B714" s="220" t="s">
        <v>1063</v>
      </c>
      <c r="C714" s="185"/>
      <c r="D714" s="103" t="str">
        <f>VLOOKUP(B714, 'All Menu'!B:M, 4, 0)</f>
        <v>بيتزا الفريدو</v>
      </c>
      <c r="E714" s="30" t="str">
        <f>VLOOKUP(B714, 'All Menu'!B:M, 2, 0)</f>
        <v>قسم الصالة</v>
      </c>
      <c r="F714" s="103" t="str">
        <f>VLOOKUP(B714, 'All Menu'!B:M, 3, 0)</f>
        <v>عجين صالة</v>
      </c>
      <c r="G714" s="90" t="s">
        <v>2419</v>
      </c>
      <c r="H714" s="219" t="s">
        <v>618</v>
      </c>
      <c r="I714" s="110" t="str">
        <f>VLOOKUP(H714, 'RM &amp; SF'!B:H, 2, 0)</f>
        <v>صوص الفريدو</v>
      </c>
      <c r="J714" s="184" t="str">
        <f>VLOOKUP(H714, 'RM &amp; SF'!B:E, 4, 0)</f>
        <v>غم</v>
      </c>
      <c r="K714" s="12">
        <v>200</v>
      </c>
      <c r="L714" s="13">
        <f>VLOOKUP(H714, 'RM &amp; SF'!B:H, 7, 0)</f>
        <v>3.8421415770609315E-3</v>
      </c>
      <c r="M714" s="7">
        <f t="shared" si="47"/>
        <v>0.76842831541218626</v>
      </c>
      <c r="N714" s="4" t="s">
        <v>825</v>
      </c>
      <c r="O714" s="4">
        <f>VLOOKUP(B714, 'All Menu'!B:L, 6, 0)</f>
        <v>4.7413793103448283</v>
      </c>
      <c r="P714" s="6">
        <f>VLOOKUP(B714, 'All Menu'!B:L, 9, 0)</f>
        <v>1.8061274591589429</v>
      </c>
      <c r="Q714" s="14">
        <f>VLOOKUP(B714, 'All Menu'!B:M, 12, 0)</f>
        <v>0.61907129952284123</v>
      </c>
      <c r="R714" s="173">
        <f t="shared" si="48"/>
        <v>0</v>
      </c>
    </row>
    <row r="715" spans="1:18" ht="14" hidden="1">
      <c r="A715" s="78" t="s">
        <v>2566</v>
      </c>
      <c r="B715" s="220" t="s">
        <v>1064</v>
      </c>
      <c r="C715" s="185"/>
      <c r="D715" s="103" t="str">
        <f>VLOOKUP(B715, 'All Menu'!B:M, 4, 0)</f>
        <v>بيتزا الفصول الاربعة</v>
      </c>
      <c r="E715" s="30" t="str">
        <f>VLOOKUP(B715, 'All Menu'!B:M, 2, 0)</f>
        <v>قسم الصالة</v>
      </c>
      <c r="F715" s="103" t="str">
        <f>VLOOKUP(B715, 'All Menu'!B:M, 3, 0)</f>
        <v>عجين صالة</v>
      </c>
      <c r="G715" s="90" t="s">
        <v>2333</v>
      </c>
      <c r="H715" s="219" t="s">
        <v>498</v>
      </c>
      <c r="I715" s="110" t="str">
        <f>VLOOKUP(H715, 'RM &amp; SF'!B:H, 2, 0)</f>
        <v>عجين الصفيحة والمناقيش</v>
      </c>
      <c r="J715" s="184" t="str">
        <f>VLOOKUP(H715, 'RM &amp; SF'!B:E, 4, 0)</f>
        <v>غم</v>
      </c>
      <c r="K715" s="12">
        <v>450</v>
      </c>
      <c r="L715" s="13">
        <f>VLOOKUP(H715, 'RM &amp; SF'!B:H, 7, 0)</f>
        <v>4.659980972150147E-4</v>
      </c>
      <c r="M715" s="7">
        <f t="shared" si="47"/>
        <v>0.20969914374675661</v>
      </c>
      <c r="N715" s="4" t="s">
        <v>825</v>
      </c>
      <c r="O715" s="4">
        <f>VLOOKUP(B715, 'All Menu'!B:L, 6, 0)</f>
        <v>5.1724137931034484</v>
      </c>
      <c r="P715" s="6">
        <f>VLOOKUP(B715, 'All Menu'!B:L, 9, 0)</f>
        <v>1.3692997767614381</v>
      </c>
      <c r="Q715" s="14">
        <f>VLOOKUP(B715, 'All Menu'!B:M, 12, 0)</f>
        <v>0.73526870982612202</v>
      </c>
      <c r="R715" s="173">
        <f t="shared" si="48"/>
        <v>0</v>
      </c>
    </row>
    <row r="716" spans="1:18" ht="14" hidden="1">
      <c r="A716" s="78" t="s">
        <v>2566</v>
      </c>
      <c r="B716" s="220" t="s">
        <v>1064</v>
      </c>
      <c r="C716" s="185"/>
      <c r="D716" s="103" t="str">
        <f>VLOOKUP(B716, 'All Menu'!B:M, 4, 0)</f>
        <v>بيتزا الفصول الاربعة</v>
      </c>
      <c r="E716" s="30" t="str">
        <f>VLOOKUP(B716, 'All Menu'!B:M, 2, 0)</f>
        <v>قسم الصالة</v>
      </c>
      <c r="F716" s="103" t="str">
        <f>VLOOKUP(B716, 'All Menu'!B:M, 3, 0)</f>
        <v>عجين صالة</v>
      </c>
      <c r="G716" s="90" t="s">
        <v>3058</v>
      </c>
      <c r="H716" s="188">
        <v>4079</v>
      </c>
      <c r="I716" s="110" t="str">
        <f>VLOOKUP(H716, 'RM &amp; SF'!B:H, 2, 0)</f>
        <v>بيتزا صوص 4.100 كغ*****</v>
      </c>
      <c r="J716" s="184" t="str">
        <f>VLOOKUP(H716, 'RM &amp; SF'!B:E, 4, 0)</f>
        <v>غم</v>
      </c>
      <c r="K716" s="12">
        <v>70</v>
      </c>
      <c r="L716" s="13">
        <f>VLOOKUP(H716, 'RM &amp; SF'!B:H, 7, 0)</f>
        <v>1.4017365853658537E-3</v>
      </c>
      <c r="M716" s="7">
        <f t="shared" si="47"/>
        <v>9.8121560975609756E-2</v>
      </c>
      <c r="N716" s="4" t="s">
        <v>825</v>
      </c>
      <c r="O716" s="4">
        <f>VLOOKUP(B716, 'All Menu'!B:L, 6, 0)</f>
        <v>5.1724137931034484</v>
      </c>
      <c r="P716" s="6">
        <f>VLOOKUP(B716, 'All Menu'!B:L, 9, 0)</f>
        <v>1.3692997767614381</v>
      </c>
      <c r="Q716" s="14">
        <f>VLOOKUP(B716, 'All Menu'!B:M, 12, 0)</f>
        <v>0.73526870982612202</v>
      </c>
      <c r="R716" s="173">
        <f t="shared" si="48"/>
        <v>0</v>
      </c>
    </row>
    <row r="717" spans="1:18" ht="14" hidden="1">
      <c r="A717" s="78" t="s">
        <v>2566</v>
      </c>
      <c r="B717" s="220" t="s">
        <v>1064</v>
      </c>
      <c r="C717" s="185"/>
      <c r="D717" s="103" t="str">
        <f>VLOOKUP(B717, 'All Menu'!B:M, 4, 0)</f>
        <v>بيتزا الفصول الاربعة</v>
      </c>
      <c r="E717" s="30" t="str">
        <f>VLOOKUP(B717, 'All Menu'!B:M, 2, 0)</f>
        <v>قسم الصالة</v>
      </c>
      <c r="F717" s="103" t="str">
        <f>VLOOKUP(B717, 'All Menu'!B:M, 3, 0)</f>
        <v>عجين صالة</v>
      </c>
      <c r="G717" s="90" t="s">
        <v>2173</v>
      </c>
      <c r="H717" s="188">
        <v>4624</v>
      </c>
      <c r="I717" s="110" t="str">
        <f>VLOOKUP(H717, 'RM &amp; SF'!B:H, 2, 0)</f>
        <v>جبنة موزريلا قالب 2.380 كغ*****</v>
      </c>
      <c r="J717" s="184" t="str">
        <f>VLOOKUP(H717, 'RM &amp; SF'!B:E, 4, 0)</f>
        <v>غم</v>
      </c>
      <c r="K717" s="12">
        <v>150</v>
      </c>
      <c r="L717" s="13">
        <f>VLOOKUP(H717, 'RM &amp; SF'!B:H, 7, 0)</f>
        <v>5.1749999999999999E-3</v>
      </c>
      <c r="M717" s="7">
        <f t="shared" si="47"/>
        <v>0.77625</v>
      </c>
      <c r="N717" s="4" t="s">
        <v>825</v>
      </c>
      <c r="O717" s="4">
        <f>VLOOKUP(B717, 'All Menu'!B:L, 6, 0)</f>
        <v>5.1724137931034484</v>
      </c>
      <c r="P717" s="6">
        <f>VLOOKUP(B717, 'All Menu'!B:L, 9, 0)</f>
        <v>1.3692997767614381</v>
      </c>
      <c r="Q717" s="14">
        <f>VLOOKUP(B717, 'All Menu'!B:M, 12, 0)</f>
        <v>0.73526870982612202</v>
      </c>
      <c r="R717" s="173">
        <f t="shared" si="48"/>
        <v>0</v>
      </c>
    </row>
    <row r="718" spans="1:18" ht="14" hidden="1">
      <c r="A718" s="78" t="s">
        <v>2566</v>
      </c>
      <c r="B718" s="220" t="s">
        <v>1064</v>
      </c>
      <c r="C718" s="185"/>
      <c r="D718" s="103" t="str">
        <f>VLOOKUP(B718, 'All Menu'!B:M, 4, 0)</f>
        <v>بيتزا الفصول الاربعة</v>
      </c>
      <c r="E718" s="30" t="str">
        <f>VLOOKUP(B718, 'All Menu'!B:M, 2, 0)</f>
        <v>قسم الصالة</v>
      </c>
      <c r="F718" s="103" t="str">
        <f>VLOOKUP(B718, 'All Menu'!B:M, 3, 0)</f>
        <v>عجين صالة</v>
      </c>
      <c r="G718" s="90" t="s">
        <v>2270</v>
      </c>
      <c r="H718" s="188">
        <v>4030</v>
      </c>
      <c r="I718" s="110" t="str">
        <f>VLOOKUP(H718, 'RM &amp; SF'!B:H, 2, 0)</f>
        <v>*****فطر مقطع 400غم</v>
      </c>
      <c r="J718" s="184" t="str">
        <f>VLOOKUP(H718, 'RM &amp; SF'!B:E, 4, 0)</f>
        <v>غم</v>
      </c>
      <c r="K718" s="12">
        <v>25</v>
      </c>
      <c r="L718" s="13">
        <f>VLOOKUP(H718, 'RM &amp; SF'!B:H, 7, 0)</f>
        <v>3.0000000000000001E-3</v>
      </c>
      <c r="M718" s="7">
        <f t="shared" si="47"/>
        <v>7.4999999999999997E-2</v>
      </c>
      <c r="N718" s="4" t="s">
        <v>825</v>
      </c>
      <c r="O718" s="4">
        <f>VLOOKUP(B718, 'All Menu'!B:L, 6, 0)</f>
        <v>5.1724137931034484</v>
      </c>
      <c r="P718" s="6">
        <f>VLOOKUP(B718, 'All Menu'!B:L, 9, 0)</f>
        <v>1.3692997767614381</v>
      </c>
      <c r="Q718" s="14">
        <f>VLOOKUP(B718, 'All Menu'!B:M, 12, 0)</f>
        <v>0.73526870982612202</v>
      </c>
      <c r="R718" s="173">
        <f t="shared" si="48"/>
        <v>0</v>
      </c>
    </row>
    <row r="719" spans="1:18" ht="14" hidden="1">
      <c r="A719" s="78" t="s">
        <v>2566</v>
      </c>
      <c r="B719" s="220" t="s">
        <v>1064</v>
      </c>
      <c r="C719" s="185"/>
      <c r="D719" s="103" t="str">
        <f>VLOOKUP(B719, 'All Menu'!B:M, 4, 0)</f>
        <v>بيتزا الفصول الاربعة</v>
      </c>
      <c r="E719" s="30" t="str">
        <f>VLOOKUP(B719, 'All Menu'!B:M, 2, 0)</f>
        <v>قسم الصالة</v>
      </c>
      <c r="F719" s="103" t="str">
        <f>VLOOKUP(B719, 'All Menu'!B:M, 3, 0)</f>
        <v>عجين صالة</v>
      </c>
      <c r="G719" s="90" t="s">
        <v>3058</v>
      </c>
      <c r="H719" s="188">
        <v>4074</v>
      </c>
      <c r="I719" s="110" t="str">
        <f>VLOOKUP(H719, 'RM &amp; SF'!B:H, 2, 0)</f>
        <v>زيتون اسود شرائح 4.200 كغ*****</v>
      </c>
      <c r="J719" s="184" t="str">
        <f>VLOOKUP(H719, 'RM &amp; SF'!B:E, 4, 0)</f>
        <v>غم</v>
      </c>
      <c r="K719" s="12">
        <v>60</v>
      </c>
      <c r="L719" s="13">
        <f>VLOOKUP(H719, 'RM &amp; SF'!B:H, 7, 0)</f>
        <v>1.5211640211640213E-3</v>
      </c>
      <c r="M719" s="7">
        <f t="shared" si="47"/>
        <v>9.1269841269841279E-2</v>
      </c>
      <c r="N719" s="4" t="s">
        <v>825</v>
      </c>
      <c r="O719" s="4">
        <f>VLOOKUP(B719, 'All Menu'!B:L, 6, 0)</f>
        <v>5.1724137931034484</v>
      </c>
      <c r="P719" s="6">
        <f>VLOOKUP(B719, 'All Menu'!B:L, 9, 0)</f>
        <v>1.3692997767614381</v>
      </c>
      <c r="Q719" s="14">
        <f>VLOOKUP(B719, 'All Menu'!B:M, 12, 0)</f>
        <v>0.73526870982612202</v>
      </c>
      <c r="R719" s="173">
        <f t="shared" si="48"/>
        <v>0</v>
      </c>
    </row>
    <row r="720" spans="1:18" ht="14" hidden="1">
      <c r="A720" s="78" t="s">
        <v>2566</v>
      </c>
      <c r="B720" s="220" t="s">
        <v>1064</v>
      </c>
      <c r="C720" s="185"/>
      <c r="D720" s="103" t="str">
        <f>VLOOKUP(B720, 'All Menu'!B:M, 4, 0)</f>
        <v>بيتزا الفصول الاربعة</v>
      </c>
      <c r="E720" s="30" t="str">
        <f>VLOOKUP(B720, 'All Menu'!B:M, 2, 0)</f>
        <v>قسم الصالة</v>
      </c>
      <c r="F720" s="103" t="str">
        <f>VLOOKUP(B720, 'All Menu'!B:M, 3, 0)</f>
        <v>عجين صالة</v>
      </c>
      <c r="G720" s="90" t="s">
        <v>3058</v>
      </c>
      <c r="H720" s="188">
        <v>4634</v>
      </c>
      <c r="I720" s="110" t="str">
        <f>VLOOKUP(H720, 'RM &amp; SF'!B:H, 2, 0)</f>
        <v>سلامي بقري 1 كغ*****</v>
      </c>
      <c r="J720" s="184" t="str">
        <f>VLOOKUP(H720, 'RM &amp; SF'!B:E, 4, 0)</f>
        <v>غم</v>
      </c>
      <c r="K720" s="12">
        <v>20</v>
      </c>
      <c r="L720" s="13">
        <f>VLOOKUP(H720, 'RM &amp; SF'!B:H, 7, 0)</f>
        <v>2.0670000000000003E-3</v>
      </c>
      <c r="M720" s="7">
        <f t="shared" si="47"/>
        <v>4.1340000000000002E-2</v>
      </c>
      <c r="N720" s="4" t="s">
        <v>825</v>
      </c>
      <c r="O720" s="4">
        <f>VLOOKUP(B720, 'All Menu'!B:L, 6, 0)</f>
        <v>5.1724137931034484</v>
      </c>
      <c r="P720" s="6">
        <f>VLOOKUP(B720, 'All Menu'!B:L, 9, 0)</f>
        <v>1.3692997767614381</v>
      </c>
      <c r="Q720" s="14">
        <f>VLOOKUP(B720, 'All Menu'!B:M, 12, 0)</f>
        <v>0.73526870982612202</v>
      </c>
      <c r="R720" s="173">
        <f t="shared" si="48"/>
        <v>0</v>
      </c>
    </row>
    <row r="721" spans="1:18" ht="14" hidden="1">
      <c r="A721" s="78" t="s">
        <v>2566</v>
      </c>
      <c r="B721" s="220" t="s">
        <v>1064</v>
      </c>
      <c r="C721" s="185"/>
      <c r="D721" s="103" t="str">
        <f>VLOOKUP(B721, 'All Menu'!B:M, 4, 0)</f>
        <v>بيتزا الفصول الاربعة</v>
      </c>
      <c r="E721" s="30" t="str">
        <f>VLOOKUP(B721, 'All Menu'!B:M, 2, 0)</f>
        <v>قسم الصالة</v>
      </c>
      <c r="F721" s="103" t="str">
        <f>VLOOKUP(B721, 'All Menu'!B:M, 3, 0)</f>
        <v>عجين صالة</v>
      </c>
      <c r="G721" s="90" t="s">
        <v>2262</v>
      </c>
      <c r="H721" s="188">
        <v>4633</v>
      </c>
      <c r="I721" s="110" t="str">
        <f>VLOOKUP(H721, 'RM &amp; SF'!B:H, 2, 0)</f>
        <v>تيركي 500 غم*****</v>
      </c>
      <c r="J721" s="184" t="str">
        <f>VLOOKUP(H721, 'RM &amp; SF'!B:E, 4, 0)</f>
        <v>غم</v>
      </c>
      <c r="K721" s="12">
        <v>15</v>
      </c>
      <c r="L721" s="13">
        <f>VLOOKUP(H721, 'RM &amp; SF'!B:H, 7, 0)</f>
        <v>4.1346153846153842E-3</v>
      </c>
      <c r="M721" s="7">
        <f t="shared" si="47"/>
        <v>6.2019230769230764E-2</v>
      </c>
      <c r="N721" s="4" t="s">
        <v>825</v>
      </c>
      <c r="O721" s="4">
        <f>VLOOKUP(B721, 'All Menu'!B:L, 6, 0)</f>
        <v>5.1724137931034484</v>
      </c>
      <c r="P721" s="6">
        <f>VLOOKUP(B721, 'All Menu'!B:L, 9, 0)</f>
        <v>1.3692997767614381</v>
      </c>
      <c r="Q721" s="14">
        <f>VLOOKUP(B721, 'All Menu'!B:M, 12, 0)</f>
        <v>0.73526870982612202</v>
      </c>
      <c r="R721" s="173">
        <f t="shared" si="48"/>
        <v>0</v>
      </c>
    </row>
    <row r="722" spans="1:18" ht="14" hidden="1">
      <c r="A722" s="78" t="s">
        <v>2566</v>
      </c>
      <c r="B722" s="220" t="s">
        <v>1064</v>
      </c>
      <c r="C722" s="185"/>
      <c r="D722" s="103" t="str">
        <f>VLOOKUP(B722, 'All Menu'!B:M, 4, 0)</f>
        <v>بيتزا الفصول الاربعة</v>
      </c>
      <c r="E722" s="30" t="str">
        <f>VLOOKUP(B722, 'All Menu'!B:M, 2, 0)</f>
        <v>قسم الصالة</v>
      </c>
      <c r="F722" s="103" t="str">
        <f>VLOOKUP(B722, 'All Menu'!B:M, 3, 0)</f>
        <v>عجين صالة</v>
      </c>
      <c r="G722" s="90" t="s">
        <v>2232</v>
      </c>
      <c r="H722" s="188">
        <v>4500</v>
      </c>
      <c r="I722" s="110" t="str">
        <f>VLOOKUP(H722, 'RM &amp; SF'!B:H, 2, 0)</f>
        <v>فلفل حلو اخضر*****</v>
      </c>
      <c r="J722" s="184" t="str">
        <f>VLOOKUP(H722, 'RM &amp; SF'!B:E, 4, 0)</f>
        <v>غم</v>
      </c>
      <c r="K722" s="12">
        <v>20</v>
      </c>
      <c r="L722" s="13">
        <f>VLOOKUP(H722, 'RM &amp; SF'!B:H, 7, 0)</f>
        <v>7.7999999999999999E-4</v>
      </c>
      <c r="M722" s="7">
        <f t="shared" si="47"/>
        <v>1.5599999999999999E-2</v>
      </c>
      <c r="N722" s="4" t="s">
        <v>825</v>
      </c>
      <c r="O722" s="4">
        <f>VLOOKUP(B722, 'All Menu'!B:L, 6, 0)</f>
        <v>5.1724137931034484</v>
      </c>
      <c r="P722" s="6">
        <f>VLOOKUP(B722, 'All Menu'!B:L, 9, 0)</f>
        <v>1.3692997767614381</v>
      </c>
      <c r="Q722" s="14">
        <f>VLOOKUP(B722, 'All Menu'!B:M, 12, 0)</f>
        <v>0.73526870982612202</v>
      </c>
      <c r="R722" s="173">
        <f t="shared" si="48"/>
        <v>0</v>
      </c>
    </row>
    <row r="723" spans="1:18" ht="14" hidden="1">
      <c r="A723" s="78" t="s">
        <v>2514</v>
      </c>
      <c r="B723" s="220" t="s">
        <v>1065</v>
      </c>
      <c r="C723" s="185"/>
      <c r="D723" s="103" t="str">
        <f>VLOOKUP(B723, 'All Menu'!B:M, 4, 0)</f>
        <v>مشاوي مشكلة كيلو</v>
      </c>
      <c r="E723" s="30" t="str">
        <f>VLOOKUP(B723, 'All Menu'!B:M, 2, 0)</f>
        <v>قسم الصالة</v>
      </c>
      <c r="F723" s="103" t="str">
        <f>VLOOKUP(B723, 'All Menu'!B:M, 3, 0)</f>
        <v>المشاوي صالة</v>
      </c>
      <c r="G723" s="90" t="s">
        <v>2453</v>
      </c>
      <c r="H723" s="219" t="s">
        <v>536</v>
      </c>
      <c r="I723" s="110" t="str">
        <f>VLOOKUP(H723, 'RM &amp; SF'!B:H, 2, 0)</f>
        <v>كباب</v>
      </c>
      <c r="J723" s="184" t="str">
        <f>VLOOKUP(H723, 'RM &amp; SF'!B:E, 4, 0)</f>
        <v>غم</v>
      </c>
      <c r="K723" s="12">
        <v>500</v>
      </c>
      <c r="L723" s="13">
        <f>VLOOKUP(H723, 'RM &amp; SF'!B:H, 7, 0)</f>
        <v>1.1636090242685134E-2</v>
      </c>
      <c r="M723" s="7">
        <f t="shared" si="47"/>
        <v>5.8180451213425668</v>
      </c>
      <c r="N723" s="4" t="s">
        <v>825</v>
      </c>
      <c r="O723" s="4">
        <f>VLOOKUP(B723, 'All Menu'!B:L, 6, 0)</f>
        <v>20.387931034482758</v>
      </c>
      <c r="P723" s="6">
        <f>VLOOKUP(B723, 'All Menu'!B:L, 9, 0)</f>
        <v>13.161944941010617</v>
      </c>
      <c r="Q723" s="14">
        <f>VLOOKUP(B723, 'All Menu'!B:M, 12, 0)</f>
        <v>0.35442468788277731</v>
      </c>
      <c r="R723" s="173">
        <f t="shared" si="48"/>
        <v>0</v>
      </c>
    </row>
    <row r="724" spans="1:18" ht="14" hidden="1">
      <c r="A724" s="78" t="s">
        <v>2514</v>
      </c>
      <c r="B724" s="220" t="s">
        <v>1065</v>
      </c>
      <c r="C724" s="185"/>
      <c r="D724" s="103" t="str">
        <f>VLOOKUP(B724, 'All Menu'!B:M, 4, 0)</f>
        <v>مشاوي مشكلة كيلو</v>
      </c>
      <c r="E724" s="30" t="str">
        <f>VLOOKUP(B724, 'All Menu'!B:M, 2, 0)</f>
        <v>قسم الصالة</v>
      </c>
      <c r="F724" s="103" t="str">
        <f>VLOOKUP(B724, 'All Menu'!B:M, 3, 0)</f>
        <v>المشاوي صالة</v>
      </c>
      <c r="G724" s="90" t="s">
        <v>2456</v>
      </c>
      <c r="H724" s="219" t="s">
        <v>506</v>
      </c>
      <c r="I724" s="110" t="str">
        <f>VLOOKUP(H724, 'RM &amp; SF'!B:H, 2, 0)</f>
        <v>شيش</v>
      </c>
      <c r="J724" s="184" t="str">
        <f>VLOOKUP(H724, 'RM &amp; SF'!B:E, 4, 0)</f>
        <v>غم</v>
      </c>
      <c r="K724" s="12">
        <v>200</v>
      </c>
      <c r="L724" s="13">
        <f>VLOOKUP(H724, 'RM &amp; SF'!B:H, 7, 0)</f>
        <v>4.6721213030918281E-3</v>
      </c>
      <c r="M724" s="7">
        <f t="shared" si="47"/>
        <v>0.93442426061836559</v>
      </c>
      <c r="N724" s="4" t="s">
        <v>825</v>
      </c>
      <c r="O724" s="4">
        <f>VLOOKUP(B724, 'All Menu'!B:L, 6, 0)</f>
        <v>20.387931034482758</v>
      </c>
      <c r="P724" s="6">
        <f>VLOOKUP(B724, 'All Menu'!B:L, 9, 0)</f>
        <v>13.161944941010617</v>
      </c>
      <c r="Q724" s="14">
        <f>VLOOKUP(B724, 'All Menu'!B:M, 12, 0)</f>
        <v>0.35442468788277731</v>
      </c>
      <c r="R724" s="173">
        <f t="shared" si="48"/>
        <v>0</v>
      </c>
    </row>
    <row r="725" spans="1:18" ht="14" hidden="1">
      <c r="A725" s="78" t="s">
        <v>2514</v>
      </c>
      <c r="B725" s="220" t="s">
        <v>1065</v>
      </c>
      <c r="C725" s="185"/>
      <c r="D725" s="103" t="str">
        <f>VLOOKUP(B725, 'All Menu'!B:M, 4, 0)</f>
        <v>مشاوي مشكلة كيلو</v>
      </c>
      <c r="E725" s="30" t="str">
        <f>VLOOKUP(B725, 'All Menu'!B:M, 2, 0)</f>
        <v>قسم الصالة</v>
      </c>
      <c r="F725" s="103" t="str">
        <f>VLOOKUP(B725, 'All Menu'!B:M, 3, 0)</f>
        <v>المشاوي صالة</v>
      </c>
      <c r="G725" s="90" t="s">
        <v>2452</v>
      </c>
      <c r="H725" s="219" t="s">
        <v>528</v>
      </c>
      <c r="I725" s="110" t="str">
        <f>VLOOKUP(H725, 'RM &amp; SF'!B:H, 2, 0)</f>
        <v>شقف متبلة</v>
      </c>
      <c r="J725" s="184" t="str">
        <f>VLOOKUP(H725, 'RM &amp; SF'!B:E, 4, 0)</f>
        <v>غم</v>
      </c>
      <c r="K725" s="12">
        <v>300</v>
      </c>
      <c r="L725" s="13">
        <f>VLOOKUP(H725, 'RM &amp; SF'!B:H, 7, 0)</f>
        <v>2.0415146666666665E-2</v>
      </c>
      <c r="M725" s="7">
        <f t="shared" si="47"/>
        <v>6.1245439999999993</v>
      </c>
      <c r="N725" s="4" t="s">
        <v>825</v>
      </c>
      <c r="O725" s="4">
        <f>VLOOKUP(B725, 'All Menu'!B:L, 6, 0)</f>
        <v>20.387931034482758</v>
      </c>
      <c r="P725" s="6">
        <f>VLOOKUP(B725, 'All Menu'!B:L, 9, 0)</f>
        <v>13.161944941010617</v>
      </c>
      <c r="Q725" s="14">
        <f>VLOOKUP(B725, 'All Menu'!B:M, 12, 0)</f>
        <v>0.35442468788277731</v>
      </c>
      <c r="R725" s="173">
        <f t="shared" si="48"/>
        <v>0</v>
      </c>
    </row>
    <row r="726" spans="1:18" ht="14" hidden="1">
      <c r="A726" s="78" t="s">
        <v>2514</v>
      </c>
      <c r="B726" s="220" t="s">
        <v>1065</v>
      </c>
      <c r="C726" s="185"/>
      <c r="D726" s="103" t="str">
        <f>VLOOKUP(B726, 'All Menu'!B:M, 4, 0)</f>
        <v>مشاوي مشكلة كيلو</v>
      </c>
      <c r="E726" s="30" t="str">
        <f>VLOOKUP(B726, 'All Menu'!B:M, 2, 0)</f>
        <v>قسم الصالة</v>
      </c>
      <c r="F726" s="103" t="str">
        <f>VLOOKUP(B726, 'All Menu'!B:M, 3, 0)</f>
        <v>المشاوي صالة</v>
      </c>
      <c r="G726" s="90" t="s">
        <v>2235</v>
      </c>
      <c r="H726" s="188">
        <v>4504</v>
      </c>
      <c r="I726" s="110" t="str">
        <f>VLOOKUP(H726, 'RM &amp; SF'!B:H, 2, 0)</f>
        <v>بصل مشاوي (بصل بيبي)***</v>
      </c>
      <c r="J726" s="184" t="str">
        <f>VLOOKUP(H726, 'RM &amp; SF'!B:E, 4, 0)</f>
        <v>غم</v>
      </c>
      <c r="K726" s="12">
        <v>120</v>
      </c>
      <c r="L726" s="13">
        <f>VLOOKUP(H726, 'RM &amp; SF'!B:H, 7, 0)</f>
        <v>3.5E-4</v>
      </c>
      <c r="M726" s="7">
        <f t="shared" si="47"/>
        <v>4.2000000000000003E-2</v>
      </c>
      <c r="N726" s="4" t="s">
        <v>825</v>
      </c>
      <c r="O726" s="4">
        <f>VLOOKUP(B726, 'All Menu'!B:L, 6, 0)</f>
        <v>20.387931034482758</v>
      </c>
      <c r="P726" s="6">
        <f>VLOOKUP(B726, 'All Menu'!B:L, 9, 0)</f>
        <v>13.161944941010617</v>
      </c>
      <c r="Q726" s="14">
        <f>VLOOKUP(B726, 'All Menu'!B:M, 12, 0)</f>
        <v>0.35442468788277731</v>
      </c>
      <c r="R726" s="173">
        <f t="shared" si="48"/>
        <v>0</v>
      </c>
    </row>
    <row r="727" spans="1:18" ht="14" hidden="1">
      <c r="A727" s="78" t="s">
        <v>2514</v>
      </c>
      <c r="B727" s="220" t="s">
        <v>1065</v>
      </c>
      <c r="C727" s="185"/>
      <c r="D727" s="103" t="str">
        <f>VLOOKUP(B727, 'All Menu'!B:M, 4, 0)</f>
        <v>مشاوي مشكلة كيلو</v>
      </c>
      <c r="E727" s="30" t="str">
        <f>VLOOKUP(B727, 'All Menu'!B:M, 2, 0)</f>
        <v>قسم الصالة</v>
      </c>
      <c r="F727" s="103" t="str">
        <f>VLOOKUP(B727, 'All Menu'!B:M, 3, 0)</f>
        <v>المشاوي صالة</v>
      </c>
      <c r="G727" s="90" t="s">
        <v>2257</v>
      </c>
      <c r="H727" s="188">
        <v>5281</v>
      </c>
      <c r="I727" s="110" t="str">
        <f>VLOOKUP(H727, 'RM &amp; SF'!B:H, 2, 0)</f>
        <v>بندوره مشاوي</v>
      </c>
      <c r="J727" s="184" t="str">
        <f>VLOOKUP(H727, 'RM &amp; SF'!B:E, 4, 0)</f>
        <v>غم</v>
      </c>
      <c r="K727" s="12">
        <v>140</v>
      </c>
      <c r="L727" s="13">
        <f>VLOOKUP(H727, 'RM &amp; SF'!B:H, 7, 0)</f>
        <v>4.0000000000000002E-4</v>
      </c>
      <c r="M727" s="7">
        <f t="shared" si="47"/>
        <v>5.6000000000000001E-2</v>
      </c>
      <c r="N727" s="4" t="s">
        <v>825</v>
      </c>
      <c r="O727" s="4">
        <f>VLOOKUP(B727, 'All Menu'!B:L, 6, 0)</f>
        <v>20.387931034482758</v>
      </c>
      <c r="P727" s="6">
        <f>VLOOKUP(B727, 'All Menu'!B:L, 9, 0)</f>
        <v>13.161944941010617</v>
      </c>
      <c r="Q727" s="14">
        <f>VLOOKUP(B727, 'All Menu'!B:M, 12, 0)</f>
        <v>0.35442468788277731</v>
      </c>
      <c r="R727" s="173">
        <f t="shared" si="48"/>
        <v>0</v>
      </c>
    </row>
    <row r="728" spans="1:18" ht="14" hidden="1">
      <c r="A728" s="78" t="s">
        <v>2514</v>
      </c>
      <c r="B728" s="220" t="s">
        <v>1065</v>
      </c>
      <c r="C728" s="185"/>
      <c r="D728" s="103" t="str">
        <f>VLOOKUP(B728, 'All Menu'!B:M, 4, 0)</f>
        <v>مشاوي مشكلة كيلو</v>
      </c>
      <c r="E728" s="30" t="str">
        <f>VLOOKUP(B728, 'All Menu'!B:M, 2, 0)</f>
        <v>قسم الصالة</v>
      </c>
      <c r="F728" s="103" t="str">
        <f>VLOOKUP(B728, 'All Menu'!B:M, 3, 0)</f>
        <v>المشاوي صالة</v>
      </c>
      <c r="G728" s="90" t="s">
        <v>2396</v>
      </c>
      <c r="H728" s="219" t="s">
        <v>582</v>
      </c>
      <c r="I728" s="110" t="str">
        <f>VLOOKUP(H728, 'RM &amp; SF'!B:H, 2, 0)</f>
        <v>بيواز</v>
      </c>
      <c r="J728" s="184" t="str">
        <f>VLOOKUP(H728, 'RM &amp; SF'!B:E, 4, 0)</f>
        <v>غم</v>
      </c>
      <c r="K728" s="12">
        <v>100</v>
      </c>
      <c r="L728" s="13">
        <f>VLOOKUP(H728, 'RM &amp; SF'!B:H, 7, 0)</f>
        <v>2.0666065869244635E-4</v>
      </c>
      <c r="M728" s="7">
        <f t="shared" si="47"/>
        <v>2.0666065869244635E-2</v>
      </c>
      <c r="N728" s="4" t="s">
        <v>825</v>
      </c>
      <c r="O728" s="4">
        <f>VLOOKUP(B728, 'All Menu'!B:L, 6, 0)</f>
        <v>20.387931034482758</v>
      </c>
      <c r="P728" s="6">
        <f>VLOOKUP(B728, 'All Menu'!B:L, 9, 0)</f>
        <v>13.161944941010617</v>
      </c>
      <c r="Q728" s="14">
        <f>VLOOKUP(B728, 'All Menu'!B:M, 12, 0)</f>
        <v>0.35442468788277731</v>
      </c>
      <c r="R728" s="173">
        <f t="shared" si="48"/>
        <v>0</v>
      </c>
    </row>
    <row r="729" spans="1:18" ht="14" hidden="1">
      <c r="A729" s="78" t="s">
        <v>2514</v>
      </c>
      <c r="B729" s="220" t="s">
        <v>1065</v>
      </c>
      <c r="C729" s="185"/>
      <c r="D729" s="103" t="str">
        <f>VLOOKUP(B729, 'All Menu'!B:M, 4, 0)</f>
        <v>مشاوي مشكلة كيلو</v>
      </c>
      <c r="E729" s="30" t="str">
        <f>VLOOKUP(B729, 'All Menu'!B:M, 2, 0)</f>
        <v>قسم الصالة</v>
      </c>
      <c r="F729" s="103" t="str">
        <f>VLOOKUP(B729, 'All Menu'!B:M, 3, 0)</f>
        <v>المشاوي صالة</v>
      </c>
      <c r="G729" s="90" t="s">
        <v>2331</v>
      </c>
      <c r="H729" s="219" t="s">
        <v>530</v>
      </c>
      <c r="I729" s="110" t="str">
        <f>VLOOKUP(H729, 'RM &amp; SF'!B:H, 2, 0)</f>
        <v>خبز صاج</v>
      </c>
      <c r="J729" s="184" t="str">
        <f>VLOOKUP(H729, 'RM &amp; SF'!B:E, 4, 0)</f>
        <v>غم</v>
      </c>
      <c r="K729" s="12">
        <v>300</v>
      </c>
      <c r="L729" s="13">
        <f>VLOOKUP(H729, 'RM &amp; SF'!B:H, 7, 0)</f>
        <v>1.8806451612903227E-4</v>
      </c>
      <c r="M729" s="7">
        <f t="shared" si="47"/>
        <v>5.6419354838709683E-2</v>
      </c>
      <c r="N729" s="4" t="s">
        <v>825</v>
      </c>
      <c r="O729" s="4">
        <f>VLOOKUP(B729, 'All Menu'!B:L, 6, 0)</f>
        <v>20.387931034482758</v>
      </c>
      <c r="P729" s="6">
        <f>VLOOKUP(B729, 'All Menu'!B:L, 9, 0)</f>
        <v>13.161944941010617</v>
      </c>
      <c r="Q729" s="14">
        <f>VLOOKUP(B729, 'All Menu'!B:M, 12, 0)</f>
        <v>0.35442468788277731</v>
      </c>
      <c r="R729" s="173">
        <f t="shared" si="48"/>
        <v>0</v>
      </c>
    </row>
    <row r="730" spans="1:18" ht="14" hidden="1">
      <c r="A730" s="78" t="s">
        <v>2514</v>
      </c>
      <c r="B730" s="220" t="s">
        <v>1065</v>
      </c>
      <c r="C730" s="185"/>
      <c r="D730" s="103" t="str">
        <f>VLOOKUP(B730, 'All Menu'!B:M, 4, 0)</f>
        <v>مشاوي مشكلة كيلو</v>
      </c>
      <c r="E730" s="30" t="str">
        <f>VLOOKUP(B730, 'All Menu'!B:M, 2, 0)</f>
        <v>قسم الصالة</v>
      </c>
      <c r="F730" s="103" t="str">
        <f>VLOOKUP(B730, 'All Menu'!B:M, 3, 0)</f>
        <v>المشاوي صالة</v>
      </c>
      <c r="G730" s="90" t="s">
        <v>2231</v>
      </c>
      <c r="H730" s="188">
        <v>4499</v>
      </c>
      <c r="I730" s="110" t="str">
        <f>VLOOKUP(H730, 'RM &amp; SF'!B:H, 2, 0)</f>
        <v>فلفل حار اخضر*****</v>
      </c>
      <c r="J730" s="184" t="str">
        <f>VLOOKUP(H730, 'RM &amp; SF'!B:E, 4, 0)</f>
        <v>غم</v>
      </c>
      <c r="K730" s="12">
        <v>20</v>
      </c>
      <c r="L730" s="13">
        <f>VLOOKUP(H730, 'RM &amp; SF'!B:H, 7, 0)</f>
        <v>5.0000000000000001E-4</v>
      </c>
      <c r="M730" s="7">
        <f t="shared" si="47"/>
        <v>0.01</v>
      </c>
      <c r="N730" s="4" t="s">
        <v>825</v>
      </c>
      <c r="O730" s="4">
        <f>VLOOKUP(B730, 'All Menu'!B:L, 6, 0)</f>
        <v>20.387931034482758</v>
      </c>
      <c r="P730" s="6">
        <f>VLOOKUP(B730, 'All Menu'!B:L, 9, 0)</f>
        <v>13.161944941010617</v>
      </c>
      <c r="Q730" s="14">
        <f>VLOOKUP(B730, 'All Menu'!B:M, 12, 0)</f>
        <v>0.35442468788277731</v>
      </c>
      <c r="R730" s="173">
        <f t="shared" si="48"/>
        <v>0</v>
      </c>
    </row>
    <row r="731" spans="1:18" ht="14" hidden="1">
      <c r="A731" s="78" t="s">
        <v>2514</v>
      </c>
      <c r="B731" s="220" t="s">
        <v>1065</v>
      </c>
      <c r="C731" s="185"/>
      <c r="D731" s="103" t="str">
        <f>VLOOKUP(B731, 'All Menu'!B:M, 4, 0)</f>
        <v>مشاوي مشكلة كيلو</v>
      </c>
      <c r="E731" s="30" t="str">
        <f>VLOOKUP(B731, 'All Menu'!B:M, 2, 0)</f>
        <v>قسم الصالة</v>
      </c>
      <c r="F731" s="103" t="str">
        <f>VLOOKUP(B731, 'All Menu'!B:M, 3, 0)</f>
        <v>المشاوي صالة</v>
      </c>
      <c r="G731" s="90" t="s">
        <v>2325</v>
      </c>
      <c r="H731" s="219" t="s">
        <v>534</v>
      </c>
      <c r="I731" s="110" t="str">
        <f>VLOOKUP(H731, 'RM &amp; SF'!B:H, 2, 0)</f>
        <v>مثومه</v>
      </c>
      <c r="J731" s="184" t="str">
        <f>VLOOKUP(H731, 'RM &amp; SF'!B:E, 4, 0)</f>
        <v>غم</v>
      </c>
      <c r="K731" s="12">
        <v>150</v>
      </c>
      <c r="L731" s="13">
        <f>VLOOKUP(H731, 'RM &amp; SF'!B:H, 7, 0)</f>
        <v>6.6564092227821051E-4</v>
      </c>
      <c r="M731" s="7">
        <f t="shared" si="47"/>
        <v>9.9846138341731575E-2</v>
      </c>
      <c r="N731" s="4" t="s">
        <v>825</v>
      </c>
      <c r="O731" s="4">
        <f>VLOOKUP(B731, 'All Menu'!B:L, 6, 0)</f>
        <v>20.387931034482758</v>
      </c>
      <c r="P731" s="6">
        <f>VLOOKUP(B731, 'All Menu'!B:L, 9, 0)</f>
        <v>13.161944941010617</v>
      </c>
      <c r="Q731" s="14">
        <f>VLOOKUP(B731, 'All Menu'!B:M, 12, 0)</f>
        <v>0.35442468788277731</v>
      </c>
      <c r="R731" s="173">
        <f t="shared" si="48"/>
        <v>0</v>
      </c>
    </row>
    <row r="732" spans="1:18" ht="14" hidden="1">
      <c r="A732" s="78" t="s">
        <v>2513</v>
      </c>
      <c r="B732" s="220" t="s">
        <v>1066</v>
      </c>
      <c r="C732" s="185"/>
      <c r="D732" s="103" t="str">
        <f>VLOOKUP(B732, 'All Menu'!B:M, 4, 0)</f>
        <v>مشاوي مشكلة نص كيلو</v>
      </c>
      <c r="E732" s="30" t="str">
        <f>VLOOKUP(B732, 'All Menu'!B:M, 2, 0)</f>
        <v>قسم الصالة</v>
      </c>
      <c r="F732" s="103" t="str">
        <f>VLOOKUP(B732, 'All Menu'!B:M, 3, 0)</f>
        <v>المشاوي صالة</v>
      </c>
      <c r="G732" s="90" t="s">
        <v>2453</v>
      </c>
      <c r="H732" s="219" t="s">
        <v>536</v>
      </c>
      <c r="I732" s="110" t="str">
        <f>VLOOKUP(H732, 'RM &amp; SF'!B:H, 2, 0)</f>
        <v>كباب</v>
      </c>
      <c r="J732" s="184" t="str">
        <f>VLOOKUP(H732, 'RM &amp; SF'!B:E, 4, 0)</f>
        <v>غم</v>
      </c>
      <c r="K732" s="12">
        <v>200</v>
      </c>
      <c r="L732" s="13">
        <f>VLOOKUP(H732, 'RM &amp; SF'!B:H, 7, 0)</f>
        <v>1.1636090242685134E-2</v>
      </c>
      <c r="M732" s="7">
        <f t="shared" si="47"/>
        <v>2.3272180485370266</v>
      </c>
      <c r="N732" s="4" t="s">
        <v>825</v>
      </c>
      <c r="O732" s="4">
        <f>VLOOKUP(B732, 'All Menu'!B:L, 6, 0)</f>
        <v>11.120689655172415</v>
      </c>
      <c r="P732" s="6">
        <f>VLOOKUP(B732, 'All Menu'!B:L, 9, 0)</f>
        <v>7.4588675786491541</v>
      </c>
      <c r="Q732" s="14">
        <f>VLOOKUP(B732, 'All Menu'!B:M, 12, 0)</f>
        <v>0.32928012471061874</v>
      </c>
      <c r="R732" s="173">
        <f t="shared" si="48"/>
        <v>0</v>
      </c>
    </row>
    <row r="733" spans="1:18" ht="14" hidden="1">
      <c r="A733" s="78" t="s">
        <v>2513</v>
      </c>
      <c r="B733" s="220" t="s">
        <v>1066</v>
      </c>
      <c r="C733" s="185"/>
      <c r="D733" s="103" t="str">
        <f>VLOOKUP(B733, 'All Menu'!B:M, 4, 0)</f>
        <v>مشاوي مشكلة نص كيلو</v>
      </c>
      <c r="E733" s="30" t="str">
        <f>VLOOKUP(B733, 'All Menu'!B:M, 2, 0)</f>
        <v>قسم الصالة</v>
      </c>
      <c r="F733" s="103" t="str">
        <f>VLOOKUP(B733, 'All Menu'!B:M, 3, 0)</f>
        <v>المشاوي صالة</v>
      </c>
      <c r="G733" s="90" t="s">
        <v>2456</v>
      </c>
      <c r="H733" s="219" t="s">
        <v>506</v>
      </c>
      <c r="I733" s="110" t="str">
        <f>VLOOKUP(H733, 'RM &amp; SF'!B:H, 2, 0)</f>
        <v>شيش</v>
      </c>
      <c r="J733" s="184" t="str">
        <f>VLOOKUP(H733, 'RM &amp; SF'!B:E, 4, 0)</f>
        <v>غم</v>
      </c>
      <c r="K733" s="12">
        <v>200</v>
      </c>
      <c r="L733" s="13">
        <f>VLOOKUP(H733, 'RM &amp; SF'!B:H, 7, 0)</f>
        <v>4.6721213030918281E-3</v>
      </c>
      <c r="M733" s="7">
        <f t="shared" si="47"/>
        <v>0.93442426061836559</v>
      </c>
      <c r="N733" s="4" t="s">
        <v>825</v>
      </c>
      <c r="O733" s="4">
        <f>VLOOKUP(B733, 'All Menu'!B:L, 6, 0)</f>
        <v>11.120689655172415</v>
      </c>
      <c r="P733" s="6">
        <f>VLOOKUP(B733, 'All Menu'!B:L, 9, 0)</f>
        <v>7.4588675786491541</v>
      </c>
      <c r="Q733" s="14">
        <f>VLOOKUP(B733, 'All Menu'!B:M, 12, 0)</f>
        <v>0.32928012471061874</v>
      </c>
      <c r="R733" s="173">
        <f t="shared" si="48"/>
        <v>0</v>
      </c>
    </row>
    <row r="734" spans="1:18" ht="14" hidden="1">
      <c r="A734" s="78" t="s">
        <v>2513</v>
      </c>
      <c r="B734" s="220" t="s">
        <v>1066</v>
      </c>
      <c r="C734" s="185"/>
      <c r="D734" s="103" t="str">
        <f>VLOOKUP(B734, 'All Menu'!B:M, 4, 0)</f>
        <v>مشاوي مشكلة نص كيلو</v>
      </c>
      <c r="E734" s="30" t="str">
        <f>VLOOKUP(B734, 'All Menu'!B:M, 2, 0)</f>
        <v>قسم الصالة</v>
      </c>
      <c r="F734" s="103" t="str">
        <f>VLOOKUP(B734, 'All Menu'!B:M, 3, 0)</f>
        <v>المشاوي صالة</v>
      </c>
      <c r="G734" s="90" t="s">
        <v>2452</v>
      </c>
      <c r="H734" s="219" t="s">
        <v>528</v>
      </c>
      <c r="I734" s="110" t="str">
        <f>VLOOKUP(H734, 'RM &amp; SF'!B:H, 2, 0)</f>
        <v>شقف متبلة</v>
      </c>
      <c r="J734" s="184" t="str">
        <f>VLOOKUP(H734, 'RM &amp; SF'!B:E, 4, 0)</f>
        <v>غم</v>
      </c>
      <c r="K734" s="12">
        <v>200</v>
      </c>
      <c r="L734" s="13">
        <f>VLOOKUP(H734, 'RM &amp; SF'!B:H, 7, 0)</f>
        <v>2.0415146666666665E-2</v>
      </c>
      <c r="M734" s="7">
        <f t="shared" si="47"/>
        <v>4.0830293333333332</v>
      </c>
      <c r="N734" s="4" t="s">
        <v>825</v>
      </c>
      <c r="O734" s="4">
        <f>VLOOKUP(B734, 'All Menu'!B:L, 6, 0)</f>
        <v>11.120689655172415</v>
      </c>
      <c r="P734" s="6">
        <f>VLOOKUP(B734, 'All Menu'!B:L, 9, 0)</f>
        <v>7.4588675786491541</v>
      </c>
      <c r="Q734" s="14">
        <f>VLOOKUP(B734, 'All Menu'!B:M, 12, 0)</f>
        <v>0.32928012471061874</v>
      </c>
      <c r="R734" s="173">
        <f t="shared" si="48"/>
        <v>0</v>
      </c>
    </row>
    <row r="735" spans="1:18" ht="14" hidden="1">
      <c r="A735" s="78" t="s">
        <v>2513</v>
      </c>
      <c r="B735" s="220" t="s">
        <v>1066</v>
      </c>
      <c r="C735" s="185"/>
      <c r="D735" s="103" t="str">
        <f>VLOOKUP(B735, 'All Menu'!B:M, 4, 0)</f>
        <v>مشاوي مشكلة نص كيلو</v>
      </c>
      <c r="E735" s="30" t="str">
        <f>VLOOKUP(B735, 'All Menu'!B:M, 2, 0)</f>
        <v>قسم الصالة</v>
      </c>
      <c r="F735" s="103" t="str">
        <f>VLOOKUP(B735, 'All Menu'!B:M, 3, 0)</f>
        <v>المشاوي صالة</v>
      </c>
      <c r="G735" s="90" t="s">
        <v>2235</v>
      </c>
      <c r="H735" s="188">
        <v>4504</v>
      </c>
      <c r="I735" s="110" t="str">
        <f>VLOOKUP(H735, 'RM &amp; SF'!B:H, 2, 0)</f>
        <v>بصل مشاوي (بصل بيبي)***</v>
      </c>
      <c r="J735" s="184" t="str">
        <f>VLOOKUP(H735, 'RM &amp; SF'!B:E, 4, 0)</f>
        <v>غم</v>
      </c>
      <c r="K735" s="12">
        <v>75</v>
      </c>
      <c r="L735" s="13">
        <f>VLOOKUP(H735, 'RM &amp; SF'!B:H, 7, 0)</f>
        <v>3.5E-4</v>
      </c>
      <c r="M735" s="7">
        <f t="shared" si="47"/>
        <v>2.6249999999999999E-2</v>
      </c>
      <c r="N735" s="4" t="s">
        <v>825</v>
      </c>
      <c r="O735" s="4">
        <f>VLOOKUP(B735, 'All Menu'!B:L, 6, 0)</f>
        <v>11.120689655172415</v>
      </c>
      <c r="P735" s="6">
        <f>VLOOKUP(B735, 'All Menu'!B:L, 9, 0)</f>
        <v>7.4588675786491541</v>
      </c>
      <c r="Q735" s="14">
        <f>VLOOKUP(B735, 'All Menu'!B:M, 12, 0)</f>
        <v>0.32928012471061874</v>
      </c>
      <c r="R735" s="173">
        <f t="shared" si="48"/>
        <v>0</v>
      </c>
    </row>
    <row r="736" spans="1:18" ht="14" hidden="1">
      <c r="A736" s="78" t="s">
        <v>2513</v>
      </c>
      <c r="B736" s="220" t="s">
        <v>1066</v>
      </c>
      <c r="C736" s="185"/>
      <c r="D736" s="103" t="str">
        <f>VLOOKUP(B736, 'All Menu'!B:M, 4, 0)</f>
        <v>مشاوي مشكلة نص كيلو</v>
      </c>
      <c r="E736" s="30" t="str">
        <f>VLOOKUP(B736, 'All Menu'!B:M, 2, 0)</f>
        <v>قسم الصالة</v>
      </c>
      <c r="F736" s="103" t="str">
        <f>VLOOKUP(B736, 'All Menu'!B:M, 3, 0)</f>
        <v>المشاوي صالة</v>
      </c>
      <c r="G736" s="90" t="s">
        <v>2257</v>
      </c>
      <c r="H736" s="188">
        <v>5281</v>
      </c>
      <c r="I736" s="110" t="str">
        <f>VLOOKUP(H736, 'RM &amp; SF'!B:H, 2, 0)</f>
        <v>بندوره مشاوي</v>
      </c>
      <c r="J736" s="184" t="str">
        <f>VLOOKUP(H736, 'RM &amp; SF'!B:E, 4, 0)</f>
        <v>غم</v>
      </c>
      <c r="K736" s="12">
        <v>75</v>
      </c>
      <c r="L736" s="13">
        <f>VLOOKUP(H736, 'RM &amp; SF'!B:H, 7, 0)</f>
        <v>4.0000000000000002E-4</v>
      </c>
      <c r="M736" s="7">
        <f t="shared" si="47"/>
        <v>3.0000000000000002E-2</v>
      </c>
      <c r="N736" s="4" t="s">
        <v>825</v>
      </c>
      <c r="O736" s="4">
        <f>VLOOKUP(B736, 'All Menu'!B:L, 6, 0)</f>
        <v>11.120689655172415</v>
      </c>
      <c r="P736" s="6">
        <f>VLOOKUP(B736, 'All Menu'!B:L, 9, 0)</f>
        <v>7.4588675786491541</v>
      </c>
      <c r="Q736" s="14">
        <f>VLOOKUP(B736, 'All Menu'!B:M, 12, 0)</f>
        <v>0.32928012471061874</v>
      </c>
      <c r="R736" s="173">
        <f t="shared" si="48"/>
        <v>0</v>
      </c>
    </row>
    <row r="737" spans="1:18" ht="14" hidden="1">
      <c r="A737" s="78" t="s">
        <v>2513</v>
      </c>
      <c r="B737" s="220" t="s">
        <v>1066</v>
      </c>
      <c r="C737" s="185"/>
      <c r="D737" s="103" t="str">
        <f>VLOOKUP(B737, 'All Menu'!B:M, 4, 0)</f>
        <v>مشاوي مشكلة نص كيلو</v>
      </c>
      <c r="E737" s="30" t="str">
        <f>VLOOKUP(B737, 'All Menu'!B:M, 2, 0)</f>
        <v>قسم الصالة</v>
      </c>
      <c r="F737" s="103" t="str">
        <f>VLOOKUP(B737, 'All Menu'!B:M, 3, 0)</f>
        <v>المشاوي صالة</v>
      </c>
      <c r="G737" s="90" t="s">
        <v>2396</v>
      </c>
      <c r="H737" s="219" t="s">
        <v>582</v>
      </c>
      <c r="I737" s="110" t="str">
        <f>VLOOKUP(H737, 'RM &amp; SF'!B:H, 2, 0)</f>
        <v>بيواز</v>
      </c>
      <c r="J737" s="184" t="str">
        <f>VLOOKUP(H737, 'RM &amp; SF'!B:E, 4, 0)</f>
        <v>غم</v>
      </c>
      <c r="K737" s="12">
        <v>50</v>
      </c>
      <c r="L737" s="13">
        <f>VLOOKUP(H737, 'RM &amp; SF'!B:H, 7, 0)</f>
        <v>2.0666065869244635E-4</v>
      </c>
      <c r="M737" s="7">
        <f t="shared" si="47"/>
        <v>1.0333032934622318E-2</v>
      </c>
      <c r="N737" s="4" t="s">
        <v>825</v>
      </c>
      <c r="O737" s="4">
        <f>VLOOKUP(B737, 'All Menu'!B:L, 6, 0)</f>
        <v>11.120689655172415</v>
      </c>
      <c r="P737" s="6">
        <f>VLOOKUP(B737, 'All Menu'!B:L, 9, 0)</f>
        <v>7.4588675786491541</v>
      </c>
      <c r="Q737" s="14">
        <f>VLOOKUP(B737, 'All Menu'!B:M, 12, 0)</f>
        <v>0.32928012471061874</v>
      </c>
      <c r="R737" s="173">
        <f t="shared" si="48"/>
        <v>0</v>
      </c>
    </row>
    <row r="738" spans="1:18" ht="14" hidden="1">
      <c r="A738" s="78" t="s">
        <v>2513</v>
      </c>
      <c r="B738" s="220" t="s">
        <v>1066</v>
      </c>
      <c r="C738" s="185"/>
      <c r="D738" s="103" t="str">
        <f>VLOOKUP(B738, 'All Menu'!B:M, 4, 0)</f>
        <v>مشاوي مشكلة نص كيلو</v>
      </c>
      <c r="E738" s="30" t="str">
        <f>VLOOKUP(B738, 'All Menu'!B:M, 2, 0)</f>
        <v>قسم الصالة</v>
      </c>
      <c r="F738" s="103" t="str">
        <f>VLOOKUP(B738, 'All Menu'!B:M, 3, 0)</f>
        <v>المشاوي صالة</v>
      </c>
      <c r="G738" s="90" t="s">
        <v>2331</v>
      </c>
      <c r="H738" s="219" t="s">
        <v>530</v>
      </c>
      <c r="I738" s="110" t="str">
        <f>VLOOKUP(H738, 'RM &amp; SF'!B:H, 2, 0)</f>
        <v>خبز صاج</v>
      </c>
      <c r="J738" s="184" t="str">
        <f>VLOOKUP(H738, 'RM &amp; SF'!B:E, 4, 0)</f>
        <v>غم</v>
      </c>
      <c r="K738" s="12">
        <v>200</v>
      </c>
      <c r="L738" s="13">
        <f>VLOOKUP(H738, 'RM &amp; SF'!B:H, 7, 0)</f>
        <v>1.8806451612903227E-4</v>
      </c>
      <c r="M738" s="7">
        <f t="shared" si="47"/>
        <v>3.7612903225806453E-2</v>
      </c>
      <c r="N738" s="4" t="s">
        <v>825</v>
      </c>
      <c r="O738" s="4">
        <f>VLOOKUP(B738, 'All Menu'!B:L, 6, 0)</f>
        <v>11.120689655172415</v>
      </c>
      <c r="P738" s="6">
        <f>VLOOKUP(B738, 'All Menu'!B:L, 9, 0)</f>
        <v>7.4588675786491541</v>
      </c>
      <c r="Q738" s="14">
        <f>VLOOKUP(B738, 'All Menu'!B:M, 12, 0)</f>
        <v>0.32928012471061874</v>
      </c>
      <c r="R738" s="173">
        <f t="shared" si="48"/>
        <v>0</v>
      </c>
    </row>
    <row r="739" spans="1:18" ht="12.65" hidden="1" customHeight="1">
      <c r="A739" s="78" t="s">
        <v>2513</v>
      </c>
      <c r="B739" s="220" t="s">
        <v>1066</v>
      </c>
      <c r="C739" s="185"/>
      <c r="D739" s="103" t="str">
        <f>VLOOKUP(B739, 'All Menu'!B:M, 4, 0)</f>
        <v>مشاوي مشكلة نص كيلو</v>
      </c>
      <c r="E739" s="30" t="str">
        <f>VLOOKUP(B739, 'All Menu'!B:M, 2, 0)</f>
        <v>قسم الصالة</v>
      </c>
      <c r="F739" s="103" t="str">
        <f>VLOOKUP(B739, 'All Menu'!B:M, 3, 0)</f>
        <v>المشاوي صالة</v>
      </c>
      <c r="G739" s="90" t="s">
        <v>2231</v>
      </c>
      <c r="H739" s="188">
        <v>4499</v>
      </c>
      <c r="I739" s="110" t="str">
        <f>VLOOKUP(H739, 'RM &amp; SF'!B:H, 2, 0)</f>
        <v>فلفل حار اخضر*****</v>
      </c>
      <c r="J739" s="184" t="str">
        <f>VLOOKUP(H739, 'RM &amp; SF'!B:E, 4, 0)</f>
        <v>غم</v>
      </c>
      <c r="K739" s="12">
        <v>20</v>
      </c>
      <c r="L739" s="13">
        <f>VLOOKUP(H739, 'RM &amp; SF'!B:H, 7, 0)</f>
        <v>5.0000000000000001E-4</v>
      </c>
      <c r="M739" s="7">
        <f t="shared" si="47"/>
        <v>0.01</v>
      </c>
      <c r="N739" s="4" t="s">
        <v>825</v>
      </c>
      <c r="O739" s="4">
        <f>VLOOKUP(B739, 'All Menu'!B:L, 6, 0)</f>
        <v>11.120689655172415</v>
      </c>
      <c r="P739" s="6">
        <f>VLOOKUP(B739, 'All Menu'!B:L, 9, 0)</f>
        <v>7.4588675786491541</v>
      </c>
      <c r="Q739" s="14">
        <f>VLOOKUP(B739, 'All Menu'!B:M, 12, 0)</f>
        <v>0.32928012471061874</v>
      </c>
      <c r="R739" s="173">
        <f t="shared" si="48"/>
        <v>0</v>
      </c>
    </row>
    <row r="740" spans="1:18" ht="14" hidden="1">
      <c r="A740" s="78" t="s">
        <v>2611</v>
      </c>
      <c r="B740" s="220" t="s">
        <v>1074</v>
      </c>
      <c r="C740" s="185"/>
      <c r="D740" s="103" t="str">
        <f>VLOOKUP(B740, 'All Menu'!B:M, 4, 0)</f>
        <v>سويت اند سور</v>
      </c>
      <c r="E740" s="30" t="str">
        <f>VLOOKUP(B740, 'All Menu'!B:M, 2, 0)</f>
        <v>قسم الصالة</v>
      </c>
      <c r="F740" s="103" t="str">
        <f>VLOOKUP(B740, 'All Menu'!B:M, 3, 0)</f>
        <v>اطباق اليوم صالة</v>
      </c>
      <c r="G740" s="90" t="s">
        <v>2448</v>
      </c>
      <c r="H740" s="219" t="s">
        <v>628</v>
      </c>
      <c r="I740" s="110" t="str">
        <f>VLOOKUP(H740, 'RM &amp; SF'!B:H, 2, 0)</f>
        <v>سويت اند سور طبخة</v>
      </c>
      <c r="J740" s="184" t="str">
        <f>VLOOKUP(H740, 'RM &amp; SF'!B:E, 4, 0)</f>
        <v>غم</v>
      </c>
      <c r="K740" s="12">
        <v>400</v>
      </c>
      <c r="L740" s="13">
        <f>VLOOKUP(H740, 'RM &amp; SF'!B:H, 7, 0)</f>
        <v>9.0929360980239742E-4</v>
      </c>
      <c r="M740" s="7">
        <f t="shared" si="47"/>
        <v>0.36371744392095895</v>
      </c>
      <c r="N740" s="4" t="s">
        <v>825</v>
      </c>
      <c r="O740" s="4">
        <f>VLOOKUP(B740, 'All Menu'!B:L, 6, 0)</f>
        <v>5.0431034482758621</v>
      </c>
      <c r="P740" s="6">
        <f>VLOOKUP(B740, 'All Menu'!B:L, 9, 0)</f>
        <v>1.387820232146594</v>
      </c>
      <c r="Q740" s="14">
        <f>VLOOKUP(B740, 'All Menu'!B:M, 12, 0)</f>
        <v>0.72480829584785489</v>
      </c>
      <c r="R740" s="173">
        <f t="shared" si="48"/>
        <v>0</v>
      </c>
    </row>
    <row r="741" spans="1:18" ht="14" hidden="1">
      <c r="A741" s="78" t="s">
        <v>2611</v>
      </c>
      <c r="B741" s="220" t="s">
        <v>1074</v>
      </c>
      <c r="C741" s="185"/>
      <c r="D741" s="103" t="str">
        <f>VLOOKUP(B741, 'All Menu'!B:M, 4, 0)</f>
        <v>سويت اند سور</v>
      </c>
      <c r="E741" s="30" t="str">
        <f>VLOOKUP(B741, 'All Menu'!B:M, 2, 0)</f>
        <v>قسم الصالة</v>
      </c>
      <c r="F741" s="103" t="str">
        <f>VLOOKUP(B741, 'All Menu'!B:M, 3, 0)</f>
        <v>اطباق اليوم صالة</v>
      </c>
      <c r="G741" s="90" t="s">
        <v>2390</v>
      </c>
      <c r="H741" s="219" t="s">
        <v>548</v>
      </c>
      <c r="I741" s="110" t="str">
        <f>VLOOKUP(H741, 'RM &amp; SF'!B:H, 2, 0)</f>
        <v>رز ابيض</v>
      </c>
      <c r="J741" s="184" t="str">
        <f>VLOOKUP(H741, 'RM &amp; SF'!B:E, 4, 0)</f>
        <v>غم</v>
      </c>
      <c r="K741" s="12">
        <v>500</v>
      </c>
      <c r="L741" s="13">
        <f>VLOOKUP(H741, 'RM &amp; SF'!B:H, 7, 0)</f>
        <v>4.1596433333333332E-4</v>
      </c>
      <c r="M741" s="7">
        <f t="shared" si="47"/>
        <v>0.20798216666666666</v>
      </c>
      <c r="N741" s="4" t="s">
        <v>825</v>
      </c>
      <c r="O741" s="4">
        <f>VLOOKUP(B741, 'All Menu'!B:L, 6, 0)</f>
        <v>5.0431034482758621</v>
      </c>
      <c r="P741" s="6">
        <f>VLOOKUP(B741, 'All Menu'!B:L, 9, 0)</f>
        <v>1.387820232146594</v>
      </c>
      <c r="Q741" s="14">
        <f>VLOOKUP(B741, 'All Menu'!B:M, 12, 0)</f>
        <v>0.72480829584785489</v>
      </c>
      <c r="R741" s="173">
        <f t="shared" si="48"/>
        <v>0</v>
      </c>
    </row>
    <row r="742" spans="1:18" ht="14" hidden="1">
      <c r="A742" s="78" t="s">
        <v>2611</v>
      </c>
      <c r="B742" s="220" t="s">
        <v>1074</v>
      </c>
      <c r="C742" s="185"/>
      <c r="D742" s="103" t="str">
        <f>VLOOKUP(B742, 'All Menu'!B:M, 4, 0)</f>
        <v>سويت اند سور</v>
      </c>
      <c r="E742" s="30" t="str">
        <f>VLOOKUP(B742, 'All Menu'!B:M, 2, 0)</f>
        <v>قسم الصالة</v>
      </c>
      <c r="F742" s="103" t="str">
        <f>VLOOKUP(B742, 'All Menu'!B:M, 3, 0)</f>
        <v>اطباق اليوم صالة</v>
      </c>
      <c r="G742" s="90" t="s">
        <v>2271</v>
      </c>
      <c r="H742" s="188">
        <v>4034</v>
      </c>
      <c r="I742" s="110" t="str">
        <f>VLOOKUP(H742, 'RM &amp; SF'!B:H, 2, 0)</f>
        <v>اناناس شرائح 565 غم*****</v>
      </c>
      <c r="J742" s="184" t="str">
        <f>VLOOKUP(H742, 'RM &amp; SF'!B:E, 4, 0)</f>
        <v>غم</v>
      </c>
      <c r="K742" s="12">
        <v>50</v>
      </c>
      <c r="L742" s="13">
        <f>VLOOKUP(H742, 'RM &amp; SF'!B:H, 7, 0)</f>
        <v>1.5983193277310924E-3</v>
      </c>
      <c r="M742" s="7">
        <f t="shared" si="47"/>
        <v>7.9915966386554627E-2</v>
      </c>
      <c r="N742" s="4" t="s">
        <v>825</v>
      </c>
      <c r="O742" s="4">
        <f>VLOOKUP(B742, 'All Menu'!B:L, 6, 0)</f>
        <v>5.0431034482758621</v>
      </c>
      <c r="P742" s="6">
        <f>VLOOKUP(B742, 'All Menu'!B:L, 9, 0)</f>
        <v>1.387820232146594</v>
      </c>
      <c r="Q742" s="14">
        <f>VLOOKUP(B742, 'All Menu'!B:M, 12, 0)</f>
        <v>0.72480829584785489</v>
      </c>
      <c r="R742" s="173">
        <f t="shared" si="48"/>
        <v>0</v>
      </c>
    </row>
    <row r="743" spans="1:18" ht="14" hidden="1">
      <c r="A743" s="78" t="s">
        <v>2611</v>
      </c>
      <c r="B743" s="220" t="s">
        <v>1074</v>
      </c>
      <c r="C743" s="185"/>
      <c r="D743" s="103" t="str">
        <f>VLOOKUP(B743, 'All Menu'!B:M, 4, 0)</f>
        <v>سويت اند سور</v>
      </c>
      <c r="E743" s="30" t="str">
        <f>VLOOKUP(B743, 'All Menu'!B:M, 2, 0)</f>
        <v>قسم الصالة</v>
      </c>
      <c r="F743" s="103" t="str">
        <f>VLOOKUP(B743, 'All Menu'!B:M, 3, 0)</f>
        <v>اطباق اليوم صالة</v>
      </c>
      <c r="G743" s="90" t="s">
        <v>2234</v>
      </c>
      <c r="H743" s="188">
        <v>4503</v>
      </c>
      <c r="I743" s="110" t="str">
        <f>VLOOKUP(H743, 'RM &amp; SF'!B:H, 2, 0)</f>
        <v>بصل ناشف دفش*****</v>
      </c>
      <c r="J743" s="184" t="str">
        <f>VLOOKUP(H743, 'RM &amp; SF'!B:E, 4, 0)</f>
        <v>غم</v>
      </c>
      <c r="K743" s="12">
        <v>70</v>
      </c>
      <c r="L743" s="13">
        <f>VLOOKUP(H743, 'RM &amp; SF'!B:H, 7, 0)</f>
        <v>2.5000000000000001E-4</v>
      </c>
      <c r="M743" s="7">
        <f t="shared" si="47"/>
        <v>1.7500000000000002E-2</v>
      </c>
      <c r="N743" s="4" t="s">
        <v>825</v>
      </c>
      <c r="O743" s="4">
        <f>VLOOKUP(B743, 'All Menu'!B:L, 6, 0)</f>
        <v>5.0431034482758621</v>
      </c>
      <c r="P743" s="6">
        <f>VLOOKUP(B743, 'All Menu'!B:L, 9, 0)</f>
        <v>1.387820232146594</v>
      </c>
      <c r="Q743" s="14">
        <f>VLOOKUP(B743, 'All Menu'!B:M, 12, 0)</f>
        <v>0.72480829584785489</v>
      </c>
      <c r="R743" s="173">
        <f t="shared" si="48"/>
        <v>0</v>
      </c>
    </row>
    <row r="744" spans="1:18" ht="14" hidden="1">
      <c r="A744" s="78" t="s">
        <v>2611</v>
      </c>
      <c r="B744" s="220" t="s">
        <v>1074</v>
      </c>
      <c r="C744" s="185"/>
      <c r="D744" s="103" t="str">
        <f>VLOOKUP(B744, 'All Menu'!B:M, 4, 0)</f>
        <v>سويت اند سور</v>
      </c>
      <c r="E744" s="30" t="str">
        <f>VLOOKUP(B744, 'All Menu'!B:M, 2, 0)</f>
        <v>قسم الصالة</v>
      </c>
      <c r="F744" s="103" t="str">
        <f>VLOOKUP(B744, 'All Menu'!B:M, 3, 0)</f>
        <v>اطباق اليوم صالة</v>
      </c>
      <c r="G744" s="90" t="s">
        <v>2233</v>
      </c>
      <c r="H744" s="188">
        <v>4501</v>
      </c>
      <c r="I744" s="110" t="str">
        <f>VLOOKUP(H744, 'RM &amp; SF'!B:H, 2, 0)</f>
        <v>فلفل حلو احمر*****</v>
      </c>
      <c r="J744" s="184" t="str">
        <f>VLOOKUP(H744, 'RM &amp; SF'!B:E, 4, 0)</f>
        <v>غم</v>
      </c>
      <c r="K744" s="16">
        <v>120</v>
      </c>
      <c r="L744" s="13">
        <f>VLOOKUP(H744, 'RM &amp; SF'!B:H, 7, 0)</f>
        <v>7.5000000000000002E-4</v>
      </c>
      <c r="M744" s="7">
        <f t="shared" si="47"/>
        <v>0.09</v>
      </c>
      <c r="N744" s="4" t="s">
        <v>825</v>
      </c>
      <c r="O744" s="4">
        <f>VLOOKUP(B744, 'All Menu'!B:L, 6, 0)</f>
        <v>5.0431034482758621</v>
      </c>
      <c r="P744" s="6">
        <f>VLOOKUP(B744, 'All Menu'!B:L, 9, 0)</f>
        <v>1.387820232146594</v>
      </c>
      <c r="Q744" s="14">
        <f>VLOOKUP(B744, 'All Menu'!B:M, 12, 0)</f>
        <v>0.72480829584785489</v>
      </c>
      <c r="R744" s="173">
        <f t="shared" si="48"/>
        <v>0</v>
      </c>
    </row>
    <row r="745" spans="1:18" ht="14" hidden="1">
      <c r="A745" s="78" t="s">
        <v>2611</v>
      </c>
      <c r="B745" s="220" t="s">
        <v>1074</v>
      </c>
      <c r="C745" s="185"/>
      <c r="D745" s="103" t="str">
        <f>VLOOKUP(B745, 'All Menu'!B:M, 4, 0)</f>
        <v>سويت اند سور</v>
      </c>
      <c r="E745" s="30" t="str">
        <f>VLOOKUP(B745, 'All Menu'!B:M, 2, 0)</f>
        <v>قسم الصالة</v>
      </c>
      <c r="F745" s="103" t="str">
        <f>VLOOKUP(B745, 'All Menu'!B:M, 3, 0)</f>
        <v>اطباق اليوم صالة</v>
      </c>
      <c r="G745" s="90" t="s">
        <v>2310</v>
      </c>
      <c r="H745" s="188">
        <v>4579</v>
      </c>
      <c r="I745" s="110" t="str">
        <f>VLOOKUP(H745, 'RM &amp; SF'!B:H, 2, 0)</f>
        <v>صدر دجاج مسحب بدون جلد طازج للمشاغل*****</v>
      </c>
      <c r="J745" s="184" t="str">
        <f>VLOOKUP(H745, 'RM &amp; SF'!B:E, 4, 0)</f>
        <v>غم</v>
      </c>
      <c r="K745" s="16">
        <v>130</v>
      </c>
      <c r="L745" s="13">
        <f>VLOOKUP(H745, 'RM &amp; SF'!B:H, 7, 0)</f>
        <v>4.2000000000000006E-3</v>
      </c>
      <c r="M745" s="7">
        <f t="shared" si="47"/>
        <v>0.54600000000000004</v>
      </c>
      <c r="N745" s="4" t="s">
        <v>825</v>
      </c>
      <c r="O745" s="4">
        <f>VLOOKUP(B745, 'All Menu'!B:L, 6, 0)</f>
        <v>5.0431034482758621</v>
      </c>
      <c r="P745" s="6">
        <f>VLOOKUP(B745, 'All Menu'!B:L, 9, 0)</f>
        <v>1.387820232146594</v>
      </c>
      <c r="Q745" s="14">
        <f>VLOOKUP(B745, 'All Menu'!B:M, 12, 0)</f>
        <v>0.72480829584785489</v>
      </c>
      <c r="R745" s="173">
        <f t="shared" si="48"/>
        <v>0</v>
      </c>
    </row>
    <row r="746" spans="1:18" ht="14" hidden="1">
      <c r="A746" s="78" t="s">
        <v>2611</v>
      </c>
      <c r="B746" s="220" t="s">
        <v>1074</v>
      </c>
      <c r="C746" s="185"/>
      <c r="D746" s="103" t="str">
        <f>VLOOKUP(B746, 'All Menu'!B:M, 4, 0)</f>
        <v>سويت اند سور</v>
      </c>
      <c r="E746" s="30" t="str">
        <f>VLOOKUP(B746, 'All Menu'!B:M, 2, 0)</f>
        <v>قسم الصالة</v>
      </c>
      <c r="F746" s="103" t="str">
        <f>VLOOKUP(B746, 'All Menu'!B:M, 3, 0)</f>
        <v>اطباق اليوم صالة</v>
      </c>
      <c r="G746" s="90" t="s">
        <v>2341</v>
      </c>
      <c r="H746" s="219" t="s">
        <v>706</v>
      </c>
      <c r="I746" s="110" t="str">
        <f>VLOOKUP(H746, 'RM &amp; SF'!B:H, 2, 0)</f>
        <v>لوز مقلي</v>
      </c>
      <c r="J746" s="184" t="str">
        <f>VLOOKUP(H746, 'RM &amp; SF'!B:E, 4, 0)</f>
        <v>غم</v>
      </c>
      <c r="K746" s="12">
        <v>20</v>
      </c>
      <c r="L746" s="13">
        <f>VLOOKUP(H746, 'RM &amp; SF'!B:H, 7, 0)</f>
        <v>4.1352327586206888E-3</v>
      </c>
      <c r="M746" s="7">
        <f t="shared" si="47"/>
        <v>8.270465517241378E-2</v>
      </c>
      <c r="N746" s="4" t="s">
        <v>825</v>
      </c>
      <c r="O746" s="4">
        <f>VLOOKUP(B746, 'All Menu'!B:L, 6, 0)</f>
        <v>5.0431034482758621</v>
      </c>
      <c r="P746" s="6">
        <f>VLOOKUP(B746, 'All Menu'!B:L, 9, 0)</f>
        <v>1.387820232146594</v>
      </c>
      <c r="Q746" s="14">
        <f>VLOOKUP(B746, 'All Menu'!B:M, 12, 0)</f>
        <v>0.72480829584785489</v>
      </c>
      <c r="R746" s="173">
        <f t="shared" si="48"/>
        <v>0</v>
      </c>
    </row>
    <row r="747" spans="1:18" ht="14" hidden="1">
      <c r="A747" s="78" t="s">
        <v>2630</v>
      </c>
      <c r="B747" s="220" t="s">
        <v>1079</v>
      </c>
      <c r="C747" s="185"/>
      <c r="D747" s="103" t="str">
        <f>VLOOKUP(B747, 'All Menu'!B:M, 4, 0)</f>
        <v>قطعة لحمة</v>
      </c>
      <c r="E747" s="30" t="str">
        <f>VLOOKUP(B747, 'All Menu'!B:M, 2, 0)</f>
        <v>قسم الصالة</v>
      </c>
      <c r="F747" s="103" t="str">
        <f>VLOOKUP(B747, 'All Menu'!B:M, 3, 0)</f>
        <v>اطباق اليوم صالة</v>
      </c>
      <c r="G747" s="90" t="s">
        <v>3058</v>
      </c>
      <c r="H747" s="188">
        <v>4608</v>
      </c>
      <c r="I747" s="110" t="str">
        <f>VLOOKUP(H747, 'RM &amp; SF'!B:H, 2, 0)</f>
        <v>لحمة قطع نية بالكيلو*****</v>
      </c>
      <c r="J747" s="184" t="str">
        <f>VLOOKUP(H747, 'RM &amp; SF'!B:E, 4, 0)</f>
        <v>غم</v>
      </c>
      <c r="K747" s="12">
        <v>350</v>
      </c>
      <c r="L747" s="13">
        <f>VLOOKUP(H747, 'RM &amp; SF'!B:H, 7, 0)</f>
        <v>1.1615493158849017E-2</v>
      </c>
      <c r="M747" s="7">
        <f t="shared" ref="M747:M796" si="49">L747*K747</f>
        <v>4.0654226055971554</v>
      </c>
      <c r="N747" s="4" t="s">
        <v>825</v>
      </c>
      <c r="O747" s="4">
        <f>VLOOKUP(B747, 'All Menu'!B:L, 6, 0)</f>
        <v>6.0344827586206904</v>
      </c>
      <c r="P747" s="6">
        <f>VLOOKUP(B747, 'All Menu'!B:L, 9, 0)</f>
        <v>4.0654226055971554</v>
      </c>
      <c r="Q747" s="14">
        <f>VLOOKUP(B747, 'All Menu'!B:M, 12, 0)</f>
        <v>0.32630139678675718</v>
      </c>
      <c r="R747" s="173">
        <f t="shared" si="48"/>
        <v>0</v>
      </c>
    </row>
    <row r="748" spans="1:18" ht="14" hidden="1">
      <c r="A748" s="78" t="s">
        <v>2583</v>
      </c>
      <c r="B748" s="220" t="s">
        <v>1087</v>
      </c>
      <c r="C748" s="185"/>
      <c r="D748" s="103" t="str">
        <f>VLOOKUP(B748, 'All Menu'!B:M, 4, 0)</f>
        <v>سيزر دجاج</v>
      </c>
      <c r="E748" s="30" t="str">
        <f>VLOOKUP(B748, 'All Menu'!B:M, 2, 0)</f>
        <v>قسم الصالة</v>
      </c>
      <c r="F748" s="103" t="str">
        <f>VLOOKUP(B748, 'All Menu'!B:M, 3, 0)</f>
        <v>سلطات صالة</v>
      </c>
      <c r="G748" s="90" t="s">
        <v>2241</v>
      </c>
      <c r="H748" s="188">
        <v>4518</v>
      </c>
      <c r="I748" s="110" t="str">
        <f>VLOOKUP(H748, 'RM &amp; SF'!B:H, 2, 0)</f>
        <v>خس ايسبرغ*****</v>
      </c>
      <c r="J748" s="184" t="str">
        <f>VLOOKUP(H748, 'RM &amp; SF'!B:E, 4, 0)</f>
        <v>غم</v>
      </c>
      <c r="K748" s="12">
        <v>200</v>
      </c>
      <c r="L748" s="13">
        <f>VLOOKUP(H748, 'RM &amp; SF'!B:H, 7, 0)</f>
        <v>7.5000000000000002E-4</v>
      </c>
      <c r="M748" s="7">
        <f t="shared" si="49"/>
        <v>0.15</v>
      </c>
      <c r="N748" s="4" t="s">
        <v>825</v>
      </c>
      <c r="O748" s="4">
        <f>VLOOKUP(B748, 'All Menu'!B:L, 6, 0)</f>
        <v>4.0948275862068968</v>
      </c>
      <c r="P748" s="6">
        <f>VLOOKUP(B748, 'All Menu'!B:L, 9, 0)</f>
        <v>0.9354491594417077</v>
      </c>
      <c r="Q748" s="14">
        <f>VLOOKUP(B748, 'All Menu'!B:M, 12, 0)</f>
        <v>0.77155346843107775</v>
      </c>
      <c r="R748" s="173">
        <f t="shared" si="48"/>
        <v>0</v>
      </c>
    </row>
    <row r="749" spans="1:18" ht="14" hidden="1">
      <c r="A749" s="78" t="s">
        <v>2583</v>
      </c>
      <c r="B749" s="220" t="s">
        <v>1087</v>
      </c>
      <c r="C749" s="185"/>
      <c r="D749" s="103" t="str">
        <f>VLOOKUP(B749, 'All Menu'!B:M, 4, 0)</f>
        <v>سيزر دجاج</v>
      </c>
      <c r="E749" s="30" t="str">
        <f>VLOOKUP(B749, 'All Menu'!B:M, 2, 0)</f>
        <v>قسم الصالة</v>
      </c>
      <c r="F749" s="103" t="str">
        <f>VLOOKUP(B749, 'All Menu'!B:M, 3, 0)</f>
        <v>سلطات صالة</v>
      </c>
      <c r="G749" s="90" t="s">
        <v>2308</v>
      </c>
      <c r="H749" s="188">
        <v>4787</v>
      </c>
      <c r="I749" s="110" t="str">
        <f>VLOOKUP(H749, 'RM &amp; SF'!B:H, 2, 0)</f>
        <v>خبز التوست بالحليب مشرح 600 غم*****</v>
      </c>
      <c r="J749" s="184" t="str">
        <f>VLOOKUP(H749, 'RM &amp; SF'!B:E, 4, 0)</f>
        <v>غم</v>
      </c>
      <c r="K749" s="12">
        <v>10</v>
      </c>
      <c r="L749" s="13">
        <f>VLOOKUP(H749, 'RM &amp; SF'!B:H, 7, 0)</f>
        <v>2.08333E-3</v>
      </c>
      <c r="M749" s="7">
        <f t="shared" si="49"/>
        <v>2.0833299999999999E-2</v>
      </c>
      <c r="N749" s="4" t="s">
        <v>825</v>
      </c>
      <c r="O749" s="4">
        <f>VLOOKUP(B749, 'All Menu'!B:L, 6, 0)</f>
        <v>4.0948275862068968</v>
      </c>
      <c r="P749" s="6">
        <f>VLOOKUP(B749, 'All Menu'!B:L, 9, 0)</f>
        <v>0.9354491594417077</v>
      </c>
      <c r="Q749" s="14">
        <f>VLOOKUP(B749, 'All Menu'!B:M, 12, 0)</f>
        <v>0.77155346843107775</v>
      </c>
      <c r="R749" s="173">
        <f t="shared" si="48"/>
        <v>0</v>
      </c>
    </row>
    <row r="750" spans="1:18" ht="14" hidden="1">
      <c r="A750" s="78" t="s">
        <v>2583</v>
      </c>
      <c r="B750" s="220" t="s">
        <v>1087</v>
      </c>
      <c r="C750" s="185"/>
      <c r="D750" s="103" t="str">
        <f>VLOOKUP(B750, 'All Menu'!B:M, 4, 0)</f>
        <v>سيزر دجاج</v>
      </c>
      <c r="E750" s="30" t="str">
        <f>VLOOKUP(B750, 'All Menu'!B:M, 2, 0)</f>
        <v>قسم الصالة</v>
      </c>
      <c r="F750" s="103" t="str">
        <f>VLOOKUP(B750, 'All Menu'!B:M, 3, 0)</f>
        <v>سلطات صالة</v>
      </c>
      <c r="G750" s="90" t="s">
        <v>2406</v>
      </c>
      <c r="H750" s="219" t="s">
        <v>518</v>
      </c>
      <c r="I750" s="110" t="str">
        <f>VLOOKUP(H750, 'RM &amp; SF'!B:H, 2, 0)</f>
        <v>صوص سيزار</v>
      </c>
      <c r="J750" s="184" t="str">
        <f>VLOOKUP(H750, 'RM &amp; SF'!B:E, 4, 0)</f>
        <v>غم</v>
      </c>
      <c r="K750" s="12">
        <v>40</v>
      </c>
      <c r="L750" s="13">
        <f>VLOOKUP(H750, 'RM &amp; SF'!B:H, 7, 0)</f>
        <v>3.8209876190476188E-3</v>
      </c>
      <c r="M750" s="7">
        <f t="shared" si="49"/>
        <v>0.15283950476190475</v>
      </c>
      <c r="N750" s="4" t="s">
        <v>825</v>
      </c>
      <c r="O750" s="4">
        <f>VLOOKUP(B750, 'All Menu'!B:L, 6, 0)</f>
        <v>4.0948275862068968</v>
      </c>
      <c r="P750" s="6">
        <f>VLOOKUP(B750, 'All Menu'!B:L, 9, 0)</f>
        <v>0.9354491594417077</v>
      </c>
      <c r="Q750" s="14">
        <f>VLOOKUP(B750, 'All Menu'!B:M, 12, 0)</f>
        <v>0.77155346843107775</v>
      </c>
      <c r="R750" s="173">
        <f t="shared" si="48"/>
        <v>0</v>
      </c>
    </row>
    <row r="751" spans="1:18" ht="14" hidden="1">
      <c r="A751" s="78" t="s">
        <v>2583</v>
      </c>
      <c r="B751" s="220" t="s">
        <v>1087</v>
      </c>
      <c r="C751" s="185"/>
      <c r="D751" s="103" t="str">
        <f>VLOOKUP(B751, 'All Menu'!B:M, 4, 0)</f>
        <v>سيزر دجاج</v>
      </c>
      <c r="E751" s="30" t="str">
        <f>VLOOKUP(B751, 'All Menu'!B:M, 2, 0)</f>
        <v>قسم الصالة</v>
      </c>
      <c r="F751" s="103" t="str">
        <f>VLOOKUP(B751, 'All Menu'!B:M, 3, 0)</f>
        <v>سلطات صالة</v>
      </c>
      <c r="G751" s="90" t="s">
        <v>2179</v>
      </c>
      <c r="H751" s="188">
        <v>4560</v>
      </c>
      <c r="I751" s="110" t="str">
        <f>VLOOKUP(H751, 'RM &amp; SF'!B:H, 2, 0)</f>
        <v>جبنة بارميزان قالب*****</v>
      </c>
      <c r="J751" s="184" t="str">
        <f>VLOOKUP(H751, 'RM &amp; SF'!B:E, 4, 0)</f>
        <v>غم</v>
      </c>
      <c r="K751" s="12">
        <v>20</v>
      </c>
      <c r="L751" s="13">
        <f>VLOOKUP(H751, 'RM &amp; SF'!B:H, 7, 0)</f>
        <v>6.5100000000000002E-3</v>
      </c>
      <c r="M751" s="7">
        <f t="shared" si="49"/>
        <v>0.13020000000000001</v>
      </c>
      <c r="N751" s="4" t="s">
        <v>825</v>
      </c>
      <c r="O751" s="4">
        <f>VLOOKUP(B751, 'All Menu'!B:L, 6, 0)</f>
        <v>4.0948275862068968</v>
      </c>
      <c r="P751" s="6">
        <f>VLOOKUP(B751, 'All Menu'!B:L, 9, 0)</f>
        <v>0.9354491594417077</v>
      </c>
      <c r="Q751" s="14">
        <f>VLOOKUP(B751, 'All Menu'!B:M, 12, 0)</f>
        <v>0.77155346843107775</v>
      </c>
      <c r="R751" s="173">
        <f t="shared" si="48"/>
        <v>0</v>
      </c>
    </row>
    <row r="752" spans="1:18" ht="14" hidden="1">
      <c r="A752" s="78" t="s">
        <v>2583</v>
      </c>
      <c r="B752" s="220" t="s">
        <v>1087</v>
      </c>
      <c r="C752" s="185"/>
      <c r="D752" s="103" t="str">
        <f>VLOOKUP(B752, 'All Menu'!B:M, 4, 0)</f>
        <v>سيزر دجاج</v>
      </c>
      <c r="E752" s="30" t="str">
        <f>VLOOKUP(B752, 'All Menu'!B:M, 2, 0)</f>
        <v>قسم الصالة</v>
      </c>
      <c r="F752" s="103" t="str">
        <f>VLOOKUP(B752, 'All Menu'!B:M, 3, 0)</f>
        <v>سلطات صالة</v>
      </c>
      <c r="G752" s="90" t="s">
        <v>2310</v>
      </c>
      <c r="H752" s="188">
        <v>4579</v>
      </c>
      <c r="I752" s="110" t="str">
        <f>VLOOKUP(H752, 'RM &amp; SF'!B:H, 2, 0)</f>
        <v>صدر دجاج مسحب بدون جلد طازج للمشاغل*****</v>
      </c>
      <c r="J752" s="184" t="str">
        <f>VLOOKUP(H752, 'RM &amp; SF'!B:E, 4, 0)</f>
        <v>غم</v>
      </c>
      <c r="K752" s="12">
        <v>100</v>
      </c>
      <c r="L752" s="13">
        <f>VLOOKUP(H752, 'RM &amp; SF'!B:H, 7, 0)</f>
        <v>4.2000000000000006E-3</v>
      </c>
      <c r="M752" s="7">
        <f t="shared" si="49"/>
        <v>0.42000000000000004</v>
      </c>
      <c r="N752" s="4" t="s">
        <v>825</v>
      </c>
      <c r="O752" s="4">
        <f>VLOOKUP(B752, 'All Menu'!B:L, 6, 0)</f>
        <v>4.0948275862068968</v>
      </c>
      <c r="P752" s="6">
        <f>VLOOKUP(B752, 'All Menu'!B:L, 9, 0)</f>
        <v>0.9354491594417077</v>
      </c>
      <c r="Q752" s="14">
        <f>VLOOKUP(B752, 'All Menu'!B:M, 12, 0)</f>
        <v>0.77155346843107775</v>
      </c>
      <c r="R752" s="173">
        <f t="shared" si="48"/>
        <v>0</v>
      </c>
    </row>
    <row r="753" spans="1:18" ht="14" hidden="1">
      <c r="A753" s="78" t="s">
        <v>2583</v>
      </c>
      <c r="B753" s="220" t="s">
        <v>1087</v>
      </c>
      <c r="C753" s="185"/>
      <c r="D753" s="103" t="str">
        <f>VLOOKUP(B753, 'All Menu'!B:M, 4, 0)</f>
        <v>سيزر دجاج</v>
      </c>
      <c r="E753" s="30" t="str">
        <f>VLOOKUP(B753, 'All Menu'!B:M, 2, 0)</f>
        <v>قسم الصالة</v>
      </c>
      <c r="F753" s="103" t="str">
        <f>VLOOKUP(B753, 'All Menu'!B:M, 3, 0)</f>
        <v>سلطات صالة</v>
      </c>
      <c r="G753" s="90" t="s">
        <v>3058</v>
      </c>
      <c r="H753" s="188">
        <v>5410</v>
      </c>
      <c r="I753" s="110" t="str">
        <f>VLOOKUP(H753, 'RM &amp; SF'!B:H, 2, 0)</f>
        <v>قرسيني (موالح)</v>
      </c>
      <c r="J753" s="184" t="str">
        <f>VLOOKUP(H753, 'RM &amp; SF'!B:E, 4, 0)</f>
        <v>غم</v>
      </c>
      <c r="K753" s="12">
        <v>20</v>
      </c>
      <c r="L753" s="13">
        <f>VLOOKUP(H753, 'RM &amp; SF'!B:H, 7, 0)</f>
        <v>3.0788177339901479E-3</v>
      </c>
      <c r="M753" s="7">
        <f t="shared" si="49"/>
        <v>6.1576354679802957E-2</v>
      </c>
      <c r="N753" s="4" t="s">
        <v>825</v>
      </c>
      <c r="O753" s="4">
        <f>VLOOKUP(B753, 'All Menu'!B:L, 6, 0)</f>
        <v>4.0948275862068968</v>
      </c>
      <c r="P753" s="6">
        <f>VLOOKUP(B753, 'All Menu'!B:L, 9, 0)</f>
        <v>0.9354491594417077</v>
      </c>
      <c r="Q753" s="14">
        <f>VLOOKUP(B753, 'All Menu'!B:M, 12, 0)</f>
        <v>0.77155346843107775</v>
      </c>
      <c r="R753" s="173">
        <f t="shared" si="48"/>
        <v>0</v>
      </c>
    </row>
    <row r="754" spans="1:18" ht="14" hidden="1">
      <c r="A754" s="78" t="s">
        <v>2543</v>
      </c>
      <c r="B754" s="220" t="s">
        <v>1088</v>
      </c>
      <c r="C754" s="185"/>
      <c r="D754" s="103" t="str">
        <f>VLOOKUP(B754, 'All Menu'!B:M, 4, 0)</f>
        <v>عصير برتقال</v>
      </c>
      <c r="E754" s="30" t="str">
        <f>VLOOKUP(B754, 'All Menu'!B:M, 2, 0)</f>
        <v>قسم الصالة</v>
      </c>
      <c r="F754" s="103" t="str">
        <f>VLOOKUP(B754, 'All Menu'!B:M, 3, 0)</f>
        <v>باريستا صالة</v>
      </c>
      <c r="G754" s="90" t="s">
        <v>2256</v>
      </c>
      <c r="H754" s="188">
        <v>4574</v>
      </c>
      <c r="I754" s="110" t="str">
        <f>VLOOKUP(H754, 'RM &amp; SF'!B:H, 2, 0)</f>
        <v>عصير برتقال طازج 2.5 لتر*****</v>
      </c>
      <c r="J754" s="184" t="str">
        <f>VLOOKUP(H754, 'RM &amp; SF'!B:E, 4, 0)</f>
        <v>مل</v>
      </c>
      <c r="K754" s="12">
        <v>300</v>
      </c>
      <c r="L754" s="13">
        <f>VLOOKUP(H754, 'RM &amp; SF'!B:H, 7, 0)</f>
        <v>2E-3</v>
      </c>
      <c r="M754" s="7">
        <f t="shared" si="49"/>
        <v>0.6</v>
      </c>
      <c r="N754" s="4" t="s">
        <v>825</v>
      </c>
      <c r="O754" s="4">
        <f>VLOOKUP(B754, 'All Menu'!B:L, 6, 0)</f>
        <v>2.4568965517241383</v>
      </c>
      <c r="P754" s="6">
        <f>VLOOKUP(B754, 'All Menu'!B:L, 9, 0)</f>
        <v>0.6</v>
      </c>
      <c r="Q754" s="14">
        <f>VLOOKUP(B754, 'All Menu'!B:M, 12, 0)</f>
        <v>0.75578947368421057</v>
      </c>
      <c r="R754" s="173">
        <f t="shared" si="48"/>
        <v>0</v>
      </c>
    </row>
    <row r="755" spans="1:18" ht="14" hidden="1">
      <c r="A755" s="78" t="s">
        <v>2541</v>
      </c>
      <c r="B755" s="220" t="s">
        <v>1089</v>
      </c>
      <c r="C755" s="185"/>
      <c r="D755" s="103" t="str">
        <f>VLOOKUP(B755, 'All Menu'!B:M, 4, 0)</f>
        <v>عصير ليمون</v>
      </c>
      <c r="E755" s="30" t="str">
        <f>VLOOKUP(B755, 'All Menu'!B:M, 2, 0)</f>
        <v>قسم الصالة</v>
      </c>
      <c r="F755" s="103" t="str">
        <f>VLOOKUP(B755, 'All Menu'!B:M, 3, 0)</f>
        <v>باريستا صالة</v>
      </c>
      <c r="G755" s="90" t="s">
        <v>2255</v>
      </c>
      <c r="H755" s="188">
        <v>4573</v>
      </c>
      <c r="I755" s="110" t="str">
        <f>VLOOKUP(H755, 'RM &amp; SF'!B:H, 2, 0)</f>
        <v>عصير ليمون طازج 2.5 لتر*****</v>
      </c>
      <c r="J755" s="184" t="str">
        <f>VLOOKUP(H755, 'RM &amp; SF'!B:E, 4, 0)</f>
        <v>مل</v>
      </c>
      <c r="K755" s="12">
        <v>350</v>
      </c>
      <c r="L755" s="13">
        <f>VLOOKUP(H755, 'RM &amp; SF'!B:H, 7, 0)</f>
        <v>2.5999999999999999E-3</v>
      </c>
      <c r="M755" s="7">
        <f t="shared" si="49"/>
        <v>0.90999999999999992</v>
      </c>
      <c r="N755" s="4" t="s">
        <v>825</v>
      </c>
      <c r="O755" s="4">
        <f>VLOOKUP(B755, 'All Menu'!B:L, 6, 0)</f>
        <v>2.4568965517241383</v>
      </c>
      <c r="P755" s="6">
        <f>VLOOKUP(B755, 'All Menu'!B:L, 9, 0)</f>
        <v>1.8515524999999997</v>
      </c>
      <c r="Q755" s="14">
        <f>VLOOKUP(B755, 'All Menu'!B:M, 12, 0)</f>
        <v>0.24638564912280725</v>
      </c>
      <c r="R755" s="173">
        <f t="shared" si="48"/>
        <v>0</v>
      </c>
    </row>
    <row r="756" spans="1:18" ht="14" hidden="1">
      <c r="A756" s="78" t="s">
        <v>2541</v>
      </c>
      <c r="B756" s="220" t="s">
        <v>1089</v>
      </c>
      <c r="C756" s="185"/>
      <c r="D756" s="103" t="str">
        <f>VLOOKUP(B756, 'All Menu'!B:M, 4, 0)</f>
        <v>عصير ليمون</v>
      </c>
      <c r="E756" s="30" t="str">
        <f>VLOOKUP(B756, 'All Menu'!B:M, 2, 0)</f>
        <v>قسم الصالة</v>
      </c>
      <c r="F756" s="103" t="str">
        <f>VLOOKUP(B756, 'All Menu'!B:M, 3, 0)</f>
        <v>باريستا صالة</v>
      </c>
      <c r="G756" s="90" t="s">
        <v>2253</v>
      </c>
      <c r="H756" s="188">
        <v>4547</v>
      </c>
      <c r="I756" s="110" t="str">
        <f>VLOOKUP(H756, 'RM &amp; SF'!B:H, 2, 0)</f>
        <v>نعنع*****</v>
      </c>
      <c r="J756" s="184" t="str">
        <f>VLOOKUP(H756, 'RM &amp; SF'!B:E, 4, 0)</f>
        <v>غم</v>
      </c>
      <c r="K756" s="12">
        <v>7.0000000000000007E-2</v>
      </c>
      <c r="L756" s="13">
        <f>VLOOKUP(H756, 'RM &amp; SF'!B:H, 7, 0)</f>
        <v>7.5000000000000002E-4</v>
      </c>
      <c r="M756" s="7">
        <f t="shared" si="49"/>
        <v>5.2500000000000009E-5</v>
      </c>
      <c r="N756" s="4" t="s">
        <v>825</v>
      </c>
      <c r="O756" s="4">
        <f>VLOOKUP(B756, 'All Menu'!B:L, 6, 0)</f>
        <v>2.4568965517241383</v>
      </c>
      <c r="P756" s="6">
        <f>VLOOKUP(B756, 'All Menu'!B:L, 9, 0)</f>
        <v>1.8515524999999997</v>
      </c>
      <c r="Q756" s="14">
        <f>VLOOKUP(B756, 'All Menu'!B:M, 12, 0)</f>
        <v>0.24638564912280725</v>
      </c>
      <c r="R756" s="173">
        <f t="shared" ref="R756:R806" si="50">C756*K756</f>
        <v>0</v>
      </c>
    </row>
    <row r="757" spans="1:18" ht="14" hidden="1">
      <c r="A757" s="78" t="s">
        <v>2541</v>
      </c>
      <c r="B757" s="220" t="s">
        <v>1089</v>
      </c>
      <c r="C757" s="185"/>
      <c r="D757" s="103" t="str">
        <f>VLOOKUP(B757, 'All Menu'!B:M, 4, 0)</f>
        <v>عصير ليمون</v>
      </c>
      <c r="E757" s="30" t="str">
        <f>VLOOKUP(B757, 'All Menu'!B:M, 2, 0)</f>
        <v>قسم الصالة</v>
      </c>
      <c r="F757" s="103" t="str">
        <f>VLOOKUP(B757, 'All Menu'!B:M, 3, 0)</f>
        <v>باريستا صالة</v>
      </c>
      <c r="G757" s="90" t="s">
        <v>2284</v>
      </c>
      <c r="H757" s="188">
        <v>5425</v>
      </c>
      <c r="I757" s="110" t="str">
        <f>VLOOKUP(H757, 'RM &amp; SF'!B:H, 2, 0)</f>
        <v>سكر عادي</v>
      </c>
      <c r="J757" s="184" t="str">
        <f>VLOOKUP(H757, 'RM &amp; SF'!B:E, 4, 0)</f>
        <v>غم</v>
      </c>
      <c r="K757" s="12">
        <v>30</v>
      </c>
      <c r="L757" s="13">
        <f>VLOOKUP(H757, 'RM &amp; SF'!B:H, 7, 0)</f>
        <v>5.2500000000000008E-4</v>
      </c>
      <c r="M757" s="7">
        <f t="shared" si="49"/>
        <v>1.5750000000000004E-2</v>
      </c>
      <c r="N757" s="4" t="s">
        <v>825</v>
      </c>
      <c r="O757" s="4">
        <f>VLOOKUP(B757, 'All Menu'!B:L, 6, 0)</f>
        <v>2.4568965517241383</v>
      </c>
      <c r="P757" s="6">
        <f>VLOOKUP(B757, 'All Menu'!B:L, 9, 0)</f>
        <v>1.8515524999999997</v>
      </c>
      <c r="Q757" s="14">
        <f>VLOOKUP(B757, 'All Menu'!B:M, 12, 0)</f>
        <v>0.24638564912280725</v>
      </c>
      <c r="R757" s="173">
        <f t="shared" si="50"/>
        <v>0</v>
      </c>
    </row>
    <row r="758" spans="1:18" ht="14" hidden="1">
      <c r="A758" s="78" t="s">
        <v>2546</v>
      </c>
      <c r="B758" s="220" t="s">
        <v>1090</v>
      </c>
      <c r="C758" s="185"/>
      <c r="D758" s="103" t="str">
        <f>VLOOKUP(B758, 'All Menu'!B:M, 4, 0)</f>
        <v>شاي</v>
      </c>
      <c r="E758" s="30" t="str">
        <f>VLOOKUP(B758, 'All Menu'!B:M, 2, 0)</f>
        <v>قسم الصالة</v>
      </c>
      <c r="F758" s="103" t="str">
        <f>VLOOKUP(B758, 'All Menu'!B:M, 3, 0)</f>
        <v>باريستا صالة</v>
      </c>
      <c r="G758" s="90" t="s">
        <v>3058</v>
      </c>
      <c r="H758" s="188">
        <v>4180</v>
      </c>
      <c r="I758" s="110" t="str">
        <f>VLOOKUP(H758, 'RM &amp; SF'!B:H, 2, 0)</f>
        <v>شاي احمر 1*100 كيس*****</v>
      </c>
      <c r="J758" s="184" t="str">
        <f>VLOOKUP(H758, 'RM &amp; SF'!B:E, 4, 0)</f>
        <v>قطعة</v>
      </c>
      <c r="K758" s="12">
        <v>2</v>
      </c>
      <c r="L758" s="13">
        <f>VLOOKUP(H758, 'RM &amp; SF'!B:H, 7, 0)</f>
        <v>1.9E-2</v>
      </c>
      <c r="M758" s="7">
        <f t="shared" si="49"/>
        <v>3.7999999999999999E-2</v>
      </c>
      <c r="N758" s="4" t="s">
        <v>825</v>
      </c>
      <c r="O758" s="4">
        <f>VLOOKUP(B758, 'All Menu'!B:L, 6, 0)</f>
        <v>0.73275862068965525</v>
      </c>
      <c r="P758" s="6">
        <f>VLOOKUP(B758, 'All Menu'!B:L, 9, 0)</f>
        <v>3.80075E-2</v>
      </c>
      <c r="Q758" s="14">
        <f>VLOOKUP(B758, 'All Menu'!B:M, 12, 0)</f>
        <v>0.94813094117647068</v>
      </c>
      <c r="R758" s="173">
        <f t="shared" si="50"/>
        <v>0</v>
      </c>
    </row>
    <row r="759" spans="1:18" ht="14" hidden="1">
      <c r="A759" s="78" t="s">
        <v>2546</v>
      </c>
      <c r="B759" s="220" t="s">
        <v>1090</v>
      </c>
      <c r="C759" s="185"/>
      <c r="D759" s="103" t="str">
        <f>VLOOKUP(B759, 'All Menu'!B:M, 4, 0)</f>
        <v>شاي</v>
      </c>
      <c r="E759" s="30" t="str">
        <f>VLOOKUP(B759, 'All Menu'!B:M, 2, 0)</f>
        <v>قسم الصالة</v>
      </c>
      <c r="F759" s="103" t="str">
        <f>VLOOKUP(B759, 'All Menu'!B:M, 3, 0)</f>
        <v>باريستا صالة</v>
      </c>
      <c r="G759" s="90" t="s">
        <v>2253</v>
      </c>
      <c r="H759" s="188">
        <v>4547</v>
      </c>
      <c r="I759" s="110" t="str">
        <f>VLOOKUP(H759, 'RM &amp; SF'!B:H, 2, 0)</f>
        <v>نعنع*****</v>
      </c>
      <c r="J759" s="184" t="str">
        <f>VLOOKUP(H759, 'RM &amp; SF'!B:E, 4, 0)</f>
        <v>غم</v>
      </c>
      <c r="K759" s="12">
        <v>0.01</v>
      </c>
      <c r="L759" s="13">
        <f>VLOOKUP(H759, 'RM &amp; SF'!B:H, 7, 0)</f>
        <v>7.5000000000000002E-4</v>
      </c>
      <c r="M759" s="7">
        <f t="shared" si="49"/>
        <v>7.5000000000000002E-6</v>
      </c>
      <c r="N759" s="4" t="s">
        <v>825</v>
      </c>
      <c r="O759" s="4">
        <f>VLOOKUP(B759, 'All Menu'!B:L, 6, 0)</f>
        <v>0.73275862068965525</v>
      </c>
      <c r="P759" s="6">
        <f>VLOOKUP(B759, 'All Menu'!B:L, 9, 0)</f>
        <v>3.80075E-2</v>
      </c>
      <c r="Q759" s="14">
        <f>VLOOKUP(B759, 'All Menu'!B:M, 12, 0)</f>
        <v>0.94813094117647068</v>
      </c>
      <c r="R759" s="173">
        <f t="shared" si="50"/>
        <v>0</v>
      </c>
    </row>
    <row r="760" spans="1:18" ht="14" hidden="1">
      <c r="A760" s="78" t="s">
        <v>2544</v>
      </c>
      <c r="B760" s="220" t="s">
        <v>1091</v>
      </c>
      <c r="C760" s="185"/>
      <c r="D760" s="103" t="str">
        <f>VLOOKUP(B760, 'All Menu'!B:M, 4, 0)</f>
        <v>قهوة تركي</v>
      </c>
      <c r="E760" s="30" t="str">
        <f>VLOOKUP(B760, 'All Menu'!B:M, 2, 0)</f>
        <v>قسم الصالة</v>
      </c>
      <c r="F760" s="103" t="str">
        <f>VLOOKUP(B760, 'All Menu'!B:M, 3, 0)</f>
        <v>باريستا صالة</v>
      </c>
      <c r="G760" s="90" t="s">
        <v>3058</v>
      </c>
      <c r="H760" s="188">
        <v>4175</v>
      </c>
      <c r="I760" s="110" t="str">
        <f>VLOOKUP(H760, 'RM &amp; SF'!B:H, 2, 0)</f>
        <v>قهوة مطحونة*****</v>
      </c>
      <c r="J760" s="184" t="str">
        <f>VLOOKUP(H760, 'RM &amp; SF'!B:E, 4, 0)</f>
        <v>غم</v>
      </c>
      <c r="K760" s="12">
        <v>7</v>
      </c>
      <c r="L760" s="13">
        <f>VLOOKUP(H760, 'RM &amp; SF'!B:H, 7, 0)</f>
        <v>1.2932000000000001E-2</v>
      </c>
      <c r="M760" s="7">
        <f t="shared" si="49"/>
        <v>9.0524000000000007E-2</v>
      </c>
      <c r="N760" s="4" t="s">
        <v>825</v>
      </c>
      <c r="O760" s="4">
        <f>VLOOKUP(B760, 'All Menu'!B:L, 6, 0)</f>
        <v>1.2931034482758621</v>
      </c>
      <c r="P760" s="6">
        <f>VLOOKUP(B760, 'All Menu'!B:L, 9, 0)</f>
        <v>9.0524000000000007E-2</v>
      </c>
      <c r="Q760" s="14">
        <f>VLOOKUP(B760, 'All Menu'!B:M, 12, 0)</f>
        <v>0.92999477333333325</v>
      </c>
      <c r="R760" s="173">
        <f t="shared" si="50"/>
        <v>0</v>
      </c>
    </row>
    <row r="761" spans="1:18" ht="14" hidden="1">
      <c r="A761" s="78" t="s">
        <v>2542</v>
      </c>
      <c r="B761" s="220" t="s">
        <v>1093</v>
      </c>
      <c r="C761" s="185"/>
      <c r="D761" s="103" t="str">
        <f>VLOOKUP(B761, 'All Menu'!B:M, 4, 0)</f>
        <v>عصير ليمون ونعناع</v>
      </c>
      <c r="E761" s="30" t="str">
        <f>VLOOKUP(B761, 'All Menu'!B:M, 2, 0)</f>
        <v>قسم الصالة</v>
      </c>
      <c r="F761" s="103" t="str">
        <f>VLOOKUP(B761, 'All Menu'!B:M, 3, 0)</f>
        <v>باريستا صالة</v>
      </c>
      <c r="G761" s="90" t="s">
        <v>2255</v>
      </c>
      <c r="H761" s="188">
        <v>4573</v>
      </c>
      <c r="I761" s="110" t="str">
        <f>VLOOKUP(H761, 'RM &amp; SF'!B:H, 2, 0)</f>
        <v>عصير ليمون طازج 2.5 لتر*****</v>
      </c>
      <c r="J761" s="184" t="str">
        <f>VLOOKUP(H761, 'RM &amp; SF'!B:E, 4, 0)</f>
        <v>مل</v>
      </c>
      <c r="K761" s="12">
        <v>350</v>
      </c>
      <c r="L761" s="13">
        <f>VLOOKUP(H761, 'RM &amp; SF'!B:H, 7, 0)</f>
        <v>2.5999999999999999E-3</v>
      </c>
      <c r="M761" s="7">
        <f t="shared" si="49"/>
        <v>0.90999999999999992</v>
      </c>
      <c r="N761" s="4" t="s">
        <v>825</v>
      </c>
      <c r="O761" s="4">
        <f>VLOOKUP(B761, 'All Menu'!B:L, 6, 0)</f>
        <v>2.4568965517241383</v>
      </c>
      <c r="P761" s="6">
        <f>VLOOKUP(B761, 'All Menu'!B:L, 9, 0)</f>
        <v>0.92580249999999997</v>
      </c>
      <c r="Q761" s="14">
        <f>VLOOKUP(B761, 'All Menu'!B:M, 12, 0)</f>
        <v>0.62318214035087727</v>
      </c>
      <c r="R761" s="173">
        <f t="shared" si="50"/>
        <v>0</v>
      </c>
    </row>
    <row r="762" spans="1:18" ht="14" hidden="1">
      <c r="A762" s="78" t="s">
        <v>2542</v>
      </c>
      <c r="B762" s="220" t="s">
        <v>1093</v>
      </c>
      <c r="C762" s="185"/>
      <c r="D762" s="103" t="str">
        <f>VLOOKUP(B762, 'All Menu'!B:M, 4, 0)</f>
        <v>عصير ليمون ونعناع</v>
      </c>
      <c r="E762" s="30" t="str">
        <f>VLOOKUP(B762, 'All Menu'!B:M, 2, 0)</f>
        <v>قسم الصالة</v>
      </c>
      <c r="F762" s="103" t="str">
        <f>VLOOKUP(B762, 'All Menu'!B:M, 3, 0)</f>
        <v>باريستا صالة</v>
      </c>
      <c r="G762" s="90" t="s">
        <v>2284</v>
      </c>
      <c r="H762" s="188">
        <v>5425</v>
      </c>
      <c r="I762" s="110" t="str">
        <f>VLOOKUP(H762, 'RM &amp; SF'!B:H, 2, 0)</f>
        <v>سكر عادي</v>
      </c>
      <c r="J762" s="184" t="str">
        <f>VLOOKUP(H762, 'RM &amp; SF'!B:E, 4, 0)</f>
        <v>غم</v>
      </c>
      <c r="K762" s="12">
        <v>30</v>
      </c>
      <c r="L762" s="13">
        <f>VLOOKUP(H762, 'RM &amp; SF'!B:H, 7, 0)</f>
        <v>5.2500000000000008E-4</v>
      </c>
      <c r="M762" s="7">
        <f t="shared" si="49"/>
        <v>1.5750000000000004E-2</v>
      </c>
      <c r="N762" s="4" t="s">
        <v>825</v>
      </c>
      <c r="O762" s="4">
        <f>VLOOKUP(B762, 'All Menu'!B:L, 6, 0)</f>
        <v>2.4568965517241383</v>
      </c>
      <c r="P762" s="6">
        <f>VLOOKUP(B762, 'All Menu'!B:L, 9, 0)</f>
        <v>0.92580249999999997</v>
      </c>
      <c r="Q762" s="14">
        <f>VLOOKUP(B762, 'All Menu'!B:M, 12, 0)</f>
        <v>0.62318214035087727</v>
      </c>
      <c r="R762" s="173">
        <f t="shared" si="50"/>
        <v>0</v>
      </c>
    </row>
    <row r="763" spans="1:18" ht="14" hidden="1">
      <c r="A763" s="78" t="s">
        <v>2542</v>
      </c>
      <c r="B763" s="220" t="s">
        <v>1093</v>
      </c>
      <c r="C763" s="185"/>
      <c r="D763" s="103" t="str">
        <f>VLOOKUP(B763, 'All Menu'!B:M, 4, 0)</f>
        <v>عصير ليمون ونعناع</v>
      </c>
      <c r="E763" s="30" t="str">
        <f>VLOOKUP(B763, 'All Menu'!B:M, 2, 0)</f>
        <v>قسم الصالة</v>
      </c>
      <c r="F763" s="103" t="str">
        <f>VLOOKUP(B763, 'All Menu'!B:M, 3, 0)</f>
        <v>باريستا صالة</v>
      </c>
      <c r="G763" s="90" t="s">
        <v>2253</v>
      </c>
      <c r="H763" s="188">
        <v>4547</v>
      </c>
      <c r="I763" s="110" t="str">
        <f>VLOOKUP(H763, 'RM &amp; SF'!B:H, 2, 0)</f>
        <v>نعنع*****</v>
      </c>
      <c r="J763" s="184" t="str">
        <f>VLOOKUP(H763, 'RM &amp; SF'!B:E, 4, 0)</f>
        <v>غم</v>
      </c>
      <c r="K763" s="12">
        <v>7.0000000000000007E-2</v>
      </c>
      <c r="L763" s="13">
        <f>VLOOKUP(H763, 'RM &amp; SF'!B:H, 7, 0)</f>
        <v>7.5000000000000002E-4</v>
      </c>
      <c r="M763" s="7">
        <f t="shared" si="49"/>
        <v>5.2500000000000009E-5</v>
      </c>
      <c r="N763" s="4" t="s">
        <v>825</v>
      </c>
      <c r="O763" s="4">
        <f>VLOOKUP(B763, 'All Menu'!B:L, 6, 0)</f>
        <v>2.4568965517241383</v>
      </c>
      <c r="P763" s="6">
        <f>VLOOKUP(B763, 'All Menu'!B:L, 9, 0)</f>
        <v>0.92580249999999997</v>
      </c>
      <c r="Q763" s="14">
        <f>VLOOKUP(B763, 'All Menu'!B:M, 12, 0)</f>
        <v>0.62318214035087727</v>
      </c>
      <c r="R763" s="173">
        <f t="shared" si="50"/>
        <v>0</v>
      </c>
    </row>
    <row r="764" spans="1:18" ht="14" hidden="1">
      <c r="A764" s="78" t="s">
        <v>2590</v>
      </c>
      <c r="B764" s="220" t="s">
        <v>1094</v>
      </c>
      <c r="C764" s="185"/>
      <c r="D764" s="103" t="str">
        <f>VLOOKUP(B764, 'All Menu'!B:M, 4, 0)</f>
        <v>شوربة عدس</v>
      </c>
      <c r="E764" s="30" t="str">
        <f>VLOOKUP(B764, 'All Menu'!B:M, 2, 0)</f>
        <v>قسم الصالة</v>
      </c>
      <c r="F764" s="103" t="str">
        <f>VLOOKUP(B764, 'All Menu'!B:M, 3, 0)</f>
        <v>شوربات صالة</v>
      </c>
      <c r="G764" s="90" t="s">
        <v>2426</v>
      </c>
      <c r="H764" s="219" t="s">
        <v>630</v>
      </c>
      <c r="I764" s="110" t="str">
        <f>VLOOKUP(H764, 'RM &amp; SF'!B:H, 2, 0)</f>
        <v>شوربة عدس</v>
      </c>
      <c r="J764" s="184" t="str">
        <f>VLOOKUP(H764, 'RM &amp; SF'!B:E, 4, 0)</f>
        <v>غم</v>
      </c>
      <c r="K764" s="12">
        <v>500</v>
      </c>
      <c r="L764" s="13">
        <f>VLOOKUP(H764, 'RM &amp; SF'!B:H, 7, 0)</f>
        <v>2.5886999999999997E-4</v>
      </c>
      <c r="M764" s="7">
        <f t="shared" si="49"/>
        <v>0.12943499999999999</v>
      </c>
      <c r="N764" s="4" t="s">
        <v>825</v>
      </c>
      <c r="O764" s="4">
        <f>VLOOKUP(B764, 'All Menu'!B:L, 6, 0)</f>
        <v>1.5086206896551726</v>
      </c>
      <c r="P764" s="6">
        <f>VLOOKUP(B764, 'All Menu'!B:L, 9, 0)</f>
        <v>0.12943499999999999</v>
      </c>
      <c r="Q764" s="14">
        <f>VLOOKUP(B764, 'All Menu'!B:M, 12, 0)</f>
        <v>0.91420308571428577</v>
      </c>
      <c r="R764" s="173">
        <f t="shared" si="50"/>
        <v>0</v>
      </c>
    </row>
    <row r="765" spans="1:18" ht="14" hidden="1">
      <c r="A765" s="78" t="s">
        <v>2408</v>
      </c>
      <c r="B765" s="220" t="s">
        <v>1101</v>
      </c>
      <c r="C765" s="185"/>
      <c r="D765" s="103" t="str">
        <f>VLOOKUP(B765, 'All Menu'!B:M, 4, 0)</f>
        <v>كبة مشوية</v>
      </c>
      <c r="E765" s="30" t="str">
        <f>VLOOKUP(B765, 'All Menu'!B:M, 2, 0)</f>
        <v>قسم الصالة</v>
      </c>
      <c r="F765" s="103" t="str">
        <f>VLOOKUP(B765, 'All Menu'!B:M, 3, 0)</f>
        <v>مقبلات ساخنة صالة</v>
      </c>
      <c r="G765" s="90" t="s">
        <v>2408</v>
      </c>
      <c r="H765" s="219" t="s">
        <v>572</v>
      </c>
      <c r="I765" s="110" t="str">
        <f>VLOOKUP(H765, 'RM &amp; SF'!B:H, 2, 0)</f>
        <v>كبة مشوية</v>
      </c>
      <c r="J765" s="184" t="str">
        <f>VLOOKUP(H765, 'RM &amp; SF'!B:E, 4, 0)</f>
        <v>قطعة</v>
      </c>
      <c r="K765" s="12">
        <v>1</v>
      </c>
      <c r="L765" s="13">
        <f>VLOOKUP(H765, 'RM &amp; SF'!B:H, 7, 0)</f>
        <v>0.50639403004883443</v>
      </c>
      <c r="M765" s="7">
        <f t="shared" si="49"/>
        <v>0.50639403004883443</v>
      </c>
      <c r="N765" s="4" t="s">
        <v>825</v>
      </c>
      <c r="O765" s="4">
        <f>VLOOKUP(B765, 'All Menu'!B:L, 6, 0)</f>
        <v>1.2931034482758621</v>
      </c>
      <c r="P765" s="6">
        <f>VLOOKUP(B765, 'All Menu'!B:L, 9, 0)</f>
        <v>0.50639403004883443</v>
      </c>
      <c r="Q765" s="14">
        <f>VLOOKUP(B765, 'All Menu'!B:M, 12, 0)</f>
        <v>0.60838861676223477</v>
      </c>
      <c r="R765" s="173">
        <f t="shared" si="50"/>
        <v>0</v>
      </c>
    </row>
    <row r="766" spans="1:18" ht="14" hidden="1">
      <c r="A766" s="78" t="s">
        <v>2416</v>
      </c>
      <c r="B766" s="220" t="s">
        <v>1102</v>
      </c>
      <c r="C766" s="185"/>
      <c r="D766" s="103" t="str">
        <f>VLOOKUP(B766, 'All Menu'!B:M, 4, 0)</f>
        <v>كبة مقلية</v>
      </c>
      <c r="E766" s="30" t="str">
        <f>VLOOKUP(B766, 'All Menu'!B:M, 2, 0)</f>
        <v>قسم الصالة</v>
      </c>
      <c r="F766" s="103" t="str">
        <f>VLOOKUP(B766, 'All Menu'!B:M, 3, 0)</f>
        <v>مقبلات ساخنة صالة</v>
      </c>
      <c r="G766" s="90" t="s">
        <v>2416</v>
      </c>
      <c r="H766" s="219" t="s">
        <v>568</v>
      </c>
      <c r="I766" s="110" t="str">
        <f>VLOOKUP(H766, 'RM &amp; SF'!B:H, 2, 0)</f>
        <v>كبة مقلية</v>
      </c>
      <c r="J766" s="184" t="str">
        <f>VLOOKUP(H766, 'RM &amp; SF'!B:E, 4, 0)</f>
        <v>قطعة</v>
      </c>
      <c r="K766" s="12">
        <v>2</v>
      </c>
      <c r="L766" s="13">
        <f>VLOOKUP(H766, 'RM &amp; SF'!B:H, 7, 0)</f>
        <v>0.6428704741052631</v>
      </c>
      <c r="M766" s="7">
        <f t="shared" si="49"/>
        <v>1.2857409482105262</v>
      </c>
      <c r="N766" s="4" t="s">
        <v>825</v>
      </c>
      <c r="O766" s="4">
        <f>VLOOKUP(B766, 'All Menu'!B:L, 6, 0)</f>
        <v>1.5517241379310347</v>
      </c>
      <c r="P766" s="6">
        <f>VLOOKUP(B766, 'All Menu'!B:L, 9, 0)</f>
        <v>1.2857409482105262</v>
      </c>
      <c r="Q766" s="14">
        <f>VLOOKUP(B766, 'All Menu'!B:M, 12, 0)</f>
        <v>0.17141138893099434</v>
      </c>
      <c r="R766" s="173">
        <f t="shared" si="50"/>
        <v>0</v>
      </c>
    </row>
    <row r="767" spans="1:18" ht="14" hidden="1">
      <c r="A767" s="78" t="s">
        <v>2545</v>
      </c>
      <c r="B767" s="220" t="s">
        <v>1104</v>
      </c>
      <c r="C767" s="185"/>
      <c r="D767" s="103" t="str">
        <f>VLOOKUP(B767, 'All Menu'!B:M, 4, 0)</f>
        <v>قهوة تركية دبل</v>
      </c>
      <c r="E767" s="30" t="str">
        <f>VLOOKUP(B767, 'All Menu'!B:M, 2, 0)</f>
        <v>قسم الصالة</v>
      </c>
      <c r="F767" s="103" t="str">
        <f>VLOOKUP(B767, 'All Menu'!B:M, 3, 0)</f>
        <v>باريستا صالة</v>
      </c>
      <c r="G767" s="90" t="s">
        <v>3058</v>
      </c>
      <c r="H767" s="188">
        <v>4175</v>
      </c>
      <c r="I767" s="110" t="str">
        <f>VLOOKUP(H767, 'RM &amp; SF'!B:H, 2, 0)</f>
        <v>قهوة مطحونة*****</v>
      </c>
      <c r="J767" s="184" t="str">
        <f>VLOOKUP(H767, 'RM &amp; SF'!B:E, 4, 0)</f>
        <v>غم</v>
      </c>
      <c r="K767" s="12">
        <v>15</v>
      </c>
      <c r="L767" s="13">
        <f>VLOOKUP(H767, 'RM &amp; SF'!B:H, 7, 0)</f>
        <v>1.2932000000000001E-2</v>
      </c>
      <c r="M767" s="7">
        <f t="shared" si="49"/>
        <v>0.19398000000000001</v>
      </c>
      <c r="N767" s="4" t="s">
        <v>825</v>
      </c>
      <c r="O767" s="4">
        <f>VLOOKUP(B767, 'All Menu'!B:L, 6, 0)</f>
        <v>2.1551724137931036</v>
      </c>
      <c r="P767" s="6">
        <f>VLOOKUP(B767, 'All Menu'!B:L, 9, 0)</f>
        <v>0.19398000000000001</v>
      </c>
      <c r="Q767" s="14">
        <f>VLOOKUP(B767, 'All Menu'!B:M, 12, 0)</f>
        <v>0.90999328000000002</v>
      </c>
      <c r="R767" s="173">
        <f t="shared" si="50"/>
        <v>0</v>
      </c>
    </row>
    <row r="768" spans="1:18" ht="14" hidden="1">
      <c r="A768" s="78" t="s">
        <v>2631</v>
      </c>
      <c r="B768" s="220" t="s">
        <v>1126</v>
      </c>
      <c r="C768" s="185"/>
      <c r="D768" s="103" t="str">
        <f>VLOOKUP(B768, 'All Menu'!B:M, 4, 0)</f>
        <v>قطعة دجاج</v>
      </c>
      <c r="E768" s="30" t="str">
        <f>VLOOKUP(B768, 'All Menu'!B:M, 2, 0)</f>
        <v>قسم الصالة</v>
      </c>
      <c r="F768" s="103" t="str">
        <f>VLOOKUP(B768, 'All Menu'!B:M, 3, 0)</f>
        <v>اطباق اليوم صالة</v>
      </c>
      <c r="G768" s="90" t="s">
        <v>2417</v>
      </c>
      <c r="H768" s="219" t="s">
        <v>544</v>
      </c>
      <c r="I768" s="110" t="str">
        <f>VLOOKUP(H768, 'RM &amp; SF'!B:H, 2, 0)</f>
        <v>دجاجة متبلة</v>
      </c>
      <c r="J768" s="184" t="str">
        <f>VLOOKUP(H768, 'RM &amp; SF'!B:E, 4, 0)</f>
        <v>قطعة</v>
      </c>
      <c r="K768" s="12">
        <v>0.25</v>
      </c>
      <c r="L768" s="13">
        <f>VLOOKUP(H768, 'RM &amp; SF'!B:H, 7, 0)</f>
        <v>3.0853324000000004</v>
      </c>
      <c r="M768" s="7">
        <f t="shared" si="49"/>
        <v>0.7713331000000001</v>
      </c>
      <c r="N768" s="4" t="s">
        <v>825</v>
      </c>
      <c r="O768" s="4">
        <f>VLOOKUP(B768, 'All Menu'!B:L, 6, 0)</f>
        <v>1.5086206896551726</v>
      </c>
      <c r="P768" s="6">
        <f>VLOOKUP(B768, 'All Menu'!B:L, 9, 0)</f>
        <v>0.7713331000000001</v>
      </c>
      <c r="Q768" s="14">
        <f>VLOOKUP(B768, 'All Menu'!B:M, 12, 0)</f>
        <v>0.48871634514285711</v>
      </c>
      <c r="R768" s="173">
        <f t="shared" si="50"/>
        <v>0</v>
      </c>
    </row>
    <row r="769" spans="1:18" ht="14" hidden="1">
      <c r="A769" s="78" t="s">
        <v>2633</v>
      </c>
      <c r="B769" s="220" t="s">
        <v>1127</v>
      </c>
      <c r="C769" s="185"/>
      <c r="D769" s="103" t="str">
        <f>VLOOKUP(B769, 'All Menu'!B:M, 4, 0)</f>
        <v>سدر ارز لحم 1 كيلو</v>
      </c>
      <c r="E769" s="30" t="str">
        <f>VLOOKUP(B769, 'All Menu'!B:M, 2, 0)</f>
        <v>قسم الصالة</v>
      </c>
      <c r="F769" s="103" t="str">
        <f>VLOOKUP(B769, 'All Menu'!B:M, 3, 0)</f>
        <v>اطباق اليوم صالة</v>
      </c>
      <c r="G769" s="90" t="s">
        <v>2393</v>
      </c>
      <c r="H769" s="219" t="s">
        <v>542</v>
      </c>
      <c r="I769" s="110" t="str">
        <f>VLOOKUP(H769, 'RM &amp; SF'!B:H, 2, 0)</f>
        <v>رز زربيان</v>
      </c>
      <c r="J769" s="184" t="str">
        <f>VLOOKUP(H769, 'RM &amp; SF'!B:E, 4, 0)</f>
        <v>غم</v>
      </c>
      <c r="K769" s="12">
        <v>2000</v>
      </c>
      <c r="L769" s="13">
        <f>VLOOKUP(H769, 'RM &amp; SF'!B:H, 7, 0)</f>
        <v>5.2538680076628355E-4</v>
      </c>
      <c r="M769" s="7">
        <f t="shared" si="49"/>
        <v>1.050773601532567</v>
      </c>
      <c r="N769" s="4" t="s">
        <v>825</v>
      </c>
      <c r="O769" s="4">
        <f>VLOOKUP(B769, 'All Menu'!B:L, 6, 0)</f>
        <v>21.551724137931036</v>
      </c>
      <c r="P769" s="6">
        <f>VLOOKUP(B769, 'All Menu'!B:L, 9, 0)</f>
        <v>13.566721674174687</v>
      </c>
      <c r="Q769" s="14">
        <f>VLOOKUP(B769, 'All Menu'!B:M, 12, 0)</f>
        <v>0.37050411431829455</v>
      </c>
      <c r="R769" s="173">
        <f t="shared" si="50"/>
        <v>0</v>
      </c>
    </row>
    <row r="770" spans="1:18" ht="14" hidden="1">
      <c r="A770" s="78" t="s">
        <v>2633</v>
      </c>
      <c r="B770" s="220" t="s">
        <v>1127</v>
      </c>
      <c r="C770" s="185"/>
      <c r="D770" s="103" t="str">
        <f>VLOOKUP(B770, 'All Menu'!B:M, 4, 0)</f>
        <v>سدر ارز لحم 1 كيلو</v>
      </c>
      <c r="E770" s="30" t="str">
        <f>VLOOKUP(B770, 'All Menu'!B:M, 2, 0)</f>
        <v>قسم الصالة</v>
      </c>
      <c r="F770" s="103" t="str">
        <f>VLOOKUP(B770, 'All Menu'!B:M, 3, 0)</f>
        <v>اطباق اليوم صالة</v>
      </c>
      <c r="G770" s="90" t="s">
        <v>2341</v>
      </c>
      <c r="H770" s="219" t="s">
        <v>706</v>
      </c>
      <c r="I770" s="110" t="str">
        <f>VLOOKUP(H770, 'RM &amp; SF'!B:H, 2, 0)</f>
        <v>لوز مقلي</v>
      </c>
      <c r="J770" s="184" t="str">
        <f>VLOOKUP(H770, 'RM &amp; SF'!B:E, 4, 0)</f>
        <v>غم</v>
      </c>
      <c r="K770" s="12">
        <v>150</v>
      </c>
      <c r="L770" s="13">
        <f>VLOOKUP(H770, 'RM &amp; SF'!B:H, 7, 0)</f>
        <v>4.1352327586206888E-3</v>
      </c>
      <c r="M770" s="7">
        <f t="shared" si="49"/>
        <v>0.62028491379310335</v>
      </c>
      <c r="N770" s="4" t="s">
        <v>825</v>
      </c>
      <c r="O770" s="4">
        <f>VLOOKUP(B770, 'All Menu'!B:L, 6, 0)</f>
        <v>21.551724137931036</v>
      </c>
      <c r="P770" s="6">
        <f>VLOOKUP(B770, 'All Menu'!B:L, 9, 0)</f>
        <v>13.566721674174687</v>
      </c>
      <c r="Q770" s="14">
        <f>VLOOKUP(B770, 'All Menu'!B:M, 12, 0)</f>
        <v>0.37050411431829455</v>
      </c>
      <c r="R770" s="173">
        <f t="shared" si="50"/>
        <v>0</v>
      </c>
    </row>
    <row r="771" spans="1:18" ht="14" hidden="1">
      <c r="A771" s="78" t="s">
        <v>2633</v>
      </c>
      <c r="B771" s="220" t="s">
        <v>1127</v>
      </c>
      <c r="C771" s="185"/>
      <c r="D771" s="103" t="str">
        <f>VLOOKUP(B771, 'All Menu'!B:M, 4, 0)</f>
        <v>سدر ارز لحم 1 كيلو</v>
      </c>
      <c r="E771" s="30" t="str">
        <f>VLOOKUP(B771, 'All Menu'!B:M, 2, 0)</f>
        <v>قسم الصالة</v>
      </c>
      <c r="F771" s="103" t="str">
        <f>VLOOKUP(B771, 'All Menu'!B:M, 3, 0)</f>
        <v>اطباق اليوم صالة</v>
      </c>
      <c r="G771" s="90" t="s">
        <v>3058</v>
      </c>
      <c r="H771" s="188">
        <v>4608</v>
      </c>
      <c r="I771" s="110" t="str">
        <f>VLOOKUP(H771, 'RM &amp; SF'!B:H, 2, 0)</f>
        <v>لحمة قطع نية بالكيلو*****</v>
      </c>
      <c r="J771" s="184" t="str">
        <f>VLOOKUP(H771, 'RM &amp; SF'!B:E, 4, 0)</f>
        <v>غم</v>
      </c>
      <c r="K771" s="12">
        <v>1000</v>
      </c>
      <c r="L771" s="13">
        <f>VLOOKUP(H771, 'RM &amp; SF'!B:H, 7, 0)</f>
        <v>1.1615493158849017E-2</v>
      </c>
      <c r="M771" s="7">
        <f t="shared" si="49"/>
        <v>11.615493158849016</v>
      </c>
      <c r="N771" s="4" t="s">
        <v>825</v>
      </c>
      <c r="O771" s="4">
        <f>VLOOKUP(B771, 'All Menu'!B:L, 6, 0)</f>
        <v>21.551724137931036</v>
      </c>
      <c r="P771" s="6">
        <f>VLOOKUP(B771, 'All Menu'!B:L, 9, 0)</f>
        <v>13.566721674174687</v>
      </c>
      <c r="Q771" s="14">
        <f>VLOOKUP(B771, 'All Menu'!B:M, 12, 0)</f>
        <v>0.37050411431829455</v>
      </c>
      <c r="R771" s="173">
        <f t="shared" si="50"/>
        <v>0</v>
      </c>
    </row>
    <row r="772" spans="1:18" ht="14" hidden="1">
      <c r="A772" s="78" t="s">
        <v>2633</v>
      </c>
      <c r="B772" s="220" t="s">
        <v>1127</v>
      </c>
      <c r="C772" s="185"/>
      <c r="D772" s="103" t="str">
        <f>VLOOKUP(B772, 'All Menu'!B:M, 4, 0)</f>
        <v>سدر ارز لحم 1 كيلو</v>
      </c>
      <c r="E772" s="30" t="str">
        <f>VLOOKUP(B772, 'All Menu'!B:M, 2, 0)</f>
        <v>قسم الصالة</v>
      </c>
      <c r="F772" s="103" t="str">
        <f>VLOOKUP(B772, 'All Menu'!B:M, 3, 0)</f>
        <v>اطباق اليوم صالة</v>
      </c>
      <c r="G772" s="90" t="s">
        <v>3058</v>
      </c>
      <c r="H772" s="188">
        <v>4354</v>
      </c>
      <c r="I772" s="110" t="str">
        <f>VLOOKUP(H772, 'RM &amp; SF'!B:H, 2, 0)</f>
        <v>سدر بلاستيك دائري 35 سم*****</v>
      </c>
      <c r="J772" s="184" t="str">
        <f>VLOOKUP(H772, 'RM &amp; SF'!B:E, 4, 0)</f>
        <v>قطعة</v>
      </c>
      <c r="K772" s="12">
        <v>1</v>
      </c>
      <c r="L772" s="13">
        <f>VLOOKUP(H772, 'RM &amp; SF'!B:H, 7, 0)</f>
        <v>0.28016999999999997</v>
      </c>
      <c r="M772" s="7">
        <f t="shared" si="49"/>
        <v>0.28016999999999997</v>
      </c>
      <c r="N772" s="4" t="s">
        <v>825</v>
      </c>
      <c r="O772" s="4">
        <f>VLOOKUP(B772, 'All Menu'!B:L, 6, 0)</f>
        <v>21.551724137931036</v>
      </c>
      <c r="P772" s="6">
        <f>VLOOKUP(B772, 'All Menu'!B:L, 9, 0)</f>
        <v>13.566721674174687</v>
      </c>
      <c r="Q772" s="14">
        <f>VLOOKUP(B772, 'All Menu'!B:M, 12, 0)</f>
        <v>0.37050411431829455</v>
      </c>
      <c r="R772" s="173">
        <f t="shared" si="50"/>
        <v>0</v>
      </c>
    </row>
    <row r="773" spans="1:18" ht="14" hidden="1">
      <c r="A773" s="78" t="s">
        <v>2632</v>
      </c>
      <c r="B773" s="220" t="s">
        <v>1128</v>
      </c>
      <c r="C773" s="185"/>
      <c r="D773" s="103" t="str">
        <f>VLOOKUP(B773, 'All Menu'!B:M, 4, 0)</f>
        <v>سدر ارز 1 دجاجة</v>
      </c>
      <c r="E773" s="30" t="str">
        <f>VLOOKUP(B773, 'All Menu'!B:M, 2, 0)</f>
        <v>قسم الصالة</v>
      </c>
      <c r="F773" s="103" t="str">
        <f>VLOOKUP(B773, 'All Menu'!B:M, 3, 0)</f>
        <v>اطباق اليوم صالة</v>
      </c>
      <c r="G773" s="90" t="s">
        <v>2393</v>
      </c>
      <c r="H773" s="219" t="s">
        <v>542</v>
      </c>
      <c r="I773" s="110" t="str">
        <f>VLOOKUP(H773, 'RM &amp; SF'!B:H, 2, 0)</f>
        <v>رز زربيان</v>
      </c>
      <c r="J773" s="184" t="str">
        <f>VLOOKUP(H773, 'RM &amp; SF'!B:E, 4, 0)</f>
        <v>غم</v>
      </c>
      <c r="K773" s="12">
        <v>1000</v>
      </c>
      <c r="L773" s="13">
        <f>VLOOKUP(H773, 'RM &amp; SF'!B:H, 7, 0)</f>
        <v>5.2538680076628355E-4</v>
      </c>
      <c r="M773" s="7">
        <f t="shared" si="49"/>
        <v>0.52538680076628352</v>
      </c>
      <c r="N773" s="4" t="s">
        <v>825</v>
      </c>
      <c r="O773" s="4">
        <f>VLOOKUP(B773, 'All Menu'!B:L, 6, 0)</f>
        <v>12.931034482758621</v>
      </c>
      <c r="P773" s="6">
        <f>VLOOKUP(B773, 'All Menu'!B:L, 9, 0)</f>
        <v>4.2482629196360158</v>
      </c>
      <c r="Q773" s="14">
        <f>VLOOKUP(B773, 'All Menu'!B:M, 12, 0)</f>
        <v>0.67146766754814813</v>
      </c>
      <c r="R773" s="173">
        <f t="shared" si="50"/>
        <v>0</v>
      </c>
    </row>
    <row r="774" spans="1:18" ht="14" hidden="1">
      <c r="A774" s="78" t="s">
        <v>2632</v>
      </c>
      <c r="B774" s="220" t="s">
        <v>1128</v>
      </c>
      <c r="C774" s="185"/>
      <c r="D774" s="103" t="str">
        <f>VLOOKUP(B774, 'All Menu'!B:M, 4, 0)</f>
        <v>سدر ارز 1 دجاجة</v>
      </c>
      <c r="E774" s="30" t="str">
        <f>VLOOKUP(B774, 'All Menu'!B:M, 2, 0)</f>
        <v>قسم الصالة</v>
      </c>
      <c r="F774" s="103" t="str">
        <f>VLOOKUP(B774, 'All Menu'!B:M, 3, 0)</f>
        <v>اطباق اليوم صالة</v>
      </c>
      <c r="G774" s="90" t="s">
        <v>2417</v>
      </c>
      <c r="H774" s="219" t="s">
        <v>544</v>
      </c>
      <c r="I774" s="110" t="str">
        <f>VLOOKUP(H774, 'RM &amp; SF'!B:H, 2, 0)</f>
        <v>دجاجة متبلة</v>
      </c>
      <c r="J774" s="184" t="str">
        <f>VLOOKUP(H774, 'RM &amp; SF'!B:E, 4, 0)</f>
        <v>قطعة</v>
      </c>
      <c r="K774" s="12">
        <v>1</v>
      </c>
      <c r="L774" s="13">
        <f>VLOOKUP(H774, 'RM &amp; SF'!B:H, 7, 0)</f>
        <v>3.0853324000000004</v>
      </c>
      <c r="M774" s="7">
        <f t="shared" si="49"/>
        <v>3.0853324000000004</v>
      </c>
      <c r="N774" s="4" t="s">
        <v>825</v>
      </c>
      <c r="O774" s="4">
        <f>VLOOKUP(B774, 'All Menu'!B:L, 6, 0)</f>
        <v>12.931034482758621</v>
      </c>
      <c r="P774" s="6">
        <f>VLOOKUP(B774, 'All Menu'!B:L, 9, 0)</f>
        <v>4.2482629196360158</v>
      </c>
      <c r="Q774" s="14">
        <f>VLOOKUP(B774, 'All Menu'!B:M, 12, 0)</f>
        <v>0.67146766754814813</v>
      </c>
      <c r="R774" s="173">
        <f t="shared" si="50"/>
        <v>0</v>
      </c>
    </row>
    <row r="775" spans="1:18" ht="14" hidden="1">
      <c r="A775" s="78" t="s">
        <v>2632</v>
      </c>
      <c r="B775" s="220" t="s">
        <v>1128</v>
      </c>
      <c r="C775" s="185"/>
      <c r="D775" s="103" t="str">
        <f>VLOOKUP(B775, 'All Menu'!B:M, 4, 0)</f>
        <v>سدر ارز 1 دجاجة</v>
      </c>
      <c r="E775" s="30" t="str">
        <f>VLOOKUP(B775, 'All Menu'!B:M, 2, 0)</f>
        <v>قسم الصالة</v>
      </c>
      <c r="F775" s="103" t="str">
        <f>VLOOKUP(B775, 'All Menu'!B:M, 3, 0)</f>
        <v>اطباق اليوم صالة</v>
      </c>
      <c r="G775" s="90" t="s">
        <v>2170</v>
      </c>
      <c r="H775" s="188">
        <v>4552</v>
      </c>
      <c r="I775" s="110" t="str">
        <f>VLOOKUP(H775, 'RM &amp; SF'!B:H, 2, 0)</f>
        <v>لبن رايب 5 كغ*****</v>
      </c>
      <c r="J775" s="184" t="str">
        <f>VLOOKUP(H775, 'RM &amp; SF'!B:E, 4, 0)</f>
        <v>غم</v>
      </c>
      <c r="K775" s="12">
        <v>150</v>
      </c>
      <c r="L775" s="13">
        <f>VLOOKUP(H775, 'RM &amp; SF'!B:H, 7, 0)</f>
        <v>8.0000000000000004E-4</v>
      </c>
      <c r="M775" s="7">
        <f t="shared" si="49"/>
        <v>0.12000000000000001</v>
      </c>
      <c r="N775" s="4" t="s">
        <v>825</v>
      </c>
      <c r="O775" s="4">
        <f>VLOOKUP(B775, 'All Menu'!B:L, 6, 0)</f>
        <v>12.931034482758621</v>
      </c>
      <c r="P775" s="6">
        <f>VLOOKUP(B775, 'All Menu'!B:L, 9, 0)</f>
        <v>4.2482629196360158</v>
      </c>
      <c r="Q775" s="14">
        <f>VLOOKUP(B775, 'All Menu'!B:M, 12, 0)</f>
        <v>0.67146766754814813</v>
      </c>
      <c r="R775" s="173">
        <f t="shared" si="50"/>
        <v>0</v>
      </c>
    </row>
    <row r="776" spans="1:18" ht="14" hidden="1">
      <c r="A776" s="78" t="s">
        <v>2632</v>
      </c>
      <c r="B776" s="220" t="s">
        <v>1128</v>
      </c>
      <c r="C776" s="185"/>
      <c r="D776" s="103" t="str">
        <f>VLOOKUP(B776, 'All Menu'!B:M, 4, 0)</f>
        <v>سدر ارز 1 دجاجة</v>
      </c>
      <c r="E776" s="30" t="str">
        <f>VLOOKUP(B776, 'All Menu'!B:M, 2, 0)</f>
        <v>قسم الصالة</v>
      </c>
      <c r="F776" s="103" t="str">
        <f>VLOOKUP(B776, 'All Menu'!B:M, 3, 0)</f>
        <v>اطباق اليوم صالة</v>
      </c>
      <c r="G776" s="90" t="s">
        <v>2329</v>
      </c>
      <c r="H776" s="219" t="s">
        <v>512</v>
      </c>
      <c r="I776" s="110" t="str">
        <f>VLOOKUP(H776, 'RM &amp; SF'!B:H, 2, 0)</f>
        <v>خلطة دقوس</v>
      </c>
      <c r="J776" s="184" t="str">
        <f>VLOOKUP(H776, 'RM &amp; SF'!B:E, 4, 0)</f>
        <v>غم</v>
      </c>
      <c r="K776" s="12">
        <v>150</v>
      </c>
      <c r="L776" s="13">
        <f>VLOOKUP(H776, 'RM &amp; SF'!B:H, 7, 0)</f>
        <v>7.5544490740740743E-4</v>
      </c>
      <c r="M776" s="7">
        <f t="shared" si="49"/>
        <v>0.11331673611111112</v>
      </c>
      <c r="N776" s="4" t="s">
        <v>825</v>
      </c>
      <c r="O776" s="4">
        <f>VLOOKUP(B776, 'All Menu'!B:L, 6, 0)</f>
        <v>12.931034482758621</v>
      </c>
      <c r="P776" s="6">
        <f>VLOOKUP(B776, 'All Menu'!B:L, 9, 0)</f>
        <v>4.2482629196360158</v>
      </c>
      <c r="Q776" s="14">
        <f>VLOOKUP(B776, 'All Menu'!B:M, 12, 0)</f>
        <v>0.67146766754814813</v>
      </c>
      <c r="R776" s="173">
        <f t="shared" si="50"/>
        <v>0</v>
      </c>
    </row>
    <row r="777" spans="1:18" ht="14" hidden="1">
      <c r="A777" s="78" t="s">
        <v>2632</v>
      </c>
      <c r="B777" s="220" t="s">
        <v>1128</v>
      </c>
      <c r="C777" s="185"/>
      <c r="D777" s="103" t="str">
        <f>VLOOKUP(B777, 'All Menu'!B:M, 4, 0)</f>
        <v>سدر ارز 1 دجاجة</v>
      </c>
      <c r="E777" s="30" t="str">
        <f>VLOOKUP(B777, 'All Menu'!B:M, 2, 0)</f>
        <v>قسم الصالة</v>
      </c>
      <c r="F777" s="103" t="str">
        <f>VLOOKUP(B777, 'All Menu'!B:M, 3, 0)</f>
        <v>اطباق اليوم صالة</v>
      </c>
      <c r="G777" s="90" t="s">
        <v>2341</v>
      </c>
      <c r="H777" s="219" t="s">
        <v>706</v>
      </c>
      <c r="I777" s="110" t="str">
        <f>VLOOKUP(H777, 'RM &amp; SF'!B:H, 2, 0)</f>
        <v>لوز مقلي</v>
      </c>
      <c r="J777" s="184" t="str">
        <f>VLOOKUP(H777, 'RM &amp; SF'!B:E, 4, 0)</f>
        <v>غم</v>
      </c>
      <c r="K777" s="12">
        <v>30</v>
      </c>
      <c r="L777" s="13">
        <f>VLOOKUP(H777, 'RM &amp; SF'!B:H, 7, 0)</f>
        <v>4.1352327586206888E-3</v>
      </c>
      <c r="M777" s="7">
        <f t="shared" si="49"/>
        <v>0.12405698275862066</v>
      </c>
      <c r="N777" s="4" t="s">
        <v>825</v>
      </c>
      <c r="O777" s="4">
        <f>VLOOKUP(B777, 'All Menu'!B:L, 6, 0)</f>
        <v>12.931034482758621</v>
      </c>
      <c r="P777" s="6">
        <f>VLOOKUP(B777, 'All Menu'!B:L, 9, 0)</f>
        <v>4.2482629196360158</v>
      </c>
      <c r="Q777" s="14">
        <f>VLOOKUP(B777, 'All Menu'!B:M, 12, 0)</f>
        <v>0.67146766754814813</v>
      </c>
      <c r="R777" s="173">
        <f t="shared" si="50"/>
        <v>0</v>
      </c>
    </row>
    <row r="778" spans="1:18" ht="14" hidden="1">
      <c r="A778" s="78" t="s">
        <v>2632</v>
      </c>
      <c r="B778" s="220" t="s">
        <v>1128</v>
      </c>
      <c r="C778" s="185"/>
      <c r="D778" s="103" t="str">
        <f>VLOOKUP(B778, 'All Menu'!B:M, 4, 0)</f>
        <v>سدر ارز 1 دجاجة</v>
      </c>
      <c r="E778" s="30" t="str">
        <f>VLOOKUP(B778, 'All Menu'!B:M, 2, 0)</f>
        <v>قسم الصالة</v>
      </c>
      <c r="F778" s="103" t="str">
        <f>VLOOKUP(B778, 'All Menu'!B:M, 3, 0)</f>
        <v>اطباق اليوم صالة</v>
      </c>
      <c r="G778" s="90" t="s">
        <v>3058</v>
      </c>
      <c r="H778" s="188">
        <v>4354</v>
      </c>
      <c r="I778" s="110" t="str">
        <f>VLOOKUP(H778, 'RM &amp; SF'!B:H, 2, 0)</f>
        <v>سدر بلاستيك دائري 35 سم*****</v>
      </c>
      <c r="J778" s="184" t="str">
        <f>VLOOKUP(H778, 'RM &amp; SF'!B:E, 4, 0)</f>
        <v>قطعة</v>
      </c>
      <c r="K778" s="12">
        <v>1</v>
      </c>
      <c r="L778" s="13">
        <f>VLOOKUP(H778, 'RM &amp; SF'!B:H, 7, 0)</f>
        <v>0.28016999999999997</v>
      </c>
      <c r="M778" s="7">
        <f t="shared" si="49"/>
        <v>0.28016999999999997</v>
      </c>
      <c r="N778" s="4" t="s">
        <v>825</v>
      </c>
      <c r="O778" s="4">
        <f>VLOOKUP(B778, 'All Menu'!B:L, 6, 0)</f>
        <v>12.931034482758621</v>
      </c>
      <c r="P778" s="6">
        <f>VLOOKUP(B778, 'All Menu'!B:L, 9, 0)</f>
        <v>4.2482629196360158</v>
      </c>
      <c r="Q778" s="14">
        <f>VLOOKUP(B778, 'All Menu'!B:M, 12, 0)</f>
        <v>0.67146766754814813</v>
      </c>
      <c r="R778" s="173">
        <f t="shared" si="50"/>
        <v>0</v>
      </c>
    </row>
    <row r="779" spans="1:18" ht="14" hidden="1">
      <c r="A779" s="78" t="s">
        <v>2536</v>
      </c>
      <c r="B779" s="220" t="s">
        <v>1129</v>
      </c>
      <c r="C779" s="185"/>
      <c r="D779" s="103" t="str">
        <f>VLOOKUP(B779, 'All Menu'!B:M, 4, 0)</f>
        <v>وجبة شقف فردية</v>
      </c>
      <c r="E779" s="30" t="str">
        <f>VLOOKUP(B779, 'All Menu'!B:M, 2, 0)</f>
        <v>قسم الصالة</v>
      </c>
      <c r="F779" s="103" t="str">
        <f>VLOOKUP(B779, 'All Menu'!B:M, 3, 0)</f>
        <v>المشاوي صالة</v>
      </c>
      <c r="G779" s="90" t="s">
        <v>2452</v>
      </c>
      <c r="H779" s="219" t="s">
        <v>528</v>
      </c>
      <c r="I779" s="110" t="str">
        <f>VLOOKUP(H779, 'RM &amp; SF'!B:H, 2, 0)</f>
        <v>شقف متبلة</v>
      </c>
      <c r="J779" s="184" t="str">
        <f>VLOOKUP(H779, 'RM &amp; SF'!B:E, 4, 0)</f>
        <v>غم</v>
      </c>
      <c r="K779" s="12">
        <v>300</v>
      </c>
      <c r="L779" s="13">
        <f>VLOOKUP(H779, 'RM &amp; SF'!B:H, 7, 0)</f>
        <v>2.0415146666666665E-2</v>
      </c>
      <c r="M779" s="7">
        <f t="shared" si="49"/>
        <v>6.1245439999999993</v>
      </c>
      <c r="N779" s="4" t="s">
        <v>825</v>
      </c>
      <c r="O779" s="4">
        <f>VLOOKUP(B779, 'All Menu'!B:L, 6, 0)</f>
        <v>7.7586206896551726</v>
      </c>
      <c r="P779" s="6">
        <f>VLOOKUP(B779, 'All Menu'!B:L, 9, 0)</f>
        <v>6.2355327073999414</v>
      </c>
      <c r="Q779" s="14">
        <f>VLOOKUP(B779, 'All Menu'!B:M, 12, 0)</f>
        <v>0.19630911771289647</v>
      </c>
      <c r="R779" s="173">
        <f t="shared" si="50"/>
        <v>0</v>
      </c>
    </row>
    <row r="780" spans="1:18" ht="14" hidden="1">
      <c r="A780" s="78" t="s">
        <v>2536</v>
      </c>
      <c r="B780" s="220" t="s">
        <v>1129</v>
      </c>
      <c r="C780" s="185"/>
      <c r="D780" s="103" t="str">
        <f>VLOOKUP(B780, 'All Menu'!B:M, 4, 0)</f>
        <v>وجبة شقف فردية</v>
      </c>
      <c r="E780" s="30" t="str">
        <f>VLOOKUP(B780, 'All Menu'!B:M, 2, 0)</f>
        <v>قسم الصالة</v>
      </c>
      <c r="F780" s="103" t="str">
        <f>VLOOKUP(B780, 'All Menu'!B:M, 3, 0)</f>
        <v>المشاوي صالة</v>
      </c>
      <c r="G780" s="90" t="s">
        <v>2257</v>
      </c>
      <c r="H780" s="188">
        <v>5281</v>
      </c>
      <c r="I780" s="110" t="str">
        <f>VLOOKUP(H780, 'RM &amp; SF'!B:H, 2, 0)</f>
        <v>بندوره مشاوي</v>
      </c>
      <c r="J780" s="184" t="str">
        <f>VLOOKUP(H780, 'RM &amp; SF'!B:E, 4, 0)</f>
        <v>غم</v>
      </c>
      <c r="K780" s="12">
        <v>75</v>
      </c>
      <c r="L780" s="13">
        <f>VLOOKUP(H780, 'RM &amp; SF'!B:H, 7, 0)</f>
        <v>4.0000000000000002E-4</v>
      </c>
      <c r="M780" s="7">
        <f t="shared" si="49"/>
        <v>3.0000000000000002E-2</v>
      </c>
      <c r="N780" s="4" t="s">
        <v>825</v>
      </c>
      <c r="O780" s="4">
        <f>VLOOKUP(B780, 'All Menu'!B:L, 6, 0)</f>
        <v>7.7586206896551726</v>
      </c>
      <c r="P780" s="6">
        <f>VLOOKUP(B780, 'All Menu'!B:L, 9, 0)</f>
        <v>6.2355327073999414</v>
      </c>
      <c r="Q780" s="14">
        <f>VLOOKUP(B780, 'All Menu'!B:M, 12, 0)</f>
        <v>0.19630911771289647</v>
      </c>
      <c r="R780" s="173">
        <f t="shared" si="50"/>
        <v>0</v>
      </c>
    </row>
    <row r="781" spans="1:18" ht="14" hidden="1">
      <c r="A781" s="78" t="s">
        <v>2536</v>
      </c>
      <c r="B781" s="220" t="s">
        <v>1129</v>
      </c>
      <c r="C781" s="185"/>
      <c r="D781" s="103" t="str">
        <f>VLOOKUP(B781, 'All Menu'!B:M, 4, 0)</f>
        <v>وجبة شقف فردية</v>
      </c>
      <c r="E781" s="30" t="str">
        <f>VLOOKUP(B781, 'All Menu'!B:M, 2, 0)</f>
        <v>قسم الصالة</v>
      </c>
      <c r="F781" s="103" t="str">
        <f>VLOOKUP(B781, 'All Menu'!B:M, 3, 0)</f>
        <v>المشاوي صالة</v>
      </c>
      <c r="G781" s="90" t="s">
        <v>2235</v>
      </c>
      <c r="H781" s="188">
        <v>4504</v>
      </c>
      <c r="I781" s="110" t="str">
        <f>VLOOKUP(H781, 'RM &amp; SF'!B:H, 2, 0)</f>
        <v>بصل مشاوي (بصل بيبي)***</v>
      </c>
      <c r="J781" s="184" t="str">
        <f>VLOOKUP(H781, 'RM &amp; SF'!B:E, 4, 0)</f>
        <v>غم</v>
      </c>
      <c r="K781" s="12">
        <v>75</v>
      </c>
      <c r="L781" s="13">
        <f>VLOOKUP(H781, 'RM &amp; SF'!B:H, 7, 0)</f>
        <v>3.5E-4</v>
      </c>
      <c r="M781" s="7">
        <f t="shared" si="49"/>
        <v>2.6249999999999999E-2</v>
      </c>
      <c r="N781" s="4" t="s">
        <v>825</v>
      </c>
      <c r="O781" s="4">
        <f>VLOOKUP(B781, 'All Menu'!B:L, 6, 0)</f>
        <v>7.7586206896551726</v>
      </c>
      <c r="P781" s="6">
        <f>VLOOKUP(B781, 'All Menu'!B:L, 9, 0)</f>
        <v>6.2355327073999414</v>
      </c>
      <c r="Q781" s="14">
        <f>VLOOKUP(B781, 'All Menu'!B:M, 12, 0)</f>
        <v>0.19630911771289647</v>
      </c>
      <c r="R781" s="173">
        <f t="shared" si="50"/>
        <v>0</v>
      </c>
    </row>
    <row r="782" spans="1:18" ht="14" hidden="1">
      <c r="A782" s="78" t="s">
        <v>2536</v>
      </c>
      <c r="B782" s="220" t="s">
        <v>1129</v>
      </c>
      <c r="C782" s="185"/>
      <c r="D782" s="103" t="str">
        <f>VLOOKUP(B782, 'All Menu'!B:M, 4, 0)</f>
        <v>وجبة شقف فردية</v>
      </c>
      <c r="E782" s="30" t="str">
        <f>VLOOKUP(B782, 'All Menu'!B:M, 2, 0)</f>
        <v>قسم الصالة</v>
      </c>
      <c r="F782" s="103" t="str">
        <f>VLOOKUP(B782, 'All Menu'!B:M, 3, 0)</f>
        <v>المشاوي صالة</v>
      </c>
      <c r="G782" s="90" t="s">
        <v>2396</v>
      </c>
      <c r="H782" s="219" t="s">
        <v>582</v>
      </c>
      <c r="I782" s="110" t="str">
        <f>VLOOKUP(H782, 'RM &amp; SF'!B:H, 2, 0)</f>
        <v>بيواز</v>
      </c>
      <c r="J782" s="184" t="str">
        <f>VLOOKUP(H782, 'RM &amp; SF'!B:E, 4, 0)</f>
        <v>غم</v>
      </c>
      <c r="K782" s="12">
        <v>50</v>
      </c>
      <c r="L782" s="13">
        <f>VLOOKUP(H782, 'RM &amp; SF'!B:H, 7, 0)</f>
        <v>2.0666065869244635E-4</v>
      </c>
      <c r="M782" s="7">
        <f t="shared" si="49"/>
        <v>1.0333032934622318E-2</v>
      </c>
      <c r="N782" s="4" t="s">
        <v>825</v>
      </c>
      <c r="O782" s="4">
        <f>VLOOKUP(B782, 'All Menu'!B:L, 6, 0)</f>
        <v>7.7586206896551726</v>
      </c>
      <c r="P782" s="6">
        <f>VLOOKUP(B782, 'All Menu'!B:L, 9, 0)</f>
        <v>6.2355327073999414</v>
      </c>
      <c r="Q782" s="14">
        <f>VLOOKUP(B782, 'All Menu'!B:M, 12, 0)</f>
        <v>0.19630911771289647</v>
      </c>
      <c r="R782" s="173">
        <f t="shared" si="50"/>
        <v>0</v>
      </c>
    </row>
    <row r="783" spans="1:18" ht="14" hidden="1">
      <c r="A783" s="78" t="s">
        <v>2536</v>
      </c>
      <c r="B783" s="220" t="s">
        <v>1129</v>
      </c>
      <c r="C783" s="185"/>
      <c r="D783" s="103" t="str">
        <f>VLOOKUP(B783, 'All Menu'!B:M, 4, 0)</f>
        <v>وجبة شقف فردية</v>
      </c>
      <c r="E783" s="30" t="str">
        <f>VLOOKUP(B783, 'All Menu'!B:M, 2, 0)</f>
        <v>قسم الصالة</v>
      </c>
      <c r="F783" s="103" t="str">
        <f>VLOOKUP(B783, 'All Menu'!B:M, 3, 0)</f>
        <v>المشاوي صالة</v>
      </c>
      <c r="G783" s="90" t="s">
        <v>2397</v>
      </c>
      <c r="H783" s="219" t="s">
        <v>580</v>
      </c>
      <c r="I783" s="110" t="str">
        <f>VLOOKUP(H783, 'RM &amp; SF'!B:H, 2, 0)</f>
        <v>طحينة مشاوي</v>
      </c>
      <c r="J783" s="184" t="str">
        <f>VLOOKUP(H783, 'RM &amp; SF'!B:E, 4, 0)</f>
        <v>غم</v>
      </c>
      <c r="K783" s="12">
        <v>30</v>
      </c>
      <c r="L783" s="13">
        <f>VLOOKUP(H783, 'RM &amp; SF'!B:H, 7, 0)</f>
        <v>1.0841676434676436E-3</v>
      </c>
      <c r="M783" s="7">
        <f t="shared" si="49"/>
        <v>3.2525029304029306E-2</v>
      </c>
      <c r="N783" s="4" t="s">
        <v>825</v>
      </c>
      <c r="O783" s="4">
        <f>VLOOKUP(B783, 'All Menu'!B:L, 6, 0)</f>
        <v>7.7586206896551726</v>
      </c>
      <c r="P783" s="6">
        <f>VLOOKUP(B783, 'All Menu'!B:L, 9, 0)</f>
        <v>6.2355327073999414</v>
      </c>
      <c r="Q783" s="14">
        <f>VLOOKUP(B783, 'All Menu'!B:M, 12, 0)</f>
        <v>0.19630911771289647</v>
      </c>
      <c r="R783" s="173">
        <f t="shared" si="50"/>
        <v>0</v>
      </c>
    </row>
    <row r="784" spans="1:18" ht="14" hidden="1">
      <c r="A784" s="78" t="s">
        <v>2536</v>
      </c>
      <c r="B784" s="220" t="s">
        <v>1129</v>
      </c>
      <c r="C784" s="185"/>
      <c r="D784" s="103" t="str">
        <f>VLOOKUP(B784, 'All Menu'!B:M, 4, 0)</f>
        <v>وجبة شقف فردية</v>
      </c>
      <c r="E784" s="30" t="str">
        <f>VLOOKUP(B784, 'All Menu'!B:M, 2, 0)</f>
        <v>قسم الصالة</v>
      </c>
      <c r="F784" s="103" t="str">
        <f>VLOOKUP(B784, 'All Menu'!B:M, 3, 0)</f>
        <v>المشاوي صالة</v>
      </c>
      <c r="G784" s="90" t="s">
        <v>2231</v>
      </c>
      <c r="H784" s="188">
        <v>4499</v>
      </c>
      <c r="I784" s="110" t="str">
        <f>VLOOKUP(H784, 'RM &amp; SF'!B:H, 2, 0)</f>
        <v>فلفل حار اخضر*****</v>
      </c>
      <c r="J784" s="184" t="str">
        <f>VLOOKUP(H784, 'RM &amp; SF'!B:E, 4, 0)</f>
        <v>غم</v>
      </c>
      <c r="K784" s="12">
        <v>20</v>
      </c>
      <c r="L784" s="13">
        <f>VLOOKUP(H784, 'RM &amp; SF'!B:H, 7, 0)</f>
        <v>5.0000000000000001E-4</v>
      </c>
      <c r="M784" s="7">
        <f t="shared" si="49"/>
        <v>0.01</v>
      </c>
      <c r="N784" s="4" t="s">
        <v>825</v>
      </c>
      <c r="O784" s="4">
        <f>VLOOKUP(B784, 'All Menu'!B:L, 6, 0)</f>
        <v>7.7586206896551726</v>
      </c>
      <c r="P784" s="6">
        <f>VLOOKUP(B784, 'All Menu'!B:L, 9, 0)</f>
        <v>6.2355327073999414</v>
      </c>
      <c r="Q784" s="14">
        <f>VLOOKUP(B784, 'All Menu'!B:M, 12, 0)</f>
        <v>0.19630911771289647</v>
      </c>
      <c r="R784" s="173">
        <f t="shared" si="50"/>
        <v>0</v>
      </c>
    </row>
    <row r="785" spans="1:18" ht="14" hidden="1">
      <c r="A785" s="78" t="s">
        <v>2536</v>
      </c>
      <c r="B785" s="220" t="s">
        <v>1129</v>
      </c>
      <c r="C785" s="185"/>
      <c r="D785" s="103" t="str">
        <f>VLOOKUP(B785, 'All Menu'!B:M, 4, 0)</f>
        <v>وجبة شقف فردية</v>
      </c>
      <c r="E785" s="30" t="str">
        <f>VLOOKUP(B785, 'All Menu'!B:M, 2, 0)</f>
        <v>قسم الصالة</v>
      </c>
      <c r="F785" s="103" t="str">
        <f>VLOOKUP(B785, 'All Menu'!B:M, 3, 0)</f>
        <v>المشاوي صالة</v>
      </c>
      <c r="G785" s="90" t="s">
        <v>2331</v>
      </c>
      <c r="H785" s="219" t="s">
        <v>530</v>
      </c>
      <c r="I785" s="110" t="str">
        <f>VLOOKUP(H785, 'RM &amp; SF'!B:H, 2, 0)</f>
        <v>خبز صاج</v>
      </c>
      <c r="J785" s="184" t="str">
        <f>VLOOKUP(H785, 'RM &amp; SF'!B:E, 4, 0)</f>
        <v>غم</v>
      </c>
      <c r="K785" s="12">
        <v>10</v>
      </c>
      <c r="L785" s="13">
        <f>VLOOKUP(H785, 'RM &amp; SF'!B:H, 7, 0)</f>
        <v>1.8806451612903227E-4</v>
      </c>
      <c r="M785" s="7">
        <f t="shared" si="49"/>
        <v>1.8806451612903227E-3</v>
      </c>
      <c r="N785" s="4" t="s">
        <v>825</v>
      </c>
      <c r="O785" s="4">
        <f>VLOOKUP(B785, 'All Menu'!B:L, 6, 0)</f>
        <v>7.7586206896551726</v>
      </c>
      <c r="P785" s="6">
        <f>VLOOKUP(B785, 'All Menu'!B:L, 9, 0)</f>
        <v>6.2355327073999414</v>
      </c>
      <c r="Q785" s="14">
        <f>VLOOKUP(B785, 'All Menu'!B:M, 12, 0)</f>
        <v>0.19630911771289647</v>
      </c>
      <c r="R785" s="173">
        <f t="shared" si="50"/>
        <v>0</v>
      </c>
    </row>
    <row r="786" spans="1:18" ht="14" hidden="1">
      <c r="A786" s="78" t="s">
        <v>2537</v>
      </c>
      <c r="B786" s="220" t="s">
        <v>1130</v>
      </c>
      <c r="C786" s="185"/>
      <c r="D786" s="103" t="str">
        <f>VLOOKUP(B786, 'All Menu'!B:M, 4, 0)</f>
        <v>وجبة ريش فردية</v>
      </c>
      <c r="E786" s="30" t="str">
        <f>VLOOKUP(B786, 'All Menu'!B:M, 2, 0)</f>
        <v>قسم الصالة</v>
      </c>
      <c r="F786" s="103" t="str">
        <f>VLOOKUP(B786, 'All Menu'!B:M, 3, 0)</f>
        <v>المشاوي صالة</v>
      </c>
      <c r="G786" s="90" t="s">
        <v>3058</v>
      </c>
      <c r="H786" s="188">
        <v>4614</v>
      </c>
      <c r="I786" s="110" t="str">
        <f>VLOOKUP(H786, 'RM &amp; SF'!B:H, 2, 0)</f>
        <v>ريش ضأن متبلة*****</v>
      </c>
      <c r="J786" s="184" t="str">
        <f>VLOOKUP(H786, 'RM &amp; SF'!B:E, 4, 0)</f>
        <v>غم</v>
      </c>
      <c r="K786" s="12">
        <v>300</v>
      </c>
      <c r="L786" s="13">
        <f>VLOOKUP(H786, 'RM &amp; SF'!B:H, 7, 0)</f>
        <v>1.4E-2</v>
      </c>
      <c r="M786" s="7">
        <f t="shared" si="49"/>
        <v>4.2</v>
      </c>
      <c r="N786" s="4" t="s">
        <v>825</v>
      </c>
      <c r="O786" s="4">
        <f>VLOOKUP(B786, 'All Menu'!B:L, 6, 0)</f>
        <v>7.7586206896551726</v>
      </c>
      <c r="P786" s="6">
        <f>VLOOKUP(B786, 'All Menu'!B:L, 9, 0)</f>
        <v>4.2666394845475253</v>
      </c>
      <c r="Q786" s="14">
        <f>VLOOKUP(B786, 'All Menu'!B:M, 12, 0)</f>
        <v>0.45007757754720784</v>
      </c>
      <c r="R786" s="173">
        <f t="shared" si="50"/>
        <v>0</v>
      </c>
    </row>
    <row r="787" spans="1:18" ht="14" hidden="1">
      <c r="A787" s="78" t="s">
        <v>2537</v>
      </c>
      <c r="B787" s="220" t="s">
        <v>1130</v>
      </c>
      <c r="C787" s="185"/>
      <c r="D787" s="103" t="str">
        <f>VLOOKUP(B787, 'All Menu'!B:M, 4, 0)</f>
        <v>وجبة ريش فردية</v>
      </c>
      <c r="E787" s="30" t="str">
        <f>VLOOKUP(B787, 'All Menu'!B:M, 2, 0)</f>
        <v>قسم الصالة</v>
      </c>
      <c r="F787" s="103" t="str">
        <f>VLOOKUP(B787, 'All Menu'!B:M, 3, 0)</f>
        <v>المشاوي صالة</v>
      </c>
      <c r="G787" s="90" t="s">
        <v>2257</v>
      </c>
      <c r="H787" s="188">
        <v>5281</v>
      </c>
      <c r="I787" s="110" t="str">
        <f>VLOOKUP(H787, 'RM &amp; SF'!B:H, 2, 0)</f>
        <v>بندوره مشاوي</v>
      </c>
      <c r="J787" s="184" t="str">
        <f>VLOOKUP(H787, 'RM &amp; SF'!B:E, 4, 0)</f>
        <v>غم</v>
      </c>
      <c r="K787" s="12">
        <v>50</v>
      </c>
      <c r="L787" s="13">
        <f>VLOOKUP(H787, 'RM &amp; SF'!B:H, 7, 0)</f>
        <v>4.0000000000000002E-4</v>
      </c>
      <c r="M787" s="7">
        <f t="shared" si="49"/>
        <v>0.02</v>
      </c>
      <c r="N787" s="4" t="s">
        <v>825</v>
      </c>
      <c r="O787" s="4">
        <f>VLOOKUP(B787, 'All Menu'!B:L, 6, 0)</f>
        <v>7.7586206896551726</v>
      </c>
      <c r="P787" s="6">
        <f>VLOOKUP(B787, 'All Menu'!B:L, 9, 0)</f>
        <v>4.2666394845475253</v>
      </c>
      <c r="Q787" s="14">
        <f>VLOOKUP(B787, 'All Menu'!B:M, 12, 0)</f>
        <v>0.45007757754720784</v>
      </c>
      <c r="R787" s="173">
        <f t="shared" si="50"/>
        <v>0</v>
      </c>
    </row>
    <row r="788" spans="1:18" ht="14" hidden="1">
      <c r="A788" s="78" t="s">
        <v>2537</v>
      </c>
      <c r="B788" s="220" t="s">
        <v>1130</v>
      </c>
      <c r="C788" s="185"/>
      <c r="D788" s="103" t="str">
        <f>VLOOKUP(B788, 'All Menu'!B:M, 4, 0)</f>
        <v>وجبة ريش فردية</v>
      </c>
      <c r="E788" s="30" t="str">
        <f>VLOOKUP(B788, 'All Menu'!B:M, 2, 0)</f>
        <v>قسم الصالة</v>
      </c>
      <c r="F788" s="103" t="str">
        <f>VLOOKUP(B788, 'All Menu'!B:M, 3, 0)</f>
        <v>المشاوي صالة</v>
      </c>
      <c r="G788" s="90" t="s">
        <v>2235</v>
      </c>
      <c r="H788" s="188">
        <v>4504</v>
      </c>
      <c r="I788" s="110" t="str">
        <f>VLOOKUP(H788, 'RM &amp; SF'!B:H, 2, 0)</f>
        <v>بصل مشاوي (بصل بيبي)***</v>
      </c>
      <c r="J788" s="184" t="str">
        <f>VLOOKUP(H788, 'RM &amp; SF'!B:E, 4, 0)</f>
        <v>غم</v>
      </c>
      <c r="K788" s="12">
        <v>50</v>
      </c>
      <c r="L788" s="13">
        <f>VLOOKUP(H788, 'RM &amp; SF'!B:H, 7, 0)</f>
        <v>3.5E-4</v>
      </c>
      <c r="M788" s="7">
        <f t="shared" si="49"/>
        <v>1.7499999999999998E-2</v>
      </c>
      <c r="N788" s="4" t="s">
        <v>825</v>
      </c>
      <c r="O788" s="4">
        <f>VLOOKUP(B788, 'All Menu'!B:L, 6, 0)</f>
        <v>7.7586206896551726</v>
      </c>
      <c r="P788" s="6">
        <f>VLOOKUP(B788, 'All Menu'!B:L, 9, 0)</f>
        <v>4.2666394845475253</v>
      </c>
      <c r="Q788" s="14">
        <f>VLOOKUP(B788, 'All Menu'!B:M, 12, 0)</f>
        <v>0.45007757754720784</v>
      </c>
      <c r="R788" s="173">
        <f t="shared" si="50"/>
        <v>0</v>
      </c>
    </row>
    <row r="789" spans="1:18" ht="14" hidden="1">
      <c r="A789" s="78" t="s">
        <v>2537</v>
      </c>
      <c r="B789" s="220" t="s">
        <v>1130</v>
      </c>
      <c r="C789" s="185"/>
      <c r="D789" s="103" t="str">
        <f>VLOOKUP(B789, 'All Menu'!B:M, 4, 0)</f>
        <v>وجبة ريش فردية</v>
      </c>
      <c r="E789" s="30" t="str">
        <f>VLOOKUP(B789, 'All Menu'!B:M, 2, 0)</f>
        <v>قسم الصالة</v>
      </c>
      <c r="F789" s="103" t="str">
        <f>VLOOKUP(B789, 'All Menu'!B:M, 3, 0)</f>
        <v>المشاوي صالة</v>
      </c>
      <c r="G789" s="90" t="s">
        <v>2396</v>
      </c>
      <c r="H789" s="219" t="s">
        <v>582</v>
      </c>
      <c r="I789" s="110" t="str">
        <f>VLOOKUP(H789, 'RM &amp; SF'!B:H, 2, 0)</f>
        <v>بيواز</v>
      </c>
      <c r="J789" s="184" t="str">
        <f>VLOOKUP(H789, 'RM &amp; SF'!B:E, 4, 0)</f>
        <v>غم</v>
      </c>
      <c r="K789" s="12">
        <v>50</v>
      </c>
      <c r="L789" s="13">
        <f>VLOOKUP(H789, 'RM &amp; SF'!B:H, 7, 0)</f>
        <v>2.0666065869244635E-4</v>
      </c>
      <c r="M789" s="7">
        <f t="shared" si="49"/>
        <v>1.0333032934622318E-2</v>
      </c>
      <c r="N789" s="4" t="s">
        <v>825</v>
      </c>
      <c r="O789" s="4">
        <f>VLOOKUP(B789, 'All Menu'!B:L, 6, 0)</f>
        <v>7.7586206896551726</v>
      </c>
      <c r="P789" s="6">
        <f>VLOOKUP(B789, 'All Menu'!B:L, 9, 0)</f>
        <v>4.2666394845475253</v>
      </c>
      <c r="Q789" s="14">
        <f>VLOOKUP(B789, 'All Menu'!B:M, 12, 0)</f>
        <v>0.45007757754720784</v>
      </c>
      <c r="R789" s="173">
        <f t="shared" si="50"/>
        <v>0</v>
      </c>
    </row>
    <row r="790" spans="1:18" ht="14" hidden="1">
      <c r="A790" s="78" t="s">
        <v>2537</v>
      </c>
      <c r="B790" s="220" t="s">
        <v>1130</v>
      </c>
      <c r="C790" s="185"/>
      <c r="D790" s="103" t="str">
        <f>VLOOKUP(B790, 'All Menu'!B:M, 4, 0)</f>
        <v>وجبة ريش فردية</v>
      </c>
      <c r="E790" s="30" t="str">
        <f>VLOOKUP(B790, 'All Menu'!B:M, 2, 0)</f>
        <v>قسم الصالة</v>
      </c>
      <c r="F790" s="103" t="str">
        <f>VLOOKUP(B790, 'All Menu'!B:M, 3, 0)</f>
        <v>المشاوي صالة</v>
      </c>
      <c r="G790" s="90" t="s">
        <v>2331</v>
      </c>
      <c r="H790" s="219" t="s">
        <v>530</v>
      </c>
      <c r="I790" s="110" t="str">
        <f>VLOOKUP(H790, 'RM &amp; SF'!B:H, 2, 0)</f>
        <v>خبز صاج</v>
      </c>
      <c r="J790" s="184" t="str">
        <f>VLOOKUP(H790, 'RM &amp; SF'!B:E, 4, 0)</f>
        <v>غم</v>
      </c>
      <c r="K790" s="12">
        <v>100</v>
      </c>
      <c r="L790" s="13">
        <f>VLOOKUP(H790, 'RM &amp; SF'!B:H, 7, 0)</f>
        <v>1.8806451612903227E-4</v>
      </c>
      <c r="M790" s="7">
        <f t="shared" si="49"/>
        <v>1.8806451612903227E-2</v>
      </c>
      <c r="N790" s="4" t="s">
        <v>825</v>
      </c>
      <c r="O790" s="4">
        <f>VLOOKUP(B790, 'All Menu'!B:L, 6, 0)</f>
        <v>7.7586206896551726</v>
      </c>
      <c r="P790" s="6">
        <f>VLOOKUP(B790, 'All Menu'!B:L, 9, 0)</f>
        <v>4.2666394845475253</v>
      </c>
      <c r="Q790" s="14">
        <f>VLOOKUP(B790, 'All Menu'!B:M, 12, 0)</f>
        <v>0.45007757754720784</v>
      </c>
      <c r="R790" s="173">
        <f t="shared" si="50"/>
        <v>0</v>
      </c>
    </row>
    <row r="791" spans="1:18" ht="14" hidden="1">
      <c r="A791" s="78" t="s">
        <v>2623</v>
      </c>
      <c r="B791" s="220" t="s">
        <v>1132</v>
      </c>
      <c r="C791" s="185"/>
      <c r="D791" s="103" t="str">
        <f>VLOOKUP(B791, 'All Menu'!B:M, 4, 0)</f>
        <v>دجاجة محشية</v>
      </c>
      <c r="E791" s="30" t="str">
        <f>VLOOKUP(B791, 'All Menu'!B:M, 2, 0)</f>
        <v>قسم الصالة</v>
      </c>
      <c r="F791" s="103" t="str">
        <f>VLOOKUP(B791, 'All Menu'!B:M, 3, 0)</f>
        <v>اطباق اليوم صالة</v>
      </c>
      <c r="G791" s="90" t="s">
        <v>2451</v>
      </c>
      <c r="H791" s="219" t="s">
        <v>640</v>
      </c>
      <c r="I791" s="110" t="str">
        <f>VLOOKUP(H791, 'RM &amp; SF'!B:H, 2, 0)</f>
        <v xml:space="preserve">دجاج محشي </v>
      </c>
      <c r="J791" s="184" t="str">
        <f>VLOOKUP(H791, 'RM &amp; SF'!B:E, 4, 0)</f>
        <v>قطعة</v>
      </c>
      <c r="K791" s="12">
        <v>1</v>
      </c>
      <c r="L791" s="13">
        <f>VLOOKUP(H791, 'RM &amp; SF'!B:H, 7, 0)</f>
        <v>0.29605135530167526</v>
      </c>
      <c r="M791" s="7">
        <f t="shared" si="49"/>
        <v>0.29605135530167526</v>
      </c>
      <c r="N791" s="4" t="s">
        <v>825</v>
      </c>
      <c r="O791" s="4">
        <f>VLOOKUP(B791, 'All Menu'!B:L, 6, 0)</f>
        <v>6.4655172413793105</v>
      </c>
      <c r="P791" s="6">
        <f>VLOOKUP(B791, 'All Menu'!B:L, 9, 0)</f>
        <v>1.1225369733119268</v>
      </c>
      <c r="Q791" s="14">
        <f>VLOOKUP(B791, 'All Menu'!B:M, 12, 0)</f>
        <v>0.82638094812775542</v>
      </c>
      <c r="R791" s="173">
        <f t="shared" si="50"/>
        <v>0</v>
      </c>
    </row>
    <row r="792" spans="1:18" ht="14" hidden="1">
      <c r="A792" s="78" t="s">
        <v>2623</v>
      </c>
      <c r="B792" s="220" t="s">
        <v>1132</v>
      </c>
      <c r="C792" s="185"/>
      <c r="D792" s="103" t="str">
        <f>VLOOKUP(B792, 'All Menu'!B:M, 4, 0)</f>
        <v>دجاجة محشية</v>
      </c>
      <c r="E792" s="30" t="str">
        <f>VLOOKUP(B792, 'All Menu'!B:M, 2, 0)</f>
        <v>قسم الصالة</v>
      </c>
      <c r="F792" s="103" t="str">
        <f>VLOOKUP(B792, 'All Menu'!B:M, 3, 0)</f>
        <v>اطباق اليوم صالة</v>
      </c>
      <c r="G792" s="90" t="s">
        <v>2412</v>
      </c>
      <c r="H792" s="219" t="s">
        <v>598</v>
      </c>
      <c r="I792" s="110" t="str">
        <f>VLOOKUP(H792, 'RM &amp; SF'!B:H, 2, 0)</f>
        <v>رز اوزي</v>
      </c>
      <c r="J792" s="184" t="str">
        <f>VLOOKUP(H792, 'RM &amp; SF'!B:E, 4, 0)</f>
        <v>غم</v>
      </c>
      <c r="K792" s="16">
        <v>500</v>
      </c>
      <c r="L792" s="13">
        <f>VLOOKUP(H792, 'RM &amp; SF'!B:H, 7, 0)</f>
        <v>1.1675619256756756E-3</v>
      </c>
      <c r="M792" s="7">
        <f t="shared" si="49"/>
        <v>0.58378096283783776</v>
      </c>
      <c r="N792" s="4" t="s">
        <v>825</v>
      </c>
      <c r="O792" s="4">
        <f>VLOOKUP(B792, 'All Menu'!B:L, 6, 0)</f>
        <v>6.4655172413793105</v>
      </c>
      <c r="P792" s="6">
        <f>VLOOKUP(B792, 'All Menu'!B:L, 9, 0)</f>
        <v>1.1225369733119268</v>
      </c>
      <c r="Q792" s="14">
        <f>VLOOKUP(B792, 'All Menu'!B:M, 12, 0)</f>
        <v>0.82638094812775542</v>
      </c>
      <c r="R792" s="173">
        <f t="shared" si="50"/>
        <v>0</v>
      </c>
    </row>
    <row r="793" spans="1:18" ht="14" hidden="1">
      <c r="A793" s="78" t="s">
        <v>2623</v>
      </c>
      <c r="B793" s="220" t="s">
        <v>1132</v>
      </c>
      <c r="C793" s="185"/>
      <c r="D793" s="103" t="str">
        <f>VLOOKUP(B793, 'All Menu'!B:M, 4, 0)</f>
        <v>دجاجة محشية</v>
      </c>
      <c r="E793" s="30" t="str">
        <f>VLOOKUP(B793, 'All Menu'!B:M, 2, 0)</f>
        <v>قسم الصالة</v>
      </c>
      <c r="F793" s="103" t="str">
        <f>VLOOKUP(B793, 'All Menu'!B:M, 3, 0)</f>
        <v>اطباق اليوم صالة</v>
      </c>
      <c r="G793" s="90" t="s">
        <v>2341</v>
      </c>
      <c r="H793" s="219" t="s">
        <v>706</v>
      </c>
      <c r="I793" s="110" t="str">
        <f>VLOOKUP(H793, 'RM &amp; SF'!B:H, 2, 0)</f>
        <v>لوز مقلي</v>
      </c>
      <c r="J793" s="184" t="str">
        <f>VLOOKUP(H793, 'RM &amp; SF'!B:E, 4, 0)</f>
        <v>غم</v>
      </c>
      <c r="K793" s="16">
        <v>20</v>
      </c>
      <c r="L793" s="13">
        <f>VLOOKUP(H793, 'RM &amp; SF'!B:H, 7, 0)</f>
        <v>4.1352327586206888E-3</v>
      </c>
      <c r="M793" s="7">
        <f t="shared" si="49"/>
        <v>8.270465517241378E-2</v>
      </c>
      <c r="N793" s="4" t="s">
        <v>825</v>
      </c>
      <c r="O793" s="4">
        <f>VLOOKUP(B793, 'All Menu'!B:L, 6, 0)</f>
        <v>6.4655172413793105</v>
      </c>
      <c r="P793" s="6">
        <f>VLOOKUP(B793, 'All Menu'!B:L, 9, 0)</f>
        <v>1.1225369733119268</v>
      </c>
      <c r="Q793" s="14">
        <f>VLOOKUP(B793, 'All Menu'!B:M, 12, 0)</f>
        <v>0.82638094812775542</v>
      </c>
      <c r="R793" s="173">
        <f t="shared" si="50"/>
        <v>0</v>
      </c>
    </row>
    <row r="794" spans="1:18" ht="14" hidden="1">
      <c r="A794" s="78" t="s">
        <v>2623</v>
      </c>
      <c r="B794" s="220" t="s">
        <v>1132</v>
      </c>
      <c r="C794" s="185"/>
      <c r="D794" s="103" t="str">
        <f>VLOOKUP(B794, 'All Menu'!B:M, 4, 0)</f>
        <v>دجاجة محشية</v>
      </c>
      <c r="E794" s="30" t="str">
        <f>VLOOKUP(B794, 'All Menu'!B:M, 2, 0)</f>
        <v>قسم الصالة</v>
      </c>
      <c r="F794" s="103" t="str">
        <f>VLOOKUP(B794, 'All Menu'!B:M, 3, 0)</f>
        <v>اطباق اليوم صالة</v>
      </c>
      <c r="G794" s="90" t="s">
        <v>2185</v>
      </c>
      <c r="H794" s="188">
        <v>4550</v>
      </c>
      <c r="I794" s="110" t="str">
        <f>VLOOKUP(H794, 'RM &amp; SF'!B:H, 2, 0)</f>
        <v>*****لبن زبادي 150 غم</v>
      </c>
      <c r="J794" s="184" t="str">
        <f>VLOOKUP(H794, 'RM &amp; SF'!B:E, 4, 0)</f>
        <v>قطعة</v>
      </c>
      <c r="K794" s="16">
        <v>1</v>
      </c>
      <c r="L794" s="13">
        <f>VLOOKUP(H794, 'RM &amp; SF'!B:H, 7, 0)</f>
        <v>0.16</v>
      </c>
      <c r="M794" s="7">
        <f t="shared" si="49"/>
        <v>0.16</v>
      </c>
      <c r="N794" s="4" t="s">
        <v>825</v>
      </c>
      <c r="O794" s="4">
        <f>VLOOKUP(B794, 'All Menu'!B:L, 6, 0)</f>
        <v>6.4655172413793105</v>
      </c>
      <c r="P794" s="6">
        <f>VLOOKUP(B794, 'All Menu'!B:L, 9, 0)</f>
        <v>1.1225369733119268</v>
      </c>
      <c r="Q794" s="14">
        <f>VLOOKUP(B794, 'All Menu'!B:M, 12, 0)</f>
        <v>0.82638094812775542</v>
      </c>
      <c r="R794" s="173">
        <f t="shared" si="50"/>
        <v>0</v>
      </c>
    </row>
    <row r="795" spans="1:18" ht="14" hidden="1">
      <c r="A795" s="78" t="s">
        <v>2520</v>
      </c>
      <c r="B795" s="220" t="s">
        <v>1133</v>
      </c>
      <c r="C795" s="185"/>
      <c r="D795" s="103" t="str">
        <f>VLOOKUP(B795, 'All Menu'!B:M, 4, 0)</f>
        <v>كلاوي مشوي فردي</v>
      </c>
      <c r="E795" s="30" t="str">
        <f>VLOOKUP(B795, 'All Menu'!B:M, 2, 0)</f>
        <v>قسم الصالة</v>
      </c>
      <c r="F795" s="103" t="str">
        <f>VLOOKUP(B795, 'All Menu'!B:M, 3, 0)</f>
        <v>المشاوي صالة</v>
      </c>
      <c r="G795" s="90" t="s">
        <v>2203</v>
      </c>
      <c r="H795" s="188">
        <v>4152</v>
      </c>
      <c r="I795" s="110" t="str">
        <f>VLOOKUP(H795, 'RM &amp; SF'!B:H, 2, 0)</f>
        <v>ملح طعام 750غم*****</v>
      </c>
      <c r="J795" s="184" t="str">
        <f>VLOOKUP(H795, 'RM &amp; SF'!B:E, 4, 0)</f>
        <v>غم</v>
      </c>
      <c r="K795" s="12">
        <v>2</v>
      </c>
      <c r="L795" s="13">
        <f>VLOOKUP(H795, 'RM &amp; SF'!B:H, 7, 0)</f>
        <v>1.7066666666666665E-4</v>
      </c>
      <c r="M795" s="7">
        <f t="shared" si="49"/>
        <v>3.413333333333333E-4</v>
      </c>
      <c r="N795" s="4" t="s">
        <v>825</v>
      </c>
      <c r="O795" s="4">
        <f>VLOOKUP(B795, 'All Menu'!B:L, 6, 0)</f>
        <v>3.4482758620689657</v>
      </c>
      <c r="P795" s="6">
        <f>VLOOKUP(B795, 'All Menu'!B:L, 9, 0)</f>
        <v>1.6469512694937622</v>
      </c>
      <c r="Q795" s="14">
        <f>VLOOKUP(B795, 'All Menu'!B:M, 12, 0)</f>
        <v>0.52238413184680899</v>
      </c>
      <c r="R795" s="173">
        <f t="shared" si="50"/>
        <v>0</v>
      </c>
    </row>
    <row r="796" spans="1:18" ht="14" hidden="1">
      <c r="A796" s="78" t="s">
        <v>2520</v>
      </c>
      <c r="B796" s="220" t="s">
        <v>1133</v>
      </c>
      <c r="C796" s="185"/>
      <c r="D796" s="103" t="str">
        <f>VLOOKUP(B796, 'All Menu'!B:M, 4, 0)</f>
        <v>كلاوي مشوي فردي</v>
      </c>
      <c r="E796" s="30" t="str">
        <f>VLOOKUP(B796, 'All Menu'!B:M, 2, 0)</f>
        <v>قسم الصالة</v>
      </c>
      <c r="F796" s="103" t="str">
        <f>VLOOKUP(B796, 'All Menu'!B:M, 3, 0)</f>
        <v>المشاوي صالة</v>
      </c>
      <c r="G796" s="90" t="s">
        <v>2206</v>
      </c>
      <c r="H796" s="188">
        <v>4204</v>
      </c>
      <c r="I796" s="110" t="str">
        <f>VLOOKUP(H796, 'RM &amp; SF'!B:H, 2, 0)</f>
        <v>فلفل اسود ناعم*****</v>
      </c>
      <c r="J796" s="184" t="str">
        <f>VLOOKUP(H796, 'RM &amp; SF'!B:E, 4, 0)</f>
        <v>غم</v>
      </c>
      <c r="K796" s="12">
        <v>2</v>
      </c>
      <c r="L796" s="13">
        <f>VLOOKUP(H796, 'RM &amp; SF'!B:H, 7, 0)</f>
        <v>6.8970000000000004E-3</v>
      </c>
      <c r="M796" s="7">
        <f t="shared" si="49"/>
        <v>1.3794000000000001E-2</v>
      </c>
      <c r="N796" s="4" t="s">
        <v>825</v>
      </c>
      <c r="O796" s="4">
        <f>VLOOKUP(B796, 'All Menu'!B:L, 6, 0)</f>
        <v>3.4482758620689657</v>
      </c>
      <c r="P796" s="6">
        <f>VLOOKUP(B796, 'All Menu'!B:L, 9, 0)</f>
        <v>1.6469512694937622</v>
      </c>
      <c r="Q796" s="14">
        <f>VLOOKUP(B796, 'All Menu'!B:M, 12, 0)</f>
        <v>0.52238413184680899</v>
      </c>
      <c r="R796" s="173">
        <f t="shared" si="50"/>
        <v>0</v>
      </c>
    </row>
    <row r="797" spans="1:18" ht="14" hidden="1">
      <c r="A797" s="78" t="s">
        <v>2520</v>
      </c>
      <c r="B797" s="220" t="s">
        <v>1133</v>
      </c>
      <c r="C797" s="185"/>
      <c r="D797" s="103" t="str">
        <f>VLOOKUP(B797, 'All Menu'!B:M, 4, 0)</f>
        <v>كلاوي مشوي فردي</v>
      </c>
      <c r="E797" s="30" t="str">
        <f>VLOOKUP(B797, 'All Menu'!B:M, 2, 0)</f>
        <v>قسم الصالة</v>
      </c>
      <c r="F797" s="103" t="str">
        <f>VLOOKUP(B797, 'All Menu'!B:M, 3, 0)</f>
        <v>المشاوي صالة</v>
      </c>
      <c r="G797" s="90" t="s">
        <v>3058</v>
      </c>
      <c r="H797" s="188">
        <v>4762</v>
      </c>
      <c r="I797" s="110" t="str">
        <f>VLOOKUP(H797, 'RM &amp; SF'!B:H, 2, 0)</f>
        <v>سقط خروف ني (كلاوي)*****</v>
      </c>
      <c r="J797" s="184" t="str">
        <f>VLOOKUP(H797, 'RM &amp; SF'!B:E, 4, 0)</f>
        <v>غم</v>
      </c>
      <c r="K797" s="12">
        <v>300</v>
      </c>
      <c r="L797" s="13">
        <f>VLOOKUP(H797, 'RM &amp; SF'!B:H, 7, 0)</f>
        <v>5.0000000000000001E-3</v>
      </c>
      <c r="M797" s="7">
        <f t="shared" ref="M797:M857" si="51">L797*K797</f>
        <v>1.5</v>
      </c>
      <c r="N797" s="4" t="s">
        <v>825</v>
      </c>
      <c r="O797" s="4">
        <f>VLOOKUP(B797, 'All Menu'!B:L, 6, 0)</f>
        <v>3.4482758620689657</v>
      </c>
      <c r="P797" s="6">
        <f>VLOOKUP(B797, 'All Menu'!B:L, 9, 0)</f>
        <v>1.6469512694937622</v>
      </c>
      <c r="Q797" s="14">
        <f>VLOOKUP(B797, 'All Menu'!B:M, 12, 0)</f>
        <v>0.52238413184680899</v>
      </c>
      <c r="R797" s="173">
        <f t="shared" si="50"/>
        <v>0</v>
      </c>
    </row>
    <row r="798" spans="1:18" ht="14" hidden="1">
      <c r="A798" s="78" t="s">
        <v>2520</v>
      </c>
      <c r="B798" s="220" t="s">
        <v>1133</v>
      </c>
      <c r="C798" s="185"/>
      <c r="D798" s="103" t="str">
        <f>VLOOKUP(B798, 'All Menu'!B:M, 4, 0)</f>
        <v>كلاوي مشوي فردي</v>
      </c>
      <c r="E798" s="30" t="str">
        <f>VLOOKUP(B798, 'All Menu'!B:M, 2, 0)</f>
        <v>قسم الصالة</v>
      </c>
      <c r="F798" s="103" t="str">
        <f>VLOOKUP(B798, 'All Menu'!B:M, 3, 0)</f>
        <v>المشاوي صالة</v>
      </c>
      <c r="G798" s="90" t="s">
        <v>2396</v>
      </c>
      <c r="H798" s="219" t="s">
        <v>582</v>
      </c>
      <c r="I798" s="110" t="str">
        <f>VLOOKUP(H798, 'RM &amp; SF'!B:H, 2, 0)</f>
        <v>بيواز</v>
      </c>
      <c r="J798" s="184" t="str">
        <f>VLOOKUP(H798, 'RM &amp; SF'!B:E, 4, 0)</f>
        <v>غم</v>
      </c>
      <c r="K798" s="12">
        <v>50</v>
      </c>
      <c r="L798" s="13">
        <f>VLOOKUP(H798, 'RM &amp; SF'!B:H, 7, 0)</f>
        <v>2.0666065869244635E-4</v>
      </c>
      <c r="M798" s="7">
        <f t="shared" si="51"/>
        <v>1.0333032934622318E-2</v>
      </c>
      <c r="N798" s="4" t="s">
        <v>825</v>
      </c>
      <c r="O798" s="4">
        <f>VLOOKUP(B798, 'All Menu'!B:L, 6, 0)</f>
        <v>3.4482758620689657</v>
      </c>
      <c r="P798" s="6">
        <f>VLOOKUP(B798, 'All Menu'!B:L, 9, 0)</f>
        <v>1.6469512694937622</v>
      </c>
      <c r="Q798" s="14">
        <f>VLOOKUP(B798, 'All Menu'!B:M, 12, 0)</f>
        <v>0.52238413184680899</v>
      </c>
      <c r="R798" s="173">
        <f t="shared" si="50"/>
        <v>0</v>
      </c>
    </row>
    <row r="799" spans="1:18" ht="14" hidden="1">
      <c r="A799" s="78" t="s">
        <v>2520</v>
      </c>
      <c r="B799" s="220" t="s">
        <v>1133</v>
      </c>
      <c r="C799" s="185"/>
      <c r="D799" s="103" t="str">
        <f>VLOOKUP(B799, 'All Menu'!B:M, 4, 0)</f>
        <v>كلاوي مشوي فردي</v>
      </c>
      <c r="E799" s="30" t="str">
        <f>VLOOKUP(B799, 'All Menu'!B:M, 2, 0)</f>
        <v>قسم الصالة</v>
      </c>
      <c r="F799" s="103" t="str">
        <f>VLOOKUP(B799, 'All Menu'!B:M, 3, 0)</f>
        <v>المشاوي صالة</v>
      </c>
      <c r="G799" s="90" t="s">
        <v>2257</v>
      </c>
      <c r="H799" s="188">
        <v>5281</v>
      </c>
      <c r="I799" s="110" t="str">
        <f>VLOOKUP(H799, 'RM &amp; SF'!B:H, 2, 0)</f>
        <v>بندوره مشاوي</v>
      </c>
      <c r="J799" s="184" t="str">
        <f>VLOOKUP(H799, 'RM &amp; SF'!B:E, 4, 0)</f>
        <v>غم</v>
      </c>
      <c r="K799" s="12">
        <v>75</v>
      </c>
      <c r="L799" s="13">
        <f>VLOOKUP(H799, 'RM &amp; SF'!B:H, 7, 0)</f>
        <v>4.0000000000000002E-4</v>
      </c>
      <c r="M799" s="7">
        <f t="shared" si="51"/>
        <v>3.0000000000000002E-2</v>
      </c>
      <c r="N799" s="4" t="s">
        <v>825</v>
      </c>
      <c r="O799" s="4">
        <f>VLOOKUP(B799, 'All Menu'!B:L, 6, 0)</f>
        <v>3.4482758620689657</v>
      </c>
      <c r="P799" s="6">
        <f>VLOOKUP(B799, 'All Menu'!B:L, 9, 0)</f>
        <v>1.6469512694937622</v>
      </c>
      <c r="Q799" s="14">
        <f>VLOOKUP(B799, 'All Menu'!B:M, 12, 0)</f>
        <v>0.52238413184680899</v>
      </c>
      <c r="R799" s="173">
        <f t="shared" si="50"/>
        <v>0</v>
      </c>
    </row>
    <row r="800" spans="1:18" ht="14" hidden="1">
      <c r="A800" s="78" t="s">
        <v>2520</v>
      </c>
      <c r="B800" s="220" t="s">
        <v>1133</v>
      </c>
      <c r="C800" s="185"/>
      <c r="D800" s="103" t="str">
        <f>VLOOKUP(B800, 'All Menu'!B:M, 4, 0)</f>
        <v>كلاوي مشوي فردي</v>
      </c>
      <c r="E800" s="30" t="str">
        <f>VLOOKUP(B800, 'All Menu'!B:M, 2, 0)</f>
        <v>قسم الصالة</v>
      </c>
      <c r="F800" s="103" t="str">
        <f>VLOOKUP(B800, 'All Menu'!B:M, 3, 0)</f>
        <v>المشاوي صالة</v>
      </c>
      <c r="G800" s="90" t="s">
        <v>2235</v>
      </c>
      <c r="H800" s="188">
        <v>4504</v>
      </c>
      <c r="I800" s="110" t="str">
        <f>VLOOKUP(H800, 'RM &amp; SF'!B:H, 2, 0)</f>
        <v>بصل مشاوي (بصل بيبي)***</v>
      </c>
      <c r="J800" s="184" t="str">
        <f>VLOOKUP(H800, 'RM &amp; SF'!B:E, 4, 0)</f>
        <v>غم</v>
      </c>
      <c r="K800" s="12">
        <v>75</v>
      </c>
      <c r="L800" s="13">
        <f>VLOOKUP(H800, 'RM &amp; SF'!B:H, 7, 0)</f>
        <v>3.5E-4</v>
      </c>
      <c r="M800" s="7">
        <f t="shared" si="51"/>
        <v>2.6249999999999999E-2</v>
      </c>
      <c r="N800" s="4" t="s">
        <v>825</v>
      </c>
      <c r="O800" s="4">
        <f>VLOOKUP(B800, 'All Menu'!B:L, 6, 0)</f>
        <v>3.4482758620689657</v>
      </c>
      <c r="P800" s="6">
        <f>VLOOKUP(B800, 'All Menu'!B:L, 9, 0)</f>
        <v>1.6469512694937622</v>
      </c>
      <c r="Q800" s="14">
        <f>VLOOKUP(B800, 'All Menu'!B:M, 12, 0)</f>
        <v>0.52238413184680899</v>
      </c>
      <c r="R800" s="173">
        <f t="shared" si="50"/>
        <v>0</v>
      </c>
    </row>
    <row r="801" spans="1:18" ht="14" hidden="1">
      <c r="A801" s="78" t="s">
        <v>2520</v>
      </c>
      <c r="B801" s="220" t="s">
        <v>1133</v>
      </c>
      <c r="C801" s="185"/>
      <c r="D801" s="103" t="str">
        <f>VLOOKUP(B801, 'All Menu'!B:M, 4, 0)</f>
        <v>كلاوي مشوي فردي</v>
      </c>
      <c r="E801" s="30" t="str">
        <f>VLOOKUP(B801, 'All Menu'!B:M, 2, 0)</f>
        <v>قسم الصالة</v>
      </c>
      <c r="F801" s="103" t="str">
        <f>VLOOKUP(B801, 'All Menu'!B:M, 3, 0)</f>
        <v>المشاوي صالة</v>
      </c>
      <c r="G801" s="90" t="s">
        <v>2231</v>
      </c>
      <c r="H801" s="188">
        <v>4499</v>
      </c>
      <c r="I801" s="110" t="str">
        <f>VLOOKUP(H801, 'RM &amp; SF'!B:H, 2, 0)</f>
        <v>فلفل حار اخضر*****</v>
      </c>
      <c r="J801" s="184" t="str">
        <f>VLOOKUP(H801, 'RM &amp; SF'!B:E, 4, 0)</f>
        <v>غم</v>
      </c>
      <c r="K801" s="12">
        <v>40</v>
      </c>
      <c r="L801" s="13">
        <f>VLOOKUP(H801, 'RM &amp; SF'!B:H, 7, 0)</f>
        <v>5.0000000000000001E-4</v>
      </c>
      <c r="M801" s="7">
        <f t="shared" si="51"/>
        <v>0.02</v>
      </c>
      <c r="N801" s="4" t="s">
        <v>825</v>
      </c>
      <c r="O801" s="4">
        <f>VLOOKUP(B801, 'All Menu'!B:L, 6, 0)</f>
        <v>3.4482758620689657</v>
      </c>
      <c r="P801" s="6">
        <f>VLOOKUP(B801, 'All Menu'!B:L, 9, 0)</f>
        <v>1.6469512694937622</v>
      </c>
      <c r="Q801" s="14">
        <f>VLOOKUP(B801, 'All Menu'!B:M, 12, 0)</f>
        <v>0.52238413184680899</v>
      </c>
      <c r="R801" s="173">
        <f t="shared" si="50"/>
        <v>0</v>
      </c>
    </row>
    <row r="802" spans="1:18" ht="14" hidden="1">
      <c r="A802" s="78" t="s">
        <v>2520</v>
      </c>
      <c r="B802" s="220" t="s">
        <v>1133</v>
      </c>
      <c r="C802" s="185"/>
      <c r="D802" s="103" t="str">
        <f>VLOOKUP(B802, 'All Menu'!B:M, 4, 0)</f>
        <v>كلاوي مشوي فردي</v>
      </c>
      <c r="E802" s="30" t="str">
        <f>VLOOKUP(B802, 'All Menu'!B:M, 2, 0)</f>
        <v>قسم الصالة</v>
      </c>
      <c r="F802" s="103" t="str">
        <f>VLOOKUP(B802, 'All Menu'!B:M, 3, 0)</f>
        <v>المشاوي صالة</v>
      </c>
      <c r="G802" s="90" t="s">
        <v>2331</v>
      </c>
      <c r="H802" s="219" t="s">
        <v>530</v>
      </c>
      <c r="I802" s="110" t="str">
        <f>VLOOKUP(H802, 'RM &amp; SF'!B:H, 2, 0)</f>
        <v>خبز صاج</v>
      </c>
      <c r="J802" s="184" t="str">
        <f>VLOOKUP(H802, 'RM &amp; SF'!B:E, 4, 0)</f>
        <v>غم</v>
      </c>
      <c r="K802" s="12">
        <v>200</v>
      </c>
      <c r="L802" s="13">
        <f>VLOOKUP(H802, 'RM &amp; SF'!B:H, 7, 0)</f>
        <v>1.8806451612903227E-4</v>
      </c>
      <c r="M802" s="7">
        <f t="shared" si="51"/>
        <v>3.7612903225806453E-2</v>
      </c>
      <c r="N802" s="4" t="s">
        <v>825</v>
      </c>
      <c r="O802" s="4">
        <f>VLOOKUP(B802, 'All Menu'!B:L, 6, 0)</f>
        <v>3.4482758620689657</v>
      </c>
      <c r="P802" s="6">
        <f>VLOOKUP(B802, 'All Menu'!B:L, 9, 0)</f>
        <v>1.6469512694937622</v>
      </c>
      <c r="Q802" s="14">
        <f>VLOOKUP(B802, 'All Menu'!B:M, 12, 0)</f>
        <v>0.52238413184680899</v>
      </c>
      <c r="R802" s="173">
        <f t="shared" si="50"/>
        <v>0</v>
      </c>
    </row>
    <row r="803" spans="1:18" ht="14" hidden="1">
      <c r="A803" s="78" t="s">
        <v>2520</v>
      </c>
      <c r="B803" s="220" t="s">
        <v>1133</v>
      </c>
      <c r="C803" s="185"/>
      <c r="D803" s="103" t="str">
        <f>VLOOKUP(B803, 'All Menu'!B:M, 4, 0)</f>
        <v>كلاوي مشوي فردي</v>
      </c>
      <c r="E803" s="30" t="str">
        <f>VLOOKUP(B803, 'All Menu'!B:M, 2, 0)</f>
        <v>قسم الصالة</v>
      </c>
      <c r="F803" s="103" t="str">
        <f>VLOOKUP(B803, 'All Menu'!B:M, 3, 0)</f>
        <v>المشاوي صالة</v>
      </c>
      <c r="G803" s="90" t="s">
        <v>2215</v>
      </c>
      <c r="H803" s="188">
        <v>4224</v>
      </c>
      <c r="I803" s="110" t="str">
        <f>VLOOKUP(H803, 'RM &amp; SF'!B:H, 2, 0)</f>
        <v>سماق*****</v>
      </c>
      <c r="J803" s="184" t="str">
        <f>VLOOKUP(H803, 'RM &amp; SF'!B:E, 4, 0)</f>
        <v>غم</v>
      </c>
      <c r="K803" s="12">
        <v>2</v>
      </c>
      <c r="L803" s="13">
        <f>VLOOKUP(H803, 'RM &amp; SF'!B:H, 7, 0)</f>
        <v>4.3099999999999996E-3</v>
      </c>
      <c r="M803" s="7">
        <f t="shared" si="51"/>
        <v>8.6199999999999992E-3</v>
      </c>
      <c r="N803" s="4" t="s">
        <v>825</v>
      </c>
      <c r="O803" s="4">
        <f>VLOOKUP(B803, 'All Menu'!B:L, 6, 0)</f>
        <v>3.4482758620689657</v>
      </c>
      <c r="P803" s="6">
        <f>VLOOKUP(B803, 'All Menu'!B:L, 9, 0)</f>
        <v>1.6469512694937622</v>
      </c>
      <c r="Q803" s="14">
        <f>VLOOKUP(B803, 'All Menu'!B:M, 12, 0)</f>
        <v>0.52238413184680899</v>
      </c>
      <c r="R803" s="173">
        <f t="shared" si="50"/>
        <v>0</v>
      </c>
    </row>
    <row r="804" spans="1:18" ht="14" hidden="1">
      <c r="A804" s="78" t="s">
        <v>2527</v>
      </c>
      <c r="B804" s="220" t="s">
        <v>1134</v>
      </c>
      <c r="C804" s="185"/>
      <c r="D804" s="103" t="str">
        <f>VLOOKUP(B804, 'All Menu'!B:M, 4, 0)</f>
        <v>بيض غنم مشوي</v>
      </c>
      <c r="E804" s="30" t="str">
        <f>VLOOKUP(B804, 'All Menu'!B:M, 2, 0)</f>
        <v>قسم الصالة</v>
      </c>
      <c r="F804" s="103" t="str">
        <f>VLOOKUP(B804, 'All Menu'!B:M, 3, 0)</f>
        <v>المشاوي صالة</v>
      </c>
      <c r="G804" s="90" t="s">
        <v>2203</v>
      </c>
      <c r="H804" s="188">
        <v>4152</v>
      </c>
      <c r="I804" s="110" t="str">
        <f>VLOOKUP(H804, 'RM &amp; SF'!B:H, 2, 0)</f>
        <v>ملح طعام 750غم*****</v>
      </c>
      <c r="J804" s="184" t="str">
        <f>VLOOKUP(H804, 'RM &amp; SF'!B:E, 4, 0)</f>
        <v>غم</v>
      </c>
      <c r="K804" s="12">
        <v>2</v>
      </c>
      <c r="L804" s="13">
        <f>VLOOKUP(H804, 'RM &amp; SF'!B:H, 7, 0)</f>
        <v>1.7066666666666665E-4</v>
      </c>
      <c r="M804" s="7">
        <f t="shared" si="51"/>
        <v>3.413333333333333E-4</v>
      </c>
      <c r="N804" s="4" t="s">
        <v>825</v>
      </c>
      <c r="O804" s="4">
        <f>VLOOKUP(B804, 'All Menu'!B:L, 6, 0)</f>
        <v>3.4482758620689657</v>
      </c>
      <c r="P804" s="6">
        <f>VLOOKUP(B804, 'All Menu'!B:L, 9, 0)</f>
        <v>1.6512612694937623</v>
      </c>
      <c r="Q804" s="14">
        <f>VLOOKUP(B804, 'All Menu'!B:M, 12, 0)</f>
        <v>0.52113423184680896</v>
      </c>
      <c r="R804" s="173">
        <f t="shared" si="50"/>
        <v>0</v>
      </c>
    </row>
    <row r="805" spans="1:18" ht="14" hidden="1">
      <c r="A805" s="78" t="s">
        <v>2527</v>
      </c>
      <c r="B805" s="220" t="s">
        <v>1134</v>
      </c>
      <c r="C805" s="185"/>
      <c r="D805" s="103" t="str">
        <f>VLOOKUP(B805, 'All Menu'!B:M, 4, 0)</f>
        <v>بيض غنم مشوي</v>
      </c>
      <c r="E805" s="30" t="str">
        <f>VLOOKUP(B805, 'All Menu'!B:M, 2, 0)</f>
        <v>قسم الصالة</v>
      </c>
      <c r="F805" s="103" t="str">
        <f>VLOOKUP(B805, 'All Menu'!B:M, 3, 0)</f>
        <v>المشاوي صالة</v>
      </c>
      <c r="G805" s="90" t="s">
        <v>2206</v>
      </c>
      <c r="H805" s="188">
        <v>4204</v>
      </c>
      <c r="I805" s="110" t="str">
        <f>VLOOKUP(H805, 'RM &amp; SF'!B:H, 2, 0)</f>
        <v>فلفل اسود ناعم*****</v>
      </c>
      <c r="J805" s="184" t="str">
        <f>VLOOKUP(H805, 'RM &amp; SF'!B:E, 4, 0)</f>
        <v>غم</v>
      </c>
      <c r="K805" s="12">
        <v>2</v>
      </c>
      <c r="L805" s="13">
        <f>VLOOKUP(H805, 'RM &amp; SF'!B:H, 7, 0)</f>
        <v>6.8970000000000004E-3</v>
      </c>
      <c r="M805" s="7">
        <f t="shared" si="51"/>
        <v>1.3794000000000001E-2</v>
      </c>
      <c r="N805" s="4" t="s">
        <v>825</v>
      </c>
      <c r="O805" s="4">
        <f>VLOOKUP(B805, 'All Menu'!B:L, 6, 0)</f>
        <v>3.4482758620689657</v>
      </c>
      <c r="P805" s="6">
        <f>VLOOKUP(B805, 'All Menu'!B:L, 9, 0)</f>
        <v>1.6512612694937623</v>
      </c>
      <c r="Q805" s="14">
        <f>VLOOKUP(B805, 'All Menu'!B:M, 12, 0)</f>
        <v>0.52113423184680896</v>
      </c>
      <c r="R805" s="173">
        <f t="shared" si="50"/>
        <v>0</v>
      </c>
    </row>
    <row r="806" spans="1:18" ht="14" hidden="1">
      <c r="A806" s="78" t="s">
        <v>2527</v>
      </c>
      <c r="B806" s="220" t="s">
        <v>1134</v>
      </c>
      <c r="C806" s="185"/>
      <c r="D806" s="103" t="str">
        <f>VLOOKUP(B806, 'All Menu'!B:M, 4, 0)</f>
        <v>بيض غنم مشوي</v>
      </c>
      <c r="E806" s="30" t="str">
        <f>VLOOKUP(B806, 'All Menu'!B:M, 2, 0)</f>
        <v>قسم الصالة</v>
      </c>
      <c r="F806" s="103" t="str">
        <f>VLOOKUP(B806, 'All Menu'!B:M, 3, 0)</f>
        <v>المشاوي صالة</v>
      </c>
      <c r="G806" s="90" t="s">
        <v>3058</v>
      </c>
      <c r="H806" s="188">
        <v>4764</v>
      </c>
      <c r="I806" s="110" t="str">
        <f>VLOOKUP(H806, 'RM &amp; SF'!B:H, 2, 0)</f>
        <v>سقط خروف ني (خصاوي)*****</v>
      </c>
      <c r="J806" s="184" t="str">
        <f>VLOOKUP(H806, 'RM &amp; SF'!B:E, 4, 0)</f>
        <v>غم</v>
      </c>
      <c r="K806" s="12">
        <v>300</v>
      </c>
      <c r="L806" s="13">
        <f>VLOOKUP(H806, 'RM &amp; SF'!B:H, 7, 0)</f>
        <v>5.0000000000000001E-3</v>
      </c>
      <c r="M806" s="7">
        <f t="shared" si="51"/>
        <v>1.5</v>
      </c>
      <c r="N806" s="4" t="s">
        <v>825</v>
      </c>
      <c r="O806" s="4">
        <f>VLOOKUP(B806, 'All Menu'!B:L, 6, 0)</f>
        <v>3.4482758620689657</v>
      </c>
      <c r="P806" s="6">
        <f>VLOOKUP(B806, 'All Menu'!B:L, 9, 0)</f>
        <v>1.6512612694937623</v>
      </c>
      <c r="Q806" s="14">
        <f>VLOOKUP(B806, 'All Menu'!B:M, 12, 0)</f>
        <v>0.52113423184680896</v>
      </c>
      <c r="R806" s="173">
        <f t="shared" si="50"/>
        <v>0</v>
      </c>
    </row>
    <row r="807" spans="1:18" ht="14" hidden="1">
      <c r="A807" s="78" t="s">
        <v>2527</v>
      </c>
      <c r="B807" s="220" t="s">
        <v>1134</v>
      </c>
      <c r="C807" s="185"/>
      <c r="D807" s="103" t="str">
        <f>VLOOKUP(B807, 'All Menu'!B:M, 4, 0)</f>
        <v>بيض غنم مشوي</v>
      </c>
      <c r="E807" s="30" t="str">
        <f>VLOOKUP(B807, 'All Menu'!B:M, 2, 0)</f>
        <v>قسم الصالة</v>
      </c>
      <c r="F807" s="103" t="str">
        <f>VLOOKUP(B807, 'All Menu'!B:M, 3, 0)</f>
        <v>المشاوي صالة</v>
      </c>
      <c r="G807" s="90" t="s">
        <v>2396</v>
      </c>
      <c r="H807" s="219" t="s">
        <v>582</v>
      </c>
      <c r="I807" s="110" t="str">
        <f>VLOOKUP(H807, 'RM &amp; SF'!B:H, 2, 0)</f>
        <v>بيواز</v>
      </c>
      <c r="J807" s="184" t="str">
        <f>VLOOKUP(H807, 'RM &amp; SF'!B:E, 4, 0)</f>
        <v>غم</v>
      </c>
      <c r="K807" s="12">
        <v>50</v>
      </c>
      <c r="L807" s="13">
        <f>VLOOKUP(H807, 'RM &amp; SF'!B:H, 7, 0)</f>
        <v>2.0666065869244635E-4</v>
      </c>
      <c r="M807" s="7">
        <f t="shared" si="51"/>
        <v>1.0333032934622318E-2</v>
      </c>
      <c r="N807" s="4" t="s">
        <v>825</v>
      </c>
      <c r="O807" s="4">
        <f>VLOOKUP(B807, 'All Menu'!B:L, 6, 0)</f>
        <v>3.4482758620689657</v>
      </c>
      <c r="P807" s="6">
        <f>VLOOKUP(B807, 'All Menu'!B:L, 9, 0)</f>
        <v>1.6512612694937623</v>
      </c>
      <c r="Q807" s="14">
        <f>VLOOKUP(B807, 'All Menu'!B:M, 12, 0)</f>
        <v>0.52113423184680896</v>
      </c>
      <c r="R807" s="173">
        <f t="shared" ref="R807:R858" si="52">C807*K807</f>
        <v>0</v>
      </c>
    </row>
    <row r="808" spans="1:18" ht="14" hidden="1">
      <c r="A808" s="78" t="s">
        <v>2527</v>
      </c>
      <c r="B808" s="220" t="s">
        <v>1134</v>
      </c>
      <c r="C808" s="185"/>
      <c r="D808" s="103" t="str">
        <f>VLOOKUP(B808, 'All Menu'!B:M, 4, 0)</f>
        <v>بيض غنم مشوي</v>
      </c>
      <c r="E808" s="30" t="str">
        <f>VLOOKUP(B808, 'All Menu'!B:M, 2, 0)</f>
        <v>قسم الصالة</v>
      </c>
      <c r="F808" s="103" t="str">
        <f>VLOOKUP(B808, 'All Menu'!B:M, 3, 0)</f>
        <v>المشاوي صالة</v>
      </c>
      <c r="G808" s="90" t="s">
        <v>2257</v>
      </c>
      <c r="H808" s="188">
        <v>5281</v>
      </c>
      <c r="I808" s="110" t="str">
        <f>VLOOKUP(H808, 'RM &amp; SF'!B:H, 2, 0)</f>
        <v>بندوره مشاوي</v>
      </c>
      <c r="J808" s="184" t="str">
        <f>VLOOKUP(H808, 'RM &amp; SF'!B:E, 4, 0)</f>
        <v>غم</v>
      </c>
      <c r="K808" s="12">
        <v>75</v>
      </c>
      <c r="L808" s="13">
        <f>VLOOKUP(H808, 'RM &amp; SF'!B:H, 7, 0)</f>
        <v>4.0000000000000002E-4</v>
      </c>
      <c r="M808" s="7">
        <f t="shared" si="51"/>
        <v>3.0000000000000002E-2</v>
      </c>
      <c r="N808" s="4" t="s">
        <v>825</v>
      </c>
      <c r="O808" s="4">
        <f>VLOOKUP(B808, 'All Menu'!B:L, 6, 0)</f>
        <v>3.4482758620689657</v>
      </c>
      <c r="P808" s="6">
        <f>VLOOKUP(B808, 'All Menu'!B:L, 9, 0)</f>
        <v>1.6512612694937623</v>
      </c>
      <c r="Q808" s="14">
        <f>VLOOKUP(B808, 'All Menu'!B:M, 12, 0)</f>
        <v>0.52113423184680896</v>
      </c>
      <c r="R808" s="173">
        <f t="shared" si="52"/>
        <v>0</v>
      </c>
    </row>
    <row r="809" spans="1:18" ht="14" hidden="1">
      <c r="A809" s="78" t="s">
        <v>2527</v>
      </c>
      <c r="B809" s="220" t="s">
        <v>1134</v>
      </c>
      <c r="C809" s="185"/>
      <c r="D809" s="103" t="str">
        <f>VLOOKUP(B809, 'All Menu'!B:M, 4, 0)</f>
        <v>بيض غنم مشوي</v>
      </c>
      <c r="E809" s="30" t="str">
        <f>VLOOKUP(B809, 'All Menu'!B:M, 2, 0)</f>
        <v>قسم الصالة</v>
      </c>
      <c r="F809" s="103" t="str">
        <f>VLOOKUP(B809, 'All Menu'!B:M, 3, 0)</f>
        <v>المشاوي صالة</v>
      </c>
      <c r="G809" s="90" t="s">
        <v>2235</v>
      </c>
      <c r="H809" s="188">
        <v>4504</v>
      </c>
      <c r="I809" s="110" t="str">
        <f>VLOOKUP(H809, 'RM &amp; SF'!B:H, 2, 0)</f>
        <v>بصل مشاوي (بصل بيبي)***</v>
      </c>
      <c r="J809" s="184" t="str">
        <f>VLOOKUP(H809, 'RM &amp; SF'!B:E, 4, 0)</f>
        <v>غم</v>
      </c>
      <c r="K809" s="12">
        <v>75</v>
      </c>
      <c r="L809" s="13">
        <f>VLOOKUP(H809, 'RM &amp; SF'!B:H, 7, 0)</f>
        <v>3.5E-4</v>
      </c>
      <c r="M809" s="7">
        <f t="shared" si="51"/>
        <v>2.6249999999999999E-2</v>
      </c>
      <c r="N809" s="4" t="s">
        <v>825</v>
      </c>
      <c r="O809" s="4">
        <f>VLOOKUP(B809, 'All Menu'!B:L, 6, 0)</f>
        <v>3.4482758620689657</v>
      </c>
      <c r="P809" s="6">
        <f>VLOOKUP(B809, 'All Menu'!B:L, 9, 0)</f>
        <v>1.6512612694937623</v>
      </c>
      <c r="Q809" s="14">
        <f>VLOOKUP(B809, 'All Menu'!B:M, 12, 0)</f>
        <v>0.52113423184680896</v>
      </c>
      <c r="R809" s="173">
        <f t="shared" si="52"/>
        <v>0</v>
      </c>
    </row>
    <row r="810" spans="1:18" ht="14" hidden="1">
      <c r="A810" s="78" t="s">
        <v>2527</v>
      </c>
      <c r="B810" s="220" t="s">
        <v>1134</v>
      </c>
      <c r="C810" s="185"/>
      <c r="D810" s="103" t="str">
        <f>VLOOKUP(B810, 'All Menu'!B:M, 4, 0)</f>
        <v>بيض غنم مشوي</v>
      </c>
      <c r="E810" s="30" t="str">
        <f>VLOOKUP(B810, 'All Menu'!B:M, 2, 0)</f>
        <v>قسم الصالة</v>
      </c>
      <c r="F810" s="103" t="str">
        <f>VLOOKUP(B810, 'All Menu'!B:M, 3, 0)</f>
        <v>المشاوي صالة</v>
      </c>
      <c r="G810" s="90" t="s">
        <v>2231</v>
      </c>
      <c r="H810" s="188">
        <v>4499</v>
      </c>
      <c r="I810" s="110" t="str">
        <f>VLOOKUP(H810, 'RM &amp; SF'!B:H, 2, 0)</f>
        <v>فلفل حار اخضر*****</v>
      </c>
      <c r="J810" s="184" t="str">
        <f>VLOOKUP(H810, 'RM &amp; SF'!B:E, 4, 0)</f>
        <v>غم</v>
      </c>
      <c r="K810" s="12">
        <v>40</v>
      </c>
      <c r="L810" s="13">
        <f>VLOOKUP(H810, 'RM &amp; SF'!B:H, 7, 0)</f>
        <v>5.0000000000000001E-4</v>
      </c>
      <c r="M810" s="7">
        <f t="shared" si="51"/>
        <v>0.02</v>
      </c>
      <c r="N810" s="4" t="s">
        <v>825</v>
      </c>
      <c r="O810" s="4">
        <f>VLOOKUP(B810, 'All Menu'!B:L, 6, 0)</f>
        <v>3.4482758620689657</v>
      </c>
      <c r="P810" s="6">
        <f>VLOOKUP(B810, 'All Menu'!B:L, 9, 0)</f>
        <v>1.6512612694937623</v>
      </c>
      <c r="Q810" s="14">
        <f>VLOOKUP(B810, 'All Menu'!B:M, 12, 0)</f>
        <v>0.52113423184680896</v>
      </c>
      <c r="R810" s="173">
        <f t="shared" si="52"/>
        <v>0</v>
      </c>
    </row>
    <row r="811" spans="1:18" ht="14" hidden="1">
      <c r="A811" s="78" t="s">
        <v>2527</v>
      </c>
      <c r="B811" s="220" t="s">
        <v>1134</v>
      </c>
      <c r="C811" s="185"/>
      <c r="D811" s="103" t="str">
        <f>VLOOKUP(B811, 'All Menu'!B:M, 4, 0)</f>
        <v>بيض غنم مشوي</v>
      </c>
      <c r="E811" s="30" t="str">
        <f>VLOOKUP(B811, 'All Menu'!B:M, 2, 0)</f>
        <v>قسم الصالة</v>
      </c>
      <c r="F811" s="103" t="str">
        <f>VLOOKUP(B811, 'All Menu'!B:M, 3, 0)</f>
        <v>المشاوي صالة</v>
      </c>
      <c r="G811" s="90" t="s">
        <v>2331</v>
      </c>
      <c r="H811" s="219" t="s">
        <v>530</v>
      </c>
      <c r="I811" s="110" t="str">
        <f>VLOOKUP(H811, 'RM &amp; SF'!B:H, 2, 0)</f>
        <v>خبز صاج</v>
      </c>
      <c r="J811" s="184" t="str">
        <f>VLOOKUP(H811, 'RM &amp; SF'!B:E, 4, 0)</f>
        <v>غم</v>
      </c>
      <c r="K811" s="12">
        <v>200</v>
      </c>
      <c r="L811" s="13">
        <f>VLOOKUP(H811, 'RM &amp; SF'!B:H, 7, 0)</f>
        <v>1.8806451612903227E-4</v>
      </c>
      <c r="M811" s="7">
        <f t="shared" si="51"/>
        <v>3.7612903225806453E-2</v>
      </c>
      <c r="N811" s="4" t="s">
        <v>825</v>
      </c>
      <c r="O811" s="4">
        <f>VLOOKUP(B811, 'All Menu'!B:L, 6, 0)</f>
        <v>3.4482758620689657</v>
      </c>
      <c r="P811" s="6">
        <f>VLOOKUP(B811, 'All Menu'!B:L, 9, 0)</f>
        <v>1.6512612694937623</v>
      </c>
      <c r="Q811" s="14">
        <f>VLOOKUP(B811, 'All Menu'!B:M, 12, 0)</f>
        <v>0.52113423184680896</v>
      </c>
      <c r="R811" s="173">
        <f t="shared" si="52"/>
        <v>0</v>
      </c>
    </row>
    <row r="812" spans="1:18" ht="14" hidden="1">
      <c r="A812" s="78" t="s">
        <v>2527</v>
      </c>
      <c r="B812" s="220" t="s">
        <v>1134</v>
      </c>
      <c r="C812" s="185"/>
      <c r="D812" s="103" t="str">
        <f>VLOOKUP(B812, 'All Menu'!B:M, 4, 0)</f>
        <v>بيض غنم مشوي</v>
      </c>
      <c r="E812" s="30" t="str">
        <f>VLOOKUP(B812, 'All Menu'!B:M, 2, 0)</f>
        <v>قسم الصالة</v>
      </c>
      <c r="F812" s="103" t="str">
        <f>VLOOKUP(B812, 'All Menu'!B:M, 3, 0)</f>
        <v>المشاوي صالة</v>
      </c>
      <c r="G812" s="90" t="s">
        <v>2215</v>
      </c>
      <c r="H812" s="188">
        <v>4224</v>
      </c>
      <c r="I812" s="110" t="str">
        <f>VLOOKUP(H812, 'RM &amp; SF'!B:H, 2, 0)</f>
        <v>سماق*****</v>
      </c>
      <c r="J812" s="184" t="str">
        <f>VLOOKUP(H812, 'RM &amp; SF'!B:E, 4, 0)</f>
        <v>غم</v>
      </c>
      <c r="K812" s="12">
        <v>3</v>
      </c>
      <c r="L812" s="13">
        <f>VLOOKUP(H812, 'RM &amp; SF'!B:H, 7, 0)</f>
        <v>4.3099999999999996E-3</v>
      </c>
      <c r="M812" s="7">
        <f t="shared" si="51"/>
        <v>1.2929999999999999E-2</v>
      </c>
      <c r="N812" s="4" t="s">
        <v>825</v>
      </c>
      <c r="O812" s="4">
        <f>VLOOKUP(B812, 'All Menu'!B:L, 6, 0)</f>
        <v>3.4482758620689657</v>
      </c>
      <c r="P812" s="6">
        <f>VLOOKUP(B812, 'All Menu'!B:L, 9, 0)</f>
        <v>1.6512612694937623</v>
      </c>
      <c r="Q812" s="14">
        <f>VLOOKUP(B812, 'All Menu'!B:M, 12, 0)</f>
        <v>0.52113423184680896</v>
      </c>
      <c r="R812" s="173">
        <f t="shared" si="52"/>
        <v>0</v>
      </c>
    </row>
    <row r="813" spans="1:18" ht="14" hidden="1">
      <c r="A813" s="78" t="s">
        <v>2528</v>
      </c>
      <c r="B813" s="220" t="s">
        <v>1135</v>
      </c>
      <c r="C813" s="185"/>
      <c r="D813" s="103" t="str">
        <f>VLOOKUP(B813, 'All Menu'!B:M, 4, 0)</f>
        <v>عرايس ارميني</v>
      </c>
      <c r="E813" s="30" t="str">
        <f>VLOOKUP(B813, 'All Menu'!B:M, 2, 0)</f>
        <v>قسم الصالة</v>
      </c>
      <c r="F813" s="103" t="str">
        <f>VLOOKUP(B813, 'All Menu'!B:M, 3, 0)</f>
        <v>المشاوي صالة</v>
      </c>
      <c r="G813" s="90" t="s">
        <v>2225</v>
      </c>
      <c r="H813" s="188">
        <v>4991</v>
      </c>
      <c r="I813" s="110" t="str">
        <f>VLOOKUP(H813, 'RM &amp; SF'!B:H, 2, 0)</f>
        <v>خبز عربي (خبز لبناني) صغير*****</v>
      </c>
      <c r="J813" s="184" t="str">
        <f>VLOOKUP(H813, 'RM &amp; SF'!B:E, 4, 0)</f>
        <v>غم</v>
      </c>
      <c r="K813" s="12">
        <v>200</v>
      </c>
      <c r="L813" s="13">
        <f>VLOOKUP(H813, 'RM &amp; SF'!B:H, 7, 0)</f>
        <v>3.2000000000000003E-4</v>
      </c>
      <c r="M813" s="7">
        <f t="shared" si="51"/>
        <v>6.4000000000000001E-2</v>
      </c>
      <c r="N813" s="4" t="s">
        <v>825</v>
      </c>
      <c r="O813" s="4">
        <f>VLOOKUP(B813, 'All Menu'!B:L, 6, 0)</f>
        <v>3.2327586206896552</v>
      </c>
      <c r="P813" s="6">
        <f>VLOOKUP(B813, 'All Menu'!B:L, 9, 0)</f>
        <v>0.76029620253164554</v>
      </c>
      <c r="Q813" s="14">
        <f>VLOOKUP(B813, 'All Menu'!B:M, 12, 0)</f>
        <v>0.76481504135021094</v>
      </c>
      <c r="R813" s="173">
        <f t="shared" si="52"/>
        <v>0</v>
      </c>
    </row>
    <row r="814" spans="1:18" ht="14" hidden="1">
      <c r="A814" s="78" t="s">
        <v>2528</v>
      </c>
      <c r="B814" s="220" t="s">
        <v>1135</v>
      </c>
      <c r="C814" s="185"/>
      <c r="D814" s="103" t="str">
        <f>VLOOKUP(B814, 'All Menu'!B:M, 4, 0)</f>
        <v>عرايس ارميني</v>
      </c>
      <c r="E814" s="30" t="str">
        <f>VLOOKUP(B814, 'All Menu'!B:M, 2, 0)</f>
        <v>قسم الصالة</v>
      </c>
      <c r="F814" s="103" t="str">
        <f>VLOOKUP(B814, 'All Menu'!B:M, 3, 0)</f>
        <v>المشاوي صالة</v>
      </c>
      <c r="G814" s="90" t="s">
        <v>2239</v>
      </c>
      <c r="H814" s="188">
        <v>4513</v>
      </c>
      <c r="I814" s="110" t="str">
        <f>VLOOKUP(H814, 'RM &amp; SF'!B:H, 2, 0)</f>
        <v>ليمون اصفر*****</v>
      </c>
      <c r="J814" s="184" t="str">
        <f>VLOOKUP(H814, 'RM &amp; SF'!B:E, 4, 0)</f>
        <v>غم</v>
      </c>
      <c r="K814" s="12">
        <v>20</v>
      </c>
      <c r="L814" s="13">
        <f>VLOOKUP(H814, 'RM &amp; SF'!B:H, 7, 0)</f>
        <v>1.75E-3</v>
      </c>
      <c r="M814" s="7">
        <f t="shared" si="51"/>
        <v>3.5000000000000003E-2</v>
      </c>
      <c r="N814" s="4" t="s">
        <v>825</v>
      </c>
      <c r="O814" s="4">
        <f>VLOOKUP(B814, 'All Menu'!B:L, 6, 0)</f>
        <v>3.2327586206896552</v>
      </c>
      <c r="P814" s="6">
        <f>VLOOKUP(B814, 'All Menu'!B:L, 9, 0)</f>
        <v>0.76029620253164554</v>
      </c>
      <c r="Q814" s="14">
        <f>VLOOKUP(B814, 'All Menu'!B:M, 12, 0)</f>
        <v>0.76481504135021094</v>
      </c>
      <c r="R814" s="173">
        <f t="shared" si="52"/>
        <v>0</v>
      </c>
    </row>
    <row r="815" spans="1:18" ht="14" hidden="1">
      <c r="A815" s="78" t="s">
        <v>2528</v>
      </c>
      <c r="B815" s="220" t="s">
        <v>1135</v>
      </c>
      <c r="C815" s="185"/>
      <c r="D815" s="103" t="str">
        <f>VLOOKUP(B815, 'All Menu'!B:M, 4, 0)</f>
        <v>عرايس ارميني</v>
      </c>
      <c r="E815" s="30" t="str">
        <f>VLOOKUP(B815, 'All Menu'!B:M, 2, 0)</f>
        <v>قسم الصالة</v>
      </c>
      <c r="F815" s="103" t="str">
        <f>VLOOKUP(B815, 'All Menu'!B:M, 3, 0)</f>
        <v>المشاوي صالة</v>
      </c>
      <c r="G815" s="90" t="s">
        <v>2231</v>
      </c>
      <c r="H815" s="188">
        <v>4499</v>
      </c>
      <c r="I815" s="110" t="str">
        <f>VLOOKUP(H815, 'RM &amp; SF'!B:H, 2, 0)</f>
        <v>فلفل حار اخضر*****</v>
      </c>
      <c r="J815" s="184" t="str">
        <f>VLOOKUP(H815, 'RM &amp; SF'!B:E, 4, 0)</f>
        <v>غم</v>
      </c>
      <c r="K815" s="12">
        <v>20</v>
      </c>
      <c r="L815" s="13">
        <f>VLOOKUP(H815, 'RM &amp; SF'!B:H, 7, 0)</f>
        <v>5.0000000000000001E-4</v>
      </c>
      <c r="M815" s="7">
        <f t="shared" si="51"/>
        <v>0.01</v>
      </c>
      <c r="N815" s="4" t="s">
        <v>825</v>
      </c>
      <c r="O815" s="4">
        <f>VLOOKUP(B815, 'All Menu'!B:L, 6, 0)</f>
        <v>3.2327586206896552</v>
      </c>
      <c r="P815" s="6">
        <f>VLOOKUP(B815, 'All Menu'!B:L, 9, 0)</f>
        <v>0.76029620253164554</v>
      </c>
      <c r="Q815" s="14">
        <f>VLOOKUP(B815, 'All Menu'!B:M, 12, 0)</f>
        <v>0.76481504135021094</v>
      </c>
      <c r="R815" s="173">
        <f t="shared" si="52"/>
        <v>0</v>
      </c>
    </row>
    <row r="816" spans="1:18" ht="14" hidden="1">
      <c r="A816" s="78" t="s">
        <v>2528</v>
      </c>
      <c r="B816" s="220" t="s">
        <v>1135</v>
      </c>
      <c r="C816" s="185"/>
      <c r="D816" s="103" t="str">
        <f>VLOOKUP(B816, 'All Menu'!B:M, 4, 0)</f>
        <v>عرايس ارميني</v>
      </c>
      <c r="E816" s="30" t="str">
        <f>VLOOKUP(B816, 'All Menu'!B:M, 2, 0)</f>
        <v>قسم الصالة</v>
      </c>
      <c r="F816" s="103" t="str">
        <f>VLOOKUP(B816, 'All Menu'!B:M, 3, 0)</f>
        <v>المشاوي صالة</v>
      </c>
      <c r="G816" s="90" t="s">
        <v>2336</v>
      </c>
      <c r="H816" s="219" t="s">
        <v>496</v>
      </c>
      <c r="I816" s="110" t="str">
        <f>VLOOKUP(H816, 'RM &amp; SF'!B:H, 2, 0)</f>
        <v>لحمة عرايس</v>
      </c>
      <c r="J816" s="184" t="str">
        <f>VLOOKUP(H816, 'RM &amp; SF'!B:E, 4, 0)</f>
        <v>غم</v>
      </c>
      <c r="K816" s="12">
        <v>240</v>
      </c>
      <c r="L816" s="13">
        <f>VLOOKUP(H816, 'RM &amp; SF'!B:H, 7, 0)</f>
        <v>2.7137341772151898E-3</v>
      </c>
      <c r="M816" s="7">
        <f t="shared" si="51"/>
        <v>0.65129620253164555</v>
      </c>
      <c r="N816" s="4" t="s">
        <v>825</v>
      </c>
      <c r="O816" s="4">
        <f>VLOOKUP(B816, 'All Menu'!B:L, 6, 0)</f>
        <v>3.2327586206896552</v>
      </c>
      <c r="P816" s="6">
        <f>VLOOKUP(B816, 'All Menu'!B:L, 9, 0)</f>
        <v>0.76029620253164554</v>
      </c>
      <c r="Q816" s="14">
        <f>VLOOKUP(B816, 'All Menu'!B:M, 12, 0)</f>
        <v>0.76481504135021094</v>
      </c>
      <c r="R816" s="173">
        <f t="shared" si="52"/>
        <v>0</v>
      </c>
    </row>
    <row r="817" spans="1:18" ht="14" hidden="1">
      <c r="A817" s="78" t="s">
        <v>2538</v>
      </c>
      <c r="B817" s="220" t="s">
        <v>1138</v>
      </c>
      <c r="C817" s="185"/>
      <c r="D817" s="30" t="str">
        <f>VLOOKUP(B817, 'All Menu'!B:M, 4, 0)</f>
        <v>سيخ لية</v>
      </c>
      <c r="E817" s="30" t="str">
        <f>VLOOKUP(B817, 'All Menu'!B:M, 2, 0)</f>
        <v>قسم الصالة</v>
      </c>
      <c r="F817" s="103" t="str">
        <f>VLOOKUP(B817, 'All Menu'!B:M, 3, 0)</f>
        <v>المشاوي صالة</v>
      </c>
      <c r="G817" s="90" t="s">
        <v>3058</v>
      </c>
      <c r="H817" s="188">
        <v>4598</v>
      </c>
      <c r="I817" s="110" t="str">
        <f>VLOOKUP(H817, 'RM &amp; SF'!B:H, 2, 0)</f>
        <v>لية خروف نية*****</v>
      </c>
      <c r="J817" s="184" t="str">
        <f>VLOOKUP(H817, 'RM &amp; SF'!B:E, 4, 0)</f>
        <v>غم</v>
      </c>
      <c r="K817" s="12">
        <v>100</v>
      </c>
      <c r="L817" s="13">
        <f>VLOOKUP(H817, 'RM &amp; SF'!B:H, 7, 0)</f>
        <v>5.0000000000000001E-3</v>
      </c>
      <c r="M817" s="7">
        <f t="shared" si="51"/>
        <v>0.5</v>
      </c>
      <c r="N817" s="4" t="s">
        <v>825</v>
      </c>
      <c r="O817" s="4">
        <f>VLOOKUP(B817, 'All Menu'!B:L, 6, 0)</f>
        <v>1.8965517241379313</v>
      </c>
      <c r="P817" s="6">
        <f>VLOOKUP(B817, 'All Menu'!B:L, 9, 0)</f>
        <v>0.5</v>
      </c>
      <c r="Q817" s="14">
        <f>VLOOKUP(B817, 'All Menu'!B:M, 12, 0)</f>
        <v>0.73636363636363644</v>
      </c>
      <c r="R817" s="173">
        <f t="shared" si="52"/>
        <v>0</v>
      </c>
    </row>
    <row r="818" spans="1:18" ht="14" hidden="1">
      <c r="A818" s="78" t="s">
        <v>2589</v>
      </c>
      <c r="B818" s="220" t="s">
        <v>1151</v>
      </c>
      <c r="C818" s="185"/>
      <c r="D818" s="103" t="str">
        <f>VLOOKUP(B818, 'All Menu'!B:M, 4, 0)</f>
        <v>شوربة الذرة</v>
      </c>
      <c r="E818" s="30" t="str">
        <f>VLOOKUP(B818, 'All Menu'!B:M, 2, 0)</f>
        <v>قسم الصالة</v>
      </c>
      <c r="F818" s="103" t="str">
        <f>VLOOKUP(B818, 'All Menu'!B:M, 3, 0)</f>
        <v>شوربات صالة</v>
      </c>
      <c r="G818" s="90" t="s">
        <v>2427</v>
      </c>
      <c r="H818" s="219" t="s">
        <v>634</v>
      </c>
      <c r="I818" s="110" t="str">
        <f>VLOOKUP(H818, 'RM &amp; SF'!B:H, 2, 0)</f>
        <v xml:space="preserve">شوربة ذرة </v>
      </c>
      <c r="J818" s="184" t="str">
        <f>VLOOKUP(H818, 'RM &amp; SF'!B:E, 4, 0)</f>
        <v>غم</v>
      </c>
      <c r="K818" s="12">
        <v>450</v>
      </c>
      <c r="L818" s="13">
        <f>VLOOKUP(H818, 'RM &amp; SF'!B:H, 7, 0)</f>
        <v>1.1818589655172415E-3</v>
      </c>
      <c r="M818" s="7">
        <f t="shared" si="51"/>
        <v>0.53183653448275869</v>
      </c>
      <c r="N818" s="4" t="s">
        <v>825</v>
      </c>
      <c r="O818" s="4">
        <f>VLOOKUP(B818, 'All Menu'!B:L, 6, 0)</f>
        <v>2.3706896551724141</v>
      </c>
      <c r="P818" s="6">
        <f>VLOOKUP(B818, 'All Menu'!B:L, 9, 0)</f>
        <v>0.53183653448275869</v>
      </c>
      <c r="Q818" s="14">
        <f>VLOOKUP(B818, 'All Menu'!B:M, 12, 0)</f>
        <v>0.77566168000000002</v>
      </c>
      <c r="R818" s="173">
        <f t="shared" si="52"/>
        <v>0</v>
      </c>
    </row>
    <row r="819" spans="1:18" ht="14" hidden="1">
      <c r="A819" s="78" t="s">
        <v>2539</v>
      </c>
      <c r="B819" s="220" t="s">
        <v>1152</v>
      </c>
      <c r="C819" s="185"/>
      <c r="D819" s="103" t="str">
        <f>VLOOKUP(B819, 'All Menu'!B:M, 4, 0)</f>
        <v>مشروبات غازية</v>
      </c>
      <c r="E819" s="30" t="str">
        <f>VLOOKUP(B819, 'All Menu'!B:M, 2, 0)</f>
        <v>قسم الصالة</v>
      </c>
      <c r="F819" s="103" t="str">
        <f>VLOOKUP(B819, 'All Menu'!B:M, 3, 0)</f>
        <v>باريستا صالة</v>
      </c>
      <c r="G819" s="90" t="s">
        <v>3058</v>
      </c>
      <c r="H819" s="188">
        <v>4168</v>
      </c>
      <c r="I819" s="110" t="str">
        <f>VLOOKUP(H819, 'RM &amp; SF'!B:H, 2, 0)</f>
        <v>مشروب غازي ماتركس 250 مل*****</v>
      </c>
      <c r="J819" s="184" t="str">
        <f>VLOOKUP(H819, 'RM &amp; SF'!B:E, 4, 0)</f>
        <v>قطعة</v>
      </c>
      <c r="K819" s="12">
        <v>1</v>
      </c>
      <c r="L819" s="13">
        <f>VLOOKUP(H819, 'RM &amp; SF'!B:H, 7, 0)</f>
        <v>0.13741666666666666</v>
      </c>
      <c r="M819" s="7">
        <f t="shared" si="51"/>
        <v>0.13741666666666666</v>
      </c>
      <c r="N819" s="4" t="s">
        <v>825</v>
      </c>
      <c r="O819" s="4">
        <f>VLOOKUP(B819, 'All Menu'!B:L, 6, 0)</f>
        <v>0.73275862068965525</v>
      </c>
      <c r="P819" s="6">
        <f>VLOOKUP(B819, 'All Menu'!B:L, 9, 0)</f>
        <v>0.13741666666666666</v>
      </c>
      <c r="Q819" s="14">
        <f>VLOOKUP(B819, 'All Menu'!B:M, 12, 0)</f>
        <v>0.81246666666666678</v>
      </c>
      <c r="R819" s="173">
        <f t="shared" si="52"/>
        <v>0</v>
      </c>
    </row>
    <row r="820" spans="1:18" ht="14" hidden="1">
      <c r="A820" s="78" t="s">
        <v>2540</v>
      </c>
      <c r="B820" s="220" t="s">
        <v>1153</v>
      </c>
      <c r="C820" s="185"/>
      <c r="D820" s="103" t="str">
        <f>VLOOKUP(B820, 'All Menu'!B:M, 4, 0)</f>
        <v>مياه معدنية</v>
      </c>
      <c r="E820" s="30" t="str">
        <f>VLOOKUP(B820, 'All Menu'!B:M, 2, 0)</f>
        <v>قسم الصالة</v>
      </c>
      <c r="F820" s="103" t="str">
        <f>VLOOKUP(B820, 'All Menu'!B:M, 3, 0)</f>
        <v>باريستا صالة</v>
      </c>
      <c r="G820" s="90" t="s">
        <v>2285</v>
      </c>
      <c r="H820" s="188">
        <v>4169</v>
      </c>
      <c r="I820" s="110" t="str">
        <f>VLOOKUP(H820, 'RM &amp; SF'!B:H, 2, 0)</f>
        <v>مياه معدنية مطبوع 500 مل*****</v>
      </c>
      <c r="J820" s="184" t="str">
        <f>VLOOKUP(H820, 'RM &amp; SF'!B:E, 4, 0)</f>
        <v>قطعة</v>
      </c>
      <c r="K820" s="12">
        <v>1</v>
      </c>
      <c r="L820" s="13">
        <f>VLOOKUP(H820, 'RM &amp; SF'!B:H, 7, 0)</f>
        <v>8.9833333333333334E-2</v>
      </c>
      <c r="M820" s="7">
        <f t="shared" si="51"/>
        <v>8.9833333333333334E-2</v>
      </c>
      <c r="N820" s="4" t="s">
        <v>825</v>
      </c>
      <c r="O820" s="4">
        <f>VLOOKUP(B820, 'All Menu'!B:L, 6, 0)</f>
        <v>0.73275862068965525</v>
      </c>
      <c r="P820" s="6">
        <f>VLOOKUP(B820, 'All Menu'!B:L, 9, 0)</f>
        <v>8.9833333333333334E-2</v>
      </c>
      <c r="Q820" s="14">
        <f>VLOOKUP(B820, 'All Menu'!B:M, 12, 0)</f>
        <v>0.87740392156862745</v>
      </c>
      <c r="R820" s="173">
        <f t="shared" si="52"/>
        <v>0</v>
      </c>
    </row>
    <row r="821" spans="1:18" ht="14" hidden="1">
      <c r="A821" s="78" t="s">
        <v>2298</v>
      </c>
      <c r="B821" s="220" t="s">
        <v>1154</v>
      </c>
      <c r="C821" s="185"/>
      <c r="D821" s="103" t="str">
        <f>VLOOKUP(B821, 'All Menu'!B:M, 4, 0)</f>
        <v>لبن عيران</v>
      </c>
      <c r="E821" s="30" t="str">
        <f>VLOOKUP(B821, 'All Menu'!B:M, 2, 0)</f>
        <v>قسم الصالة</v>
      </c>
      <c r="F821" s="103" t="str">
        <f>VLOOKUP(B821, 'All Menu'!B:M, 3, 0)</f>
        <v>باريستا صالة</v>
      </c>
      <c r="G821" s="90" t="s">
        <v>2171</v>
      </c>
      <c r="H821" s="188">
        <v>4553</v>
      </c>
      <c r="I821" s="110" t="str">
        <f>VLOOKUP(H821, 'RM &amp; SF'!B:H, 2, 0)</f>
        <v>لبن مخيض 18 كغ*****</v>
      </c>
      <c r="J821" s="184" t="str">
        <f>VLOOKUP(H821, 'RM &amp; SF'!B:E, 4, 0)</f>
        <v>مل</v>
      </c>
      <c r="K821" s="12">
        <v>300</v>
      </c>
      <c r="L821" s="13">
        <f>VLOOKUP(H821, 'RM &amp; SF'!B:H, 7, 0)</f>
        <v>4.1999999999999996E-4</v>
      </c>
      <c r="M821" s="7">
        <f t="shared" si="51"/>
        <v>0.126</v>
      </c>
      <c r="N821" s="4" t="s">
        <v>825</v>
      </c>
      <c r="O821" s="4">
        <f>VLOOKUP(B821, 'All Menu'!B:L, 6, 0)</f>
        <v>1.163793103448276</v>
      </c>
      <c r="P821" s="6">
        <f>VLOOKUP(B821, 'All Menu'!B:L, 9, 0)</f>
        <v>0.126</v>
      </c>
      <c r="Q821" s="14">
        <f>VLOOKUP(B821, 'All Menu'!B:M, 12, 0)</f>
        <v>0.89173333333333327</v>
      </c>
      <c r="R821" s="173">
        <f t="shared" si="52"/>
        <v>0</v>
      </c>
    </row>
    <row r="822" spans="1:18" ht="14" hidden="1">
      <c r="A822" s="78" t="s">
        <v>2622</v>
      </c>
      <c r="B822" s="220" t="s">
        <v>1158</v>
      </c>
      <c r="C822" s="185"/>
      <c r="D822" s="103" t="str">
        <f>VLOOKUP(B822, 'All Menu'!B:M, 4, 0)</f>
        <v>رقبة محشية</v>
      </c>
      <c r="E822" s="30" t="str">
        <f>VLOOKUP(B822, 'All Menu'!B:M, 2, 0)</f>
        <v>قسم الصالة</v>
      </c>
      <c r="F822" s="103" t="str">
        <f>VLOOKUP(B822, 'All Menu'!B:M, 3, 0)</f>
        <v>اطباق اليوم صالة</v>
      </c>
      <c r="G822" s="90" t="s">
        <v>3058</v>
      </c>
      <c r="H822" s="188">
        <v>4605</v>
      </c>
      <c r="I822" s="110" t="str">
        <f>VLOOKUP(H822, 'RM &amp; SF'!B:H, 2, 0)</f>
        <v>رقاب خروف نية*****</v>
      </c>
      <c r="J822" s="184" t="str">
        <f>VLOOKUP(H822, 'RM &amp; SF'!B:E, 4, 0)</f>
        <v>غم</v>
      </c>
      <c r="K822" s="12">
        <v>750</v>
      </c>
      <c r="L822" s="13">
        <f>VLOOKUP(H822, 'RM &amp; SF'!B:H, 7, 0)</f>
        <v>1.1615493158849017E-2</v>
      </c>
      <c r="M822" s="7">
        <f t="shared" si="51"/>
        <v>8.7116198691367632</v>
      </c>
      <c r="N822" s="4" t="s">
        <v>825</v>
      </c>
      <c r="O822" s="4">
        <f>VLOOKUP(B822, 'All Menu'!B:L, 6, 0)</f>
        <v>18.965517241379313</v>
      </c>
      <c r="P822" s="6">
        <f>VLOOKUP(B822, 'All Menu'!B:L, 9, 0)</f>
        <v>11.051661097840464</v>
      </c>
      <c r="Q822" s="14">
        <f>VLOOKUP(B822, 'All Menu'!B:M, 12, 0)</f>
        <v>0.41727605120477562</v>
      </c>
      <c r="R822" s="173">
        <f t="shared" si="52"/>
        <v>0</v>
      </c>
    </row>
    <row r="823" spans="1:18" ht="14" hidden="1">
      <c r="A823" s="78" t="s">
        <v>2622</v>
      </c>
      <c r="B823" s="220" t="s">
        <v>1158</v>
      </c>
      <c r="C823" s="185"/>
      <c r="D823" s="103" t="str">
        <f>VLOOKUP(B823, 'All Menu'!B:M, 4, 0)</f>
        <v>رقبة محشية</v>
      </c>
      <c r="E823" s="30" t="str">
        <f>VLOOKUP(B823, 'All Menu'!B:M, 2, 0)</f>
        <v>قسم الصالة</v>
      </c>
      <c r="F823" s="103" t="str">
        <f>VLOOKUP(B823, 'All Menu'!B:M, 3, 0)</f>
        <v>اطباق اليوم صالة</v>
      </c>
      <c r="G823" s="90" t="s">
        <v>2260</v>
      </c>
      <c r="H823" s="188">
        <v>4160</v>
      </c>
      <c r="I823" s="110" t="str">
        <f>VLOOKUP(H823, 'RM &amp; SF'!B:H, 2, 0)</f>
        <v>زيت صويا 18 لتر*****</v>
      </c>
      <c r="J823" s="184" t="str">
        <f>VLOOKUP(H823, 'RM &amp; SF'!B:E, 4, 0)</f>
        <v>مل</v>
      </c>
      <c r="K823" s="12">
        <v>100</v>
      </c>
      <c r="L823" s="13">
        <f>VLOOKUP(H823, 'RM &amp; SF'!B:H, 7, 0)</f>
        <v>1.335E-3</v>
      </c>
      <c r="M823" s="7">
        <f t="shared" si="51"/>
        <v>0.13350000000000001</v>
      </c>
      <c r="N823" s="4" t="s">
        <v>825</v>
      </c>
      <c r="O823" s="4">
        <f>VLOOKUP(B823, 'All Menu'!B:L, 6, 0)</f>
        <v>18.965517241379313</v>
      </c>
      <c r="P823" s="6">
        <f>VLOOKUP(B823, 'All Menu'!B:L, 9, 0)</f>
        <v>11.051661097840464</v>
      </c>
      <c r="Q823" s="14">
        <f>VLOOKUP(B823, 'All Menu'!B:M, 12, 0)</f>
        <v>0.41727605120477562</v>
      </c>
      <c r="R823" s="173">
        <f t="shared" si="52"/>
        <v>0</v>
      </c>
    </row>
    <row r="824" spans="1:18" ht="14" hidden="1">
      <c r="A824" s="78" t="s">
        <v>2622</v>
      </c>
      <c r="B824" s="220" t="s">
        <v>1158</v>
      </c>
      <c r="C824" s="185"/>
      <c r="D824" s="103" t="str">
        <f>VLOOKUP(B824, 'All Menu'!B:M, 4, 0)</f>
        <v>رقبة محشية</v>
      </c>
      <c r="E824" s="30" t="str">
        <f>VLOOKUP(B824, 'All Menu'!B:M, 2, 0)</f>
        <v>قسم الصالة</v>
      </c>
      <c r="F824" s="103" t="str">
        <f>VLOOKUP(B824, 'All Menu'!B:M, 3, 0)</f>
        <v>اطباق اليوم صالة</v>
      </c>
      <c r="G824" s="90" t="s">
        <v>2281</v>
      </c>
      <c r="H824" s="188">
        <v>4133</v>
      </c>
      <c r="I824" s="110" t="str">
        <f>VLOOKUP(H824, 'RM &amp; SF'!B:H, 2, 0)</f>
        <v>ارز بسمتي ذهبي*****</v>
      </c>
      <c r="J824" s="184" t="str">
        <f>VLOOKUP(H824, 'RM &amp; SF'!B:E, 4, 0)</f>
        <v>غم</v>
      </c>
      <c r="K824" s="12">
        <v>300</v>
      </c>
      <c r="L824" s="13">
        <f>VLOOKUP(H824, 'RM &amp; SF'!B:H, 7, 0)</f>
        <v>1.1000000000000001E-3</v>
      </c>
      <c r="M824" s="7">
        <f t="shared" si="51"/>
        <v>0.33</v>
      </c>
      <c r="N824" s="4" t="s">
        <v>825</v>
      </c>
      <c r="O824" s="4">
        <f>VLOOKUP(B824, 'All Menu'!B:L, 6, 0)</f>
        <v>18.965517241379313</v>
      </c>
      <c r="P824" s="6">
        <f>VLOOKUP(B824, 'All Menu'!B:L, 9, 0)</f>
        <v>11.051661097840464</v>
      </c>
      <c r="Q824" s="14">
        <f>VLOOKUP(B824, 'All Menu'!B:M, 12, 0)</f>
        <v>0.41727605120477562</v>
      </c>
      <c r="R824" s="173">
        <f t="shared" si="52"/>
        <v>0</v>
      </c>
    </row>
    <row r="825" spans="1:18" ht="14" hidden="1">
      <c r="A825" s="78" t="s">
        <v>2622</v>
      </c>
      <c r="B825" s="220" t="s">
        <v>1158</v>
      </c>
      <c r="C825" s="185"/>
      <c r="D825" s="103" t="str">
        <f>VLOOKUP(B825, 'All Menu'!B:M, 4, 0)</f>
        <v>رقبة محشية</v>
      </c>
      <c r="E825" s="30" t="str">
        <f>VLOOKUP(B825, 'All Menu'!B:M, 2, 0)</f>
        <v>قسم الصالة</v>
      </c>
      <c r="F825" s="103" t="str">
        <f>VLOOKUP(B825, 'All Menu'!B:M, 3, 0)</f>
        <v>اطباق اليوم صالة</v>
      </c>
      <c r="G825" s="90" t="s">
        <v>2218</v>
      </c>
      <c r="H825" s="188">
        <v>4233</v>
      </c>
      <c r="I825" s="110" t="str">
        <f>VLOOKUP(H825, 'RM &amp; SF'!B:H, 2, 0)</f>
        <v>هال ناعم*****</v>
      </c>
      <c r="J825" s="184" t="str">
        <f>VLOOKUP(H825, 'RM &amp; SF'!B:E, 4, 0)</f>
        <v>غم</v>
      </c>
      <c r="K825" s="12">
        <v>5</v>
      </c>
      <c r="L825" s="13">
        <f>VLOOKUP(H825, 'RM &amp; SF'!B:H, 7, 0)</f>
        <v>2.3E-2</v>
      </c>
      <c r="M825" s="7">
        <f t="shared" si="51"/>
        <v>0.11499999999999999</v>
      </c>
      <c r="N825" s="4" t="s">
        <v>825</v>
      </c>
      <c r="O825" s="4">
        <f>VLOOKUP(B825, 'All Menu'!B:L, 6, 0)</f>
        <v>18.965517241379313</v>
      </c>
      <c r="P825" s="6">
        <f>VLOOKUP(B825, 'All Menu'!B:L, 9, 0)</f>
        <v>11.051661097840464</v>
      </c>
      <c r="Q825" s="14">
        <f>VLOOKUP(B825, 'All Menu'!B:M, 12, 0)</f>
        <v>0.41727605120477562</v>
      </c>
      <c r="R825" s="173">
        <f t="shared" si="52"/>
        <v>0</v>
      </c>
    </row>
    <row r="826" spans="1:18" ht="14" hidden="1">
      <c r="A826" s="78" t="s">
        <v>2622</v>
      </c>
      <c r="B826" s="220" t="s">
        <v>1158</v>
      </c>
      <c r="C826" s="185"/>
      <c r="D826" s="103" t="str">
        <f>VLOOKUP(B826, 'All Menu'!B:M, 4, 0)</f>
        <v>رقبة محشية</v>
      </c>
      <c r="E826" s="30" t="str">
        <f>VLOOKUP(B826, 'All Menu'!B:M, 2, 0)</f>
        <v>قسم الصالة</v>
      </c>
      <c r="F826" s="103" t="str">
        <f>VLOOKUP(B826, 'All Menu'!B:M, 3, 0)</f>
        <v>اطباق اليوم صالة</v>
      </c>
      <c r="G826" s="90" t="s">
        <v>2213</v>
      </c>
      <c r="H826" s="188">
        <v>4218</v>
      </c>
      <c r="I826" s="110" t="str">
        <f>VLOOKUP(H826, 'RM &amp; SF'!B:H, 2, 0)</f>
        <v>بهارات مشكلة*****</v>
      </c>
      <c r="J826" s="184" t="str">
        <f>VLOOKUP(H826, 'RM &amp; SF'!B:E, 4, 0)</f>
        <v>غم</v>
      </c>
      <c r="K826" s="12">
        <v>15</v>
      </c>
      <c r="L826" s="13">
        <f>VLOOKUP(H826, 'RM &amp; SF'!B:H, 7, 0)</f>
        <v>3.0169999999999997E-3</v>
      </c>
      <c r="M826" s="7">
        <f t="shared" si="51"/>
        <v>4.5254999999999997E-2</v>
      </c>
      <c r="N826" s="4" t="s">
        <v>825</v>
      </c>
      <c r="O826" s="4">
        <f>VLOOKUP(B826, 'All Menu'!B:L, 6, 0)</f>
        <v>18.965517241379313</v>
      </c>
      <c r="P826" s="6">
        <f>VLOOKUP(B826, 'All Menu'!B:L, 9, 0)</f>
        <v>11.051661097840464</v>
      </c>
      <c r="Q826" s="14">
        <f>VLOOKUP(B826, 'All Menu'!B:M, 12, 0)</f>
        <v>0.41727605120477562</v>
      </c>
      <c r="R826" s="173">
        <f t="shared" si="52"/>
        <v>0</v>
      </c>
    </row>
    <row r="827" spans="1:18" ht="14" hidden="1">
      <c r="A827" s="78" t="s">
        <v>2622</v>
      </c>
      <c r="B827" s="220" t="s">
        <v>1158</v>
      </c>
      <c r="C827" s="185"/>
      <c r="D827" s="103" t="str">
        <f>VLOOKUP(B827, 'All Menu'!B:M, 4, 0)</f>
        <v>رقبة محشية</v>
      </c>
      <c r="E827" s="30" t="str">
        <f>VLOOKUP(B827, 'All Menu'!B:M, 2, 0)</f>
        <v>قسم الصالة</v>
      </c>
      <c r="F827" s="103" t="str">
        <f>VLOOKUP(B827, 'All Menu'!B:M, 3, 0)</f>
        <v>اطباق اليوم صالة</v>
      </c>
      <c r="G827" s="90" t="s">
        <v>2206</v>
      </c>
      <c r="H827" s="188">
        <v>4204</v>
      </c>
      <c r="I827" s="110" t="str">
        <f>VLOOKUP(H827, 'RM &amp; SF'!B:H, 2, 0)</f>
        <v>فلفل اسود ناعم*****</v>
      </c>
      <c r="J827" s="184" t="str">
        <f>VLOOKUP(H827, 'RM &amp; SF'!B:E, 4, 0)</f>
        <v>غم</v>
      </c>
      <c r="K827" s="12">
        <v>5</v>
      </c>
      <c r="L827" s="13">
        <f>VLOOKUP(H827, 'RM &amp; SF'!B:H, 7, 0)</f>
        <v>6.8970000000000004E-3</v>
      </c>
      <c r="M827" s="7">
        <f t="shared" si="51"/>
        <v>3.4485000000000002E-2</v>
      </c>
      <c r="N827" s="4" t="s">
        <v>825</v>
      </c>
      <c r="O827" s="4">
        <f>VLOOKUP(B827, 'All Menu'!B:L, 6, 0)</f>
        <v>18.965517241379313</v>
      </c>
      <c r="P827" s="6">
        <f>VLOOKUP(B827, 'All Menu'!B:L, 9, 0)</f>
        <v>11.051661097840464</v>
      </c>
      <c r="Q827" s="14">
        <f>VLOOKUP(B827, 'All Menu'!B:M, 12, 0)</f>
        <v>0.41727605120477562</v>
      </c>
      <c r="R827" s="173">
        <f t="shared" si="52"/>
        <v>0</v>
      </c>
    </row>
    <row r="828" spans="1:18" ht="14" hidden="1">
      <c r="A828" s="78" t="s">
        <v>2622</v>
      </c>
      <c r="B828" s="220" t="s">
        <v>1158</v>
      </c>
      <c r="C828" s="185"/>
      <c r="D828" s="103" t="str">
        <f>VLOOKUP(B828, 'All Menu'!B:M, 4, 0)</f>
        <v>رقبة محشية</v>
      </c>
      <c r="E828" s="30" t="str">
        <f>VLOOKUP(B828, 'All Menu'!B:M, 2, 0)</f>
        <v>قسم الصالة</v>
      </c>
      <c r="F828" s="103" t="str">
        <f>VLOOKUP(B828, 'All Menu'!B:M, 3, 0)</f>
        <v>اطباق اليوم صالة</v>
      </c>
      <c r="G828" s="90" t="s">
        <v>2405</v>
      </c>
      <c r="H828" s="219" t="s">
        <v>494</v>
      </c>
      <c r="I828" s="110" t="str">
        <f>VLOOKUP(H828, 'RM &amp; SF'!B:H, 2, 0)</f>
        <v>لحمة مفرومة</v>
      </c>
      <c r="J828" s="184" t="str">
        <f>VLOOKUP(H828, 'RM &amp; SF'!B:E, 4, 0)</f>
        <v>غم</v>
      </c>
      <c r="K828" s="12">
        <v>200</v>
      </c>
      <c r="L828" s="13">
        <f>VLOOKUP(H828, 'RM &amp; SF'!B:H, 7, 0)</f>
        <v>7.2070000000000007E-3</v>
      </c>
      <c r="M828" s="7">
        <f t="shared" si="51"/>
        <v>1.4414000000000002</v>
      </c>
      <c r="N828" s="4" t="s">
        <v>825</v>
      </c>
      <c r="O828" s="4">
        <f>VLOOKUP(B828, 'All Menu'!B:L, 6, 0)</f>
        <v>18.965517241379313</v>
      </c>
      <c r="P828" s="6">
        <f>VLOOKUP(B828, 'All Menu'!B:L, 9, 0)</f>
        <v>11.051661097840464</v>
      </c>
      <c r="Q828" s="14">
        <f>VLOOKUP(B828, 'All Menu'!B:M, 12, 0)</f>
        <v>0.41727605120477562</v>
      </c>
      <c r="R828" s="173">
        <f t="shared" si="52"/>
        <v>0</v>
      </c>
    </row>
    <row r="829" spans="1:18" ht="14" hidden="1">
      <c r="A829" s="78" t="s">
        <v>2622</v>
      </c>
      <c r="B829" s="220" t="s">
        <v>1158</v>
      </c>
      <c r="C829" s="185"/>
      <c r="D829" s="103" t="str">
        <f>VLOOKUP(B829, 'All Menu'!B:M, 4, 0)</f>
        <v>رقبة محشية</v>
      </c>
      <c r="E829" s="30" t="str">
        <f>VLOOKUP(B829, 'All Menu'!B:M, 2, 0)</f>
        <v>قسم الصالة</v>
      </c>
      <c r="F829" s="103" t="str">
        <f>VLOOKUP(B829, 'All Menu'!B:M, 3, 0)</f>
        <v>اطباق اليوم صالة</v>
      </c>
      <c r="G829" s="90" t="s">
        <v>2377</v>
      </c>
      <c r="H829" s="219" t="s">
        <v>796</v>
      </c>
      <c r="I829" s="110" t="str">
        <f>VLOOKUP(H829, 'RM &amp; SF'!B:H, 2, 0)</f>
        <v>رز مبهر</v>
      </c>
      <c r="J829" s="184" t="str">
        <f>VLOOKUP(H829, 'RM &amp; SF'!B:E, 4, 0)</f>
        <v>غم</v>
      </c>
      <c r="K829" s="12">
        <v>200</v>
      </c>
      <c r="L829" s="13">
        <f>VLOOKUP(H829, 'RM &amp; SF'!B:H, 7, 0)</f>
        <v>8.1314491666666653E-4</v>
      </c>
      <c r="M829" s="7">
        <f t="shared" si="51"/>
        <v>0.16262898333333331</v>
      </c>
      <c r="N829" s="4" t="s">
        <v>825</v>
      </c>
      <c r="O829" s="4">
        <f>VLOOKUP(B829, 'All Menu'!B:L, 6, 0)</f>
        <v>18.965517241379313</v>
      </c>
      <c r="P829" s="6">
        <f>VLOOKUP(B829, 'All Menu'!B:L, 9, 0)</f>
        <v>11.051661097840464</v>
      </c>
      <c r="Q829" s="14">
        <f>VLOOKUP(B829, 'All Menu'!B:M, 12, 0)</f>
        <v>0.41727605120477562</v>
      </c>
      <c r="R829" s="173">
        <f t="shared" si="52"/>
        <v>0</v>
      </c>
    </row>
    <row r="830" spans="1:18" ht="14" hidden="1">
      <c r="A830" s="78" t="s">
        <v>2622</v>
      </c>
      <c r="B830" s="220" t="s">
        <v>1158</v>
      </c>
      <c r="C830" s="185"/>
      <c r="D830" s="103" t="str">
        <f>VLOOKUP(B830, 'All Menu'!B:M, 4, 0)</f>
        <v>رقبة محشية</v>
      </c>
      <c r="E830" s="30" t="str">
        <f>VLOOKUP(B830, 'All Menu'!B:M, 2, 0)</f>
        <v>قسم الصالة</v>
      </c>
      <c r="F830" s="103" t="str">
        <f>VLOOKUP(B830, 'All Menu'!B:M, 3, 0)</f>
        <v>اطباق اليوم صالة</v>
      </c>
      <c r="G830" s="90" t="s">
        <v>2170</v>
      </c>
      <c r="H830" s="188">
        <v>4552</v>
      </c>
      <c r="I830" s="110" t="str">
        <f>VLOOKUP(H830, 'RM &amp; SF'!B:H, 2, 0)</f>
        <v>لبن رايب 5 كغ*****</v>
      </c>
      <c r="J830" s="184" t="str">
        <f>VLOOKUP(H830, 'RM &amp; SF'!B:E, 4, 0)</f>
        <v>غم</v>
      </c>
      <c r="K830" s="12">
        <v>50</v>
      </c>
      <c r="L830" s="13">
        <f>VLOOKUP(H830, 'RM &amp; SF'!B:H, 7, 0)</f>
        <v>8.0000000000000004E-4</v>
      </c>
      <c r="M830" s="7">
        <f t="shared" si="51"/>
        <v>0.04</v>
      </c>
      <c r="N830" s="4" t="s">
        <v>825</v>
      </c>
      <c r="O830" s="4">
        <f>VLOOKUP(B830, 'All Menu'!B:L, 6, 0)</f>
        <v>18.965517241379313</v>
      </c>
      <c r="P830" s="6">
        <f>VLOOKUP(B830, 'All Menu'!B:L, 9, 0)</f>
        <v>11.051661097840464</v>
      </c>
      <c r="Q830" s="14">
        <f>VLOOKUP(B830, 'All Menu'!B:M, 12, 0)</f>
        <v>0.41727605120477562</v>
      </c>
      <c r="R830" s="173">
        <f t="shared" si="52"/>
        <v>0</v>
      </c>
    </row>
    <row r="831" spans="1:18" ht="14" hidden="1">
      <c r="A831" s="78" t="s">
        <v>2622</v>
      </c>
      <c r="B831" s="220" t="s">
        <v>1158</v>
      </c>
      <c r="C831" s="185"/>
      <c r="D831" s="103" t="str">
        <f>VLOOKUP(B831, 'All Menu'!B:M, 4, 0)</f>
        <v>رقبة محشية</v>
      </c>
      <c r="E831" s="30" t="str">
        <f>VLOOKUP(B831, 'All Menu'!B:M, 2, 0)</f>
        <v>قسم الصالة</v>
      </c>
      <c r="F831" s="103" t="str">
        <f>VLOOKUP(B831, 'All Menu'!B:M, 3, 0)</f>
        <v>اطباق اليوم صالة</v>
      </c>
      <c r="G831" s="90" t="s">
        <v>2329</v>
      </c>
      <c r="H831" s="219" t="s">
        <v>512</v>
      </c>
      <c r="I831" s="110" t="str">
        <f>VLOOKUP(H831, 'RM &amp; SF'!B:H, 2, 0)</f>
        <v>خلطة دقوس</v>
      </c>
      <c r="J831" s="184" t="str">
        <f>VLOOKUP(H831, 'RM &amp; SF'!B:E, 4, 0)</f>
        <v>غم</v>
      </c>
      <c r="K831" s="12">
        <v>50</v>
      </c>
      <c r="L831" s="13">
        <f>VLOOKUP(H831, 'RM &amp; SF'!B:H, 7, 0)</f>
        <v>7.5544490740740743E-4</v>
      </c>
      <c r="M831" s="7">
        <f t="shared" si="51"/>
        <v>3.7772245370370369E-2</v>
      </c>
      <c r="N831" s="4" t="s">
        <v>825</v>
      </c>
      <c r="O831" s="4">
        <f>VLOOKUP(B831, 'All Menu'!B:L, 6, 0)</f>
        <v>18.965517241379313</v>
      </c>
      <c r="P831" s="6">
        <f>VLOOKUP(B831, 'All Menu'!B:L, 9, 0)</f>
        <v>11.051661097840464</v>
      </c>
      <c r="Q831" s="14">
        <f>VLOOKUP(B831, 'All Menu'!B:M, 12, 0)</f>
        <v>0.41727605120477562</v>
      </c>
      <c r="R831" s="173">
        <f t="shared" si="52"/>
        <v>0</v>
      </c>
    </row>
    <row r="832" spans="1:18" ht="14" hidden="1">
      <c r="A832" s="78" t="s">
        <v>2570</v>
      </c>
      <c r="B832" s="220" t="s">
        <v>1162</v>
      </c>
      <c r="C832" s="185"/>
      <c r="D832" s="103" t="str">
        <f>VLOOKUP(B832, 'All Menu'!B:M, 4, 0)</f>
        <v>فيتوتشيني الفريدو</v>
      </c>
      <c r="E832" s="30" t="str">
        <f>VLOOKUP(B832, 'All Menu'!B:M, 2, 0)</f>
        <v>قسم الصالة</v>
      </c>
      <c r="F832" s="103" t="str">
        <f>VLOOKUP(B832, 'All Menu'!B:M, 3, 0)</f>
        <v>باستا صالة</v>
      </c>
      <c r="G832" s="90" t="s">
        <v>2178</v>
      </c>
      <c r="H832" s="188">
        <v>4623</v>
      </c>
      <c r="I832" s="110" t="str">
        <f>VLOOKUP(H832, 'RM &amp; SF'!B:H, 2, 0)</f>
        <v>زبدة مبسترة غير مملحة 1 كغ*****</v>
      </c>
      <c r="J832" s="184" t="str">
        <f>VLOOKUP(H832, 'RM &amp; SF'!B:E, 4, 0)</f>
        <v>غم</v>
      </c>
      <c r="K832" s="12">
        <v>20</v>
      </c>
      <c r="L832" s="13">
        <f>VLOOKUP(H832, 'RM &amp; SF'!B:H, 7, 0)</f>
        <v>2.8839999999999998E-3</v>
      </c>
      <c r="M832" s="7">
        <f t="shared" si="51"/>
        <v>5.7679999999999995E-2</v>
      </c>
      <c r="N832" s="4" t="s">
        <v>825</v>
      </c>
      <c r="O832" s="4">
        <f>VLOOKUP(B832, 'All Menu'!B:L, 6, 0)</f>
        <v>4.8706896551724146</v>
      </c>
      <c r="P832" s="6">
        <f>VLOOKUP(B832, 'All Menu'!B:L, 9, 0)</f>
        <v>1.6385478850574715</v>
      </c>
      <c r="Q832" s="14">
        <f>VLOOKUP(B832, 'All Menu'!B:M, 12, 0)</f>
        <v>0.6635901687315634</v>
      </c>
      <c r="R832" s="173">
        <f t="shared" si="52"/>
        <v>0</v>
      </c>
    </row>
    <row r="833" spans="1:18" ht="14" hidden="1">
      <c r="A833" s="78" t="s">
        <v>2570</v>
      </c>
      <c r="B833" s="220" t="s">
        <v>1162</v>
      </c>
      <c r="C833" s="185"/>
      <c r="D833" s="103" t="str">
        <f>VLOOKUP(B833, 'All Menu'!B:M, 4, 0)</f>
        <v>فيتوتشيني الفريدو</v>
      </c>
      <c r="E833" s="30" t="str">
        <f>VLOOKUP(B833, 'All Menu'!B:M, 2, 0)</f>
        <v>قسم الصالة</v>
      </c>
      <c r="F833" s="103" t="str">
        <f>VLOOKUP(B833, 'All Menu'!B:M, 3, 0)</f>
        <v>باستا صالة</v>
      </c>
      <c r="G833" s="90" t="s">
        <v>2234</v>
      </c>
      <c r="H833" s="188">
        <v>4503</v>
      </c>
      <c r="I833" s="110" t="str">
        <f>VLOOKUP(H833, 'RM &amp; SF'!B:H, 2, 0)</f>
        <v>بصل ناشف دفش*****</v>
      </c>
      <c r="J833" s="184" t="str">
        <f>VLOOKUP(H833, 'RM &amp; SF'!B:E, 4, 0)</f>
        <v>غم</v>
      </c>
      <c r="K833" s="12">
        <v>20</v>
      </c>
      <c r="L833" s="13">
        <f>VLOOKUP(H833, 'RM &amp; SF'!B:H, 7, 0)</f>
        <v>2.5000000000000001E-4</v>
      </c>
      <c r="M833" s="7">
        <f t="shared" si="51"/>
        <v>5.0000000000000001E-3</v>
      </c>
      <c r="N833" s="4" t="s">
        <v>825</v>
      </c>
      <c r="O833" s="4">
        <f>VLOOKUP(B833, 'All Menu'!B:L, 6, 0)</f>
        <v>4.8706896551724146</v>
      </c>
      <c r="P833" s="6">
        <f>VLOOKUP(B833, 'All Menu'!B:L, 9, 0)</f>
        <v>1.6385478850574715</v>
      </c>
      <c r="Q833" s="14">
        <f>VLOOKUP(B833, 'All Menu'!B:M, 12, 0)</f>
        <v>0.6635901687315634</v>
      </c>
      <c r="R833" s="173">
        <f t="shared" si="52"/>
        <v>0</v>
      </c>
    </row>
    <row r="834" spans="1:18" ht="15.5" hidden="1">
      <c r="A834" s="78" t="s">
        <v>2570</v>
      </c>
      <c r="B834" s="220" t="s">
        <v>1162</v>
      </c>
      <c r="C834" s="185"/>
      <c r="D834" s="103" t="str">
        <f>VLOOKUP(B834, 'All Menu'!B:M, 4, 0)</f>
        <v>فيتوتشيني الفريدو</v>
      </c>
      <c r="E834" s="30" t="str">
        <f>VLOOKUP(B834, 'All Menu'!B:M, 2, 0)</f>
        <v>قسم الصالة</v>
      </c>
      <c r="F834" s="103" t="str">
        <f>VLOOKUP(B834, 'All Menu'!B:M, 3, 0)</f>
        <v>باستا صالة</v>
      </c>
      <c r="G834" s="90" t="s">
        <v>2321</v>
      </c>
      <c r="H834" s="67">
        <v>5292</v>
      </c>
      <c r="I834" s="110" t="str">
        <f>VLOOKUP(H834, 'RM &amp; SF'!B:H, 2, 0)</f>
        <v>ثوم مقشر*****</v>
      </c>
      <c r="J834" s="184" t="str">
        <f>VLOOKUP(H834, 'RM &amp; SF'!B:E, 4, 0)</f>
        <v>غم</v>
      </c>
      <c r="K834" s="12">
        <v>3</v>
      </c>
      <c r="L834" s="13">
        <f>VLOOKUP(H834, 'RM &amp; SF'!B:H, 7, 0)</f>
        <v>4.4999999999999997E-3</v>
      </c>
      <c r="M834" s="7">
        <f t="shared" si="51"/>
        <v>1.3499999999999998E-2</v>
      </c>
      <c r="N834" s="4" t="s">
        <v>825</v>
      </c>
      <c r="O834" s="4">
        <f>VLOOKUP(B834, 'All Menu'!B:L, 6, 0)</f>
        <v>4.8706896551724146</v>
      </c>
      <c r="P834" s="6">
        <f>VLOOKUP(B834, 'All Menu'!B:L, 9, 0)</f>
        <v>1.6385478850574715</v>
      </c>
      <c r="Q834" s="14">
        <f>VLOOKUP(B834, 'All Menu'!B:M, 12, 0)</f>
        <v>0.6635901687315634</v>
      </c>
      <c r="R834" s="173">
        <f t="shared" si="52"/>
        <v>0</v>
      </c>
    </row>
    <row r="835" spans="1:18" ht="14" hidden="1">
      <c r="A835" s="78" t="s">
        <v>2570</v>
      </c>
      <c r="B835" s="220" t="s">
        <v>1162</v>
      </c>
      <c r="C835" s="185"/>
      <c r="D835" s="103" t="str">
        <f>VLOOKUP(B835, 'All Menu'!B:M, 4, 0)</f>
        <v>فيتوتشيني الفريدو</v>
      </c>
      <c r="E835" s="30" t="str">
        <f>VLOOKUP(B835, 'All Menu'!B:M, 2, 0)</f>
        <v>قسم الصالة</v>
      </c>
      <c r="F835" s="103" t="str">
        <f>VLOOKUP(B835, 'All Menu'!B:M, 3, 0)</f>
        <v>باستا صالة</v>
      </c>
      <c r="G835" s="90" t="s">
        <v>2240</v>
      </c>
      <c r="H835" s="188">
        <v>4515</v>
      </c>
      <c r="I835" s="110" t="str">
        <f>VLOOKUP(H835, 'RM &amp; SF'!B:H, 2, 0)</f>
        <v>فطر طازج (فطر فرش)*****</v>
      </c>
      <c r="J835" s="184" t="str">
        <f>VLOOKUP(H835, 'RM &amp; SF'!B:E, 4, 0)</f>
        <v>غم</v>
      </c>
      <c r="K835" s="12">
        <v>60</v>
      </c>
      <c r="L835" s="13">
        <f>VLOOKUP(H835, 'RM &amp; SF'!B:H, 7, 0)</f>
        <v>5.9999999999999993E-3</v>
      </c>
      <c r="M835" s="7">
        <f t="shared" si="51"/>
        <v>0.35999999999999993</v>
      </c>
      <c r="N835" s="4" t="s">
        <v>825</v>
      </c>
      <c r="O835" s="4">
        <f>VLOOKUP(B835, 'All Menu'!B:L, 6, 0)</f>
        <v>4.8706896551724146</v>
      </c>
      <c r="P835" s="6">
        <f>VLOOKUP(B835, 'All Menu'!B:L, 9, 0)</f>
        <v>1.6385478850574715</v>
      </c>
      <c r="Q835" s="14">
        <f>VLOOKUP(B835, 'All Menu'!B:M, 12, 0)</f>
        <v>0.6635901687315634</v>
      </c>
      <c r="R835" s="173">
        <f t="shared" si="52"/>
        <v>0</v>
      </c>
    </row>
    <row r="836" spans="1:18" ht="14" hidden="1">
      <c r="A836" s="78" t="s">
        <v>2570</v>
      </c>
      <c r="B836" s="220" t="s">
        <v>1162</v>
      </c>
      <c r="C836" s="185"/>
      <c r="D836" s="103" t="str">
        <f>VLOOKUP(B836, 'All Menu'!B:M, 4, 0)</f>
        <v>فيتوتشيني الفريدو</v>
      </c>
      <c r="E836" s="30" t="str">
        <f>VLOOKUP(B836, 'All Menu'!B:M, 2, 0)</f>
        <v>قسم الصالة</v>
      </c>
      <c r="F836" s="103" t="str">
        <f>VLOOKUP(B836, 'All Menu'!B:M, 3, 0)</f>
        <v>باستا صالة</v>
      </c>
      <c r="G836" s="90" t="s">
        <v>3058</v>
      </c>
      <c r="H836" s="188">
        <v>4102</v>
      </c>
      <c r="I836" s="110" t="str">
        <f>VLOOKUP(H836, 'RM &amp; SF'!B:H, 2, 0)</f>
        <v>*****معكرونة بنا 500 غم</v>
      </c>
      <c r="J836" s="184" t="str">
        <f>VLOOKUP(H836, 'RM &amp; SF'!B:E, 4, 0)</f>
        <v>غم</v>
      </c>
      <c r="K836" s="12">
        <v>200</v>
      </c>
      <c r="L836" s="13">
        <f>VLOOKUP(H836, 'RM &amp; SF'!B:H, 7, 0)</f>
        <v>1.1100000000000001E-3</v>
      </c>
      <c r="M836" s="7">
        <f t="shared" si="51"/>
        <v>0.22200000000000003</v>
      </c>
      <c r="N836" s="4" t="s">
        <v>825</v>
      </c>
      <c r="O836" s="4">
        <f>VLOOKUP(B836, 'All Menu'!B:L, 6, 0)</f>
        <v>4.8706896551724146</v>
      </c>
      <c r="P836" s="6">
        <f>VLOOKUP(B836, 'All Menu'!B:L, 9, 0)</f>
        <v>1.6385478850574715</v>
      </c>
      <c r="Q836" s="14">
        <f>VLOOKUP(B836, 'All Menu'!B:M, 12, 0)</f>
        <v>0.6635901687315634</v>
      </c>
      <c r="R836" s="173">
        <f t="shared" si="52"/>
        <v>0</v>
      </c>
    </row>
    <row r="837" spans="1:18" ht="14" hidden="1">
      <c r="A837" s="78" t="s">
        <v>2570</v>
      </c>
      <c r="B837" s="220" t="s">
        <v>1162</v>
      </c>
      <c r="C837" s="185"/>
      <c r="D837" s="103" t="str">
        <f>VLOOKUP(B837, 'All Menu'!B:M, 4, 0)</f>
        <v>فيتوتشيني الفريدو</v>
      </c>
      <c r="E837" s="30" t="str">
        <f>VLOOKUP(B837, 'All Menu'!B:M, 2, 0)</f>
        <v>قسم الصالة</v>
      </c>
      <c r="F837" s="103" t="str">
        <f>VLOOKUP(B837, 'All Menu'!B:M, 3, 0)</f>
        <v>باستا صالة</v>
      </c>
      <c r="G837" s="90" t="s">
        <v>2291</v>
      </c>
      <c r="H837" s="188">
        <v>4556</v>
      </c>
      <c r="I837" s="110" t="str">
        <f>VLOOKUP(H837, 'RM &amp; SF'!B:H, 2, 0)</f>
        <v>كريما طبخ 1 لتر*****</v>
      </c>
      <c r="J837" s="184" t="str">
        <f>VLOOKUP(H837, 'RM &amp; SF'!B:E, 4, 0)</f>
        <v>مل</v>
      </c>
      <c r="K837" s="12">
        <v>250</v>
      </c>
      <c r="L837" s="13">
        <f>VLOOKUP(H837, 'RM &amp; SF'!B:H, 7, 0)</f>
        <v>2.2269999999999998E-3</v>
      </c>
      <c r="M837" s="7">
        <f t="shared" si="51"/>
        <v>0.55674999999999997</v>
      </c>
      <c r="N837" s="4" t="s">
        <v>825</v>
      </c>
      <c r="O837" s="4">
        <f>VLOOKUP(B837, 'All Menu'!B:L, 6, 0)</f>
        <v>4.8706896551724146</v>
      </c>
      <c r="P837" s="6">
        <f>VLOOKUP(B837, 'All Menu'!B:L, 9, 0)</f>
        <v>1.6385478850574715</v>
      </c>
      <c r="Q837" s="14">
        <f>VLOOKUP(B837, 'All Menu'!B:M, 12, 0)</f>
        <v>0.6635901687315634</v>
      </c>
      <c r="R837" s="173">
        <f t="shared" si="52"/>
        <v>0</v>
      </c>
    </row>
    <row r="838" spans="1:18" ht="14" hidden="1">
      <c r="A838" s="78" t="s">
        <v>2570</v>
      </c>
      <c r="B838" s="220" t="s">
        <v>1162</v>
      </c>
      <c r="C838" s="185"/>
      <c r="D838" s="103" t="str">
        <f>VLOOKUP(B838, 'All Menu'!B:M, 4, 0)</f>
        <v>فيتوتشيني الفريدو</v>
      </c>
      <c r="E838" s="30" t="str">
        <f>VLOOKUP(B838, 'All Menu'!B:M, 2, 0)</f>
        <v>قسم الصالة</v>
      </c>
      <c r="F838" s="103" t="str">
        <f>VLOOKUP(B838, 'All Menu'!B:M, 3, 0)</f>
        <v>باستا صالة</v>
      </c>
      <c r="G838" s="90" t="s">
        <v>2206</v>
      </c>
      <c r="H838" s="188">
        <v>4204</v>
      </c>
      <c r="I838" s="110" t="str">
        <f>VLOOKUP(H838, 'RM &amp; SF'!B:H, 2, 0)</f>
        <v>فلفل اسود ناعم*****</v>
      </c>
      <c r="J838" s="184" t="str">
        <f>VLOOKUP(H838, 'RM &amp; SF'!B:E, 4, 0)</f>
        <v>غم</v>
      </c>
      <c r="K838" s="12">
        <v>2</v>
      </c>
      <c r="L838" s="13">
        <f>VLOOKUP(H838, 'RM &amp; SF'!B:H, 7, 0)</f>
        <v>6.8970000000000004E-3</v>
      </c>
      <c r="M838" s="7">
        <f t="shared" si="51"/>
        <v>1.3794000000000001E-2</v>
      </c>
      <c r="N838" s="4" t="s">
        <v>825</v>
      </c>
      <c r="O838" s="4">
        <f>VLOOKUP(B838, 'All Menu'!B:L, 6, 0)</f>
        <v>4.8706896551724146</v>
      </c>
      <c r="P838" s="6">
        <f>VLOOKUP(B838, 'All Menu'!B:L, 9, 0)</f>
        <v>1.6385478850574715</v>
      </c>
      <c r="Q838" s="14">
        <f>VLOOKUP(B838, 'All Menu'!B:M, 12, 0)</f>
        <v>0.6635901687315634</v>
      </c>
      <c r="R838" s="173">
        <f t="shared" si="52"/>
        <v>0</v>
      </c>
    </row>
    <row r="839" spans="1:18" ht="14" hidden="1">
      <c r="A839" s="78" t="s">
        <v>2570</v>
      </c>
      <c r="B839" s="220" t="s">
        <v>1162</v>
      </c>
      <c r="C839" s="185"/>
      <c r="D839" s="103" t="str">
        <f>VLOOKUP(B839, 'All Menu'!B:M, 4, 0)</f>
        <v>فيتوتشيني الفريدو</v>
      </c>
      <c r="E839" s="30" t="str">
        <f>VLOOKUP(B839, 'All Menu'!B:M, 2, 0)</f>
        <v>قسم الصالة</v>
      </c>
      <c r="F839" s="103" t="str">
        <f>VLOOKUP(B839, 'All Menu'!B:M, 3, 0)</f>
        <v>باستا صالة</v>
      </c>
      <c r="G839" s="90" t="s">
        <v>2203</v>
      </c>
      <c r="H839" s="188">
        <v>4152</v>
      </c>
      <c r="I839" s="110" t="str">
        <f>VLOOKUP(H839, 'RM &amp; SF'!B:H, 2, 0)</f>
        <v>ملح طعام 750غم*****</v>
      </c>
      <c r="J839" s="184" t="str">
        <f>VLOOKUP(H839, 'RM &amp; SF'!B:E, 4, 0)</f>
        <v>غم</v>
      </c>
      <c r="K839" s="12">
        <v>5</v>
      </c>
      <c r="L839" s="13">
        <f>VLOOKUP(H839, 'RM &amp; SF'!B:H, 7, 0)</f>
        <v>1.7066666666666665E-4</v>
      </c>
      <c r="M839" s="7">
        <f t="shared" si="51"/>
        <v>8.5333333333333322E-4</v>
      </c>
      <c r="N839" s="4" t="s">
        <v>825</v>
      </c>
      <c r="O839" s="4">
        <f>VLOOKUP(B839, 'All Menu'!B:L, 6, 0)</f>
        <v>4.8706896551724146</v>
      </c>
      <c r="P839" s="6">
        <f>VLOOKUP(B839, 'All Menu'!B:L, 9, 0)</f>
        <v>1.6385478850574715</v>
      </c>
      <c r="Q839" s="14">
        <f>VLOOKUP(B839, 'All Menu'!B:M, 12, 0)</f>
        <v>0.6635901687315634</v>
      </c>
      <c r="R839" s="173">
        <f t="shared" si="52"/>
        <v>0</v>
      </c>
    </row>
    <row r="840" spans="1:18" ht="14" hidden="1">
      <c r="A840" s="78" t="s">
        <v>2570</v>
      </c>
      <c r="B840" s="220" t="s">
        <v>1162</v>
      </c>
      <c r="C840" s="185"/>
      <c r="D840" s="103" t="str">
        <f>VLOOKUP(B840, 'All Menu'!B:M, 4, 0)</f>
        <v>فيتوتشيني الفريدو</v>
      </c>
      <c r="E840" s="30" t="str">
        <f>VLOOKUP(B840, 'All Menu'!B:M, 2, 0)</f>
        <v>قسم الصالة</v>
      </c>
      <c r="F840" s="103" t="str">
        <f>VLOOKUP(B840, 'All Menu'!B:M, 3, 0)</f>
        <v>باستا صالة</v>
      </c>
      <c r="G840" s="90" t="s">
        <v>2179</v>
      </c>
      <c r="H840" s="188">
        <v>4560</v>
      </c>
      <c r="I840" s="110" t="str">
        <f>VLOOKUP(H840, 'RM &amp; SF'!B:H, 2, 0)</f>
        <v>جبنة بارميزان قالب*****</v>
      </c>
      <c r="J840" s="184" t="str">
        <f>VLOOKUP(H840, 'RM &amp; SF'!B:E, 4, 0)</f>
        <v>غم</v>
      </c>
      <c r="K840" s="12">
        <v>30</v>
      </c>
      <c r="L840" s="13">
        <f>VLOOKUP(H840, 'RM &amp; SF'!B:H, 7, 0)</f>
        <v>6.5100000000000002E-3</v>
      </c>
      <c r="M840" s="7">
        <f t="shared" si="51"/>
        <v>0.1953</v>
      </c>
      <c r="N840" s="4" t="s">
        <v>825</v>
      </c>
      <c r="O840" s="4">
        <f>VLOOKUP(B840, 'All Menu'!B:L, 6, 0)</f>
        <v>4.8706896551724146</v>
      </c>
      <c r="P840" s="6">
        <f>VLOOKUP(B840, 'All Menu'!B:L, 9, 0)</f>
        <v>1.6385478850574715</v>
      </c>
      <c r="Q840" s="14">
        <f>VLOOKUP(B840, 'All Menu'!B:M, 12, 0)</f>
        <v>0.6635901687315634</v>
      </c>
      <c r="R840" s="173">
        <f t="shared" si="52"/>
        <v>0</v>
      </c>
    </row>
    <row r="841" spans="1:18" ht="14" hidden="1">
      <c r="A841" s="78" t="s">
        <v>2570</v>
      </c>
      <c r="B841" s="220" t="s">
        <v>1162</v>
      </c>
      <c r="C841" s="185"/>
      <c r="D841" s="103" t="str">
        <f>VLOOKUP(B841, 'All Menu'!B:M, 4, 0)</f>
        <v>فيتوتشيني الفريدو</v>
      </c>
      <c r="E841" s="30" t="str">
        <f>VLOOKUP(B841, 'All Menu'!B:M, 2, 0)</f>
        <v>قسم الصالة</v>
      </c>
      <c r="F841" s="103" t="str">
        <f>VLOOKUP(B841, 'All Menu'!B:M, 3, 0)</f>
        <v>باستا صالة</v>
      </c>
      <c r="G841" s="90" t="s">
        <v>2190</v>
      </c>
      <c r="H841" s="188">
        <v>4279</v>
      </c>
      <c r="I841" s="110" t="str">
        <f>VLOOKUP(H841, 'RM &amp; SF'!B:H, 2, 0)</f>
        <v>علب ميكرويف مستطيل اسود مفرغة (احادي)*****</v>
      </c>
      <c r="J841" s="184" t="str">
        <f>VLOOKUP(H841, 'RM &amp; SF'!B:E, 4, 0)</f>
        <v>قطعة</v>
      </c>
      <c r="K841" s="12">
        <v>1</v>
      </c>
      <c r="L841" s="13">
        <f>VLOOKUP(H841, 'RM &amp; SF'!B:H, 7, 0)</f>
        <v>9.4799999999999995E-2</v>
      </c>
      <c r="M841" s="7">
        <f t="shared" si="51"/>
        <v>9.4799999999999995E-2</v>
      </c>
      <c r="N841" s="4" t="s">
        <v>825</v>
      </c>
      <c r="O841" s="4">
        <f>VLOOKUP(B841, 'All Menu'!B:L, 6, 0)</f>
        <v>4.8706896551724146</v>
      </c>
      <c r="P841" s="6">
        <f>VLOOKUP(B841, 'All Menu'!B:L, 9, 0)</f>
        <v>1.6385478850574715</v>
      </c>
      <c r="Q841" s="14">
        <f>VLOOKUP(B841, 'All Menu'!B:M, 12, 0)</f>
        <v>0.6635901687315634</v>
      </c>
      <c r="R841" s="173">
        <f t="shared" si="52"/>
        <v>0</v>
      </c>
    </row>
    <row r="842" spans="1:18" ht="14" hidden="1">
      <c r="A842" s="78" t="s">
        <v>2570</v>
      </c>
      <c r="B842" s="220" t="s">
        <v>1162</v>
      </c>
      <c r="C842" s="185"/>
      <c r="D842" s="103" t="str">
        <f>VLOOKUP(B842, 'All Menu'!B:M, 4, 0)</f>
        <v>فيتوتشيني الفريدو</v>
      </c>
      <c r="E842" s="30" t="str">
        <f>VLOOKUP(B842, 'All Menu'!B:M, 2, 0)</f>
        <v>قسم الصالة</v>
      </c>
      <c r="F842" s="103" t="str">
        <f>VLOOKUP(B842, 'All Menu'!B:M, 3, 0)</f>
        <v>باستا صالة</v>
      </c>
      <c r="G842" s="90" t="s">
        <v>3058</v>
      </c>
      <c r="H842" s="188">
        <v>4266</v>
      </c>
      <c r="I842" s="110" t="str">
        <f>VLOOKUP(H842, 'RM &amp; SF'!B:H, 2, 0)</f>
        <v>اساور علب وجبات مطبوع 1*50 حبة*****</v>
      </c>
      <c r="J842" s="184" t="str">
        <f>VLOOKUP(H842, 'RM &amp; SF'!B:E, 4, 0)</f>
        <v>قطعة</v>
      </c>
      <c r="K842" s="12">
        <v>1</v>
      </c>
      <c r="L842" s="13">
        <f>VLOOKUP(H842, 'RM &amp; SF'!B:H, 7, 0)</f>
        <v>6.3224137931034485E-2</v>
      </c>
      <c r="M842" s="7">
        <f t="shared" si="51"/>
        <v>6.3224137931034485E-2</v>
      </c>
      <c r="N842" s="4" t="s">
        <v>825</v>
      </c>
      <c r="O842" s="4">
        <f>VLOOKUP(B842, 'All Menu'!B:L, 6, 0)</f>
        <v>4.8706896551724146</v>
      </c>
      <c r="P842" s="6">
        <f>VLOOKUP(B842, 'All Menu'!B:L, 9, 0)</f>
        <v>1.6385478850574715</v>
      </c>
      <c r="Q842" s="14">
        <f>VLOOKUP(B842, 'All Menu'!B:M, 12, 0)</f>
        <v>0.6635901687315634</v>
      </c>
      <c r="R842" s="173">
        <f t="shared" si="52"/>
        <v>0</v>
      </c>
    </row>
    <row r="843" spans="1:18" ht="14" hidden="1">
      <c r="A843" s="78" t="s">
        <v>2570</v>
      </c>
      <c r="B843" s="220" t="s">
        <v>1162</v>
      </c>
      <c r="C843" s="185"/>
      <c r="D843" s="103" t="str">
        <f>VLOOKUP(B843, 'All Menu'!B:M, 4, 0)</f>
        <v>فيتوتشيني الفريدو</v>
      </c>
      <c r="E843" s="30" t="str">
        <f>VLOOKUP(B843, 'All Menu'!B:M, 2, 0)</f>
        <v>قسم الصالة</v>
      </c>
      <c r="F843" s="103" t="str">
        <f>VLOOKUP(B843, 'All Menu'!B:M, 3, 0)</f>
        <v>باستا صالة</v>
      </c>
      <c r="G843" s="90" t="s">
        <v>2195</v>
      </c>
      <c r="H843" s="188">
        <v>4329</v>
      </c>
      <c r="I843" s="110" t="str">
        <f>VLOOKUP(H843, 'RM &amp; SF'!B:H, 2, 0)</f>
        <v>ملاعق بلاستيك مع معقم مطبوع 1*500 حبة*****</v>
      </c>
      <c r="J843" s="184" t="str">
        <f>VLOOKUP(H843, 'RM &amp; SF'!B:E, 4, 0)</f>
        <v>قطعة</v>
      </c>
      <c r="K843" s="12">
        <v>1</v>
      </c>
      <c r="L843" s="13">
        <f>VLOOKUP(H843, 'RM &amp; SF'!B:H, 7, 0)</f>
        <v>4.7399999999999997E-4</v>
      </c>
      <c r="M843" s="7">
        <f t="shared" si="51"/>
        <v>4.7399999999999997E-4</v>
      </c>
      <c r="N843" s="4" t="s">
        <v>825</v>
      </c>
      <c r="O843" s="4">
        <f>VLOOKUP(B843, 'All Menu'!B:L, 6, 0)</f>
        <v>4.8706896551724146</v>
      </c>
      <c r="P843" s="6">
        <f>VLOOKUP(B843, 'All Menu'!B:L, 9, 0)</f>
        <v>1.6385478850574715</v>
      </c>
      <c r="Q843" s="14">
        <f>VLOOKUP(B843, 'All Menu'!B:M, 12, 0)</f>
        <v>0.6635901687315634</v>
      </c>
      <c r="R843" s="173">
        <f t="shared" si="52"/>
        <v>0</v>
      </c>
    </row>
    <row r="844" spans="1:18" ht="14" hidden="1">
      <c r="A844" s="78" t="s">
        <v>2570</v>
      </c>
      <c r="B844" s="220" t="s">
        <v>1162</v>
      </c>
      <c r="C844" s="185"/>
      <c r="D844" s="103" t="str">
        <f>VLOOKUP(B844, 'All Menu'!B:M, 4, 0)</f>
        <v>فيتوتشيني الفريدو</v>
      </c>
      <c r="E844" s="30" t="str">
        <f>VLOOKUP(B844, 'All Menu'!B:M, 2, 0)</f>
        <v>قسم الصالة</v>
      </c>
      <c r="F844" s="103" t="str">
        <f>VLOOKUP(B844, 'All Menu'!B:M, 3, 0)</f>
        <v>باستا صالة</v>
      </c>
      <c r="G844" s="90" t="s">
        <v>2193</v>
      </c>
      <c r="H844" s="188">
        <v>4309</v>
      </c>
      <c r="I844" s="110" t="str">
        <f>VLOOKUP(H844, 'RM &amp; SF'!B:H, 2, 0)</f>
        <v>اكياس بلاستيك مطبوع 55 سم*****</v>
      </c>
      <c r="J844" s="184" t="str">
        <f>VLOOKUP(H844, 'RM &amp; SF'!B:E, 4, 0)</f>
        <v>قطعة</v>
      </c>
      <c r="K844" s="12">
        <v>1</v>
      </c>
      <c r="L844" s="13">
        <f>VLOOKUP(H844, 'RM &amp; SF'!B:H, 7, 0)</f>
        <v>5.5172413793103454E-2</v>
      </c>
      <c r="M844" s="7">
        <f t="shared" si="51"/>
        <v>5.5172413793103454E-2</v>
      </c>
      <c r="N844" s="4" t="s">
        <v>825</v>
      </c>
      <c r="O844" s="4">
        <f>VLOOKUP(B844, 'All Menu'!B:L, 6, 0)</f>
        <v>4.8706896551724146</v>
      </c>
      <c r="P844" s="6">
        <f>VLOOKUP(B844, 'All Menu'!B:L, 9, 0)</f>
        <v>1.6385478850574715</v>
      </c>
      <c r="Q844" s="14">
        <f>VLOOKUP(B844, 'All Menu'!B:M, 12, 0)</f>
        <v>0.6635901687315634</v>
      </c>
      <c r="R844" s="173">
        <f t="shared" si="52"/>
        <v>0</v>
      </c>
    </row>
    <row r="845" spans="1:18" ht="14" hidden="1">
      <c r="A845" s="78" t="s">
        <v>2571</v>
      </c>
      <c r="B845" s="220" t="s">
        <v>1163</v>
      </c>
      <c r="C845" s="185"/>
      <c r="D845" s="103" t="str">
        <f>VLOOKUP(B845, 'All Menu'!B:M, 4, 0)</f>
        <v>بينا اربياتا</v>
      </c>
      <c r="E845" s="30" t="str">
        <f>VLOOKUP(B845, 'All Menu'!B:M, 2, 0)</f>
        <v>قسم الصالة</v>
      </c>
      <c r="F845" s="103" t="str">
        <f>VLOOKUP(B845, 'All Menu'!B:M, 3, 0)</f>
        <v>باستا صالة</v>
      </c>
      <c r="G845" s="90" t="s">
        <v>2357</v>
      </c>
      <c r="H845" s="219" t="s">
        <v>744</v>
      </c>
      <c r="I845" s="110" t="str">
        <f>VLOOKUP(H845, 'RM &amp; SF'!B:H, 2, 0)</f>
        <v>زيت زيتون مكسور</v>
      </c>
      <c r="J845" s="184" t="str">
        <f>VLOOKUP(H845, 'RM &amp; SF'!B:E, 4, 0)</f>
        <v>غم</v>
      </c>
      <c r="K845" s="12">
        <v>50</v>
      </c>
      <c r="L845" s="13">
        <f>VLOOKUP(H845, 'RM &amp; SF'!B:H, 7, 0)</f>
        <v>3.3899999999999998E-3</v>
      </c>
      <c r="M845" s="7">
        <f t="shared" si="51"/>
        <v>0.16949999999999998</v>
      </c>
      <c r="N845" s="4" t="s">
        <v>825</v>
      </c>
      <c r="O845" s="4">
        <f>VLOOKUP(B845, 'All Menu'!B:L, 6, 0)</f>
        <v>5.9051724137931032</v>
      </c>
      <c r="P845" s="6">
        <f>VLOOKUP(B845, 'All Menu'!B:L, 9, 0)</f>
        <v>1.2726827206349205</v>
      </c>
      <c r="Q845" s="14">
        <f>VLOOKUP(B845, 'All Menu'!B:M, 12, 0)</f>
        <v>0.78448000643262661</v>
      </c>
      <c r="R845" s="173">
        <f t="shared" si="52"/>
        <v>0</v>
      </c>
    </row>
    <row r="846" spans="1:18" ht="14" hidden="1">
      <c r="A846" s="78" t="s">
        <v>2571</v>
      </c>
      <c r="B846" s="220" t="s">
        <v>1163</v>
      </c>
      <c r="C846" s="185"/>
      <c r="D846" s="103" t="str">
        <f>VLOOKUP(B846, 'All Menu'!B:M, 4, 0)</f>
        <v>بينا اربياتا</v>
      </c>
      <c r="E846" s="30" t="str">
        <f>VLOOKUP(B846, 'All Menu'!B:M, 2, 0)</f>
        <v>قسم الصالة</v>
      </c>
      <c r="F846" s="103" t="str">
        <f>VLOOKUP(B846, 'All Menu'!B:M, 3, 0)</f>
        <v>باستا صالة</v>
      </c>
      <c r="G846" s="90" t="s">
        <v>3058</v>
      </c>
      <c r="H846" s="188">
        <v>4516</v>
      </c>
      <c r="I846" s="110" t="str">
        <f>VLOOKUP(H846, 'RM &amp; SF'!B:H, 2, 0)</f>
        <v>بندورة كرزية (بندورة شري)*****</v>
      </c>
      <c r="J846" s="184" t="str">
        <f>VLOOKUP(H846, 'RM &amp; SF'!B:E, 4, 0)</f>
        <v>غم</v>
      </c>
      <c r="K846" s="12">
        <v>30</v>
      </c>
      <c r="L846" s="13">
        <f>VLOOKUP(H846, 'RM &amp; SF'!B:H, 7, 0)</f>
        <v>1.8749999999999999E-3</v>
      </c>
      <c r="M846" s="7">
        <f t="shared" si="51"/>
        <v>5.6249999999999994E-2</v>
      </c>
      <c r="N846" s="4" t="s">
        <v>825</v>
      </c>
      <c r="O846" s="4">
        <f>VLOOKUP(B846, 'All Menu'!B:L, 6, 0)</f>
        <v>5.9051724137931032</v>
      </c>
      <c r="P846" s="6">
        <f>VLOOKUP(B846, 'All Menu'!B:L, 9, 0)</f>
        <v>1.2726827206349205</v>
      </c>
      <c r="Q846" s="14">
        <f>VLOOKUP(B846, 'All Menu'!B:M, 12, 0)</f>
        <v>0.78448000643262661</v>
      </c>
      <c r="R846" s="173">
        <f t="shared" si="52"/>
        <v>0</v>
      </c>
    </row>
    <row r="847" spans="1:18" ht="14" hidden="1">
      <c r="A847" s="78" t="s">
        <v>2571</v>
      </c>
      <c r="B847" s="220" t="s">
        <v>1163</v>
      </c>
      <c r="C847" s="185"/>
      <c r="D847" s="103" t="str">
        <f>VLOOKUP(B847, 'All Menu'!B:M, 4, 0)</f>
        <v>بينا اربياتا</v>
      </c>
      <c r="E847" s="30" t="str">
        <f>VLOOKUP(B847, 'All Menu'!B:M, 2, 0)</f>
        <v>قسم الصالة</v>
      </c>
      <c r="F847" s="103" t="str">
        <f>VLOOKUP(B847, 'All Menu'!B:M, 3, 0)</f>
        <v>باستا صالة</v>
      </c>
      <c r="G847" s="90" t="s">
        <v>3058</v>
      </c>
      <c r="H847" s="188">
        <v>4074</v>
      </c>
      <c r="I847" s="110" t="str">
        <f>VLOOKUP(H847, 'RM &amp; SF'!B:H, 2, 0)</f>
        <v>زيتون اسود شرائح 4.200 كغ*****</v>
      </c>
      <c r="J847" s="184" t="str">
        <f>VLOOKUP(H847, 'RM &amp; SF'!B:E, 4, 0)</f>
        <v>غم</v>
      </c>
      <c r="K847" s="12">
        <v>30</v>
      </c>
      <c r="L847" s="13">
        <f>VLOOKUP(H847, 'RM &amp; SF'!B:H, 7, 0)</f>
        <v>1.5211640211640213E-3</v>
      </c>
      <c r="M847" s="7">
        <f t="shared" si="51"/>
        <v>4.5634920634920639E-2</v>
      </c>
      <c r="N847" s="4" t="s">
        <v>825</v>
      </c>
      <c r="O847" s="4">
        <f>VLOOKUP(B847, 'All Menu'!B:L, 6, 0)</f>
        <v>5.9051724137931032</v>
      </c>
      <c r="P847" s="6">
        <f>VLOOKUP(B847, 'All Menu'!B:L, 9, 0)</f>
        <v>1.2726827206349205</v>
      </c>
      <c r="Q847" s="14">
        <f>VLOOKUP(B847, 'All Menu'!B:M, 12, 0)</f>
        <v>0.78448000643262661</v>
      </c>
      <c r="R847" s="173">
        <f t="shared" si="52"/>
        <v>0</v>
      </c>
    </row>
    <row r="848" spans="1:18" ht="14" hidden="1">
      <c r="A848" s="78" t="s">
        <v>2571</v>
      </c>
      <c r="B848" s="220" t="s">
        <v>1163</v>
      </c>
      <c r="C848" s="185"/>
      <c r="D848" s="103" t="str">
        <f>VLOOKUP(B848, 'All Menu'!B:M, 4, 0)</f>
        <v>بينا اربياتا</v>
      </c>
      <c r="E848" s="30" t="str">
        <f>VLOOKUP(B848, 'All Menu'!B:M, 2, 0)</f>
        <v>قسم الصالة</v>
      </c>
      <c r="F848" s="103" t="str">
        <f>VLOOKUP(B848, 'All Menu'!B:M, 3, 0)</f>
        <v>باستا صالة</v>
      </c>
      <c r="G848" s="90" t="s">
        <v>2231</v>
      </c>
      <c r="H848" s="188">
        <v>4499</v>
      </c>
      <c r="I848" s="110" t="str">
        <f>VLOOKUP(H848, 'RM &amp; SF'!B:H, 2, 0)</f>
        <v>فلفل حار اخضر*****</v>
      </c>
      <c r="J848" s="184" t="str">
        <f>VLOOKUP(H848, 'RM &amp; SF'!B:E, 4, 0)</f>
        <v>غم</v>
      </c>
      <c r="K848" s="12">
        <v>120</v>
      </c>
      <c r="L848" s="13">
        <f>VLOOKUP(H848, 'RM &amp; SF'!B:H, 7, 0)</f>
        <v>5.0000000000000001E-4</v>
      </c>
      <c r="M848" s="7">
        <f t="shared" si="51"/>
        <v>0.06</v>
      </c>
      <c r="N848" s="4" t="s">
        <v>825</v>
      </c>
      <c r="O848" s="4">
        <f>VLOOKUP(B848, 'All Menu'!B:L, 6, 0)</f>
        <v>5.9051724137931032</v>
      </c>
      <c r="P848" s="6">
        <f>VLOOKUP(B848, 'All Menu'!B:L, 9, 0)</f>
        <v>1.2726827206349205</v>
      </c>
      <c r="Q848" s="14">
        <f>VLOOKUP(B848, 'All Menu'!B:M, 12, 0)</f>
        <v>0.78448000643262661</v>
      </c>
      <c r="R848" s="173">
        <f t="shared" si="52"/>
        <v>0</v>
      </c>
    </row>
    <row r="849" spans="1:18" ht="15.5" hidden="1">
      <c r="A849" s="78" t="s">
        <v>2571</v>
      </c>
      <c r="B849" s="220" t="s">
        <v>1163</v>
      </c>
      <c r="C849" s="185"/>
      <c r="D849" s="103" t="str">
        <f>VLOOKUP(B849, 'All Menu'!B:M, 4, 0)</f>
        <v>بينا اربياتا</v>
      </c>
      <c r="E849" s="30" t="str">
        <f>VLOOKUP(B849, 'All Menu'!B:M, 2, 0)</f>
        <v>قسم الصالة</v>
      </c>
      <c r="F849" s="103" t="str">
        <f>VLOOKUP(B849, 'All Menu'!B:M, 3, 0)</f>
        <v>باستا صالة</v>
      </c>
      <c r="G849" s="90" t="s">
        <v>2321</v>
      </c>
      <c r="H849" s="67">
        <v>5292</v>
      </c>
      <c r="I849" s="110" t="str">
        <f>VLOOKUP(H849, 'RM &amp; SF'!B:H, 2, 0)</f>
        <v>ثوم مقشر*****</v>
      </c>
      <c r="J849" s="184" t="str">
        <f>VLOOKUP(H849, 'RM &amp; SF'!B:E, 4, 0)</f>
        <v>غم</v>
      </c>
      <c r="K849" s="12">
        <v>5</v>
      </c>
      <c r="L849" s="13">
        <f>VLOOKUP(H849, 'RM &amp; SF'!B:H, 7, 0)</f>
        <v>4.4999999999999997E-3</v>
      </c>
      <c r="M849" s="7">
        <f t="shared" si="51"/>
        <v>2.2499999999999999E-2</v>
      </c>
      <c r="N849" s="4" t="s">
        <v>825</v>
      </c>
      <c r="O849" s="4">
        <f>VLOOKUP(B849, 'All Menu'!B:L, 6, 0)</f>
        <v>5.9051724137931032</v>
      </c>
      <c r="P849" s="6">
        <f>VLOOKUP(B849, 'All Menu'!B:L, 9, 0)</f>
        <v>1.2726827206349205</v>
      </c>
      <c r="Q849" s="14">
        <f>VLOOKUP(B849, 'All Menu'!B:M, 12, 0)</f>
        <v>0.78448000643262661</v>
      </c>
      <c r="R849" s="173">
        <f t="shared" si="52"/>
        <v>0</v>
      </c>
    </row>
    <row r="850" spans="1:18" ht="14" hidden="1">
      <c r="A850" s="78" t="s">
        <v>2571</v>
      </c>
      <c r="B850" s="220" t="s">
        <v>1163</v>
      </c>
      <c r="C850" s="185"/>
      <c r="D850" s="103" t="str">
        <f>VLOOKUP(B850, 'All Menu'!B:M, 4, 0)</f>
        <v>بينا اربياتا</v>
      </c>
      <c r="E850" s="30" t="str">
        <f>VLOOKUP(B850, 'All Menu'!B:M, 2, 0)</f>
        <v>قسم الصالة</v>
      </c>
      <c r="F850" s="103" t="str">
        <f>VLOOKUP(B850, 'All Menu'!B:M, 3, 0)</f>
        <v>باستا صالة</v>
      </c>
      <c r="G850" s="90" t="s">
        <v>3058</v>
      </c>
      <c r="H850" s="188">
        <v>4078</v>
      </c>
      <c r="I850" s="110" t="str">
        <f>VLOOKUP(H850, 'RM &amp; SF'!B:H, 2, 0)</f>
        <v>بندورة مقشورة 2.5 كغ*****</v>
      </c>
      <c r="J850" s="184" t="str">
        <f>VLOOKUP(H850, 'RM &amp; SF'!B:E, 4, 0)</f>
        <v>غم</v>
      </c>
      <c r="K850" s="12">
        <v>450</v>
      </c>
      <c r="L850" s="13">
        <f>VLOOKUP(H850, 'RM &amp; SF'!B:H, 7, 0)</f>
        <v>1.264364E-3</v>
      </c>
      <c r="M850" s="7">
        <f t="shared" si="51"/>
        <v>0.56896380000000002</v>
      </c>
      <c r="N850" s="4" t="s">
        <v>825</v>
      </c>
      <c r="O850" s="4">
        <f>VLOOKUP(B850, 'All Menu'!B:L, 6, 0)</f>
        <v>5.9051724137931032</v>
      </c>
      <c r="P850" s="6">
        <f>VLOOKUP(B850, 'All Menu'!B:L, 9, 0)</f>
        <v>1.2726827206349205</v>
      </c>
      <c r="Q850" s="14">
        <f>VLOOKUP(B850, 'All Menu'!B:M, 12, 0)</f>
        <v>0.78448000643262661</v>
      </c>
      <c r="R850" s="173">
        <f t="shared" si="52"/>
        <v>0</v>
      </c>
    </row>
    <row r="851" spans="1:18" ht="14" hidden="1">
      <c r="A851" s="78" t="s">
        <v>2571</v>
      </c>
      <c r="B851" s="220" t="s">
        <v>1163</v>
      </c>
      <c r="C851" s="185"/>
      <c r="D851" s="103" t="str">
        <f>VLOOKUP(B851, 'All Menu'!B:M, 4, 0)</f>
        <v>بينا اربياتا</v>
      </c>
      <c r="E851" s="30" t="str">
        <f>VLOOKUP(B851, 'All Menu'!B:M, 2, 0)</f>
        <v>قسم الصالة</v>
      </c>
      <c r="F851" s="103" t="str">
        <f>VLOOKUP(B851, 'All Menu'!B:M, 3, 0)</f>
        <v>باستا صالة</v>
      </c>
      <c r="G851" s="90" t="s">
        <v>3058</v>
      </c>
      <c r="H851" s="188">
        <v>4540</v>
      </c>
      <c r="I851" s="110" t="str">
        <f>VLOOKUP(H851, 'RM &amp; SF'!B:H, 2, 0)</f>
        <v>ريحان طازج*****</v>
      </c>
      <c r="J851" s="184" t="str">
        <f>VLOOKUP(H851, 'RM &amp; SF'!B:E, 4, 0)</f>
        <v>غم</v>
      </c>
      <c r="K851" s="12">
        <v>2</v>
      </c>
      <c r="L851" s="13">
        <f>VLOOKUP(H851, 'RM &amp; SF'!B:H, 7, 0)</f>
        <v>0.01</v>
      </c>
      <c r="M851" s="7">
        <f t="shared" si="51"/>
        <v>0.02</v>
      </c>
      <c r="N851" s="4" t="s">
        <v>825</v>
      </c>
      <c r="O851" s="4">
        <f>VLOOKUP(B851, 'All Menu'!B:L, 6, 0)</f>
        <v>5.9051724137931032</v>
      </c>
      <c r="P851" s="6">
        <f>VLOOKUP(B851, 'All Menu'!B:L, 9, 0)</f>
        <v>1.2726827206349205</v>
      </c>
      <c r="Q851" s="14">
        <f>VLOOKUP(B851, 'All Menu'!B:M, 12, 0)</f>
        <v>0.78448000643262661</v>
      </c>
      <c r="R851" s="173">
        <f t="shared" si="52"/>
        <v>0</v>
      </c>
    </row>
    <row r="852" spans="1:18" ht="14" hidden="1">
      <c r="A852" s="78" t="s">
        <v>2571</v>
      </c>
      <c r="B852" s="220" t="s">
        <v>1163</v>
      </c>
      <c r="C852" s="185"/>
      <c r="D852" s="103" t="str">
        <f>VLOOKUP(B852, 'All Menu'!B:M, 4, 0)</f>
        <v>بينا اربياتا</v>
      </c>
      <c r="E852" s="30" t="str">
        <f>VLOOKUP(B852, 'All Menu'!B:M, 2, 0)</f>
        <v>قسم الصالة</v>
      </c>
      <c r="F852" s="103" t="str">
        <f>VLOOKUP(B852, 'All Menu'!B:M, 3, 0)</f>
        <v>باستا صالة</v>
      </c>
      <c r="G852" s="90" t="s">
        <v>2251</v>
      </c>
      <c r="H852" s="188">
        <v>4544</v>
      </c>
      <c r="I852" s="110" t="str">
        <f>VLOOKUP(H852, 'RM &amp; SF'!B:H, 2, 0)</f>
        <v>بقدونس*****</v>
      </c>
      <c r="J852" s="184" t="str">
        <f>VLOOKUP(H852, 'RM &amp; SF'!B:E, 4, 0)</f>
        <v>غم</v>
      </c>
      <c r="K852" s="12">
        <v>3</v>
      </c>
      <c r="L852" s="13">
        <f>VLOOKUP(H852, 'RM &amp; SF'!B:H, 7, 0)</f>
        <v>7.5000000000000002E-4</v>
      </c>
      <c r="M852" s="7">
        <f t="shared" si="51"/>
        <v>2.2500000000000003E-3</v>
      </c>
      <c r="N852" s="4" t="s">
        <v>825</v>
      </c>
      <c r="O852" s="4">
        <f>VLOOKUP(B852, 'All Menu'!B:L, 6, 0)</f>
        <v>5.9051724137931032</v>
      </c>
      <c r="P852" s="6">
        <f>VLOOKUP(B852, 'All Menu'!B:L, 9, 0)</f>
        <v>1.2726827206349205</v>
      </c>
      <c r="Q852" s="14">
        <f>VLOOKUP(B852, 'All Menu'!B:M, 12, 0)</f>
        <v>0.78448000643262661</v>
      </c>
      <c r="R852" s="173">
        <f t="shared" si="52"/>
        <v>0</v>
      </c>
    </row>
    <row r="853" spans="1:18" ht="14" hidden="1">
      <c r="A853" s="78" t="s">
        <v>2571</v>
      </c>
      <c r="B853" s="220" t="s">
        <v>1163</v>
      </c>
      <c r="C853" s="185"/>
      <c r="D853" s="103" t="str">
        <f>VLOOKUP(B853, 'All Menu'!B:M, 4, 0)</f>
        <v>بينا اربياتا</v>
      </c>
      <c r="E853" s="30" t="str">
        <f>VLOOKUP(B853, 'All Menu'!B:M, 2, 0)</f>
        <v>قسم الصالة</v>
      </c>
      <c r="F853" s="103" t="str">
        <f>VLOOKUP(B853, 'All Menu'!B:M, 3, 0)</f>
        <v>باستا صالة</v>
      </c>
      <c r="G853" s="90" t="s">
        <v>2203</v>
      </c>
      <c r="H853" s="188">
        <v>4152</v>
      </c>
      <c r="I853" s="110" t="str">
        <f>VLOOKUP(H853, 'RM &amp; SF'!B:H, 2, 0)</f>
        <v>ملح طعام 750غم*****</v>
      </c>
      <c r="J853" s="184" t="str">
        <f>VLOOKUP(H853, 'RM &amp; SF'!B:E, 4, 0)</f>
        <v>غم</v>
      </c>
      <c r="K853" s="12">
        <v>3</v>
      </c>
      <c r="L853" s="13">
        <f>VLOOKUP(H853, 'RM &amp; SF'!B:H, 7, 0)</f>
        <v>1.7066666666666665E-4</v>
      </c>
      <c r="M853" s="7">
        <f t="shared" si="51"/>
        <v>5.1199999999999998E-4</v>
      </c>
      <c r="N853" s="4" t="s">
        <v>825</v>
      </c>
      <c r="O853" s="4">
        <f>VLOOKUP(B853, 'All Menu'!B:L, 6, 0)</f>
        <v>5.9051724137931032</v>
      </c>
      <c r="P853" s="6">
        <f>VLOOKUP(B853, 'All Menu'!B:L, 9, 0)</f>
        <v>1.2726827206349205</v>
      </c>
      <c r="Q853" s="14">
        <f>VLOOKUP(B853, 'All Menu'!B:M, 12, 0)</f>
        <v>0.78448000643262661</v>
      </c>
      <c r="R853" s="173">
        <f t="shared" si="52"/>
        <v>0</v>
      </c>
    </row>
    <row r="854" spans="1:18" ht="14" hidden="1">
      <c r="A854" s="78" t="s">
        <v>2571</v>
      </c>
      <c r="B854" s="220" t="s">
        <v>1163</v>
      </c>
      <c r="C854" s="185"/>
      <c r="D854" s="103" t="str">
        <f>VLOOKUP(B854, 'All Menu'!B:M, 4, 0)</f>
        <v>بينا اربياتا</v>
      </c>
      <c r="E854" s="30" t="str">
        <f>VLOOKUP(B854, 'All Menu'!B:M, 2, 0)</f>
        <v>قسم الصالة</v>
      </c>
      <c r="F854" s="103" t="str">
        <f>VLOOKUP(B854, 'All Menu'!B:M, 3, 0)</f>
        <v>باستا صالة</v>
      </c>
      <c r="G854" s="90" t="s">
        <v>2231</v>
      </c>
      <c r="H854" s="188">
        <v>4499</v>
      </c>
      <c r="I854" s="110" t="str">
        <f>VLOOKUP(H854, 'RM &amp; SF'!B:H, 2, 0)</f>
        <v>فلفل حار اخضر*****</v>
      </c>
      <c r="J854" s="184" t="str">
        <f>VLOOKUP(H854, 'RM &amp; SF'!B:E, 4, 0)</f>
        <v>غم</v>
      </c>
      <c r="K854" s="12">
        <v>3</v>
      </c>
      <c r="L854" s="13">
        <f>VLOOKUP(H854, 'RM &amp; SF'!B:H, 7, 0)</f>
        <v>5.0000000000000001E-4</v>
      </c>
      <c r="M854" s="7">
        <f t="shared" si="51"/>
        <v>1.5E-3</v>
      </c>
      <c r="N854" s="4" t="s">
        <v>825</v>
      </c>
      <c r="O854" s="4">
        <f>VLOOKUP(B854, 'All Menu'!B:L, 6, 0)</f>
        <v>5.9051724137931032</v>
      </c>
      <c r="P854" s="6">
        <f>VLOOKUP(B854, 'All Menu'!B:L, 9, 0)</f>
        <v>1.2726827206349205</v>
      </c>
      <c r="Q854" s="14">
        <f>VLOOKUP(B854, 'All Menu'!B:M, 12, 0)</f>
        <v>0.78448000643262661</v>
      </c>
      <c r="R854" s="173">
        <f t="shared" si="52"/>
        <v>0</v>
      </c>
    </row>
    <row r="855" spans="1:18" ht="14" hidden="1">
      <c r="A855" s="78" t="s">
        <v>2571</v>
      </c>
      <c r="B855" s="220" t="s">
        <v>1163</v>
      </c>
      <c r="C855" s="185"/>
      <c r="D855" s="103" t="str">
        <f>VLOOKUP(B855, 'All Menu'!B:M, 4, 0)</f>
        <v>بينا اربياتا</v>
      </c>
      <c r="E855" s="30" t="str">
        <f>VLOOKUP(B855, 'All Menu'!B:M, 2, 0)</f>
        <v>قسم الصالة</v>
      </c>
      <c r="F855" s="103" t="str">
        <f>VLOOKUP(B855, 'All Menu'!B:M, 3, 0)</f>
        <v>باستا صالة</v>
      </c>
      <c r="G855" s="90" t="s">
        <v>3058</v>
      </c>
      <c r="H855" s="188">
        <v>4253</v>
      </c>
      <c r="I855" s="110" t="str">
        <f>VLOOKUP(H855, 'RM &amp; SF'!B:H, 2, 0)</f>
        <v>تشيلي فليكس*****</v>
      </c>
      <c r="J855" s="184" t="str">
        <f>VLOOKUP(H855, 'RM &amp; SF'!B:E, 4, 0)</f>
        <v>غم</v>
      </c>
      <c r="K855" s="12">
        <v>1</v>
      </c>
      <c r="L855" s="13">
        <f>VLOOKUP(H855, 'RM &amp; SF'!B:H, 7, 0)</f>
        <v>5.1719999999999995E-3</v>
      </c>
      <c r="M855" s="7">
        <f t="shared" si="51"/>
        <v>5.1719999999999995E-3</v>
      </c>
      <c r="N855" s="4" t="s">
        <v>825</v>
      </c>
      <c r="O855" s="4">
        <f>VLOOKUP(B855, 'All Menu'!B:L, 6, 0)</f>
        <v>5.9051724137931032</v>
      </c>
      <c r="P855" s="6">
        <f>VLOOKUP(B855, 'All Menu'!B:L, 9, 0)</f>
        <v>1.2726827206349205</v>
      </c>
      <c r="Q855" s="14">
        <f>VLOOKUP(B855, 'All Menu'!B:M, 12, 0)</f>
        <v>0.78448000643262661</v>
      </c>
      <c r="R855" s="173">
        <f t="shared" si="52"/>
        <v>0</v>
      </c>
    </row>
    <row r="856" spans="1:18" ht="14" hidden="1">
      <c r="A856" s="78" t="s">
        <v>2571</v>
      </c>
      <c r="B856" s="220" t="s">
        <v>1163</v>
      </c>
      <c r="C856" s="185"/>
      <c r="D856" s="103" t="str">
        <f>VLOOKUP(B856, 'All Menu'!B:M, 4, 0)</f>
        <v>بينا اربياتا</v>
      </c>
      <c r="E856" s="30" t="str">
        <f>VLOOKUP(B856, 'All Menu'!B:M, 2, 0)</f>
        <v>قسم الصالة</v>
      </c>
      <c r="F856" s="103" t="str">
        <f>VLOOKUP(B856, 'All Menu'!B:M, 3, 0)</f>
        <v>باستا صالة</v>
      </c>
      <c r="G856" s="90" t="s">
        <v>3058</v>
      </c>
      <c r="H856" s="188">
        <v>4102</v>
      </c>
      <c r="I856" s="110" t="str">
        <f>VLOOKUP(H856, 'RM &amp; SF'!B:H, 2, 0)</f>
        <v>*****معكرونة بنا 500 غم</v>
      </c>
      <c r="J856" s="184" t="str">
        <f>VLOOKUP(H856, 'RM &amp; SF'!B:E, 4, 0)</f>
        <v>غم</v>
      </c>
      <c r="K856" s="12">
        <v>230</v>
      </c>
      <c r="L856" s="13">
        <f>VLOOKUP(H856, 'RM &amp; SF'!B:H, 7, 0)</f>
        <v>1.1100000000000001E-3</v>
      </c>
      <c r="M856" s="7">
        <f t="shared" si="51"/>
        <v>0.25530000000000003</v>
      </c>
      <c r="N856" s="4" t="s">
        <v>825</v>
      </c>
      <c r="O856" s="4">
        <f>VLOOKUP(B856, 'All Menu'!B:L, 6, 0)</f>
        <v>5.9051724137931032</v>
      </c>
      <c r="P856" s="6">
        <f>VLOOKUP(B856, 'All Menu'!B:L, 9, 0)</f>
        <v>1.2726827206349205</v>
      </c>
      <c r="Q856" s="14">
        <f>VLOOKUP(B856, 'All Menu'!B:M, 12, 0)</f>
        <v>0.78448000643262661</v>
      </c>
      <c r="R856" s="173">
        <f t="shared" si="52"/>
        <v>0</v>
      </c>
    </row>
    <row r="857" spans="1:18" ht="14" hidden="1">
      <c r="A857" s="78" t="s">
        <v>2571</v>
      </c>
      <c r="B857" s="220" t="s">
        <v>1163</v>
      </c>
      <c r="C857" s="185"/>
      <c r="D857" s="103" t="str">
        <f>VLOOKUP(B857, 'All Menu'!B:M, 4, 0)</f>
        <v>بينا اربياتا</v>
      </c>
      <c r="E857" s="30" t="str">
        <f>VLOOKUP(B857, 'All Menu'!B:M, 2, 0)</f>
        <v>قسم الصالة</v>
      </c>
      <c r="F857" s="103" t="str">
        <f>VLOOKUP(B857, 'All Menu'!B:M, 3, 0)</f>
        <v>باستا صالة</v>
      </c>
      <c r="G857" s="90" t="s">
        <v>2179</v>
      </c>
      <c r="H857" s="188">
        <v>4560</v>
      </c>
      <c r="I857" s="110" t="str">
        <f>VLOOKUP(H857, 'RM &amp; SF'!B:H, 2, 0)</f>
        <v>جبنة بارميزان قالب*****</v>
      </c>
      <c r="J857" s="184" t="str">
        <f>VLOOKUP(H857, 'RM &amp; SF'!B:E, 4, 0)</f>
        <v>غم</v>
      </c>
      <c r="K857" s="12">
        <v>10</v>
      </c>
      <c r="L857" s="13">
        <f>VLOOKUP(H857, 'RM &amp; SF'!B:H, 7, 0)</f>
        <v>6.5100000000000002E-3</v>
      </c>
      <c r="M857" s="7">
        <f t="shared" si="51"/>
        <v>6.5100000000000005E-2</v>
      </c>
      <c r="N857" s="4" t="s">
        <v>825</v>
      </c>
      <c r="O857" s="4">
        <f>VLOOKUP(B857, 'All Menu'!B:L, 6, 0)</f>
        <v>5.9051724137931032</v>
      </c>
      <c r="P857" s="6">
        <f>VLOOKUP(B857, 'All Menu'!B:L, 9, 0)</f>
        <v>1.2726827206349205</v>
      </c>
      <c r="Q857" s="14">
        <f>VLOOKUP(B857, 'All Menu'!B:M, 12, 0)</f>
        <v>0.78448000643262661</v>
      </c>
      <c r="R857" s="173">
        <f t="shared" si="52"/>
        <v>0</v>
      </c>
    </row>
    <row r="858" spans="1:18" ht="14" hidden="1">
      <c r="A858" s="78" t="s">
        <v>2504</v>
      </c>
      <c r="B858" s="220" t="s">
        <v>1185</v>
      </c>
      <c r="C858" s="185"/>
      <c r="D858" s="103" t="str">
        <f>VLOOKUP(B858, 'All Menu'!B:M, 4, 0)</f>
        <v>مثومة</v>
      </c>
      <c r="E858" s="30" t="str">
        <f>VLOOKUP(B858, 'All Menu'!B:M, 2, 0)</f>
        <v>قسم الصالة</v>
      </c>
      <c r="F858" s="103" t="str">
        <f>VLOOKUP(B858, 'All Menu'!B:M, 3, 0)</f>
        <v>مقبلات باردة صالة</v>
      </c>
      <c r="G858" s="90" t="s">
        <v>2325</v>
      </c>
      <c r="H858" s="219" t="s">
        <v>534</v>
      </c>
      <c r="I858" s="110" t="str">
        <f>VLOOKUP(H858, 'RM &amp; SF'!B:H, 2, 0)</f>
        <v>مثومه</v>
      </c>
      <c r="J858" s="184" t="str">
        <f>VLOOKUP(H858, 'RM &amp; SF'!B:E, 4, 0)</f>
        <v>غم</v>
      </c>
      <c r="K858" s="12">
        <v>150</v>
      </c>
      <c r="L858" s="13">
        <f>VLOOKUP(H858, 'RM &amp; SF'!B:H, 7, 0)</f>
        <v>6.6564092227821051E-4</v>
      </c>
      <c r="M858" s="7">
        <f t="shared" ref="M858:M898" si="53">L858*K858</f>
        <v>9.9846138341731575E-2</v>
      </c>
      <c r="N858" s="4" t="s">
        <v>825</v>
      </c>
      <c r="O858" s="4">
        <f>VLOOKUP(B858, 'All Menu'!B:L, 6, 0)</f>
        <v>0.64655172413793105</v>
      </c>
      <c r="P858" s="6">
        <f>VLOOKUP(B858, 'All Menu'!B:L, 9, 0)</f>
        <v>9.9846138341731575E-2</v>
      </c>
      <c r="Q858" s="14">
        <f>VLOOKUP(B858, 'All Menu'!B:M, 12, 0)</f>
        <v>0.84557130603145514</v>
      </c>
      <c r="R858" s="173">
        <f t="shared" si="52"/>
        <v>0</v>
      </c>
    </row>
    <row r="859" spans="1:18" ht="14" hidden="1">
      <c r="A859" s="78" t="s">
        <v>2634</v>
      </c>
      <c r="B859" s="220" t="s">
        <v>1192</v>
      </c>
      <c r="C859" s="185"/>
      <c r="D859" s="103" t="str">
        <f>VLOOKUP(B859, 'All Menu'!B:M, 4, 0)</f>
        <v>وجبة دوالي</v>
      </c>
      <c r="E859" s="30" t="str">
        <f>VLOOKUP(B859, 'All Menu'!B:M, 2, 0)</f>
        <v>قسم الصالة</v>
      </c>
      <c r="F859" s="103" t="str">
        <f>VLOOKUP(B859, 'All Menu'!B:M, 3, 0)</f>
        <v>اطباق اليوم صالة</v>
      </c>
      <c r="G859" s="90" t="s">
        <v>2437</v>
      </c>
      <c r="H859" s="219" t="s">
        <v>688</v>
      </c>
      <c r="I859" s="110" t="str">
        <f>VLOOKUP(H859, 'RM &amp; SF'!B:H, 2, 0)</f>
        <v>دوالي محشي</v>
      </c>
      <c r="J859" s="184" t="str">
        <f>VLOOKUP(H859, 'RM &amp; SF'!B:E, 4, 0)</f>
        <v>قطعة</v>
      </c>
      <c r="K859" s="20">
        <v>20</v>
      </c>
      <c r="L859" s="13">
        <f>VLOOKUP(H859, 'RM &amp; SF'!B:H, 7, 0)</f>
        <v>6.7135997560149097E-2</v>
      </c>
      <c r="M859" s="7">
        <f>L859*K859</f>
        <v>1.3427199512029819</v>
      </c>
      <c r="N859" s="4" t="s">
        <v>825</v>
      </c>
      <c r="O859" s="4">
        <f>VLOOKUP(B859, 'All Menu'!B:L, 6, 0)</f>
        <v>6.0344827586206904</v>
      </c>
      <c r="P859" s="6">
        <f>VLOOKUP(B859, 'All Menu'!B:L, 9, 0)</f>
        <v>4.2159421050491357</v>
      </c>
      <c r="Q859" s="14">
        <f>VLOOKUP(B859, 'All Menu'!B:M, 12, 0)</f>
        <v>0.30135816544900046</v>
      </c>
      <c r="R859" s="173"/>
    </row>
    <row r="860" spans="1:18" ht="14" hidden="1">
      <c r="A860" s="78" t="s">
        <v>2634</v>
      </c>
      <c r="B860" s="220" t="s">
        <v>1192</v>
      </c>
      <c r="C860" s="185"/>
      <c r="D860" s="103" t="str">
        <f>VLOOKUP(B860, 'All Menu'!B:M, 4, 0)</f>
        <v>وجبة دوالي</v>
      </c>
      <c r="E860" s="30" t="str">
        <f>VLOOKUP(B860, 'All Menu'!B:M, 2, 0)</f>
        <v>قسم الصالة</v>
      </c>
      <c r="F860" s="103" t="str">
        <f>VLOOKUP(B860, 'All Menu'!B:M, 3, 0)</f>
        <v>اطباق اليوم صالة</v>
      </c>
      <c r="G860" s="90" t="s">
        <v>2435</v>
      </c>
      <c r="H860" s="219" t="s">
        <v>690</v>
      </c>
      <c r="I860" s="110" t="str">
        <f>VLOOKUP(H860, 'RM &amp; SF'!B:H, 2, 0)</f>
        <v>كوسا محشي بالحبة</v>
      </c>
      <c r="J860" s="184" t="str">
        <f>VLOOKUP(H860, 'RM &amp; SF'!B:E, 4, 0)</f>
        <v>قطعة</v>
      </c>
      <c r="K860" s="20">
        <v>4</v>
      </c>
      <c r="L860" s="13">
        <f>VLOOKUP(H860, 'RM &amp; SF'!B:H, 7, 0)</f>
        <v>0.20580553846153843</v>
      </c>
      <c r="M860" s="7">
        <f>L860*K860</f>
        <v>0.82322215384615371</v>
      </c>
      <c r="N860" s="4" t="s">
        <v>825</v>
      </c>
      <c r="O860" s="4">
        <f>VLOOKUP(B860, 'All Menu'!B:L, 6, 0)</f>
        <v>6.0344827586206904</v>
      </c>
      <c r="P860" s="6">
        <f>VLOOKUP(B860, 'All Menu'!B:L, 9, 0)</f>
        <v>4.2159421050491357</v>
      </c>
      <c r="Q860" s="14">
        <f>VLOOKUP(B860, 'All Menu'!B:M, 12, 0)</f>
        <v>0.30135816544900046</v>
      </c>
      <c r="R860" s="173"/>
    </row>
    <row r="861" spans="1:18" ht="14" hidden="1">
      <c r="A861" s="78" t="s">
        <v>2634</v>
      </c>
      <c r="B861" s="220" t="s">
        <v>1192</v>
      </c>
      <c r="C861" s="185"/>
      <c r="D861" s="103" t="str">
        <f>VLOOKUP(B861, 'All Menu'!B:M, 4, 0)</f>
        <v>وجبة دوالي</v>
      </c>
      <c r="E861" s="30" t="str">
        <f>VLOOKUP(B861, 'All Menu'!B:M, 2, 0)</f>
        <v>قسم الصالة</v>
      </c>
      <c r="F861" s="103" t="str">
        <f>VLOOKUP(B861, 'All Menu'!B:M, 3, 0)</f>
        <v>اطباق اليوم صالة</v>
      </c>
      <c r="G861" s="90" t="s">
        <v>2185</v>
      </c>
      <c r="H861" s="188">
        <v>4550</v>
      </c>
      <c r="I861" s="110" t="str">
        <f>VLOOKUP(H861, 'RM &amp; SF'!B:H, 2, 0)</f>
        <v>*****لبن زبادي 150 غم</v>
      </c>
      <c r="J861" s="184" t="str">
        <f>VLOOKUP(H861, 'RM &amp; SF'!B:E, 4, 0)</f>
        <v>قطعة</v>
      </c>
      <c r="K861" s="20">
        <v>1</v>
      </c>
      <c r="L861" s="13">
        <f>VLOOKUP(H861, 'RM &amp; SF'!B:H, 7, 0)</f>
        <v>0.16</v>
      </c>
      <c r="M861" s="7">
        <f>L861*K861</f>
        <v>0.16</v>
      </c>
      <c r="N861" s="4" t="s">
        <v>825</v>
      </c>
      <c r="O861" s="4">
        <f>VLOOKUP(B861, 'All Menu'!B:L, 6, 0)</f>
        <v>6.0344827586206904</v>
      </c>
      <c r="P861" s="6">
        <f>VLOOKUP(B861, 'All Menu'!B:L, 9, 0)</f>
        <v>4.2159421050491357</v>
      </c>
      <c r="Q861" s="14">
        <f>VLOOKUP(B861, 'All Menu'!B:M, 12, 0)</f>
        <v>0.30135816544900046</v>
      </c>
      <c r="R861" s="173"/>
    </row>
    <row r="862" spans="1:18" ht="14" hidden="1">
      <c r="A862" s="78" t="s">
        <v>2634</v>
      </c>
      <c r="B862" s="220" t="s">
        <v>1192</v>
      </c>
      <c r="C862" s="185"/>
      <c r="D862" s="103" t="str">
        <f>VLOOKUP(B862, 'All Menu'!B:M, 4, 0)</f>
        <v>وجبة دوالي</v>
      </c>
      <c r="E862" s="30" t="str">
        <f>VLOOKUP(B862, 'All Menu'!B:M, 2, 0)</f>
        <v>قسم الصالة</v>
      </c>
      <c r="F862" s="103" t="str">
        <f>VLOOKUP(B862, 'All Menu'!B:M, 3, 0)</f>
        <v>اطباق اليوم صالة</v>
      </c>
      <c r="G862" s="90" t="s">
        <v>3058</v>
      </c>
      <c r="H862" s="188">
        <v>4943</v>
      </c>
      <c r="I862" s="110" t="str">
        <f>VLOOKUP(H862, 'RM &amp; SF'!B:H, 2, 0)</f>
        <v>أضلاع خروف (قص خروف) مع عظم بلدي*****</v>
      </c>
      <c r="J862" s="184" t="str">
        <f>VLOOKUP(H862, 'RM &amp; SF'!B:E, 4, 0)</f>
        <v>غم</v>
      </c>
      <c r="K862" s="20">
        <v>180</v>
      </c>
      <c r="L862" s="13">
        <f>VLOOKUP(H862, 'RM &amp; SF'!B:H, 7, 0)</f>
        <v>1.0500000000000001E-2</v>
      </c>
      <c r="M862" s="7">
        <f t="shared" si="53"/>
        <v>1.8900000000000001</v>
      </c>
      <c r="N862" s="4" t="s">
        <v>825</v>
      </c>
      <c r="O862" s="4">
        <f>VLOOKUP(B862, 'All Menu'!B:L, 6, 0)</f>
        <v>6.0344827586206904</v>
      </c>
      <c r="P862" s="6">
        <f>VLOOKUP(B862, 'All Menu'!B:L, 9, 0)</f>
        <v>4.2159421050491357</v>
      </c>
      <c r="Q862" s="14">
        <f>VLOOKUP(B862, 'All Menu'!B:M, 12, 0)</f>
        <v>0.30135816544900046</v>
      </c>
      <c r="R862" s="173">
        <f t="shared" ref="R862:R898" si="54">C862*K862</f>
        <v>0</v>
      </c>
    </row>
    <row r="863" spans="1:18" ht="14" hidden="1">
      <c r="A863" s="78" t="s">
        <v>2635</v>
      </c>
      <c r="B863" s="220" t="s">
        <v>1200</v>
      </c>
      <c r="C863" s="185"/>
      <c r="D863" s="103" t="str">
        <f>VLOOKUP(B863, 'All Menu'!B:M, 4, 0)</f>
        <v>وجبة محاشي</v>
      </c>
      <c r="E863" s="30" t="str">
        <f>VLOOKUP(B863, 'All Menu'!B:M, 2, 0)</f>
        <v>قسم الصالة</v>
      </c>
      <c r="F863" s="103" t="str">
        <f>VLOOKUP(B863, 'All Menu'!B:M, 3, 0)</f>
        <v>اطباق اليوم صالة</v>
      </c>
      <c r="G863" s="90" t="s">
        <v>2435</v>
      </c>
      <c r="H863" s="219" t="s">
        <v>690</v>
      </c>
      <c r="I863" s="110" t="str">
        <f>VLOOKUP(H863, 'RM &amp; SF'!B:H, 2, 0)</f>
        <v>كوسا محشي بالحبة</v>
      </c>
      <c r="J863" s="184" t="str">
        <f>VLOOKUP(H863, 'RM &amp; SF'!B:E, 4, 0)</f>
        <v>قطعة</v>
      </c>
      <c r="K863" s="12">
        <v>4</v>
      </c>
      <c r="L863" s="13">
        <f>VLOOKUP(H863, 'RM &amp; SF'!B:H, 7, 0)</f>
        <v>0.20580553846153843</v>
      </c>
      <c r="M863" s="7">
        <f t="shared" si="53"/>
        <v>0.82322215384615371</v>
      </c>
      <c r="N863" s="4" t="s">
        <v>825</v>
      </c>
      <c r="O863" s="4">
        <f>VLOOKUP(B863, 'All Menu'!B:L, 6, 0)</f>
        <v>6.0344827586206904</v>
      </c>
      <c r="P863" s="6">
        <f>VLOOKUP(B863, 'All Menu'!B:L, 9, 0)</f>
        <v>1.3290548048763495</v>
      </c>
      <c r="Q863" s="14">
        <f>VLOOKUP(B863, 'All Menu'!B:M, 12, 0)</f>
        <v>0.77975663233477632</v>
      </c>
      <c r="R863" s="173">
        <f t="shared" si="54"/>
        <v>0</v>
      </c>
    </row>
    <row r="864" spans="1:18" ht="14" hidden="1">
      <c r="A864" s="78" t="s">
        <v>2635</v>
      </c>
      <c r="B864" s="220" t="s">
        <v>1200</v>
      </c>
      <c r="C864" s="185"/>
      <c r="D864" s="103" t="str">
        <f>VLOOKUP(B864, 'All Menu'!B:M, 4, 0)</f>
        <v>وجبة محاشي</v>
      </c>
      <c r="E864" s="30" t="str">
        <f>VLOOKUP(B864, 'All Menu'!B:M, 2, 0)</f>
        <v>قسم الصالة</v>
      </c>
      <c r="F864" s="103" t="str">
        <f>VLOOKUP(B864, 'All Menu'!B:M, 3, 0)</f>
        <v>اطباق اليوم صالة</v>
      </c>
      <c r="G864" s="90" t="s">
        <v>2436</v>
      </c>
      <c r="H864" s="219" t="s">
        <v>692</v>
      </c>
      <c r="I864" s="110" t="str">
        <f>VLOOKUP(H864, 'RM &amp; SF'!B:H, 2, 0)</f>
        <v xml:space="preserve">باذنجان محشي </v>
      </c>
      <c r="J864" s="184" t="str">
        <f>VLOOKUP(H864, 'RM &amp; SF'!B:E, 4, 0)</f>
        <v>قطعة</v>
      </c>
      <c r="K864" s="12">
        <v>4</v>
      </c>
      <c r="L864" s="13">
        <f>VLOOKUP(H864, 'RM &amp; SF'!B:H, 7, 0)</f>
        <v>9.8091661538461536E-2</v>
      </c>
      <c r="M864" s="7">
        <f t="shared" si="53"/>
        <v>0.39236664615384614</v>
      </c>
      <c r="N864" s="4" t="s">
        <v>825</v>
      </c>
      <c r="O864" s="4">
        <f>VLOOKUP(B864, 'All Menu'!B:L, 6, 0)</f>
        <v>6.0344827586206904</v>
      </c>
      <c r="P864" s="6">
        <f>VLOOKUP(B864, 'All Menu'!B:L, 9, 0)</f>
        <v>1.3290548048763495</v>
      </c>
      <c r="Q864" s="14">
        <f>VLOOKUP(B864, 'All Menu'!B:M, 12, 0)</f>
        <v>0.77975663233477632</v>
      </c>
      <c r="R864" s="173">
        <f t="shared" si="54"/>
        <v>0</v>
      </c>
    </row>
    <row r="865" spans="1:18" ht="14" hidden="1">
      <c r="A865" s="78" t="s">
        <v>2635</v>
      </c>
      <c r="B865" s="220" t="s">
        <v>1200</v>
      </c>
      <c r="C865" s="185"/>
      <c r="D865" s="198" t="str">
        <f>VLOOKUP(B865, 'All Menu'!B:M, 4, 0)</f>
        <v>وجبة محاشي</v>
      </c>
      <c r="E865" s="30" t="str">
        <f>VLOOKUP(B865, 'All Menu'!B:M, 2, 0)</f>
        <v>قسم الصالة</v>
      </c>
      <c r="F865" s="103" t="str">
        <f>VLOOKUP(B865, 'All Menu'!B:M, 3, 0)</f>
        <v>اطباق اليوم صالة</v>
      </c>
      <c r="G865" s="90" t="s">
        <v>2434</v>
      </c>
      <c r="H865" s="219" t="s">
        <v>574</v>
      </c>
      <c r="I865" s="110" t="str">
        <f>VLOOKUP(H865, 'RM &amp; SF'!B:H, 2, 0)</f>
        <v>صوص بندورة</v>
      </c>
      <c r="J865" s="184" t="str">
        <f>VLOOKUP(H865, 'RM &amp; SF'!B:E, 4, 0)</f>
        <v>غم</v>
      </c>
      <c r="K865" s="12">
        <v>100</v>
      </c>
      <c r="L865" s="13">
        <f>VLOOKUP(H865, 'RM &amp; SF'!B:H, 7, 0)</f>
        <v>1.1346600487634969E-3</v>
      </c>
      <c r="M865" s="7">
        <f t="shared" si="53"/>
        <v>0.1134660048763497</v>
      </c>
      <c r="N865" s="4" t="s">
        <v>825</v>
      </c>
      <c r="O865" s="4">
        <f>VLOOKUP(B865, 'All Menu'!B:L, 6, 0)</f>
        <v>6.0344827586206904</v>
      </c>
      <c r="P865" s="6">
        <f>VLOOKUP(B865, 'All Menu'!B:L, 9, 0)</f>
        <v>1.3290548048763495</v>
      </c>
      <c r="Q865" s="14">
        <f>VLOOKUP(B865, 'All Menu'!B:M, 12, 0)</f>
        <v>0.77975663233477632</v>
      </c>
      <c r="R865" s="173">
        <f t="shared" si="54"/>
        <v>0</v>
      </c>
    </row>
    <row r="866" spans="1:18" ht="14" hidden="1">
      <c r="A866" s="78" t="s">
        <v>2636</v>
      </c>
      <c r="B866" s="220" t="s">
        <v>1201</v>
      </c>
      <c r="C866" s="185"/>
      <c r="D866" s="103" t="str">
        <f>VLOOKUP(B866, 'All Menu'!B:M, 4, 0)</f>
        <v>وجبة ضلعة محشية</v>
      </c>
      <c r="E866" s="30" t="str">
        <f>VLOOKUP(B866, 'All Menu'!B:M, 2, 0)</f>
        <v>قسم الصالة</v>
      </c>
      <c r="F866" s="103" t="str">
        <f>VLOOKUP(B866, 'All Menu'!B:M, 3, 0)</f>
        <v>اطباق اليوم صالة</v>
      </c>
      <c r="G866" s="90" t="s">
        <v>2340</v>
      </c>
      <c r="H866" s="219" t="s">
        <v>702</v>
      </c>
      <c r="I866" s="110" t="str">
        <f>VLOOKUP(H866, 'RM &amp; SF'!B:H, 2, 0)</f>
        <v>ضلعة محشية رز</v>
      </c>
      <c r="J866" s="184" t="str">
        <f>VLOOKUP(H866, 'RM &amp; SF'!B:E, 4, 0)</f>
        <v>قطعة</v>
      </c>
      <c r="K866" s="12">
        <v>1</v>
      </c>
      <c r="L866" s="13">
        <f>VLOOKUP(H866, 'RM &amp; SF'!B:H, 7, 0)</f>
        <v>5.4594689919691346</v>
      </c>
      <c r="M866" s="7">
        <f t="shared" si="53"/>
        <v>5.4594689919691346</v>
      </c>
      <c r="N866" s="4" t="s">
        <v>825</v>
      </c>
      <c r="O866" s="4">
        <f>VLOOKUP(B866, 'All Menu'!B:L, 6, 0)</f>
        <v>7.7586206896551726</v>
      </c>
      <c r="P866" s="6">
        <f>VLOOKUP(B866, 'All Menu'!B:L, 9, 0)</f>
        <v>7.049924653346979</v>
      </c>
      <c r="Q866" s="14">
        <f>VLOOKUP(B866, 'All Menu'!B:M, 12, 0)</f>
        <v>9.1343044679722721E-2</v>
      </c>
      <c r="R866" s="173">
        <f t="shared" si="54"/>
        <v>0</v>
      </c>
    </row>
    <row r="867" spans="1:18" ht="14" hidden="1">
      <c r="A867" s="78" t="s">
        <v>2636</v>
      </c>
      <c r="B867" s="220" t="s">
        <v>1201</v>
      </c>
      <c r="C867" s="185"/>
      <c r="D867" s="103" t="str">
        <f>VLOOKUP(B867, 'All Menu'!B:M, 4, 0)</f>
        <v>وجبة ضلعة محشية</v>
      </c>
      <c r="E867" s="30" t="str">
        <f>VLOOKUP(B867, 'All Menu'!B:M, 2, 0)</f>
        <v>قسم الصالة</v>
      </c>
      <c r="F867" s="103" t="str">
        <f>VLOOKUP(B867, 'All Menu'!B:M, 3, 0)</f>
        <v>اطباق اليوم صالة</v>
      </c>
      <c r="G867" s="90" t="s">
        <v>2377</v>
      </c>
      <c r="H867" s="219" t="s">
        <v>796</v>
      </c>
      <c r="I867" s="110" t="str">
        <f>VLOOKUP(H867, 'RM &amp; SF'!B:H, 2, 0)</f>
        <v>رز مبهر</v>
      </c>
      <c r="J867" s="184" t="str">
        <f>VLOOKUP(H867, 'RM &amp; SF'!B:E, 4, 0)</f>
        <v>غم</v>
      </c>
      <c r="K867" s="12">
        <v>450</v>
      </c>
      <c r="L867" s="13">
        <f>VLOOKUP(H867, 'RM &amp; SF'!B:H, 7, 0)</f>
        <v>8.1314491666666653E-4</v>
      </c>
      <c r="M867" s="7">
        <f>L867*K867</f>
        <v>0.36591521249999992</v>
      </c>
      <c r="N867" s="4" t="s">
        <v>825</v>
      </c>
      <c r="O867" s="4">
        <f>VLOOKUP(B867, 'All Menu'!B:L, 6, 0)</f>
        <v>7.7586206896551726</v>
      </c>
      <c r="P867" s="6">
        <f>VLOOKUP(B867, 'All Menu'!B:L, 9, 0)</f>
        <v>7.049924653346979</v>
      </c>
      <c r="Q867" s="14">
        <f>VLOOKUP(B867, 'All Menu'!B:M, 12, 0)</f>
        <v>9.1343044679722721E-2</v>
      </c>
      <c r="R867" s="173"/>
    </row>
    <row r="868" spans="1:18" ht="14" hidden="1">
      <c r="A868" s="78" t="s">
        <v>2636</v>
      </c>
      <c r="B868" s="220" t="s">
        <v>1201</v>
      </c>
      <c r="C868" s="185"/>
      <c r="D868" s="103" t="str">
        <f>VLOOKUP(B868, 'All Menu'!B:M, 4, 0)</f>
        <v>وجبة ضلعة محشية</v>
      </c>
      <c r="E868" s="30" t="str">
        <f>VLOOKUP(B868, 'All Menu'!B:M, 2, 0)</f>
        <v>قسم الصالة</v>
      </c>
      <c r="F868" s="103" t="str">
        <f>VLOOKUP(B868, 'All Menu'!B:M, 3, 0)</f>
        <v>اطباق اليوم صالة</v>
      </c>
      <c r="G868" s="90" t="s">
        <v>2170</v>
      </c>
      <c r="H868" s="188">
        <v>4552</v>
      </c>
      <c r="I868" s="110" t="str">
        <f>VLOOKUP(H868, 'RM &amp; SF'!B:H, 2, 0)</f>
        <v>لبن رايب 5 كغ*****</v>
      </c>
      <c r="J868" s="184" t="str">
        <f>VLOOKUP(H868, 'RM &amp; SF'!B:E, 4, 0)</f>
        <v>غم</v>
      </c>
      <c r="K868" s="12">
        <v>150</v>
      </c>
      <c r="L868" s="13">
        <f>VLOOKUP(H868, 'RM &amp; SF'!B:H, 7, 0)</f>
        <v>8.0000000000000004E-4</v>
      </c>
      <c r="M868" s="7">
        <f t="shared" si="53"/>
        <v>0.12000000000000001</v>
      </c>
      <c r="N868" s="4" t="s">
        <v>825</v>
      </c>
      <c r="O868" s="4">
        <f>VLOOKUP(B868, 'All Menu'!B:L, 6, 0)</f>
        <v>7.7586206896551726</v>
      </c>
      <c r="P868" s="6">
        <f>VLOOKUP(B868, 'All Menu'!B:L, 9, 0)</f>
        <v>7.049924653346979</v>
      </c>
      <c r="Q868" s="14">
        <f>VLOOKUP(B868, 'All Menu'!B:M, 12, 0)</f>
        <v>9.1343044679722721E-2</v>
      </c>
      <c r="R868" s="173">
        <f t="shared" si="54"/>
        <v>0</v>
      </c>
    </row>
    <row r="869" spans="1:18" ht="14" hidden="1">
      <c r="A869" s="78" t="s">
        <v>2636</v>
      </c>
      <c r="B869" s="220" t="s">
        <v>1201</v>
      </c>
      <c r="C869" s="185"/>
      <c r="D869" s="103" t="str">
        <f>VLOOKUP(B869, 'All Menu'!B:M, 4, 0)</f>
        <v>وجبة ضلعة محشية</v>
      </c>
      <c r="E869" s="30" t="str">
        <f>VLOOKUP(B869, 'All Menu'!B:M, 2, 0)</f>
        <v>قسم الصالة</v>
      </c>
      <c r="F869" s="103" t="str">
        <f>VLOOKUP(B869, 'All Menu'!B:M, 3, 0)</f>
        <v>اطباق اليوم صالة</v>
      </c>
      <c r="G869" s="90" t="s">
        <v>3058</v>
      </c>
      <c r="H869" s="188">
        <v>4150</v>
      </c>
      <c r="I869" s="110" t="str">
        <f>VLOOKUP(H869, 'RM &amp; SF'!B:H, 2, 0)</f>
        <v>لوز ارباع 11.340 كغ*****</v>
      </c>
      <c r="J869" s="184" t="str">
        <f>VLOOKUP(H869, 'RM &amp; SF'!B:E, 4, 0)</f>
        <v>غم</v>
      </c>
      <c r="K869" s="12">
        <v>25</v>
      </c>
      <c r="L869" s="13">
        <f>VLOOKUP(H869, 'RM &amp; SF'!B:H, 7, 0)</f>
        <v>6.233655658943015E-3</v>
      </c>
      <c r="M869" s="7">
        <f t="shared" si="53"/>
        <v>0.15584139147357537</v>
      </c>
      <c r="N869" s="4" t="s">
        <v>825</v>
      </c>
      <c r="O869" s="4">
        <f>VLOOKUP(B869, 'All Menu'!B:L, 6, 0)</f>
        <v>7.7586206896551726</v>
      </c>
      <c r="P869" s="6">
        <f>VLOOKUP(B869, 'All Menu'!B:L, 9, 0)</f>
        <v>7.049924653346979</v>
      </c>
      <c r="Q869" s="14">
        <f>VLOOKUP(B869, 'All Menu'!B:M, 12, 0)</f>
        <v>9.1343044679722721E-2</v>
      </c>
      <c r="R869" s="173">
        <f t="shared" si="54"/>
        <v>0</v>
      </c>
    </row>
    <row r="870" spans="1:18" ht="14" hidden="1">
      <c r="A870" s="78" t="s">
        <v>2636</v>
      </c>
      <c r="B870" s="220" t="s">
        <v>1201</v>
      </c>
      <c r="C870" s="185"/>
      <c r="D870" s="103" t="str">
        <f>VLOOKUP(B870, 'All Menu'!B:M, 4, 0)</f>
        <v>وجبة ضلعة محشية</v>
      </c>
      <c r="E870" s="30" t="str">
        <f>VLOOKUP(B870, 'All Menu'!B:M, 2, 0)</f>
        <v>قسم الصالة</v>
      </c>
      <c r="F870" s="103" t="str">
        <f>VLOOKUP(B870, 'All Menu'!B:M, 3, 0)</f>
        <v>اطباق اليوم صالة</v>
      </c>
      <c r="G870" s="90" t="s">
        <v>2437</v>
      </c>
      <c r="H870" s="219" t="s">
        <v>688</v>
      </c>
      <c r="I870" s="110" t="str">
        <f>VLOOKUP(H870, 'RM &amp; SF'!B:H, 2, 0)</f>
        <v>دوالي محشي</v>
      </c>
      <c r="J870" s="184" t="str">
        <f>VLOOKUP(H870, 'RM &amp; SF'!B:E, 4, 0)</f>
        <v>قطعة</v>
      </c>
      <c r="K870" s="12">
        <v>8</v>
      </c>
      <c r="L870" s="13">
        <f>VLOOKUP(H870, 'RM &amp; SF'!B:H, 7, 0)</f>
        <v>6.7135997560149097E-2</v>
      </c>
      <c r="M870" s="7">
        <f t="shared" si="53"/>
        <v>0.53708798048119277</v>
      </c>
      <c r="N870" s="4" t="s">
        <v>825</v>
      </c>
      <c r="O870" s="4">
        <f>VLOOKUP(B870, 'All Menu'!B:L, 6, 0)</f>
        <v>7.7586206896551726</v>
      </c>
      <c r="P870" s="6">
        <f>VLOOKUP(B870, 'All Menu'!B:L, 9, 0)</f>
        <v>7.049924653346979</v>
      </c>
      <c r="Q870" s="14">
        <f>VLOOKUP(B870, 'All Menu'!B:M, 12, 0)</f>
        <v>9.1343044679722721E-2</v>
      </c>
      <c r="R870" s="173">
        <f t="shared" si="54"/>
        <v>0</v>
      </c>
    </row>
    <row r="871" spans="1:18" ht="14" hidden="1">
      <c r="A871" s="78" t="s">
        <v>2636</v>
      </c>
      <c r="B871" s="220" t="s">
        <v>1201</v>
      </c>
      <c r="C871" s="185"/>
      <c r="D871" s="103" t="str">
        <f>VLOOKUP(B871, 'All Menu'!B:M, 4, 0)</f>
        <v>وجبة ضلعة محشية</v>
      </c>
      <c r="E871" s="30" t="str">
        <f>VLOOKUP(B871, 'All Menu'!B:M, 2, 0)</f>
        <v>قسم الصالة</v>
      </c>
      <c r="F871" s="103" t="str">
        <f>VLOOKUP(B871, 'All Menu'!B:M, 3, 0)</f>
        <v>اطباق اليوم صالة</v>
      </c>
      <c r="G871" s="90" t="s">
        <v>2435</v>
      </c>
      <c r="H871" s="219" t="s">
        <v>690</v>
      </c>
      <c r="I871" s="110" t="str">
        <f>VLOOKUP(H871, 'RM &amp; SF'!B:H, 2, 0)</f>
        <v>كوسا محشي بالحبة</v>
      </c>
      <c r="J871" s="184" t="str">
        <f>VLOOKUP(H871, 'RM &amp; SF'!B:E, 4, 0)</f>
        <v>قطعة</v>
      </c>
      <c r="K871" s="12">
        <v>2</v>
      </c>
      <c r="L871" s="13">
        <f>VLOOKUP(H871, 'RM &amp; SF'!B:H, 7, 0)</f>
        <v>0.20580553846153843</v>
      </c>
      <c r="M871" s="7">
        <f t="shared" si="53"/>
        <v>0.41161107692307686</v>
      </c>
      <c r="N871" s="4" t="s">
        <v>825</v>
      </c>
      <c r="O871" s="4">
        <f>VLOOKUP(B871, 'All Menu'!B:L, 6, 0)</f>
        <v>7.7586206896551726</v>
      </c>
      <c r="P871" s="6">
        <f>VLOOKUP(B871, 'All Menu'!B:L, 9, 0)</f>
        <v>7.049924653346979</v>
      </c>
      <c r="Q871" s="14">
        <f>VLOOKUP(B871, 'All Menu'!B:M, 12, 0)</f>
        <v>9.1343044679722721E-2</v>
      </c>
      <c r="R871" s="173">
        <f t="shared" si="54"/>
        <v>0</v>
      </c>
    </row>
    <row r="872" spans="1:18" ht="14" hidden="1">
      <c r="A872" s="78" t="s">
        <v>2541</v>
      </c>
      <c r="B872" s="220" t="s">
        <v>1089</v>
      </c>
      <c r="C872" s="185"/>
      <c r="D872" s="103" t="str">
        <f>VLOOKUP(B872, 'All Menu'!B:M, 4, 0)</f>
        <v>عصير ليمون</v>
      </c>
      <c r="E872" s="30" t="str">
        <f>VLOOKUP(B872, 'All Menu'!B:M, 2, 0)</f>
        <v>قسم الصالة</v>
      </c>
      <c r="F872" s="103" t="str">
        <f>VLOOKUP(B872, 'All Menu'!B:M, 3, 0)</f>
        <v>باريستا صالة</v>
      </c>
      <c r="G872" s="90" t="s">
        <v>2255</v>
      </c>
      <c r="H872" s="188">
        <v>4573</v>
      </c>
      <c r="I872" s="110" t="str">
        <f>VLOOKUP(H872, 'RM &amp; SF'!B:H, 2, 0)</f>
        <v>عصير ليمون طازج 2.5 لتر*****</v>
      </c>
      <c r="J872" s="184" t="str">
        <f>VLOOKUP(H872, 'RM &amp; SF'!B:E, 4, 0)</f>
        <v>مل</v>
      </c>
      <c r="K872" s="12">
        <v>350</v>
      </c>
      <c r="L872" s="13">
        <f>VLOOKUP(H872, 'RM &amp; SF'!B:H, 7, 0)</f>
        <v>2.5999999999999999E-3</v>
      </c>
      <c r="M872" s="7">
        <f t="shared" si="53"/>
        <v>0.90999999999999992</v>
      </c>
      <c r="N872" s="4" t="s">
        <v>825</v>
      </c>
      <c r="O872" s="4">
        <f>VLOOKUP(B872, 'All Menu'!B:L, 6, 0)</f>
        <v>2.4568965517241383</v>
      </c>
      <c r="P872" s="6">
        <f>VLOOKUP(B872, 'All Menu'!B:L, 9, 0)</f>
        <v>1.8515524999999997</v>
      </c>
      <c r="Q872" s="14">
        <f>VLOOKUP(B872, 'All Menu'!B:M, 12, 0)</f>
        <v>0.24638564912280725</v>
      </c>
      <c r="R872" s="173">
        <f t="shared" si="54"/>
        <v>0</v>
      </c>
    </row>
    <row r="873" spans="1:18" ht="14" hidden="1">
      <c r="A873" s="78" t="s">
        <v>2541</v>
      </c>
      <c r="B873" s="220" t="s">
        <v>1089</v>
      </c>
      <c r="C873" s="185"/>
      <c r="D873" s="103" t="str">
        <f>VLOOKUP(B873, 'All Menu'!B:M, 4, 0)</f>
        <v>عصير ليمون</v>
      </c>
      <c r="E873" s="30" t="str">
        <f>VLOOKUP(B873, 'All Menu'!B:M, 2, 0)</f>
        <v>قسم الصالة</v>
      </c>
      <c r="F873" s="103" t="str">
        <f>VLOOKUP(B873, 'All Menu'!B:M, 3, 0)</f>
        <v>باريستا صالة</v>
      </c>
      <c r="G873" s="90" t="s">
        <v>2284</v>
      </c>
      <c r="H873" s="188">
        <v>4153</v>
      </c>
      <c r="I873" s="110" t="str">
        <f>VLOOKUP(H873, 'RM &amp; SF'!B:H, 2, 0)</f>
        <v>سكر ابيض ناعم*****</v>
      </c>
      <c r="J873" s="184" t="str">
        <f>VLOOKUP(H873, 'RM &amp; SF'!B:E, 4, 0)</f>
        <v>غم</v>
      </c>
      <c r="K873" s="12">
        <v>30</v>
      </c>
      <c r="L873" s="13">
        <f>VLOOKUP(H873, 'RM &amp; SF'!B:H, 7, 0)</f>
        <v>5.2499999999999997E-4</v>
      </c>
      <c r="M873" s="7">
        <f t="shared" si="53"/>
        <v>1.575E-2</v>
      </c>
      <c r="N873" s="4" t="s">
        <v>825</v>
      </c>
      <c r="O873" s="4">
        <f>VLOOKUP(B873, 'All Menu'!B:L, 6, 0)</f>
        <v>2.4568965517241383</v>
      </c>
      <c r="P873" s="6">
        <f>VLOOKUP(B873, 'All Menu'!B:L, 9, 0)</f>
        <v>1.8515524999999997</v>
      </c>
      <c r="Q873" s="14">
        <f>VLOOKUP(B873, 'All Menu'!B:M, 12, 0)</f>
        <v>0.24638564912280725</v>
      </c>
      <c r="R873" s="173">
        <f t="shared" si="54"/>
        <v>0</v>
      </c>
    </row>
    <row r="874" spans="1:18" ht="14" hidden="1">
      <c r="A874" s="78" t="s">
        <v>2621</v>
      </c>
      <c r="B874" s="220" t="s">
        <v>1214</v>
      </c>
      <c r="C874" s="185"/>
      <c r="D874" s="103" t="str">
        <f>VLOOKUP(B874, 'All Menu'!B:M, 4, 0)</f>
        <v>وجبة ضلعة فردية</v>
      </c>
      <c r="E874" s="30" t="str">
        <f>VLOOKUP(B874, 'All Menu'!B:M, 2, 0)</f>
        <v>قسم الصالة</v>
      </c>
      <c r="F874" s="103" t="str">
        <f>VLOOKUP(B874, 'All Menu'!B:M, 3, 0)</f>
        <v>اطباق اليوم صالة</v>
      </c>
      <c r="G874" s="90" t="s">
        <v>2340</v>
      </c>
      <c r="H874" s="219" t="s">
        <v>702</v>
      </c>
      <c r="I874" s="110" t="str">
        <f>VLOOKUP(H874, 'RM &amp; SF'!B:H, 2, 0)</f>
        <v>ضلعة محشية رز</v>
      </c>
      <c r="J874" s="184" t="str">
        <f>VLOOKUP(H874, 'RM &amp; SF'!B:E, 4, 0)</f>
        <v>قطعة</v>
      </c>
      <c r="K874" s="19">
        <v>1</v>
      </c>
      <c r="L874" s="13">
        <f>VLOOKUP(H874, 'RM &amp; SF'!B:H, 7, 0)</f>
        <v>5.4594689919691346</v>
      </c>
      <c r="M874" s="18">
        <f t="shared" si="53"/>
        <v>5.4594689919691346</v>
      </c>
      <c r="N874" s="24" t="s">
        <v>825</v>
      </c>
      <c r="O874" s="4">
        <f>VLOOKUP(B874, 'All Menu'!B:L, 6, 0)</f>
        <v>6.0344827586206904</v>
      </c>
      <c r="P874" s="6">
        <f>VLOOKUP(B874, 'All Menu'!B:L, 9, 0)</f>
        <v>6.1012255959427097</v>
      </c>
      <c r="Q874" s="14">
        <f>VLOOKUP(B874, 'All Menu'!B:M, 12, 0)</f>
        <v>-1.1060241613363206E-2</v>
      </c>
      <c r="R874" s="173">
        <f t="shared" si="54"/>
        <v>0</v>
      </c>
    </row>
    <row r="875" spans="1:18" ht="14" hidden="1">
      <c r="A875" s="78" t="s">
        <v>2621</v>
      </c>
      <c r="B875" s="220" t="s">
        <v>1214</v>
      </c>
      <c r="C875" s="185"/>
      <c r="D875" s="103" t="str">
        <f>VLOOKUP(B875, 'All Menu'!B:M, 4, 0)</f>
        <v>وجبة ضلعة فردية</v>
      </c>
      <c r="E875" s="30" t="str">
        <f>VLOOKUP(B875, 'All Menu'!B:M, 2, 0)</f>
        <v>قسم الصالة</v>
      </c>
      <c r="F875" s="103" t="str">
        <f>VLOOKUP(B875, 'All Menu'!B:M, 3, 0)</f>
        <v>اطباق اليوم صالة</v>
      </c>
      <c r="G875" s="90" t="s">
        <v>2377</v>
      </c>
      <c r="H875" s="219" t="s">
        <v>796</v>
      </c>
      <c r="I875" s="110" t="str">
        <f>VLOOKUP(H875, 'RM &amp; SF'!B:H, 2, 0)</f>
        <v>رز مبهر</v>
      </c>
      <c r="J875" s="184" t="str">
        <f>VLOOKUP(H875, 'RM &amp; SF'!B:E, 4, 0)</f>
        <v>غم</v>
      </c>
      <c r="K875" s="12">
        <v>450</v>
      </c>
      <c r="L875" s="13">
        <f>VLOOKUP(H875, 'RM &amp; SF'!B:H, 7, 0)</f>
        <v>8.1314491666666653E-4</v>
      </c>
      <c r="M875" s="18">
        <f>L875*K875</f>
        <v>0.36591521249999992</v>
      </c>
      <c r="N875" s="24" t="s">
        <v>825</v>
      </c>
      <c r="O875" s="4">
        <f>VLOOKUP(B875, 'All Menu'!B:L, 6, 0)</f>
        <v>6.0344827586206904</v>
      </c>
      <c r="P875" s="6">
        <f>VLOOKUP(B875, 'All Menu'!B:L, 9, 0)</f>
        <v>6.1012255959427097</v>
      </c>
      <c r="Q875" s="14">
        <f>VLOOKUP(B875, 'All Menu'!B:M, 12, 0)</f>
        <v>-1.1060241613363206E-2</v>
      </c>
      <c r="R875" s="173"/>
    </row>
    <row r="876" spans="1:18" ht="14" hidden="1">
      <c r="A876" s="78" t="s">
        <v>2621</v>
      </c>
      <c r="B876" s="220" t="s">
        <v>1214</v>
      </c>
      <c r="C876" s="185"/>
      <c r="D876" s="103" t="str">
        <f>VLOOKUP(B876, 'All Menu'!B:M, 4, 0)</f>
        <v>وجبة ضلعة فردية</v>
      </c>
      <c r="E876" s="30" t="str">
        <f>VLOOKUP(B876, 'All Menu'!B:M, 2, 0)</f>
        <v>قسم الصالة</v>
      </c>
      <c r="F876" s="103" t="str">
        <f>VLOOKUP(B876, 'All Menu'!B:M, 3, 0)</f>
        <v>اطباق اليوم صالة</v>
      </c>
      <c r="G876" s="90" t="s">
        <v>3058</v>
      </c>
      <c r="H876" s="188">
        <v>4150</v>
      </c>
      <c r="I876" s="110" t="str">
        <f>VLOOKUP(H876, 'RM &amp; SF'!B:H, 2, 0)</f>
        <v>لوز ارباع 11.340 كغ*****</v>
      </c>
      <c r="J876" s="184" t="str">
        <f>VLOOKUP(H876, 'RM &amp; SF'!B:E, 4, 0)</f>
        <v>غم</v>
      </c>
      <c r="K876" s="12">
        <v>25</v>
      </c>
      <c r="L876" s="13">
        <f>VLOOKUP(H876, 'RM &amp; SF'!B:H, 7, 0)</f>
        <v>6.233655658943015E-3</v>
      </c>
      <c r="M876" s="7">
        <f t="shared" si="53"/>
        <v>0.15584139147357537</v>
      </c>
      <c r="N876" s="4" t="s">
        <v>825</v>
      </c>
      <c r="O876" s="4">
        <f>VLOOKUP(B876, 'All Menu'!B:L, 6, 0)</f>
        <v>6.0344827586206904</v>
      </c>
      <c r="P876" s="6">
        <f>VLOOKUP(B876, 'All Menu'!B:L, 9, 0)</f>
        <v>6.1012255959427097</v>
      </c>
      <c r="Q876" s="14">
        <f>VLOOKUP(B876, 'All Menu'!B:M, 12, 0)</f>
        <v>-1.1060241613363206E-2</v>
      </c>
      <c r="R876" s="173">
        <f t="shared" si="54"/>
        <v>0</v>
      </c>
    </row>
    <row r="877" spans="1:18" ht="14" hidden="1">
      <c r="A877" s="78" t="s">
        <v>2621</v>
      </c>
      <c r="B877" s="220" t="s">
        <v>1214</v>
      </c>
      <c r="C877" s="185"/>
      <c r="D877" s="103" t="str">
        <f>VLOOKUP(B877, 'All Menu'!B:M, 4, 0)</f>
        <v>وجبة ضلعة فردية</v>
      </c>
      <c r="E877" s="30" t="str">
        <f>VLOOKUP(B877, 'All Menu'!B:M, 2, 0)</f>
        <v>قسم الصالة</v>
      </c>
      <c r="F877" s="103" t="str">
        <f>VLOOKUP(B877, 'All Menu'!B:M, 3, 0)</f>
        <v>اطباق اليوم صالة</v>
      </c>
      <c r="G877" s="90" t="s">
        <v>2170</v>
      </c>
      <c r="H877" s="224">
        <v>4552</v>
      </c>
      <c r="I877" s="110" t="str">
        <f>VLOOKUP(H877, 'RM &amp; SF'!B:H, 2, 0)</f>
        <v>لبن رايب 5 كغ*****</v>
      </c>
      <c r="J877" s="184" t="str">
        <f>VLOOKUP(H877, 'RM &amp; SF'!B:E, 4, 0)</f>
        <v>غم</v>
      </c>
      <c r="K877" s="19">
        <v>150</v>
      </c>
      <c r="L877" s="13">
        <f>VLOOKUP(H877, 'RM &amp; SF'!B:H, 7, 0)</f>
        <v>8.0000000000000004E-4</v>
      </c>
      <c r="M877" s="18">
        <f t="shared" si="53"/>
        <v>0.12000000000000001</v>
      </c>
      <c r="N877" s="24" t="s">
        <v>825</v>
      </c>
      <c r="O877" s="4">
        <f>VLOOKUP(B877, 'All Menu'!B:L, 6, 0)</f>
        <v>6.0344827586206904</v>
      </c>
      <c r="P877" s="6">
        <f>VLOOKUP(B877, 'All Menu'!B:L, 9, 0)</f>
        <v>6.1012255959427097</v>
      </c>
      <c r="Q877" s="14">
        <f>VLOOKUP(B877, 'All Menu'!B:M, 12, 0)</f>
        <v>-1.1060241613363206E-2</v>
      </c>
      <c r="R877" s="173">
        <f t="shared" si="54"/>
        <v>0</v>
      </c>
    </row>
    <row r="878" spans="1:18" ht="14" hidden="1">
      <c r="A878" s="78" t="s">
        <v>2511</v>
      </c>
      <c r="B878" s="220" t="s">
        <v>1215</v>
      </c>
      <c r="C878" s="185"/>
      <c r="D878" s="103" t="str">
        <f>VLOOKUP(B878, 'All Menu'!B:M, 4, 0)</f>
        <v>كبدة دجاج</v>
      </c>
      <c r="E878" s="30" t="str">
        <f>VLOOKUP(B878, 'All Menu'!B:M, 2, 0)</f>
        <v>قسم الصالة</v>
      </c>
      <c r="F878" s="103" t="str">
        <f>VLOOKUP(B878, 'All Menu'!B:M, 3, 0)</f>
        <v>مقبلات ساخنة صالة</v>
      </c>
      <c r="G878" s="90" t="s">
        <v>3058</v>
      </c>
      <c r="H878" s="188">
        <v>4584</v>
      </c>
      <c r="I878" s="110" t="str">
        <f>VLOOKUP(H878, 'RM &amp; SF'!B:H, 2, 0)</f>
        <v>كبدة دجاج طازجة*****</v>
      </c>
      <c r="J878" s="184" t="str">
        <f>VLOOKUP(H878, 'RM &amp; SF'!B:E, 4, 0)</f>
        <v>غم</v>
      </c>
      <c r="K878" s="12">
        <v>250</v>
      </c>
      <c r="L878" s="13">
        <f>VLOOKUP(H878, 'RM &amp; SF'!B:H, 7, 0)</f>
        <v>1.2999999999999999E-3</v>
      </c>
      <c r="M878" s="7">
        <f t="shared" si="53"/>
        <v>0.32500000000000001</v>
      </c>
      <c r="N878" s="4" t="s">
        <v>825</v>
      </c>
      <c r="O878" s="4">
        <f>VLOOKUP(B878, 'All Menu'!B:L, 6, 0)</f>
        <v>2.3706896551724141</v>
      </c>
      <c r="P878" s="6">
        <f>VLOOKUP(B878, 'All Menu'!B:L, 9, 0)</f>
        <v>0.49042810714285717</v>
      </c>
      <c r="Q878" s="14">
        <f>VLOOKUP(B878, 'All Menu'!B:M, 12, 0)</f>
        <v>0.79312850753246755</v>
      </c>
      <c r="R878" s="173">
        <f t="shared" si="54"/>
        <v>0</v>
      </c>
    </row>
    <row r="879" spans="1:18" ht="14" hidden="1">
      <c r="A879" s="78" t="s">
        <v>2511</v>
      </c>
      <c r="B879" s="220" t="s">
        <v>1215</v>
      </c>
      <c r="C879" s="185"/>
      <c r="D879" s="103" t="str">
        <f>VLOOKUP(B879, 'All Menu'!B:M, 4, 0)</f>
        <v>كبدة دجاج</v>
      </c>
      <c r="E879" s="30" t="str">
        <f>VLOOKUP(B879, 'All Menu'!B:M, 2, 0)</f>
        <v>قسم الصالة</v>
      </c>
      <c r="F879" s="103" t="str">
        <f>VLOOKUP(B879, 'All Menu'!B:M, 3, 0)</f>
        <v>مقبلات ساخنة صالة</v>
      </c>
      <c r="G879" s="90" t="s">
        <v>2344</v>
      </c>
      <c r="H879" s="219" t="s">
        <v>712</v>
      </c>
      <c r="I879" s="110" t="str">
        <f>VLOOKUP(H879, 'RM &amp; SF'!B:H, 2, 0)</f>
        <v>دقة</v>
      </c>
      <c r="J879" s="184" t="str">
        <f>VLOOKUP(H879, 'RM &amp; SF'!B:E, 4, 0)</f>
        <v>غم</v>
      </c>
      <c r="K879" s="12">
        <v>15</v>
      </c>
      <c r="L879" s="13">
        <f>VLOOKUP(H879, 'RM &amp; SF'!B:H, 7, 0)</f>
        <v>4.91927380952381E-3</v>
      </c>
      <c r="M879" s="7">
        <f t="shared" si="53"/>
        <v>7.3789107142857149E-2</v>
      </c>
      <c r="N879" s="4" t="s">
        <v>825</v>
      </c>
      <c r="O879" s="4">
        <f>VLOOKUP(B879, 'All Menu'!B:L, 6, 0)</f>
        <v>2.3706896551724141</v>
      </c>
      <c r="P879" s="6">
        <f>VLOOKUP(B879, 'All Menu'!B:L, 9, 0)</f>
        <v>0.49042810714285717</v>
      </c>
      <c r="Q879" s="14">
        <f>VLOOKUP(B879, 'All Menu'!B:M, 12, 0)</f>
        <v>0.79312850753246755</v>
      </c>
      <c r="R879" s="173">
        <f t="shared" si="54"/>
        <v>0</v>
      </c>
    </row>
    <row r="880" spans="1:18" ht="14" hidden="1">
      <c r="A880" s="78" t="s">
        <v>2511</v>
      </c>
      <c r="B880" s="220" t="s">
        <v>1215</v>
      </c>
      <c r="C880" s="185"/>
      <c r="D880" s="103" t="str">
        <f>VLOOKUP(B880, 'All Menu'!B:M, 4, 0)</f>
        <v>كبدة دجاج</v>
      </c>
      <c r="E880" s="30" t="str">
        <f>VLOOKUP(B880, 'All Menu'!B:M, 2, 0)</f>
        <v>قسم الصالة</v>
      </c>
      <c r="F880" s="103" t="str">
        <f>VLOOKUP(B880, 'All Menu'!B:M, 3, 0)</f>
        <v>مقبلات ساخنة صالة</v>
      </c>
      <c r="G880" s="90" t="s">
        <v>2345</v>
      </c>
      <c r="H880" s="219" t="s">
        <v>714</v>
      </c>
      <c r="I880" s="110" t="str">
        <f>VLOOKUP(H880, 'RM &amp; SF'!B:H, 2, 0)</f>
        <v>ثوم وزيت</v>
      </c>
      <c r="J880" s="184" t="str">
        <f>VLOOKUP(H880, 'RM &amp; SF'!B:E, 4, 0)</f>
        <v>غم</v>
      </c>
      <c r="K880" s="12">
        <v>3</v>
      </c>
      <c r="L880" s="13">
        <f>VLOOKUP(H880, 'RM &amp; SF'!B:H, 7, 0)</f>
        <v>3.2339999999999999E-3</v>
      </c>
      <c r="M880" s="7">
        <f t="shared" si="53"/>
        <v>9.7019999999999988E-3</v>
      </c>
      <c r="N880" s="4" t="s">
        <v>825</v>
      </c>
      <c r="O880" s="4">
        <f>VLOOKUP(B880, 'All Menu'!B:L, 6, 0)</f>
        <v>2.3706896551724141</v>
      </c>
      <c r="P880" s="6">
        <f>VLOOKUP(B880, 'All Menu'!B:L, 9, 0)</f>
        <v>0.49042810714285717</v>
      </c>
      <c r="Q880" s="14">
        <f>VLOOKUP(B880, 'All Menu'!B:M, 12, 0)</f>
        <v>0.79312850753246755</v>
      </c>
      <c r="R880" s="173">
        <f t="shared" si="54"/>
        <v>0</v>
      </c>
    </row>
    <row r="881" spans="1:18" ht="14" hidden="1">
      <c r="A881" s="78" t="s">
        <v>2511</v>
      </c>
      <c r="B881" s="220" t="s">
        <v>1215</v>
      </c>
      <c r="C881" s="185"/>
      <c r="D881" s="103" t="str">
        <f>VLOOKUP(B881, 'All Menu'!B:M, 4, 0)</f>
        <v>كبدة دجاج</v>
      </c>
      <c r="E881" s="30" t="str">
        <f>VLOOKUP(B881, 'All Menu'!B:M, 2, 0)</f>
        <v>قسم الصالة</v>
      </c>
      <c r="F881" s="103" t="str">
        <f>VLOOKUP(B881, 'All Menu'!B:M, 3, 0)</f>
        <v>مقبلات ساخنة صالة</v>
      </c>
      <c r="G881" s="90" t="s">
        <v>2234</v>
      </c>
      <c r="H881" s="188">
        <v>4503</v>
      </c>
      <c r="I881" s="110" t="str">
        <f>VLOOKUP(H881, 'RM &amp; SF'!B:H, 2, 0)</f>
        <v>بصل ناشف دفش*****</v>
      </c>
      <c r="J881" s="184" t="str">
        <f>VLOOKUP(H881, 'RM &amp; SF'!B:E, 4, 0)</f>
        <v>غم</v>
      </c>
      <c r="K881" s="12">
        <v>70</v>
      </c>
      <c r="L881" s="13">
        <f>VLOOKUP(H881, 'RM &amp; SF'!B:H, 7, 0)</f>
        <v>2.5000000000000001E-4</v>
      </c>
      <c r="M881" s="7">
        <f t="shared" si="53"/>
        <v>1.7500000000000002E-2</v>
      </c>
      <c r="N881" s="4" t="s">
        <v>825</v>
      </c>
      <c r="O881" s="4">
        <f>VLOOKUP(B881, 'All Menu'!B:L, 6, 0)</f>
        <v>2.3706896551724141</v>
      </c>
      <c r="P881" s="6">
        <f>VLOOKUP(B881, 'All Menu'!B:L, 9, 0)</f>
        <v>0.49042810714285717</v>
      </c>
      <c r="Q881" s="14">
        <f>VLOOKUP(B881, 'All Menu'!B:M, 12, 0)</f>
        <v>0.79312850753246755</v>
      </c>
      <c r="R881" s="173">
        <f t="shared" si="54"/>
        <v>0</v>
      </c>
    </row>
    <row r="882" spans="1:18" ht="14" hidden="1">
      <c r="A882" s="78" t="s">
        <v>2511</v>
      </c>
      <c r="B882" s="220" t="s">
        <v>1215</v>
      </c>
      <c r="C882" s="185"/>
      <c r="D882" s="103" t="str">
        <f>VLOOKUP(B882, 'All Menu'!B:M, 4, 0)</f>
        <v>كبدة دجاج</v>
      </c>
      <c r="E882" s="30" t="str">
        <f>VLOOKUP(B882, 'All Menu'!B:M, 2, 0)</f>
        <v>قسم الصالة</v>
      </c>
      <c r="F882" s="103" t="str">
        <f>VLOOKUP(B882, 'All Menu'!B:M, 3, 0)</f>
        <v>مقبلات ساخنة صالة</v>
      </c>
      <c r="G882" s="90" t="s">
        <v>2203</v>
      </c>
      <c r="H882" s="188">
        <v>4152</v>
      </c>
      <c r="I882" s="110" t="str">
        <f>VLOOKUP(H882, 'RM &amp; SF'!B:H, 2, 0)</f>
        <v>ملح طعام 750غم*****</v>
      </c>
      <c r="J882" s="184" t="str">
        <f>VLOOKUP(H882, 'RM &amp; SF'!B:E, 4, 0)</f>
        <v>غم</v>
      </c>
      <c r="K882" s="12">
        <v>3</v>
      </c>
      <c r="L882" s="13">
        <f>VLOOKUP(H882, 'RM &amp; SF'!B:H, 7, 0)</f>
        <v>1.7066666666666665E-4</v>
      </c>
      <c r="M882" s="7">
        <f t="shared" si="53"/>
        <v>5.1199999999999998E-4</v>
      </c>
      <c r="N882" s="4" t="s">
        <v>825</v>
      </c>
      <c r="O882" s="4">
        <f>VLOOKUP(B882, 'All Menu'!B:L, 6, 0)</f>
        <v>2.3706896551724141</v>
      </c>
      <c r="P882" s="6">
        <f>VLOOKUP(B882, 'All Menu'!B:L, 9, 0)</f>
        <v>0.49042810714285717</v>
      </c>
      <c r="Q882" s="14">
        <f>VLOOKUP(B882, 'All Menu'!B:M, 12, 0)</f>
        <v>0.79312850753246755</v>
      </c>
      <c r="R882" s="173">
        <f t="shared" si="54"/>
        <v>0</v>
      </c>
    </row>
    <row r="883" spans="1:18" ht="14" hidden="1">
      <c r="A883" s="78" t="s">
        <v>2511</v>
      </c>
      <c r="B883" s="220" t="s">
        <v>1215</v>
      </c>
      <c r="C883" s="185"/>
      <c r="D883" s="103" t="str">
        <f>VLOOKUP(B883, 'All Menu'!B:M, 4, 0)</f>
        <v>كبدة دجاج</v>
      </c>
      <c r="E883" s="30" t="str">
        <f>VLOOKUP(B883, 'All Menu'!B:M, 2, 0)</f>
        <v>قسم الصالة</v>
      </c>
      <c r="F883" s="103" t="str">
        <f>VLOOKUP(B883, 'All Menu'!B:M, 3, 0)</f>
        <v>مقبلات ساخنة صالة</v>
      </c>
      <c r="G883" s="90" t="s">
        <v>2260</v>
      </c>
      <c r="H883" s="188">
        <v>4160</v>
      </c>
      <c r="I883" s="110" t="str">
        <f>VLOOKUP(H883, 'RM &amp; SF'!B:H, 2, 0)</f>
        <v>زيت صويا 18 لتر*****</v>
      </c>
      <c r="J883" s="184" t="str">
        <f>VLOOKUP(H883, 'RM &amp; SF'!B:E, 4, 0)</f>
        <v>مل</v>
      </c>
      <c r="K883" s="12">
        <v>15</v>
      </c>
      <c r="L883" s="13">
        <f>VLOOKUP(H883, 'RM &amp; SF'!B:H, 7, 0)</f>
        <v>1.335E-3</v>
      </c>
      <c r="M883" s="7">
        <f t="shared" si="53"/>
        <v>2.0025000000000001E-2</v>
      </c>
      <c r="N883" s="4" t="s">
        <v>825</v>
      </c>
      <c r="O883" s="4">
        <f>VLOOKUP(B883, 'All Menu'!B:L, 6, 0)</f>
        <v>2.3706896551724141</v>
      </c>
      <c r="P883" s="6">
        <f>VLOOKUP(B883, 'All Menu'!B:L, 9, 0)</f>
        <v>0.49042810714285717</v>
      </c>
      <c r="Q883" s="14">
        <f>VLOOKUP(B883, 'All Menu'!B:M, 12, 0)</f>
        <v>0.79312850753246755</v>
      </c>
      <c r="R883" s="173">
        <f t="shared" si="54"/>
        <v>0</v>
      </c>
    </row>
    <row r="884" spans="1:18" ht="14" hidden="1">
      <c r="A884" s="78" t="s">
        <v>2511</v>
      </c>
      <c r="B884" s="220" t="s">
        <v>1215</v>
      </c>
      <c r="C884" s="185"/>
      <c r="D884" s="103" t="str">
        <f>VLOOKUP(B884, 'All Menu'!B:M, 4, 0)</f>
        <v>كبدة دجاج</v>
      </c>
      <c r="E884" s="30" t="str">
        <f>VLOOKUP(B884, 'All Menu'!B:M, 2, 0)</f>
        <v>قسم الصالة</v>
      </c>
      <c r="F884" s="103" t="str">
        <f>VLOOKUP(B884, 'All Menu'!B:M, 3, 0)</f>
        <v>مقبلات ساخنة صالة</v>
      </c>
      <c r="G884" s="90" t="s">
        <v>2357</v>
      </c>
      <c r="H884" s="219" t="s">
        <v>744</v>
      </c>
      <c r="I884" s="110" t="str">
        <f>VLOOKUP(H884, 'RM &amp; SF'!B:H, 2, 0)</f>
        <v>زيت زيتون مكسور</v>
      </c>
      <c r="J884" s="184" t="str">
        <f>VLOOKUP(H884, 'RM &amp; SF'!B:E, 4, 0)</f>
        <v>غم</v>
      </c>
      <c r="K884" s="12">
        <v>10</v>
      </c>
      <c r="L884" s="13">
        <f>VLOOKUP(H884, 'RM &amp; SF'!B:H, 7, 0)</f>
        <v>3.3899999999999998E-3</v>
      </c>
      <c r="M884" s="7">
        <f t="shared" si="53"/>
        <v>3.39E-2</v>
      </c>
      <c r="N884" s="4" t="s">
        <v>825</v>
      </c>
      <c r="O884" s="4">
        <f>VLOOKUP(B884, 'All Menu'!B:L, 6, 0)</f>
        <v>2.3706896551724141</v>
      </c>
      <c r="P884" s="6">
        <f>VLOOKUP(B884, 'All Menu'!B:L, 9, 0)</f>
        <v>0.49042810714285717</v>
      </c>
      <c r="Q884" s="14">
        <f>VLOOKUP(B884, 'All Menu'!B:M, 12, 0)</f>
        <v>0.79312850753246755</v>
      </c>
      <c r="R884" s="173">
        <f t="shared" si="54"/>
        <v>0</v>
      </c>
    </row>
    <row r="885" spans="1:18" ht="14" hidden="1">
      <c r="A885" s="78" t="s">
        <v>2511</v>
      </c>
      <c r="B885" s="220" t="s">
        <v>1215</v>
      </c>
      <c r="C885" s="185"/>
      <c r="D885" s="103" t="str">
        <f>VLOOKUP(B885, 'All Menu'!B:M, 4, 0)</f>
        <v>كبدة دجاج</v>
      </c>
      <c r="E885" s="30" t="str">
        <f>VLOOKUP(B885, 'All Menu'!B:M, 2, 0)</f>
        <v>قسم الصالة</v>
      </c>
      <c r="F885" s="103" t="str">
        <f>VLOOKUP(B885, 'All Menu'!B:M, 3, 0)</f>
        <v>مقبلات ساخنة صالة</v>
      </c>
      <c r="G885" s="90" t="s">
        <v>2231</v>
      </c>
      <c r="H885" s="188">
        <v>4499</v>
      </c>
      <c r="I885" s="110" t="str">
        <f>VLOOKUP(H885, 'RM &amp; SF'!B:H, 2, 0)</f>
        <v>فلفل حار اخضر*****</v>
      </c>
      <c r="J885" s="184" t="str">
        <f>VLOOKUP(H885, 'RM &amp; SF'!B:E, 4, 0)</f>
        <v>غم</v>
      </c>
      <c r="K885" s="12">
        <v>20</v>
      </c>
      <c r="L885" s="13">
        <f>VLOOKUP(H885, 'RM &amp; SF'!B:H, 7, 0)</f>
        <v>5.0000000000000001E-4</v>
      </c>
      <c r="M885" s="7">
        <f t="shared" si="53"/>
        <v>0.01</v>
      </c>
      <c r="N885" s="4" t="s">
        <v>825</v>
      </c>
      <c r="O885" s="4">
        <f>VLOOKUP(B885, 'All Menu'!B:L, 6, 0)</f>
        <v>2.3706896551724141</v>
      </c>
      <c r="P885" s="6">
        <f>VLOOKUP(B885, 'All Menu'!B:L, 9, 0)</f>
        <v>0.49042810714285717</v>
      </c>
      <c r="Q885" s="14">
        <f>VLOOKUP(B885, 'All Menu'!B:M, 12, 0)</f>
        <v>0.79312850753246755</v>
      </c>
      <c r="R885" s="173">
        <f t="shared" si="54"/>
        <v>0</v>
      </c>
    </row>
    <row r="886" spans="1:18" ht="14" hidden="1">
      <c r="A886" s="78" t="s">
        <v>2592</v>
      </c>
      <c r="B886" s="220" t="s">
        <v>1216</v>
      </c>
      <c r="C886" s="185"/>
      <c r="D886" s="103" t="str">
        <f>VLOOKUP(B886, 'All Menu'!B:M, 4, 0)</f>
        <v>شوربة الفطر</v>
      </c>
      <c r="E886" s="30" t="str">
        <f>VLOOKUP(B886, 'All Menu'!B:M, 2, 0)</f>
        <v>قسم الصالة</v>
      </c>
      <c r="F886" s="103" t="str">
        <f>VLOOKUP(B886, 'All Menu'!B:M, 3, 0)</f>
        <v>شوربات صالة</v>
      </c>
      <c r="G886" s="90" t="s">
        <v>2240</v>
      </c>
      <c r="H886" s="188">
        <v>4515</v>
      </c>
      <c r="I886" s="110" t="str">
        <f>VLOOKUP(H886, 'RM &amp; SF'!B:H, 2, 0)</f>
        <v>فطر طازج (فطر فرش)*****</v>
      </c>
      <c r="J886" s="184" t="str">
        <f>VLOOKUP(H886, 'RM &amp; SF'!B:E, 4, 0)</f>
        <v>غم</v>
      </c>
      <c r="K886" s="12">
        <v>150</v>
      </c>
      <c r="L886" s="13">
        <f>VLOOKUP(H886, 'RM &amp; SF'!B:H, 7, 0)</f>
        <v>5.9999999999999993E-3</v>
      </c>
      <c r="M886" s="7">
        <f t="shared" si="53"/>
        <v>0.89999999999999991</v>
      </c>
      <c r="N886" s="4" t="s">
        <v>825</v>
      </c>
      <c r="O886" s="4">
        <f>VLOOKUP(B886, 'All Menu'!B:L, 6, 0)</f>
        <v>2.3706896551724141</v>
      </c>
      <c r="P886" s="6">
        <f>VLOOKUP(B886, 'All Menu'!B:L, 9, 0)</f>
        <v>1.3250853793103448</v>
      </c>
      <c r="Q886" s="14">
        <f>VLOOKUP(B886, 'All Menu'!B:M, 12, 0)</f>
        <v>0.44105489454545466</v>
      </c>
      <c r="R886" s="173">
        <f t="shared" si="54"/>
        <v>0</v>
      </c>
    </row>
    <row r="887" spans="1:18" ht="14" hidden="1">
      <c r="A887" s="78" t="s">
        <v>2592</v>
      </c>
      <c r="B887" s="220" t="s">
        <v>1216</v>
      </c>
      <c r="C887" s="185"/>
      <c r="D887" s="103" t="str">
        <f>VLOOKUP(B887, 'All Menu'!B:M, 4, 0)</f>
        <v>شوربة الفطر</v>
      </c>
      <c r="E887" s="30" t="str">
        <f>VLOOKUP(B887, 'All Menu'!B:M, 2, 0)</f>
        <v>قسم الصالة</v>
      </c>
      <c r="F887" s="103" t="str">
        <f>VLOOKUP(B887, 'All Menu'!B:M, 3, 0)</f>
        <v>شوربات صالة</v>
      </c>
      <c r="G887" s="90" t="s">
        <v>2291</v>
      </c>
      <c r="H887" s="188">
        <v>4556</v>
      </c>
      <c r="I887" s="110" t="str">
        <f>VLOOKUP(H887, 'RM &amp; SF'!B:H, 2, 0)</f>
        <v>كريما طبخ 1 لتر*****</v>
      </c>
      <c r="J887" s="184" t="str">
        <f>VLOOKUP(H887, 'RM &amp; SF'!B:E, 4, 0)</f>
        <v>مل</v>
      </c>
      <c r="K887" s="12">
        <v>150</v>
      </c>
      <c r="L887" s="13">
        <f>VLOOKUP(H887, 'RM &amp; SF'!B:H, 7, 0)</f>
        <v>2.2269999999999998E-3</v>
      </c>
      <c r="M887" s="7">
        <f t="shared" si="53"/>
        <v>0.33404999999999996</v>
      </c>
      <c r="N887" s="4" t="s">
        <v>825</v>
      </c>
      <c r="O887" s="4">
        <f>VLOOKUP(B887, 'All Menu'!B:L, 6, 0)</f>
        <v>2.3706896551724141</v>
      </c>
      <c r="P887" s="6">
        <f>VLOOKUP(B887, 'All Menu'!B:L, 9, 0)</f>
        <v>1.3250853793103448</v>
      </c>
      <c r="Q887" s="14">
        <f>VLOOKUP(B887, 'All Menu'!B:M, 12, 0)</f>
        <v>0.44105489454545466</v>
      </c>
      <c r="R887" s="173">
        <f t="shared" si="54"/>
        <v>0</v>
      </c>
    </row>
    <row r="888" spans="1:18" ht="14" hidden="1">
      <c r="A888" s="78" t="s">
        <v>2592</v>
      </c>
      <c r="B888" s="220" t="s">
        <v>1216</v>
      </c>
      <c r="C888" s="185"/>
      <c r="D888" s="103" t="str">
        <f>VLOOKUP(B888, 'All Menu'!B:M, 4, 0)</f>
        <v>شوربة الفطر</v>
      </c>
      <c r="E888" s="30" t="str">
        <f>VLOOKUP(B888, 'All Menu'!B:M, 2, 0)</f>
        <v>قسم الصالة</v>
      </c>
      <c r="F888" s="103" t="str">
        <f>VLOOKUP(B888, 'All Menu'!B:M, 3, 0)</f>
        <v>شوربات صالة</v>
      </c>
      <c r="G888" s="90" t="s">
        <v>2234</v>
      </c>
      <c r="H888" s="188">
        <v>4503</v>
      </c>
      <c r="I888" s="110" t="str">
        <f>VLOOKUP(H888, 'RM &amp; SF'!B:H, 2, 0)</f>
        <v>بصل ناشف دفش*****</v>
      </c>
      <c r="J888" s="184" t="str">
        <f>VLOOKUP(H888, 'RM &amp; SF'!B:E, 4, 0)</f>
        <v>غم</v>
      </c>
      <c r="K888" s="12">
        <v>15</v>
      </c>
      <c r="L888" s="13">
        <f>VLOOKUP(H888, 'RM &amp; SF'!B:H, 7, 0)</f>
        <v>2.5000000000000001E-4</v>
      </c>
      <c r="M888" s="7">
        <f t="shared" si="53"/>
        <v>3.7499999999999999E-3</v>
      </c>
      <c r="N888" s="4" t="s">
        <v>825</v>
      </c>
      <c r="O888" s="4">
        <f>VLOOKUP(B888, 'All Menu'!B:L, 6, 0)</f>
        <v>2.3706896551724141</v>
      </c>
      <c r="P888" s="6">
        <f>VLOOKUP(B888, 'All Menu'!B:L, 9, 0)</f>
        <v>1.3250853793103448</v>
      </c>
      <c r="Q888" s="14">
        <f>VLOOKUP(B888, 'All Menu'!B:M, 12, 0)</f>
        <v>0.44105489454545466</v>
      </c>
      <c r="R888" s="173">
        <f t="shared" si="54"/>
        <v>0</v>
      </c>
    </row>
    <row r="889" spans="1:18" ht="15.5" hidden="1">
      <c r="A889" s="78" t="s">
        <v>2592</v>
      </c>
      <c r="B889" s="220" t="s">
        <v>1216</v>
      </c>
      <c r="C889" s="185"/>
      <c r="D889" s="103" t="str">
        <f>VLOOKUP(B889, 'All Menu'!B:M, 4, 0)</f>
        <v>شوربة الفطر</v>
      </c>
      <c r="E889" s="30" t="str">
        <f>VLOOKUP(B889, 'All Menu'!B:M, 2, 0)</f>
        <v>قسم الصالة</v>
      </c>
      <c r="F889" s="103" t="str">
        <f>VLOOKUP(B889, 'All Menu'!B:M, 3, 0)</f>
        <v>شوربات صالة</v>
      </c>
      <c r="G889" s="90" t="s">
        <v>2321</v>
      </c>
      <c r="H889" s="67">
        <v>5292</v>
      </c>
      <c r="I889" s="110" t="str">
        <f>VLOOKUP(H889, 'RM &amp; SF'!B:H, 2, 0)</f>
        <v>ثوم مقشر*****</v>
      </c>
      <c r="J889" s="184" t="str">
        <f>VLOOKUP(H889, 'RM &amp; SF'!B:E, 4, 0)</f>
        <v>غم</v>
      </c>
      <c r="K889" s="12">
        <v>5</v>
      </c>
      <c r="L889" s="13">
        <f>VLOOKUP(H889, 'RM &amp; SF'!B:H, 7, 0)</f>
        <v>4.4999999999999997E-3</v>
      </c>
      <c r="M889" s="7">
        <f t="shared" si="53"/>
        <v>2.2499999999999999E-2</v>
      </c>
      <c r="N889" s="4" t="s">
        <v>825</v>
      </c>
      <c r="O889" s="4">
        <f>VLOOKUP(B889, 'All Menu'!B:L, 6, 0)</f>
        <v>2.3706896551724141</v>
      </c>
      <c r="P889" s="6">
        <f>VLOOKUP(B889, 'All Menu'!B:L, 9, 0)</f>
        <v>1.3250853793103448</v>
      </c>
      <c r="Q889" s="14">
        <f>VLOOKUP(B889, 'All Menu'!B:M, 12, 0)</f>
        <v>0.44105489454545466</v>
      </c>
      <c r="R889" s="173">
        <f t="shared" si="54"/>
        <v>0</v>
      </c>
    </row>
    <row r="890" spans="1:18" ht="14" hidden="1">
      <c r="A890" s="78" t="s">
        <v>2592</v>
      </c>
      <c r="B890" s="220" t="s">
        <v>1216</v>
      </c>
      <c r="C890" s="185"/>
      <c r="D890" s="103" t="str">
        <f>VLOOKUP(B890, 'All Menu'!B:M, 4, 0)</f>
        <v>شوربة الفطر</v>
      </c>
      <c r="E890" s="30" t="str">
        <f>VLOOKUP(B890, 'All Menu'!B:M, 2, 0)</f>
        <v>قسم الصالة</v>
      </c>
      <c r="F890" s="103" t="str">
        <f>VLOOKUP(B890, 'All Menu'!B:M, 3, 0)</f>
        <v>شوربات صالة</v>
      </c>
      <c r="G890" s="90" t="s">
        <v>2178</v>
      </c>
      <c r="H890" s="188">
        <v>4623</v>
      </c>
      <c r="I890" s="110" t="str">
        <f>VLOOKUP(H890, 'RM &amp; SF'!B:H, 2, 0)</f>
        <v>زبدة مبسترة غير مملحة 1 كغ*****</v>
      </c>
      <c r="J890" s="184" t="str">
        <f>VLOOKUP(H890, 'RM &amp; SF'!B:E, 4, 0)</f>
        <v>غم</v>
      </c>
      <c r="K890" s="12">
        <v>15</v>
      </c>
      <c r="L890" s="13">
        <f>VLOOKUP(H890, 'RM &amp; SF'!B:H, 7, 0)</f>
        <v>2.8839999999999998E-3</v>
      </c>
      <c r="M890" s="7">
        <f t="shared" si="53"/>
        <v>4.326E-2</v>
      </c>
      <c r="N890" s="4" t="s">
        <v>825</v>
      </c>
      <c r="O890" s="4">
        <f>VLOOKUP(B890, 'All Menu'!B:L, 6, 0)</f>
        <v>2.3706896551724141</v>
      </c>
      <c r="P890" s="6">
        <f>VLOOKUP(B890, 'All Menu'!B:L, 9, 0)</f>
        <v>1.3250853793103448</v>
      </c>
      <c r="Q890" s="14">
        <f>VLOOKUP(B890, 'All Menu'!B:M, 12, 0)</f>
        <v>0.44105489454545466</v>
      </c>
      <c r="R890" s="173">
        <f t="shared" si="54"/>
        <v>0</v>
      </c>
    </row>
    <row r="891" spans="1:18" ht="14" hidden="1">
      <c r="A891" s="78" t="s">
        <v>2592</v>
      </c>
      <c r="B891" s="220" t="s">
        <v>1216</v>
      </c>
      <c r="C891" s="185"/>
      <c r="D891" s="103" t="str">
        <f>VLOOKUP(B891, 'All Menu'!B:M, 4, 0)</f>
        <v>شوربة الفطر</v>
      </c>
      <c r="E891" s="30" t="str">
        <f>VLOOKUP(B891, 'All Menu'!B:M, 2, 0)</f>
        <v>قسم الصالة</v>
      </c>
      <c r="F891" s="103" t="str">
        <f>VLOOKUP(B891, 'All Menu'!B:M, 3, 0)</f>
        <v>شوربات صالة</v>
      </c>
      <c r="G891" s="90" t="s">
        <v>2203</v>
      </c>
      <c r="H891" s="188">
        <v>4152</v>
      </c>
      <c r="I891" s="110" t="str">
        <f>VLOOKUP(H891, 'RM &amp; SF'!B:H, 2, 0)</f>
        <v>ملح طعام 750غم*****</v>
      </c>
      <c r="J891" s="184" t="str">
        <f>VLOOKUP(H891, 'RM &amp; SF'!B:E, 4, 0)</f>
        <v>غم</v>
      </c>
      <c r="K891" s="12">
        <v>3</v>
      </c>
      <c r="L891" s="13">
        <f>VLOOKUP(H891, 'RM &amp; SF'!B:H, 7, 0)</f>
        <v>1.7066666666666665E-4</v>
      </c>
      <c r="M891" s="7">
        <f t="shared" si="53"/>
        <v>5.1199999999999998E-4</v>
      </c>
      <c r="N891" s="4" t="s">
        <v>825</v>
      </c>
      <c r="O891" s="4">
        <f>VLOOKUP(B891, 'All Menu'!B:L, 6, 0)</f>
        <v>2.3706896551724141</v>
      </c>
      <c r="P891" s="6">
        <f>VLOOKUP(B891, 'All Menu'!B:L, 9, 0)</f>
        <v>1.3250853793103448</v>
      </c>
      <c r="Q891" s="14">
        <f>VLOOKUP(B891, 'All Menu'!B:M, 12, 0)</f>
        <v>0.44105489454545466</v>
      </c>
      <c r="R891" s="173">
        <f t="shared" si="54"/>
        <v>0</v>
      </c>
    </row>
    <row r="892" spans="1:18" ht="14" hidden="1">
      <c r="A892" s="78" t="s">
        <v>2592</v>
      </c>
      <c r="B892" s="220" t="s">
        <v>1216</v>
      </c>
      <c r="C892" s="185"/>
      <c r="D892" s="103" t="str">
        <f>VLOOKUP(B892, 'All Menu'!B:M, 4, 0)</f>
        <v>شوربة الفطر</v>
      </c>
      <c r="E892" s="30" t="str">
        <f>VLOOKUP(B892, 'All Menu'!B:M, 2, 0)</f>
        <v>قسم الصالة</v>
      </c>
      <c r="F892" s="103" t="str">
        <f>VLOOKUP(B892, 'All Menu'!B:M, 3, 0)</f>
        <v>شوربات صالة</v>
      </c>
      <c r="G892" s="90" t="s">
        <v>2206</v>
      </c>
      <c r="H892" s="188">
        <v>4204</v>
      </c>
      <c r="I892" s="110" t="str">
        <f>VLOOKUP(H892, 'RM &amp; SF'!B:H, 2, 0)</f>
        <v>فلفل اسود ناعم*****</v>
      </c>
      <c r="J892" s="184" t="str">
        <f>VLOOKUP(H892, 'RM &amp; SF'!B:E, 4, 0)</f>
        <v>غم</v>
      </c>
      <c r="K892" s="12">
        <v>1</v>
      </c>
      <c r="L892" s="13">
        <f>VLOOKUP(H892, 'RM &amp; SF'!B:H, 7, 0)</f>
        <v>6.8970000000000004E-3</v>
      </c>
      <c r="M892" s="7">
        <f t="shared" si="53"/>
        <v>6.8970000000000004E-3</v>
      </c>
      <c r="N892" s="4" t="s">
        <v>825</v>
      </c>
      <c r="O892" s="4">
        <f>VLOOKUP(B892, 'All Menu'!B:L, 6, 0)</f>
        <v>2.3706896551724141</v>
      </c>
      <c r="P892" s="6">
        <f>VLOOKUP(B892, 'All Menu'!B:L, 9, 0)</f>
        <v>1.3250853793103448</v>
      </c>
      <c r="Q892" s="14">
        <f>VLOOKUP(B892, 'All Menu'!B:M, 12, 0)</f>
        <v>0.44105489454545466</v>
      </c>
      <c r="R892" s="173">
        <f t="shared" si="54"/>
        <v>0</v>
      </c>
    </row>
    <row r="893" spans="1:18" ht="14" hidden="1">
      <c r="A893" s="78" t="s">
        <v>2592</v>
      </c>
      <c r="B893" s="220" t="s">
        <v>1216</v>
      </c>
      <c r="C893" s="185"/>
      <c r="D893" s="103" t="str">
        <f>VLOOKUP(B893, 'All Menu'!B:M, 4, 0)</f>
        <v>شوربة الفطر</v>
      </c>
      <c r="E893" s="30" t="str">
        <f>VLOOKUP(B893, 'All Menu'!B:M, 2, 0)</f>
        <v>قسم الصالة</v>
      </c>
      <c r="F893" s="103" t="str">
        <f>VLOOKUP(B893, 'All Menu'!B:M, 3, 0)</f>
        <v>شوربات صالة</v>
      </c>
      <c r="G893" s="90" t="s">
        <v>3058</v>
      </c>
      <c r="H893" s="188">
        <v>4022</v>
      </c>
      <c r="I893" s="110" t="str">
        <f>VLOOKUP(H893, 'RM &amp; SF'!B:H, 2, 0)</f>
        <v>مرق الدجاج بودرة 1 كغ*****</v>
      </c>
      <c r="J893" s="184" t="str">
        <f>VLOOKUP(H893, 'RM &amp; SF'!B:E, 4, 0)</f>
        <v>غم</v>
      </c>
      <c r="K893" s="12">
        <v>3</v>
      </c>
      <c r="L893" s="13">
        <f>VLOOKUP(H893, 'RM &amp; SF'!B:H, 7, 0)</f>
        <v>4.7054597701149427E-3</v>
      </c>
      <c r="M893" s="7">
        <f t="shared" si="53"/>
        <v>1.4116379310344828E-2</v>
      </c>
      <c r="N893" s="4" t="s">
        <v>825</v>
      </c>
      <c r="O893" s="4">
        <f>VLOOKUP(B893, 'All Menu'!B:L, 6, 0)</f>
        <v>2.3706896551724141</v>
      </c>
      <c r="P893" s="6">
        <f>VLOOKUP(B893, 'All Menu'!B:L, 9, 0)</f>
        <v>1.3250853793103448</v>
      </c>
      <c r="Q893" s="14">
        <f>VLOOKUP(B893, 'All Menu'!B:M, 12, 0)</f>
        <v>0.44105489454545466</v>
      </c>
      <c r="R893" s="173">
        <f t="shared" si="54"/>
        <v>0</v>
      </c>
    </row>
    <row r="894" spans="1:18" ht="14" hidden="1">
      <c r="A894" s="78" t="s">
        <v>2618</v>
      </c>
      <c r="B894" s="220" t="s">
        <v>1241</v>
      </c>
      <c r="C894" s="185"/>
      <c r="D894" s="103" t="str">
        <f>VLOOKUP(B894, 'All Menu'!B:M, 4, 0)</f>
        <v>وجبة ارز ولحم</v>
      </c>
      <c r="E894" s="30" t="str">
        <f>VLOOKUP(B894, 'All Menu'!B:M, 2, 0)</f>
        <v>قسم الصالة</v>
      </c>
      <c r="F894" s="103" t="str">
        <f>VLOOKUP(B894, 'All Menu'!B:M, 3, 0)</f>
        <v>اطباق اليوم صالة</v>
      </c>
      <c r="G894" s="90" t="s">
        <v>2377</v>
      </c>
      <c r="H894" s="219" t="s">
        <v>796</v>
      </c>
      <c r="I894" s="110" t="str">
        <f>VLOOKUP(H894, 'RM &amp; SF'!B:H, 2, 0)</f>
        <v>رز مبهر</v>
      </c>
      <c r="J894" s="184" t="str">
        <f>VLOOKUP(H894, 'RM &amp; SF'!B:E, 4, 0)</f>
        <v>غم</v>
      </c>
      <c r="K894" s="12">
        <v>500</v>
      </c>
      <c r="L894" s="13">
        <f>VLOOKUP(H894, 'RM &amp; SF'!B:H, 7, 0)</f>
        <v>8.1314491666666653E-4</v>
      </c>
      <c r="M894" s="7">
        <f t="shared" si="53"/>
        <v>0.40657245833333328</v>
      </c>
      <c r="N894" s="4" t="s">
        <v>825</v>
      </c>
      <c r="O894" s="4">
        <f>VLOOKUP(B894, 'All Menu'!B:L, 6, 0)</f>
        <v>9.3534482758620694</v>
      </c>
      <c r="P894" s="6">
        <f>VLOOKUP(B894, 'All Menu'!B:L, 9, 0)</f>
        <v>4.7515965374298501</v>
      </c>
      <c r="Q894" s="14">
        <f>VLOOKUP(B894, 'All Menu'!B:M, 12, 0)</f>
        <v>0.49199520890150916</v>
      </c>
      <c r="R894" s="173">
        <f t="shared" si="54"/>
        <v>0</v>
      </c>
    </row>
    <row r="895" spans="1:18" ht="14" hidden="1">
      <c r="A895" s="78" t="s">
        <v>2618</v>
      </c>
      <c r="B895" s="220" t="s">
        <v>1241</v>
      </c>
      <c r="C895" s="185"/>
      <c r="D895" s="103" t="str">
        <f>VLOOKUP(B895, 'All Menu'!B:M, 4, 0)</f>
        <v>وجبة ارز ولحم</v>
      </c>
      <c r="E895" s="30" t="str">
        <f>VLOOKUP(B895, 'All Menu'!B:M, 2, 0)</f>
        <v>قسم الصالة</v>
      </c>
      <c r="F895" s="103" t="str">
        <f>VLOOKUP(B895, 'All Menu'!B:M, 3, 0)</f>
        <v>اطباق اليوم صالة</v>
      </c>
      <c r="G895" s="90" t="s">
        <v>2341</v>
      </c>
      <c r="H895" s="219" t="s">
        <v>706</v>
      </c>
      <c r="I895" s="110" t="str">
        <f>VLOOKUP(H895, 'RM &amp; SF'!B:H, 2, 0)</f>
        <v>لوز مقلي</v>
      </c>
      <c r="J895" s="184" t="str">
        <f>VLOOKUP(H895, 'RM &amp; SF'!B:E, 4, 0)</f>
        <v>غم</v>
      </c>
      <c r="K895" s="12">
        <v>30</v>
      </c>
      <c r="L895" s="13">
        <f>VLOOKUP(H895, 'RM &amp; SF'!B:H, 7, 0)</f>
        <v>4.1352327586206888E-3</v>
      </c>
      <c r="M895" s="7">
        <f t="shared" si="53"/>
        <v>0.12405698275862066</v>
      </c>
      <c r="N895" s="4" t="s">
        <v>825</v>
      </c>
      <c r="O895" s="4">
        <f>VLOOKUP(B895, 'All Menu'!B:L, 6, 0)</f>
        <v>9.3534482758620694</v>
      </c>
      <c r="P895" s="6">
        <f>VLOOKUP(B895, 'All Menu'!B:L, 9, 0)</f>
        <v>4.7515965374298501</v>
      </c>
      <c r="Q895" s="14">
        <f>VLOOKUP(B895, 'All Menu'!B:M, 12, 0)</f>
        <v>0.49199520890150916</v>
      </c>
      <c r="R895" s="173">
        <f t="shared" si="54"/>
        <v>0</v>
      </c>
    </row>
    <row r="896" spans="1:18" ht="14" hidden="1">
      <c r="A896" s="78" t="s">
        <v>2618</v>
      </c>
      <c r="B896" s="220" t="s">
        <v>1241</v>
      </c>
      <c r="C896" s="185"/>
      <c r="D896" s="103" t="str">
        <f>VLOOKUP(B896, 'All Menu'!B:M, 4, 0)</f>
        <v>وجبة ارز ولحم</v>
      </c>
      <c r="E896" s="30" t="str">
        <f>VLOOKUP(B896, 'All Menu'!B:M, 2, 0)</f>
        <v>قسم الصالة</v>
      </c>
      <c r="F896" s="103" t="str">
        <f>VLOOKUP(B896, 'All Menu'!B:M, 3, 0)</f>
        <v>اطباق اليوم صالة</v>
      </c>
      <c r="G896" s="90" t="s">
        <v>3058</v>
      </c>
      <c r="H896" s="188">
        <v>4608</v>
      </c>
      <c r="I896" s="110" t="str">
        <f>VLOOKUP(H896, 'RM &amp; SF'!B:H, 2, 0)</f>
        <v>لحمة قطع نية بالكيلو*****</v>
      </c>
      <c r="J896" s="184" t="str">
        <f>VLOOKUP(H896, 'RM &amp; SF'!B:E, 4, 0)</f>
        <v>غم</v>
      </c>
      <c r="K896" s="12">
        <v>350</v>
      </c>
      <c r="L896" s="13">
        <f>VLOOKUP(H896, 'RM &amp; SF'!B:H, 7, 0)</f>
        <v>1.1615493158849017E-2</v>
      </c>
      <c r="M896" s="7">
        <f t="shared" si="53"/>
        <v>4.0654226055971554</v>
      </c>
      <c r="N896" s="4" t="s">
        <v>825</v>
      </c>
      <c r="O896" s="4">
        <f>VLOOKUP(B896, 'All Menu'!B:L, 6, 0)</f>
        <v>9.3534482758620694</v>
      </c>
      <c r="P896" s="6">
        <f>VLOOKUP(B896, 'All Menu'!B:L, 9, 0)</f>
        <v>4.7515965374298501</v>
      </c>
      <c r="Q896" s="14">
        <f>VLOOKUP(B896, 'All Menu'!B:M, 12, 0)</f>
        <v>0.49199520890150916</v>
      </c>
      <c r="R896" s="173">
        <f t="shared" si="54"/>
        <v>0</v>
      </c>
    </row>
    <row r="897" spans="1:18" ht="14" hidden="1">
      <c r="A897" s="78" t="s">
        <v>2618</v>
      </c>
      <c r="B897" s="220" t="s">
        <v>1241</v>
      </c>
      <c r="C897" s="185"/>
      <c r="D897" s="103" t="str">
        <f>VLOOKUP(B897, 'All Menu'!B:M, 4, 0)</f>
        <v>وجبة ارز ولحم</v>
      </c>
      <c r="E897" s="30" t="str">
        <f>VLOOKUP(B897, 'All Menu'!B:M, 2, 0)</f>
        <v>قسم الصالة</v>
      </c>
      <c r="F897" s="103" t="str">
        <f>VLOOKUP(B897, 'All Menu'!B:M, 3, 0)</f>
        <v>اطباق اليوم صالة</v>
      </c>
      <c r="G897" s="90" t="s">
        <v>2329</v>
      </c>
      <c r="H897" s="219" t="s">
        <v>512</v>
      </c>
      <c r="I897" s="110" t="str">
        <f>VLOOKUP(H897, 'RM &amp; SF'!B:H, 2, 0)</f>
        <v>خلطة دقوس</v>
      </c>
      <c r="J897" s="184" t="str">
        <f>VLOOKUP(H897, 'RM &amp; SF'!B:E, 4, 0)</f>
        <v>غم</v>
      </c>
      <c r="K897" s="12">
        <v>100</v>
      </c>
      <c r="L897" s="13">
        <f>VLOOKUP(H897, 'RM &amp; SF'!B:H, 7, 0)</f>
        <v>7.5544490740740743E-4</v>
      </c>
      <c r="M897" s="7">
        <f t="shared" si="53"/>
        <v>7.5544490740740738E-2</v>
      </c>
      <c r="N897" s="4" t="s">
        <v>825</v>
      </c>
      <c r="O897" s="4">
        <f>VLOOKUP(B897, 'All Menu'!B:L, 6, 0)</f>
        <v>9.3534482758620694</v>
      </c>
      <c r="P897" s="6">
        <f>VLOOKUP(B897, 'All Menu'!B:L, 9, 0)</f>
        <v>4.7515965374298501</v>
      </c>
      <c r="Q897" s="14">
        <f>VLOOKUP(B897, 'All Menu'!B:M, 12, 0)</f>
        <v>0.49199520890150916</v>
      </c>
      <c r="R897" s="173">
        <f t="shared" si="54"/>
        <v>0</v>
      </c>
    </row>
    <row r="898" spans="1:18" ht="14" hidden="1">
      <c r="A898" s="78" t="s">
        <v>2618</v>
      </c>
      <c r="B898" s="220" t="s">
        <v>1241</v>
      </c>
      <c r="C898" s="185"/>
      <c r="D898" s="103" t="str">
        <f>VLOOKUP(B898, 'All Menu'!B:M, 4, 0)</f>
        <v>وجبة ارز ولحم</v>
      </c>
      <c r="E898" s="30" t="str">
        <f>VLOOKUP(B898, 'All Menu'!B:M, 2, 0)</f>
        <v>قسم الصالة</v>
      </c>
      <c r="F898" s="103" t="str">
        <f>VLOOKUP(B898, 'All Menu'!B:M, 3, 0)</f>
        <v>اطباق اليوم صالة</v>
      </c>
      <c r="G898" s="90" t="s">
        <v>2170</v>
      </c>
      <c r="H898" s="188">
        <v>4552</v>
      </c>
      <c r="I898" s="110" t="str">
        <f>VLOOKUP(H898, 'RM &amp; SF'!B:H, 2, 0)</f>
        <v>لبن رايب 5 كغ*****</v>
      </c>
      <c r="J898" s="184" t="str">
        <f>VLOOKUP(H898, 'RM &amp; SF'!B:E, 4, 0)</f>
        <v>غم</v>
      </c>
      <c r="K898" s="12">
        <v>100</v>
      </c>
      <c r="L898" s="13">
        <f>VLOOKUP(H898, 'RM &amp; SF'!B:H, 7, 0)</f>
        <v>8.0000000000000004E-4</v>
      </c>
      <c r="M898" s="7">
        <f t="shared" si="53"/>
        <v>0.08</v>
      </c>
      <c r="N898" s="4" t="s">
        <v>825</v>
      </c>
      <c r="O898" s="4">
        <f>VLOOKUP(B898, 'All Menu'!B:L, 6, 0)</f>
        <v>9.3534482758620694</v>
      </c>
      <c r="P898" s="6">
        <f>VLOOKUP(B898, 'All Menu'!B:L, 9, 0)</f>
        <v>4.7515965374298501</v>
      </c>
      <c r="Q898" s="14">
        <f>VLOOKUP(B898, 'All Menu'!B:M, 12, 0)</f>
        <v>0.49199520890150916</v>
      </c>
      <c r="R898" s="173">
        <f t="shared" si="54"/>
        <v>0</v>
      </c>
    </row>
    <row r="899" spans="1:18" ht="14" hidden="1">
      <c r="A899" s="78" t="s">
        <v>2606</v>
      </c>
      <c r="B899" s="220" t="s">
        <v>1246</v>
      </c>
      <c r="C899" s="185"/>
      <c r="D899" s="30" t="str">
        <f>VLOOKUP(B899, 'All Menu'!B:M, 4, 0)</f>
        <v>صاجية المركزية</v>
      </c>
      <c r="E899" s="30" t="str">
        <f>VLOOKUP(B899, 'All Menu'!B:M, 2, 0)</f>
        <v>قسم الصالة</v>
      </c>
      <c r="F899" s="103" t="str">
        <f>VLOOKUP(B899, 'All Menu'!B:M, 3, 0)</f>
        <v>صواني وصاجيات صالة</v>
      </c>
      <c r="G899" s="90" t="s">
        <v>3058</v>
      </c>
      <c r="H899" s="188">
        <v>5398</v>
      </c>
      <c r="I899" s="110" t="str">
        <f>VLOOKUP(H899, 'RM &amp; SF'!B:H, 2, 0)</f>
        <v xml:space="preserve">فيليه </v>
      </c>
      <c r="J899" s="184" t="str">
        <f>VLOOKUP(H899, 'RM &amp; SF'!B:E, 4, 0)</f>
        <v>غم</v>
      </c>
      <c r="K899" s="12">
        <v>250</v>
      </c>
      <c r="L899" s="13">
        <f>VLOOKUP(H899, 'RM &amp; SF'!B:H, 7, 0)</f>
        <v>2.1499999999999998E-2</v>
      </c>
      <c r="M899" s="7">
        <f t="shared" ref="M899:M930" si="55">L899*K899</f>
        <v>5.375</v>
      </c>
      <c r="N899" s="4" t="s">
        <v>825</v>
      </c>
      <c r="O899" s="4">
        <f>VLOOKUP(B899, 'All Menu'!B:L, 6, 0)</f>
        <v>7.9741379310344831</v>
      </c>
      <c r="P899" s="6">
        <f>VLOOKUP(B899, 'All Menu'!B:L, 9, 0)</f>
        <v>5.9854053357715076</v>
      </c>
      <c r="Q899" s="14">
        <f>VLOOKUP(B899, 'All Menu'!B:M, 12, 0)</f>
        <v>0.24939781735189745</v>
      </c>
      <c r="R899" s="173">
        <f t="shared" ref="R899:R939" si="56">C899*K899</f>
        <v>0</v>
      </c>
    </row>
    <row r="900" spans="1:18" ht="14" hidden="1">
      <c r="A900" s="78" t="s">
        <v>2606</v>
      </c>
      <c r="B900" s="220" t="s">
        <v>1246</v>
      </c>
      <c r="C900" s="185"/>
      <c r="D900" s="30" t="str">
        <f>VLOOKUP(B900, 'All Menu'!B:M, 4, 0)</f>
        <v>صاجية المركزية</v>
      </c>
      <c r="E900" s="30" t="str">
        <f>VLOOKUP(B900, 'All Menu'!B:M, 2, 0)</f>
        <v>قسم الصالة</v>
      </c>
      <c r="F900" s="103" t="str">
        <f>VLOOKUP(B900, 'All Menu'!B:M, 3, 0)</f>
        <v>صواني وصاجيات صالة</v>
      </c>
      <c r="G900" s="90" t="s">
        <v>2303</v>
      </c>
      <c r="H900" s="188">
        <v>5256</v>
      </c>
      <c r="I900" s="110" t="str">
        <f>VLOOKUP(H900, 'RM &amp; SF'!B:H, 2, 0)</f>
        <v>باذنجان مشوي فروزن</v>
      </c>
      <c r="J900" s="184" t="str">
        <f>VLOOKUP(H900, 'RM &amp; SF'!B:E, 4, 0)</f>
        <v>غم</v>
      </c>
      <c r="K900" s="12">
        <v>200</v>
      </c>
      <c r="L900" s="13">
        <f>VLOOKUP(H900, 'RM &amp; SF'!B:H, 7, 0)</f>
        <v>1.12068E-3</v>
      </c>
      <c r="M900" s="7">
        <f t="shared" si="55"/>
        <v>0.224136</v>
      </c>
      <c r="N900" s="4" t="s">
        <v>825</v>
      </c>
      <c r="O900" s="4">
        <f>VLOOKUP(B900, 'All Menu'!B:L, 6, 0)</f>
        <v>7.9741379310344831</v>
      </c>
      <c r="P900" s="6">
        <f>VLOOKUP(B900, 'All Menu'!B:L, 9, 0)</f>
        <v>5.9854053357715076</v>
      </c>
      <c r="Q900" s="14">
        <f>VLOOKUP(B900, 'All Menu'!B:M, 12, 0)</f>
        <v>0.24939781735189745</v>
      </c>
      <c r="R900" s="173">
        <f t="shared" si="56"/>
        <v>0</v>
      </c>
    </row>
    <row r="901" spans="1:18" ht="14" hidden="1">
      <c r="A901" s="78" t="s">
        <v>2606</v>
      </c>
      <c r="B901" s="220" t="s">
        <v>1246</v>
      </c>
      <c r="C901" s="185"/>
      <c r="D901" s="30" t="str">
        <f>VLOOKUP(B901, 'All Menu'!B:M, 4, 0)</f>
        <v>صاجية المركزية</v>
      </c>
      <c r="E901" s="30" t="str">
        <f>VLOOKUP(B901, 'All Menu'!B:M, 2, 0)</f>
        <v>قسم الصالة</v>
      </c>
      <c r="F901" s="103" t="str">
        <f>VLOOKUP(B901, 'All Menu'!B:M, 3, 0)</f>
        <v>صواني وصاجيات صالة</v>
      </c>
      <c r="G901" s="90" t="s">
        <v>2234</v>
      </c>
      <c r="H901" s="188">
        <v>4503</v>
      </c>
      <c r="I901" s="110" t="str">
        <f>VLOOKUP(H901, 'RM &amp; SF'!B:H, 2, 0)</f>
        <v>بصل ناشف دفش*****</v>
      </c>
      <c r="J901" s="184" t="str">
        <f>VLOOKUP(H901, 'RM &amp; SF'!B:E, 4, 0)</f>
        <v>غم</v>
      </c>
      <c r="K901" s="12">
        <v>70</v>
      </c>
      <c r="L901" s="13">
        <f>VLOOKUP(H901, 'RM &amp; SF'!B:H, 7, 0)</f>
        <v>2.5000000000000001E-4</v>
      </c>
      <c r="M901" s="7">
        <f t="shared" si="55"/>
        <v>1.7500000000000002E-2</v>
      </c>
      <c r="N901" s="4" t="s">
        <v>825</v>
      </c>
      <c r="O901" s="4">
        <f>VLOOKUP(B901, 'All Menu'!B:L, 6, 0)</f>
        <v>7.9741379310344831</v>
      </c>
      <c r="P901" s="6">
        <f>VLOOKUP(B901, 'All Menu'!B:L, 9, 0)</f>
        <v>5.9854053357715076</v>
      </c>
      <c r="Q901" s="14">
        <f>VLOOKUP(B901, 'All Menu'!B:M, 12, 0)</f>
        <v>0.24939781735189745</v>
      </c>
      <c r="R901" s="173">
        <f t="shared" si="56"/>
        <v>0</v>
      </c>
    </row>
    <row r="902" spans="1:18" ht="14" hidden="1">
      <c r="A902" s="78" t="s">
        <v>2606</v>
      </c>
      <c r="B902" s="220" t="s">
        <v>1246</v>
      </c>
      <c r="C902" s="185"/>
      <c r="D902" s="30" t="str">
        <f>VLOOKUP(B902, 'All Menu'!B:M, 4, 0)</f>
        <v>صاجية المركزية</v>
      </c>
      <c r="E902" s="30" t="str">
        <f>VLOOKUP(B902, 'All Menu'!B:M, 2, 0)</f>
        <v>قسم الصالة</v>
      </c>
      <c r="F902" s="103" t="str">
        <f>VLOOKUP(B902, 'All Menu'!B:M, 3, 0)</f>
        <v>صواني وصاجيات صالة</v>
      </c>
      <c r="G902" s="90" t="s">
        <v>2203</v>
      </c>
      <c r="H902" s="188">
        <v>4152</v>
      </c>
      <c r="I902" s="110" t="str">
        <f>VLOOKUP(H902, 'RM &amp; SF'!B:H, 2, 0)</f>
        <v>ملح طعام 750غم*****</v>
      </c>
      <c r="J902" s="184" t="str">
        <f>VLOOKUP(H902, 'RM &amp; SF'!B:E, 4, 0)</f>
        <v>غم</v>
      </c>
      <c r="K902" s="12">
        <v>2</v>
      </c>
      <c r="L902" s="13">
        <f>VLOOKUP(H902, 'RM &amp; SF'!B:H, 7, 0)</f>
        <v>1.7066666666666665E-4</v>
      </c>
      <c r="M902" s="7">
        <f t="shared" si="55"/>
        <v>3.413333333333333E-4</v>
      </c>
      <c r="N902" s="4" t="s">
        <v>825</v>
      </c>
      <c r="O902" s="4">
        <f>VLOOKUP(B902, 'All Menu'!B:L, 6, 0)</f>
        <v>7.9741379310344831</v>
      </c>
      <c r="P902" s="6">
        <f>VLOOKUP(B902, 'All Menu'!B:L, 9, 0)</f>
        <v>5.9854053357715076</v>
      </c>
      <c r="Q902" s="14">
        <f>VLOOKUP(B902, 'All Menu'!B:M, 12, 0)</f>
        <v>0.24939781735189745</v>
      </c>
      <c r="R902" s="173">
        <f t="shared" si="56"/>
        <v>0</v>
      </c>
    </row>
    <row r="903" spans="1:18" ht="14" hidden="1">
      <c r="A903" s="78" t="s">
        <v>2606</v>
      </c>
      <c r="B903" s="220" t="s">
        <v>1246</v>
      </c>
      <c r="C903" s="185"/>
      <c r="D903" s="30" t="str">
        <f>VLOOKUP(B903, 'All Menu'!B:M, 4, 0)</f>
        <v>صاجية المركزية</v>
      </c>
      <c r="E903" s="30" t="str">
        <f>VLOOKUP(B903, 'All Menu'!B:M, 2, 0)</f>
        <v>قسم الصالة</v>
      </c>
      <c r="F903" s="103" t="str">
        <f>VLOOKUP(B903, 'All Menu'!B:M, 3, 0)</f>
        <v>صواني وصاجيات صالة</v>
      </c>
      <c r="G903" s="90" t="s">
        <v>2345</v>
      </c>
      <c r="H903" s="219" t="s">
        <v>714</v>
      </c>
      <c r="I903" s="110" t="str">
        <f>VLOOKUP(H903, 'RM &amp; SF'!B:H, 2, 0)</f>
        <v>ثوم وزيت</v>
      </c>
      <c r="J903" s="184" t="str">
        <f>VLOOKUP(H903, 'RM &amp; SF'!B:E, 4, 0)</f>
        <v>غم</v>
      </c>
      <c r="K903" s="12">
        <v>10</v>
      </c>
      <c r="L903" s="13">
        <f>VLOOKUP(H903, 'RM &amp; SF'!B:H, 7, 0)</f>
        <v>3.2339999999999999E-3</v>
      </c>
      <c r="M903" s="7">
        <f t="shared" si="55"/>
        <v>3.2340000000000001E-2</v>
      </c>
      <c r="N903" s="4" t="s">
        <v>825</v>
      </c>
      <c r="O903" s="4">
        <f>VLOOKUP(B903, 'All Menu'!B:L, 6, 0)</f>
        <v>7.9741379310344831</v>
      </c>
      <c r="P903" s="6">
        <f>VLOOKUP(B903, 'All Menu'!B:L, 9, 0)</f>
        <v>5.9854053357715076</v>
      </c>
      <c r="Q903" s="14">
        <f>VLOOKUP(B903, 'All Menu'!B:M, 12, 0)</f>
        <v>0.24939781735189745</v>
      </c>
      <c r="R903" s="173">
        <f t="shared" si="56"/>
        <v>0</v>
      </c>
    </row>
    <row r="904" spans="1:18" ht="14" hidden="1">
      <c r="A904" s="78" t="s">
        <v>2606</v>
      </c>
      <c r="B904" s="220" t="s">
        <v>1246</v>
      </c>
      <c r="C904" s="185"/>
      <c r="D904" s="30" t="str">
        <f>VLOOKUP(B904, 'All Menu'!B:M, 4, 0)</f>
        <v>صاجية المركزية</v>
      </c>
      <c r="E904" s="30" t="str">
        <f>VLOOKUP(B904, 'All Menu'!B:M, 2, 0)</f>
        <v>قسم الصالة</v>
      </c>
      <c r="F904" s="103" t="str">
        <f>VLOOKUP(B904, 'All Menu'!B:M, 3, 0)</f>
        <v>صواني وصاجيات صالة</v>
      </c>
      <c r="G904" s="90" t="s">
        <v>2206</v>
      </c>
      <c r="H904" s="188">
        <v>4204</v>
      </c>
      <c r="I904" s="110" t="str">
        <f>VLOOKUP(H904, 'RM &amp; SF'!B:H, 2, 0)</f>
        <v>فلفل اسود ناعم*****</v>
      </c>
      <c r="J904" s="184" t="str">
        <f>VLOOKUP(H904, 'RM &amp; SF'!B:E, 4, 0)</f>
        <v>غم</v>
      </c>
      <c r="K904" s="12">
        <v>1</v>
      </c>
      <c r="L904" s="13">
        <f>VLOOKUP(H904, 'RM &amp; SF'!B:H, 7, 0)</f>
        <v>6.8970000000000004E-3</v>
      </c>
      <c r="M904" s="7">
        <f t="shared" si="55"/>
        <v>6.8970000000000004E-3</v>
      </c>
      <c r="N904" s="4" t="s">
        <v>825</v>
      </c>
      <c r="O904" s="4">
        <f>VLOOKUP(B904, 'All Menu'!B:L, 6, 0)</f>
        <v>7.9741379310344831</v>
      </c>
      <c r="P904" s="6">
        <f>VLOOKUP(B904, 'All Menu'!B:L, 9, 0)</f>
        <v>5.9854053357715076</v>
      </c>
      <c r="Q904" s="14">
        <f>VLOOKUP(B904, 'All Menu'!B:M, 12, 0)</f>
        <v>0.24939781735189745</v>
      </c>
      <c r="R904" s="173">
        <f t="shared" si="56"/>
        <v>0</v>
      </c>
    </row>
    <row r="905" spans="1:18" ht="14" hidden="1">
      <c r="A905" s="78" t="s">
        <v>2606</v>
      </c>
      <c r="B905" s="220" t="s">
        <v>1246</v>
      </c>
      <c r="C905" s="185"/>
      <c r="D905" s="30" t="str">
        <f>VLOOKUP(B905, 'All Menu'!B:M, 4, 0)</f>
        <v>صاجية المركزية</v>
      </c>
      <c r="E905" s="30" t="str">
        <f>VLOOKUP(B905, 'All Menu'!B:M, 2, 0)</f>
        <v>قسم الصالة</v>
      </c>
      <c r="F905" s="103" t="str">
        <f>VLOOKUP(B905, 'All Menu'!B:M, 3, 0)</f>
        <v>صواني وصاجيات صالة</v>
      </c>
      <c r="G905" s="90" t="s">
        <v>3058</v>
      </c>
      <c r="H905" s="188">
        <v>4254</v>
      </c>
      <c r="I905" s="110" t="str">
        <f>VLOOKUP(H905, 'RM &amp; SF'!B:H, 2, 0)</f>
        <v>روزميري ناشف*****</v>
      </c>
      <c r="J905" s="184" t="str">
        <f>VLOOKUP(H905, 'RM &amp; SF'!B:E, 4, 0)</f>
        <v>غم</v>
      </c>
      <c r="K905" s="12">
        <v>1</v>
      </c>
      <c r="L905" s="13">
        <f>VLOOKUP(H905, 'RM &amp; SF'!B:H, 7, 0)</f>
        <v>2.5859999999999998E-3</v>
      </c>
      <c r="M905" s="7">
        <f t="shared" si="55"/>
        <v>2.5859999999999998E-3</v>
      </c>
      <c r="N905" s="4" t="s">
        <v>825</v>
      </c>
      <c r="O905" s="4">
        <f>VLOOKUP(B905, 'All Menu'!B:L, 6, 0)</f>
        <v>7.9741379310344831</v>
      </c>
      <c r="P905" s="6">
        <f>VLOOKUP(B905, 'All Menu'!B:L, 9, 0)</f>
        <v>5.9854053357715076</v>
      </c>
      <c r="Q905" s="14">
        <f>VLOOKUP(B905, 'All Menu'!B:M, 12, 0)</f>
        <v>0.24939781735189745</v>
      </c>
      <c r="R905" s="173">
        <f t="shared" si="56"/>
        <v>0</v>
      </c>
    </row>
    <row r="906" spans="1:18" ht="14" hidden="1">
      <c r="A906" s="78" t="s">
        <v>2606</v>
      </c>
      <c r="B906" s="220" t="s">
        <v>1246</v>
      </c>
      <c r="C906" s="185"/>
      <c r="D906" s="30" t="str">
        <f>VLOOKUP(B906, 'All Menu'!B:M, 4, 0)</f>
        <v>صاجية المركزية</v>
      </c>
      <c r="E906" s="30" t="str">
        <f>VLOOKUP(B906, 'All Menu'!B:M, 2, 0)</f>
        <v>قسم الصالة</v>
      </c>
      <c r="F906" s="103" t="str">
        <f>VLOOKUP(B906, 'All Menu'!B:M, 3, 0)</f>
        <v>صواني وصاجيات صالة</v>
      </c>
      <c r="G906" s="90" t="s">
        <v>2434</v>
      </c>
      <c r="H906" s="219" t="s">
        <v>574</v>
      </c>
      <c r="I906" s="110" t="str">
        <f>VLOOKUP(H906, 'RM &amp; SF'!B:H, 2, 0)</f>
        <v>صوص بندورة</v>
      </c>
      <c r="J906" s="184" t="str">
        <f>VLOOKUP(H906, 'RM &amp; SF'!B:E, 4, 0)</f>
        <v>غم</v>
      </c>
      <c r="K906" s="12">
        <v>50</v>
      </c>
      <c r="L906" s="13">
        <f>VLOOKUP(H906, 'RM &amp; SF'!B:H, 7, 0)</f>
        <v>1.1346600487634969E-3</v>
      </c>
      <c r="M906" s="7">
        <f t="shared" si="55"/>
        <v>5.6733002438174848E-2</v>
      </c>
      <c r="N906" s="4" t="s">
        <v>825</v>
      </c>
      <c r="O906" s="4">
        <f>VLOOKUP(B906, 'All Menu'!B:L, 6, 0)</f>
        <v>7.9741379310344831</v>
      </c>
      <c r="P906" s="6">
        <f>VLOOKUP(B906, 'All Menu'!B:L, 9, 0)</f>
        <v>5.9854053357715076</v>
      </c>
      <c r="Q906" s="14">
        <f>VLOOKUP(B906, 'All Menu'!B:M, 12, 0)</f>
        <v>0.24939781735189745</v>
      </c>
      <c r="R906" s="173">
        <f t="shared" si="56"/>
        <v>0</v>
      </c>
    </row>
    <row r="907" spans="1:18" ht="14" hidden="1">
      <c r="A907" s="78" t="s">
        <v>2606</v>
      </c>
      <c r="B907" s="220" t="s">
        <v>1246</v>
      </c>
      <c r="C907" s="185"/>
      <c r="D907" s="30" t="str">
        <f>VLOOKUP(B907, 'All Menu'!B:M, 4, 0)</f>
        <v>صاجية المركزية</v>
      </c>
      <c r="E907" s="30" t="str">
        <f>VLOOKUP(B907, 'All Menu'!B:M, 2, 0)</f>
        <v>قسم الصالة</v>
      </c>
      <c r="F907" s="103" t="str">
        <f>VLOOKUP(B907, 'All Menu'!B:M, 3, 0)</f>
        <v>صواني وصاجيات صالة</v>
      </c>
      <c r="G907" s="90" t="s">
        <v>2170</v>
      </c>
      <c r="H907" s="188">
        <v>4552</v>
      </c>
      <c r="I907" s="110" t="str">
        <f>VLOOKUP(H907, 'RM &amp; SF'!B:H, 2, 0)</f>
        <v>لبن رايب 5 كغ*****</v>
      </c>
      <c r="J907" s="184" t="str">
        <f>VLOOKUP(H907, 'RM &amp; SF'!B:E, 4, 0)</f>
        <v>غم</v>
      </c>
      <c r="K907" s="12">
        <v>40</v>
      </c>
      <c r="L907" s="13">
        <f>VLOOKUP(H907, 'RM &amp; SF'!B:H, 7, 0)</f>
        <v>8.0000000000000004E-4</v>
      </c>
      <c r="M907" s="7">
        <f t="shared" si="55"/>
        <v>3.2000000000000001E-2</v>
      </c>
      <c r="N907" s="4" t="s">
        <v>825</v>
      </c>
      <c r="O907" s="4">
        <f>VLOOKUP(B907, 'All Menu'!B:L, 6, 0)</f>
        <v>7.9741379310344831</v>
      </c>
      <c r="P907" s="6">
        <f>VLOOKUP(B907, 'All Menu'!B:L, 9, 0)</f>
        <v>5.9854053357715076</v>
      </c>
      <c r="Q907" s="14">
        <f>VLOOKUP(B907, 'All Menu'!B:M, 12, 0)</f>
        <v>0.24939781735189745</v>
      </c>
      <c r="R907" s="173">
        <f t="shared" si="56"/>
        <v>0</v>
      </c>
    </row>
    <row r="908" spans="1:18" ht="14" hidden="1">
      <c r="A908" s="78" t="s">
        <v>2606</v>
      </c>
      <c r="B908" s="220" t="s">
        <v>1246</v>
      </c>
      <c r="C908" s="185"/>
      <c r="D908" s="30" t="str">
        <f>VLOOKUP(B908, 'All Menu'!B:M, 4, 0)</f>
        <v>صاجية المركزية</v>
      </c>
      <c r="E908" s="30" t="str">
        <f>VLOOKUP(B908, 'All Menu'!B:M, 2, 0)</f>
        <v>قسم الصالة</v>
      </c>
      <c r="F908" s="103" t="str">
        <f>VLOOKUP(B908, 'All Menu'!B:M, 3, 0)</f>
        <v>صواني وصاجيات صالة</v>
      </c>
      <c r="G908" s="90" t="s">
        <v>2357</v>
      </c>
      <c r="H908" s="219" t="s">
        <v>744</v>
      </c>
      <c r="I908" s="110" t="str">
        <f>VLOOKUP(H908, 'RM &amp; SF'!B:H, 2, 0)</f>
        <v>زيت زيتون مكسور</v>
      </c>
      <c r="J908" s="184" t="str">
        <f>VLOOKUP(H908, 'RM &amp; SF'!B:E, 4, 0)</f>
        <v>غم</v>
      </c>
      <c r="K908" s="12">
        <v>30</v>
      </c>
      <c r="L908" s="13">
        <f>VLOOKUP(H908, 'RM &amp; SF'!B:H, 7, 0)</f>
        <v>3.3899999999999998E-3</v>
      </c>
      <c r="M908" s="7">
        <f t="shared" si="55"/>
        <v>0.1017</v>
      </c>
      <c r="N908" s="4" t="s">
        <v>825</v>
      </c>
      <c r="O908" s="4">
        <f>VLOOKUP(B908, 'All Menu'!B:L, 6, 0)</f>
        <v>7.9741379310344831</v>
      </c>
      <c r="P908" s="6">
        <f>VLOOKUP(B908, 'All Menu'!B:L, 9, 0)</f>
        <v>5.9854053357715076</v>
      </c>
      <c r="Q908" s="14">
        <f>VLOOKUP(B908, 'All Menu'!B:M, 12, 0)</f>
        <v>0.24939781735189745</v>
      </c>
      <c r="R908" s="173">
        <f t="shared" si="56"/>
        <v>0</v>
      </c>
    </row>
    <row r="909" spans="1:18" ht="14" hidden="1">
      <c r="A909" s="78" t="s">
        <v>2606</v>
      </c>
      <c r="B909" s="220" t="s">
        <v>1246</v>
      </c>
      <c r="C909" s="185"/>
      <c r="D909" s="30" t="str">
        <f>VLOOKUP(B909, 'All Menu'!B:M, 4, 0)</f>
        <v>صاجية المركزية</v>
      </c>
      <c r="E909" s="30" t="str">
        <f>VLOOKUP(B909, 'All Menu'!B:M, 2, 0)</f>
        <v>قسم الصالة</v>
      </c>
      <c r="F909" s="103" t="str">
        <f>VLOOKUP(B909, 'All Menu'!B:M, 3, 0)</f>
        <v>صواني وصاجيات صالة</v>
      </c>
      <c r="G909" s="90" t="s">
        <v>2288</v>
      </c>
      <c r="H909" s="188">
        <v>4219</v>
      </c>
      <c r="I909" s="110" t="str">
        <f>VLOOKUP(H909, 'RM &amp; SF'!B:H, 2, 0)</f>
        <v>بابريكا حلوة*****</v>
      </c>
      <c r="J909" s="184" t="str">
        <f>VLOOKUP(H909, 'RM &amp; SF'!B:E, 4, 0)</f>
        <v>غم</v>
      </c>
      <c r="K909" s="12">
        <v>2</v>
      </c>
      <c r="L909" s="13">
        <f>VLOOKUP(H909, 'RM &amp; SF'!B:H, 7, 0)</f>
        <v>2.5859999999999998E-3</v>
      </c>
      <c r="M909" s="7">
        <f t="shared" si="55"/>
        <v>5.1719999999999995E-3</v>
      </c>
      <c r="N909" s="4" t="s">
        <v>825</v>
      </c>
      <c r="O909" s="4">
        <f>VLOOKUP(B909, 'All Menu'!B:L, 6, 0)</f>
        <v>7.9741379310344831</v>
      </c>
      <c r="P909" s="6">
        <f>VLOOKUP(B909, 'All Menu'!B:L, 9, 0)</f>
        <v>5.9854053357715076</v>
      </c>
      <c r="Q909" s="14">
        <f>VLOOKUP(B909, 'All Menu'!B:M, 12, 0)</f>
        <v>0.24939781735189745</v>
      </c>
      <c r="R909" s="173">
        <f t="shared" si="56"/>
        <v>0</v>
      </c>
    </row>
    <row r="910" spans="1:18" ht="14" hidden="1">
      <c r="A910" s="78" t="s">
        <v>2606</v>
      </c>
      <c r="B910" s="220" t="s">
        <v>1246</v>
      </c>
      <c r="C910" s="185"/>
      <c r="D910" s="30" t="str">
        <f>VLOOKUP(B910, 'All Menu'!B:M, 4, 0)</f>
        <v>صاجية المركزية</v>
      </c>
      <c r="E910" s="30" t="str">
        <f>VLOOKUP(B910, 'All Menu'!B:M, 2, 0)</f>
        <v>قسم الصالة</v>
      </c>
      <c r="F910" s="103" t="str">
        <f>VLOOKUP(B910, 'All Menu'!B:M, 3, 0)</f>
        <v>صواني وصاجيات صالة</v>
      </c>
      <c r="G910" s="90" t="s">
        <v>2231</v>
      </c>
      <c r="H910" s="188">
        <v>4499</v>
      </c>
      <c r="I910" s="110" t="str">
        <f>VLOOKUP(H910, 'RM &amp; SF'!B:H, 2, 0)</f>
        <v>فلفل حار اخضر*****</v>
      </c>
      <c r="J910" s="184" t="str">
        <f>VLOOKUP(H910, 'RM &amp; SF'!B:E, 4, 0)</f>
        <v>غم</v>
      </c>
      <c r="K910" s="12">
        <v>40</v>
      </c>
      <c r="L910" s="13">
        <f>VLOOKUP(H910, 'RM &amp; SF'!B:H, 7, 0)</f>
        <v>5.0000000000000001E-4</v>
      </c>
      <c r="M910" s="7">
        <f t="shared" si="55"/>
        <v>0.02</v>
      </c>
      <c r="N910" s="4" t="s">
        <v>825</v>
      </c>
      <c r="O910" s="4">
        <f>VLOOKUP(B910, 'All Menu'!B:L, 6, 0)</f>
        <v>7.9741379310344831</v>
      </c>
      <c r="P910" s="6">
        <f>VLOOKUP(B910, 'All Menu'!B:L, 9, 0)</f>
        <v>5.9854053357715076</v>
      </c>
      <c r="Q910" s="14">
        <f>VLOOKUP(B910, 'All Menu'!B:M, 12, 0)</f>
        <v>0.24939781735189745</v>
      </c>
      <c r="R910" s="173">
        <f t="shared" si="56"/>
        <v>0</v>
      </c>
    </row>
    <row r="911" spans="1:18" ht="14" hidden="1">
      <c r="A911" s="78" t="s">
        <v>2606</v>
      </c>
      <c r="B911" s="220" t="s">
        <v>1246</v>
      </c>
      <c r="C911" s="185"/>
      <c r="D911" s="30" t="str">
        <f>VLOOKUP(B911, 'All Menu'!B:M, 4, 0)</f>
        <v>صاجية المركزية</v>
      </c>
      <c r="E911" s="30" t="str">
        <f>VLOOKUP(B911, 'All Menu'!B:M, 2, 0)</f>
        <v>قسم الصالة</v>
      </c>
      <c r="F911" s="103" t="str">
        <f>VLOOKUP(B911, 'All Menu'!B:M, 3, 0)</f>
        <v>صواني وصاجيات صالة</v>
      </c>
      <c r="G911" s="90" t="s">
        <v>2173</v>
      </c>
      <c r="H911" s="188">
        <v>4624</v>
      </c>
      <c r="I911" s="110" t="str">
        <f>VLOOKUP(H911, 'RM &amp; SF'!B:H, 2, 0)</f>
        <v>جبنة موزريلا قالب 2.380 كغ*****</v>
      </c>
      <c r="J911" s="184" t="str">
        <f>VLOOKUP(H911, 'RM &amp; SF'!B:E, 4, 0)</f>
        <v>غم</v>
      </c>
      <c r="K911" s="12">
        <v>20</v>
      </c>
      <c r="L911" s="13">
        <f>VLOOKUP(H911, 'RM &amp; SF'!B:H, 7, 0)</f>
        <v>5.1749999999999999E-3</v>
      </c>
      <c r="M911" s="7">
        <f t="shared" si="55"/>
        <v>0.10349999999999999</v>
      </c>
      <c r="N911" s="4" t="s">
        <v>825</v>
      </c>
      <c r="O911" s="4">
        <f>VLOOKUP(B911, 'All Menu'!B:L, 6, 0)</f>
        <v>7.9741379310344831</v>
      </c>
      <c r="P911" s="6">
        <f>VLOOKUP(B911, 'All Menu'!B:L, 9, 0)</f>
        <v>5.9854053357715076</v>
      </c>
      <c r="Q911" s="14">
        <f>VLOOKUP(B911, 'All Menu'!B:M, 12, 0)</f>
        <v>0.24939781735189745</v>
      </c>
      <c r="R911" s="173">
        <f t="shared" si="56"/>
        <v>0</v>
      </c>
    </row>
    <row r="912" spans="1:18" ht="14" hidden="1">
      <c r="A912" s="78" t="s">
        <v>2606</v>
      </c>
      <c r="B912" s="220" t="s">
        <v>1246</v>
      </c>
      <c r="C912" s="185"/>
      <c r="D912" s="30" t="str">
        <f>VLOOKUP(B912, 'All Menu'!B:M, 4, 0)</f>
        <v>صاجية المركزية</v>
      </c>
      <c r="E912" s="30" t="str">
        <f>VLOOKUP(B912, 'All Menu'!B:M, 2, 0)</f>
        <v>قسم الصالة</v>
      </c>
      <c r="F912" s="103" t="str">
        <f>VLOOKUP(B912, 'All Menu'!B:M, 3, 0)</f>
        <v>صواني وصاجيات صالة</v>
      </c>
      <c r="G912" s="90" t="s">
        <v>2251</v>
      </c>
      <c r="H912" s="188">
        <v>4544</v>
      </c>
      <c r="I912" s="110" t="str">
        <f>VLOOKUP(H912, 'RM &amp; SF'!B:H, 2, 0)</f>
        <v>بقدونس*****</v>
      </c>
      <c r="J912" s="184" t="str">
        <f>VLOOKUP(H912, 'RM &amp; SF'!B:E, 4, 0)</f>
        <v>غم</v>
      </c>
      <c r="K912" s="12">
        <v>10</v>
      </c>
      <c r="L912" s="13">
        <f>VLOOKUP(H912, 'RM &amp; SF'!B:H, 7, 0)</f>
        <v>7.5000000000000002E-4</v>
      </c>
      <c r="M912" s="7">
        <f t="shared" si="55"/>
        <v>7.4999999999999997E-3</v>
      </c>
      <c r="N912" s="4" t="s">
        <v>825</v>
      </c>
      <c r="O912" s="4">
        <f>VLOOKUP(B912, 'All Menu'!B:L, 6, 0)</f>
        <v>7.9741379310344831</v>
      </c>
      <c r="P912" s="6">
        <f>VLOOKUP(B912, 'All Menu'!B:L, 9, 0)</f>
        <v>5.9854053357715076</v>
      </c>
      <c r="Q912" s="14">
        <f>VLOOKUP(B912, 'All Menu'!B:M, 12, 0)</f>
        <v>0.24939781735189745</v>
      </c>
      <c r="R912" s="173">
        <f t="shared" si="56"/>
        <v>0</v>
      </c>
    </row>
    <row r="913" spans="1:18" ht="14" hidden="1">
      <c r="A913" s="78" t="s">
        <v>2512</v>
      </c>
      <c r="B913" s="220" t="s">
        <v>1247</v>
      </c>
      <c r="C913" s="185"/>
      <c r="D913" s="30" t="str">
        <f>VLOOKUP(B913, 'All Menu'!B:M, 4, 0)</f>
        <v>حلوم مشوي</v>
      </c>
      <c r="E913" s="30" t="str">
        <f>VLOOKUP(B913, 'All Menu'!B:M, 2, 0)</f>
        <v>قسم الصالة</v>
      </c>
      <c r="F913" s="103" t="str">
        <f>VLOOKUP(B913, 'All Menu'!B:M, 3, 0)</f>
        <v>مقبلات ساخنة صالة</v>
      </c>
      <c r="G913" s="90" t="s">
        <v>2176</v>
      </c>
      <c r="H913" s="188">
        <v>4564</v>
      </c>
      <c r="I913" s="110" t="str">
        <f>VLOOKUP(H913, 'RM &amp; SF'!B:H, 2, 0)</f>
        <v>جبنة حلوم 250 غم*****</v>
      </c>
      <c r="J913" s="184" t="str">
        <f>VLOOKUP(H913, 'RM &amp; SF'!B:E, 4, 0)</f>
        <v>غم</v>
      </c>
      <c r="K913" s="12">
        <v>120</v>
      </c>
      <c r="L913" s="13">
        <f>VLOOKUP(H913, 'RM &amp; SF'!B:H, 7, 0)</f>
        <v>8.8889999999999993E-3</v>
      </c>
      <c r="M913" s="7">
        <f t="shared" si="55"/>
        <v>1.0666799999999999</v>
      </c>
      <c r="N913" s="4" t="s">
        <v>825</v>
      </c>
      <c r="O913" s="4">
        <f>VLOOKUP(B913, 'All Menu'!B:L, 6, 0)</f>
        <v>3.2327586206896552</v>
      </c>
      <c r="P913" s="6">
        <f>VLOOKUP(B913, 'All Menu'!B:L, 9, 0)</f>
        <v>1.1429299999999998</v>
      </c>
      <c r="Q913" s="14">
        <f>VLOOKUP(B913, 'All Menu'!B:M, 12, 0)</f>
        <v>0.64645365333333338</v>
      </c>
      <c r="R913" s="173">
        <f t="shared" si="56"/>
        <v>0</v>
      </c>
    </row>
    <row r="914" spans="1:18" ht="14" hidden="1">
      <c r="A914" s="78" t="s">
        <v>2512</v>
      </c>
      <c r="B914" s="220" t="s">
        <v>1247</v>
      </c>
      <c r="C914" s="185"/>
      <c r="D914" s="30" t="str">
        <f>VLOOKUP(B914, 'All Menu'!B:M, 4, 0)</f>
        <v>حلوم مشوي</v>
      </c>
      <c r="E914" s="30" t="str">
        <f>VLOOKUP(B914, 'All Menu'!B:M, 2, 0)</f>
        <v>قسم الصالة</v>
      </c>
      <c r="F914" s="103" t="str">
        <f>VLOOKUP(B914, 'All Menu'!B:M, 3, 0)</f>
        <v>مقبلات ساخنة صالة</v>
      </c>
      <c r="G914" s="90" t="s">
        <v>3058</v>
      </c>
      <c r="H914" s="188">
        <v>4517</v>
      </c>
      <c r="I914" s="110" t="str">
        <f>VLOOKUP(H914, 'RM &amp; SF'!B:H, 2, 0)</f>
        <v>خس بلدي*****</v>
      </c>
      <c r="J914" s="184" t="str">
        <f>VLOOKUP(H914, 'RM &amp; SF'!B:E, 4, 0)</f>
        <v>غم</v>
      </c>
      <c r="K914" s="12">
        <v>40</v>
      </c>
      <c r="L914" s="13">
        <f>VLOOKUP(H914, 'RM &amp; SF'!B:H, 7, 0)</f>
        <v>5.0000000000000001E-4</v>
      </c>
      <c r="M914" s="7">
        <f t="shared" si="55"/>
        <v>0.02</v>
      </c>
      <c r="N914" s="4" t="s">
        <v>825</v>
      </c>
      <c r="O914" s="4">
        <f>VLOOKUP(B914, 'All Menu'!B:L, 6, 0)</f>
        <v>3.2327586206896552</v>
      </c>
      <c r="P914" s="6">
        <f>VLOOKUP(B914, 'All Menu'!B:L, 9, 0)</f>
        <v>1.1429299999999998</v>
      </c>
      <c r="Q914" s="14">
        <f>VLOOKUP(B914, 'All Menu'!B:M, 12, 0)</f>
        <v>0.64645365333333338</v>
      </c>
      <c r="R914" s="173">
        <f t="shared" si="56"/>
        <v>0</v>
      </c>
    </row>
    <row r="915" spans="1:18" ht="14" hidden="1">
      <c r="A915" s="78" t="s">
        <v>2512</v>
      </c>
      <c r="B915" s="220" t="s">
        <v>1247</v>
      </c>
      <c r="C915" s="185"/>
      <c r="D915" s="30" t="str">
        <f>VLOOKUP(B915, 'All Menu'!B:M, 4, 0)</f>
        <v>حلوم مشوي</v>
      </c>
      <c r="E915" s="30" t="str">
        <f>VLOOKUP(B915, 'All Menu'!B:M, 2, 0)</f>
        <v>قسم الصالة</v>
      </c>
      <c r="F915" s="103" t="str">
        <f>VLOOKUP(B915, 'All Menu'!B:M, 3, 0)</f>
        <v>مقبلات ساخنة صالة</v>
      </c>
      <c r="G915" s="90" t="s">
        <v>3058</v>
      </c>
      <c r="H915" s="188">
        <v>4516</v>
      </c>
      <c r="I915" s="110" t="str">
        <f>VLOOKUP(H915, 'RM &amp; SF'!B:H, 2, 0)</f>
        <v>بندورة كرزية (بندورة شري)*****</v>
      </c>
      <c r="J915" s="184" t="str">
        <f>VLOOKUP(H915, 'RM &amp; SF'!B:E, 4, 0)</f>
        <v>غم</v>
      </c>
      <c r="K915" s="12">
        <v>30</v>
      </c>
      <c r="L915" s="13">
        <f>VLOOKUP(H915, 'RM &amp; SF'!B:H, 7, 0)</f>
        <v>1.8749999999999999E-3</v>
      </c>
      <c r="M915" s="7">
        <f t="shared" si="55"/>
        <v>5.6249999999999994E-2</v>
      </c>
      <c r="N915" s="4" t="s">
        <v>825</v>
      </c>
      <c r="O915" s="4">
        <f>VLOOKUP(B915, 'All Menu'!B:L, 6, 0)</f>
        <v>3.2327586206896552</v>
      </c>
      <c r="P915" s="6">
        <f>VLOOKUP(B915, 'All Menu'!B:L, 9, 0)</f>
        <v>1.1429299999999998</v>
      </c>
      <c r="Q915" s="14">
        <f>VLOOKUP(B915, 'All Menu'!B:M, 12, 0)</f>
        <v>0.64645365333333338</v>
      </c>
      <c r="R915" s="173">
        <f t="shared" si="56"/>
        <v>0</v>
      </c>
    </row>
    <row r="916" spans="1:18" ht="14" hidden="1">
      <c r="A916" s="78" t="s">
        <v>2584</v>
      </c>
      <c r="B916" s="220" t="s">
        <v>1248</v>
      </c>
      <c r="C916" s="185"/>
      <c r="D916" s="30" t="str">
        <f>VLOOKUP(B916, 'All Menu'!B:M, 4, 0)</f>
        <v>روكا سلط</v>
      </c>
      <c r="E916" s="30" t="str">
        <f>VLOOKUP(B916, 'All Menu'!B:M, 2, 0)</f>
        <v>قسم الصالة</v>
      </c>
      <c r="F916" s="103" t="str">
        <f>VLOOKUP(B916, 'All Menu'!B:M, 3, 0)</f>
        <v>سلطات صالة</v>
      </c>
      <c r="G916" s="90" t="s">
        <v>2252</v>
      </c>
      <c r="H916" s="188">
        <v>4545</v>
      </c>
      <c r="I916" s="110" t="str">
        <f>VLOOKUP(H916, 'RM &amp; SF'!B:H, 2, 0)</f>
        <v>جرجير*****</v>
      </c>
      <c r="J916" s="184" t="str">
        <f>VLOOKUP(H916, 'RM &amp; SF'!B:E, 4, 0)</f>
        <v>غم</v>
      </c>
      <c r="K916" s="12">
        <v>85</v>
      </c>
      <c r="L916" s="13">
        <f>VLOOKUP(H916, 'RM &amp; SF'!B:H, 7, 0)</f>
        <v>7.5000000000000002E-4</v>
      </c>
      <c r="M916" s="7">
        <f t="shared" si="55"/>
        <v>6.3750000000000001E-2</v>
      </c>
      <c r="N916" s="4" t="s">
        <v>825</v>
      </c>
      <c r="O916" s="4">
        <f>VLOOKUP(B916, 'All Menu'!B:L, 6, 0)</f>
        <v>3.6637931034482762</v>
      </c>
      <c r="P916" s="6">
        <f>VLOOKUP(B916, 'All Menu'!B:L, 9, 0)</f>
        <v>0.72674533333333335</v>
      </c>
      <c r="Q916" s="14">
        <f>VLOOKUP(B916, 'All Menu'!B:M, 12, 0)</f>
        <v>0.80164127372549032</v>
      </c>
      <c r="R916" s="173">
        <f t="shared" si="56"/>
        <v>0</v>
      </c>
    </row>
    <row r="917" spans="1:18" ht="14" hidden="1">
      <c r="A917" s="78" t="s">
        <v>2584</v>
      </c>
      <c r="B917" s="220" t="s">
        <v>1248</v>
      </c>
      <c r="C917" s="185"/>
      <c r="D917" s="30" t="str">
        <f>VLOOKUP(B917, 'All Menu'!B:M, 4, 0)</f>
        <v>روكا سلط</v>
      </c>
      <c r="E917" s="30" t="str">
        <f>VLOOKUP(B917, 'All Menu'!B:M, 2, 0)</f>
        <v>قسم الصالة</v>
      </c>
      <c r="F917" s="103" t="str">
        <f>VLOOKUP(B917, 'All Menu'!B:M, 3, 0)</f>
        <v>سلطات صالة</v>
      </c>
      <c r="G917" s="90" t="s">
        <v>2240</v>
      </c>
      <c r="H917" s="188">
        <v>4515</v>
      </c>
      <c r="I917" s="110" t="str">
        <f>VLOOKUP(H917, 'RM &amp; SF'!B:H, 2, 0)</f>
        <v>فطر طازج (فطر فرش)*****</v>
      </c>
      <c r="J917" s="184" t="str">
        <f>VLOOKUP(H917, 'RM &amp; SF'!B:E, 4, 0)</f>
        <v>غم</v>
      </c>
      <c r="K917" s="12">
        <v>25</v>
      </c>
      <c r="L917" s="13">
        <f>VLOOKUP(H917, 'RM &amp; SF'!B:H, 7, 0)</f>
        <v>5.9999999999999993E-3</v>
      </c>
      <c r="M917" s="7">
        <f t="shared" si="55"/>
        <v>0.15</v>
      </c>
      <c r="N917" s="4" t="s">
        <v>825</v>
      </c>
      <c r="O917" s="4">
        <f>VLOOKUP(B917, 'All Menu'!B:L, 6, 0)</f>
        <v>3.6637931034482762</v>
      </c>
      <c r="P917" s="6">
        <f>VLOOKUP(B917, 'All Menu'!B:L, 9, 0)</f>
        <v>0.72674533333333335</v>
      </c>
      <c r="Q917" s="14">
        <f>VLOOKUP(B917, 'All Menu'!B:M, 12, 0)</f>
        <v>0.80164127372549032</v>
      </c>
      <c r="R917" s="173">
        <f t="shared" si="56"/>
        <v>0</v>
      </c>
    </row>
    <row r="918" spans="1:18" ht="14" hidden="1">
      <c r="A918" s="78" t="s">
        <v>2584</v>
      </c>
      <c r="B918" s="220" t="s">
        <v>1248</v>
      </c>
      <c r="C918" s="185"/>
      <c r="D918" s="30" t="str">
        <f>VLOOKUP(B918, 'All Menu'!B:M, 4, 0)</f>
        <v>روكا سلط</v>
      </c>
      <c r="E918" s="30" t="str">
        <f>VLOOKUP(B918, 'All Menu'!B:M, 2, 0)</f>
        <v>قسم الصالة</v>
      </c>
      <c r="F918" s="103" t="str">
        <f>VLOOKUP(B918, 'All Menu'!B:M, 3, 0)</f>
        <v>سلطات صالة</v>
      </c>
      <c r="G918" s="90" t="s">
        <v>3058</v>
      </c>
      <c r="H918" s="188">
        <v>4516</v>
      </c>
      <c r="I918" s="110" t="str">
        <f>VLOOKUP(H918, 'RM &amp; SF'!B:H, 2, 0)</f>
        <v>بندورة كرزية (بندورة شري)*****</v>
      </c>
      <c r="J918" s="184" t="str">
        <f>VLOOKUP(H918, 'RM &amp; SF'!B:E, 4, 0)</f>
        <v>غم</v>
      </c>
      <c r="K918" s="12">
        <v>50</v>
      </c>
      <c r="L918" s="13">
        <f>VLOOKUP(H918, 'RM &amp; SF'!B:H, 7, 0)</f>
        <v>1.8749999999999999E-3</v>
      </c>
      <c r="M918" s="7">
        <f t="shared" si="55"/>
        <v>9.375E-2</v>
      </c>
      <c r="N918" s="4" t="s">
        <v>825</v>
      </c>
      <c r="O918" s="4">
        <f>VLOOKUP(B918, 'All Menu'!B:L, 6, 0)</f>
        <v>3.6637931034482762</v>
      </c>
      <c r="P918" s="6">
        <f>VLOOKUP(B918, 'All Menu'!B:L, 9, 0)</f>
        <v>0.72674533333333335</v>
      </c>
      <c r="Q918" s="14">
        <f>VLOOKUP(B918, 'All Menu'!B:M, 12, 0)</f>
        <v>0.80164127372549032</v>
      </c>
      <c r="R918" s="173">
        <f t="shared" si="56"/>
        <v>0</v>
      </c>
    </row>
    <row r="919" spans="1:18" ht="14" hidden="1">
      <c r="A919" s="78" t="s">
        <v>2584</v>
      </c>
      <c r="B919" s="220" t="s">
        <v>1248</v>
      </c>
      <c r="C919" s="185"/>
      <c r="D919" s="30" t="str">
        <f>VLOOKUP(B919, 'All Menu'!B:M, 4, 0)</f>
        <v>روكا سلط</v>
      </c>
      <c r="E919" s="30" t="str">
        <f>VLOOKUP(B919, 'All Menu'!B:M, 2, 0)</f>
        <v>قسم الصالة</v>
      </c>
      <c r="F919" s="103" t="str">
        <f>VLOOKUP(B919, 'All Menu'!B:M, 3, 0)</f>
        <v>سلطات صالة</v>
      </c>
      <c r="G919" s="90" t="s">
        <v>2356</v>
      </c>
      <c r="H919" s="219" t="s">
        <v>738</v>
      </c>
      <c r="I919" s="110" t="str">
        <f>VLOOKUP(H919, 'RM &amp; SF'!B:H, 2, 0)</f>
        <v>صوص بلسمك</v>
      </c>
      <c r="J919" s="184" t="str">
        <f>VLOOKUP(H919, 'RM &amp; SF'!B:E, 4, 0)</f>
        <v>غم</v>
      </c>
      <c r="K919" s="12">
        <v>80</v>
      </c>
      <c r="L919" s="13">
        <f>VLOOKUP(H919, 'RM &amp; SF'!B:H, 7, 0)</f>
        <v>3.9905666666666673E-3</v>
      </c>
      <c r="M919" s="7">
        <f t="shared" si="55"/>
        <v>0.31924533333333338</v>
      </c>
      <c r="N919" s="4" t="s">
        <v>825</v>
      </c>
      <c r="O919" s="4">
        <f>VLOOKUP(B919, 'All Menu'!B:L, 6, 0)</f>
        <v>3.6637931034482762</v>
      </c>
      <c r="P919" s="6">
        <f>VLOOKUP(B919, 'All Menu'!B:L, 9, 0)</f>
        <v>0.72674533333333335</v>
      </c>
      <c r="Q919" s="14">
        <f>VLOOKUP(B919, 'All Menu'!B:M, 12, 0)</f>
        <v>0.80164127372549032</v>
      </c>
      <c r="R919" s="173">
        <f t="shared" si="56"/>
        <v>0</v>
      </c>
    </row>
    <row r="920" spans="1:18" ht="14" hidden="1">
      <c r="A920" s="78" t="s">
        <v>2584</v>
      </c>
      <c r="B920" s="220" t="s">
        <v>1248</v>
      </c>
      <c r="C920" s="185"/>
      <c r="D920" s="30" t="str">
        <f>VLOOKUP(B920, 'All Menu'!B:M, 4, 0)</f>
        <v>روكا سلط</v>
      </c>
      <c r="E920" s="30" t="str">
        <f>VLOOKUP(B920, 'All Menu'!B:M, 2, 0)</f>
        <v>قسم الصالة</v>
      </c>
      <c r="F920" s="103" t="str">
        <f>VLOOKUP(B920, 'All Menu'!B:M, 3, 0)</f>
        <v>سلطات صالة</v>
      </c>
      <c r="G920" s="90" t="s">
        <v>2250</v>
      </c>
      <c r="H920" s="188">
        <v>4531</v>
      </c>
      <c r="I920" s="110" t="str">
        <f>VLOOKUP(H920, 'RM &amp; SF'!B:H, 2, 0)</f>
        <v>فراولة*****</v>
      </c>
      <c r="J920" s="184" t="str">
        <f>VLOOKUP(H920, 'RM &amp; SF'!B:E, 4, 0)</f>
        <v>غم</v>
      </c>
      <c r="K920" s="12">
        <v>40</v>
      </c>
      <c r="L920" s="13">
        <f>VLOOKUP(H920, 'RM &amp; SF'!B:H, 7, 0)</f>
        <v>2.5000000000000001E-3</v>
      </c>
      <c r="M920" s="7">
        <f t="shared" si="55"/>
        <v>0.1</v>
      </c>
      <c r="N920" s="4" t="s">
        <v>825</v>
      </c>
      <c r="O920" s="4">
        <f>VLOOKUP(B920, 'All Menu'!B:L, 6, 0)</f>
        <v>3.6637931034482762</v>
      </c>
      <c r="P920" s="6">
        <f>VLOOKUP(B920, 'All Menu'!B:L, 9, 0)</f>
        <v>0.72674533333333335</v>
      </c>
      <c r="Q920" s="14">
        <f>VLOOKUP(B920, 'All Menu'!B:M, 12, 0)</f>
        <v>0.80164127372549032</v>
      </c>
      <c r="R920" s="173">
        <f t="shared" si="56"/>
        <v>0</v>
      </c>
    </row>
    <row r="921" spans="1:18" ht="15.5" hidden="1">
      <c r="A921" s="78" t="s">
        <v>2524</v>
      </c>
      <c r="B921" s="220" t="s">
        <v>1293</v>
      </c>
      <c r="C921" s="185"/>
      <c r="D921" s="30" t="str">
        <f>VLOOKUP(B921, 'All Menu'!B:M, 4, 0)</f>
        <v>فتايل مشوية كيلو</v>
      </c>
      <c r="E921" s="30" t="str">
        <f>VLOOKUP(B921, 'All Menu'!B:M, 2, 0)</f>
        <v>قسم الصالة</v>
      </c>
      <c r="F921" s="103" t="str">
        <f>VLOOKUP(B921, 'All Menu'!B:M, 3, 0)</f>
        <v>المشاوي صالة</v>
      </c>
      <c r="G921" s="90" t="s">
        <v>3058</v>
      </c>
      <c r="H921" s="112">
        <v>5403</v>
      </c>
      <c r="I921" s="110" t="str">
        <f>VLOOKUP(H921, 'RM &amp; SF'!B:H, 2, 0)</f>
        <v>طاجن (من تفصيلة الخروف)</v>
      </c>
      <c r="J921" s="184" t="str">
        <f>VLOOKUP(H921, 'RM &amp; SF'!B:E, 4, 0)</f>
        <v>غم</v>
      </c>
      <c r="K921" s="20">
        <v>1000</v>
      </c>
      <c r="L921" s="13">
        <f>VLOOKUP(H921, 'RM &amp; SF'!B:H, 7, 0)</f>
        <v>9.4999999999999998E-3</v>
      </c>
      <c r="M921" s="7">
        <f t="shared" si="55"/>
        <v>9.5</v>
      </c>
      <c r="N921" s="4" t="s">
        <v>825</v>
      </c>
      <c r="O921" s="4">
        <f>VLOOKUP(B921, 'All Menu'!B:L, 6, 0)</f>
        <v>25.862068965517242</v>
      </c>
      <c r="P921" s="6">
        <f>VLOOKUP(B921, 'All Menu'!B:L, 9, 0)</f>
        <v>9.6872644529660175</v>
      </c>
      <c r="Q921" s="14">
        <f>VLOOKUP(B921, 'All Menu'!B:M, 12, 0)</f>
        <v>0.62542577448531411</v>
      </c>
      <c r="R921" s="173">
        <f t="shared" si="56"/>
        <v>0</v>
      </c>
    </row>
    <row r="922" spans="1:18" ht="14" hidden="1">
      <c r="A922" s="78" t="s">
        <v>2524</v>
      </c>
      <c r="B922" s="220" t="s">
        <v>1293</v>
      </c>
      <c r="C922" s="185"/>
      <c r="D922" s="30" t="str">
        <f>VLOOKUP(B922, 'All Menu'!B:M, 4, 0)</f>
        <v>فتايل مشوية كيلو</v>
      </c>
      <c r="E922" s="30" t="str">
        <f>VLOOKUP(B922, 'All Menu'!B:M, 2, 0)</f>
        <v>قسم الصالة</v>
      </c>
      <c r="F922" s="103" t="str">
        <f>VLOOKUP(B922, 'All Menu'!B:M, 3, 0)</f>
        <v>المشاوي صالة</v>
      </c>
      <c r="G922" s="90" t="s">
        <v>2235</v>
      </c>
      <c r="H922" s="188">
        <v>4504</v>
      </c>
      <c r="I922" s="110" t="str">
        <f>VLOOKUP(H922, 'RM &amp; SF'!B:H, 2, 0)</f>
        <v>بصل مشاوي (بصل بيبي)***</v>
      </c>
      <c r="J922" s="184" t="str">
        <f>VLOOKUP(H922, 'RM &amp; SF'!B:E, 4, 0)</f>
        <v>غم</v>
      </c>
      <c r="K922" s="12">
        <v>120</v>
      </c>
      <c r="L922" s="13">
        <f>VLOOKUP(H922, 'RM &amp; SF'!B:H, 7, 0)</f>
        <v>3.5E-4</v>
      </c>
      <c r="M922" s="7">
        <f t="shared" si="55"/>
        <v>4.2000000000000003E-2</v>
      </c>
      <c r="N922" s="4" t="s">
        <v>825</v>
      </c>
      <c r="O922" s="4">
        <f>VLOOKUP(B922, 'All Menu'!B:L, 6, 0)</f>
        <v>25.862068965517242</v>
      </c>
      <c r="P922" s="6">
        <f>VLOOKUP(B922, 'All Menu'!B:L, 9, 0)</f>
        <v>9.6872644529660175</v>
      </c>
      <c r="Q922" s="14">
        <f>VLOOKUP(B922, 'All Menu'!B:M, 12, 0)</f>
        <v>0.62542577448531411</v>
      </c>
      <c r="R922" s="173">
        <f t="shared" si="56"/>
        <v>0</v>
      </c>
    </row>
    <row r="923" spans="1:18" ht="14" hidden="1">
      <c r="A923" s="78" t="s">
        <v>2524</v>
      </c>
      <c r="B923" s="220" t="s">
        <v>1293</v>
      </c>
      <c r="C923" s="185"/>
      <c r="D923" s="30" t="str">
        <f>VLOOKUP(B923, 'All Menu'!B:M, 4, 0)</f>
        <v>فتايل مشوية كيلو</v>
      </c>
      <c r="E923" s="30" t="str">
        <f>VLOOKUP(B923, 'All Menu'!B:M, 2, 0)</f>
        <v>قسم الصالة</v>
      </c>
      <c r="F923" s="103" t="str">
        <f>VLOOKUP(B923, 'All Menu'!B:M, 3, 0)</f>
        <v>المشاوي صالة</v>
      </c>
      <c r="G923" s="90" t="s">
        <v>2309</v>
      </c>
      <c r="H923" s="188">
        <v>4491</v>
      </c>
      <c r="I923" s="110" t="str">
        <f>VLOOKUP(H923, 'RM &amp; SF'!B:H, 2, 0)</f>
        <v>بندورة جامدة*****</v>
      </c>
      <c r="J923" s="184" t="str">
        <f>VLOOKUP(H923, 'RM &amp; SF'!B:E, 4, 0)</f>
        <v>غم</v>
      </c>
      <c r="K923" s="20">
        <v>140</v>
      </c>
      <c r="L923" s="13">
        <f>VLOOKUP(H923, 'RM &amp; SF'!B:H, 7, 0)</f>
        <v>5.0000000000000001E-4</v>
      </c>
      <c r="M923" s="7">
        <f t="shared" si="55"/>
        <v>7.0000000000000007E-2</v>
      </c>
      <c r="N923" s="4" t="s">
        <v>825</v>
      </c>
      <c r="O923" s="4">
        <f>VLOOKUP(B923, 'All Menu'!B:L, 6, 0)</f>
        <v>25.862068965517242</v>
      </c>
      <c r="P923" s="6">
        <f>VLOOKUP(B923, 'All Menu'!B:L, 9, 0)</f>
        <v>9.6872644529660175</v>
      </c>
      <c r="Q923" s="14">
        <f>VLOOKUP(B923, 'All Menu'!B:M, 12, 0)</f>
        <v>0.62542577448531411</v>
      </c>
      <c r="R923" s="173">
        <f t="shared" si="56"/>
        <v>0</v>
      </c>
    </row>
    <row r="924" spans="1:18" ht="14" hidden="1">
      <c r="A924" s="78" t="s">
        <v>2524</v>
      </c>
      <c r="B924" s="220" t="s">
        <v>1293</v>
      </c>
      <c r="C924" s="185"/>
      <c r="D924" s="30" t="str">
        <f>VLOOKUP(B924, 'All Menu'!B:M, 4, 0)</f>
        <v>فتايل مشوية كيلو</v>
      </c>
      <c r="E924" s="30" t="str">
        <f>VLOOKUP(B924, 'All Menu'!B:M, 2, 0)</f>
        <v>قسم الصالة</v>
      </c>
      <c r="F924" s="103" t="str">
        <f>VLOOKUP(B924, 'All Menu'!B:M, 3, 0)</f>
        <v>المشاوي صالة</v>
      </c>
      <c r="G924" s="90" t="s">
        <v>2396</v>
      </c>
      <c r="H924" s="219" t="s">
        <v>582</v>
      </c>
      <c r="I924" s="110" t="str">
        <f>VLOOKUP(H924, 'RM &amp; SF'!B:H, 2, 0)</f>
        <v>بيواز</v>
      </c>
      <c r="J924" s="184" t="str">
        <f>VLOOKUP(H924, 'RM &amp; SF'!B:E, 4, 0)</f>
        <v>غم</v>
      </c>
      <c r="K924" s="12">
        <v>100</v>
      </c>
      <c r="L924" s="13">
        <f>VLOOKUP(H924, 'RM &amp; SF'!B:H, 7, 0)</f>
        <v>2.0666065869244635E-4</v>
      </c>
      <c r="M924" s="7">
        <f t="shared" si="55"/>
        <v>2.0666065869244635E-2</v>
      </c>
      <c r="N924" s="4" t="s">
        <v>825</v>
      </c>
      <c r="O924" s="4">
        <f>VLOOKUP(B924, 'All Menu'!B:L, 6, 0)</f>
        <v>25.862068965517242</v>
      </c>
      <c r="P924" s="6">
        <f>VLOOKUP(B924, 'All Menu'!B:L, 9, 0)</f>
        <v>9.6872644529660175</v>
      </c>
      <c r="Q924" s="14">
        <f>VLOOKUP(B924, 'All Menu'!B:M, 12, 0)</f>
        <v>0.62542577448531411</v>
      </c>
      <c r="R924" s="173">
        <f t="shared" si="56"/>
        <v>0</v>
      </c>
    </row>
    <row r="925" spans="1:18" ht="14" hidden="1">
      <c r="A925" s="78" t="s">
        <v>2524</v>
      </c>
      <c r="B925" s="220" t="s">
        <v>1293</v>
      </c>
      <c r="C925" s="185"/>
      <c r="D925" s="30" t="str">
        <f>VLOOKUP(B925, 'All Menu'!B:M, 4, 0)</f>
        <v>فتايل مشوية كيلو</v>
      </c>
      <c r="E925" s="30" t="str">
        <f>VLOOKUP(B925, 'All Menu'!B:M, 2, 0)</f>
        <v>قسم الصالة</v>
      </c>
      <c r="F925" s="103" t="str">
        <f>VLOOKUP(B925, 'All Menu'!B:M, 3, 0)</f>
        <v>المشاوي صالة</v>
      </c>
      <c r="G925" s="90" t="s">
        <v>2331</v>
      </c>
      <c r="H925" s="219" t="s">
        <v>530</v>
      </c>
      <c r="I925" s="110" t="str">
        <f>VLOOKUP(H925, 'RM &amp; SF'!B:H, 2, 0)</f>
        <v>خبز صاج</v>
      </c>
      <c r="J925" s="184" t="str">
        <f>VLOOKUP(H925, 'RM &amp; SF'!B:E, 4, 0)</f>
        <v>غم</v>
      </c>
      <c r="K925" s="20">
        <v>285</v>
      </c>
      <c r="L925" s="13">
        <f>VLOOKUP(H925, 'RM &amp; SF'!B:H, 7, 0)</f>
        <v>1.8806451612903227E-4</v>
      </c>
      <c r="M925" s="7">
        <f t="shared" si="55"/>
        <v>5.3598387096774197E-2</v>
      </c>
      <c r="N925" s="4" t="s">
        <v>825</v>
      </c>
      <c r="O925" s="4">
        <f>VLOOKUP(B925, 'All Menu'!B:L, 6, 0)</f>
        <v>25.862068965517242</v>
      </c>
      <c r="P925" s="6">
        <f>VLOOKUP(B925, 'All Menu'!B:L, 9, 0)</f>
        <v>9.6872644529660175</v>
      </c>
      <c r="Q925" s="14">
        <f>VLOOKUP(B925, 'All Menu'!B:M, 12, 0)</f>
        <v>0.62542577448531411</v>
      </c>
      <c r="R925" s="173">
        <f t="shared" si="56"/>
        <v>0</v>
      </c>
    </row>
    <row r="926" spans="1:18" ht="14" hidden="1">
      <c r="A926" s="78" t="s">
        <v>2524</v>
      </c>
      <c r="B926" s="220" t="s">
        <v>1293</v>
      </c>
      <c r="C926" s="185"/>
      <c r="D926" s="30" t="str">
        <f>VLOOKUP(B926, 'All Menu'!B:M, 4, 0)</f>
        <v>فتايل مشوية كيلو</v>
      </c>
      <c r="E926" s="30" t="str">
        <f>VLOOKUP(B926, 'All Menu'!B:M, 2, 0)</f>
        <v>قسم الصالة</v>
      </c>
      <c r="F926" s="103" t="str">
        <f>VLOOKUP(B926, 'All Menu'!B:M, 3, 0)</f>
        <v>المشاوي صالة</v>
      </c>
      <c r="G926" s="90" t="s">
        <v>2231</v>
      </c>
      <c r="H926" s="188">
        <v>4499</v>
      </c>
      <c r="I926" s="110" t="str">
        <f>VLOOKUP(H926, 'RM &amp; SF'!B:H, 2, 0)</f>
        <v>فلفل حار اخضر*****</v>
      </c>
      <c r="J926" s="184" t="str">
        <f>VLOOKUP(H926, 'RM &amp; SF'!B:E, 4, 0)</f>
        <v>غم</v>
      </c>
      <c r="K926" s="12">
        <v>2</v>
      </c>
      <c r="L926" s="13">
        <f>VLOOKUP(H926, 'RM &amp; SF'!B:H, 7, 0)</f>
        <v>5.0000000000000001E-4</v>
      </c>
      <c r="M926" s="7">
        <f t="shared" si="55"/>
        <v>1E-3</v>
      </c>
      <c r="N926" s="4" t="s">
        <v>825</v>
      </c>
      <c r="O926" s="4">
        <f>VLOOKUP(B926, 'All Menu'!B:L, 6, 0)</f>
        <v>25.862068965517242</v>
      </c>
      <c r="P926" s="6">
        <f>VLOOKUP(B926, 'All Menu'!B:L, 9, 0)</f>
        <v>9.6872644529660175</v>
      </c>
      <c r="Q926" s="14">
        <f>VLOOKUP(B926, 'All Menu'!B:M, 12, 0)</f>
        <v>0.62542577448531411</v>
      </c>
      <c r="R926" s="173">
        <f t="shared" si="56"/>
        <v>0</v>
      </c>
    </row>
    <row r="927" spans="1:18" ht="14" hidden="1">
      <c r="A927" s="78" t="s">
        <v>2505</v>
      </c>
      <c r="B927" s="220" t="s">
        <v>1295</v>
      </c>
      <c r="C927" s="185"/>
      <c r="D927" s="103" t="str">
        <f>VLOOKUP(B927, 'All Menu'!B:M, 4, 0)</f>
        <v>سيرفس منسف</v>
      </c>
      <c r="E927" s="30" t="str">
        <f>VLOOKUP(B927, 'All Menu'!B:M, 2, 0)</f>
        <v>قسم الصالة</v>
      </c>
      <c r="F927" s="103" t="str">
        <f>VLOOKUP(B927, 'All Menu'!B:M, 3, 0)</f>
        <v>مقبلات باردة صالة</v>
      </c>
      <c r="G927" s="90" t="s">
        <v>3058</v>
      </c>
      <c r="H927" s="188">
        <v>4483</v>
      </c>
      <c r="I927" s="110" t="str">
        <f>VLOOKUP(H927, 'RM &amp; SF'!B:H, 2, 0)</f>
        <v>مخلل مشكل 10 كغ*****</v>
      </c>
      <c r="J927" s="184" t="str">
        <f>VLOOKUP(H927, 'RM &amp; SF'!B:E, 4, 0)</f>
        <v>غم</v>
      </c>
      <c r="K927" s="12">
        <v>80</v>
      </c>
      <c r="L927" s="13">
        <f>VLOOKUP(H927, 'RM &amp; SF'!B:H, 7, 0)</f>
        <v>6.4999999999999997E-4</v>
      </c>
      <c r="M927" s="7">
        <f t="shared" si="55"/>
        <v>5.1999999999999998E-2</v>
      </c>
      <c r="N927" s="4" t="s">
        <v>825</v>
      </c>
      <c r="O927" s="4">
        <f>VLOOKUP(B927, 'All Menu'!B:L, 6, 0)</f>
        <v>0</v>
      </c>
      <c r="P927" s="6">
        <f>VLOOKUP(B927, 'All Menu'!B:L, 9, 0)</f>
        <v>0.21199999999999999</v>
      </c>
      <c r="Q927" s="14">
        <f>VLOOKUP(B927, 'All Menu'!B:M, 12, 0)</f>
        <v>0</v>
      </c>
      <c r="R927" s="173">
        <f t="shared" si="56"/>
        <v>0</v>
      </c>
    </row>
    <row r="928" spans="1:18" ht="14" hidden="1">
      <c r="A928" s="78" t="s">
        <v>2505</v>
      </c>
      <c r="B928" s="220" t="s">
        <v>1295</v>
      </c>
      <c r="C928" s="185"/>
      <c r="D928" s="103" t="str">
        <f>VLOOKUP(B928, 'All Menu'!B:M, 4, 0)</f>
        <v>سيرفس منسف</v>
      </c>
      <c r="E928" s="30" t="str">
        <f>VLOOKUP(B928, 'All Menu'!B:M, 2, 0)</f>
        <v>قسم الصالة</v>
      </c>
      <c r="F928" s="103" t="str">
        <f>VLOOKUP(B928, 'All Menu'!B:M, 3, 0)</f>
        <v>مقبلات باردة صالة</v>
      </c>
      <c r="G928" s="90" t="s">
        <v>2252</v>
      </c>
      <c r="H928" s="188">
        <v>4545</v>
      </c>
      <c r="I928" s="110" t="str">
        <f>VLOOKUP(H928, 'RM &amp; SF'!B:H, 2, 0)</f>
        <v>جرجير*****</v>
      </c>
      <c r="J928" s="184" t="str">
        <f>VLOOKUP(H928, 'RM &amp; SF'!B:E, 4, 0)</f>
        <v>غم</v>
      </c>
      <c r="K928" s="20">
        <v>20</v>
      </c>
      <c r="L928" s="13">
        <f>VLOOKUP(H928, 'RM &amp; SF'!B:H, 7, 0)</f>
        <v>7.5000000000000002E-4</v>
      </c>
      <c r="M928" s="7">
        <f t="shared" si="55"/>
        <v>1.4999999999999999E-2</v>
      </c>
      <c r="N928" s="4" t="s">
        <v>825</v>
      </c>
      <c r="O928" s="4">
        <f>VLOOKUP(B928, 'All Menu'!B:L, 6, 0)</f>
        <v>0</v>
      </c>
      <c r="P928" s="6">
        <f>VLOOKUP(B928, 'All Menu'!B:L, 9, 0)</f>
        <v>0.21199999999999999</v>
      </c>
      <c r="Q928" s="14">
        <f>VLOOKUP(B928, 'All Menu'!B:M, 12, 0)</f>
        <v>0</v>
      </c>
      <c r="R928" s="173">
        <f t="shared" si="56"/>
        <v>0</v>
      </c>
    </row>
    <row r="929" spans="1:18" ht="14" hidden="1">
      <c r="A929" s="78" t="s">
        <v>2505</v>
      </c>
      <c r="B929" s="220" t="s">
        <v>1295</v>
      </c>
      <c r="C929" s="185"/>
      <c r="D929" s="103" t="str">
        <f>VLOOKUP(B929, 'All Menu'!B:M, 4, 0)</f>
        <v>سيرفس منسف</v>
      </c>
      <c r="E929" s="30" t="str">
        <f>VLOOKUP(B929, 'All Menu'!B:M, 2, 0)</f>
        <v>قسم الصالة</v>
      </c>
      <c r="F929" s="103" t="str">
        <f>VLOOKUP(B929, 'All Menu'!B:M, 3, 0)</f>
        <v>مقبلات باردة صالة</v>
      </c>
      <c r="G929" s="90" t="s">
        <v>2258</v>
      </c>
      <c r="H929" s="188">
        <v>5290</v>
      </c>
      <c r="I929" s="110" t="str">
        <f>VLOOKUP(H929, 'RM &amp; SF'!B:H, 2, 0)</f>
        <v>بصل اخضر</v>
      </c>
      <c r="J929" s="184" t="str">
        <f>VLOOKUP(H929, 'RM &amp; SF'!B:E, 4, 0)</f>
        <v>غم</v>
      </c>
      <c r="K929" s="12">
        <v>15</v>
      </c>
      <c r="L929" s="13">
        <f>VLOOKUP(H929, 'RM &amp; SF'!B:H, 7, 0)</f>
        <v>1.5E-3</v>
      </c>
      <c r="M929" s="7">
        <f t="shared" si="55"/>
        <v>2.2499999999999999E-2</v>
      </c>
      <c r="N929" s="4" t="s">
        <v>825</v>
      </c>
      <c r="O929" s="4">
        <f>VLOOKUP(B929, 'All Menu'!B:L, 6, 0)</f>
        <v>0</v>
      </c>
      <c r="P929" s="6">
        <f>VLOOKUP(B929, 'All Menu'!B:L, 9, 0)</f>
        <v>0.21199999999999999</v>
      </c>
      <c r="Q929" s="14">
        <f>VLOOKUP(B929, 'All Menu'!B:M, 12, 0)</f>
        <v>0</v>
      </c>
      <c r="R929" s="173">
        <f t="shared" si="56"/>
        <v>0</v>
      </c>
    </row>
    <row r="930" spans="1:18" ht="14" hidden="1">
      <c r="A930" s="78" t="s">
        <v>2505</v>
      </c>
      <c r="B930" s="220" t="s">
        <v>1295</v>
      </c>
      <c r="C930" s="185"/>
      <c r="D930" s="103" t="str">
        <f>VLOOKUP(B930, 'All Menu'!B:M, 4, 0)</f>
        <v>سيرفس منسف</v>
      </c>
      <c r="E930" s="30" t="str">
        <f>VLOOKUP(B930, 'All Menu'!B:M, 2, 0)</f>
        <v>قسم الصالة</v>
      </c>
      <c r="F930" s="103" t="str">
        <f>VLOOKUP(B930, 'All Menu'!B:M, 3, 0)</f>
        <v>مقبلات باردة صالة</v>
      </c>
      <c r="G930" s="90" t="s">
        <v>2239</v>
      </c>
      <c r="H930" s="188">
        <v>4513</v>
      </c>
      <c r="I930" s="110" t="str">
        <f>VLOOKUP(H930, 'RM &amp; SF'!B:H, 2, 0)</f>
        <v>ليمون اصفر*****</v>
      </c>
      <c r="J930" s="184" t="str">
        <f>VLOOKUP(H930, 'RM &amp; SF'!B:E, 4, 0)</f>
        <v>غم</v>
      </c>
      <c r="K930" s="20">
        <v>70</v>
      </c>
      <c r="L930" s="13">
        <f>VLOOKUP(H930, 'RM &amp; SF'!B:H, 7, 0)</f>
        <v>1.75E-3</v>
      </c>
      <c r="M930" s="7">
        <f t="shared" si="55"/>
        <v>0.1225</v>
      </c>
      <c r="N930" s="4" t="s">
        <v>825</v>
      </c>
      <c r="O930" s="4">
        <f>VLOOKUP(B930, 'All Menu'!B:L, 6, 0)</f>
        <v>0</v>
      </c>
      <c r="P930" s="6">
        <f>VLOOKUP(B930, 'All Menu'!B:L, 9, 0)</f>
        <v>0.21199999999999999</v>
      </c>
      <c r="Q930" s="14">
        <f>VLOOKUP(B930, 'All Menu'!B:M, 12, 0)</f>
        <v>0</v>
      </c>
      <c r="R930" s="173">
        <f t="shared" si="56"/>
        <v>0</v>
      </c>
    </row>
    <row r="931" spans="1:18" ht="14" hidden="1">
      <c r="A931" s="78" t="s">
        <v>2568</v>
      </c>
      <c r="B931" s="220" t="s">
        <v>1305</v>
      </c>
      <c r="C931" s="185"/>
      <c r="D931" s="103" t="str">
        <f>VLOOKUP(B931, 'All Menu'!B:M, 4, 0)</f>
        <v>صفيحة كيلو ببندورة</v>
      </c>
      <c r="E931" s="30" t="str">
        <f>VLOOKUP(B931, 'All Menu'!B:M, 2, 0)</f>
        <v>قسم الصالة</v>
      </c>
      <c r="F931" s="103" t="str">
        <f>VLOOKUP(B931, 'All Menu'!B:M, 3, 0)</f>
        <v>عجين صالة</v>
      </c>
      <c r="G931" s="90" t="s">
        <v>2455</v>
      </c>
      <c r="H931" s="219" t="s">
        <v>604</v>
      </c>
      <c r="I931" s="110" t="str">
        <f>VLOOKUP(H931, 'RM &amp; SF'!B:H, 2, 0)</f>
        <v xml:space="preserve">لحمة صفيحة ببندورة </v>
      </c>
      <c r="J931" s="184" t="str">
        <f>VLOOKUP(H931, 'RM &amp; SF'!B:E, 4, 0)</f>
        <v>غم</v>
      </c>
      <c r="K931" s="22">
        <v>2600</v>
      </c>
      <c r="L931" s="13">
        <f>VLOOKUP(H931, 'RM &amp; SF'!B:H, 7, 0)</f>
        <v>2.7389557329462995E-3</v>
      </c>
      <c r="M931" s="15">
        <f t="shared" ref="M931:M979" si="57">L931*K931</f>
        <v>7.1212849056603789</v>
      </c>
      <c r="N931" s="21" t="s">
        <v>825</v>
      </c>
      <c r="O931" s="4">
        <f>VLOOKUP(B931, 'All Menu'!B:L, 6, 0)</f>
        <v>17.241379310344829</v>
      </c>
      <c r="P931" s="6">
        <f>VLOOKUP(B931, 'All Menu'!B:L, 9, 0)</f>
        <v>7.842982622318396</v>
      </c>
      <c r="Q931" s="14">
        <f>VLOOKUP(B931, 'All Menu'!B:M, 12, 0)</f>
        <v>0.54510700790553313</v>
      </c>
      <c r="R931" s="173">
        <f t="shared" si="56"/>
        <v>0</v>
      </c>
    </row>
    <row r="932" spans="1:18" ht="14" hidden="1">
      <c r="A932" s="78" t="s">
        <v>2568</v>
      </c>
      <c r="B932" s="220" t="s">
        <v>1305</v>
      </c>
      <c r="C932" s="185"/>
      <c r="D932" s="103" t="str">
        <f>VLOOKUP(B932, 'All Menu'!B:M, 4, 0)</f>
        <v>صفيحة كيلو ببندورة</v>
      </c>
      <c r="E932" s="30" t="str">
        <f>VLOOKUP(B932, 'All Menu'!B:M, 2, 0)</f>
        <v>قسم الصالة</v>
      </c>
      <c r="F932" s="103" t="str">
        <f>VLOOKUP(B932, 'All Menu'!B:M, 3, 0)</f>
        <v>عجين صالة</v>
      </c>
      <c r="G932" s="90" t="s">
        <v>2333</v>
      </c>
      <c r="H932" s="219" t="s">
        <v>498</v>
      </c>
      <c r="I932" s="110" t="str">
        <f>VLOOKUP(H932, 'RM &amp; SF'!B:H, 2, 0)</f>
        <v>عجين الصفيحة والمناقيش</v>
      </c>
      <c r="J932" s="184" t="str">
        <f>VLOOKUP(H932, 'RM &amp; SF'!B:E, 4, 0)</f>
        <v>غم</v>
      </c>
      <c r="K932" s="22">
        <v>1200</v>
      </c>
      <c r="L932" s="13">
        <f>VLOOKUP(H932, 'RM &amp; SF'!B:H, 7, 0)</f>
        <v>4.659980972150147E-4</v>
      </c>
      <c r="M932" s="15">
        <f t="shared" si="57"/>
        <v>0.55919771665801765</v>
      </c>
      <c r="N932" s="21" t="s">
        <v>825</v>
      </c>
      <c r="O932" s="4">
        <f>VLOOKUP(B932, 'All Menu'!B:L, 6, 0)</f>
        <v>17.241379310344829</v>
      </c>
      <c r="P932" s="6">
        <f>VLOOKUP(B932, 'All Menu'!B:L, 9, 0)</f>
        <v>7.842982622318396</v>
      </c>
      <c r="Q932" s="14">
        <f>VLOOKUP(B932, 'All Menu'!B:M, 12, 0)</f>
        <v>0.54510700790553313</v>
      </c>
      <c r="R932" s="173">
        <f t="shared" si="56"/>
        <v>0</v>
      </c>
    </row>
    <row r="933" spans="1:18" ht="14" hidden="1">
      <c r="A933" s="78" t="s">
        <v>2568</v>
      </c>
      <c r="B933" s="220" t="s">
        <v>1305</v>
      </c>
      <c r="C933" s="185"/>
      <c r="D933" s="103" t="str">
        <f>VLOOKUP(B933, 'All Menu'!B:M, 4, 0)</f>
        <v>صفيحة كيلو ببندورة</v>
      </c>
      <c r="E933" s="30" t="str">
        <f>VLOOKUP(B933, 'All Menu'!B:M, 2, 0)</f>
        <v>قسم الصالة</v>
      </c>
      <c r="F933" s="103" t="str">
        <f>VLOOKUP(B933, 'All Menu'!B:M, 3, 0)</f>
        <v>عجين صالة</v>
      </c>
      <c r="G933" s="90" t="s">
        <v>3058</v>
      </c>
      <c r="H933" s="221">
        <v>4156</v>
      </c>
      <c r="I933" s="110" t="str">
        <f>VLOOKUP(H933, 'RM &amp; SF'!B:H, 2, 0)</f>
        <v>دبس رمان ساشيه 1*1000 حبة*****</v>
      </c>
      <c r="J933" s="184" t="str">
        <f>VLOOKUP(H933, 'RM &amp; SF'!B:E, 4, 0)</f>
        <v>قطعة</v>
      </c>
      <c r="K933" s="22">
        <v>5</v>
      </c>
      <c r="L933" s="13">
        <f>VLOOKUP(H933, 'RM &amp; SF'!B:H, 7, 0)</f>
        <v>3.2500000000000001E-2</v>
      </c>
      <c r="M933" s="15">
        <f t="shared" si="57"/>
        <v>0.16250000000000001</v>
      </c>
      <c r="N933" s="21" t="s">
        <v>825</v>
      </c>
      <c r="O933" s="4">
        <f>VLOOKUP(B933, 'All Menu'!B:L, 6, 0)</f>
        <v>17.241379310344829</v>
      </c>
      <c r="P933" s="6">
        <f>VLOOKUP(B933, 'All Menu'!B:L, 9, 0)</f>
        <v>7.842982622318396</v>
      </c>
      <c r="Q933" s="14">
        <f>VLOOKUP(B933, 'All Menu'!B:M, 12, 0)</f>
        <v>0.54510700790553313</v>
      </c>
      <c r="R933" s="173">
        <f t="shared" si="56"/>
        <v>0</v>
      </c>
    </row>
    <row r="934" spans="1:18" ht="14" hidden="1">
      <c r="A934" s="78" t="s">
        <v>2569</v>
      </c>
      <c r="B934" s="220" t="s">
        <v>1306</v>
      </c>
      <c r="C934" s="185"/>
      <c r="D934" s="103" t="str">
        <f>VLOOKUP(B934, 'All Menu'!B:M, 4, 0)</f>
        <v>صفيحة نص كيلو ببندورة</v>
      </c>
      <c r="E934" s="30" t="str">
        <f>VLOOKUP(B934, 'All Menu'!B:M, 2, 0)</f>
        <v>قسم الصالة</v>
      </c>
      <c r="F934" s="103" t="str">
        <f>VLOOKUP(B934, 'All Menu'!B:M, 3, 0)</f>
        <v>عجين صالة</v>
      </c>
      <c r="G934" s="90" t="s">
        <v>2455</v>
      </c>
      <c r="H934" s="219" t="s">
        <v>604</v>
      </c>
      <c r="I934" s="110" t="str">
        <f>VLOOKUP(H934, 'RM &amp; SF'!B:H, 2, 0)</f>
        <v xml:space="preserve">لحمة صفيحة ببندورة </v>
      </c>
      <c r="J934" s="184" t="str">
        <f>VLOOKUP(H934, 'RM &amp; SF'!B:E, 4, 0)</f>
        <v>غم</v>
      </c>
      <c r="K934" s="22">
        <v>1300</v>
      </c>
      <c r="L934" s="13">
        <f>VLOOKUP(H934, 'RM &amp; SF'!B:H, 7, 0)</f>
        <v>2.7389557329462995E-3</v>
      </c>
      <c r="M934" s="15">
        <f t="shared" si="57"/>
        <v>3.5606424528301894</v>
      </c>
      <c r="N934" s="21" t="s">
        <v>825</v>
      </c>
      <c r="O934" s="4">
        <f>VLOOKUP(B934, 'All Menu'!B:L, 6, 0)</f>
        <v>9.4827586206896566</v>
      </c>
      <c r="P934" s="6">
        <f>VLOOKUP(B934, 'All Menu'!B:L, 9, 0)</f>
        <v>4.0027413111591983</v>
      </c>
      <c r="Q934" s="14">
        <f>VLOOKUP(B934, 'All Menu'!B:M, 12, 0)</f>
        <v>0.57789273445957556</v>
      </c>
      <c r="R934" s="173">
        <f t="shared" si="56"/>
        <v>0</v>
      </c>
    </row>
    <row r="935" spans="1:18" ht="14" hidden="1">
      <c r="A935" s="78" t="s">
        <v>2569</v>
      </c>
      <c r="B935" s="220" t="s">
        <v>1306</v>
      </c>
      <c r="C935" s="185"/>
      <c r="D935" s="103" t="str">
        <f>VLOOKUP(B935, 'All Menu'!B:M, 4, 0)</f>
        <v>صفيحة نص كيلو ببندورة</v>
      </c>
      <c r="E935" s="30" t="str">
        <f>VLOOKUP(B935, 'All Menu'!B:M, 2, 0)</f>
        <v>قسم الصالة</v>
      </c>
      <c r="F935" s="103" t="str">
        <f>VLOOKUP(B935, 'All Menu'!B:M, 3, 0)</f>
        <v>عجين صالة</v>
      </c>
      <c r="G935" s="90" t="s">
        <v>2333</v>
      </c>
      <c r="H935" s="219" t="s">
        <v>498</v>
      </c>
      <c r="I935" s="110" t="str">
        <f>VLOOKUP(H935, 'RM &amp; SF'!B:H, 2, 0)</f>
        <v>عجين الصفيحة والمناقيش</v>
      </c>
      <c r="J935" s="184" t="str">
        <f>VLOOKUP(H935, 'RM &amp; SF'!B:E, 4, 0)</f>
        <v>غم</v>
      </c>
      <c r="K935" s="22">
        <v>600</v>
      </c>
      <c r="L935" s="13">
        <f>VLOOKUP(H935, 'RM &amp; SF'!B:H, 7, 0)</f>
        <v>4.659980972150147E-4</v>
      </c>
      <c r="M935" s="15">
        <f t="shared" si="57"/>
        <v>0.27959885832900883</v>
      </c>
      <c r="N935" s="21" t="s">
        <v>825</v>
      </c>
      <c r="O935" s="4">
        <f>VLOOKUP(B935, 'All Menu'!B:L, 6, 0)</f>
        <v>9.4827586206896566</v>
      </c>
      <c r="P935" s="6">
        <f>VLOOKUP(B935, 'All Menu'!B:L, 9, 0)</f>
        <v>4.0027413111591983</v>
      </c>
      <c r="Q935" s="14">
        <f>VLOOKUP(B935, 'All Menu'!B:M, 12, 0)</f>
        <v>0.57789273445957556</v>
      </c>
      <c r="R935" s="173">
        <f t="shared" si="56"/>
        <v>0</v>
      </c>
    </row>
    <row r="936" spans="1:18" ht="14" hidden="1">
      <c r="A936" s="78" t="s">
        <v>2569</v>
      </c>
      <c r="B936" s="220" t="s">
        <v>1306</v>
      </c>
      <c r="C936" s="185"/>
      <c r="D936" s="103" t="str">
        <f>VLOOKUP(B936, 'All Menu'!B:M, 4, 0)</f>
        <v>صفيحة نص كيلو ببندورة</v>
      </c>
      <c r="E936" s="30" t="str">
        <f>VLOOKUP(B936, 'All Menu'!B:M, 2, 0)</f>
        <v>قسم الصالة</v>
      </c>
      <c r="F936" s="103" t="str">
        <f>VLOOKUP(B936, 'All Menu'!B:M, 3, 0)</f>
        <v>عجين صالة</v>
      </c>
      <c r="G936" s="90" t="s">
        <v>3058</v>
      </c>
      <c r="H936" s="221">
        <v>4156</v>
      </c>
      <c r="I936" s="110" t="str">
        <f>VLOOKUP(H936, 'RM &amp; SF'!B:H, 2, 0)</f>
        <v>دبس رمان ساشيه 1*1000 حبة*****</v>
      </c>
      <c r="J936" s="184" t="str">
        <f>VLOOKUP(H936, 'RM &amp; SF'!B:E, 4, 0)</f>
        <v>قطعة</v>
      </c>
      <c r="K936" s="22">
        <v>5</v>
      </c>
      <c r="L936" s="13">
        <f>VLOOKUP(H936, 'RM &amp; SF'!B:H, 7, 0)</f>
        <v>3.2500000000000001E-2</v>
      </c>
      <c r="M936" s="15">
        <f t="shared" si="57"/>
        <v>0.16250000000000001</v>
      </c>
      <c r="N936" s="21" t="s">
        <v>825</v>
      </c>
      <c r="O936" s="4">
        <f>VLOOKUP(B936, 'All Menu'!B:L, 6, 0)</f>
        <v>9.4827586206896566</v>
      </c>
      <c r="P936" s="6">
        <f>VLOOKUP(B936, 'All Menu'!B:L, 9, 0)</f>
        <v>4.0027413111591983</v>
      </c>
      <c r="Q936" s="14">
        <f>VLOOKUP(B936, 'All Menu'!B:M, 12, 0)</f>
        <v>0.57789273445957556</v>
      </c>
      <c r="R936" s="173">
        <f t="shared" si="56"/>
        <v>0</v>
      </c>
    </row>
    <row r="937" spans="1:18" ht="14" hidden="1">
      <c r="A937" s="78" t="s">
        <v>2552</v>
      </c>
      <c r="B937" s="220" t="s">
        <v>1310</v>
      </c>
      <c r="C937" s="185"/>
      <c r="D937" s="103" t="str">
        <f>VLOOKUP(B937, 'All Menu'!B:M, 4, 0)</f>
        <v>فتة كباب</v>
      </c>
      <c r="E937" s="30" t="str">
        <f>VLOOKUP(B937, 'All Menu'!B:M, 2, 0)</f>
        <v>قسم الصالة</v>
      </c>
      <c r="F937" s="103" t="str">
        <f>VLOOKUP(B937, 'All Menu'!B:M, 3, 0)</f>
        <v>فتات صالة</v>
      </c>
      <c r="G937" s="90" t="s">
        <v>2330</v>
      </c>
      <c r="H937" s="219" t="s">
        <v>490</v>
      </c>
      <c r="I937" s="110" t="str">
        <f>VLOOKUP(H937, 'RM &amp; SF'!B:H, 2, 0)</f>
        <v>خبز مقلي</v>
      </c>
      <c r="J937" s="184" t="str">
        <f>VLOOKUP(H937, 'RM &amp; SF'!B:E, 4, 0)</f>
        <v>غم</v>
      </c>
      <c r="K937" s="22">
        <v>200</v>
      </c>
      <c r="L937" s="13">
        <f>VLOOKUP(H937, 'RM &amp; SF'!B:H, 7, 0)</f>
        <v>2.2857142857142859E-4</v>
      </c>
      <c r="M937" s="15">
        <f t="shared" si="57"/>
        <v>4.5714285714285721E-2</v>
      </c>
      <c r="N937" s="21" t="s">
        <v>825</v>
      </c>
      <c r="O937" s="4">
        <f>VLOOKUP(B937, 'All Menu'!B:L, 6, 0)</f>
        <v>4.0948275862068968</v>
      </c>
      <c r="P937" s="6">
        <f>VLOOKUP(B937, 'All Menu'!B:L, 9, 0)</f>
        <v>2.5550065183782964</v>
      </c>
      <c r="Q937" s="14">
        <f>VLOOKUP(B937, 'All Menu'!B:M, 12, 0)</f>
        <v>0.37604051340656347</v>
      </c>
      <c r="R937" s="173">
        <f t="shared" si="56"/>
        <v>0</v>
      </c>
    </row>
    <row r="938" spans="1:18" ht="14" hidden="1">
      <c r="A938" s="78" t="s">
        <v>2552</v>
      </c>
      <c r="B938" s="220" t="s">
        <v>1310</v>
      </c>
      <c r="C938" s="185"/>
      <c r="D938" s="103" t="str">
        <f>VLOOKUP(B938, 'All Menu'!B:M, 4, 0)</f>
        <v>فتة كباب</v>
      </c>
      <c r="E938" s="30" t="str">
        <f>VLOOKUP(B938, 'All Menu'!B:M, 2, 0)</f>
        <v>قسم الصالة</v>
      </c>
      <c r="F938" s="103" t="str">
        <f>VLOOKUP(B938, 'All Menu'!B:M, 3, 0)</f>
        <v>فتات صالة</v>
      </c>
      <c r="G938" s="90" t="s">
        <v>2430</v>
      </c>
      <c r="H938" s="219" t="s">
        <v>636</v>
      </c>
      <c r="I938" s="110" t="str">
        <f>VLOOKUP(H938, 'RM &amp; SF'!B:H, 2, 0)</f>
        <v>صوص طحينية للصواني</v>
      </c>
      <c r="J938" s="184" t="str">
        <f>VLOOKUP(H938, 'RM &amp; SF'!B:E, 4, 0)</f>
        <v>غم</v>
      </c>
      <c r="K938" s="22">
        <v>180</v>
      </c>
      <c r="L938" s="13">
        <f>VLOOKUP(H938, 'RM &amp; SF'!B:H, 7, 0)</f>
        <v>1.0115232451499119E-3</v>
      </c>
      <c r="M938" s="15">
        <f t="shared" si="57"/>
        <v>0.18207418412698415</v>
      </c>
      <c r="N938" s="21" t="s">
        <v>825</v>
      </c>
      <c r="O938" s="4">
        <f>VLOOKUP(B938, 'All Menu'!B:L, 6, 0)</f>
        <v>4.0948275862068968</v>
      </c>
      <c r="P938" s="6">
        <f>VLOOKUP(B938, 'All Menu'!B:L, 9, 0)</f>
        <v>2.5550065183782964</v>
      </c>
      <c r="Q938" s="14">
        <f>VLOOKUP(B938, 'All Menu'!B:M, 12, 0)</f>
        <v>0.37604051340656347</v>
      </c>
      <c r="R938" s="173">
        <f t="shared" si="56"/>
        <v>0</v>
      </c>
    </row>
    <row r="939" spans="1:18" ht="14" hidden="1">
      <c r="A939" s="78" t="s">
        <v>2552</v>
      </c>
      <c r="B939" s="220" t="s">
        <v>1310</v>
      </c>
      <c r="C939" s="185"/>
      <c r="D939" s="103" t="str">
        <f>VLOOKUP(B939, 'All Menu'!B:M, 4, 0)</f>
        <v>فتة كباب</v>
      </c>
      <c r="E939" s="30" t="str">
        <f>VLOOKUP(B939, 'All Menu'!B:M, 2, 0)</f>
        <v>قسم الصالة</v>
      </c>
      <c r="F939" s="103" t="str">
        <f>VLOOKUP(B939, 'All Menu'!B:M, 3, 0)</f>
        <v>فتات صالة</v>
      </c>
      <c r="G939" s="90" t="s">
        <v>2453</v>
      </c>
      <c r="H939" s="219" t="s">
        <v>536</v>
      </c>
      <c r="I939" s="110" t="str">
        <f>VLOOKUP(H939, 'RM &amp; SF'!B:H, 2, 0)</f>
        <v>كباب</v>
      </c>
      <c r="J939" s="184" t="str">
        <f>VLOOKUP(H939, 'RM &amp; SF'!B:E, 4, 0)</f>
        <v>غم</v>
      </c>
      <c r="K939" s="22">
        <v>200</v>
      </c>
      <c r="L939" s="13">
        <f>VLOOKUP(H939, 'RM &amp; SF'!B:H, 7, 0)</f>
        <v>1.1636090242685134E-2</v>
      </c>
      <c r="M939" s="15">
        <f t="shared" si="57"/>
        <v>2.3272180485370266</v>
      </c>
      <c r="N939" s="21" t="s">
        <v>825</v>
      </c>
      <c r="O939" s="4">
        <f>VLOOKUP(B939, 'All Menu'!B:L, 6, 0)</f>
        <v>4.0948275862068968</v>
      </c>
      <c r="P939" s="6">
        <f>VLOOKUP(B939, 'All Menu'!B:L, 9, 0)</f>
        <v>2.5550065183782964</v>
      </c>
      <c r="Q939" s="14">
        <f>VLOOKUP(B939, 'All Menu'!B:M, 12, 0)</f>
        <v>0.37604051340656347</v>
      </c>
      <c r="R939" s="173">
        <f t="shared" si="56"/>
        <v>0</v>
      </c>
    </row>
    <row r="940" spans="1:18" ht="14" hidden="1">
      <c r="A940" s="78" t="s">
        <v>2595</v>
      </c>
      <c r="B940" s="220" t="s">
        <v>1313</v>
      </c>
      <c r="C940" s="185"/>
      <c r="D940" s="103" t="str">
        <f>VLOOKUP(B940, 'All Menu'!B:M, 4, 0)</f>
        <v>صاجية لحمة خروف راس عصفور</v>
      </c>
      <c r="E940" s="30" t="str">
        <f>VLOOKUP(B940, 'All Menu'!B:M, 2, 0)</f>
        <v>قسم الصالة</v>
      </c>
      <c r="F940" s="103" t="str">
        <f>VLOOKUP(B940, 'All Menu'!B:M, 3, 0)</f>
        <v>صواني وصاجيات صالة</v>
      </c>
      <c r="G940" s="90" t="s">
        <v>3058</v>
      </c>
      <c r="H940" s="221">
        <v>5403</v>
      </c>
      <c r="I940" s="110" t="str">
        <f>VLOOKUP(H940, 'RM &amp; SF'!B:H, 2, 0)</f>
        <v>طاجن (من تفصيلة الخروف)</v>
      </c>
      <c r="J940" s="184" t="str">
        <f>VLOOKUP(H940, 'RM &amp; SF'!B:E, 4, 0)</f>
        <v>غم</v>
      </c>
      <c r="K940" s="22">
        <v>250</v>
      </c>
      <c r="L940" s="13">
        <f>VLOOKUP(H940, 'RM &amp; SF'!B:H, 7, 0)</f>
        <v>9.4999999999999998E-3</v>
      </c>
      <c r="M940" s="15">
        <f t="shared" si="57"/>
        <v>2.375</v>
      </c>
      <c r="N940" s="21" t="s">
        <v>825</v>
      </c>
      <c r="O940" s="4">
        <f>VLOOKUP(B940, 'All Menu'!B:L, 6, 0)</f>
        <v>7.4568965517241388</v>
      </c>
      <c r="P940" s="6">
        <f>VLOOKUP(B940, 'All Menu'!B:L, 9, 0)</f>
        <v>2.6919823333333328</v>
      </c>
      <c r="Q940" s="14">
        <f>VLOOKUP(B940, 'All Menu'!B:M, 12, 0)</f>
        <v>0.63899427668593456</v>
      </c>
      <c r="R940" s="173">
        <f t="shared" ref="R940:R983" si="58">C940*K940</f>
        <v>0</v>
      </c>
    </row>
    <row r="941" spans="1:18" ht="14" hidden="1">
      <c r="A941" s="78" t="s">
        <v>2595</v>
      </c>
      <c r="B941" s="220" t="s">
        <v>1313</v>
      </c>
      <c r="C941" s="185"/>
      <c r="D941" s="103" t="str">
        <f>VLOOKUP(B941, 'All Menu'!B:M, 4, 0)</f>
        <v>صاجية لحمة خروف راس عصفور</v>
      </c>
      <c r="E941" s="30" t="str">
        <f>VLOOKUP(B941, 'All Menu'!B:M, 2, 0)</f>
        <v>قسم الصالة</v>
      </c>
      <c r="F941" s="103" t="str">
        <f>VLOOKUP(B941, 'All Menu'!B:M, 3, 0)</f>
        <v>صواني وصاجيات صالة</v>
      </c>
      <c r="G941" s="90" t="s">
        <v>2234</v>
      </c>
      <c r="H941" s="221">
        <v>4503</v>
      </c>
      <c r="I941" s="110" t="str">
        <f>VLOOKUP(H941, 'RM &amp; SF'!B:H, 2, 0)</f>
        <v>بصل ناشف دفش*****</v>
      </c>
      <c r="J941" s="184" t="str">
        <f>VLOOKUP(H941, 'RM &amp; SF'!B:E, 4, 0)</f>
        <v>غم</v>
      </c>
      <c r="K941" s="22">
        <v>100</v>
      </c>
      <c r="L941" s="13">
        <f>VLOOKUP(H941, 'RM &amp; SF'!B:H, 7, 0)</f>
        <v>2.5000000000000001E-4</v>
      </c>
      <c r="M941" s="15">
        <f t="shared" si="57"/>
        <v>2.5000000000000001E-2</v>
      </c>
      <c r="N941" s="21" t="s">
        <v>825</v>
      </c>
      <c r="O941" s="4">
        <f>VLOOKUP(B941, 'All Menu'!B:L, 6, 0)</f>
        <v>7.4568965517241388</v>
      </c>
      <c r="P941" s="6">
        <f>VLOOKUP(B941, 'All Menu'!B:L, 9, 0)</f>
        <v>2.6919823333333328</v>
      </c>
      <c r="Q941" s="14">
        <f>VLOOKUP(B941, 'All Menu'!B:M, 12, 0)</f>
        <v>0.63899427668593456</v>
      </c>
      <c r="R941" s="173">
        <f t="shared" si="58"/>
        <v>0</v>
      </c>
    </row>
    <row r="942" spans="1:18" ht="15.5" hidden="1">
      <c r="A942" s="78" t="s">
        <v>2595</v>
      </c>
      <c r="B942" s="220" t="s">
        <v>1313</v>
      </c>
      <c r="C942" s="185"/>
      <c r="D942" s="103" t="str">
        <f>VLOOKUP(B942, 'All Menu'!B:M, 4, 0)</f>
        <v>صاجية لحمة خروف راس عصفور</v>
      </c>
      <c r="E942" s="30" t="str">
        <f>VLOOKUP(B942, 'All Menu'!B:M, 2, 0)</f>
        <v>قسم الصالة</v>
      </c>
      <c r="F942" s="103" t="str">
        <f>VLOOKUP(B942, 'All Menu'!B:M, 3, 0)</f>
        <v>صواني وصاجيات صالة</v>
      </c>
      <c r="G942" s="90" t="s">
        <v>2321</v>
      </c>
      <c r="H942" s="67">
        <v>5292</v>
      </c>
      <c r="I942" s="110" t="str">
        <f>VLOOKUP(H942, 'RM &amp; SF'!B:H, 2, 0)</f>
        <v>ثوم مقشر*****</v>
      </c>
      <c r="J942" s="184" t="str">
        <f>VLOOKUP(H942, 'RM &amp; SF'!B:E, 4, 0)</f>
        <v>غم</v>
      </c>
      <c r="K942" s="22">
        <v>5</v>
      </c>
      <c r="L942" s="13">
        <f>VLOOKUP(H942, 'RM &amp; SF'!B:H, 7, 0)</f>
        <v>4.4999999999999997E-3</v>
      </c>
      <c r="M942" s="15">
        <f t="shared" si="57"/>
        <v>2.2499999999999999E-2</v>
      </c>
      <c r="N942" s="21" t="s">
        <v>825</v>
      </c>
      <c r="O942" s="4">
        <f>VLOOKUP(B942, 'All Menu'!B:L, 6, 0)</f>
        <v>7.4568965517241388</v>
      </c>
      <c r="P942" s="6">
        <f>VLOOKUP(B942, 'All Menu'!B:L, 9, 0)</f>
        <v>2.6919823333333328</v>
      </c>
      <c r="Q942" s="14">
        <f>VLOOKUP(B942, 'All Menu'!B:M, 12, 0)</f>
        <v>0.63899427668593456</v>
      </c>
      <c r="R942" s="173">
        <f t="shared" si="58"/>
        <v>0</v>
      </c>
    </row>
    <row r="943" spans="1:18" ht="14" hidden="1">
      <c r="A943" s="78" t="s">
        <v>2595</v>
      </c>
      <c r="B943" s="220" t="s">
        <v>1313</v>
      </c>
      <c r="C943" s="185"/>
      <c r="D943" s="103" t="str">
        <f>VLOOKUP(B943, 'All Menu'!B:M, 4, 0)</f>
        <v>صاجية لحمة خروف راس عصفور</v>
      </c>
      <c r="E943" s="30" t="str">
        <f>VLOOKUP(B943, 'All Menu'!B:M, 2, 0)</f>
        <v>قسم الصالة</v>
      </c>
      <c r="F943" s="103" t="str">
        <f>VLOOKUP(B943, 'All Menu'!B:M, 3, 0)</f>
        <v>صواني وصاجيات صالة</v>
      </c>
      <c r="G943" s="90" t="s">
        <v>2231</v>
      </c>
      <c r="H943" s="221">
        <v>4499</v>
      </c>
      <c r="I943" s="110" t="str">
        <f>VLOOKUP(H943, 'RM &amp; SF'!B:H, 2, 0)</f>
        <v>فلفل حار اخضر*****</v>
      </c>
      <c r="J943" s="184" t="str">
        <f>VLOOKUP(H943, 'RM &amp; SF'!B:E, 4, 0)</f>
        <v>غم</v>
      </c>
      <c r="K943" s="22">
        <v>10</v>
      </c>
      <c r="L943" s="13">
        <f>VLOOKUP(H943, 'RM &amp; SF'!B:H, 7, 0)</f>
        <v>5.0000000000000001E-4</v>
      </c>
      <c r="M943" s="15">
        <f t="shared" si="57"/>
        <v>5.0000000000000001E-3</v>
      </c>
      <c r="N943" s="21" t="s">
        <v>825</v>
      </c>
      <c r="O943" s="4">
        <f>VLOOKUP(B943, 'All Menu'!B:L, 6, 0)</f>
        <v>7.4568965517241388</v>
      </c>
      <c r="P943" s="6">
        <f>VLOOKUP(B943, 'All Menu'!B:L, 9, 0)</f>
        <v>2.6919823333333328</v>
      </c>
      <c r="Q943" s="14">
        <f>VLOOKUP(B943, 'All Menu'!B:M, 12, 0)</f>
        <v>0.63899427668593456</v>
      </c>
      <c r="R943" s="173">
        <f t="shared" si="58"/>
        <v>0</v>
      </c>
    </row>
    <row r="944" spans="1:18" ht="14" hidden="1">
      <c r="A944" s="78" t="s">
        <v>2595</v>
      </c>
      <c r="B944" s="220" t="s">
        <v>1313</v>
      </c>
      <c r="C944" s="185"/>
      <c r="D944" s="103" t="str">
        <f>VLOOKUP(B944, 'All Menu'!B:M, 4, 0)</f>
        <v>صاجية لحمة خروف راس عصفور</v>
      </c>
      <c r="E944" s="30" t="str">
        <f>VLOOKUP(B944, 'All Menu'!B:M, 2, 0)</f>
        <v>قسم الصالة</v>
      </c>
      <c r="F944" s="103" t="str">
        <f>VLOOKUP(B944, 'All Menu'!B:M, 3, 0)</f>
        <v>صواني وصاجيات صالة</v>
      </c>
      <c r="G944" s="90" t="s">
        <v>2203</v>
      </c>
      <c r="H944" s="221">
        <v>4152</v>
      </c>
      <c r="I944" s="110" t="str">
        <f>VLOOKUP(H944, 'RM &amp; SF'!B:H, 2, 0)</f>
        <v>ملح طعام 750غم*****</v>
      </c>
      <c r="J944" s="184" t="str">
        <f>VLOOKUP(H944, 'RM &amp; SF'!B:E, 4, 0)</f>
        <v>غم</v>
      </c>
      <c r="K944" s="22">
        <v>2</v>
      </c>
      <c r="L944" s="13">
        <f>VLOOKUP(H944, 'RM &amp; SF'!B:H, 7, 0)</f>
        <v>1.7066666666666665E-4</v>
      </c>
      <c r="M944" s="15">
        <f t="shared" si="57"/>
        <v>3.413333333333333E-4</v>
      </c>
      <c r="N944" s="21" t="s">
        <v>825</v>
      </c>
      <c r="O944" s="4">
        <f>VLOOKUP(B944, 'All Menu'!B:L, 6, 0)</f>
        <v>7.4568965517241388</v>
      </c>
      <c r="P944" s="6">
        <f>VLOOKUP(B944, 'All Menu'!B:L, 9, 0)</f>
        <v>2.6919823333333328</v>
      </c>
      <c r="Q944" s="14">
        <f>VLOOKUP(B944, 'All Menu'!B:M, 12, 0)</f>
        <v>0.63899427668593456</v>
      </c>
      <c r="R944" s="173">
        <f t="shared" si="58"/>
        <v>0</v>
      </c>
    </row>
    <row r="945" spans="1:18" ht="14" hidden="1">
      <c r="A945" s="78" t="s">
        <v>2595</v>
      </c>
      <c r="B945" s="220" t="s">
        <v>1313</v>
      </c>
      <c r="C945" s="185"/>
      <c r="D945" s="103" t="str">
        <f>VLOOKUP(B945, 'All Menu'!B:M, 4, 0)</f>
        <v>صاجية لحمة خروف راس عصفور</v>
      </c>
      <c r="E945" s="30" t="str">
        <f>VLOOKUP(B945, 'All Menu'!B:M, 2, 0)</f>
        <v>قسم الصالة</v>
      </c>
      <c r="F945" s="103" t="str">
        <f>VLOOKUP(B945, 'All Menu'!B:M, 3, 0)</f>
        <v>صواني وصاجيات صالة</v>
      </c>
      <c r="G945" s="90" t="s">
        <v>2260</v>
      </c>
      <c r="H945" s="221">
        <v>4160</v>
      </c>
      <c r="I945" s="110" t="str">
        <f>VLOOKUP(H945, 'RM &amp; SF'!B:H, 2, 0)</f>
        <v>زيت صويا 18 لتر*****</v>
      </c>
      <c r="J945" s="184" t="str">
        <f>VLOOKUP(H945, 'RM &amp; SF'!B:E, 4, 0)</f>
        <v>مل</v>
      </c>
      <c r="K945" s="22">
        <v>30</v>
      </c>
      <c r="L945" s="13">
        <f>VLOOKUP(H945, 'RM &amp; SF'!B:H, 7, 0)</f>
        <v>1.335E-3</v>
      </c>
      <c r="M945" s="15">
        <f t="shared" si="57"/>
        <v>4.0050000000000002E-2</v>
      </c>
      <c r="N945" s="21" t="s">
        <v>825</v>
      </c>
      <c r="O945" s="4">
        <f>VLOOKUP(B945, 'All Menu'!B:L, 6, 0)</f>
        <v>7.4568965517241388</v>
      </c>
      <c r="P945" s="6">
        <f>VLOOKUP(B945, 'All Menu'!B:L, 9, 0)</f>
        <v>2.6919823333333328</v>
      </c>
      <c r="Q945" s="14">
        <f>VLOOKUP(B945, 'All Menu'!B:M, 12, 0)</f>
        <v>0.63899427668593456</v>
      </c>
      <c r="R945" s="173">
        <f t="shared" si="58"/>
        <v>0</v>
      </c>
    </row>
    <row r="946" spans="1:18" ht="14" hidden="1">
      <c r="A946" s="78" t="s">
        <v>2595</v>
      </c>
      <c r="B946" s="220" t="s">
        <v>1313</v>
      </c>
      <c r="C946" s="185"/>
      <c r="D946" s="103" t="str">
        <f>VLOOKUP(B946, 'All Menu'!B:M, 4, 0)</f>
        <v>صاجية لحمة خروف راس عصفور</v>
      </c>
      <c r="E946" s="30" t="str">
        <f>VLOOKUP(B946, 'All Menu'!B:M, 2, 0)</f>
        <v>قسم الصالة</v>
      </c>
      <c r="F946" s="103" t="str">
        <f>VLOOKUP(B946, 'All Menu'!B:M, 3, 0)</f>
        <v>صواني وصاجيات صالة</v>
      </c>
      <c r="G946" s="90" t="s">
        <v>2357</v>
      </c>
      <c r="H946" s="219" t="s">
        <v>744</v>
      </c>
      <c r="I946" s="110" t="str">
        <f>VLOOKUP(H946, 'RM &amp; SF'!B:H, 2, 0)</f>
        <v>زيت زيتون مكسور</v>
      </c>
      <c r="J946" s="184" t="str">
        <f>VLOOKUP(H946, 'RM &amp; SF'!B:E, 4, 0)</f>
        <v>غم</v>
      </c>
      <c r="K946" s="22">
        <v>60</v>
      </c>
      <c r="L946" s="13">
        <f>VLOOKUP(H946, 'RM &amp; SF'!B:H, 7, 0)</f>
        <v>3.3899999999999998E-3</v>
      </c>
      <c r="M946" s="15">
        <f t="shared" si="57"/>
        <v>0.2034</v>
      </c>
      <c r="N946" s="21" t="s">
        <v>825</v>
      </c>
      <c r="O946" s="4">
        <f>VLOOKUP(B946, 'All Menu'!B:L, 6, 0)</f>
        <v>7.4568965517241388</v>
      </c>
      <c r="P946" s="6">
        <f>VLOOKUP(B946, 'All Menu'!B:L, 9, 0)</f>
        <v>2.6919823333333328</v>
      </c>
      <c r="Q946" s="14">
        <f>VLOOKUP(B946, 'All Menu'!B:M, 12, 0)</f>
        <v>0.63899427668593456</v>
      </c>
      <c r="R946" s="173">
        <f t="shared" si="58"/>
        <v>0</v>
      </c>
    </row>
    <row r="947" spans="1:18" ht="14" hidden="1">
      <c r="A947" s="78" t="s">
        <v>2595</v>
      </c>
      <c r="B947" s="220" t="s">
        <v>1313</v>
      </c>
      <c r="C947" s="185"/>
      <c r="D947" s="103" t="str">
        <f>VLOOKUP(B947, 'All Menu'!B:M, 4, 0)</f>
        <v>صاجية لحمة خروف راس عصفور</v>
      </c>
      <c r="E947" s="30" t="str">
        <f>VLOOKUP(B947, 'All Menu'!B:M, 2, 0)</f>
        <v>قسم الصالة</v>
      </c>
      <c r="F947" s="103" t="str">
        <f>VLOOKUP(B947, 'All Menu'!B:M, 3, 0)</f>
        <v>صواني وصاجيات صالة</v>
      </c>
      <c r="G947" s="90" t="s">
        <v>2206</v>
      </c>
      <c r="H947" s="221">
        <v>4204</v>
      </c>
      <c r="I947" s="110" t="str">
        <f>VLOOKUP(H947, 'RM &amp; SF'!B:H, 2, 0)</f>
        <v>فلفل اسود ناعم*****</v>
      </c>
      <c r="J947" s="184" t="str">
        <f>VLOOKUP(H947, 'RM &amp; SF'!B:E, 4, 0)</f>
        <v>غم</v>
      </c>
      <c r="K947" s="22">
        <v>3</v>
      </c>
      <c r="L947" s="13">
        <f>VLOOKUP(H947, 'RM &amp; SF'!B:H, 7, 0)</f>
        <v>6.8970000000000004E-3</v>
      </c>
      <c r="M947" s="15">
        <f t="shared" si="57"/>
        <v>2.0691000000000001E-2</v>
      </c>
      <c r="N947" s="21" t="s">
        <v>825</v>
      </c>
      <c r="O947" s="4">
        <f>VLOOKUP(B947, 'All Menu'!B:L, 6, 0)</f>
        <v>7.4568965517241388</v>
      </c>
      <c r="P947" s="6">
        <f>VLOOKUP(B947, 'All Menu'!B:L, 9, 0)</f>
        <v>2.6919823333333328</v>
      </c>
      <c r="Q947" s="14">
        <f>VLOOKUP(B947, 'All Menu'!B:M, 12, 0)</f>
        <v>0.63899427668593456</v>
      </c>
      <c r="R947" s="173">
        <f t="shared" si="58"/>
        <v>0</v>
      </c>
    </row>
    <row r="948" spans="1:18" ht="14" hidden="1">
      <c r="A948" s="78" t="s">
        <v>2585</v>
      </c>
      <c r="B948" s="220" t="s">
        <v>1314</v>
      </c>
      <c r="C948" s="185"/>
      <c r="D948" s="30" t="str">
        <f>VLOOKUP(B948, 'All Menu'!B:M, 4, 0)</f>
        <v>سلطة شمندر</v>
      </c>
      <c r="E948" s="30" t="str">
        <f>VLOOKUP(B948, 'All Menu'!B:M, 2, 0)</f>
        <v>قسم الصالة</v>
      </c>
      <c r="F948" s="103" t="str">
        <f>VLOOKUP(B948, 'All Menu'!B:M, 3, 0)</f>
        <v>سلطات صالة</v>
      </c>
      <c r="G948" s="90" t="s">
        <v>2252</v>
      </c>
      <c r="H948" s="221">
        <v>4545</v>
      </c>
      <c r="I948" s="110" t="str">
        <f>VLOOKUP(H948, 'RM &amp; SF'!B:H, 2, 0)</f>
        <v>جرجير*****</v>
      </c>
      <c r="J948" s="184" t="str">
        <f>VLOOKUP(H948, 'RM &amp; SF'!B:E, 4, 0)</f>
        <v>غم</v>
      </c>
      <c r="K948" s="22">
        <v>80</v>
      </c>
      <c r="L948" s="13">
        <f>VLOOKUP(H948, 'RM &amp; SF'!B:H, 7, 0)</f>
        <v>7.5000000000000002E-4</v>
      </c>
      <c r="M948" s="15">
        <f t="shared" si="57"/>
        <v>0.06</v>
      </c>
      <c r="N948" s="21" t="s">
        <v>825</v>
      </c>
      <c r="O948" s="4">
        <f>VLOOKUP(B948, 'All Menu'!B:L, 6, 0)</f>
        <v>3.2327586206896552</v>
      </c>
      <c r="P948" s="6">
        <f>VLOOKUP(B948, 'All Menu'!B:L, 9, 0)</f>
        <v>0.33024154103855807</v>
      </c>
      <c r="Q948" s="14">
        <f>VLOOKUP(B948, 'All Menu'!B:M, 12, 0)</f>
        <v>0.89784528330540603</v>
      </c>
      <c r="R948" s="173">
        <f t="shared" si="58"/>
        <v>0</v>
      </c>
    </row>
    <row r="949" spans="1:18" ht="14" hidden="1">
      <c r="A949" s="78" t="s">
        <v>2585</v>
      </c>
      <c r="B949" s="220" t="s">
        <v>1314</v>
      </c>
      <c r="C949" s="185"/>
      <c r="D949" s="30" t="str">
        <f>VLOOKUP(B949, 'All Menu'!B:M, 4, 0)</f>
        <v>سلطة شمندر</v>
      </c>
      <c r="E949" s="30" t="str">
        <f>VLOOKUP(B949, 'All Menu'!B:M, 2, 0)</f>
        <v>قسم الصالة</v>
      </c>
      <c r="F949" s="103" t="str">
        <f>VLOOKUP(B949, 'All Menu'!B:M, 3, 0)</f>
        <v>سلطات صالة</v>
      </c>
      <c r="G949" s="90" t="s">
        <v>2276</v>
      </c>
      <c r="H949" s="221">
        <v>4077</v>
      </c>
      <c r="I949" s="110" t="str">
        <f>VLOOKUP(H949, 'RM &amp; SF'!B:H, 2, 0)</f>
        <v>شمندر شرائح 425 غم*****</v>
      </c>
      <c r="J949" s="184" t="str">
        <f>VLOOKUP(H949, 'RM &amp; SF'!B:E, 4, 0)</f>
        <v>غم</v>
      </c>
      <c r="K949" s="22">
        <v>50</v>
      </c>
      <c r="L949" s="13">
        <f>VLOOKUP(H949, 'RM &amp; SF'!B:H, 7, 0)</f>
        <v>3.5505882352941174E-3</v>
      </c>
      <c r="M949" s="15">
        <f t="shared" si="57"/>
        <v>0.17752941176470588</v>
      </c>
      <c r="N949" s="21" t="s">
        <v>825</v>
      </c>
      <c r="O949" s="4">
        <f>VLOOKUP(B949, 'All Menu'!B:L, 6, 0)</f>
        <v>3.2327586206896552</v>
      </c>
      <c r="P949" s="6">
        <f>VLOOKUP(B949, 'All Menu'!B:L, 9, 0)</f>
        <v>0.33024154103855807</v>
      </c>
      <c r="Q949" s="14">
        <f>VLOOKUP(B949, 'All Menu'!B:M, 12, 0)</f>
        <v>0.89784528330540603</v>
      </c>
      <c r="R949" s="173">
        <f t="shared" si="58"/>
        <v>0</v>
      </c>
    </row>
    <row r="950" spans="1:18" ht="14" hidden="1">
      <c r="A950" s="78" t="s">
        <v>2585</v>
      </c>
      <c r="B950" s="220" t="s">
        <v>1314</v>
      </c>
      <c r="C950" s="185"/>
      <c r="D950" s="30" t="str">
        <f>VLOOKUP(B950, 'All Menu'!B:M, 4, 0)</f>
        <v>سلطة شمندر</v>
      </c>
      <c r="E950" s="30" t="str">
        <f>VLOOKUP(B950, 'All Menu'!B:M, 2, 0)</f>
        <v>قسم الصالة</v>
      </c>
      <c r="F950" s="103" t="str">
        <f>VLOOKUP(B950, 'All Menu'!B:M, 3, 0)</f>
        <v>سلطات صالة</v>
      </c>
      <c r="G950" s="90" t="s">
        <v>2440</v>
      </c>
      <c r="H950" s="219" t="s">
        <v>656</v>
      </c>
      <c r="I950" s="110" t="str">
        <f>VLOOKUP(H950, 'RM &amp; SF'!B:H, 2, 0)</f>
        <v>صوص فنجريت انترناشونال</v>
      </c>
      <c r="J950" s="184" t="str">
        <f>VLOOKUP(H950, 'RM &amp; SF'!B:E, 4, 0)</f>
        <v>غم</v>
      </c>
      <c r="K950" s="22">
        <v>30</v>
      </c>
      <c r="L950" s="13">
        <f>VLOOKUP(H950, 'RM &amp; SF'!B:H, 7, 0)</f>
        <v>3.0904043091284058E-3</v>
      </c>
      <c r="M950" s="15">
        <f t="shared" si="57"/>
        <v>9.2712129273852167E-2</v>
      </c>
      <c r="N950" s="21" t="s">
        <v>825</v>
      </c>
      <c r="O950" s="4">
        <f>VLOOKUP(B950, 'All Menu'!B:L, 6, 0)</f>
        <v>3.2327586206896552</v>
      </c>
      <c r="P950" s="6">
        <f>VLOOKUP(B950, 'All Menu'!B:L, 9, 0)</f>
        <v>0.33024154103855807</v>
      </c>
      <c r="Q950" s="14">
        <f>VLOOKUP(B950, 'All Menu'!B:M, 12, 0)</f>
        <v>0.89784528330540603</v>
      </c>
      <c r="R950" s="173">
        <f t="shared" si="58"/>
        <v>0</v>
      </c>
    </row>
    <row r="951" spans="1:18" ht="14" hidden="1">
      <c r="A951" s="78" t="s">
        <v>2574</v>
      </c>
      <c r="B951" s="220" t="s">
        <v>1315</v>
      </c>
      <c r="C951" s="185"/>
      <c r="D951" s="30" t="str">
        <f>VLOOKUP(B951, 'All Menu'!B:M, 4, 0)</f>
        <v>برغر المركزية</v>
      </c>
      <c r="E951" s="30" t="str">
        <f>VLOOKUP(B951, 'All Menu'!B:M, 2, 0)</f>
        <v>قسم الصالة</v>
      </c>
      <c r="F951" s="103" t="str">
        <f>VLOOKUP(B951, 'All Menu'!B:M, 3, 0)</f>
        <v>باستا صالة</v>
      </c>
      <c r="G951" s="90" t="s">
        <v>2365</v>
      </c>
      <c r="H951" s="219" t="s">
        <v>762</v>
      </c>
      <c r="I951" s="110" t="str">
        <f>VLOOKUP(H951, 'RM &amp; SF'!B:H, 2, 0)</f>
        <v>برجر لحم</v>
      </c>
      <c r="J951" s="184" t="str">
        <f>VLOOKUP(H951, 'RM &amp; SF'!B:E, 4, 0)</f>
        <v>غم</v>
      </c>
      <c r="K951" s="22">
        <v>250</v>
      </c>
      <c r="L951" s="13">
        <f>VLOOKUP(H951, 'RM &amp; SF'!B:H, 7, 0)</f>
        <v>3.960397E-3</v>
      </c>
      <c r="M951" s="15">
        <f t="shared" si="57"/>
        <v>0.99009924999999999</v>
      </c>
      <c r="N951" s="21" t="s">
        <v>825</v>
      </c>
      <c r="O951" s="4">
        <f>VLOOKUP(B951, 'All Menu'!B:L, 6, 0)</f>
        <v>6.5948275862068977</v>
      </c>
      <c r="P951" s="6">
        <f>VLOOKUP(B951, 'All Menu'!B:L, 9, 0)</f>
        <v>1.5996492499999999</v>
      </c>
      <c r="Q951" s="14">
        <f>VLOOKUP(B951, 'All Menu'!B:M, 12, 0)</f>
        <v>0.75743880653594775</v>
      </c>
      <c r="R951" s="173">
        <f t="shared" si="58"/>
        <v>0</v>
      </c>
    </row>
    <row r="952" spans="1:18" ht="14" hidden="1">
      <c r="A952" s="78" t="s">
        <v>2574</v>
      </c>
      <c r="B952" s="220" t="s">
        <v>1315</v>
      </c>
      <c r="C952" s="185"/>
      <c r="D952" s="30" t="str">
        <f>VLOOKUP(B952, 'All Menu'!B:M, 4, 0)</f>
        <v>برغر المركزية</v>
      </c>
      <c r="E952" s="30" t="str">
        <f>VLOOKUP(B952, 'All Menu'!B:M, 2, 0)</f>
        <v>قسم الصالة</v>
      </c>
      <c r="F952" s="103" t="str">
        <f>VLOOKUP(B952, 'All Menu'!B:M, 3, 0)</f>
        <v>باستا صالة</v>
      </c>
      <c r="G952" s="90" t="s">
        <v>2234</v>
      </c>
      <c r="H952" s="221">
        <v>4503</v>
      </c>
      <c r="I952" s="110" t="str">
        <f>VLOOKUP(H952, 'RM &amp; SF'!B:H, 2, 0)</f>
        <v>بصل ناشف دفش*****</v>
      </c>
      <c r="J952" s="184" t="str">
        <f>VLOOKUP(H952, 'RM &amp; SF'!B:E, 4, 0)</f>
        <v>غم</v>
      </c>
      <c r="K952" s="22">
        <v>40</v>
      </c>
      <c r="L952" s="13">
        <f>VLOOKUP(H952, 'RM &amp; SF'!B:H, 7, 0)</f>
        <v>2.5000000000000001E-4</v>
      </c>
      <c r="M952" s="15">
        <f t="shared" si="57"/>
        <v>0.01</v>
      </c>
      <c r="N952" s="21" t="s">
        <v>825</v>
      </c>
      <c r="O952" s="4">
        <f>VLOOKUP(B952, 'All Menu'!B:L, 6, 0)</f>
        <v>6.5948275862068977</v>
      </c>
      <c r="P952" s="6">
        <f>VLOOKUP(B952, 'All Menu'!B:L, 9, 0)</f>
        <v>1.5996492499999999</v>
      </c>
      <c r="Q952" s="14">
        <f>VLOOKUP(B952, 'All Menu'!B:M, 12, 0)</f>
        <v>0.75743880653594775</v>
      </c>
      <c r="R952" s="173">
        <f t="shared" si="58"/>
        <v>0</v>
      </c>
    </row>
    <row r="953" spans="1:18" ht="14" hidden="1">
      <c r="A953" s="78" t="s">
        <v>2574</v>
      </c>
      <c r="B953" s="220" t="s">
        <v>1315</v>
      </c>
      <c r="C953" s="185"/>
      <c r="D953" s="30" t="str">
        <f>VLOOKUP(B953, 'All Menu'!B:M, 4, 0)</f>
        <v>برغر المركزية</v>
      </c>
      <c r="E953" s="30" t="str">
        <f>VLOOKUP(B953, 'All Menu'!B:M, 2, 0)</f>
        <v>قسم الصالة</v>
      </c>
      <c r="F953" s="103" t="str">
        <f>VLOOKUP(B953, 'All Menu'!B:M, 3, 0)</f>
        <v>باستا صالة</v>
      </c>
      <c r="G953" s="90" t="s">
        <v>2318</v>
      </c>
      <c r="H953" s="221">
        <v>4255</v>
      </c>
      <c r="I953" s="110" t="str">
        <f>VLOOKUP(H953, 'RM &amp; SF'!B:H, 2, 0)</f>
        <v>هلابينيو ناشف*****</v>
      </c>
      <c r="J953" s="184" t="str">
        <f>VLOOKUP(H953, 'RM &amp; SF'!B:E, 4, 0)</f>
        <v>غم</v>
      </c>
      <c r="K953" s="22">
        <v>140</v>
      </c>
      <c r="L953" s="13">
        <f>VLOOKUP(H953, 'RM &amp; SF'!B:H, 7, 0)</f>
        <v>2E-3</v>
      </c>
      <c r="M953" s="15">
        <f t="shared" si="57"/>
        <v>0.28000000000000003</v>
      </c>
      <c r="N953" s="21" t="s">
        <v>825</v>
      </c>
      <c r="O953" s="4">
        <f>VLOOKUP(B953, 'All Menu'!B:L, 6, 0)</f>
        <v>6.5948275862068977</v>
      </c>
      <c r="P953" s="6">
        <f>VLOOKUP(B953, 'All Menu'!B:L, 9, 0)</f>
        <v>1.5996492499999999</v>
      </c>
      <c r="Q953" s="14">
        <f>VLOOKUP(B953, 'All Menu'!B:M, 12, 0)</f>
        <v>0.75743880653594775</v>
      </c>
      <c r="R953" s="173">
        <f t="shared" si="58"/>
        <v>0</v>
      </c>
    </row>
    <row r="954" spans="1:18" ht="14" hidden="1">
      <c r="A954" s="78" t="s">
        <v>2574</v>
      </c>
      <c r="B954" s="220" t="s">
        <v>1315</v>
      </c>
      <c r="C954" s="185"/>
      <c r="D954" s="30" t="str">
        <f>VLOOKUP(B954, 'All Menu'!B:M, 4, 0)</f>
        <v>برغر المركزية</v>
      </c>
      <c r="E954" s="30" t="str">
        <f>VLOOKUP(B954, 'All Menu'!B:M, 2, 0)</f>
        <v>قسم الصالة</v>
      </c>
      <c r="F954" s="103" t="str">
        <f>VLOOKUP(B954, 'All Menu'!B:M, 3, 0)</f>
        <v>باستا صالة</v>
      </c>
      <c r="G954" s="90" t="s">
        <v>2309</v>
      </c>
      <c r="H954" s="221">
        <v>4491</v>
      </c>
      <c r="I954" s="110" t="str">
        <f>VLOOKUP(H954, 'RM &amp; SF'!B:H, 2, 0)</f>
        <v>بندورة جامدة*****</v>
      </c>
      <c r="J954" s="184" t="str">
        <f>VLOOKUP(H954, 'RM &amp; SF'!B:E, 4, 0)</f>
        <v>غم</v>
      </c>
      <c r="K954" s="22">
        <v>50</v>
      </c>
      <c r="L954" s="13">
        <f>VLOOKUP(H954, 'RM &amp; SF'!B:H, 7, 0)</f>
        <v>5.0000000000000001E-4</v>
      </c>
      <c r="M954" s="15">
        <f t="shared" si="57"/>
        <v>2.5000000000000001E-2</v>
      </c>
      <c r="N954" s="21" t="s">
        <v>825</v>
      </c>
      <c r="O954" s="4">
        <f>VLOOKUP(B954, 'All Menu'!B:L, 6, 0)</f>
        <v>6.5948275862068977</v>
      </c>
      <c r="P954" s="6">
        <f>VLOOKUP(B954, 'All Menu'!B:L, 9, 0)</f>
        <v>1.5996492499999999</v>
      </c>
      <c r="Q954" s="14">
        <f>VLOOKUP(B954, 'All Menu'!B:M, 12, 0)</f>
        <v>0.75743880653594775</v>
      </c>
      <c r="R954" s="173">
        <f t="shared" si="58"/>
        <v>0</v>
      </c>
    </row>
    <row r="955" spans="1:18" ht="14" hidden="1">
      <c r="A955" s="78" t="s">
        <v>2574</v>
      </c>
      <c r="B955" s="220" t="s">
        <v>1315</v>
      </c>
      <c r="C955" s="185"/>
      <c r="D955" s="30" t="str">
        <f>VLOOKUP(B955, 'All Menu'!B:M, 4, 0)</f>
        <v>برغر المركزية</v>
      </c>
      <c r="E955" s="30" t="str">
        <f>VLOOKUP(B955, 'All Menu'!B:M, 2, 0)</f>
        <v>قسم الصالة</v>
      </c>
      <c r="F955" s="103" t="str">
        <f>VLOOKUP(B955, 'All Menu'!B:M, 3, 0)</f>
        <v>باستا صالة</v>
      </c>
      <c r="G955" s="90" t="s">
        <v>2385</v>
      </c>
      <c r="H955" s="219" t="s">
        <v>540</v>
      </c>
      <c r="I955" s="110" t="str">
        <f>VLOOKUP(H955, 'RM &amp; SF'!B:H, 2, 0)</f>
        <v xml:space="preserve">بطاطا مقلية </v>
      </c>
      <c r="J955" s="184" t="str">
        <f>VLOOKUP(H955, 'RM &amp; SF'!B:E, 4, 0)</f>
        <v>غم</v>
      </c>
      <c r="K955" s="22">
        <v>150</v>
      </c>
      <c r="L955" s="13">
        <f>VLOOKUP(H955, 'RM &amp; SF'!B:H, 7, 0)</f>
        <v>7.9700000000000007E-4</v>
      </c>
      <c r="M955" s="15">
        <f t="shared" si="57"/>
        <v>0.11955000000000002</v>
      </c>
      <c r="N955" s="21" t="s">
        <v>825</v>
      </c>
      <c r="O955" s="4">
        <f>VLOOKUP(B955, 'All Menu'!B:L, 6, 0)</f>
        <v>6.5948275862068977</v>
      </c>
      <c r="P955" s="6">
        <f>VLOOKUP(B955, 'All Menu'!B:L, 9, 0)</f>
        <v>1.5996492499999999</v>
      </c>
      <c r="Q955" s="14">
        <f>VLOOKUP(B955, 'All Menu'!B:M, 12, 0)</f>
        <v>0.75743880653594775</v>
      </c>
      <c r="R955" s="173">
        <f t="shared" si="58"/>
        <v>0</v>
      </c>
    </row>
    <row r="956" spans="1:18" ht="14" hidden="1">
      <c r="A956" s="78" t="s">
        <v>2574</v>
      </c>
      <c r="B956" s="220" t="s">
        <v>1315</v>
      </c>
      <c r="C956" s="185"/>
      <c r="D956" s="30" t="str">
        <f>VLOOKUP(B956, 'All Menu'!B:M, 4, 0)</f>
        <v>برغر المركزية</v>
      </c>
      <c r="E956" s="30" t="str">
        <f>VLOOKUP(B956, 'All Menu'!B:M, 2, 0)</f>
        <v>قسم الصالة</v>
      </c>
      <c r="F956" s="103" t="str">
        <f>VLOOKUP(B956, 'All Menu'!B:M, 3, 0)</f>
        <v>باستا صالة</v>
      </c>
      <c r="G956" s="90" t="s">
        <v>2226</v>
      </c>
      <c r="H956" s="221">
        <v>5045</v>
      </c>
      <c r="I956" s="110" t="str">
        <f>VLOOKUP(H956, 'RM &amp; SF'!B:H, 2, 0)</f>
        <v>*****خبز بيرجر بطاطا 5 لنش مغلف بشكل منفصل</v>
      </c>
      <c r="J956" s="184" t="str">
        <f>VLOOKUP(H956, 'RM &amp; SF'!B:E, 4, 0)</f>
        <v>قطعة</v>
      </c>
      <c r="K956" s="22">
        <v>1</v>
      </c>
      <c r="L956" s="13">
        <f>VLOOKUP(H956, 'RM &amp; SF'!B:H, 7, 0)</f>
        <v>0.17499999999999999</v>
      </c>
      <c r="M956" s="15">
        <f t="shared" si="57"/>
        <v>0.17499999999999999</v>
      </c>
      <c r="N956" s="21" t="s">
        <v>825</v>
      </c>
      <c r="O956" s="4">
        <f>VLOOKUP(B956, 'All Menu'!B:L, 6, 0)</f>
        <v>6.5948275862068977</v>
      </c>
      <c r="P956" s="6">
        <f>VLOOKUP(B956, 'All Menu'!B:L, 9, 0)</f>
        <v>1.5996492499999999</v>
      </c>
      <c r="Q956" s="14">
        <f>VLOOKUP(B956, 'All Menu'!B:M, 12, 0)</f>
        <v>0.75743880653594775</v>
      </c>
      <c r="R956" s="173">
        <f t="shared" si="58"/>
        <v>0</v>
      </c>
    </row>
    <row r="957" spans="1:18" ht="14" hidden="1">
      <c r="A957" s="78" t="s">
        <v>2573</v>
      </c>
      <c r="B957" s="220" t="s">
        <v>1316</v>
      </c>
      <c r="C957" s="185"/>
      <c r="D957" s="30" t="str">
        <f>VLOOKUP(B957, 'All Menu'!B:M, 4, 0)</f>
        <v>تندرليون ستيك</v>
      </c>
      <c r="E957" s="30" t="str">
        <f>VLOOKUP(B957, 'All Menu'!B:M, 2, 0)</f>
        <v>قسم الصالة</v>
      </c>
      <c r="F957" s="103" t="str">
        <f>VLOOKUP(B957, 'All Menu'!B:M, 3, 0)</f>
        <v>باستا صالة</v>
      </c>
      <c r="G957" s="90" t="s">
        <v>3058</v>
      </c>
      <c r="H957" s="188">
        <v>5398</v>
      </c>
      <c r="I957" s="110" t="str">
        <f>VLOOKUP(H957, 'RM &amp; SF'!B:H, 2, 0)</f>
        <v xml:space="preserve">فيليه </v>
      </c>
      <c r="J957" s="184" t="str">
        <f>VLOOKUP(H957, 'RM &amp; SF'!B:E, 4, 0)</f>
        <v>غم</v>
      </c>
      <c r="K957" s="22">
        <v>200</v>
      </c>
      <c r="L957" s="13">
        <f>VLOOKUP(H957, 'RM &amp; SF'!B:H, 7, 0)</f>
        <v>2.1499999999999998E-2</v>
      </c>
      <c r="M957" s="15">
        <f t="shared" si="57"/>
        <v>4.3</v>
      </c>
      <c r="N957" s="21" t="s">
        <v>825</v>
      </c>
      <c r="O957" s="4">
        <f>VLOOKUP(B957, 'All Menu'!B:L, 6, 0)</f>
        <v>10.646551724137931</v>
      </c>
      <c r="P957" s="6">
        <f>VLOOKUP(B957, 'All Menu'!B:L, 9, 0)</f>
        <v>7.8683973684210518</v>
      </c>
      <c r="Q957" s="14">
        <f>VLOOKUP(B957, 'All Menu'!B:M, 12, 0)</f>
        <v>0.26094405284466232</v>
      </c>
      <c r="R957" s="173">
        <f t="shared" si="58"/>
        <v>0</v>
      </c>
    </row>
    <row r="958" spans="1:18" ht="14" hidden="1">
      <c r="A958" s="78" t="s">
        <v>2573</v>
      </c>
      <c r="B958" s="220" t="s">
        <v>1316</v>
      </c>
      <c r="C958" s="185"/>
      <c r="D958" s="30" t="str">
        <f>VLOOKUP(B958, 'All Menu'!B:M, 4, 0)</f>
        <v>تندرليون ستيك</v>
      </c>
      <c r="E958" s="30" t="str">
        <f>VLOOKUP(B958, 'All Menu'!B:M, 2, 0)</f>
        <v>قسم الصالة</v>
      </c>
      <c r="F958" s="103" t="str">
        <f>VLOOKUP(B958, 'All Menu'!B:M, 3, 0)</f>
        <v>باستا صالة</v>
      </c>
      <c r="G958" s="90" t="s">
        <v>3058</v>
      </c>
      <c r="H958" s="221">
        <v>4890</v>
      </c>
      <c r="I958" s="110" t="str">
        <f>VLOOKUP(H958, 'RM &amp; SF'!B:H, 2, 0)</f>
        <v>بروكلي طازج*****</v>
      </c>
      <c r="J958" s="184" t="str">
        <f>VLOOKUP(H958, 'RM &amp; SF'!B:E, 4, 0)</f>
        <v>غم</v>
      </c>
      <c r="K958" s="22">
        <v>80</v>
      </c>
      <c r="L958" s="13">
        <f>VLOOKUP(H958, 'RM &amp; SF'!B:H, 7, 0)</f>
        <v>1.25E-3</v>
      </c>
      <c r="M958" s="15">
        <f t="shared" si="57"/>
        <v>0.1</v>
      </c>
      <c r="N958" s="21" t="s">
        <v>825</v>
      </c>
      <c r="O958" s="4">
        <f>VLOOKUP(B958, 'All Menu'!B:L, 6, 0)</f>
        <v>10.646551724137931</v>
      </c>
      <c r="P958" s="6">
        <f>VLOOKUP(B958, 'All Menu'!B:L, 9, 0)</f>
        <v>7.8683973684210518</v>
      </c>
      <c r="Q958" s="14">
        <f>VLOOKUP(B958, 'All Menu'!B:M, 12, 0)</f>
        <v>0.26094405284466232</v>
      </c>
      <c r="R958" s="173">
        <f t="shared" si="58"/>
        <v>0</v>
      </c>
    </row>
    <row r="959" spans="1:18" ht="14" hidden="1">
      <c r="A959" s="78" t="s">
        <v>2573</v>
      </c>
      <c r="B959" s="220" t="s">
        <v>1316</v>
      </c>
      <c r="C959" s="185"/>
      <c r="D959" s="30" t="str">
        <f>VLOOKUP(B959, 'All Menu'!B:M, 4, 0)</f>
        <v>تندرليون ستيك</v>
      </c>
      <c r="E959" s="30" t="str">
        <f>VLOOKUP(B959, 'All Menu'!B:M, 2, 0)</f>
        <v>قسم الصالة</v>
      </c>
      <c r="F959" s="103" t="str">
        <f>VLOOKUP(B959, 'All Menu'!B:M, 3, 0)</f>
        <v>باستا صالة</v>
      </c>
      <c r="G959" s="90" t="s">
        <v>2246</v>
      </c>
      <c r="H959" s="221">
        <v>4524</v>
      </c>
      <c r="I959" s="110" t="str">
        <f>VLOOKUP(H959, 'RM &amp; SF'!B:H, 2, 0)</f>
        <v>كوسا*****</v>
      </c>
      <c r="J959" s="184" t="str">
        <f>VLOOKUP(H959, 'RM &amp; SF'!B:E, 4, 0)</f>
        <v>غم</v>
      </c>
      <c r="K959" s="22">
        <v>80</v>
      </c>
      <c r="L959" s="13">
        <f>VLOOKUP(H959, 'RM &amp; SF'!B:H, 7, 0)</f>
        <v>6.4999999999999997E-4</v>
      </c>
      <c r="M959" s="15">
        <f t="shared" si="57"/>
        <v>5.1999999999999998E-2</v>
      </c>
      <c r="N959" s="21" t="s">
        <v>825</v>
      </c>
      <c r="O959" s="4">
        <f>VLOOKUP(B959, 'All Menu'!B:L, 6, 0)</f>
        <v>10.646551724137931</v>
      </c>
      <c r="P959" s="6">
        <f>VLOOKUP(B959, 'All Menu'!B:L, 9, 0)</f>
        <v>7.8683973684210518</v>
      </c>
      <c r="Q959" s="14">
        <f>VLOOKUP(B959, 'All Menu'!B:M, 12, 0)</f>
        <v>0.26094405284466232</v>
      </c>
      <c r="R959" s="173">
        <f t="shared" si="58"/>
        <v>0</v>
      </c>
    </row>
    <row r="960" spans="1:18" ht="14" hidden="1">
      <c r="A960" s="78" t="s">
        <v>2573</v>
      </c>
      <c r="B960" s="220" t="s">
        <v>1316</v>
      </c>
      <c r="C960" s="185"/>
      <c r="D960" s="30" t="str">
        <f>VLOOKUP(B960, 'All Menu'!B:M, 4, 0)</f>
        <v>تندرليون ستيك</v>
      </c>
      <c r="E960" s="30" t="str">
        <f>VLOOKUP(B960, 'All Menu'!B:M, 2, 0)</f>
        <v>قسم الصالة</v>
      </c>
      <c r="F960" s="103" t="str">
        <f>VLOOKUP(B960, 'All Menu'!B:M, 3, 0)</f>
        <v>باستا صالة</v>
      </c>
      <c r="G960" s="90" t="s">
        <v>2238</v>
      </c>
      <c r="H960" s="221">
        <v>4509</v>
      </c>
      <c r="I960" s="110" t="str">
        <f>VLOOKUP(H960, 'RM &amp; SF'!B:H, 2, 0)</f>
        <v>جزر*****</v>
      </c>
      <c r="J960" s="184" t="str">
        <f>VLOOKUP(H960, 'RM &amp; SF'!B:E, 4, 0)</f>
        <v>غم</v>
      </c>
      <c r="K960" s="22">
        <v>80</v>
      </c>
      <c r="L960" s="13">
        <f>VLOOKUP(H960, 'RM &amp; SF'!B:H, 7, 0)</f>
        <v>5.5000000000000003E-4</v>
      </c>
      <c r="M960" s="15">
        <f t="shared" si="57"/>
        <v>4.4000000000000004E-2</v>
      </c>
      <c r="N960" s="21" t="s">
        <v>825</v>
      </c>
      <c r="O960" s="4">
        <f>VLOOKUP(B960, 'All Menu'!B:L, 6, 0)</f>
        <v>10.646551724137931</v>
      </c>
      <c r="P960" s="6">
        <f>VLOOKUP(B960, 'All Menu'!B:L, 9, 0)</f>
        <v>7.8683973684210518</v>
      </c>
      <c r="Q960" s="14">
        <f>VLOOKUP(B960, 'All Menu'!B:M, 12, 0)</f>
        <v>0.26094405284466232</v>
      </c>
      <c r="R960" s="173">
        <f t="shared" si="58"/>
        <v>0</v>
      </c>
    </row>
    <row r="961" spans="1:18" ht="14" hidden="1">
      <c r="A961" s="78" t="s">
        <v>2573</v>
      </c>
      <c r="B961" s="220" t="s">
        <v>1316</v>
      </c>
      <c r="C961" s="185"/>
      <c r="D961" s="30" t="str">
        <f>VLOOKUP(B961, 'All Menu'!B:M, 4, 0)</f>
        <v>تندرليون ستيك</v>
      </c>
      <c r="E961" s="30" t="str">
        <f>VLOOKUP(B961, 'All Menu'!B:M, 2, 0)</f>
        <v>قسم الصالة</v>
      </c>
      <c r="F961" s="103" t="str">
        <f>VLOOKUP(B961, 'All Menu'!B:M, 3, 0)</f>
        <v>باستا صالة</v>
      </c>
      <c r="G961" s="90" t="s">
        <v>2374</v>
      </c>
      <c r="H961" s="219" t="s">
        <v>790</v>
      </c>
      <c r="I961" s="110" t="str">
        <f>VLOOKUP(H961, 'RM &amp; SF'!B:H, 2, 0)</f>
        <v>بطاطا مهروسة</v>
      </c>
      <c r="J961" s="184" t="str">
        <f>VLOOKUP(H961, 'RM &amp; SF'!B:E, 4, 0)</f>
        <v>غم</v>
      </c>
      <c r="K961" s="22">
        <v>170</v>
      </c>
      <c r="L961" s="13">
        <f>VLOOKUP(H961, 'RM &amp; SF'!B:H, 7, 0)</f>
        <v>1.4296315789473683E-3</v>
      </c>
      <c r="M961" s="15">
        <f t="shared" si="57"/>
        <v>0.24303736842105261</v>
      </c>
      <c r="N961" s="21" t="s">
        <v>825</v>
      </c>
      <c r="O961" s="4">
        <f>VLOOKUP(B961, 'All Menu'!B:L, 6, 0)</f>
        <v>10.646551724137931</v>
      </c>
      <c r="P961" s="6">
        <f>VLOOKUP(B961, 'All Menu'!B:L, 9, 0)</f>
        <v>7.8683973684210518</v>
      </c>
      <c r="Q961" s="14">
        <f>VLOOKUP(B961, 'All Menu'!B:M, 12, 0)</f>
        <v>0.26094405284466232</v>
      </c>
      <c r="R961" s="173">
        <f t="shared" si="58"/>
        <v>0</v>
      </c>
    </row>
    <row r="962" spans="1:18" ht="14" hidden="1">
      <c r="A962" s="78" t="s">
        <v>2573</v>
      </c>
      <c r="B962" s="220" t="s">
        <v>1316</v>
      </c>
      <c r="C962" s="185"/>
      <c r="D962" s="30" t="str">
        <f>VLOOKUP(B962, 'All Menu'!B:M, 4, 0)</f>
        <v>تندرليون ستيك</v>
      </c>
      <c r="E962" s="30" t="str">
        <f>VLOOKUP(B962, 'All Menu'!B:M, 2, 0)</f>
        <v>قسم الصالة</v>
      </c>
      <c r="F962" s="103" t="str">
        <f>VLOOKUP(B962, 'All Menu'!B:M, 3, 0)</f>
        <v>باستا صالة</v>
      </c>
      <c r="G962" s="90" t="s">
        <v>3058</v>
      </c>
      <c r="H962" s="219">
        <v>4797</v>
      </c>
      <c r="I962" s="110" t="str">
        <f>VLOOKUP(H962, 'RM &amp; SF'!B:H, 2, 0)</f>
        <v>صوص ترفل أسود 500 غم*****</v>
      </c>
      <c r="J962" s="184" t="str">
        <f>VLOOKUP(H962, 'RM &amp; SF'!B:E, 4, 0)</f>
        <v>غم</v>
      </c>
      <c r="K962" s="22">
        <v>150</v>
      </c>
      <c r="L962" s="13">
        <f>VLOOKUP(H962, 'RM &amp; SF'!B:H, 7, 0)</f>
        <v>1.8966E-2</v>
      </c>
      <c r="M962" s="15">
        <f t="shared" ref="M962" si="59">L962*K962</f>
        <v>2.8449</v>
      </c>
      <c r="N962" s="21" t="s">
        <v>825</v>
      </c>
      <c r="O962" s="4">
        <f>VLOOKUP(B962, 'All Menu'!B:L, 6, 0)</f>
        <v>10.646551724137931</v>
      </c>
      <c r="P962" s="6">
        <f>VLOOKUP(B962, 'All Menu'!B:L, 9, 0)</f>
        <v>7.8683973684210518</v>
      </c>
      <c r="Q962" s="14">
        <f>VLOOKUP(B962, 'All Menu'!B:M, 12, 0)</f>
        <v>0.26094405284466232</v>
      </c>
      <c r="R962" s="173">
        <f t="shared" ref="R962" si="60">C962*K962</f>
        <v>0</v>
      </c>
    </row>
    <row r="963" spans="1:18" ht="14" hidden="1">
      <c r="A963" s="78" t="s">
        <v>2573</v>
      </c>
      <c r="B963" s="220" t="s">
        <v>1316</v>
      </c>
      <c r="C963" s="185"/>
      <c r="D963" s="30" t="str">
        <f>VLOOKUP(B963, 'All Menu'!B:M, 4, 0)</f>
        <v>تندرليون ستيك</v>
      </c>
      <c r="E963" s="30" t="str">
        <f>VLOOKUP(B963, 'All Menu'!B:M, 2, 0)</f>
        <v>قسم الصالة</v>
      </c>
      <c r="F963" s="103" t="str">
        <f>VLOOKUP(B963, 'All Menu'!B:M, 3, 0)</f>
        <v>باستا صالة</v>
      </c>
      <c r="G963" s="90" t="s">
        <v>3058</v>
      </c>
      <c r="H963" s="221">
        <v>4019</v>
      </c>
      <c r="I963" s="110" t="str">
        <f>VLOOKUP(H963, 'RM &amp; SF'!B:H, 2, 0)</f>
        <v>صوص ديمي جلاس 1 كغ*****</v>
      </c>
      <c r="J963" s="184" t="str">
        <f>VLOOKUP(H963, 'RM &amp; SF'!B:E, 4, 0)</f>
        <v>غم</v>
      </c>
      <c r="K963" s="22">
        <v>60</v>
      </c>
      <c r="L963" s="13">
        <f>VLOOKUP(H963, 'RM &amp; SF'!B:H, 7, 0)</f>
        <v>4.7409999999999996E-3</v>
      </c>
      <c r="M963" s="15">
        <f t="shared" si="57"/>
        <v>0.28445999999999999</v>
      </c>
      <c r="N963" s="21" t="s">
        <v>825</v>
      </c>
      <c r="O963" s="4">
        <f>VLOOKUP(B963, 'All Menu'!B:L, 6, 0)</f>
        <v>10.646551724137931</v>
      </c>
      <c r="P963" s="6">
        <f>VLOOKUP(B963, 'All Menu'!B:L, 9, 0)</f>
        <v>7.8683973684210518</v>
      </c>
      <c r="Q963" s="14">
        <f>VLOOKUP(B963, 'All Menu'!B:M, 12, 0)</f>
        <v>0.26094405284466232</v>
      </c>
      <c r="R963" s="173">
        <f t="shared" si="58"/>
        <v>0</v>
      </c>
    </row>
    <row r="964" spans="1:18" ht="14" hidden="1">
      <c r="A964" s="78" t="s">
        <v>2572</v>
      </c>
      <c r="B964" s="220" t="s">
        <v>1317</v>
      </c>
      <c r="C964" s="185"/>
      <c r="D964" s="30" t="str">
        <f>VLOOKUP(B964, 'All Menu'!B:M, 4, 0)</f>
        <v>سباغيتي بولونيز</v>
      </c>
      <c r="E964" s="30" t="str">
        <f>VLOOKUP(B964, 'All Menu'!B:M, 2, 0)</f>
        <v>قسم الصالة</v>
      </c>
      <c r="F964" s="103" t="str">
        <f>VLOOKUP(B964, 'All Menu'!B:M, 3, 0)</f>
        <v>باستا صالة</v>
      </c>
      <c r="G964" s="90" t="s">
        <v>2260</v>
      </c>
      <c r="H964" s="221">
        <v>4160</v>
      </c>
      <c r="I964" s="110" t="str">
        <f>VLOOKUP(H964, 'RM &amp; SF'!B:H, 2, 0)</f>
        <v>زيت صويا 18 لتر*****</v>
      </c>
      <c r="J964" s="184" t="str">
        <f>VLOOKUP(H964, 'RM &amp; SF'!B:E, 4, 0)</f>
        <v>مل</v>
      </c>
      <c r="K964" s="22">
        <v>65</v>
      </c>
      <c r="L964" s="13">
        <f>VLOOKUP(H964, 'RM &amp; SF'!B:H, 7, 0)</f>
        <v>1.335E-3</v>
      </c>
      <c r="M964" s="15">
        <f t="shared" si="57"/>
        <v>8.6775000000000005E-2</v>
      </c>
      <c r="N964" s="21" t="s">
        <v>825</v>
      </c>
      <c r="O964" s="4">
        <f>VLOOKUP(B964, 'All Menu'!B:L, 6, 0)</f>
        <v>6.7672413793103452</v>
      </c>
      <c r="P964" s="6">
        <f>VLOOKUP(B964, 'All Menu'!B:L, 9, 0)</f>
        <v>3.3204440952380945</v>
      </c>
      <c r="Q964" s="14">
        <f>VLOOKUP(B964, 'All Menu'!B:M, 12, 0)</f>
        <v>0.50933564962086764</v>
      </c>
      <c r="R964" s="173">
        <f t="shared" si="58"/>
        <v>0</v>
      </c>
    </row>
    <row r="965" spans="1:18" ht="14" hidden="1">
      <c r="A965" s="78" t="s">
        <v>2572</v>
      </c>
      <c r="B965" s="220" t="s">
        <v>1317</v>
      </c>
      <c r="C965" s="185"/>
      <c r="D965" s="30" t="str">
        <f>VLOOKUP(B965, 'All Menu'!B:M, 4, 0)</f>
        <v>سباغيتي بولونيز</v>
      </c>
      <c r="E965" s="30" t="str">
        <f>VLOOKUP(B965, 'All Menu'!B:M, 2, 0)</f>
        <v>قسم الصالة</v>
      </c>
      <c r="F965" s="103" t="str">
        <f>VLOOKUP(B965, 'All Menu'!B:M, 3, 0)</f>
        <v>باستا صالة</v>
      </c>
      <c r="G965" s="90" t="s">
        <v>2220</v>
      </c>
      <c r="H965" s="221">
        <v>4236</v>
      </c>
      <c r="I965" s="110" t="str">
        <f>VLOOKUP(H965, 'RM &amp; SF'!B:H, 2, 0)</f>
        <v>بصل ناعم*****</v>
      </c>
      <c r="J965" s="184" t="str">
        <f>VLOOKUP(H965, 'RM &amp; SF'!B:E, 4, 0)</f>
        <v>غم</v>
      </c>
      <c r="K965" s="22">
        <v>75</v>
      </c>
      <c r="L965" s="13">
        <f>VLOOKUP(H965, 'RM &amp; SF'!B:H, 7, 0)</f>
        <v>2.3709999999999998E-3</v>
      </c>
      <c r="M965" s="15">
        <f t="shared" si="57"/>
        <v>0.17782499999999998</v>
      </c>
      <c r="N965" s="21" t="s">
        <v>825</v>
      </c>
      <c r="O965" s="4">
        <f>VLOOKUP(B965, 'All Menu'!B:L, 6, 0)</f>
        <v>6.7672413793103452</v>
      </c>
      <c r="P965" s="6">
        <f>VLOOKUP(B965, 'All Menu'!B:L, 9, 0)</f>
        <v>3.3204440952380945</v>
      </c>
      <c r="Q965" s="14">
        <f>VLOOKUP(B965, 'All Menu'!B:M, 12, 0)</f>
        <v>0.50933564962086764</v>
      </c>
      <c r="R965" s="173">
        <f t="shared" si="58"/>
        <v>0</v>
      </c>
    </row>
    <row r="966" spans="1:18" ht="14" hidden="1">
      <c r="A966" s="78" t="s">
        <v>2572</v>
      </c>
      <c r="B966" s="220" t="s">
        <v>1317</v>
      </c>
      <c r="C966" s="185"/>
      <c r="D966" s="30" t="str">
        <f>VLOOKUP(B966, 'All Menu'!B:M, 4, 0)</f>
        <v>سباغيتي بولونيز</v>
      </c>
      <c r="E966" s="30" t="str">
        <f>VLOOKUP(B966, 'All Menu'!B:M, 2, 0)</f>
        <v>قسم الصالة</v>
      </c>
      <c r="F966" s="103" t="str">
        <f>VLOOKUP(B966, 'All Menu'!B:M, 3, 0)</f>
        <v>باستا صالة</v>
      </c>
      <c r="G966" s="90" t="s">
        <v>3058</v>
      </c>
      <c r="H966" s="225" t="s">
        <v>347</v>
      </c>
      <c r="I966" s="110" t="str">
        <f>VLOOKUP(H966, 'RM &amp; SF'!B:H, 2, 0)</f>
        <v>كرافس</v>
      </c>
      <c r="J966" s="184" t="str">
        <f>VLOOKUP(H966, 'RM &amp; SF'!B:E, 4, 0)</f>
        <v>غم</v>
      </c>
      <c r="K966" s="22">
        <v>25</v>
      </c>
      <c r="L966" s="13">
        <f>VLOOKUP(H966, 'RM &amp; SF'!B:H, 7, 0)</f>
        <v>8.0000000000000002E-3</v>
      </c>
      <c r="M966" s="15">
        <f t="shared" si="57"/>
        <v>0.2</v>
      </c>
      <c r="N966" s="21" t="s">
        <v>825</v>
      </c>
      <c r="O966" s="4">
        <f>VLOOKUP(B966, 'All Menu'!B:L, 6, 0)</f>
        <v>6.7672413793103452</v>
      </c>
      <c r="P966" s="6">
        <f>VLOOKUP(B966, 'All Menu'!B:L, 9, 0)</f>
        <v>3.3204440952380945</v>
      </c>
      <c r="Q966" s="14">
        <f>VLOOKUP(B966, 'All Menu'!B:M, 12, 0)</f>
        <v>0.50933564962086764</v>
      </c>
      <c r="R966" s="173">
        <f t="shared" si="58"/>
        <v>0</v>
      </c>
    </row>
    <row r="967" spans="1:18" ht="14" hidden="1">
      <c r="A967" s="78" t="s">
        <v>2572</v>
      </c>
      <c r="B967" s="220" t="s">
        <v>1317</v>
      </c>
      <c r="C967" s="185"/>
      <c r="D967" s="30" t="str">
        <f>VLOOKUP(B967, 'All Menu'!B:M, 4, 0)</f>
        <v>سباغيتي بولونيز</v>
      </c>
      <c r="E967" s="30" t="str">
        <f>VLOOKUP(B967, 'All Menu'!B:M, 2, 0)</f>
        <v>قسم الصالة</v>
      </c>
      <c r="F967" s="103" t="str">
        <f>VLOOKUP(B967, 'All Menu'!B:M, 3, 0)</f>
        <v>باستا صالة</v>
      </c>
      <c r="G967" s="90" t="s">
        <v>2221</v>
      </c>
      <c r="H967" s="221">
        <v>4237</v>
      </c>
      <c r="I967" s="110" t="str">
        <f>VLOOKUP(H967, 'RM &amp; SF'!B:H, 2, 0)</f>
        <v>ثوم ناعم*****</v>
      </c>
      <c r="J967" s="184" t="str">
        <f>VLOOKUP(H967, 'RM &amp; SF'!B:E, 4, 0)</f>
        <v>غم</v>
      </c>
      <c r="K967" s="22">
        <v>5</v>
      </c>
      <c r="L967" s="13">
        <f>VLOOKUP(H967, 'RM &amp; SF'!B:H, 7, 0)</f>
        <v>2.3709999999999998E-3</v>
      </c>
      <c r="M967" s="15">
        <f t="shared" si="57"/>
        <v>1.1854999999999999E-2</v>
      </c>
      <c r="N967" s="21" t="s">
        <v>825</v>
      </c>
      <c r="O967" s="4">
        <f>VLOOKUP(B967, 'All Menu'!B:L, 6, 0)</f>
        <v>6.7672413793103452</v>
      </c>
      <c r="P967" s="6">
        <f>VLOOKUP(B967, 'All Menu'!B:L, 9, 0)</f>
        <v>3.3204440952380945</v>
      </c>
      <c r="Q967" s="14">
        <f>VLOOKUP(B967, 'All Menu'!B:M, 12, 0)</f>
        <v>0.50933564962086764</v>
      </c>
      <c r="R967" s="173">
        <f t="shared" si="58"/>
        <v>0</v>
      </c>
    </row>
    <row r="968" spans="1:18" ht="14" hidden="1">
      <c r="A968" s="78" t="s">
        <v>2572</v>
      </c>
      <c r="B968" s="220" t="s">
        <v>1317</v>
      </c>
      <c r="C968" s="185"/>
      <c r="D968" s="30" t="str">
        <f>VLOOKUP(B968, 'All Menu'!B:M, 4, 0)</f>
        <v>سباغيتي بولونيز</v>
      </c>
      <c r="E968" s="30" t="str">
        <f>VLOOKUP(B968, 'All Menu'!B:M, 2, 0)</f>
        <v>قسم الصالة</v>
      </c>
      <c r="F968" s="103" t="str">
        <f>VLOOKUP(B968, 'All Menu'!B:M, 3, 0)</f>
        <v>باستا صالة</v>
      </c>
      <c r="G968" s="90" t="s">
        <v>3058</v>
      </c>
      <c r="H968" s="188">
        <v>5398</v>
      </c>
      <c r="I968" s="110" t="str">
        <f>VLOOKUP(H968, 'RM &amp; SF'!B:H, 2, 0)</f>
        <v xml:space="preserve">فيليه </v>
      </c>
      <c r="J968" s="184" t="str">
        <f>VLOOKUP(H968, 'RM &amp; SF'!B:E, 4, 0)</f>
        <v>غم</v>
      </c>
      <c r="K968" s="22">
        <v>100</v>
      </c>
      <c r="L968" s="13">
        <f>VLOOKUP(H968, 'RM &amp; SF'!B:H, 7, 0)</f>
        <v>2.1499999999999998E-2</v>
      </c>
      <c r="M968" s="15">
        <f t="shared" si="57"/>
        <v>2.15</v>
      </c>
      <c r="N968" s="21" t="s">
        <v>825</v>
      </c>
      <c r="O968" s="4">
        <f>VLOOKUP(B968, 'All Menu'!B:L, 6, 0)</f>
        <v>6.7672413793103452</v>
      </c>
      <c r="P968" s="6">
        <f>VLOOKUP(B968, 'All Menu'!B:L, 9, 0)</f>
        <v>3.3204440952380945</v>
      </c>
      <c r="Q968" s="14">
        <f>VLOOKUP(B968, 'All Menu'!B:M, 12, 0)</f>
        <v>0.50933564962086764</v>
      </c>
      <c r="R968" s="173">
        <f t="shared" si="58"/>
        <v>0</v>
      </c>
    </row>
    <row r="969" spans="1:18" ht="14" hidden="1">
      <c r="A969" s="78" t="s">
        <v>2572</v>
      </c>
      <c r="B969" s="220" t="s">
        <v>1317</v>
      </c>
      <c r="C969" s="185"/>
      <c r="D969" s="30" t="str">
        <f>VLOOKUP(B969, 'All Menu'!B:M, 4, 0)</f>
        <v>سباغيتي بولونيز</v>
      </c>
      <c r="E969" s="30" t="str">
        <f>VLOOKUP(B969, 'All Menu'!B:M, 2, 0)</f>
        <v>قسم الصالة</v>
      </c>
      <c r="F969" s="103" t="str">
        <f>VLOOKUP(B969, 'All Menu'!B:M, 3, 0)</f>
        <v>باستا صالة</v>
      </c>
      <c r="G969" s="90" t="s">
        <v>2238</v>
      </c>
      <c r="H969" s="221">
        <v>4509</v>
      </c>
      <c r="I969" s="110" t="str">
        <f>VLOOKUP(H969, 'RM &amp; SF'!B:H, 2, 0)</f>
        <v>جزر*****</v>
      </c>
      <c r="J969" s="184" t="str">
        <f>VLOOKUP(H969, 'RM &amp; SF'!B:E, 4, 0)</f>
        <v>غم</v>
      </c>
      <c r="K969" s="22">
        <v>70</v>
      </c>
      <c r="L969" s="13">
        <f>VLOOKUP(H969, 'RM &amp; SF'!B:H, 7, 0)</f>
        <v>5.5000000000000003E-4</v>
      </c>
      <c r="M969" s="15">
        <f t="shared" si="57"/>
        <v>3.85E-2</v>
      </c>
      <c r="N969" s="21" t="s">
        <v>825</v>
      </c>
      <c r="O969" s="4">
        <f>VLOOKUP(B969, 'All Menu'!B:L, 6, 0)</f>
        <v>6.7672413793103452</v>
      </c>
      <c r="P969" s="6">
        <f>VLOOKUP(B969, 'All Menu'!B:L, 9, 0)</f>
        <v>3.3204440952380945</v>
      </c>
      <c r="Q969" s="14">
        <f>VLOOKUP(B969, 'All Menu'!B:M, 12, 0)</f>
        <v>0.50933564962086764</v>
      </c>
      <c r="R969" s="173">
        <f t="shared" si="58"/>
        <v>0</v>
      </c>
    </row>
    <row r="970" spans="1:18" ht="14" hidden="1">
      <c r="A970" s="78" t="s">
        <v>2572</v>
      </c>
      <c r="B970" s="220" t="s">
        <v>1317</v>
      </c>
      <c r="C970" s="185"/>
      <c r="D970" s="30" t="str">
        <f>VLOOKUP(B970, 'All Menu'!B:M, 4, 0)</f>
        <v>سباغيتي بولونيز</v>
      </c>
      <c r="E970" s="30" t="str">
        <f>VLOOKUP(B970, 'All Menu'!B:M, 2, 0)</f>
        <v>قسم الصالة</v>
      </c>
      <c r="F970" s="103" t="str">
        <f>VLOOKUP(B970, 'All Menu'!B:M, 3, 0)</f>
        <v>باستا صالة</v>
      </c>
      <c r="G970" s="90" t="s">
        <v>2309</v>
      </c>
      <c r="H970" s="221">
        <v>4491</v>
      </c>
      <c r="I970" s="110" t="str">
        <f>VLOOKUP(H970, 'RM &amp; SF'!B:H, 2, 0)</f>
        <v>بندورة جامدة*****</v>
      </c>
      <c r="J970" s="184" t="str">
        <f>VLOOKUP(H970, 'RM &amp; SF'!B:E, 4, 0)</f>
        <v>غم</v>
      </c>
      <c r="K970" s="22">
        <v>270</v>
      </c>
      <c r="L970" s="13">
        <f>VLOOKUP(H970, 'RM &amp; SF'!B:H, 7, 0)</f>
        <v>5.0000000000000001E-4</v>
      </c>
      <c r="M970" s="15">
        <f t="shared" si="57"/>
        <v>0.13500000000000001</v>
      </c>
      <c r="N970" s="21" t="s">
        <v>825</v>
      </c>
      <c r="O970" s="4">
        <f>VLOOKUP(B970, 'All Menu'!B:L, 6, 0)</f>
        <v>6.7672413793103452</v>
      </c>
      <c r="P970" s="6">
        <f>VLOOKUP(B970, 'All Menu'!B:L, 9, 0)</f>
        <v>3.3204440952380945</v>
      </c>
      <c r="Q970" s="14">
        <f>VLOOKUP(B970, 'All Menu'!B:M, 12, 0)</f>
        <v>0.50933564962086764</v>
      </c>
      <c r="R970" s="173">
        <f t="shared" si="58"/>
        <v>0</v>
      </c>
    </row>
    <row r="971" spans="1:18" ht="14" hidden="1">
      <c r="A971" s="78" t="s">
        <v>2572</v>
      </c>
      <c r="B971" s="220" t="s">
        <v>1317</v>
      </c>
      <c r="C971" s="185"/>
      <c r="D971" s="30" t="str">
        <f>VLOOKUP(B971, 'All Menu'!B:M, 4, 0)</f>
        <v>سباغيتي بولونيز</v>
      </c>
      <c r="E971" s="30" t="str">
        <f>VLOOKUP(B971, 'All Menu'!B:M, 2, 0)</f>
        <v>قسم الصالة</v>
      </c>
      <c r="F971" s="103" t="str">
        <f>VLOOKUP(B971, 'All Menu'!B:M, 3, 0)</f>
        <v>باستا صالة</v>
      </c>
      <c r="G971" s="90" t="s">
        <v>2203</v>
      </c>
      <c r="H971" s="221">
        <v>4152</v>
      </c>
      <c r="I971" s="110" t="str">
        <f>VLOOKUP(H971, 'RM &amp; SF'!B:H, 2, 0)</f>
        <v>ملح طعام 750غم*****</v>
      </c>
      <c r="J971" s="184" t="str">
        <f>VLOOKUP(H971, 'RM &amp; SF'!B:E, 4, 0)</f>
        <v>غم</v>
      </c>
      <c r="K971" s="22">
        <v>5</v>
      </c>
      <c r="L971" s="13">
        <f>VLOOKUP(H971, 'RM &amp; SF'!B:H, 7, 0)</f>
        <v>1.7066666666666665E-4</v>
      </c>
      <c r="M971" s="15">
        <f t="shared" si="57"/>
        <v>8.5333333333333322E-4</v>
      </c>
      <c r="N971" s="21" t="s">
        <v>825</v>
      </c>
      <c r="O971" s="4">
        <f>VLOOKUP(B971, 'All Menu'!B:L, 6, 0)</f>
        <v>6.7672413793103452</v>
      </c>
      <c r="P971" s="6">
        <f>VLOOKUP(B971, 'All Menu'!B:L, 9, 0)</f>
        <v>3.3204440952380945</v>
      </c>
      <c r="Q971" s="14">
        <f>VLOOKUP(B971, 'All Menu'!B:M, 12, 0)</f>
        <v>0.50933564962086764</v>
      </c>
      <c r="R971" s="173">
        <f t="shared" si="58"/>
        <v>0</v>
      </c>
    </row>
    <row r="972" spans="1:18" ht="14" hidden="1">
      <c r="A972" s="78" t="s">
        <v>2572</v>
      </c>
      <c r="B972" s="220" t="s">
        <v>1317</v>
      </c>
      <c r="C972" s="185"/>
      <c r="D972" s="30" t="str">
        <f>VLOOKUP(B972, 'All Menu'!B:M, 4, 0)</f>
        <v>سباغيتي بولونيز</v>
      </c>
      <c r="E972" s="30" t="str">
        <f>VLOOKUP(B972, 'All Menu'!B:M, 2, 0)</f>
        <v>قسم الصالة</v>
      </c>
      <c r="F972" s="103" t="str">
        <f>VLOOKUP(B972, 'All Menu'!B:M, 3, 0)</f>
        <v>باستا صالة</v>
      </c>
      <c r="G972" s="90" t="s">
        <v>2206</v>
      </c>
      <c r="H972" s="221">
        <v>4204</v>
      </c>
      <c r="I972" s="110" t="str">
        <f>VLOOKUP(H972, 'RM &amp; SF'!B:H, 2, 0)</f>
        <v>فلفل اسود ناعم*****</v>
      </c>
      <c r="J972" s="184" t="str">
        <f>VLOOKUP(H972, 'RM &amp; SF'!B:E, 4, 0)</f>
        <v>غم</v>
      </c>
      <c r="K972" s="22">
        <v>2</v>
      </c>
      <c r="L972" s="13">
        <f>VLOOKUP(H972, 'RM &amp; SF'!B:H, 7, 0)</f>
        <v>6.8970000000000004E-3</v>
      </c>
      <c r="M972" s="15">
        <f t="shared" si="57"/>
        <v>1.3794000000000001E-2</v>
      </c>
      <c r="N972" s="21" t="s">
        <v>825</v>
      </c>
      <c r="O972" s="4">
        <f>VLOOKUP(B972, 'All Menu'!B:L, 6, 0)</f>
        <v>6.7672413793103452</v>
      </c>
      <c r="P972" s="6">
        <f>VLOOKUP(B972, 'All Menu'!B:L, 9, 0)</f>
        <v>3.3204440952380945</v>
      </c>
      <c r="Q972" s="14">
        <f>VLOOKUP(B972, 'All Menu'!B:M, 12, 0)</f>
        <v>0.50933564962086764</v>
      </c>
      <c r="R972" s="173">
        <f t="shared" si="58"/>
        <v>0</v>
      </c>
    </row>
    <row r="973" spans="1:18" ht="14" hidden="1">
      <c r="A973" s="78" t="s">
        <v>2572</v>
      </c>
      <c r="B973" s="220" t="s">
        <v>1317</v>
      </c>
      <c r="C973" s="185"/>
      <c r="D973" s="30" t="str">
        <f>VLOOKUP(B973, 'All Menu'!B:M, 4, 0)</f>
        <v>سباغيتي بولونيز</v>
      </c>
      <c r="E973" s="30" t="str">
        <f>VLOOKUP(B973, 'All Menu'!B:M, 2, 0)</f>
        <v>قسم الصالة</v>
      </c>
      <c r="F973" s="103" t="str">
        <f>VLOOKUP(B973, 'All Menu'!B:M, 3, 0)</f>
        <v>باستا صالة</v>
      </c>
      <c r="G973" s="90" t="s">
        <v>2287</v>
      </c>
      <c r="H973" s="221">
        <v>4216</v>
      </c>
      <c r="I973" s="110" t="str">
        <f>VLOOKUP(H973, 'RM &amp; SF'!B:H, 2, 0)</f>
        <v>زعتر اوريجانو*****</v>
      </c>
      <c r="J973" s="184" t="str">
        <f>VLOOKUP(H973, 'RM &amp; SF'!B:E, 4, 0)</f>
        <v>غم</v>
      </c>
      <c r="K973" s="22">
        <v>3</v>
      </c>
      <c r="L973" s="13">
        <f>VLOOKUP(H973, 'RM &amp; SF'!B:H, 7, 0)</f>
        <v>7.8429999999999993E-3</v>
      </c>
      <c r="M973" s="15">
        <f t="shared" si="57"/>
        <v>2.3528999999999998E-2</v>
      </c>
      <c r="N973" s="21" t="s">
        <v>825</v>
      </c>
      <c r="O973" s="4">
        <f>VLOOKUP(B973, 'All Menu'!B:L, 6, 0)</f>
        <v>6.7672413793103452</v>
      </c>
      <c r="P973" s="6">
        <f>VLOOKUP(B973, 'All Menu'!B:L, 9, 0)</f>
        <v>3.3204440952380945</v>
      </c>
      <c r="Q973" s="14">
        <f>VLOOKUP(B973, 'All Menu'!B:M, 12, 0)</f>
        <v>0.50933564962086764</v>
      </c>
      <c r="R973" s="173">
        <f t="shared" si="58"/>
        <v>0</v>
      </c>
    </row>
    <row r="974" spans="1:18" ht="14" hidden="1">
      <c r="A974" s="78" t="s">
        <v>2572</v>
      </c>
      <c r="B974" s="220" t="s">
        <v>1317</v>
      </c>
      <c r="C974" s="185"/>
      <c r="D974" s="30" t="str">
        <f>VLOOKUP(B974, 'All Menu'!B:M, 4, 0)</f>
        <v>سباغيتي بولونيز</v>
      </c>
      <c r="E974" s="30" t="str">
        <f>VLOOKUP(B974, 'All Menu'!B:M, 2, 0)</f>
        <v>قسم الصالة</v>
      </c>
      <c r="F974" s="103" t="str">
        <f>VLOOKUP(B974, 'All Menu'!B:M, 3, 0)</f>
        <v>باستا صالة</v>
      </c>
      <c r="G974" s="90" t="s">
        <v>2251</v>
      </c>
      <c r="H974" s="221">
        <v>4544</v>
      </c>
      <c r="I974" s="110" t="str">
        <f>VLOOKUP(H974, 'RM &amp; SF'!B:H, 2, 0)</f>
        <v>بقدونس*****</v>
      </c>
      <c r="J974" s="184" t="str">
        <f>VLOOKUP(H974, 'RM &amp; SF'!B:E, 4, 0)</f>
        <v>غم</v>
      </c>
      <c r="K974" s="12">
        <v>20</v>
      </c>
      <c r="L974" s="13">
        <f>VLOOKUP(H974, 'RM &amp; SF'!B:H, 7, 0)</f>
        <v>7.5000000000000002E-4</v>
      </c>
      <c r="M974" s="15">
        <f t="shared" si="57"/>
        <v>1.4999999999999999E-2</v>
      </c>
      <c r="N974" s="21" t="s">
        <v>825</v>
      </c>
      <c r="O974" s="4">
        <f>VLOOKUP(B974, 'All Menu'!B:L, 6, 0)</f>
        <v>6.7672413793103452</v>
      </c>
      <c r="P974" s="6">
        <f>VLOOKUP(B974, 'All Menu'!B:L, 9, 0)</f>
        <v>3.3204440952380945</v>
      </c>
      <c r="Q974" s="14">
        <f>VLOOKUP(B974, 'All Menu'!B:M, 12, 0)</f>
        <v>0.50933564962086764</v>
      </c>
      <c r="R974" s="173">
        <f t="shared" si="58"/>
        <v>0</v>
      </c>
    </row>
    <row r="975" spans="1:18" ht="14" hidden="1">
      <c r="A975" s="78" t="s">
        <v>2572</v>
      </c>
      <c r="B975" s="220" t="s">
        <v>1317</v>
      </c>
      <c r="C975" s="185"/>
      <c r="D975" s="30" t="str">
        <f>VLOOKUP(B975, 'All Menu'!B:M, 4, 0)</f>
        <v>سباغيتي بولونيز</v>
      </c>
      <c r="E975" s="30" t="str">
        <f>VLOOKUP(B975, 'All Menu'!B:M, 2, 0)</f>
        <v>قسم الصالة</v>
      </c>
      <c r="F975" s="103" t="str">
        <f>VLOOKUP(B975, 'All Menu'!B:M, 3, 0)</f>
        <v>باستا صالة</v>
      </c>
      <c r="G975" s="90" t="s">
        <v>2288</v>
      </c>
      <c r="H975" s="221">
        <v>4219</v>
      </c>
      <c r="I975" s="110" t="str">
        <f>VLOOKUP(H975, 'RM &amp; SF'!B:H, 2, 0)</f>
        <v>بابريكا حلوة*****</v>
      </c>
      <c r="J975" s="184" t="str">
        <f>VLOOKUP(H975, 'RM &amp; SF'!B:E, 4, 0)</f>
        <v>غم</v>
      </c>
      <c r="K975" s="22">
        <v>3</v>
      </c>
      <c r="L975" s="13">
        <f>VLOOKUP(H975, 'RM &amp; SF'!B:H, 7, 0)</f>
        <v>2.5859999999999998E-3</v>
      </c>
      <c r="M975" s="15">
        <f t="shared" si="57"/>
        <v>7.7579999999999993E-3</v>
      </c>
      <c r="N975" s="21" t="s">
        <v>825</v>
      </c>
      <c r="O975" s="4">
        <f>VLOOKUP(B975, 'All Menu'!B:L, 6, 0)</f>
        <v>6.7672413793103452</v>
      </c>
      <c r="P975" s="6">
        <f>VLOOKUP(B975, 'All Menu'!B:L, 9, 0)</f>
        <v>3.3204440952380945</v>
      </c>
      <c r="Q975" s="14">
        <f>VLOOKUP(B975, 'All Menu'!B:M, 12, 0)</f>
        <v>0.50933564962086764</v>
      </c>
      <c r="R975" s="173">
        <f t="shared" si="58"/>
        <v>0</v>
      </c>
    </row>
    <row r="976" spans="1:18" ht="14" hidden="1">
      <c r="A976" s="78" t="s">
        <v>2572</v>
      </c>
      <c r="B976" s="220" t="s">
        <v>1317</v>
      </c>
      <c r="C976" s="185"/>
      <c r="D976" s="30" t="str">
        <f>VLOOKUP(B976, 'All Menu'!B:M, 4, 0)</f>
        <v>سباغيتي بولونيز</v>
      </c>
      <c r="E976" s="30" t="str">
        <f>VLOOKUP(B976, 'All Menu'!B:M, 2, 0)</f>
        <v>قسم الصالة</v>
      </c>
      <c r="F976" s="103" t="str">
        <f>VLOOKUP(B976, 'All Menu'!B:M, 3, 0)</f>
        <v>باستا صالة</v>
      </c>
      <c r="G976" s="90" t="s">
        <v>3058</v>
      </c>
      <c r="H976" s="221">
        <v>5384</v>
      </c>
      <c r="I976" s="110" t="str">
        <f>VLOOKUP(H976, 'RM &amp; SF'!B:H, 2, 0)</f>
        <v>معكرونة اسباغتي</v>
      </c>
      <c r="J976" s="184" t="str">
        <f>VLOOKUP(H976, 'RM &amp; SF'!B:E, 4, 0)</f>
        <v>غم</v>
      </c>
      <c r="K976" s="22">
        <v>200</v>
      </c>
      <c r="L976" s="13">
        <f>VLOOKUP(H976, 'RM &amp; SF'!B:H, 7, 0)</f>
        <v>1.8095238095238095E-3</v>
      </c>
      <c r="M976" s="15">
        <f t="shared" si="57"/>
        <v>0.3619047619047619</v>
      </c>
      <c r="N976" s="21" t="s">
        <v>825</v>
      </c>
      <c r="O976" s="4">
        <f>VLOOKUP(B976, 'All Menu'!B:L, 6, 0)</f>
        <v>6.7672413793103452</v>
      </c>
      <c r="P976" s="6">
        <f>VLOOKUP(B976, 'All Menu'!B:L, 9, 0)</f>
        <v>3.3204440952380945</v>
      </c>
      <c r="Q976" s="14">
        <f>VLOOKUP(B976, 'All Menu'!B:M, 12, 0)</f>
        <v>0.50933564962086764</v>
      </c>
      <c r="R976" s="173">
        <f t="shared" si="58"/>
        <v>0</v>
      </c>
    </row>
    <row r="977" spans="1:18" ht="14" hidden="1">
      <c r="A977" s="78" t="s">
        <v>2572</v>
      </c>
      <c r="B977" s="220" t="s">
        <v>1317</v>
      </c>
      <c r="C977" s="185"/>
      <c r="D977" s="30" t="str">
        <f>VLOOKUP(B977, 'All Menu'!B:M, 4, 0)</f>
        <v>سباغيتي بولونيز</v>
      </c>
      <c r="E977" s="30" t="str">
        <f>VLOOKUP(B977, 'All Menu'!B:M, 2, 0)</f>
        <v>قسم الصالة</v>
      </c>
      <c r="F977" s="103" t="str">
        <f>VLOOKUP(B977, 'All Menu'!B:M, 3, 0)</f>
        <v>باستا صالة</v>
      </c>
      <c r="G977" s="90" t="s">
        <v>2179</v>
      </c>
      <c r="H977" s="221">
        <v>4560</v>
      </c>
      <c r="I977" s="110" t="str">
        <f>VLOOKUP(H977, 'RM &amp; SF'!B:H, 2, 0)</f>
        <v>جبنة بارميزان قالب*****</v>
      </c>
      <c r="J977" s="184" t="str">
        <f>VLOOKUP(H977, 'RM &amp; SF'!B:E, 4, 0)</f>
        <v>غم</v>
      </c>
      <c r="K977" s="22">
        <v>15</v>
      </c>
      <c r="L977" s="13">
        <f>VLOOKUP(H977, 'RM &amp; SF'!B:H, 7, 0)</f>
        <v>6.5100000000000002E-3</v>
      </c>
      <c r="M977" s="15">
        <f t="shared" si="57"/>
        <v>9.7650000000000001E-2</v>
      </c>
      <c r="N977" s="21" t="s">
        <v>825</v>
      </c>
      <c r="O977" s="4">
        <f>VLOOKUP(B977, 'All Menu'!B:L, 6, 0)</f>
        <v>6.7672413793103452</v>
      </c>
      <c r="P977" s="6">
        <f>VLOOKUP(B977, 'All Menu'!B:L, 9, 0)</f>
        <v>3.3204440952380945</v>
      </c>
      <c r="Q977" s="14">
        <f>VLOOKUP(B977, 'All Menu'!B:M, 12, 0)</f>
        <v>0.50933564962086764</v>
      </c>
      <c r="R977" s="173">
        <f t="shared" si="58"/>
        <v>0</v>
      </c>
    </row>
    <row r="978" spans="1:18" ht="14" hidden="1">
      <c r="A978" s="78" t="s">
        <v>2591</v>
      </c>
      <c r="B978" s="220" t="s">
        <v>1321</v>
      </c>
      <c r="C978" s="185"/>
      <c r="D978" s="103" t="str">
        <f>VLOOKUP(B978, 'All Menu'!B:M, 4, 0)</f>
        <v>شوربة كريمي</v>
      </c>
      <c r="E978" s="30" t="str">
        <f>VLOOKUP(B978, 'All Menu'!B:M, 2, 0)</f>
        <v>قسم الصالة</v>
      </c>
      <c r="F978" s="103" t="str">
        <f>VLOOKUP(B978, 'All Menu'!B:M, 3, 0)</f>
        <v>شوربات صالة</v>
      </c>
      <c r="G978" s="90" t="s">
        <v>2375</v>
      </c>
      <c r="H978" s="219" t="s">
        <v>792</v>
      </c>
      <c r="I978" s="110" t="str">
        <f>VLOOKUP(H978, 'RM &amp; SF'!B:H, 2, 0)</f>
        <v>شوربة فريكة</v>
      </c>
      <c r="J978" s="184" t="str">
        <f>VLOOKUP(H978, 'RM &amp; SF'!B:E, 4, 0)</f>
        <v>غم</v>
      </c>
      <c r="K978" s="22">
        <v>250</v>
      </c>
      <c r="L978" s="13">
        <f>VLOOKUP(H978, 'RM &amp; SF'!B:H, 7, 0)</f>
        <v>9.27866832183908E-4</v>
      </c>
      <c r="M978" s="15">
        <f t="shared" si="57"/>
        <v>0.23196670804597699</v>
      </c>
      <c r="N978" s="21" t="s">
        <v>825</v>
      </c>
      <c r="O978" s="4">
        <f>VLOOKUP(B978, 'All Menu'!B:L, 6, 0)</f>
        <v>2.3706896551724141</v>
      </c>
      <c r="P978" s="6">
        <f>VLOOKUP(B978, 'All Menu'!B:L, 9, 0)</f>
        <v>0.23196670804597699</v>
      </c>
      <c r="Q978" s="14">
        <f>VLOOKUP(B978, 'All Menu'!B:M, 12, 0)</f>
        <v>0.90215222496969705</v>
      </c>
      <c r="R978" s="173">
        <f t="shared" si="58"/>
        <v>0</v>
      </c>
    </row>
    <row r="979" spans="1:18" ht="14" hidden="1">
      <c r="A979" s="78" t="s">
        <v>2586</v>
      </c>
      <c r="B979" s="220" t="s">
        <v>1883</v>
      </c>
      <c r="C979" s="185"/>
      <c r="D979" s="103" t="str">
        <f>VLOOKUP(B979, 'All Menu'!B:M, 4, 0)</f>
        <v>تبولة رمان</v>
      </c>
      <c r="E979" s="30" t="str">
        <f>VLOOKUP(B979, 'All Menu'!B:M, 2, 0)</f>
        <v>قسم الصالة</v>
      </c>
      <c r="F979" s="103" t="str">
        <f>VLOOKUP(B979, 'All Menu'!B:M, 3, 0)</f>
        <v>سلطات صالة</v>
      </c>
      <c r="G979" s="90" t="s">
        <v>2443</v>
      </c>
      <c r="H979" s="219" t="s">
        <v>664</v>
      </c>
      <c r="I979" s="110" t="str">
        <f>VLOOKUP(H979, 'RM &amp; SF'!B:H, 2, 0)</f>
        <v xml:space="preserve">ضربة تبولة </v>
      </c>
      <c r="J979" s="184" t="str">
        <f>VLOOKUP(H979, 'RM &amp; SF'!B:E, 4, 0)</f>
        <v>غم</v>
      </c>
      <c r="K979" s="12">
        <v>5</v>
      </c>
      <c r="L979" s="13">
        <f>VLOOKUP(H979, 'RM &amp; SF'!B:H, 7, 0)</f>
        <v>1.9595000000000002E-4</v>
      </c>
      <c r="M979" s="7">
        <f t="shared" si="57"/>
        <v>9.7975000000000015E-4</v>
      </c>
      <c r="N979" s="4" t="s">
        <v>825</v>
      </c>
      <c r="O979" s="4">
        <f>VLOOKUP(B979, 'All Menu'!B:L, 6, 0)</f>
        <v>3.4051724137931036</v>
      </c>
      <c r="P979" s="6">
        <f>VLOOKUP(B979, 'All Menu'!B:L, 9, 0)</f>
        <v>8.847975000000001E-2</v>
      </c>
      <c r="Q979" s="14">
        <f>VLOOKUP(B979, 'All Menu'!B:M, 12, 0)</f>
        <v>0.97401607341772156</v>
      </c>
      <c r="R979" s="173">
        <f t="shared" si="58"/>
        <v>0</v>
      </c>
    </row>
    <row r="980" spans="1:18" ht="14" hidden="1">
      <c r="A980" s="78" t="s">
        <v>2586</v>
      </c>
      <c r="B980" s="220" t="s">
        <v>1883</v>
      </c>
      <c r="C980" s="185"/>
      <c r="D980" s="103" t="str">
        <f>VLOOKUP(B980, 'All Menu'!B:M, 4, 0)</f>
        <v>تبولة رمان</v>
      </c>
      <c r="E980" s="30" t="str">
        <f>VLOOKUP(B980, 'All Menu'!B:M, 2, 0)</f>
        <v>قسم الصالة</v>
      </c>
      <c r="F980" s="103" t="str">
        <f>VLOOKUP(B980, 'All Menu'!B:M, 3, 0)</f>
        <v>سلطات صالة</v>
      </c>
      <c r="G980" s="90" t="s">
        <v>2244</v>
      </c>
      <c r="H980" s="188">
        <v>4522</v>
      </c>
      <c r="I980" s="110" t="str">
        <f>VLOOKUP(H980, 'RM &amp; SF'!B:H, 2, 0)</f>
        <v>رمان*****</v>
      </c>
      <c r="J980" s="184" t="str">
        <f>VLOOKUP(H980, 'RM &amp; SF'!B:E, 4, 0)</f>
        <v>غم</v>
      </c>
      <c r="K980" s="12">
        <v>50</v>
      </c>
      <c r="L980" s="13">
        <f>VLOOKUP(H980, 'RM &amp; SF'!B:H, 7, 0)</f>
        <v>1.75E-3</v>
      </c>
      <c r="M980" s="7">
        <f t="shared" ref="M980:M1016" si="61">L980*K980</f>
        <v>8.7500000000000008E-2</v>
      </c>
      <c r="N980" s="4" t="s">
        <v>825</v>
      </c>
      <c r="O980" s="4">
        <f>VLOOKUP(B980, 'All Menu'!B:L, 6, 0)</f>
        <v>3.4051724137931036</v>
      </c>
      <c r="P980" s="6">
        <f>VLOOKUP(B980, 'All Menu'!B:L, 9, 0)</f>
        <v>8.847975000000001E-2</v>
      </c>
      <c r="Q980" s="14">
        <f>VLOOKUP(B980, 'All Menu'!B:M, 12, 0)</f>
        <v>0.97401607341772156</v>
      </c>
      <c r="R980" s="173">
        <f t="shared" si="58"/>
        <v>0</v>
      </c>
    </row>
    <row r="981" spans="1:18" ht="14" hidden="1">
      <c r="A981" s="78" t="s">
        <v>2587</v>
      </c>
      <c r="B981" s="220" t="s">
        <v>1885</v>
      </c>
      <c r="C981" s="185"/>
      <c r="D981" s="103" t="str">
        <f>VLOOKUP(B981, 'All Menu'!B:M, 4, 0)</f>
        <v>سلطة بطحينية</v>
      </c>
      <c r="E981" s="30" t="str">
        <f>VLOOKUP(B981, 'All Menu'!B:M, 2, 0)</f>
        <v>قسم الصالة</v>
      </c>
      <c r="F981" s="103" t="str">
        <f>VLOOKUP(B981, 'All Menu'!B:M, 3, 0)</f>
        <v>سلطات صالة</v>
      </c>
      <c r="G981" s="90" t="s">
        <v>2442</v>
      </c>
      <c r="H981" s="219" t="s">
        <v>660</v>
      </c>
      <c r="I981" s="110" t="str">
        <f>VLOOKUP(H981, 'RM &amp; SF'!B:H, 2, 0)</f>
        <v xml:space="preserve">ضربة عربية </v>
      </c>
      <c r="J981" s="184" t="str">
        <f>VLOOKUP(H981, 'RM &amp; SF'!B:E, 4, 0)</f>
        <v>غم</v>
      </c>
      <c r="K981" s="12">
        <v>200</v>
      </c>
      <c r="L981" s="13">
        <f>VLOOKUP(H981, 'RM &amp; SF'!B:H, 7, 0)</f>
        <v>6.3000000000000003E-4</v>
      </c>
      <c r="M981" s="7">
        <f t="shared" si="61"/>
        <v>0.126</v>
      </c>
      <c r="N981" s="4" t="s">
        <v>825</v>
      </c>
      <c r="O981" s="4">
        <f>VLOOKUP(B981, 'All Menu'!B:L, 6, 0)</f>
        <v>1.9396551724137931</v>
      </c>
      <c r="P981" s="6">
        <f>VLOOKUP(B981, 'All Menu'!B:L, 9, 0)</f>
        <v>0.18631746031746033</v>
      </c>
      <c r="Q981" s="14">
        <f>VLOOKUP(B981, 'All Menu'!B:M, 12, 0)</f>
        <v>0.90394299823633151</v>
      </c>
      <c r="R981" s="173">
        <f t="shared" si="58"/>
        <v>0</v>
      </c>
    </row>
    <row r="982" spans="1:18" ht="14" hidden="1">
      <c r="A982" s="78" t="s">
        <v>2587</v>
      </c>
      <c r="B982" s="220" t="s">
        <v>1885</v>
      </c>
      <c r="C982" s="185"/>
      <c r="D982" s="103" t="str">
        <f>VLOOKUP(B982, 'All Menu'!B:M, 4, 0)</f>
        <v>سلطة بطحينية</v>
      </c>
      <c r="E982" s="30" t="str">
        <f>VLOOKUP(B982, 'All Menu'!B:M, 2, 0)</f>
        <v>قسم الصالة</v>
      </c>
      <c r="F982" s="103" t="str">
        <f>VLOOKUP(B982, 'All Menu'!B:M, 3, 0)</f>
        <v>سلطات صالة</v>
      </c>
      <c r="G982" s="90" t="s">
        <v>3058</v>
      </c>
      <c r="H982" s="188">
        <v>4166</v>
      </c>
      <c r="I982" s="110" t="str">
        <f>VLOOKUP(H982, 'RM &amp; SF'!B:H, 2, 0)</f>
        <v>طحينية 18 كغ*****</v>
      </c>
      <c r="J982" s="184" t="str">
        <f>VLOOKUP(H982, 'RM &amp; SF'!B:E, 4, 0)</f>
        <v>غم</v>
      </c>
      <c r="K982" s="12">
        <v>30</v>
      </c>
      <c r="L982" s="13">
        <f>VLOOKUP(H982, 'RM &amp; SF'!B:H, 7, 0)</f>
        <v>2.0105820105820104E-3</v>
      </c>
      <c r="M982" s="7">
        <f t="shared" si="61"/>
        <v>6.0317460317460311E-2</v>
      </c>
      <c r="N982" s="4" t="s">
        <v>825</v>
      </c>
      <c r="O982" s="4">
        <f>VLOOKUP(B982, 'All Menu'!B:L, 6, 0)</f>
        <v>1.9396551724137931</v>
      </c>
      <c r="P982" s="6">
        <f>VLOOKUP(B982, 'All Menu'!B:L, 9, 0)</f>
        <v>0.18631746031746033</v>
      </c>
      <c r="Q982" s="14">
        <f>VLOOKUP(B982, 'All Menu'!B:M, 12, 0)</f>
        <v>0.90394299823633151</v>
      </c>
      <c r="R982" s="173">
        <f t="shared" si="58"/>
        <v>0</v>
      </c>
    </row>
    <row r="983" spans="1:18" ht="14" hidden="1">
      <c r="A983" s="78" t="s">
        <v>2588</v>
      </c>
      <c r="B983" s="220" t="s">
        <v>1888</v>
      </c>
      <c r="C983" s="185"/>
      <c r="D983" s="103" t="str">
        <f>VLOOKUP(B983, 'All Menu'!B:M, 4, 0)</f>
        <v>بقدونسية</v>
      </c>
      <c r="E983" s="30" t="str">
        <f>VLOOKUP(B983, 'All Menu'!B:M, 2, 0)</f>
        <v>قسم الصالة</v>
      </c>
      <c r="F983" s="103" t="str">
        <f>VLOOKUP(B983, 'All Menu'!B:M, 3, 0)</f>
        <v>سلطات صالة</v>
      </c>
      <c r="G983" s="90" t="s">
        <v>2251</v>
      </c>
      <c r="H983" s="219" t="s">
        <v>510</v>
      </c>
      <c r="I983" s="110" t="str">
        <f>VLOOKUP(H983, 'RM &amp; SF'!B:H, 2, 0)</f>
        <v xml:space="preserve">بقدونسية </v>
      </c>
      <c r="J983" s="184" t="str">
        <f>VLOOKUP(H983, 'RM &amp; SF'!B:E, 4, 0)</f>
        <v>غم</v>
      </c>
      <c r="K983" s="123">
        <v>200</v>
      </c>
      <c r="L983" s="13">
        <f>VLOOKUP(H983, 'RM &amp; SF'!B:H, 7, 0)</f>
        <v>9.2055550264550257E-4</v>
      </c>
      <c r="M983" s="128">
        <f t="shared" si="61"/>
        <v>0.18411110052910051</v>
      </c>
      <c r="N983" s="121" t="s">
        <v>825</v>
      </c>
      <c r="O983" s="121">
        <f>VLOOKUP(B983, 'All Menu'!B:L, 6, 0)</f>
        <v>1.9396551724137931</v>
      </c>
      <c r="P983" s="130">
        <f>VLOOKUP(B983, 'All Menu'!B:L, 9, 0)</f>
        <v>0.18411110052910051</v>
      </c>
      <c r="Q983" s="132">
        <f>VLOOKUP(B983, 'All Menu'!B:M, 12, 0)</f>
        <v>0.9050804992827749</v>
      </c>
      <c r="R983" s="173">
        <f t="shared" si="58"/>
        <v>0</v>
      </c>
    </row>
    <row r="984" spans="1:18" ht="15.5" hidden="1">
      <c r="A984" s="78" t="s">
        <v>2644</v>
      </c>
      <c r="B984" s="220" t="s">
        <v>901</v>
      </c>
      <c r="C984" s="185"/>
      <c r="D984" s="103" t="str">
        <f>VLOOKUP(B984, 'All Menu'!B:M, 4, 0)</f>
        <v>راس عصفور وقية</v>
      </c>
      <c r="E984" s="30" t="str">
        <f>VLOOKUP(B984, 'All Menu'!B:M, 2, 0)</f>
        <v>قسم الصواني</v>
      </c>
      <c r="F984" s="103" t="str">
        <f>VLOOKUP(B984, 'All Menu'!B:M, 3, 0)</f>
        <v>صواني وصجيات سفري</v>
      </c>
      <c r="G984" s="90" t="s">
        <v>3058</v>
      </c>
      <c r="H984" s="112">
        <v>5403</v>
      </c>
      <c r="I984" s="110" t="str">
        <f>VLOOKUP(H984, 'RM &amp; SF'!B:H, 2, 0)</f>
        <v>طاجن (من تفصيلة الخروف)</v>
      </c>
      <c r="J984" s="184" t="str">
        <f>VLOOKUP(H984, 'RM &amp; SF'!B:E, 4, 0)</f>
        <v>غم</v>
      </c>
      <c r="K984" s="12">
        <v>250</v>
      </c>
      <c r="L984" s="13">
        <f>VLOOKUP(H984, 'RM &amp; SF'!B:H, 7, 0)</f>
        <v>9.4999999999999998E-3</v>
      </c>
      <c r="M984" s="7">
        <f t="shared" si="61"/>
        <v>2.375</v>
      </c>
      <c r="N984" s="4" t="s">
        <v>825</v>
      </c>
      <c r="O984" s="4">
        <f>VLOOKUP(B984, 'All Menu'!B:L, 6, 0)</f>
        <v>6.5948275862068977</v>
      </c>
      <c r="P984" s="6">
        <f>VLOOKUP(B984, 'All Menu'!B:L, 9, 0)</f>
        <v>2.9481771609195397</v>
      </c>
      <c r="Q984" s="14">
        <f>VLOOKUP(B984, 'All Menu'!B:M, 12, 0)</f>
        <v>0.5529561429193901</v>
      </c>
      <c r="R984" s="173">
        <f t="shared" ref="R984:R1026" si="62">C984*K984</f>
        <v>0</v>
      </c>
    </row>
    <row r="985" spans="1:18" ht="14" hidden="1">
      <c r="A985" s="78" t="s">
        <v>2644</v>
      </c>
      <c r="B985" s="220" t="s">
        <v>901</v>
      </c>
      <c r="C985" s="185"/>
      <c r="D985" s="103" t="str">
        <f>VLOOKUP(B985, 'All Menu'!B:M, 4, 0)</f>
        <v>راس عصفور وقية</v>
      </c>
      <c r="E985" s="30" t="str">
        <f>VLOOKUP(B985, 'All Menu'!B:M, 2, 0)</f>
        <v>قسم الصواني</v>
      </c>
      <c r="F985" s="103" t="str">
        <f>VLOOKUP(B985, 'All Menu'!B:M, 3, 0)</f>
        <v>صواني وصجيات سفري</v>
      </c>
      <c r="G985" s="90" t="s">
        <v>2234</v>
      </c>
      <c r="H985" s="188">
        <v>4503</v>
      </c>
      <c r="I985" s="110" t="str">
        <f>VLOOKUP(H985, 'RM &amp; SF'!B:H, 2, 0)</f>
        <v>بصل ناشف دفش*****</v>
      </c>
      <c r="J985" s="184" t="str">
        <f>VLOOKUP(H985, 'RM &amp; SF'!B:E, 4, 0)</f>
        <v>غم</v>
      </c>
      <c r="K985" s="12">
        <v>100</v>
      </c>
      <c r="L985" s="13">
        <f>VLOOKUP(H985, 'RM &amp; SF'!B:H, 7, 0)</f>
        <v>2.5000000000000001E-4</v>
      </c>
      <c r="M985" s="7">
        <f t="shared" si="61"/>
        <v>2.5000000000000001E-2</v>
      </c>
      <c r="N985" s="4" t="s">
        <v>825</v>
      </c>
      <c r="O985" s="4">
        <f>VLOOKUP(B985, 'All Menu'!B:L, 6, 0)</f>
        <v>6.5948275862068977</v>
      </c>
      <c r="P985" s="6">
        <f>VLOOKUP(B985, 'All Menu'!B:L, 9, 0)</f>
        <v>2.9481771609195397</v>
      </c>
      <c r="Q985" s="14">
        <f>VLOOKUP(B985, 'All Menu'!B:M, 12, 0)</f>
        <v>0.5529561429193901</v>
      </c>
      <c r="R985" s="173">
        <f t="shared" si="62"/>
        <v>0</v>
      </c>
    </row>
    <row r="986" spans="1:18" ht="15.5" hidden="1">
      <c r="A986" s="78" t="s">
        <v>2644</v>
      </c>
      <c r="B986" s="220" t="s">
        <v>901</v>
      </c>
      <c r="C986" s="185"/>
      <c r="D986" s="103" t="str">
        <f>VLOOKUP(B986, 'All Menu'!B:M, 4, 0)</f>
        <v>راس عصفور وقية</v>
      </c>
      <c r="E986" s="30" t="str">
        <f>VLOOKUP(B986, 'All Menu'!B:M, 2, 0)</f>
        <v>قسم الصواني</v>
      </c>
      <c r="F986" s="103" t="str">
        <f>VLOOKUP(B986, 'All Menu'!B:M, 3, 0)</f>
        <v>صواني وصجيات سفري</v>
      </c>
      <c r="G986" s="90" t="s">
        <v>2321</v>
      </c>
      <c r="H986" s="67">
        <v>5292</v>
      </c>
      <c r="I986" s="110" t="str">
        <f>VLOOKUP(H986, 'RM &amp; SF'!B:H, 2, 0)</f>
        <v>ثوم مقشر*****</v>
      </c>
      <c r="J986" s="184" t="str">
        <f>VLOOKUP(H986, 'RM &amp; SF'!B:E, 4, 0)</f>
        <v>غم</v>
      </c>
      <c r="K986" s="12">
        <v>4</v>
      </c>
      <c r="L986" s="13">
        <f>VLOOKUP(H986, 'RM &amp; SF'!B:H, 7, 0)</f>
        <v>4.4999999999999997E-3</v>
      </c>
      <c r="M986" s="7">
        <f t="shared" si="61"/>
        <v>1.7999999999999999E-2</v>
      </c>
      <c r="N986" s="4" t="s">
        <v>825</v>
      </c>
      <c r="O986" s="4">
        <f>VLOOKUP(B986, 'All Menu'!B:L, 6, 0)</f>
        <v>6.5948275862068977</v>
      </c>
      <c r="P986" s="6">
        <f>VLOOKUP(B986, 'All Menu'!B:L, 9, 0)</f>
        <v>2.9481771609195397</v>
      </c>
      <c r="Q986" s="14">
        <f>VLOOKUP(B986, 'All Menu'!B:M, 12, 0)</f>
        <v>0.5529561429193901</v>
      </c>
      <c r="R986" s="173">
        <f t="shared" si="62"/>
        <v>0</v>
      </c>
    </row>
    <row r="987" spans="1:18" ht="14" hidden="1">
      <c r="A987" s="78" t="s">
        <v>2644</v>
      </c>
      <c r="B987" s="220" t="s">
        <v>901</v>
      </c>
      <c r="C987" s="185"/>
      <c r="D987" s="103" t="str">
        <f>VLOOKUP(B987, 'All Menu'!B:M, 4, 0)</f>
        <v>راس عصفور وقية</v>
      </c>
      <c r="E987" s="30" t="str">
        <f>VLOOKUP(B987, 'All Menu'!B:M, 2, 0)</f>
        <v>قسم الصواني</v>
      </c>
      <c r="F987" s="103" t="str">
        <f>VLOOKUP(B987, 'All Menu'!B:M, 3, 0)</f>
        <v>صواني وصجيات سفري</v>
      </c>
      <c r="G987" s="90" t="s">
        <v>2231</v>
      </c>
      <c r="H987" s="188">
        <v>4499</v>
      </c>
      <c r="I987" s="110" t="str">
        <f>VLOOKUP(H987, 'RM &amp; SF'!B:H, 2, 0)</f>
        <v>فلفل حار اخضر*****</v>
      </c>
      <c r="J987" s="184" t="str">
        <f>VLOOKUP(H987, 'RM &amp; SF'!B:E, 4, 0)</f>
        <v>غم</v>
      </c>
      <c r="K987" s="12">
        <v>10</v>
      </c>
      <c r="L987" s="13">
        <f>VLOOKUP(H987, 'RM &amp; SF'!B:H, 7, 0)</f>
        <v>5.0000000000000001E-4</v>
      </c>
      <c r="M987" s="7">
        <f t="shared" si="61"/>
        <v>5.0000000000000001E-3</v>
      </c>
      <c r="N987" s="4" t="s">
        <v>825</v>
      </c>
      <c r="O987" s="4">
        <f>VLOOKUP(B987, 'All Menu'!B:L, 6, 0)</f>
        <v>6.5948275862068977</v>
      </c>
      <c r="P987" s="6">
        <f>VLOOKUP(B987, 'All Menu'!B:L, 9, 0)</f>
        <v>2.9481771609195397</v>
      </c>
      <c r="Q987" s="14">
        <f>VLOOKUP(B987, 'All Menu'!B:M, 12, 0)</f>
        <v>0.5529561429193901</v>
      </c>
      <c r="R987" s="173">
        <f t="shared" si="62"/>
        <v>0</v>
      </c>
    </row>
    <row r="988" spans="1:18" ht="14" hidden="1">
      <c r="A988" s="78" t="s">
        <v>2644</v>
      </c>
      <c r="B988" s="220" t="s">
        <v>901</v>
      </c>
      <c r="C988" s="185"/>
      <c r="D988" s="103" t="str">
        <f>VLOOKUP(B988, 'All Menu'!B:M, 4, 0)</f>
        <v>راس عصفور وقية</v>
      </c>
      <c r="E988" s="30" t="str">
        <f>VLOOKUP(B988, 'All Menu'!B:M, 2, 0)</f>
        <v>قسم الصواني</v>
      </c>
      <c r="F988" s="103" t="str">
        <f>VLOOKUP(B988, 'All Menu'!B:M, 3, 0)</f>
        <v>صواني وصجيات سفري</v>
      </c>
      <c r="G988" s="90" t="s">
        <v>2203</v>
      </c>
      <c r="H988" s="188">
        <v>4152</v>
      </c>
      <c r="I988" s="110" t="str">
        <f>VLOOKUP(H988, 'RM &amp; SF'!B:H, 2, 0)</f>
        <v>ملح طعام 750غم*****</v>
      </c>
      <c r="J988" s="184" t="str">
        <f>VLOOKUP(H988, 'RM &amp; SF'!B:E, 4, 0)</f>
        <v>غم</v>
      </c>
      <c r="K988" s="12">
        <v>2</v>
      </c>
      <c r="L988" s="13">
        <f>VLOOKUP(H988, 'RM &amp; SF'!B:H, 7, 0)</f>
        <v>1.7066666666666665E-4</v>
      </c>
      <c r="M988" s="7">
        <f t="shared" si="61"/>
        <v>3.413333333333333E-4</v>
      </c>
      <c r="N988" s="4" t="s">
        <v>825</v>
      </c>
      <c r="O988" s="4">
        <f>VLOOKUP(B988, 'All Menu'!B:L, 6, 0)</f>
        <v>6.5948275862068977</v>
      </c>
      <c r="P988" s="6">
        <f>VLOOKUP(B988, 'All Menu'!B:L, 9, 0)</f>
        <v>2.9481771609195397</v>
      </c>
      <c r="Q988" s="14">
        <f>VLOOKUP(B988, 'All Menu'!B:M, 12, 0)</f>
        <v>0.5529561429193901</v>
      </c>
      <c r="R988" s="173">
        <f t="shared" si="62"/>
        <v>0</v>
      </c>
    </row>
    <row r="989" spans="1:18" ht="14" hidden="1">
      <c r="A989" s="78" t="s">
        <v>2644</v>
      </c>
      <c r="B989" s="220" t="s">
        <v>901</v>
      </c>
      <c r="C989" s="185"/>
      <c r="D989" s="103" t="str">
        <f>VLOOKUP(B989, 'All Menu'!B:M, 4, 0)</f>
        <v>راس عصفور وقية</v>
      </c>
      <c r="E989" s="30" t="str">
        <f>VLOOKUP(B989, 'All Menu'!B:M, 2, 0)</f>
        <v>قسم الصواني</v>
      </c>
      <c r="F989" s="103" t="str">
        <f>VLOOKUP(B989, 'All Menu'!B:M, 3, 0)</f>
        <v>صواني وصجيات سفري</v>
      </c>
      <c r="G989" s="90" t="s">
        <v>2206</v>
      </c>
      <c r="H989" s="188">
        <v>4204</v>
      </c>
      <c r="I989" s="110" t="str">
        <f>VLOOKUP(H989, 'RM &amp; SF'!B:H, 2, 0)</f>
        <v>فلفل اسود ناعم*****</v>
      </c>
      <c r="J989" s="184" t="str">
        <f>VLOOKUP(H989, 'RM &amp; SF'!B:E, 4, 0)</f>
        <v>غم</v>
      </c>
      <c r="K989" s="12">
        <v>3</v>
      </c>
      <c r="L989" s="13">
        <f>VLOOKUP(H989, 'RM &amp; SF'!B:H, 7, 0)</f>
        <v>6.8970000000000004E-3</v>
      </c>
      <c r="M989" s="7">
        <f t="shared" si="61"/>
        <v>2.0691000000000001E-2</v>
      </c>
      <c r="N989" s="4" t="s">
        <v>825</v>
      </c>
      <c r="O989" s="4">
        <f>VLOOKUP(B989, 'All Menu'!B:L, 6, 0)</f>
        <v>6.5948275862068977</v>
      </c>
      <c r="P989" s="6">
        <f>VLOOKUP(B989, 'All Menu'!B:L, 9, 0)</f>
        <v>2.9481771609195397</v>
      </c>
      <c r="Q989" s="14">
        <f>VLOOKUP(B989, 'All Menu'!B:M, 12, 0)</f>
        <v>0.5529561429193901</v>
      </c>
      <c r="R989" s="173">
        <f t="shared" si="62"/>
        <v>0</v>
      </c>
    </row>
    <row r="990" spans="1:18" ht="14" hidden="1">
      <c r="A990" s="78" t="s">
        <v>2644</v>
      </c>
      <c r="B990" s="220" t="s">
        <v>901</v>
      </c>
      <c r="C990" s="185"/>
      <c r="D990" s="103" t="str">
        <f>VLOOKUP(B990, 'All Menu'!B:M, 4, 0)</f>
        <v>راس عصفور وقية</v>
      </c>
      <c r="E990" s="30" t="str">
        <f>VLOOKUP(B990, 'All Menu'!B:M, 2, 0)</f>
        <v>قسم الصواني</v>
      </c>
      <c r="F990" s="103" t="str">
        <f>VLOOKUP(B990, 'All Menu'!B:M, 3, 0)</f>
        <v>صواني وصجيات سفري</v>
      </c>
      <c r="G990" s="90" t="s">
        <v>2357</v>
      </c>
      <c r="H990" s="219" t="s">
        <v>744</v>
      </c>
      <c r="I990" s="110" t="str">
        <f>VLOOKUP(H990, 'RM &amp; SF'!B:H, 2, 0)</f>
        <v>زيت زيتون مكسور</v>
      </c>
      <c r="J990" s="184" t="str">
        <f>VLOOKUP(H990, 'RM &amp; SF'!B:E, 4, 0)</f>
        <v>غم</v>
      </c>
      <c r="K990" s="12">
        <v>30</v>
      </c>
      <c r="L990" s="13">
        <f>VLOOKUP(H990, 'RM &amp; SF'!B:H, 7, 0)</f>
        <v>3.3899999999999998E-3</v>
      </c>
      <c r="M990" s="7">
        <f t="shared" si="61"/>
        <v>0.1017</v>
      </c>
      <c r="N990" s="4" t="s">
        <v>825</v>
      </c>
      <c r="O990" s="4">
        <f>VLOOKUP(B990, 'All Menu'!B:L, 6, 0)</f>
        <v>6.5948275862068977</v>
      </c>
      <c r="P990" s="6">
        <f>VLOOKUP(B990, 'All Menu'!B:L, 9, 0)</f>
        <v>2.9481771609195397</v>
      </c>
      <c r="Q990" s="14">
        <f>VLOOKUP(B990, 'All Menu'!B:M, 12, 0)</f>
        <v>0.5529561429193901</v>
      </c>
      <c r="R990" s="173">
        <f t="shared" si="62"/>
        <v>0</v>
      </c>
    </row>
    <row r="991" spans="1:18" ht="14" hidden="1">
      <c r="A991" s="78" t="s">
        <v>2644</v>
      </c>
      <c r="B991" s="220" t="s">
        <v>901</v>
      </c>
      <c r="C991" s="185"/>
      <c r="D991" s="103" t="str">
        <f>VLOOKUP(B991, 'All Menu'!B:M, 4, 0)</f>
        <v>راس عصفور وقية</v>
      </c>
      <c r="E991" s="30" t="str">
        <f>VLOOKUP(B991, 'All Menu'!B:M, 2, 0)</f>
        <v>قسم الصواني</v>
      </c>
      <c r="F991" s="103" t="str">
        <f>VLOOKUP(B991, 'All Menu'!B:M, 3, 0)</f>
        <v>صواني وصجيات سفري</v>
      </c>
      <c r="G991" s="90" t="s">
        <v>2266</v>
      </c>
      <c r="H991" s="188">
        <v>4008</v>
      </c>
      <c r="I991" s="110" t="str">
        <f>VLOOKUP(H991, 'RM &amp; SF'!B:H, 2, 0)</f>
        <v>صويا صوص 3.79 لتر*****</v>
      </c>
      <c r="J991" s="184" t="str">
        <f>VLOOKUP(H991, 'RM &amp; SF'!B:E, 4, 0)</f>
        <v>مل</v>
      </c>
      <c r="K991" s="12">
        <v>30</v>
      </c>
      <c r="L991" s="13">
        <f>VLOOKUP(H991, 'RM &amp; SF'!B:H, 7, 0)</f>
        <v>3.0699999999999998E-3</v>
      </c>
      <c r="M991" s="7">
        <f t="shared" si="61"/>
        <v>9.2099999999999987E-2</v>
      </c>
      <c r="N991" s="4" t="s">
        <v>825</v>
      </c>
      <c r="O991" s="4">
        <f>VLOOKUP(B991, 'All Menu'!B:L, 6, 0)</f>
        <v>6.5948275862068977</v>
      </c>
      <c r="P991" s="6">
        <f>VLOOKUP(B991, 'All Menu'!B:L, 9, 0)</f>
        <v>2.9481771609195397</v>
      </c>
      <c r="Q991" s="14">
        <f>VLOOKUP(B991, 'All Menu'!B:M, 12, 0)</f>
        <v>0.5529561429193901</v>
      </c>
      <c r="R991" s="173">
        <f t="shared" si="62"/>
        <v>0</v>
      </c>
    </row>
    <row r="992" spans="1:18" ht="14" hidden="1">
      <c r="A992" s="78" t="s">
        <v>2644</v>
      </c>
      <c r="B992" s="220" t="s">
        <v>901</v>
      </c>
      <c r="C992" s="185"/>
      <c r="D992" s="103" t="str">
        <f>VLOOKUP(B992, 'All Menu'!B:M, 4, 0)</f>
        <v>راس عصفور وقية</v>
      </c>
      <c r="E992" s="30" t="str">
        <f>VLOOKUP(B992, 'All Menu'!B:M, 2, 0)</f>
        <v>قسم الصواني</v>
      </c>
      <c r="F992" s="103" t="str">
        <f>VLOOKUP(B992, 'All Menu'!B:M, 3, 0)</f>
        <v>صواني وصجيات سفري</v>
      </c>
      <c r="G992" s="90" t="s">
        <v>3058</v>
      </c>
      <c r="H992" s="188">
        <v>4290</v>
      </c>
      <c r="I992" s="110" t="str">
        <f>VLOOKUP(H992, 'RM &amp; SF'!B:H, 2, 0)</f>
        <v>علب قصدير مدور اوقية 250 غم RZ 18*****</v>
      </c>
      <c r="J992" s="184" t="str">
        <f>VLOOKUP(H992, 'RM &amp; SF'!B:E, 4, 0)</f>
        <v>قطعة</v>
      </c>
      <c r="K992" s="12">
        <v>1</v>
      </c>
      <c r="L992" s="13">
        <f>VLOOKUP(H992, 'RM &amp; SF'!B:H, 7, 0)</f>
        <v>6.0344827586206906E-2</v>
      </c>
      <c r="M992" s="7">
        <f t="shared" si="61"/>
        <v>6.0344827586206906E-2</v>
      </c>
      <c r="N992" s="4" t="s">
        <v>825</v>
      </c>
      <c r="O992" s="4">
        <f>VLOOKUP(B992, 'All Menu'!B:L, 6, 0)</f>
        <v>6.5948275862068977</v>
      </c>
      <c r="P992" s="6">
        <f>VLOOKUP(B992, 'All Menu'!B:L, 9, 0)</f>
        <v>2.9481771609195397</v>
      </c>
      <c r="Q992" s="14">
        <f>VLOOKUP(B992, 'All Menu'!B:M, 12, 0)</f>
        <v>0.5529561429193901</v>
      </c>
      <c r="R992" s="173">
        <f t="shared" si="62"/>
        <v>0</v>
      </c>
    </row>
    <row r="993" spans="1:18" ht="14" hidden="1">
      <c r="A993" s="78" t="s">
        <v>2644</v>
      </c>
      <c r="B993" s="220" t="s">
        <v>901</v>
      </c>
      <c r="C993" s="185"/>
      <c r="D993" s="103" t="str">
        <f>VLOOKUP(B993, 'All Menu'!B:M, 4, 0)</f>
        <v>راس عصفور وقية</v>
      </c>
      <c r="E993" s="30" t="str">
        <f>VLOOKUP(B993, 'All Menu'!B:M, 2, 0)</f>
        <v>قسم الصواني</v>
      </c>
      <c r="F993" s="103" t="str">
        <f>VLOOKUP(B993, 'All Menu'!B:M, 3, 0)</f>
        <v>صواني وصجيات سفري</v>
      </c>
      <c r="G993" s="90" t="s">
        <v>3058</v>
      </c>
      <c r="H993" s="188">
        <v>4274</v>
      </c>
      <c r="I993" s="110" t="str">
        <f>VLOOKUP(H993, 'RM &amp; SF'!B:H, 2, 0)</f>
        <v>علب المركزية مطبوع + قاطع رقم 1 1*100 حبة*****</v>
      </c>
      <c r="J993" s="184" t="str">
        <f>VLOOKUP(H993, 'RM &amp; SF'!B:E, 4, 0)</f>
        <v>قطعة</v>
      </c>
      <c r="K993" s="12">
        <v>1</v>
      </c>
      <c r="L993" s="13">
        <f>VLOOKUP(H993, 'RM &amp; SF'!B:H, 7, 0)</f>
        <v>0.25</v>
      </c>
      <c r="M993" s="7">
        <f t="shared" si="61"/>
        <v>0.25</v>
      </c>
      <c r="N993" s="4" t="s">
        <v>825</v>
      </c>
      <c r="O993" s="4">
        <f>VLOOKUP(B993, 'All Menu'!B:L, 6, 0)</f>
        <v>6.5948275862068977</v>
      </c>
      <c r="P993" s="6">
        <f>VLOOKUP(B993, 'All Menu'!B:L, 9, 0)</f>
        <v>2.9481771609195397</v>
      </c>
      <c r="Q993" s="14">
        <f>VLOOKUP(B993, 'All Menu'!B:M, 12, 0)</f>
        <v>0.5529561429193901</v>
      </c>
      <c r="R993" s="173">
        <f t="shared" si="62"/>
        <v>0</v>
      </c>
    </row>
    <row r="994" spans="1:18" ht="14" hidden="1">
      <c r="A994" s="78" t="s">
        <v>2664</v>
      </c>
      <c r="B994" s="220" t="s">
        <v>902</v>
      </c>
      <c r="C994" s="185"/>
      <c r="D994" s="103" t="str">
        <f>VLOOKUP(B994, 'All Menu'!B:M, 4, 0)</f>
        <v>دجاج بالكريمة وقية</v>
      </c>
      <c r="E994" s="30" t="str">
        <f>VLOOKUP(B994, 'All Menu'!B:M, 2, 0)</f>
        <v>قسم الصواني</v>
      </c>
      <c r="F994" s="103" t="str">
        <f>VLOOKUP(B994, 'All Menu'!B:M, 3, 0)</f>
        <v>صواني وصجيات سفري</v>
      </c>
      <c r="G994" s="90" t="s">
        <v>2445</v>
      </c>
      <c r="H994" s="219" t="s">
        <v>668</v>
      </c>
      <c r="I994" s="110" t="str">
        <f>VLOOKUP(H994, 'RM &amp; SF'!B:H, 2, 0)</f>
        <v>دجاج مسحب بالفرن انترناشونال</v>
      </c>
      <c r="J994" s="184" t="str">
        <f>VLOOKUP(H994, 'RM &amp; SF'!B:E, 4, 0)</f>
        <v>غم</v>
      </c>
      <c r="K994" s="12">
        <v>200</v>
      </c>
      <c r="L994" s="13">
        <f>VLOOKUP(H994, 'RM &amp; SF'!B:H, 7, 0)</f>
        <v>4.5947853888888886E-3</v>
      </c>
      <c r="M994" s="7">
        <f t="shared" si="61"/>
        <v>0.91895707777777769</v>
      </c>
      <c r="N994" s="4" t="s">
        <v>825</v>
      </c>
      <c r="O994" s="4">
        <f>VLOOKUP(B994, 'All Menu'!B:L, 6, 0)</f>
        <v>3.6637931034482762</v>
      </c>
      <c r="P994" s="6">
        <f>VLOOKUP(B994, 'All Menu'!B:L, 9, 0)</f>
        <v>2.4239830634099619</v>
      </c>
      <c r="Q994" s="14">
        <f>VLOOKUP(B994, 'All Menu'!B:M, 12, 0)</f>
        <v>0.3383952109281046</v>
      </c>
      <c r="R994" s="173">
        <f t="shared" si="62"/>
        <v>0</v>
      </c>
    </row>
    <row r="995" spans="1:18" ht="14" hidden="1">
      <c r="A995" s="78" t="s">
        <v>2664</v>
      </c>
      <c r="B995" s="220" t="s">
        <v>902</v>
      </c>
      <c r="C995" s="185"/>
      <c r="D995" s="103" t="str">
        <f>VLOOKUP(B995, 'All Menu'!B:M, 4, 0)</f>
        <v>دجاج بالكريمة وقية</v>
      </c>
      <c r="E995" s="30" t="str">
        <f>VLOOKUP(B995, 'All Menu'!B:M, 2, 0)</f>
        <v>قسم الصواني</v>
      </c>
      <c r="F995" s="103" t="str">
        <f>VLOOKUP(B995, 'All Menu'!B:M, 3, 0)</f>
        <v>صواني وصجيات سفري</v>
      </c>
      <c r="G995" s="90" t="s">
        <v>2240</v>
      </c>
      <c r="H995" s="188">
        <v>4515</v>
      </c>
      <c r="I995" s="110" t="str">
        <f>VLOOKUP(H995, 'RM &amp; SF'!B:H, 2, 0)</f>
        <v>فطر طازج (فطر فرش)*****</v>
      </c>
      <c r="J995" s="184" t="str">
        <f>VLOOKUP(H995, 'RM &amp; SF'!B:E, 4, 0)</f>
        <v>غم</v>
      </c>
      <c r="K995" s="12">
        <v>60</v>
      </c>
      <c r="L995" s="13">
        <f>VLOOKUP(H995, 'RM &amp; SF'!B:H, 7, 0)</f>
        <v>5.9999999999999993E-3</v>
      </c>
      <c r="M995" s="7">
        <f t="shared" si="61"/>
        <v>0.35999999999999993</v>
      </c>
      <c r="N995" s="4" t="s">
        <v>825</v>
      </c>
      <c r="O995" s="4">
        <f>VLOOKUP(B995, 'All Menu'!B:L, 6, 0)</f>
        <v>3.6637931034482762</v>
      </c>
      <c r="P995" s="6">
        <f>VLOOKUP(B995, 'All Menu'!B:L, 9, 0)</f>
        <v>2.4239830634099619</v>
      </c>
      <c r="Q995" s="14">
        <f>VLOOKUP(B995, 'All Menu'!B:M, 12, 0)</f>
        <v>0.3383952109281046</v>
      </c>
      <c r="R995" s="173">
        <f t="shared" si="62"/>
        <v>0</v>
      </c>
    </row>
    <row r="996" spans="1:18" ht="14" hidden="1">
      <c r="A996" s="78" t="s">
        <v>2664</v>
      </c>
      <c r="B996" s="220" t="s">
        <v>902</v>
      </c>
      <c r="C996" s="185"/>
      <c r="D996" s="103" t="str">
        <f>VLOOKUP(B996, 'All Menu'!B:M, 4, 0)</f>
        <v>دجاج بالكريمة وقية</v>
      </c>
      <c r="E996" s="30" t="str">
        <f>VLOOKUP(B996, 'All Menu'!B:M, 2, 0)</f>
        <v>قسم الصواني</v>
      </c>
      <c r="F996" s="103" t="str">
        <f>VLOOKUP(B996, 'All Menu'!B:M, 3, 0)</f>
        <v>صواني وصجيات سفري</v>
      </c>
      <c r="G996" s="90" t="s">
        <v>2177</v>
      </c>
      <c r="H996" s="188">
        <v>4566</v>
      </c>
      <c r="I996" s="110" t="str">
        <f>VLOOKUP(H996, 'RM &amp; SF'!B:H, 2, 0)</f>
        <v>زبدة صفائح 5*2 كغ*****</v>
      </c>
      <c r="J996" s="184" t="str">
        <f>VLOOKUP(H996, 'RM &amp; SF'!B:E, 4, 0)</f>
        <v>غم</v>
      </c>
      <c r="K996" s="12">
        <v>30</v>
      </c>
      <c r="L996" s="13">
        <f>VLOOKUP(H996, 'RM &amp; SF'!B:H, 7, 0)</f>
        <v>2E-3</v>
      </c>
      <c r="M996" s="7">
        <f t="shared" si="61"/>
        <v>0.06</v>
      </c>
      <c r="N996" s="4" t="s">
        <v>825</v>
      </c>
      <c r="O996" s="4">
        <f>VLOOKUP(B996, 'All Menu'!B:L, 6, 0)</f>
        <v>3.6637931034482762</v>
      </c>
      <c r="P996" s="6">
        <f>VLOOKUP(B996, 'All Menu'!B:L, 9, 0)</f>
        <v>2.4239830634099619</v>
      </c>
      <c r="Q996" s="14">
        <f>VLOOKUP(B996, 'All Menu'!B:M, 12, 0)</f>
        <v>0.3383952109281046</v>
      </c>
      <c r="R996" s="173">
        <f t="shared" si="62"/>
        <v>0</v>
      </c>
    </row>
    <row r="997" spans="1:18" ht="14" hidden="1">
      <c r="A997" s="78" t="s">
        <v>2664</v>
      </c>
      <c r="B997" s="220" t="s">
        <v>902</v>
      </c>
      <c r="C997" s="185"/>
      <c r="D997" s="103" t="str">
        <f>VLOOKUP(B997, 'All Menu'!B:M, 4, 0)</f>
        <v>دجاج بالكريمة وقية</v>
      </c>
      <c r="E997" s="30" t="str">
        <f>VLOOKUP(B997, 'All Menu'!B:M, 2, 0)</f>
        <v>قسم الصواني</v>
      </c>
      <c r="F997" s="103" t="str">
        <f>VLOOKUP(B997, 'All Menu'!B:M, 3, 0)</f>
        <v>صواني وصجيات سفري</v>
      </c>
      <c r="G997" s="90" t="s">
        <v>2291</v>
      </c>
      <c r="H997" s="188">
        <v>4556</v>
      </c>
      <c r="I997" s="110" t="str">
        <f>VLOOKUP(H997, 'RM &amp; SF'!B:H, 2, 0)</f>
        <v>كريما طبخ 1 لتر*****</v>
      </c>
      <c r="J997" s="184" t="str">
        <f>VLOOKUP(H997, 'RM &amp; SF'!B:E, 4, 0)</f>
        <v>مل</v>
      </c>
      <c r="K997" s="12">
        <v>200</v>
      </c>
      <c r="L997" s="13">
        <f>VLOOKUP(H997, 'RM &amp; SF'!B:H, 7, 0)</f>
        <v>2.2269999999999998E-3</v>
      </c>
      <c r="M997" s="7">
        <f t="shared" si="61"/>
        <v>0.44539999999999996</v>
      </c>
      <c r="N997" s="4" t="s">
        <v>825</v>
      </c>
      <c r="O997" s="4">
        <f>VLOOKUP(B997, 'All Menu'!B:L, 6, 0)</f>
        <v>3.6637931034482762</v>
      </c>
      <c r="P997" s="6">
        <f>VLOOKUP(B997, 'All Menu'!B:L, 9, 0)</f>
        <v>2.4239830634099619</v>
      </c>
      <c r="Q997" s="14">
        <f>VLOOKUP(B997, 'All Menu'!B:M, 12, 0)</f>
        <v>0.3383952109281046</v>
      </c>
      <c r="R997" s="173">
        <f t="shared" si="62"/>
        <v>0</v>
      </c>
    </row>
    <row r="998" spans="1:18" ht="14" hidden="1">
      <c r="A998" s="78" t="s">
        <v>2664</v>
      </c>
      <c r="B998" s="220" t="s">
        <v>902</v>
      </c>
      <c r="C998" s="185"/>
      <c r="D998" s="103" t="str">
        <f>VLOOKUP(B998, 'All Menu'!B:M, 4, 0)</f>
        <v>دجاج بالكريمة وقية</v>
      </c>
      <c r="E998" s="30" t="str">
        <f>VLOOKUP(B998, 'All Menu'!B:M, 2, 0)</f>
        <v>قسم الصواني</v>
      </c>
      <c r="F998" s="103" t="str">
        <f>VLOOKUP(B998, 'All Menu'!B:M, 3, 0)</f>
        <v>صواني وصجيات سفري</v>
      </c>
      <c r="G998" s="90" t="s">
        <v>2173</v>
      </c>
      <c r="H998" s="188">
        <v>4624</v>
      </c>
      <c r="I998" s="110" t="str">
        <f>VLOOKUP(H998, 'RM &amp; SF'!B:H, 2, 0)</f>
        <v>جبنة موزريلا قالب 2.380 كغ*****</v>
      </c>
      <c r="J998" s="184" t="str">
        <f>VLOOKUP(H998, 'RM &amp; SF'!B:E, 4, 0)</f>
        <v>غم</v>
      </c>
      <c r="K998" s="12">
        <v>35</v>
      </c>
      <c r="L998" s="13">
        <f>VLOOKUP(H998, 'RM &amp; SF'!B:H, 7, 0)</f>
        <v>5.1749999999999999E-3</v>
      </c>
      <c r="M998" s="7">
        <f t="shared" si="61"/>
        <v>0.18112500000000001</v>
      </c>
      <c r="N998" s="4" t="s">
        <v>825</v>
      </c>
      <c r="O998" s="4">
        <f>VLOOKUP(B998, 'All Menu'!B:L, 6, 0)</f>
        <v>3.6637931034482762</v>
      </c>
      <c r="P998" s="6">
        <f>VLOOKUP(B998, 'All Menu'!B:L, 9, 0)</f>
        <v>2.4239830634099619</v>
      </c>
      <c r="Q998" s="14">
        <f>VLOOKUP(B998, 'All Menu'!B:M, 12, 0)</f>
        <v>0.3383952109281046</v>
      </c>
      <c r="R998" s="173">
        <f t="shared" si="62"/>
        <v>0</v>
      </c>
    </row>
    <row r="999" spans="1:18" ht="14" hidden="1">
      <c r="A999" s="78" t="s">
        <v>2664</v>
      </c>
      <c r="B999" s="220" t="s">
        <v>902</v>
      </c>
      <c r="C999" s="185"/>
      <c r="D999" s="103" t="str">
        <f>VLOOKUP(B999, 'All Menu'!B:M, 4, 0)</f>
        <v>دجاج بالكريمة وقية</v>
      </c>
      <c r="E999" s="30" t="str">
        <f>VLOOKUP(B999, 'All Menu'!B:M, 2, 0)</f>
        <v>قسم الصواني</v>
      </c>
      <c r="F999" s="103" t="str">
        <f>VLOOKUP(B999, 'All Menu'!B:M, 3, 0)</f>
        <v>صواني وصجيات سفري</v>
      </c>
      <c r="G999" s="90" t="s">
        <v>2203</v>
      </c>
      <c r="H999" s="188">
        <v>4152</v>
      </c>
      <c r="I999" s="110" t="str">
        <f>VLOOKUP(H999, 'RM &amp; SF'!B:H, 2, 0)</f>
        <v>ملح طعام 750غم*****</v>
      </c>
      <c r="J999" s="184" t="str">
        <f>VLOOKUP(H999, 'RM &amp; SF'!B:E, 4, 0)</f>
        <v>غم</v>
      </c>
      <c r="K999" s="12">
        <v>5</v>
      </c>
      <c r="L999" s="13">
        <f>VLOOKUP(H999, 'RM &amp; SF'!B:H, 7, 0)</f>
        <v>1.7066666666666665E-4</v>
      </c>
      <c r="M999" s="7">
        <f t="shared" si="61"/>
        <v>8.5333333333333322E-4</v>
      </c>
      <c r="N999" s="4" t="s">
        <v>825</v>
      </c>
      <c r="O999" s="4">
        <f>VLOOKUP(B999, 'All Menu'!B:L, 6, 0)</f>
        <v>3.6637931034482762</v>
      </c>
      <c r="P999" s="6">
        <f>VLOOKUP(B999, 'All Menu'!B:L, 9, 0)</f>
        <v>2.4239830634099619</v>
      </c>
      <c r="Q999" s="14">
        <f>VLOOKUP(B999, 'All Menu'!B:M, 12, 0)</f>
        <v>0.3383952109281046</v>
      </c>
      <c r="R999" s="173">
        <f t="shared" si="62"/>
        <v>0</v>
      </c>
    </row>
    <row r="1000" spans="1:18" ht="14" hidden="1">
      <c r="A1000" s="78" t="s">
        <v>2664</v>
      </c>
      <c r="B1000" s="220" t="s">
        <v>902</v>
      </c>
      <c r="C1000" s="185"/>
      <c r="D1000" s="103" t="str">
        <f>VLOOKUP(B1000, 'All Menu'!B:M, 4, 0)</f>
        <v>دجاج بالكريمة وقية</v>
      </c>
      <c r="E1000" s="30" t="str">
        <f>VLOOKUP(B1000, 'All Menu'!B:M, 2, 0)</f>
        <v>قسم الصواني</v>
      </c>
      <c r="F1000" s="103" t="str">
        <f>VLOOKUP(B1000, 'All Menu'!B:M, 3, 0)</f>
        <v>صواني وصجيات سفري</v>
      </c>
      <c r="G1000" s="90" t="s">
        <v>2206</v>
      </c>
      <c r="H1000" s="188">
        <v>4204</v>
      </c>
      <c r="I1000" s="110" t="str">
        <f>VLOOKUP(H1000, 'RM &amp; SF'!B:H, 2, 0)</f>
        <v>فلفل اسود ناعم*****</v>
      </c>
      <c r="J1000" s="184" t="str">
        <f>VLOOKUP(H1000, 'RM &amp; SF'!B:E, 4, 0)</f>
        <v>غم</v>
      </c>
      <c r="K1000" s="12">
        <v>3</v>
      </c>
      <c r="L1000" s="13">
        <f>VLOOKUP(H1000, 'RM &amp; SF'!B:H, 7, 0)</f>
        <v>6.8970000000000004E-3</v>
      </c>
      <c r="M1000" s="7">
        <f t="shared" si="61"/>
        <v>2.0691000000000001E-2</v>
      </c>
      <c r="N1000" s="4" t="s">
        <v>825</v>
      </c>
      <c r="O1000" s="4">
        <f>VLOOKUP(B1000, 'All Menu'!B:L, 6, 0)</f>
        <v>3.6637931034482762</v>
      </c>
      <c r="P1000" s="6">
        <f>VLOOKUP(B1000, 'All Menu'!B:L, 9, 0)</f>
        <v>2.4239830634099619</v>
      </c>
      <c r="Q1000" s="14">
        <f>VLOOKUP(B1000, 'All Menu'!B:M, 12, 0)</f>
        <v>0.3383952109281046</v>
      </c>
      <c r="R1000" s="173">
        <f t="shared" si="62"/>
        <v>0</v>
      </c>
    </row>
    <row r="1001" spans="1:18" ht="14" hidden="1">
      <c r="A1001" s="78" t="s">
        <v>2664</v>
      </c>
      <c r="B1001" s="220" t="s">
        <v>902</v>
      </c>
      <c r="C1001" s="185"/>
      <c r="D1001" s="103" t="str">
        <f>VLOOKUP(B1001, 'All Menu'!B:M, 4, 0)</f>
        <v>دجاج بالكريمة وقية</v>
      </c>
      <c r="E1001" s="30" t="str">
        <f>VLOOKUP(B1001, 'All Menu'!B:M, 2, 0)</f>
        <v>قسم الصواني</v>
      </c>
      <c r="F1001" s="103" t="str">
        <f>VLOOKUP(B1001, 'All Menu'!B:M, 3, 0)</f>
        <v>صواني وصجيات سفري</v>
      </c>
      <c r="G1001" s="90" t="s">
        <v>3058</v>
      </c>
      <c r="H1001" s="188">
        <v>4022</v>
      </c>
      <c r="I1001" s="110" t="str">
        <f>VLOOKUP(H1001, 'RM &amp; SF'!B:H, 2, 0)</f>
        <v>مرق الدجاج بودرة 1 كغ*****</v>
      </c>
      <c r="J1001" s="184" t="str">
        <f>VLOOKUP(H1001, 'RM &amp; SF'!B:E, 4, 0)</f>
        <v>غم</v>
      </c>
      <c r="K1001" s="12">
        <v>2</v>
      </c>
      <c r="L1001" s="13">
        <f>VLOOKUP(H1001, 'RM &amp; SF'!B:H, 7, 0)</f>
        <v>4.7054597701149427E-3</v>
      </c>
      <c r="M1001" s="7">
        <f t="shared" si="61"/>
        <v>9.4109195402298854E-3</v>
      </c>
      <c r="N1001" s="4" t="s">
        <v>825</v>
      </c>
      <c r="O1001" s="4">
        <f>VLOOKUP(B1001, 'All Menu'!B:L, 6, 0)</f>
        <v>3.6637931034482762</v>
      </c>
      <c r="P1001" s="6">
        <f>VLOOKUP(B1001, 'All Menu'!B:L, 9, 0)</f>
        <v>2.4239830634099619</v>
      </c>
      <c r="Q1001" s="14">
        <f>VLOOKUP(B1001, 'All Menu'!B:M, 12, 0)</f>
        <v>0.3383952109281046</v>
      </c>
      <c r="R1001" s="173">
        <f t="shared" si="62"/>
        <v>0</v>
      </c>
    </row>
    <row r="1002" spans="1:18" ht="14" hidden="1">
      <c r="A1002" s="78" t="s">
        <v>2664</v>
      </c>
      <c r="B1002" s="220" t="s">
        <v>902</v>
      </c>
      <c r="C1002" s="185"/>
      <c r="D1002" s="103" t="str">
        <f>VLOOKUP(B1002, 'All Menu'!B:M, 4, 0)</f>
        <v>دجاج بالكريمة وقية</v>
      </c>
      <c r="E1002" s="30" t="str">
        <f>VLOOKUP(B1002, 'All Menu'!B:M, 2, 0)</f>
        <v>قسم الصواني</v>
      </c>
      <c r="F1002" s="103" t="str">
        <f>VLOOKUP(B1002, 'All Menu'!B:M, 3, 0)</f>
        <v>صواني وصجيات سفري</v>
      </c>
      <c r="G1002" s="90" t="s">
        <v>3058</v>
      </c>
      <c r="H1002" s="188">
        <v>4290</v>
      </c>
      <c r="I1002" s="110" t="str">
        <f>VLOOKUP(H1002, 'RM &amp; SF'!B:H, 2, 0)</f>
        <v>علب قصدير مدور اوقية 250 غم RZ 18*****</v>
      </c>
      <c r="J1002" s="184" t="str">
        <f>VLOOKUP(H1002, 'RM &amp; SF'!B:E, 4, 0)</f>
        <v>قطعة</v>
      </c>
      <c r="K1002" s="12">
        <v>1</v>
      </c>
      <c r="L1002" s="13">
        <f>VLOOKUP(H1002, 'RM &amp; SF'!B:H, 7, 0)</f>
        <v>6.0344827586206906E-2</v>
      </c>
      <c r="M1002" s="7">
        <f t="shared" si="61"/>
        <v>6.0344827586206906E-2</v>
      </c>
      <c r="N1002" s="4" t="s">
        <v>825</v>
      </c>
      <c r="O1002" s="4">
        <f>VLOOKUP(B1002, 'All Menu'!B:L, 6, 0)</f>
        <v>3.6637931034482762</v>
      </c>
      <c r="P1002" s="6">
        <f>VLOOKUP(B1002, 'All Menu'!B:L, 9, 0)</f>
        <v>2.4239830634099619</v>
      </c>
      <c r="Q1002" s="14">
        <f>VLOOKUP(B1002, 'All Menu'!B:M, 12, 0)</f>
        <v>0.3383952109281046</v>
      </c>
      <c r="R1002" s="173">
        <f t="shared" si="62"/>
        <v>0</v>
      </c>
    </row>
    <row r="1003" spans="1:18" ht="14" hidden="1">
      <c r="A1003" s="78" t="s">
        <v>2664</v>
      </c>
      <c r="B1003" s="220" t="s">
        <v>902</v>
      </c>
      <c r="C1003" s="185"/>
      <c r="D1003" s="103" t="str">
        <f>VLOOKUP(B1003, 'All Menu'!B:M, 4, 0)</f>
        <v>دجاج بالكريمة وقية</v>
      </c>
      <c r="E1003" s="30" t="str">
        <f>VLOOKUP(B1003, 'All Menu'!B:M, 2, 0)</f>
        <v>قسم الصواني</v>
      </c>
      <c r="F1003" s="103" t="str">
        <f>VLOOKUP(B1003, 'All Menu'!B:M, 3, 0)</f>
        <v>صواني وصجيات سفري</v>
      </c>
      <c r="G1003" s="90" t="s">
        <v>3058</v>
      </c>
      <c r="H1003" s="188">
        <v>4274</v>
      </c>
      <c r="I1003" s="110" t="str">
        <f>VLOOKUP(H1003, 'RM &amp; SF'!B:H, 2, 0)</f>
        <v>علب المركزية مطبوع + قاطع رقم 1 1*100 حبة*****</v>
      </c>
      <c r="J1003" s="184" t="str">
        <f>VLOOKUP(H1003, 'RM &amp; SF'!B:E, 4, 0)</f>
        <v>قطعة</v>
      </c>
      <c r="K1003" s="12">
        <v>1</v>
      </c>
      <c r="L1003" s="13">
        <f>VLOOKUP(H1003, 'RM &amp; SF'!B:H, 7, 0)</f>
        <v>0.25</v>
      </c>
      <c r="M1003" s="7">
        <f t="shared" si="61"/>
        <v>0.25</v>
      </c>
      <c r="N1003" s="4" t="s">
        <v>825</v>
      </c>
      <c r="O1003" s="4">
        <f>VLOOKUP(B1003, 'All Menu'!B:L, 6, 0)</f>
        <v>3.6637931034482762</v>
      </c>
      <c r="P1003" s="6">
        <f>VLOOKUP(B1003, 'All Menu'!B:L, 9, 0)</f>
        <v>2.4239830634099619</v>
      </c>
      <c r="Q1003" s="14">
        <f>VLOOKUP(B1003, 'All Menu'!B:M, 12, 0)</f>
        <v>0.3383952109281046</v>
      </c>
      <c r="R1003" s="173">
        <f t="shared" si="62"/>
        <v>0</v>
      </c>
    </row>
    <row r="1004" spans="1:18" ht="14" hidden="1">
      <c r="A1004" s="78" t="s">
        <v>2664</v>
      </c>
      <c r="B1004" s="220" t="s">
        <v>902</v>
      </c>
      <c r="C1004" s="185"/>
      <c r="D1004" s="103" t="str">
        <f>VLOOKUP(B1004, 'All Menu'!B:M, 4, 0)</f>
        <v>دجاج بالكريمة وقية</v>
      </c>
      <c r="E1004" s="30" t="str">
        <f>VLOOKUP(B1004, 'All Menu'!B:M, 2, 0)</f>
        <v>قسم الصواني</v>
      </c>
      <c r="F1004" s="103" t="str">
        <f>VLOOKUP(B1004, 'All Menu'!B:M, 3, 0)</f>
        <v>صواني وصجيات سفري</v>
      </c>
      <c r="G1004" s="90" t="s">
        <v>2193</v>
      </c>
      <c r="H1004" s="188">
        <v>4309</v>
      </c>
      <c r="I1004" s="110" t="str">
        <f>VLOOKUP(H1004, 'RM &amp; SF'!B:H, 2, 0)</f>
        <v>اكياس بلاستيك مطبوع 55 سم*****</v>
      </c>
      <c r="J1004" s="184" t="str">
        <f>VLOOKUP(H1004, 'RM &amp; SF'!B:E, 4, 0)</f>
        <v>قطعة</v>
      </c>
      <c r="K1004" s="12">
        <v>1</v>
      </c>
      <c r="L1004" s="13">
        <f>VLOOKUP(H1004, 'RM &amp; SF'!B:H, 7, 0)</f>
        <v>5.5172413793103454E-2</v>
      </c>
      <c r="M1004" s="7">
        <f t="shared" si="61"/>
        <v>5.5172413793103454E-2</v>
      </c>
      <c r="N1004" s="4" t="s">
        <v>825</v>
      </c>
      <c r="O1004" s="4">
        <f>VLOOKUP(B1004, 'All Menu'!B:L, 6, 0)</f>
        <v>3.6637931034482762</v>
      </c>
      <c r="P1004" s="6">
        <f>VLOOKUP(B1004, 'All Menu'!B:L, 9, 0)</f>
        <v>2.4239830634099619</v>
      </c>
      <c r="Q1004" s="14">
        <f>VLOOKUP(B1004, 'All Menu'!B:M, 12, 0)</f>
        <v>0.3383952109281046</v>
      </c>
      <c r="R1004" s="173">
        <f t="shared" si="62"/>
        <v>0</v>
      </c>
    </row>
    <row r="1005" spans="1:18" ht="14" hidden="1">
      <c r="A1005" s="78" t="s">
        <v>2664</v>
      </c>
      <c r="B1005" s="220" t="s">
        <v>902</v>
      </c>
      <c r="C1005" s="185"/>
      <c r="D1005" s="103" t="str">
        <f>VLOOKUP(B1005, 'All Menu'!B:M, 4, 0)</f>
        <v>دجاج بالكريمة وقية</v>
      </c>
      <c r="E1005" s="30" t="str">
        <f>VLOOKUP(B1005, 'All Menu'!B:M, 2, 0)</f>
        <v>قسم الصواني</v>
      </c>
      <c r="F1005" s="103" t="str">
        <f>VLOOKUP(B1005, 'All Menu'!B:M, 3, 0)</f>
        <v>صواني وصجيات سفري</v>
      </c>
      <c r="G1005" s="90" t="s">
        <v>2341</v>
      </c>
      <c r="H1005" s="219" t="s">
        <v>706</v>
      </c>
      <c r="I1005" s="110" t="str">
        <f>VLOOKUP(H1005, 'RM &amp; SF'!B:H, 2, 0)</f>
        <v>لوز مقلي</v>
      </c>
      <c r="J1005" s="184" t="str">
        <f>VLOOKUP(H1005, 'RM &amp; SF'!B:E, 4, 0)</f>
        <v>غم</v>
      </c>
      <c r="K1005" s="12">
        <v>15</v>
      </c>
      <c r="L1005" s="13">
        <f>VLOOKUP(H1005, 'RM &amp; SF'!B:H, 7, 0)</f>
        <v>4.1352327586206888E-3</v>
      </c>
      <c r="M1005" s="7">
        <f t="shared" si="61"/>
        <v>6.2028491379310331E-2</v>
      </c>
      <c r="N1005" s="4" t="s">
        <v>825</v>
      </c>
      <c r="O1005" s="4">
        <f>VLOOKUP(B1005, 'All Menu'!B:L, 6, 0)</f>
        <v>3.6637931034482762</v>
      </c>
      <c r="P1005" s="6">
        <f>VLOOKUP(B1005, 'All Menu'!B:L, 9, 0)</f>
        <v>2.4239830634099619</v>
      </c>
      <c r="Q1005" s="14">
        <f>VLOOKUP(B1005, 'All Menu'!B:M, 12, 0)</f>
        <v>0.3383952109281046</v>
      </c>
      <c r="R1005" s="173">
        <f t="shared" si="62"/>
        <v>0</v>
      </c>
    </row>
    <row r="1006" spans="1:18" ht="14" hidden="1">
      <c r="A1006" s="78" t="s">
        <v>2641</v>
      </c>
      <c r="B1006" s="220" t="s">
        <v>903</v>
      </c>
      <c r="C1006" s="185"/>
      <c r="D1006" s="103" t="str">
        <f>VLOOKUP(B1006, 'All Menu'!B:M, 4, 0)</f>
        <v>كفتة طحينية وقية</v>
      </c>
      <c r="E1006" s="30" t="str">
        <f>VLOOKUP(B1006, 'All Menu'!B:M, 2, 0)</f>
        <v>قسم الصواني</v>
      </c>
      <c r="F1006" s="103" t="str">
        <f>VLOOKUP(B1006, 'All Menu'!B:M, 3, 0)</f>
        <v>صواني وصجيات سفري</v>
      </c>
      <c r="G1006" s="90" t="s">
        <v>2414</v>
      </c>
      <c r="H1006" s="219" t="s">
        <v>485</v>
      </c>
      <c r="I1006" s="110" t="str">
        <f>VLOOKUP(H1006, 'RM &amp; SF'!B:H, 2, 0)</f>
        <v>كفتة للصواني</v>
      </c>
      <c r="J1006" s="184" t="str">
        <f>VLOOKUP(H1006, 'RM &amp; SF'!B:E, 4, 0)</f>
        <v>غم</v>
      </c>
      <c r="K1006" s="12">
        <v>200</v>
      </c>
      <c r="L1006" s="13">
        <f>VLOOKUP(H1006, 'RM &amp; SF'!B:H, 7, 0)</f>
        <v>6.7141943181818174E-3</v>
      </c>
      <c r="M1006" s="7">
        <f t="shared" si="61"/>
        <v>1.3428388636363635</v>
      </c>
      <c r="N1006" s="4" t="s">
        <v>825</v>
      </c>
      <c r="O1006" s="4">
        <f>VLOOKUP(B1006, 'All Menu'!B:L, 6, 0)</f>
        <v>3.6637931034482762</v>
      </c>
      <c r="P1006" s="6">
        <f>VLOOKUP(B1006, 'All Menu'!B:L, 9, 0)</f>
        <v>1.9895221732843555</v>
      </c>
      <c r="Q1006" s="14">
        <f>VLOOKUP(B1006, 'All Menu'!B:M, 12, 0)</f>
        <v>0.45697747740944655</v>
      </c>
      <c r="R1006" s="173">
        <f t="shared" si="62"/>
        <v>0</v>
      </c>
    </row>
    <row r="1007" spans="1:18" ht="14" hidden="1">
      <c r="A1007" s="78" t="s">
        <v>2641</v>
      </c>
      <c r="B1007" s="220" t="s">
        <v>903</v>
      </c>
      <c r="C1007" s="185"/>
      <c r="D1007" s="103" t="str">
        <f>VLOOKUP(B1007, 'All Menu'!B:M, 4, 0)</f>
        <v>كفتة طحينية وقية</v>
      </c>
      <c r="E1007" s="30" t="str">
        <f>VLOOKUP(B1007, 'All Menu'!B:M, 2, 0)</f>
        <v>قسم الصواني</v>
      </c>
      <c r="F1007" s="103" t="str">
        <f>VLOOKUP(B1007, 'All Menu'!B:M, 3, 0)</f>
        <v>صواني وصجيات سفري</v>
      </c>
      <c r="G1007" s="90" t="s">
        <v>2230</v>
      </c>
      <c r="H1007" s="188">
        <v>4497</v>
      </c>
      <c r="I1007" s="110" t="str">
        <f>VLOOKUP(H1007, 'RM &amp; SF'!B:H, 2, 0)</f>
        <v>بطاطا*****</v>
      </c>
      <c r="J1007" s="184" t="str">
        <f>VLOOKUP(H1007, 'RM &amp; SF'!B:E, 4, 0)</f>
        <v>غم</v>
      </c>
      <c r="K1007" s="12">
        <v>80</v>
      </c>
      <c r="L1007" s="13">
        <f>VLOOKUP(H1007, 'RM &amp; SF'!B:H, 7, 0)</f>
        <v>4.0000000000000002E-4</v>
      </c>
      <c r="M1007" s="7">
        <f t="shared" si="61"/>
        <v>3.2000000000000001E-2</v>
      </c>
      <c r="N1007" s="4" t="s">
        <v>825</v>
      </c>
      <c r="O1007" s="4">
        <f>VLOOKUP(B1007, 'All Menu'!B:L, 6, 0)</f>
        <v>3.6637931034482762</v>
      </c>
      <c r="P1007" s="6">
        <f>VLOOKUP(B1007, 'All Menu'!B:L, 9, 0)</f>
        <v>1.9895221732843555</v>
      </c>
      <c r="Q1007" s="14">
        <f>VLOOKUP(B1007, 'All Menu'!B:M, 12, 0)</f>
        <v>0.45697747740944655</v>
      </c>
      <c r="R1007" s="173">
        <f t="shared" si="62"/>
        <v>0</v>
      </c>
    </row>
    <row r="1008" spans="1:18" ht="14" hidden="1">
      <c r="A1008" s="78" t="s">
        <v>2641</v>
      </c>
      <c r="B1008" s="220" t="s">
        <v>903</v>
      </c>
      <c r="C1008" s="185"/>
      <c r="D1008" s="103" t="str">
        <f>VLOOKUP(B1008, 'All Menu'!B:M, 4, 0)</f>
        <v>كفتة طحينية وقية</v>
      </c>
      <c r="E1008" s="30" t="str">
        <f>VLOOKUP(B1008, 'All Menu'!B:M, 2, 0)</f>
        <v>قسم الصواني</v>
      </c>
      <c r="F1008" s="103" t="str">
        <f>VLOOKUP(B1008, 'All Menu'!B:M, 3, 0)</f>
        <v>صواني وصجيات سفري</v>
      </c>
      <c r="G1008" s="90" t="s">
        <v>2430</v>
      </c>
      <c r="H1008" s="219" t="s">
        <v>636</v>
      </c>
      <c r="I1008" s="110" t="str">
        <f>VLOOKUP(H1008, 'RM &amp; SF'!B:H, 2, 0)</f>
        <v>صوص طحينية للصواني</v>
      </c>
      <c r="J1008" s="184" t="str">
        <f>VLOOKUP(H1008, 'RM &amp; SF'!B:E, 4, 0)</f>
        <v>غم</v>
      </c>
      <c r="K1008" s="12">
        <v>240</v>
      </c>
      <c r="L1008" s="13">
        <f>VLOOKUP(H1008, 'RM &amp; SF'!B:H, 7, 0)</f>
        <v>1.0115232451499119E-3</v>
      </c>
      <c r="M1008" s="7">
        <f t="shared" si="61"/>
        <v>0.24276557883597888</v>
      </c>
      <c r="N1008" s="4" t="s">
        <v>825</v>
      </c>
      <c r="O1008" s="4">
        <f>VLOOKUP(B1008, 'All Menu'!B:L, 6, 0)</f>
        <v>3.6637931034482762</v>
      </c>
      <c r="P1008" s="6">
        <f>VLOOKUP(B1008, 'All Menu'!B:L, 9, 0)</f>
        <v>1.9895221732843555</v>
      </c>
      <c r="Q1008" s="14">
        <f>VLOOKUP(B1008, 'All Menu'!B:M, 12, 0)</f>
        <v>0.45697747740944655</v>
      </c>
      <c r="R1008" s="173">
        <f t="shared" si="62"/>
        <v>0</v>
      </c>
    </row>
    <row r="1009" spans="1:18" ht="14" hidden="1">
      <c r="A1009" s="78" t="s">
        <v>2641</v>
      </c>
      <c r="B1009" s="220" t="s">
        <v>903</v>
      </c>
      <c r="C1009" s="185"/>
      <c r="D1009" s="103" t="str">
        <f>VLOOKUP(B1009, 'All Menu'!B:M, 4, 0)</f>
        <v>كفتة طحينية وقية</v>
      </c>
      <c r="E1009" s="30" t="str">
        <f>VLOOKUP(B1009, 'All Menu'!B:M, 2, 0)</f>
        <v>قسم الصواني</v>
      </c>
      <c r="F1009" s="103" t="str">
        <f>VLOOKUP(B1009, 'All Menu'!B:M, 3, 0)</f>
        <v>صواني وصجيات سفري</v>
      </c>
      <c r="G1009" s="90" t="s">
        <v>2368</v>
      </c>
      <c r="H1009" s="219" t="s">
        <v>768</v>
      </c>
      <c r="I1009" s="110" t="str">
        <f>VLOOKUP(H1009, 'RM &amp; SF'!B:H, 2, 0)</f>
        <v>بصل مقلي</v>
      </c>
      <c r="J1009" s="184" t="str">
        <f>VLOOKUP(H1009, 'RM &amp; SF'!B:E, 4, 0)</f>
        <v>غم</v>
      </c>
      <c r="K1009" s="22">
        <v>15</v>
      </c>
      <c r="L1009" s="13">
        <f>VLOOKUP(H1009, 'RM &amp; SF'!B:H, 7, 0)</f>
        <v>2.6400000000000002E-4</v>
      </c>
      <c r="M1009" s="15">
        <f t="shared" si="61"/>
        <v>3.96E-3</v>
      </c>
      <c r="N1009" s="21" t="s">
        <v>825</v>
      </c>
      <c r="O1009" s="4">
        <f>VLOOKUP(B1009, 'All Menu'!B:L, 6, 0)</f>
        <v>3.6637931034482762</v>
      </c>
      <c r="P1009" s="6">
        <f>VLOOKUP(B1009, 'All Menu'!B:L, 9, 0)</f>
        <v>1.9895221732843555</v>
      </c>
      <c r="Q1009" s="14">
        <f>VLOOKUP(B1009, 'All Menu'!B:M, 12, 0)</f>
        <v>0.45697747740944655</v>
      </c>
      <c r="R1009" s="173">
        <f t="shared" si="62"/>
        <v>0</v>
      </c>
    </row>
    <row r="1010" spans="1:18" ht="14" hidden="1">
      <c r="A1010" s="78" t="s">
        <v>2641</v>
      </c>
      <c r="B1010" s="220" t="s">
        <v>903</v>
      </c>
      <c r="C1010" s="185"/>
      <c r="D1010" s="103" t="str">
        <f>VLOOKUP(B1010, 'All Menu'!B:M, 4, 0)</f>
        <v>كفتة طحينية وقية</v>
      </c>
      <c r="E1010" s="30" t="str">
        <f>VLOOKUP(B1010, 'All Menu'!B:M, 2, 0)</f>
        <v>قسم الصواني</v>
      </c>
      <c r="F1010" s="103" t="str">
        <f>VLOOKUP(B1010, 'All Menu'!B:M, 3, 0)</f>
        <v>صواني وصجيات سفري</v>
      </c>
      <c r="G1010" s="90" t="s">
        <v>2231</v>
      </c>
      <c r="H1010" s="188">
        <v>4499</v>
      </c>
      <c r="I1010" s="110" t="str">
        <f>VLOOKUP(H1010, 'RM &amp; SF'!B:H, 2, 0)</f>
        <v>فلفل حار اخضر*****</v>
      </c>
      <c r="J1010" s="184" t="str">
        <f>VLOOKUP(H1010, 'RM &amp; SF'!B:E, 4, 0)</f>
        <v>غم</v>
      </c>
      <c r="K1010" s="12">
        <v>40</v>
      </c>
      <c r="L1010" s="13">
        <f>VLOOKUP(H1010, 'RM &amp; SF'!B:H, 7, 0)</f>
        <v>5.0000000000000001E-4</v>
      </c>
      <c r="M1010" s="7">
        <f t="shared" si="61"/>
        <v>0.02</v>
      </c>
      <c r="N1010" s="4" t="s">
        <v>825</v>
      </c>
      <c r="O1010" s="4">
        <f>VLOOKUP(B1010, 'All Menu'!B:L, 6, 0)</f>
        <v>3.6637931034482762</v>
      </c>
      <c r="P1010" s="6">
        <f>VLOOKUP(B1010, 'All Menu'!B:L, 9, 0)</f>
        <v>1.9895221732843555</v>
      </c>
      <c r="Q1010" s="14">
        <f>VLOOKUP(B1010, 'All Menu'!B:M, 12, 0)</f>
        <v>0.45697747740944655</v>
      </c>
      <c r="R1010" s="173">
        <f t="shared" si="62"/>
        <v>0</v>
      </c>
    </row>
    <row r="1011" spans="1:18" ht="14" hidden="1">
      <c r="A1011" s="78" t="s">
        <v>2641</v>
      </c>
      <c r="B1011" s="220" t="s">
        <v>903</v>
      </c>
      <c r="C1011" s="185"/>
      <c r="D1011" s="103" t="str">
        <f>VLOOKUP(B1011, 'All Menu'!B:M, 4, 0)</f>
        <v>كفتة طحينية وقية</v>
      </c>
      <c r="E1011" s="30" t="str">
        <f>VLOOKUP(B1011, 'All Menu'!B:M, 2, 0)</f>
        <v>قسم الصواني</v>
      </c>
      <c r="F1011" s="103" t="str">
        <f>VLOOKUP(B1011, 'All Menu'!B:M, 3, 0)</f>
        <v>صواني وصجيات سفري</v>
      </c>
      <c r="G1011" s="90" t="s">
        <v>3058</v>
      </c>
      <c r="H1011" s="188">
        <v>4290</v>
      </c>
      <c r="I1011" s="110" t="str">
        <f>VLOOKUP(H1011, 'RM &amp; SF'!B:H, 2, 0)</f>
        <v>علب قصدير مدور اوقية 250 غم RZ 18*****</v>
      </c>
      <c r="J1011" s="184" t="str">
        <f>VLOOKUP(H1011, 'RM &amp; SF'!B:E, 4, 0)</f>
        <v>قطعة</v>
      </c>
      <c r="K1011" s="12">
        <v>1</v>
      </c>
      <c r="L1011" s="13">
        <f>VLOOKUP(H1011, 'RM &amp; SF'!B:H, 7, 0)</f>
        <v>6.0344827586206906E-2</v>
      </c>
      <c r="M1011" s="7">
        <f t="shared" si="61"/>
        <v>6.0344827586206906E-2</v>
      </c>
      <c r="N1011" s="4" t="s">
        <v>825</v>
      </c>
      <c r="O1011" s="4">
        <f>VLOOKUP(B1011, 'All Menu'!B:L, 6, 0)</f>
        <v>3.6637931034482762</v>
      </c>
      <c r="P1011" s="6">
        <f>VLOOKUP(B1011, 'All Menu'!B:L, 9, 0)</f>
        <v>1.9895221732843555</v>
      </c>
      <c r="Q1011" s="14">
        <f>VLOOKUP(B1011, 'All Menu'!B:M, 12, 0)</f>
        <v>0.45697747740944655</v>
      </c>
      <c r="R1011" s="173">
        <f t="shared" si="62"/>
        <v>0</v>
      </c>
    </row>
    <row r="1012" spans="1:18" ht="14" hidden="1">
      <c r="A1012" s="78" t="s">
        <v>2641</v>
      </c>
      <c r="B1012" s="220" t="s">
        <v>903</v>
      </c>
      <c r="C1012" s="185"/>
      <c r="D1012" s="103" t="str">
        <f>VLOOKUP(B1012, 'All Menu'!B:M, 4, 0)</f>
        <v>كفتة طحينية وقية</v>
      </c>
      <c r="E1012" s="30" t="str">
        <f>VLOOKUP(B1012, 'All Menu'!B:M, 2, 0)</f>
        <v>قسم الصواني</v>
      </c>
      <c r="F1012" s="103" t="str">
        <f>VLOOKUP(B1012, 'All Menu'!B:M, 3, 0)</f>
        <v>صواني وصجيات سفري</v>
      </c>
      <c r="G1012" s="90" t="s">
        <v>3058</v>
      </c>
      <c r="H1012" s="188">
        <v>4274</v>
      </c>
      <c r="I1012" s="110" t="str">
        <f>VLOOKUP(H1012, 'RM &amp; SF'!B:H, 2, 0)</f>
        <v>علب المركزية مطبوع + قاطع رقم 1 1*100 حبة*****</v>
      </c>
      <c r="J1012" s="184" t="str">
        <f>VLOOKUP(H1012, 'RM &amp; SF'!B:E, 4, 0)</f>
        <v>قطعة</v>
      </c>
      <c r="K1012" s="12">
        <v>1</v>
      </c>
      <c r="L1012" s="13">
        <f>VLOOKUP(H1012, 'RM &amp; SF'!B:H, 7, 0)</f>
        <v>0.25</v>
      </c>
      <c r="M1012" s="7">
        <f t="shared" si="61"/>
        <v>0.25</v>
      </c>
      <c r="N1012" s="4" t="s">
        <v>825</v>
      </c>
      <c r="O1012" s="4">
        <f>VLOOKUP(B1012, 'All Menu'!B:L, 6, 0)</f>
        <v>3.6637931034482762</v>
      </c>
      <c r="P1012" s="6">
        <f>VLOOKUP(B1012, 'All Menu'!B:L, 9, 0)</f>
        <v>1.9895221732843555</v>
      </c>
      <c r="Q1012" s="14">
        <f>VLOOKUP(B1012, 'All Menu'!B:M, 12, 0)</f>
        <v>0.45697747740944655</v>
      </c>
      <c r="R1012" s="173">
        <f t="shared" si="62"/>
        <v>0</v>
      </c>
    </row>
    <row r="1013" spans="1:18" ht="14" hidden="1">
      <c r="A1013" s="78" t="s">
        <v>2641</v>
      </c>
      <c r="B1013" s="220" t="s">
        <v>903</v>
      </c>
      <c r="C1013" s="185"/>
      <c r="D1013" s="103" t="str">
        <f>VLOOKUP(B1013, 'All Menu'!B:M, 4, 0)</f>
        <v>كفتة طحينية وقية</v>
      </c>
      <c r="E1013" s="30" t="str">
        <f>VLOOKUP(B1013, 'All Menu'!B:M, 2, 0)</f>
        <v>قسم الصواني</v>
      </c>
      <c r="F1013" s="103" t="str">
        <f>VLOOKUP(B1013, 'All Menu'!B:M, 3, 0)</f>
        <v>صواني وصجيات سفري</v>
      </c>
      <c r="G1013" s="90" t="s">
        <v>2331</v>
      </c>
      <c r="H1013" s="219" t="s">
        <v>530</v>
      </c>
      <c r="I1013" s="110" t="str">
        <f>VLOOKUP(H1013, 'RM &amp; SF'!B:H, 2, 0)</f>
        <v>خبز صاج</v>
      </c>
      <c r="J1013" s="184" t="str">
        <f>VLOOKUP(H1013, 'RM &amp; SF'!B:E, 4, 0)</f>
        <v>غم</v>
      </c>
      <c r="K1013" s="12">
        <v>200</v>
      </c>
      <c r="L1013" s="13">
        <f>VLOOKUP(H1013, 'RM &amp; SF'!B:H, 7, 0)</f>
        <v>1.8806451612903227E-4</v>
      </c>
      <c r="M1013" s="7">
        <f t="shared" si="61"/>
        <v>3.7612903225806453E-2</v>
      </c>
      <c r="N1013" s="4" t="s">
        <v>825</v>
      </c>
      <c r="O1013" s="4">
        <f>VLOOKUP(B1013, 'All Menu'!B:L, 6, 0)</f>
        <v>3.6637931034482762</v>
      </c>
      <c r="P1013" s="6">
        <f>VLOOKUP(B1013, 'All Menu'!B:L, 9, 0)</f>
        <v>1.9895221732843555</v>
      </c>
      <c r="Q1013" s="14">
        <f>VLOOKUP(B1013, 'All Menu'!B:M, 12, 0)</f>
        <v>0.45697747740944655</v>
      </c>
      <c r="R1013" s="173">
        <f t="shared" si="62"/>
        <v>0</v>
      </c>
    </row>
    <row r="1014" spans="1:18" ht="14" hidden="1">
      <c r="A1014" s="78" t="s">
        <v>2637</v>
      </c>
      <c r="B1014" s="220" t="s">
        <v>904</v>
      </c>
      <c r="C1014" s="185"/>
      <c r="D1014" s="103" t="str">
        <f>VLOOKUP(B1014, 'All Menu'!B:M, 4, 0)</f>
        <v>فتة الباذنجان</v>
      </c>
      <c r="E1014" s="30" t="str">
        <f>VLOOKUP(B1014, 'All Menu'!B:M, 2, 0)</f>
        <v>قسم الصواني</v>
      </c>
      <c r="F1014" s="103" t="str">
        <f>VLOOKUP(B1014, 'All Menu'!B:M, 3, 0)</f>
        <v>فتات سفري</v>
      </c>
      <c r="G1014" s="90" t="s">
        <v>2405</v>
      </c>
      <c r="H1014" s="219" t="s">
        <v>494</v>
      </c>
      <c r="I1014" s="110" t="str">
        <f>VLOOKUP(H1014, 'RM &amp; SF'!B:H, 2, 0)</f>
        <v>لحمة مفرومة</v>
      </c>
      <c r="J1014" s="184" t="str">
        <f>VLOOKUP(H1014, 'RM &amp; SF'!B:E, 4, 0)</f>
        <v>غم</v>
      </c>
      <c r="K1014" s="12">
        <v>70</v>
      </c>
      <c r="L1014" s="13">
        <f>VLOOKUP(H1014, 'RM &amp; SF'!B:H, 7, 0)</f>
        <v>7.2070000000000007E-3</v>
      </c>
      <c r="M1014" s="7">
        <f t="shared" si="61"/>
        <v>0.50449000000000011</v>
      </c>
      <c r="N1014" s="4" t="s">
        <v>825</v>
      </c>
      <c r="O1014" s="4">
        <f>VLOOKUP(B1014, 'All Menu'!B:L, 6, 0)</f>
        <v>4.6551724137931041</v>
      </c>
      <c r="P1014" s="6">
        <f>VLOOKUP(B1014, 'All Menu'!B:L, 9, 0)</f>
        <v>1.4426836167370332</v>
      </c>
      <c r="Q1014" s="14">
        <f>VLOOKUP(B1014, 'All Menu'!B:M, 12, 0)</f>
        <v>0.69009018603426697</v>
      </c>
      <c r="R1014" s="173">
        <f t="shared" si="62"/>
        <v>0</v>
      </c>
    </row>
    <row r="1015" spans="1:18" ht="14" hidden="1">
      <c r="A1015" s="78" t="s">
        <v>2637</v>
      </c>
      <c r="B1015" s="220" t="s">
        <v>904</v>
      </c>
      <c r="C1015" s="185"/>
      <c r="D1015" s="103" t="str">
        <f>VLOOKUP(B1015, 'All Menu'!B:M, 4, 0)</f>
        <v>فتة الباذنجان</v>
      </c>
      <c r="E1015" s="30" t="str">
        <f>VLOOKUP(B1015, 'All Menu'!B:M, 2, 0)</f>
        <v>قسم الصواني</v>
      </c>
      <c r="F1015" s="103" t="str">
        <f>VLOOKUP(B1015, 'All Menu'!B:M, 3, 0)</f>
        <v>فتات سفري</v>
      </c>
      <c r="G1015" s="90" t="s">
        <v>2229</v>
      </c>
      <c r="H1015" s="188">
        <v>4494</v>
      </c>
      <c r="I1015" s="110" t="str">
        <f>VLOOKUP(H1015, 'RM &amp; SF'!B:H, 2, 0)</f>
        <v>باذنجان (اسود) كلاسك*****</v>
      </c>
      <c r="J1015" s="184" t="str">
        <f>VLOOKUP(H1015, 'RM &amp; SF'!B:E, 4, 0)</f>
        <v>غم</v>
      </c>
      <c r="K1015" s="12">
        <v>70</v>
      </c>
      <c r="L1015" s="13">
        <f>VLOOKUP(H1015, 'RM &amp; SF'!B:H, 7, 0)</f>
        <v>4.4999999999999999E-4</v>
      </c>
      <c r="M1015" s="7">
        <f t="shared" si="61"/>
        <v>3.15E-2</v>
      </c>
      <c r="N1015" s="4" t="s">
        <v>825</v>
      </c>
      <c r="O1015" s="4">
        <f>VLOOKUP(B1015, 'All Menu'!B:L, 6, 0)</f>
        <v>4.6551724137931041</v>
      </c>
      <c r="P1015" s="6">
        <f>VLOOKUP(B1015, 'All Menu'!B:L, 9, 0)</f>
        <v>1.4426836167370332</v>
      </c>
      <c r="Q1015" s="14">
        <f>VLOOKUP(B1015, 'All Menu'!B:M, 12, 0)</f>
        <v>0.69009018603426697</v>
      </c>
      <c r="R1015" s="173">
        <f t="shared" si="62"/>
        <v>0</v>
      </c>
    </row>
    <row r="1016" spans="1:18" ht="14" hidden="1">
      <c r="A1016" s="78" t="s">
        <v>2637</v>
      </c>
      <c r="B1016" s="220" t="s">
        <v>904</v>
      </c>
      <c r="C1016" s="185"/>
      <c r="D1016" s="103" t="str">
        <f>VLOOKUP(B1016, 'All Menu'!B:M, 4, 0)</f>
        <v>فتة الباذنجان</v>
      </c>
      <c r="E1016" s="30" t="str">
        <f>VLOOKUP(B1016, 'All Menu'!B:M, 2, 0)</f>
        <v>قسم الصواني</v>
      </c>
      <c r="F1016" s="103" t="str">
        <f>VLOOKUP(B1016, 'All Menu'!B:M, 3, 0)</f>
        <v>فتات سفري</v>
      </c>
      <c r="G1016" s="90" t="s">
        <v>2434</v>
      </c>
      <c r="H1016" s="219" t="s">
        <v>574</v>
      </c>
      <c r="I1016" s="110" t="str">
        <f>VLOOKUP(H1016, 'RM &amp; SF'!B:H, 2, 0)</f>
        <v>صوص بندورة</v>
      </c>
      <c r="J1016" s="184" t="str">
        <f>VLOOKUP(H1016, 'RM &amp; SF'!B:E, 4, 0)</f>
        <v>غم</v>
      </c>
      <c r="K1016" s="12">
        <v>200</v>
      </c>
      <c r="L1016" s="13">
        <f>VLOOKUP(H1016, 'RM &amp; SF'!B:H, 7, 0)</f>
        <v>1.1346600487634969E-3</v>
      </c>
      <c r="M1016" s="7">
        <f t="shared" si="61"/>
        <v>0.22693200975269939</v>
      </c>
      <c r="N1016" s="4" t="s">
        <v>825</v>
      </c>
      <c r="O1016" s="4">
        <f>VLOOKUP(B1016, 'All Menu'!B:L, 6, 0)</f>
        <v>4.6551724137931041</v>
      </c>
      <c r="P1016" s="6">
        <f>VLOOKUP(B1016, 'All Menu'!B:L, 9, 0)</f>
        <v>1.4426836167370332</v>
      </c>
      <c r="Q1016" s="14">
        <f>VLOOKUP(B1016, 'All Menu'!B:M, 12, 0)</f>
        <v>0.69009018603426697</v>
      </c>
      <c r="R1016" s="173">
        <f t="shared" si="62"/>
        <v>0</v>
      </c>
    </row>
    <row r="1017" spans="1:18" ht="14" hidden="1">
      <c r="A1017" s="78" t="s">
        <v>2637</v>
      </c>
      <c r="B1017" s="220" t="s">
        <v>904</v>
      </c>
      <c r="C1017" s="185"/>
      <c r="D1017" s="103" t="str">
        <f>VLOOKUP(B1017, 'All Menu'!B:M, 4, 0)</f>
        <v>فتة الباذنجان</v>
      </c>
      <c r="E1017" s="30" t="str">
        <f>VLOOKUP(B1017, 'All Menu'!B:M, 2, 0)</f>
        <v>قسم الصواني</v>
      </c>
      <c r="F1017" s="103" t="str">
        <f>VLOOKUP(B1017, 'All Menu'!B:M, 3, 0)</f>
        <v>فتات سفري</v>
      </c>
      <c r="G1017" s="90" t="s">
        <v>2225</v>
      </c>
      <c r="H1017" s="188">
        <v>4991</v>
      </c>
      <c r="I1017" s="110" t="str">
        <f>VLOOKUP(H1017, 'RM &amp; SF'!B:H, 2, 0)</f>
        <v>خبز عربي (خبز لبناني) صغير*****</v>
      </c>
      <c r="J1017" s="184" t="str">
        <f>VLOOKUP(H1017, 'RM &amp; SF'!B:E, 4, 0)</f>
        <v>غم</v>
      </c>
      <c r="K1017" s="12">
        <v>75</v>
      </c>
      <c r="L1017" s="13">
        <f>VLOOKUP(H1017, 'RM &amp; SF'!B:H, 7, 0)</f>
        <v>3.2000000000000003E-4</v>
      </c>
      <c r="M1017" s="7">
        <f t="shared" ref="M1017:M1080" si="63">L1017*K1017</f>
        <v>2.4E-2</v>
      </c>
      <c r="N1017" s="4" t="s">
        <v>825</v>
      </c>
      <c r="O1017" s="4">
        <f>VLOOKUP(B1017, 'All Menu'!B:L, 6, 0)</f>
        <v>4.6551724137931041</v>
      </c>
      <c r="P1017" s="6">
        <f>VLOOKUP(B1017, 'All Menu'!B:L, 9, 0)</f>
        <v>1.4426836167370332</v>
      </c>
      <c r="Q1017" s="14">
        <f>VLOOKUP(B1017, 'All Menu'!B:M, 12, 0)</f>
        <v>0.69009018603426697</v>
      </c>
      <c r="R1017" s="173">
        <f t="shared" si="62"/>
        <v>0</v>
      </c>
    </row>
    <row r="1018" spans="1:18" ht="14" hidden="1">
      <c r="A1018" s="78" t="s">
        <v>2637</v>
      </c>
      <c r="B1018" s="220" t="s">
        <v>904</v>
      </c>
      <c r="C1018" s="185"/>
      <c r="D1018" s="103" t="str">
        <f>VLOOKUP(B1018, 'All Menu'!B:M, 4, 0)</f>
        <v>فتة الباذنجان</v>
      </c>
      <c r="E1018" s="30" t="str">
        <f>VLOOKUP(B1018, 'All Menu'!B:M, 2, 0)</f>
        <v>قسم الصواني</v>
      </c>
      <c r="F1018" s="103" t="str">
        <f>VLOOKUP(B1018, 'All Menu'!B:M, 3, 0)</f>
        <v>فتات سفري</v>
      </c>
      <c r="G1018" s="90" t="s">
        <v>2370</v>
      </c>
      <c r="H1018" s="219" t="s">
        <v>774</v>
      </c>
      <c r="I1018" s="110" t="str">
        <f>VLOOKUP(H1018, 'RM &amp; SF'!B:H, 2, 0)</f>
        <v>بدوه</v>
      </c>
      <c r="J1018" s="184" t="str">
        <f>VLOOKUP(H1018, 'RM &amp; SF'!B:E, 4, 0)</f>
        <v>غم</v>
      </c>
      <c r="K1018" s="12">
        <v>190</v>
      </c>
      <c r="L1018" s="13">
        <f>VLOOKUP(H1018, 'RM &amp; SF'!B:H, 7, 0)</f>
        <v>9.0050237795747236E-4</v>
      </c>
      <c r="M1018" s="7">
        <f t="shared" si="63"/>
        <v>0.17109545181191974</v>
      </c>
      <c r="N1018" s="4" t="s">
        <v>825</v>
      </c>
      <c r="O1018" s="4">
        <f>VLOOKUP(B1018, 'All Menu'!B:L, 6, 0)</f>
        <v>4.6551724137931041</v>
      </c>
      <c r="P1018" s="6">
        <f>VLOOKUP(B1018, 'All Menu'!B:L, 9, 0)</f>
        <v>1.4426836167370332</v>
      </c>
      <c r="Q1018" s="14">
        <f>VLOOKUP(B1018, 'All Menu'!B:M, 12, 0)</f>
        <v>0.69009018603426697</v>
      </c>
      <c r="R1018" s="173">
        <f t="shared" si="62"/>
        <v>0</v>
      </c>
    </row>
    <row r="1019" spans="1:18" ht="14" hidden="1">
      <c r="A1019" s="78" t="s">
        <v>2637</v>
      </c>
      <c r="B1019" s="220" t="s">
        <v>904</v>
      </c>
      <c r="C1019" s="185"/>
      <c r="D1019" s="103" t="str">
        <f>VLOOKUP(B1019, 'All Menu'!B:M, 4, 0)</f>
        <v>فتة الباذنجان</v>
      </c>
      <c r="E1019" s="30" t="str">
        <f>VLOOKUP(B1019, 'All Menu'!B:M, 2, 0)</f>
        <v>قسم الصواني</v>
      </c>
      <c r="F1019" s="103" t="str">
        <f>VLOOKUP(B1019, 'All Menu'!B:M, 3, 0)</f>
        <v>فتات سفري</v>
      </c>
      <c r="G1019" s="90" t="s">
        <v>2341</v>
      </c>
      <c r="H1019" s="219" t="s">
        <v>706</v>
      </c>
      <c r="I1019" s="110" t="str">
        <f>VLOOKUP(H1019, 'RM &amp; SF'!B:H, 2, 0)</f>
        <v>لوز مقلي</v>
      </c>
      <c r="J1019" s="184" t="str">
        <f>VLOOKUP(H1019, 'RM &amp; SF'!B:E, 4, 0)</f>
        <v>غم</v>
      </c>
      <c r="K1019" s="12">
        <v>10</v>
      </c>
      <c r="L1019" s="13">
        <f>VLOOKUP(H1019, 'RM &amp; SF'!B:H, 7, 0)</f>
        <v>4.1352327586206888E-3</v>
      </c>
      <c r="M1019" s="7">
        <f t="shared" si="63"/>
        <v>4.135232758620689E-2</v>
      </c>
      <c r="N1019" s="4" t="s">
        <v>825</v>
      </c>
      <c r="O1019" s="4">
        <f>VLOOKUP(B1019, 'All Menu'!B:L, 6, 0)</f>
        <v>4.6551724137931041</v>
      </c>
      <c r="P1019" s="6">
        <f>VLOOKUP(B1019, 'All Menu'!B:L, 9, 0)</f>
        <v>1.4426836167370332</v>
      </c>
      <c r="Q1019" s="14">
        <f>VLOOKUP(B1019, 'All Menu'!B:M, 12, 0)</f>
        <v>0.69009018603426697</v>
      </c>
      <c r="R1019" s="173">
        <f t="shared" si="62"/>
        <v>0</v>
      </c>
    </row>
    <row r="1020" spans="1:18" ht="14" hidden="1">
      <c r="A1020" s="78" t="s">
        <v>2637</v>
      </c>
      <c r="B1020" s="220" t="s">
        <v>904</v>
      </c>
      <c r="C1020" s="185"/>
      <c r="D1020" s="103" t="str">
        <f>VLOOKUP(B1020, 'All Menu'!B:M, 4, 0)</f>
        <v>فتة الباذنجان</v>
      </c>
      <c r="E1020" s="30" t="str">
        <f>VLOOKUP(B1020, 'All Menu'!B:M, 2, 0)</f>
        <v>قسم الصواني</v>
      </c>
      <c r="F1020" s="103" t="str">
        <f>VLOOKUP(B1020, 'All Menu'!B:M, 3, 0)</f>
        <v>فتات سفري</v>
      </c>
      <c r="G1020" s="90" t="s">
        <v>2180</v>
      </c>
      <c r="H1020" s="188">
        <v>4791</v>
      </c>
      <c r="I1020" s="110" t="str">
        <f>VLOOKUP(H1020, 'RM &amp; SF'!B:H, 2, 0)</f>
        <v>سمنة بلدية 5 كغ*****</v>
      </c>
      <c r="J1020" s="184" t="str">
        <f>VLOOKUP(H1020, 'RM &amp; SF'!B:E, 4, 0)</f>
        <v>غم</v>
      </c>
      <c r="K1020" s="12">
        <v>15</v>
      </c>
      <c r="L1020" s="13">
        <f>VLOOKUP(H1020, 'RM &amp; SF'!B:H, 7, 0)</f>
        <v>8.3330000000000001E-3</v>
      </c>
      <c r="M1020" s="7">
        <f t="shared" si="63"/>
        <v>0.12499499999999999</v>
      </c>
      <c r="N1020" s="4" t="s">
        <v>825</v>
      </c>
      <c r="O1020" s="4">
        <f>VLOOKUP(B1020, 'All Menu'!B:L, 6, 0)</f>
        <v>4.6551724137931041</v>
      </c>
      <c r="P1020" s="6">
        <f>VLOOKUP(B1020, 'All Menu'!B:L, 9, 0)</f>
        <v>1.4426836167370332</v>
      </c>
      <c r="Q1020" s="14">
        <f>VLOOKUP(B1020, 'All Menu'!B:M, 12, 0)</f>
        <v>0.69009018603426697</v>
      </c>
      <c r="R1020" s="173">
        <f t="shared" si="62"/>
        <v>0</v>
      </c>
    </row>
    <row r="1021" spans="1:18" ht="14" hidden="1">
      <c r="A1021" s="78" t="s">
        <v>2637</v>
      </c>
      <c r="B1021" s="220" t="s">
        <v>904</v>
      </c>
      <c r="C1021" s="185"/>
      <c r="D1021" s="103" t="str">
        <f>VLOOKUP(B1021, 'All Menu'!B:M, 4, 0)</f>
        <v>فتة الباذنجان</v>
      </c>
      <c r="E1021" s="30" t="str">
        <f>VLOOKUP(B1021, 'All Menu'!B:M, 2, 0)</f>
        <v>قسم الصواني</v>
      </c>
      <c r="F1021" s="103" t="str">
        <f>VLOOKUP(B1021, 'All Menu'!B:M, 3, 0)</f>
        <v>فتات سفري</v>
      </c>
      <c r="G1021" s="90" t="s">
        <v>2251</v>
      </c>
      <c r="H1021" s="188">
        <v>4544</v>
      </c>
      <c r="I1021" s="110" t="str">
        <f>VLOOKUP(H1021, 'RM &amp; SF'!B:H, 2, 0)</f>
        <v>بقدونس*****</v>
      </c>
      <c r="J1021" s="184" t="str">
        <f>VLOOKUP(H1021, 'RM &amp; SF'!B:E, 4, 0)</f>
        <v>غم</v>
      </c>
      <c r="K1021" s="12">
        <v>10</v>
      </c>
      <c r="L1021" s="13">
        <f>VLOOKUP(H1021, 'RM &amp; SF'!B:H, 7, 0)</f>
        <v>7.5000000000000002E-4</v>
      </c>
      <c r="M1021" s="7">
        <f t="shared" si="63"/>
        <v>7.4999999999999997E-3</v>
      </c>
      <c r="N1021" s="4" t="s">
        <v>825</v>
      </c>
      <c r="O1021" s="4">
        <f>VLOOKUP(B1021, 'All Menu'!B:L, 6, 0)</f>
        <v>4.6551724137931041</v>
      </c>
      <c r="P1021" s="6">
        <f>VLOOKUP(B1021, 'All Menu'!B:L, 9, 0)</f>
        <v>1.4426836167370332</v>
      </c>
      <c r="Q1021" s="14">
        <f>VLOOKUP(B1021, 'All Menu'!B:M, 12, 0)</f>
        <v>0.69009018603426697</v>
      </c>
      <c r="R1021" s="173">
        <f t="shared" si="62"/>
        <v>0</v>
      </c>
    </row>
    <row r="1022" spans="1:18" ht="14" hidden="1">
      <c r="A1022" s="78" t="s">
        <v>2637</v>
      </c>
      <c r="B1022" s="220" t="s">
        <v>904</v>
      </c>
      <c r="C1022" s="185"/>
      <c r="D1022" s="103" t="str">
        <f>VLOOKUP(B1022, 'All Menu'!B:M, 4, 0)</f>
        <v>فتة الباذنجان</v>
      </c>
      <c r="E1022" s="30" t="str">
        <f>VLOOKUP(B1022, 'All Menu'!B:M, 2, 0)</f>
        <v>قسم الصواني</v>
      </c>
      <c r="F1022" s="103" t="str">
        <f>VLOOKUP(B1022, 'All Menu'!B:M, 3, 0)</f>
        <v>فتات سفري</v>
      </c>
      <c r="G1022" s="90" t="s">
        <v>3058</v>
      </c>
      <c r="H1022" s="188">
        <v>4290</v>
      </c>
      <c r="I1022" s="110" t="str">
        <f>VLOOKUP(H1022, 'RM &amp; SF'!B:H, 2, 0)</f>
        <v>علب قصدير مدور اوقية 250 غم RZ 18*****</v>
      </c>
      <c r="J1022" s="184" t="str">
        <f>VLOOKUP(H1022, 'RM &amp; SF'!B:E, 4, 0)</f>
        <v>قطعة</v>
      </c>
      <c r="K1022" s="12">
        <v>1</v>
      </c>
      <c r="L1022" s="13">
        <f>VLOOKUP(H1022, 'RM &amp; SF'!B:H, 7, 0)</f>
        <v>6.0344827586206906E-2</v>
      </c>
      <c r="M1022" s="7">
        <f t="shared" si="63"/>
        <v>6.0344827586206906E-2</v>
      </c>
      <c r="N1022" s="4" t="s">
        <v>825</v>
      </c>
      <c r="O1022" s="4">
        <f>VLOOKUP(B1022, 'All Menu'!B:L, 6, 0)</f>
        <v>4.6551724137931041</v>
      </c>
      <c r="P1022" s="6">
        <f>VLOOKUP(B1022, 'All Menu'!B:L, 9, 0)</f>
        <v>1.4426836167370332</v>
      </c>
      <c r="Q1022" s="14">
        <f>VLOOKUP(B1022, 'All Menu'!B:M, 12, 0)</f>
        <v>0.69009018603426697</v>
      </c>
      <c r="R1022" s="173">
        <f t="shared" si="62"/>
        <v>0</v>
      </c>
    </row>
    <row r="1023" spans="1:18" ht="14" hidden="1">
      <c r="A1023" s="78" t="s">
        <v>2637</v>
      </c>
      <c r="B1023" s="220" t="s">
        <v>904</v>
      </c>
      <c r="C1023" s="185"/>
      <c r="D1023" s="103" t="str">
        <f>VLOOKUP(B1023, 'All Menu'!B:M, 4, 0)</f>
        <v>فتة الباذنجان</v>
      </c>
      <c r="E1023" s="30" t="str">
        <f>VLOOKUP(B1023, 'All Menu'!B:M, 2, 0)</f>
        <v>قسم الصواني</v>
      </c>
      <c r="F1023" s="103" t="str">
        <f>VLOOKUP(B1023, 'All Menu'!B:M, 3, 0)</f>
        <v>فتات سفري</v>
      </c>
      <c r="G1023" s="90" t="s">
        <v>3058</v>
      </c>
      <c r="H1023" s="188">
        <v>4274</v>
      </c>
      <c r="I1023" s="110" t="str">
        <f>VLOOKUP(H1023, 'RM &amp; SF'!B:H, 2, 0)</f>
        <v>علب المركزية مطبوع + قاطع رقم 1 1*100 حبة*****</v>
      </c>
      <c r="J1023" s="184" t="str">
        <f>VLOOKUP(H1023, 'RM &amp; SF'!B:E, 4, 0)</f>
        <v>قطعة</v>
      </c>
      <c r="K1023" s="12">
        <v>1</v>
      </c>
      <c r="L1023" s="13">
        <f>VLOOKUP(H1023, 'RM &amp; SF'!B:H, 7, 0)</f>
        <v>0.25</v>
      </c>
      <c r="M1023" s="7">
        <f t="shared" si="63"/>
        <v>0.25</v>
      </c>
      <c r="N1023" s="4" t="s">
        <v>825</v>
      </c>
      <c r="O1023" s="4">
        <f>VLOOKUP(B1023, 'All Menu'!B:L, 6, 0)</f>
        <v>4.6551724137931041</v>
      </c>
      <c r="P1023" s="6">
        <f>VLOOKUP(B1023, 'All Menu'!B:L, 9, 0)</f>
        <v>1.4426836167370332</v>
      </c>
      <c r="Q1023" s="14">
        <f>VLOOKUP(B1023, 'All Menu'!B:M, 12, 0)</f>
        <v>0.69009018603426697</v>
      </c>
      <c r="R1023" s="173">
        <f t="shared" si="62"/>
        <v>0</v>
      </c>
    </row>
    <row r="1024" spans="1:18" ht="14" hidden="1">
      <c r="A1024" s="78" t="s">
        <v>2637</v>
      </c>
      <c r="B1024" s="220" t="s">
        <v>904</v>
      </c>
      <c r="C1024" s="185"/>
      <c r="D1024" s="103" t="str">
        <f>VLOOKUP(B1024, 'All Menu'!B:M, 4, 0)</f>
        <v>فتة الباذنجان</v>
      </c>
      <c r="E1024" s="30" t="str">
        <f>VLOOKUP(B1024, 'All Menu'!B:M, 2, 0)</f>
        <v>قسم الصواني</v>
      </c>
      <c r="F1024" s="103" t="str">
        <f>VLOOKUP(B1024, 'All Menu'!B:M, 3, 0)</f>
        <v>فتات سفري</v>
      </c>
      <c r="G1024" s="90" t="s">
        <v>2195</v>
      </c>
      <c r="H1024" s="188">
        <v>4329</v>
      </c>
      <c r="I1024" s="110" t="str">
        <f>VLOOKUP(H1024, 'RM &amp; SF'!B:H, 2, 0)</f>
        <v>ملاعق بلاستيك مع معقم مطبوع 1*500 حبة*****</v>
      </c>
      <c r="J1024" s="184" t="str">
        <f>VLOOKUP(H1024, 'RM &amp; SF'!B:E, 4, 0)</f>
        <v>قطعة</v>
      </c>
      <c r="K1024" s="12">
        <v>1</v>
      </c>
      <c r="L1024" s="13">
        <f>VLOOKUP(H1024, 'RM &amp; SF'!B:H, 7, 0)</f>
        <v>4.7399999999999997E-4</v>
      </c>
      <c r="M1024" s="7">
        <f t="shared" si="63"/>
        <v>4.7399999999999997E-4</v>
      </c>
      <c r="N1024" s="4" t="s">
        <v>825</v>
      </c>
      <c r="O1024" s="4">
        <f>VLOOKUP(B1024, 'All Menu'!B:L, 6, 0)</f>
        <v>4.6551724137931041</v>
      </c>
      <c r="P1024" s="6">
        <f>VLOOKUP(B1024, 'All Menu'!B:L, 9, 0)</f>
        <v>1.4426836167370332</v>
      </c>
      <c r="Q1024" s="14">
        <f>VLOOKUP(B1024, 'All Menu'!B:M, 12, 0)</f>
        <v>0.69009018603426697</v>
      </c>
      <c r="R1024" s="173">
        <f t="shared" si="62"/>
        <v>0</v>
      </c>
    </row>
    <row r="1025" spans="1:18" ht="14" hidden="1">
      <c r="A1025" s="78" t="s">
        <v>2656</v>
      </c>
      <c r="B1025" s="220" t="s">
        <v>905</v>
      </c>
      <c r="C1025" s="185"/>
      <c r="D1025" s="103" t="str">
        <f>VLOOKUP(B1025, 'All Menu'!B:M, 4, 0)</f>
        <v>كفتة بندورة وقية</v>
      </c>
      <c r="E1025" s="30" t="str">
        <f>VLOOKUP(B1025, 'All Menu'!B:M, 2, 0)</f>
        <v>قسم الصواني</v>
      </c>
      <c r="F1025" s="103" t="str">
        <f>VLOOKUP(B1025, 'All Menu'!B:M, 3, 0)</f>
        <v>صواني وصجيات سفري</v>
      </c>
      <c r="G1025" s="90" t="s">
        <v>2414</v>
      </c>
      <c r="H1025" s="219" t="s">
        <v>485</v>
      </c>
      <c r="I1025" s="110" t="str">
        <f>VLOOKUP(H1025, 'RM &amp; SF'!B:H, 2, 0)</f>
        <v>كفتة للصواني</v>
      </c>
      <c r="J1025" s="184" t="str">
        <f>VLOOKUP(H1025, 'RM &amp; SF'!B:E, 4, 0)</f>
        <v>غم</v>
      </c>
      <c r="K1025" s="12">
        <v>200</v>
      </c>
      <c r="L1025" s="13">
        <f>VLOOKUP(H1025, 'RM &amp; SF'!B:H, 7, 0)</f>
        <v>6.7141943181818174E-3</v>
      </c>
      <c r="M1025" s="7">
        <f t="shared" si="63"/>
        <v>1.3428388636363635</v>
      </c>
      <c r="N1025" s="4" t="s">
        <v>825</v>
      </c>
      <c r="O1025" s="4">
        <f>VLOOKUP(B1025, 'All Menu'!B:L, 6, 0)</f>
        <v>3.6637931034482762</v>
      </c>
      <c r="P1025" s="6">
        <f>VLOOKUP(B1025, 'All Menu'!B:L, 9, 0)</f>
        <v>1.9931471029819887</v>
      </c>
      <c r="Q1025" s="14">
        <f>VLOOKUP(B1025, 'All Menu'!B:M, 12, 0)</f>
        <v>0.4559880848331514</v>
      </c>
      <c r="R1025" s="173">
        <f t="shared" si="62"/>
        <v>0</v>
      </c>
    </row>
    <row r="1026" spans="1:18" ht="14" hidden="1">
      <c r="A1026" s="78" t="s">
        <v>2656</v>
      </c>
      <c r="B1026" s="220" t="s">
        <v>905</v>
      </c>
      <c r="C1026" s="185"/>
      <c r="D1026" s="103" t="str">
        <f>VLOOKUP(B1026, 'All Menu'!B:M, 4, 0)</f>
        <v>كفتة بندورة وقية</v>
      </c>
      <c r="E1026" s="30" t="str">
        <f>VLOOKUP(B1026, 'All Menu'!B:M, 2, 0)</f>
        <v>قسم الصواني</v>
      </c>
      <c r="F1026" s="103" t="str">
        <f>VLOOKUP(B1026, 'All Menu'!B:M, 3, 0)</f>
        <v>صواني وصجيات سفري</v>
      </c>
      <c r="G1026" s="90" t="s">
        <v>2385</v>
      </c>
      <c r="H1026" s="219" t="s">
        <v>540</v>
      </c>
      <c r="I1026" s="110" t="str">
        <f>VLOOKUP(H1026, 'RM &amp; SF'!B:H, 2, 0)</f>
        <v xml:space="preserve">بطاطا مقلية </v>
      </c>
      <c r="J1026" s="184" t="str">
        <f>VLOOKUP(H1026, 'RM &amp; SF'!B:E, 4, 0)</f>
        <v>غم</v>
      </c>
      <c r="K1026" s="12">
        <v>80</v>
      </c>
      <c r="L1026" s="13">
        <f>VLOOKUP(H1026, 'RM &amp; SF'!B:H, 7, 0)</f>
        <v>7.9700000000000007E-4</v>
      </c>
      <c r="M1026" s="7">
        <f t="shared" si="63"/>
        <v>6.3760000000000011E-2</v>
      </c>
      <c r="N1026" s="4" t="s">
        <v>825</v>
      </c>
      <c r="O1026" s="4">
        <f>VLOOKUP(B1026, 'All Menu'!B:L, 6, 0)</f>
        <v>3.6637931034482762</v>
      </c>
      <c r="P1026" s="6">
        <f>VLOOKUP(B1026, 'All Menu'!B:L, 9, 0)</f>
        <v>1.9931471029819887</v>
      </c>
      <c r="Q1026" s="14">
        <f>VLOOKUP(B1026, 'All Menu'!B:M, 12, 0)</f>
        <v>0.4559880848331514</v>
      </c>
      <c r="R1026" s="173">
        <f t="shared" si="62"/>
        <v>0</v>
      </c>
    </row>
    <row r="1027" spans="1:18" ht="14" hidden="1">
      <c r="A1027" s="78" t="s">
        <v>2656</v>
      </c>
      <c r="B1027" s="220" t="s">
        <v>905</v>
      </c>
      <c r="C1027" s="185"/>
      <c r="D1027" s="103" t="str">
        <f>VLOOKUP(B1027, 'All Menu'!B:M, 4, 0)</f>
        <v>كفتة بندورة وقية</v>
      </c>
      <c r="E1027" s="30" t="str">
        <f>VLOOKUP(B1027, 'All Menu'!B:M, 2, 0)</f>
        <v>قسم الصواني</v>
      </c>
      <c r="F1027" s="103" t="str">
        <f>VLOOKUP(B1027, 'All Menu'!B:M, 3, 0)</f>
        <v>صواني وصجيات سفري</v>
      </c>
      <c r="G1027" s="90" t="s">
        <v>2434</v>
      </c>
      <c r="H1027" s="219" t="s">
        <v>574</v>
      </c>
      <c r="I1027" s="110" t="str">
        <f>VLOOKUP(H1027, 'RM &amp; SF'!B:H, 2, 0)</f>
        <v>صوص بندورة</v>
      </c>
      <c r="J1027" s="184" t="str">
        <f>VLOOKUP(H1027, 'RM &amp; SF'!B:E, 4, 0)</f>
        <v>غم</v>
      </c>
      <c r="K1027" s="12">
        <v>175</v>
      </c>
      <c r="L1027" s="13">
        <f>VLOOKUP(H1027, 'RM &amp; SF'!B:H, 7, 0)</f>
        <v>1.1346600487634969E-3</v>
      </c>
      <c r="M1027" s="7">
        <f t="shared" si="63"/>
        <v>0.19856550853361196</v>
      </c>
      <c r="N1027" s="4" t="s">
        <v>825</v>
      </c>
      <c r="O1027" s="4">
        <f>VLOOKUP(B1027, 'All Menu'!B:L, 6, 0)</f>
        <v>3.6637931034482762</v>
      </c>
      <c r="P1027" s="6">
        <f>VLOOKUP(B1027, 'All Menu'!B:L, 9, 0)</f>
        <v>1.9931471029819887</v>
      </c>
      <c r="Q1027" s="14">
        <f>VLOOKUP(B1027, 'All Menu'!B:M, 12, 0)</f>
        <v>0.4559880848331514</v>
      </c>
      <c r="R1027" s="173">
        <f t="shared" ref="R1027:R1090" si="64">C1027*K1027</f>
        <v>0</v>
      </c>
    </row>
    <row r="1028" spans="1:18" ht="14" hidden="1">
      <c r="A1028" s="78" t="s">
        <v>2656</v>
      </c>
      <c r="B1028" s="220" t="s">
        <v>905</v>
      </c>
      <c r="C1028" s="185"/>
      <c r="D1028" s="103" t="str">
        <f>VLOOKUP(B1028, 'All Menu'!B:M, 4, 0)</f>
        <v>كفتة بندورة وقية</v>
      </c>
      <c r="E1028" s="30" t="str">
        <f>VLOOKUP(B1028, 'All Menu'!B:M, 2, 0)</f>
        <v>قسم الصواني</v>
      </c>
      <c r="F1028" s="103" t="str">
        <f>VLOOKUP(B1028, 'All Menu'!B:M, 3, 0)</f>
        <v>صواني وصجيات سفري</v>
      </c>
      <c r="G1028" s="90" t="s">
        <v>2231</v>
      </c>
      <c r="H1028" s="188">
        <v>4499</v>
      </c>
      <c r="I1028" s="110" t="str">
        <f>VLOOKUP(H1028, 'RM &amp; SF'!B:H, 2, 0)</f>
        <v>فلفل حار اخضر*****</v>
      </c>
      <c r="J1028" s="184" t="str">
        <f>VLOOKUP(H1028, 'RM &amp; SF'!B:E, 4, 0)</f>
        <v>غم</v>
      </c>
      <c r="K1028" s="12">
        <v>40</v>
      </c>
      <c r="L1028" s="13">
        <f>VLOOKUP(H1028, 'RM &amp; SF'!B:H, 7, 0)</f>
        <v>5.0000000000000001E-4</v>
      </c>
      <c r="M1028" s="7">
        <f t="shared" si="63"/>
        <v>0.02</v>
      </c>
      <c r="N1028" s="4" t="s">
        <v>825</v>
      </c>
      <c r="O1028" s="4">
        <f>VLOOKUP(B1028, 'All Menu'!B:L, 6, 0)</f>
        <v>3.6637931034482762</v>
      </c>
      <c r="P1028" s="6">
        <f>VLOOKUP(B1028, 'All Menu'!B:L, 9, 0)</f>
        <v>1.9931471029819887</v>
      </c>
      <c r="Q1028" s="14">
        <f>VLOOKUP(B1028, 'All Menu'!B:M, 12, 0)</f>
        <v>0.4559880848331514</v>
      </c>
      <c r="R1028" s="173">
        <f t="shared" si="64"/>
        <v>0</v>
      </c>
    </row>
    <row r="1029" spans="1:18" ht="14" hidden="1">
      <c r="A1029" s="78" t="s">
        <v>2656</v>
      </c>
      <c r="B1029" s="220" t="s">
        <v>905</v>
      </c>
      <c r="C1029" s="185"/>
      <c r="D1029" s="103" t="str">
        <f>VLOOKUP(B1029, 'All Menu'!B:M, 4, 0)</f>
        <v>كفتة بندورة وقية</v>
      </c>
      <c r="E1029" s="30" t="str">
        <f>VLOOKUP(B1029, 'All Menu'!B:M, 2, 0)</f>
        <v>قسم الصواني</v>
      </c>
      <c r="F1029" s="103" t="str">
        <f>VLOOKUP(B1029, 'All Menu'!B:M, 3, 0)</f>
        <v>صواني وصجيات سفري</v>
      </c>
      <c r="G1029" s="90" t="s">
        <v>2260</v>
      </c>
      <c r="H1029" s="188">
        <v>4160</v>
      </c>
      <c r="I1029" s="110" t="str">
        <f>VLOOKUP(H1029, 'RM &amp; SF'!B:H, 2, 0)</f>
        <v>زيت صويا 18 لتر*****</v>
      </c>
      <c r="J1029" s="184" t="str">
        <f>VLOOKUP(H1029, 'RM &amp; SF'!B:E, 4, 0)</f>
        <v>مل</v>
      </c>
      <c r="K1029" s="12">
        <v>15</v>
      </c>
      <c r="L1029" s="13">
        <f>VLOOKUP(H1029, 'RM &amp; SF'!B:H, 7, 0)</f>
        <v>1.335E-3</v>
      </c>
      <c r="M1029" s="7">
        <f t="shared" si="63"/>
        <v>2.0025000000000001E-2</v>
      </c>
      <c r="N1029" s="4" t="s">
        <v>825</v>
      </c>
      <c r="O1029" s="4">
        <f>VLOOKUP(B1029, 'All Menu'!B:L, 6, 0)</f>
        <v>3.6637931034482762</v>
      </c>
      <c r="P1029" s="6">
        <f>VLOOKUP(B1029, 'All Menu'!B:L, 9, 0)</f>
        <v>1.9931471029819887</v>
      </c>
      <c r="Q1029" s="14">
        <f>VLOOKUP(B1029, 'All Menu'!B:M, 12, 0)</f>
        <v>0.4559880848331514</v>
      </c>
      <c r="R1029" s="173">
        <f t="shared" si="64"/>
        <v>0</v>
      </c>
    </row>
    <row r="1030" spans="1:18" ht="14" hidden="1">
      <c r="A1030" s="78" t="s">
        <v>2656</v>
      </c>
      <c r="B1030" s="220" t="s">
        <v>905</v>
      </c>
      <c r="C1030" s="185"/>
      <c r="D1030" s="103" t="str">
        <f>VLOOKUP(B1030, 'All Menu'!B:M, 4, 0)</f>
        <v>كفتة بندورة وقية</v>
      </c>
      <c r="E1030" s="30" t="str">
        <f>VLOOKUP(B1030, 'All Menu'!B:M, 2, 0)</f>
        <v>قسم الصواني</v>
      </c>
      <c r="F1030" s="103" t="str">
        <f>VLOOKUP(B1030, 'All Menu'!B:M, 3, 0)</f>
        <v>صواني وصجيات سفري</v>
      </c>
      <c r="G1030" s="90" t="s">
        <v>3058</v>
      </c>
      <c r="H1030" s="188">
        <v>4290</v>
      </c>
      <c r="I1030" s="110" t="str">
        <f>VLOOKUP(H1030, 'RM &amp; SF'!B:H, 2, 0)</f>
        <v>علب قصدير مدور اوقية 250 غم RZ 18*****</v>
      </c>
      <c r="J1030" s="184" t="str">
        <f>VLOOKUP(H1030, 'RM &amp; SF'!B:E, 4, 0)</f>
        <v>قطعة</v>
      </c>
      <c r="K1030" s="12">
        <v>1</v>
      </c>
      <c r="L1030" s="13">
        <f>VLOOKUP(H1030, 'RM &amp; SF'!B:H, 7, 0)</f>
        <v>6.0344827586206906E-2</v>
      </c>
      <c r="M1030" s="7">
        <f t="shared" si="63"/>
        <v>6.0344827586206906E-2</v>
      </c>
      <c r="N1030" s="4" t="s">
        <v>825</v>
      </c>
      <c r="O1030" s="4">
        <f>VLOOKUP(B1030, 'All Menu'!B:L, 6, 0)</f>
        <v>3.6637931034482762</v>
      </c>
      <c r="P1030" s="6">
        <f>VLOOKUP(B1030, 'All Menu'!B:L, 9, 0)</f>
        <v>1.9931471029819887</v>
      </c>
      <c r="Q1030" s="14">
        <f>VLOOKUP(B1030, 'All Menu'!B:M, 12, 0)</f>
        <v>0.4559880848331514</v>
      </c>
      <c r="R1030" s="173">
        <f t="shared" si="64"/>
        <v>0</v>
      </c>
    </row>
    <row r="1031" spans="1:18" s="4" customFormat="1" ht="14" hidden="1">
      <c r="A1031" s="78" t="s">
        <v>2656</v>
      </c>
      <c r="B1031" s="220" t="s">
        <v>905</v>
      </c>
      <c r="C1031" s="185"/>
      <c r="D1031" s="103" t="str">
        <f>VLOOKUP(B1031, 'All Menu'!B:M, 4, 0)</f>
        <v>كفتة بندورة وقية</v>
      </c>
      <c r="E1031" s="30" t="str">
        <f>VLOOKUP(B1031, 'All Menu'!B:M, 2, 0)</f>
        <v>قسم الصواني</v>
      </c>
      <c r="F1031" s="103" t="str">
        <f>VLOOKUP(B1031, 'All Menu'!B:M, 3, 0)</f>
        <v>صواني وصجيات سفري</v>
      </c>
      <c r="G1031" s="90" t="s">
        <v>2331</v>
      </c>
      <c r="H1031" s="219" t="s">
        <v>530</v>
      </c>
      <c r="I1031" s="110" t="str">
        <f>VLOOKUP(H1031, 'RM &amp; SF'!B:H, 2, 0)</f>
        <v>خبز صاج</v>
      </c>
      <c r="J1031" s="184" t="str">
        <f>VLOOKUP(H1031, 'RM &amp; SF'!B:E, 4, 0)</f>
        <v>غم</v>
      </c>
      <c r="K1031" s="12">
        <v>200</v>
      </c>
      <c r="L1031" s="13">
        <f>VLOOKUP(H1031, 'RM &amp; SF'!B:H, 7, 0)</f>
        <v>1.8806451612903227E-4</v>
      </c>
      <c r="M1031" s="7">
        <f t="shared" ref="M1031" si="65">L1031*K1031</f>
        <v>3.7612903225806453E-2</v>
      </c>
      <c r="N1031" s="4" t="s">
        <v>825</v>
      </c>
      <c r="O1031" s="4">
        <f>VLOOKUP(B1031, 'All Menu'!B:L, 6, 0)</f>
        <v>3.6637931034482762</v>
      </c>
      <c r="P1031" s="6">
        <f>VLOOKUP(B1031, 'All Menu'!B:L, 9, 0)</f>
        <v>1.9931471029819887</v>
      </c>
      <c r="Q1031" s="14">
        <f>VLOOKUP(B1031, 'All Menu'!B:M, 12, 0)</f>
        <v>0.4559880848331514</v>
      </c>
    </row>
    <row r="1032" spans="1:18" ht="14" hidden="1">
      <c r="A1032" s="78" t="s">
        <v>2656</v>
      </c>
      <c r="B1032" s="220" t="s">
        <v>905</v>
      </c>
      <c r="C1032" s="185"/>
      <c r="D1032" s="103" t="str">
        <f>VLOOKUP(B1032, 'All Menu'!B:M, 4, 0)</f>
        <v>كفتة بندورة وقية</v>
      </c>
      <c r="E1032" s="30" t="str">
        <f>VLOOKUP(B1032, 'All Menu'!B:M, 2, 0)</f>
        <v>قسم الصواني</v>
      </c>
      <c r="F1032" s="103" t="str">
        <f>VLOOKUP(B1032, 'All Menu'!B:M, 3, 0)</f>
        <v>صواني وصجيات سفري</v>
      </c>
      <c r="G1032" s="90" t="s">
        <v>3058</v>
      </c>
      <c r="H1032" s="188">
        <v>4274</v>
      </c>
      <c r="I1032" s="110" t="str">
        <f>VLOOKUP(H1032, 'RM &amp; SF'!B:H, 2, 0)</f>
        <v>علب المركزية مطبوع + قاطع رقم 1 1*100 حبة*****</v>
      </c>
      <c r="J1032" s="184" t="str">
        <f>VLOOKUP(H1032, 'RM &amp; SF'!B:E, 4, 0)</f>
        <v>قطعة</v>
      </c>
      <c r="K1032" s="12">
        <v>1</v>
      </c>
      <c r="L1032" s="13">
        <f>VLOOKUP(H1032, 'RM &amp; SF'!B:H, 7, 0)</f>
        <v>0.25</v>
      </c>
      <c r="M1032" s="7">
        <f t="shared" si="63"/>
        <v>0.25</v>
      </c>
      <c r="N1032" s="4" t="s">
        <v>825</v>
      </c>
      <c r="O1032" s="4">
        <f>VLOOKUP(B1032, 'All Menu'!B:L, 6, 0)</f>
        <v>3.6637931034482762</v>
      </c>
      <c r="P1032" s="6">
        <f>VLOOKUP(B1032, 'All Menu'!B:L, 9, 0)</f>
        <v>1.9931471029819887</v>
      </c>
      <c r="Q1032" s="14">
        <f>VLOOKUP(B1032, 'All Menu'!B:M, 12, 0)</f>
        <v>0.4559880848331514</v>
      </c>
      <c r="R1032" s="173">
        <f t="shared" si="64"/>
        <v>0</v>
      </c>
    </row>
    <row r="1033" spans="1:18" ht="14" hidden="1">
      <c r="A1033" s="78" t="s">
        <v>2657</v>
      </c>
      <c r="B1033" s="220" t="s">
        <v>906</v>
      </c>
      <c r="C1033" s="185"/>
      <c r="D1033" s="103" t="str">
        <f>VLOOKUP(B1033, 'All Menu'!B:M, 4, 0)</f>
        <v>كفتة بندورة نصف كيلو</v>
      </c>
      <c r="E1033" s="30" t="str">
        <f>VLOOKUP(B1033, 'All Menu'!B:M, 2, 0)</f>
        <v>قسم الصواني</v>
      </c>
      <c r="F1033" s="103" t="str">
        <f>VLOOKUP(B1033, 'All Menu'!B:M, 3, 0)</f>
        <v>صواني وصجيات سفري</v>
      </c>
      <c r="G1033" s="90" t="s">
        <v>2414</v>
      </c>
      <c r="H1033" s="219" t="s">
        <v>485</v>
      </c>
      <c r="I1033" s="110" t="str">
        <f>VLOOKUP(H1033, 'RM &amp; SF'!B:H, 2, 0)</f>
        <v>كفتة للصواني</v>
      </c>
      <c r="J1033" s="184" t="str">
        <f>VLOOKUP(H1033, 'RM &amp; SF'!B:E, 4, 0)</f>
        <v>غم</v>
      </c>
      <c r="K1033" s="12">
        <v>500</v>
      </c>
      <c r="L1033" s="13">
        <f>VLOOKUP(H1033, 'RM &amp; SF'!B:H, 7, 0)</f>
        <v>6.7141943181818174E-3</v>
      </c>
      <c r="M1033" s="7">
        <f t="shared" si="63"/>
        <v>3.3570971590909089</v>
      </c>
      <c r="N1033" s="4" t="s">
        <v>825</v>
      </c>
      <c r="O1033" s="4">
        <f>VLOOKUP(B1033, 'All Menu'!B:L, 6, 0)</f>
        <v>6.4655172413793105</v>
      </c>
      <c r="P1033" s="6">
        <f>VLOOKUP(B1033, 'All Menu'!B:L, 9, 0)</f>
        <v>4.3129671556078018</v>
      </c>
      <c r="Q1033" s="14">
        <f>VLOOKUP(B1033, 'All Menu'!B:M, 12, 0)</f>
        <v>0.33292774659932667</v>
      </c>
      <c r="R1033" s="173">
        <f t="shared" si="64"/>
        <v>0</v>
      </c>
    </row>
    <row r="1034" spans="1:18" ht="14" hidden="1">
      <c r="A1034" s="78" t="s">
        <v>2657</v>
      </c>
      <c r="B1034" s="220" t="s">
        <v>906</v>
      </c>
      <c r="C1034" s="185"/>
      <c r="D1034" s="103" t="str">
        <f>VLOOKUP(B1034, 'All Menu'!B:M, 4, 0)</f>
        <v>كفتة بندورة نصف كيلو</v>
      </c>
      <c r="E1034" s="30" t="str">
        <f>VLOOKUP(B1034, 'All Menu'!B:M, 2, 0)</f>
        <v>قسم الصواني</v>
      </c>
      <c r="F1034" s="103" t="str">
        <f>VLOOKUP(B1034, 'All Menu'!B:M, 3, 0)</f>
        <v>صواني وصجيات سفري</v>
      </c>
      <c r="G1034" s="90" t="s">
        <v>2230</v>
      </c>
      <c r="H1034" s="188">
        <v>4497</v>
      </c>
      <c r="I1034" s="110" t="str">
        <f>VLOOKUP(H1034, 'RM &amp; SF'!B:H, 2, 0)</f>
        <v>بطاطا*****</v>
      </c>
      <c r="J1034" s="184" t="str">
        <f>VLOOKUP(H1034, 'RM &amp; SF'!B:E, 4, 0)</f>
        <v>غم</v>
      </c>
      <c r="K1034" s="12">
        <v>100</v>
      </c>
      <c r="L1034" s="13">
        <f>VLOOKUP(H1034, 'RM &amp; SF'!B:H, 7, 0)</f>
        <v>4.0000000000000002E-4</v>
      </c>
      <c r="M1034" s="7">
        <f t="shared" si="63"/>
        <v>0.04</v>
      </c>
      <c r="N1034" s="4" t="s">
        <v>825</v>
      </c>
      <c r="O1034" s="4">
        <f>VLOOKUP(B1034, 'All Menu'!B:L, 6, 0)</f>
        <v>6.4655172413793105</v>
      </c>
      <c r="P1034" s="6">
        <f>VLOOKUP(B1034, 'All Menu'!B:L, 9, 0)</f>
        <v>4.3129671556078018</v>
      </c>
      <c r="Q1034" s="14">
        <f>VLOOKUP(B1034, 'All Menu'!B:M, 12, 0)</f>
        <v>0.33292774659932667</v>
      </c>
      <c r="R1034" s="173">
        <f t="shared" si="64"/>
        <v>0</v>
      </c>
    </row>
    <row r="1035" spans="1:18" ht="14" hidden="1">
      <c r="A1035" s="78" t="s">
        <v>2657</v>
      </c>
      <c r="B1035" s="220" t="s">
        <v>906</v>
      </c>
      <c r="C1035" s="185"/>
      <c r="D1035" s="103" t="str">
        <f>VLOOKUP(B1035, 'All Menu'!B:M, 4, 0)</f>
        <v>كفتة بندورة نصف كيلو</v>
      </c>
      <c r="E1035" s="30" t="str">
        <f>VLOOKUP(B1035, 'All Menu'!B:M, 2, 0)</f>
        <v>قسم الصواني</v>
      </c>
      <c r="F1035" s="103" t="str">
        <f>VLOOKUP(B1035, 'All Menu'!B:M, 3, 0)</f>
        <v>صواني وصجيات سفري</v>
      </c>
      <c r="G1035" s="90" t="s">
        <v>2434</v>
      </c>
      <c r="H1035" s="219" t="s">
        <v>574</v>
      </c>
      <c r="I1035" s="110" t="str">
        <f>VLOOKUP(H1035, 'RM &amp; SF'!B:H, 2, 0)</f>
        <v>صوص بندورة</v>
      </c>
      <c r="J1035" s="184" t="str">
        <f>VLOOKUP(H1035, 'RM &amp; SF'!B:E, 4, 0)</f>
        <v>غم</v>
      </c>
      <c r="K1035" s="12">
        <v>400</v>
      </c>
      <c r="L1035" s="13">
        <f>VLOOKUP(H1035, 'RM &amp; SF'!B:H, 7, 0)</f>
        <v>1.1346600487634969E-3</v>
      </c>
      <c r="M1035" s="7">
        <f t="shared" si="63"/>
        <v>0.45386401950539879</v>
      </c>
      <c r="N1035" s="4" t="s">
        <v>825</v>
      </c>
      <c r="O1035" s="4">
        <f>VLOOKUP(B1035, 'All Menu'!B:L, 6, 0)</f>
        <v>6.4655172413793105</v>
      </c>
      <c r="P1035" s="6">
        <f>VLOOKUP(B1035, 'All Menu'!B:L, 9, 0)</f>
        <v>4.3129671556078018</v>
      </c>
      <c r="Q1035" s="14">
        <f>VLOOKUP(B1035, 'All Menu'!B:M, 12, 0)</f>
        <v>0.33292774659932667</v>
      </c>
      <c r="R1035" s="173">
        <f t="shared" si="64"/>
        <v>0</v>
      </c>
    </row>
    <row r="1036" spans="1:18" ht="14" hidden="1">
      <c r="A1036" s="78" t="s">
        <v>2657</v>
      </c>
      <c r="B1036" s="220" t="s">
        <v>906</v>
      </c>
      <c r="C1036" s="185"/>
      <c r="D1036" s="103" t="str">
        <f>VLOOKUP(B1036, 'All Menu'!B:M, 4, 0)</f>
        <v>كفتة بندورة نصف كيلو</v>
      </c>
      <c r="E1036" s="30" t="str">
        <f>VLOOKUP(B1036, 'All Menu'!B:M, 2, 0)</f>
        <v>قسم الصواني</v>
      </c>
      <c r="F1036" s="103" t="str">
        <f>VLOOKUP(B1036, 'All Menu'!B:M, 3, 0)</f>
        <v>صواني وصجيات سفري</v>
      </c>
      <c r="G1036" s="90" t="s">
        <v>2368</v>
      </c>
      <c r="H1036" s="219" t="s">
        <v>768</v>
      </c>
      <c r="I1036" s="110" t="str">
        <f>VLOOKUP(H1036, 'RM &amp; SF'!B:H, 2, 0)</f>
        <v>بصل مقلي</v>
      </c>
      <c r="J1036" s="184" t="str">
        <f>VLOOKUP(H1036, 'RM &amp; SF'!B:E, 4, 0)</f>
        <v>غم</v>
      </c>
      <c r="K1036" s="12">
        <v>15</v>
      </c>
      <c r="L1036" s="13">
        <f>VLOOKUP(H1036, 'RM &amp; SF'!B:H, 7, 0)</f>
        <v>2.6400000000000002E-4</v>
      </c>
      <c r="M1036" s="7">
        <f t="shared" si="63"/>
        <v>3.96E-3</v>
      </c>
      <c r="N1036" s="4" t="s">
        <v>825</v>
      </c>
      <c r="O1036" s="4">
        <f>VLOOKUP(B1036, 'All Menu'!B:L, 6, 0)</f>
        <v>6.4655172413793105</v>
      </c>
      <c r="P1036" s="6">
        <f>VLOOKUP(B1036, 'All Menu'!B:L, 9, 0)</f>
        <v>4.3129671556078018</v>
      </c>
      <c r="Q1036" s="14">
        <f>VLOOKUP(B1036, 'All Menu'!B:M, 12, 0)</f>
        <v>0.33292774659932667</v>
      </c>
      <c r="R1036" s="173">
        <f t="shared" si="64"/>
        <v>0</v>
      </c>
    </row>
    <row r="1037" spans="1:18" ht="14" hidden="1">
      <c r="A1037" s="78" t="s">
        <v>2657</v>
      </c>
      <c r="B1037" s="220" t="s">
        <v>906</v>
      </c>
      <c r="C1037" s="185"/>
      <c r="D1037" s="103" t="str">
        <f>VLOOKUP(B1037, 'All Menu'!B:M, 4, 0)</f>
        <v>كفتة بندورة نصف كيلو</v>
      </c>
      <c r="E1037" s="30" t="str">
        <f>VLOOKUP(B1037, 'All Menu'!B:M, 2, 0)</f>
        <v>قسم الصواني</v>
      </c>
      <c r="F1037" s="103" t="str">
        <f>VLOOKUP(B1037, 'All Menu'!B:M, 3, 0)</f>
        <v>صواني وصجيات سفري</v>
      </c>
      <c r="G1037" s="90" t="s">
        <v>2231</v>
      </c>
      <c r="H1037" s="188">
        <v>4499</v>
      </c>
      <c r="I1037" s="110" t="str">
        <f>VLOOKUP(H1037, 'RM &amp; SF'!B:H, 2, 0)</f>
        <v>فلفل حار اخضر*****</v>
      </c>
      <c r="J1037" s="184" t="str">
        <f>VLOOKUP(H1037, 'RM &amp; SF'!B:E, 4, 0)</f>
        <v>غم</v>
      </c>
      <c r="K1037" s="12">
        <v>40</v>
      </c>
      <c r="L1037" s="13">
        <f>VLOOKUP(H1037, 'RM &amp; SF'!B:H, 7, 0)</f>
        <v>5.0000000000000001E-4</v>
      </c>
      <c r="M1037" s="7">
        <f t="shared" si="63"/>
        <v>0.02</v>
      </c>
      <c r="N1037" s="4" t="s">
        <v>825</v>
      </c>
      <c r="O1037" s="4">
        <f>VLOOKUP(B1037, 'All Menu'!B:L, 6, 0)</f>
        <v>6.4655172413793105</v>
      </c>
      <c r="P1037" s="6">
        <f>VLOOKUP(B1037, 'All Menu'!B:L, 9, 0)</f>
        <v>4.3129671556078018</v>
      </c>
      <c r="Q1037" s="14">
        <f>VLOOKUP(B1037, 'All Menu'!B:M, 12, 0)</f>
        <v>0.33292774659932667</v>
      </c>
      <c r="R1037" s="173">
        <f t="shared" si="64"/>
        <v>0</v>
      </c>
    </row>
    <row r="1038" spans="1:18" ht="14" hidden="1">
      <c r="A1038" s="78" t="s">
        <v>2657</v>
      </c>
      <c r="B1038" s="220" t="s">
        <v>906</v>
      </c>
      <c r="C1038" s="185"/>
      <c r="D1038" s="103" t="str">
        <f>VLOOKUP(B1038, 'All Menu'!B:M, 4, 0)</f>
        <v>كفتة بندورة نصف كيلو</v>
      </c>
      <c r="E1038" s="30" t="str">
        <f>VLOOKUP(B1038, 'All Menu'!B:M, 2, 0)</f>
        <v>قسم الصواني</v>
      </c>
      <c r="F1038" s="103" t="str">
        <f>VLOOKUP(B1038, 'All Menu'!B:M, 3, 0)</f>
        <v>صواني وصجيات سفري</v>
      </c>
      <c r="G1038" s="90" t="s">
        <v>2251</v>
      </c>
      <c r="H1038" s="188">
        <v>4544</v>
      </c>
      <c r="I1038" s="110" t="str">
        <f>VLOOKUP(H1038, 'RM &amp; SF'!B:H, 2, 0)</f>
        <v>بقدونس*****</v>
      </c>
      <c r="J1038" s="184" t="str">
        <f>VLOOKUP(H1038, 'RM &amp; SF'!B:E, 4, 0)</f>
        <v>غم</v>
      </c>
      <c r="K1038" s="12">
        <v>40</v>
      </c>
      <c r="L1038" s="13">
        <f>VLOOKUP(H1038, 'RM &amp; SF'!B:H, 7, 0)</f>
        <v>7.5000000000000002E-4</v>
      </c>
      <c r="M1038" s="7">
        <f t="shared" si="63"/>
        <v>0.03</v>
      </c>
      <c r="N1038" s="4" t="s">
        <v>825</v>
      </c>
      <c r="O1038" s="4">
        <f>VLOOKUP(B1038, 'All Menu'!B:L, 6, 0)</f>
        <v>6.4655172413793105</v>
      </c>
      <c r="P1038" s="6">
        <f>VLOOKUP(B1038, 'All Menu'!B:L, 9, 0)</f>
        <v>4.3129671556078018</v>
      </c>
      <c r="Q1038" s="14">
        <f>VLOOKUP(B1038, 'All Menu'!B:M, 12, 0)</f>
        <v>0.33292774659932667</v>
      </c>
      <c r="R1038" s="173">
        <f t="shared" si="64"/>
        <v>0</v>
      </c>
    </row>
    <row r="1039" spans="1:18" ht="14" hidden="1">
      <c r="A1039" s="78" t="s">
        <v>2657</v>
      </c>
      <c r="B1039" s="220" t="s">
        <v>906</v>
      </c>
      <c r="C1039" s="185"/>
      <c r="D1039" s="103" t="str">
        <f>VLOOKUP(B1039, 'All Menu'!B:M, 4, 0)</f>
        <v>كفتة بندورة نصف كيلو</v>
      </c>
      <c r="E1039" s="30" t="str">
        <f>VLOOKUP(B1039, 'All Menu'!B:M, 2, 0)</f>
        <v>قسم الصواني</v>
      </c>
      <c r="F1039" s="103" t="str">
        <f>VLOOKUP(B1039, 'All Menu'!B:M, 3, 0)</f>
        <v>صواني وصجيات سفري</v>
      </c>
      <c r="G1039" s="90" t="s">
        <v>3058</v>
      </c>
      <c r="H1039" s="188">
        <v>5424</v>
      </c>
      <c r="I1039" s="110" t="str">
        <f>VLOOKUP(H1039, 'RM &amp; SF'!B:H, 2, 0)</f>
        <v>علب قصدير مدور 1/2 كغ RZ 25*****</v>
      </c>
      <c r="J1039" s="184" t="str">
        <f>VLOOKUP(H1039, 'RM &amp; SF'!B:E, 4, 0)</f>
        <v>قطعة</v>
      </c>
      <c r="K1039" s="12">
        <v>1</v>
      </c>
      <c r="L1039" s="13">
        <f>VLOOKUP(H1039, 'RM &amp; SF'!B:H, 7, 0)</f>
        <v>0.1149425287356322</v>
      </c>
      <c r="M1039" s="7">
        <f t="shared" si="63"/>
        <v>0.1149425287356322</v>
      </c>
      <c r="N1039" s="4" t="s">
        <v>825</v>
      </c>
      <c r="O1039" s="4">
        <f>VLOOKUP(B1039, 'All Menu'!B:L, 6, 0)</f>
        <v>6.4655172413793105</v>
      </c>
      <c r="P1039" s="6">
        <f>VLOOKUP(B1039, 'All Menu'!B:L, 9, 0)</f>
        <v>4.3129671556078018</v>
      </c>
      <c r="Q1039" s="14">
        <f>VLOOKUP(B1039, 'All Menu'!B:M, 12, 0)</f>
        <v>0.33292774659932667</v>
      </c>
      <c r="R1039" s="173">
        <f t="shared" si="64"/>
        <v>0</v>
      </c>
    </row>
    <row r="1040" spans="1:18" ht="14" hidden="1">
      <c r="A1040" s="78" t="s">
        <v>2657</v>
      </c>
      <c r="B1040" s="220" t="s">
        <v>906</v>
      </c>
      <c r="C1040" s="185"/>
      <c r="D1040" s="103" t="str">
        <f>VLOOKUP(B1040, 'All Menu'!B:M, 4, 0)</f>
        <v>كفتة بندورة نصف كيلو</v>
      </c>
      <c r="E1040" s="30" t="str">
        <f>VLOOKUP(B1040, 'All Menu'!B:M, 2, 0)</f>
        <v>قسم الصواني</v>
      </c>
      <c r="F1040" s="103" t="str">
        <f>VLOOKUP(B1040, 'All Menu'!B:M, 3, 0)</f>
        <v>صواني وصجيات سفري</v>
      </c>
      <c r="G1040" s="90" t="s">
        <v>3058</v>
      </c>
      <c r="H1040" s="188">
        <v>4275</v>
      </c>
      <c r="I1040" s="110" t="str">
        <f>VLOOKUP(H1040, 'RM &amp; SF'!B:H, 2, 0)</f>
        <v>علب المركزية مطبوع + قاطع رقم 2 1*100 حبة*****</v>
      </c>
      <c r="J1040" s="184" t="str">
        <f>VLOOKUP(H1040, 'RM &amp; SF'!B:E, 4, 0)</f>
        <v>قطعة</v>
      </c>
      <c r="K1040" s="12">
        <v>1</v>
      </c>
      <c r="L1040" s="13">
        <f>VLOOKUP(H1040, 'RM &amp; SF'!B:H, 7, 0)</f>
        <v>0.2931034482758621</v>
      </c>
      <c r="M1040" s="7">
        <f t="shared" si="63"/>
        <v>0.2931034482758621</v>
      </c>
      <c r="N1040" s="4" t="s">
        <v>825</v>
      </c>
      <c r="O1040" s="4">
        <f>VLOOKUP(B1040, 'All Menu'!B:L, 6, 0)</f>
        <v>6.4655172413793105</v>
      </c>
      <c r="P1040" s="6">
        <f>VLOOKUP(B1040, 'All Menu'!B:L, 9, 0)</f>
        <v>4.3129671556078018</v>
      </c>
      <c r="Q1040" s="14">
        <f>VLOOKUP(B1040, 'All Menu'!B:M, 12, 0)</f>
        <v>0.33292774659932667</v>
      </c>
      <c r="R1040" s="173">
        <f t="shared" si="64"/>
        <v>0</v>
      </c>
    </row>
    <row r="1041" spans="1:18" ht="14" hidden="1">
      <c r="A1041" s="78" t="s">
        <v>2642</v>
      </c>
      <c r="B1041" s="220" t="s">
        <v>907</v>
      </c>
      <c r="C1041" s="185"/>
      <c r="D1041" s="103" t="str">
        <f>VLOOKUP(B1041, 'All Menu'!B:M, 4, 0)</f>
        <v>كفتة طحينية نصف كيلو</v>
      </c>
      <c r="E1041" s="30" t="str">
        <f>VLOOKUP(B1041, 'All Menu'!B:M, 2, 0)</f>
        <v>قسم الصواني</v>
      </c>
      <c r="F1041" s="103" t="str">
        <f>VLOOKUP(B1041, 'All Menu'!B:M, 3, 0)</f>
        <v>صواني وصجيات سفري</v>
      </c>
      <c r="G1041" s="90" t="s">
        <v>2414</v>
      </c>
      <c r="H1041" s="219" t="s">
        <v>485</v>
      </c>
      <c r="I1041" s="110" t="str">
        <f>VLOOKUP(H1041, 'RM &amp; SF'!B:H, 2, 0)</f>
        <v>كفتة للصواني</v>
      </c>
      <c r="J1041" s="184" t="str">
        <f>VLOOKUP(H1041, 'RM &amp; SF'!B:E, 4, 0)</f>
        <v>غم</v>
      </c>
      <c r="K1041" s="12">
        <v>500</v>
      </c>
      <c r="L1041" s="13">
        <f>VLOOKUP(H1041, 'RM &amp; SF'!B:H, 7, 0)</f>
        <v>6.7141943181818174E-3</v>
      </c>
      <c r="M1041" s="7">
        <f t="shared" si="63"/>
        <v>3.3570971590909089</v>
      </c>
      <c r="N1041" s="4" t="s">
        <v>825</v>
      </c>
      <c r="O1041" s="4">
        <f>VLOOKUP(B1041, 'All Menu'!B:L, 6, 0)</f>
        <v>6.4655172413793105</v>
      </c>
      <c r="P1041" s="6">
        <f>VLOOKUP(B1041, 'All Menu'!B:L, 9, 0)</f>
        <v>4.4380170831923502</v>
      </c>
      <c r="Q1041" s="14">
        <f>VLOOKUP(B1041, 'All Menu'!B:M, 12, 0)</f>
        <v>0.31358669113291654</v>
      </c>
      <c r="R1041" s="173">
        <f t="shared" si="64"/>
        <v>0</v>
      </c>
    </row>
    <row r="1042" spans="1:18" ht="14" hidden="1">
      <c r="A1042" s="78" t="s">
        <v>2642</v>
      </c>
      <c r="B1042" s="220" t="s">
        <v>907</v>
      </c>
      <c r="C1042" s="185"/>
      <c r="D1042" s="103" t="str">
        <f>VLOOKUP(B1042, 'All Menu'!B:M, 4, 0)</f>
        <v>كفتة طحينية نصف كيلو</v>
      </c>
      <c r="E1042" s="30" t="str">
        <f>VLOOKUP(B1042, 'All Menu'!B:M, 2, 0)</f>
        <v>قسم الصواني</v>
      </c>
      <c r="F1042" s="103" t="str">
        <f>VLOOKUP(B1042, 'All Menu'!B:M, 3, 0)</f>
        <v>صواني وصجيات سفري</v>
      </c>
      <c r="G1042" s="90" t="s">
        <v>2230</v>
      </c>
      <c r="H1042" s="188">
        <v>4497</v>
      </c>
      <c r="I1042" s="110" t="str">
        <f>VLOOKUP(H1042, 'RM &amp; SF'!B:H, 2, 0)</f>
        <v>بطاطا*****</v>
      </c>
      <c r="J1042" s="184" t="str">
        <f>VLOOKUP(H1042, 'RM &amp; SF'!B:E, 4, 0)</f>
        <v>غم</v>
      </c>
      <c r="K1042" s="12">
        <v>130</v>
      </c>
      <c r="L1042" s="13">
        <f>VLOOKUP(H1042, 'RM &amp; SF'!B:H, 7, 0)</f>
        <v>4.0000000000000002E-4</v>
      </c>
      <c r="M1042" s="7">
        <f t="shared" si="63"/>
        <v>5.2000000000000005E-2</v>
      </c>
      <c r="N1042" s="4" t="s">
        <v>825</v>
      </c>
      <c r="O1042" s="4">
        <f>VLOOKUP(B1042, 'All Menu'!B:L, 6, 0)</f>
        <v>6.4655172413793105</v>
      </c>
      <c r="P1042" s="6">
        <f>VLOOKUP(B1042, 'All Menu'!B:L, 9, 0)</f>
        <v>4.4380170831923502</v>
      </c>
      <c r="Q1042" s="14">
        <f>VLOOKUP(B1042, 'All Menu'!B:M, 12, 0)</f>
        <v>0.31358669113291654</v>
      </c>
      <c r="R1042" s="173">
        <f t="shared" si="64"/>
        <v>0</v>
      </c>
    </row>
    <row r="1043" spans="1:18" ht="14" hidden="1">
      <c r="A1043" s="78" t="s">
        <v>2642</v>
      </c>
      <c r="B1043" s="220" t="s">
        <v>907</v>
      </c>
      <c r="C1043" s="185"/>
      <c r="D1043" s="103" t="str">
        <f>VLOOKUP(B1043, 'All Menu'!B:M, 4, 0)</f>
        <v>كفتة طحينية نصف كيلو</v>
      </c>
      <c r="E1043" s="30" t="str">
        <f>VLOOKUP(B1043, 'All Menu'!B:M, 2, 0)</f>
        <v>قسم الصواني</v>
      </c>
      <c r="F1043" s="103" t="str">
        <f>VLOOKUP(B1043, 'All Menu'!B:M, 3, 0)</f>
        <v>صواني وصجيات سفري</v>
      </c>
      <c r="G1043" s="90" t="s">
        <v>2430</v>
      </c>
      <c r="H1043" s="219" t="s">
        <v>636</v>
      </c>
      <c r="I1043" s="110" t="str">
        <f>VLOOKUP(H1043, 'RM &amp; SF'!B:H, 2, 0)</f>
        <v>صوص طحينية للصواني</v>
      </c>
      <c r="J1043" s="184" t="str">
        <f>VLOOKUP(H1043, 'RM &amp; SF'!B:E, 4, 0)</f>
        <v>غم</v>
      </c>
      <c r="K1043" s="12">
        <v>600</v>
      </c>
      <c r="L1043" s="13">
        <f>VLOOKUP(H1043, 'RM &amp; SF'!B:H, 7, 0)</f>
        <v>1.0115232451499119E-3</v>
      </c>
      <c r="M1043" s="7">
        <f t="shared" si="63"/>
        <v>0.60691394708994717</v>
      </c>
      <c r="N1043" s="4" t="s">
        <v>825</v>
      </c>
      <c r="O1043" s="4">
        <f>VLOOKUP(B1043, 'All Menu'!B:L, 6, 0)</f>
        <v>6.4655172413793105</v>
      </c>
      <c r="P1043" s="6">
        <f>VLOOKUP(B1043, 'All Menu'!B:L, 9, 0)</f>
        <v>4.4380170831923502</v>
      </c>
      <c r="Q1043" s="14">
        <f>VLOOKUP(B1043, 'All Menu'!B:M, 12, 0)</f>
        <v>0.31358669113291654</v>
      </c>
      <c r="R1043" s="173">
        <f t="shared" si="64"/>
        <v>0</v>
      </c>
    </row>
    <row r="1044" spans="1:18" ht="14" hidden="1">
      <c r="A1044" s="78" t="s">
        <v>2642</v>
      </c>
      <c r="B1044" s="220" t="s">
        <v>907</v>
      </c>
      <c r="C1044" s="185"/>
      <c r="D1044" s="103" t="str">
        <f>VLOOKUP(B1044, 'All Menu'!B:M, 4, 0)</f>
        <v>كفتة طحينية نصف كيلو</v>
      </c>
      <c r="E1044" s="30" t="str">
        <f>VLOOKUP(B1044, 'All Menu'!B:M, 2, 0)</f>
        <v>قسم الصواني</v>
      </c>
      <c r="F1044" s="103" t="str">
        <f>VLOOKUP(B1044, 'All Menu'!B:M, 3, 0)</f>
        <v>صواني وصجيات سفري</v>
      </c>
      <c r="G1044" s="90" t="s">
        <v>2368</v>
      </c>
      <c r="H1044" s="219" t="s">
        <v>768</v>
      </c>
      <c r="I1044" s="110" t="str">
        <f>VLOOKUP(H1044, 'RM &amp; SF'!B:H, 2, 0)</f>
        <v>بصل مقلي</v>
      </c>
      <c r="J1044" s="184" t="str">
        <f>VLOOKUP(H1044, 'RM &amp; SF'!B:E, 4, 0)</f>
        <v>غم</v>
      </c>
      <c r="K1044" s="22">
        <v>15</v>
      </c>
      <c r="L1044" s="13">
        <f>VLOOKUP(H1044, 'RM &amp; SF'!B:H, 7, 0)</f>
        <v>2.6400000000000002E-4</v>
      </c>
      <c r="M1044" s="15">
        <f t="shared" si="63"/>
        <v>3.96E-3</v>
      </c>
      <c r="N1044" s="21" t="s">
        <v>825</v>
      </c>
      <c r="O1044" s="4">
        <f>VLOOKUP(B1044, 'All Menu'!B:L, 6, 0)</f>
        <v>6.4655172413793105</v>
      </c>
      <c r="P1044" s="6">
        <f>VLOOKUP(B1044, 'All Menu'!B:L, 9, 0)</f>
        <v>4.4380170831923502</v>
      </c>
      <c r="Q1044" s="14">
        <f>VLOOKUP(B1044, 'All Menu'!B:M, 12, 0)</f>
        <v>0.31358669113291654</v>
      </c>
      <c r="R1044" s="173">
        <f t="shared" si="64"/>
        <v>0</v>
      </c>
    </row>
    <row r="1045" spans="1:18" ht="14" hidden="1">
      <c r="A1045" s="78" t="s">
        <v>2642</v>
      </c>
      <c r="B1045" s="220" t="s">
        <v>907</v>
      </c>
      <c r="C1045" s="185"/>
      <c r="D1045" s="103" t="str">
        <f>VLOOKUP(B1045, 'All Menu'!B:M, 4, 0)</f>
        <v>كفتة طحينية نصف كيلو</v>
      </c>
      <c r="E1045" s="30" t="str">
        <f>VLOOKUP(B1045, 'All Menu'!B:M, 2, 0)</f>
        <v>قسم الصواني</v>
      </c>
      <c r="F1045" s="103" t="str">
        <f>VLOOKUP(B1045, 'All Menu'!B:M, 3, 0)</f>
        <v>صواني وصجيات سفري</v>
      </c>
      <c r="G1045" s="90" t="s">
        <v>2231</v>
      </c>
      <c r="H1045" s="188">
        <v>4499</v>
      </c>
      <c r="I1045" s="110" t="str">
        <f>VLOOKUP(H1045, 'RM &amp; SF'!B:H, 2, 0)</f>
        <v>فلفل حار اخضر*****</v>
      </c>
      <c r="J1045" s="184" t="str">
        <f>VLOOKUP(H1045, 'RM &amp; SF'!B:E, 4, 0)</f>
        <v>غم</v>
      </c>
      <c r="K1045" s="12">
        <v>20</v>
      </c>
      <c r="L1045" s="13">
        <f>VLOOKUP(H1045, 'RM &amp; SF'!B:H, 7, 0)</f>
        <v>5.0000000000000001E-4</v>
      </c>
      <c r="M1045" s="7">
        <f t="shared" si="63"/>
        <v>0.01</v>
      </c>
      <c r="N1045" s="4" t="s">
        <v>825</v>
      </c>
      <c r="O1045" s="4">
        <f>VLOOKUP(B1045, 'All Menu'!B:L, 6, 0)</f>
        <v>6.4655172413793105</v>
      </c>
      <c r="P1045" s="6">
        <f>VLOOKUP(B1045, 'All Menu'!B:L, 9, 0)</f>
        <v>4.4380170831923502</v>
      </c>
      <c r="Q1045" s="14">
        <f>VLOOKUP(B1045, 'All Menu'!B:M, 12, 0)</f>
        <v>0.31358669113291654</v>
      </c>
      <c r="R1045" s="173">
        <f t="shared" si="64"/>
        <v>0</v>
      </c>
    </row>
    <row r="1046" spans="1:18" ht="14" hidden="1">
      <c r="A1046" s="78" t="s">
        <v>2642</v>
      </c>
      <c r="B1046" s="220" t="s">
        <v>907</v>
      </c>
      <c r="C1046" s="185"/>
      <c r="D1046" s="103" t="str">
        <f>VLOOKUP(B1046, 'All Menu'!B:M, 4, 0)</f>
        <v>كفتة طحينية نصف كيلو</v>
      </c>
      <c r="E1046" s="30" t="str">
        <f>VLOOKUP(B1046, 'All Menu'!B:M, 2, 0)</f>
        <v>قسم الصواني</v>
      </c>
      <c r="F1046" s="103" t="str">
        <f>VLOOKUP(B1046, 'All Menu'!B:M, 3, 0)</f>
        <v>صواني وصجيات سفري</v>
      </c>
      <c r="G1046" s="90" t="s">
        <v>3058</v>
      </c>
      <c r="H1046" s="188">
        <v>5424</v>
      </c>
      <c r="I1046" s="110" t="str">
        <f>VLOOKUP(H1046, 'RM &amp; SF'!B:H, 2, 0)</f>
        <v>علب قصدير مدور 1/2 كغ RZ 25*****</v>
      </c>
      <c r="J1046" s="184" t="str">
        <f>VLOOKUP(H1046, 'RM &amp; SF'!B:E, 4, 0)</f>
        <v>قطعة</v>
      </c>
      <c r="K1046" s="12">
        <v>1</v>
      </c>
      <c r="L1046" s="13">
        <f>VLOOKUP(H1046, 'RM &amp; SF'!B:H, 7, 0)</f>
        <v>0.1149425287356322</v>
      </c>
      <c r="M1046" s="7">
        <f t="shared" si="63"/>
        <v>0.1149425287356322</v>
      </c>
      <c r="N1046" s="4" t="s">
        <v>825</v>
      </c>
      <c r="O1046" s="4">
        <f>VLOOKUP(B1046, 'All Menu'!B:L, 6, 0)</f>
        <v>6.4655172413793105</v>
      </c>
      <c r="P1046" s="6">
        <f>VLOOKUP(B1046, 'All Menu'!B:L, 9, 0)</f>
        <v>4.4380170831923502</v>
      </c>
      <c r="Q1046" s="14">
        <f>VLOOKUP(B1046, 'All Menu'!B:M, 12, 0)</f>
        <v>0.31358669113291654</v>
      </c>
      <c r="R1046" s="173">
        <f t="shared" si="64"/>
        <v>0</v>
      </c>
    </row>
    <row r="1047" spans="1:18" ht="14" hidden="1">
      <c r="A1047" s="78" t="s">
        <v>2642</v>
      </c>
      <c r="B1047" s="220" t="s">
        <v>907</v>
      </c>
      <c r="C1047" s="185"/>
      <c r="D1047" s="103" t="str">
        <f>VLOOKUP(B1047, 'All Menu'!B:M, 4, 0)</f>
        <v>كفتة طحينية نصف كيلو</v>
      </c>
      <c r="E1047" s="30" t="str">
        <f>VLOOKUP(B1047, 'All Menu'!B:M, 2, 0)</f>
        <v>قسم الصواني</v>
      </c>
      <c r="F1047" s="103" t="str">
        <f>VLOOKUP(B1047, 'All Menu'!B:M, 3, 0)</f>
        <v>صواني وصجيات سفري</v>
      </c>
      <c r="G1047" s="90" t="s">
        <v>3058</v>
      </c>
      <c r="H1047" s="188">
        <v>4275</v>
      </c>
      <c r="I1047" s="110" t="str">
        <f>VLOOKUP(H1047, 'RM &amp; SF'!B:H, 2, 0)</f>
        <v>علب المركزية مطبوع + قاطع رقم 2 1*100 حبة*****</v>
      </c>
      <c r="J1047" s="184" t="str">
        <f>VLOOKUP(H1047, 'RM &amp; SF'!B:E, 4, 0)</f>
        <v>قطعة</v>
      </c>
      <c r="K1047" s="12">
        <v>1</v>
      </c>
      <c r="L1047" s="13">
        <f>VLOOKUP(H1047, 'RM &amp; SF'!B:H, 7, 0)</f>
        <v>0.2931034482758621</v>
      </c>
      <c r="M1047" s="7">
        <f t="shared" si="63"/>
        <v>0.2931034482758621</v>
      </c>
      <c r="N1047" s="4" t="s">
        <v>825</v>
      </c>
      <c r="O1047" s="4">
        <f>VLOOKUP(B1047, 'All Menu'!B:L, 6, 0)</f>
        <v>6.4655172413793105</v>
      </c>
      <c r="P1047" s="6">
        <f>VLOOKUP(B1047, 'All Menu'!B:L, 9, 0)</f>
        <v>4.4380170831923502</v>
      </c>
      <c r="Q1047" s="14">
        <f>VLOOKUP(B1047, 'All Menu'!B:M, 12, 0)</f>
        <v>0.31358669113291654</v>
      </c>
      <c r="R1047" s="173">
        <f t="shared" si="64"/>
        <v>0</v>
      </c>
    </row>
    <row r="1048" spans="1:18" ht="15.5" hidden="1">
      <c r="A1048" s="78" t="s">
        <v>2645</v>
      </c>
      <c r="B1048" s="220" t="s">
        <v>908</v>
      </c>
      <c r="C1048" s="185"/>
      <c r="D1048" s="103" t="str">
        <f>VLOOKUP(B1048, 'All Menu'!B:M, 4, 0)</f>
        <v>راس عصفورة نصف كيلو</v>
      </c>
      <c r="E1048" s="30" t="str">
        <f>VLOOKUP(B1048, 'All Menu'!B:M, 2, 0)</f>
        <v>قسم الصواني</v>
      </c>
      <c r="F1048" s="103" t="str">
        <f>VLOOKUP(B1048, 'All Menu'!B:M, 3, 0)</f>
        <v>صواني وصجيات سفري</v>
      </c>
      <c r="G1048" s="90" t="s">
        <v>3058</v>
      </c>
      <c r="H1048" s="112">
        <v>5403</v>
      </c>
      <c r="I1048" s="110" t="str">
        <f>VLOOKUP(H1048, 'RM &amp; SF'!B:H, 2, 0)</f>
        <v>طاجن (من تفصيلة الخروف)</v>
      </c>
      <c r="J1048" s="184" t="str">
        <f>VLOOKUP(H1048, 'RM &amp; SF'!B:E, 4, 0)</f>
        <v>غم</v>
      </c>
      <c r="K1048" s="12">
        <v>500</v>
      </c>
      <c r="L1048" s="13">
        <f>VLOOKUP(H1048, 'RM &amp; SF'!B:H, 7, 0)</f>
        <v>9.4999999999999998E-3</v>
      </c>
      <c r="M1048" s="7">
        <f t="shared" si="63"/>
        <v>4.75</v>
      </c>
      <c r="N1048" s="4" t="s">
        <v>825</v>
      </c>
      <c r="O1048" s="4">
        <f>VLOOKUP(B1048, 'All Menu'!B:L, 6, 0)</f>
        <v>11.939655172413794</v>
      </c>
      <c r="P1048" s="6">
        <f>VLOOKUP(B1048, 'All Menu'!B:L, 9, 0)</f>
        <v>5.543466643678161</v>
      </c>
      <c r="Q1048" s="14">
        <f>VLOOKUP(B1048, 'All Menu'!B:M, 12, 0)</f>
        <v>0.53570965294825512</v>
      </c>
      <c r="R1048" s="173">
        <f t="shared" si="64"/>
        <v>0</v>
      </c>
    </row>
    <row r="1049" spans="1:18" ht="14" hidden="1">
      <c r="A1049" s="78" t="s">
        <v>2645</v>
      </c>
      <c r="B1049" s="220" t="s">
        <v>908</v>
      </c>
      <c r="C1049" s="185"/>
      <c r="D1049" s="103" t="str">
        <f>VLOOKUP(B1049, 'All Menu'!B:M, 4, 0)</f>
        <v>راس عصفورة نصف كيلو</v>
      </c>
      <c r="E1049" s="30" t="str">
        <f>VLOOKUP(B1049, 'All Menu'!B:M, 2, 0)</f>
        <v>قسم الصواني</v>
      </c>
      <c r="F1049" s="103" t="str">
        <f>VLOOKUP(B1049, 'All Menu'!B:M, 3, 0)</f>
        <v>صواني وصجيات سفري</v>
      </c>
      <c r="G1049" s="90" t="s">
        <v>2234</v>
      </c>
      <c r="H1049" s="188">
        <v>4503</v>
      </c>
      <c r="I1049" s="110" t="str">
        <f>VLOOKUP(H1049, 'RM &amp; SF'!B:H, 2, 0)</f>
        <v>بصل ناشف دفش*****</v>
      </c>
      <c r="J1049" s="184" t="str">
        <f>VLOOKUP(H1049, 'RM &amp; SF'!B:E, 4, 0)</f>
        <v>غم</v>
      </c>
      <c r="K1049" s="12">
        <v>100</v>
      </c>
      <c r="L1049" s="13">
        <f>VLOOKUP(H1049, 'RM &amp; SF'!B:H, 7, 0)</f>
        <v>2.5000000000000001E-4</v>
      </c>
      <c r="M1049" s="7">
        <f t="shared" si="63"/>
        <v>2.5000000000000001E-2</v>
      </c>
      <c r="N1049" s="4" t="s">
        <v>825</v>
      </c>
      <c r="O1049" s="4">
        <f>VLOOKUP(B1049, 'All Menu'!B:L, 6, 0)</f>
        <v>11.939655172413794</v>
      </c>
      <c r="P1049" s="6">
        <f>VLOOKUP(B1049, 'All Menu'!B:L, 9, 0)</f>
        <v>5.543466643678161</v>
      </c>
      <c r="Q1049" s="14">
        <f>VLOOKUP(B1049, 'All Menu'!B:M, 12, 0)</f>
        <v>0.53570965294825512</v>
      </c>
      <c r="R1049" s="173">
        <f t="shared" si="64"/>
        <v>0</v>
      </c>
    </row>
    <row r="1050" spans="1:18" ht="14" hidden="1">
      <c r="A1050" s="78" t="s">
        <v>2645</v>
      </c>
      <c r="B1050" s="220" t="s">
        <v>908</v>
      </c>
      <c r="C1050" s="185"/>
      <c r="D1050" s="103" t="str">
        <f>VLOOKUP(B1050, 'All Menu'!B:M, 4, 0)</f>
        <v>راس عصفورة نصف كيلو</v>
      </c>
      <c r="E1050" s="30" t="str">
        <f>VLOOKUP(B1050, 'All Menu'!B:M, 2, 0)</f>
        <v>قسم الصواني</v>
      </c>
      <c r="F1050" s="103" t="str">
        <f>VLOOKUP(B1050, 'All Menu'!B:M, 3, 0)</f>
        <v>صواني وصجيات سفري</v>
      </c>
      <c r="G1050" s="90" t="s">
        <v>2309</v>
      </c>
      <c r="H1050" s="188">
        <v>4491</v>
      </c>
      <c r="I1050" s="110" t="str">
        <f>VLOOKUP(H1050, 'RM &amp; SF'!B:H, 2, 0)</f>
        <v>بندورة جامدة*****</v>
      </c>
      <c r="J1050" s="184" t="str">
        <f>VLOOKUP(H1050, 'RM &amp; SF'!B:E, 4, 0)</f>
        <v>غم</v>
      </c>
      <c r="K1050" s="12">
        <v>200</v>
      </c>
      <c r="L1050" s="13">
        <f>VLOOKUP(H1050, 'RM &amp; SF'!B:H, 7, 0)</f>
        <v>5.0000000000000001E-4</v>
      </c>
      <c r="M1050" s="7">
        <f t="shared" si="63"/>
        <v>0.1</v>
      </c>
      <c r="N1050" s="4" t="s">
        <v>825</v>
      </c>
      <c r="O1050" s="4">
        <f>VLOOKUP(B1050, 'All Menu'!B:L, 6, 0)</f>
        <v>11.939655172413794</v>
      </c>
      <c r="P1050" s="6">
        <f>VLOOKUP(B1050, 'All Menu'!B:L, 9, 0)</f>
        <v>5.543466643678161</v>
      </c>
      <c r="Q1050" s="14">
        <f>VLOOKUP(B1050, 'All Menu'!B:M, 12, 0)</f>
        <v>0.53570965294825512</v>
      </c>
      <c r="R1050" s="173">
        <f t="shared" si="64"/>
        <v>0</v>
      </c>
    </row>
    <row r="1051" spans="1:18" ht="15.5" hidden="1">
      <c r="A1051" s="78" t="s">
        <v>2645</v>
      </c>
      <c r="B1051" s="220" t="s">
        <v>908</v>
      </c>
      <c r="C1051" s="185"/>
      <c r="D1051" s="103" t="str">
        <f>VLOOKUP(B1051, 'All Menu'!B:M, 4, 0)</f>
        <v>راس عصفورة نصف كيلو</v>
      </c>
      <c r="E1051" s="30" t="str">
        <f>VLOOKUP(B1051, 'All Menu'!B:M, 2, 0)</f>
        <v>قسم الصواني</v>
      </c>
      <c r="F1051" s="103" t="str">
        <f>VLOOKUP(B1051, 'All Menu'!B:M, 3, 0)</f>
        <v>صواني وصجيات سفري</v>
      </c>
      <c r="G1051" s="90" t="s">
        <v>2321</v>
      </c>
      <c r="H1051" s="67">
        <v>5292</v>
      </c>
      <c r="I1051" s="110" t="str">
        <f>VLOOKUP(H1051, 'RM &amp; SF'!B:H, 2, 0)</f>
        <v>ثوم مقشر*****</v>
      </c>
      <c r="J1051" s="184" t="str">
        <f>VLOOKUP(H1051, 'RM &amp; SF'!B:E, 4, 0)</f>
        <v>غم</v>
      </c>
      <c r="K1051" s="12">
        <v>20</v>
      </c>
      <c r="L1051" s="13">
        <f>VLOOKUP(H1051, 'RM &amp; SF'!B:H, 7, 0)</f>
        <v>4.4999999999999997E-3</v>
      </c>
      <c r="M1051" s="7">
        <f t="shared" si="63"/>
        <v>0.09</v>
      </c>
      <c r="N1051" s="4" t="s">
        <v>825</v>
      </c>
      <c r="O1051" s="4">
        <f>VLOOKUP(B1051, 'All Menu'!B:L, 6, 0)</f>
        <v>11.939655172413794</v>
      </c>
      <c r="P1051" s="6">
        <f>VLOOKUP(B1051, 'All Menu'!B:L, 9, 0)</f>
        <v>5.543466643678161</v>
      </c>
      <c r="Q1051" s="14">
        <f>VLOOKUP(B1051, 'All Menu'!B:M, 12, 0)</f>
        <v>0.53570965294825512</v>
      </c>
      <c r="R1051" s="173">
        <f t="shared" si="64"/>
        <v>0</v>
      </c>
    </row>
    <row r="1052" spans="1:18" ht="14" hidden="1">
      <c r="A1052" s="78" t="s">
        <v>2645</v>
      </c>
      <c r="B1052" s="220" t="s">
        <v>908</v>
      </c>
      <c r="C1052" s="185"/>
      <c r="D1052" s="103" t="str">
        <f>VLOOKUP(B1052, 'All Menu'!B:M, 4, 0)</f>
        <v>راس عصفورة نصف كيلو</v>
      </c>
      <c r="E1052" s="30" t="str">
        <f>VLOOKUP(B1052, 'All Menu'!B:M, 2, 0)</f>
        <v>قسم الصواني</v>
      </c>
      <c r="F1052" s="103" t="str">
        <f>VLOOKUP(B1052, 'All Menu'!B:M, 3, 0)</f>
        <v>صواني وصجيات سفري</v>
      </c>
      <c r="G1052" s="90" t="s">
        <v>2231</v>
      </c>
      <c r="H1052" s="188">
        <v>4499</v>
      </c>
      <c r="I1052" s="110" t="str">
        <f>VLOOKUP(H1052, 'RM &amp; SF'!B:H, 2, 0)</f>
        <v>فلفل حار اخضر*****</v>
      </c>
      <c r="J1052" s="184" t="str">
        <f>VLOOKUP(H1052, 'RM &amp; SF'!B:E, 4, 0)</f>
        <v>غم</v>
      </c>
      <c r="K1052" s="12">
        <v>20</v>
      </c>
      <c r="L1052" s="13">
        <f>VLOOKUP(H1052, 'RM &amp; SF'!B:H, 7, 0)</f>
        <v>5.0000000000000001E-4</v>
      </c>
      <c r="M1052" s="7">
        <f t="shared" si="63"/>
        <v>0.01</v>
      </c>
      <c r="N1052" s="4" t="s">
        <v>825</v>
      </c>
      <c r="O1052" s="4">
        <f>VLOOKUP(B1052, 'All Menu'!B:L, 6, 0)</f>
        <v>11.939655172413794</v>
      </c>
      <c r="P1052" s="6">
        <f>VLOOKUP(B1052, 'All Menu'!B:L, 9, 0)</f>
        <v>5.543466643678161</v>
      </c>
      <c r="Q1052" s="14">
        <f>VLOOKUP(B1052, 'All Menu'!B:M, 12, 0)</f>
        <v>0.53570965294825512</v>
      </c>
      <c r="R1052" s="173">
        <f t="shared" si="64"/>
        <v>0</v>
      </c>
    </row>
    <row r="1053" spans="1:18" ht="14" hidden="1">
      <c r="A1053" s="78" t="s">
        <v>2645</v>
      </c>
      <c r="B1053" s="220" t="s">
        <v>908</v>
      </c>
      <c r="C1053" s="185"/>
      <c r="D1053" s="103" t="str">
        <f>VLOOKUP(B1053, 'All Menu'!B:M, 4, 0)</f>
        <v>راس عصفورة نصف كيلو</v>
      </c>
      <c r="E1053" s="30" t="str">
        <f>VLOOKUP(B1053, 'All Menu'!B:M, 2, 0)</f>
        <v>قسم الصواني</v>
      </c>
      <c r="F1053" s="103" t="str">
        <f>VLOOKUP(B1053, 'All Menu'!B:M, 3, 0)</f>
        <v>صواني وصجيات سفري</v>
      </c>
      <c r="G1053" s="90" t="s">
        <v>2203</v>
      </c>
      <c r="H1053" s="188">
        <v>4152</v>
      </c>
      <c r="I1053" s="110" t="str">
        <f>VLOOKUP(H1053, 'RM &amp; SF'!B:H, 2, 0)</f>
        <v>ملح طعام 750غم*****</v>
      </c>
      <c r="J1053" s="184" t="str">
        <f>VLOOKUP(H1053, 'RM &amp; SF'!B:E, 4, 0)</f>
        <v>غم</v>
      </c>
      <c r="K1053" s="12">
        <v>4</v>
      </c>
      <c r="L1053" s="13">
        <f>VLOOKUP(H1053, 'RM &amp; SF'!B:H, 7, 0)</f>
        <v>1.7066666666666665E-4</v>
      </c>
      <c r="M1053" s="7">
        <f t="shared" si="63"/>
        <v>6.826666666666666E-4</v>
      </c>
      <c r="N1053" s="4" t="s">
        <v>825</v>
      </c>
      <c r="O1053" s="4">
        <f>VLOOKUP(B1053, 'All Menu'!B:L, 6, 0)</f>
        <v>11.939655172413794</v>
      </c>
      <c r="P1053" s="6">
        <f>VLOOKUP(B1053, 'All Menu'!B:L, 9, 0)</f>
        <v>5.543466643678161</v>
      </c>
      <c r="Q1053" s="14">
        <f>VLOOKUP(B1053, 'All Menu'!B:M, 12, 0)</f>
        <v>0.53570965294825512</v>
      </c>
      <c r="R1053" s="173">
        <f t="shared" si="64"/>
        <v>0</v>
      </c>
    </row>
    <row r="1054" spans="1:18" ht="14" hidden="1">
      <c r="A1054" s="78" t="s">
        <v>2645</v>
      </c>
      <c r="B1054" s="220" t="s">
        <v>908</v>
      </c>
      <c r="C1054" s="185"/>
      <c r="D1054" s="103" t="str">
        <f>VLOOKUP(B1054, 'All Menu'!B:M, 4, 0)</f>
        <v>راس عصفورة نصف كيلو</v>
      </c>
      <c r="E1054" s="30" t="str">
        <f>VLOOKUP(B1054, 'All Menu'!B:M, 2, 0)</f>
        <v>قسم الصواني</v>
      </c>
      <c r="F1054" s="103" t="str">
        <f>VLOOKUP(B1054, 'All Menu'!B:M, 3, 0)</f>
        <v>صواني وصجيات سفري</v>
      </c>
      <c r="G1054" s="90" t="s">
        <v>2206</v>
      </c>
      <c r="H1054" s="188">
        <v>4204</v>
      </c>
      <c r="I1054" s="110" t="str">
        <f>VLOOKUP(H1054, 'RM &amp; SF'!B:H, 2, 0)</f>
        <v>فلفل اسود ناعم*****</v>
      </c>
      <c r="J1054" s="184" t="str">
        <f>VLOOKUP(H1054, 'RM &amp; SF'!B:E, 4, 0)</f>
        <v>غم</v>
      </c>
      <c r="K1054" s="12">
        <v>2</v>
      </c>
      <c r="L1054" s="13">
        <f>VLOOKUP(H1054, 'RM &amp; SF'!B:H, 7, 0)</f>
        <v>6.8970000000000004E-3</v>
      </c>
      <c r="M1054" s="7">
        <f t="shared" si="63"/>
        <v>1.3794000000000001E-2</v>
      </c>
      <c r="N1054" s="4" t="s">
        <v>825</v>
      </c>
      <c r="O1054" s="4">
        <f>VLOOKUP(B1054, 'All Menu'!B:L, 6, 0)</f>
        <v>11.939655172413794</v>
      </c>
      <c r="P1054" s="6">
        <f>VLOOKUP(B1054, 'All Menu'!B:L, 9, 0)</f>
        <v>5.543466643678161</v>
      </c>
      <c r="Q1054" s="14">
        <f>VLOOKUP(B1054, 'All Menu'!B:M, 12, 0)</f>
        <v>0.53570965294825512</v>
      </c>
      <c r="R1054" s="173">
        <f t="shared" si="64"/>
        <v>0</v>
      </c>
    </row>
    <row r="1055" spans="1:18" ht="14" hidden="1">
      <c r="A1055" s="78" t="s">
        <v>2645</v>
      </c>
      <c r="B1055" s="220" t="s">
        <v>908</v>
      </c>
      <c r="C1055" s="185"/>
      <c r="D1055" s="103" t="str">
        <f>VLOOKUP(B1055, 'All Menu'!B:M, 4, 0)</f>
        <v>راس عصفورة نصف كيلو</v>
      </c>
      <c r="E1055" s="30" t="str">
        <f>VLOOKUP(B1055, 'All Menu'!B:M, 2, 0)</f>
        <v>قسم الصواني</v>
      </c>
      <c r="F1055" s="103" t="str">
        <f>VLOOKUP(B1055, 'All Menu'!B:M, 3, 0)</f>
        <v>صواني وصجيات سفري</v>
      </c>
      <c r="G1055" s="90" t="s">
        <v>3058</v>
      </c>
      <c r="H1055" s="188">
        <v>4254</v>
      </c>
      <c r="I1055" s="110" t="str">
        <f>VLOOKUP(H1055, 'RM &amp; SF'!B:H, 2, 0)</f>
        <v>روزميري ناشف*****</v>
      </c>
      <c r="J1055" s="184" t="str">
        <f>VLOOKUP(H1055, 'RM &amp; SF'!B:E, 4, 0)</f>
        <v>غم</v>
      </c>
      <c r="K1055" s="12">
        <v>4</v>
      </c>
      <c r="L1055" s="13">
        <f>VLOOKUP(H1055, 'RM &amp; SF'!B:H, 7, 0)</f>
        <v>2.5859999999999998E-3</v>
      </c>
      <c r="M1055" s="7">
        <f t="shared" si="63"/>
        <v>1.0343999999999999E-2</v>
      </c>
      <c r="N1055" s="4" t="s">
        <v>825</v>
      </c>
      <c r="O1055" s="4">
        <f>VLOOKUP(B1055, 'All Menu'!B:L, 6, 0)</f>
        <v>11.939655172413794</v>
      </c>
      <c r="P1055" s="6">
        <f>VLOOKUP(B1055, 'All Menu'!B:L, 9, 0)</f>
        <v>5.543466643678161</v>
      </c>
      <c r="Q1055" s="14">
        <f>VLOOKUP(B1055, 'All Menu'!B:M, 12, 0)</f>
        <v>0.53570965294825512</v>
      </c>
      <c r="R1055" s="173">
        <f t="shared" si="64"/>
        <v>0</v>
      </c>
    </row>
    <row r="1056" spans="1:18" ht="14" hidden="1">
      <c r="A1056" s="78" t="s">
        <v>2645</v>
      </c>
      <c r="B1056" s="220" t="s">
        <v>908</v>
      </c>
      <c r="C1056" s="185"/>
      <c r="D1056" s="103" t="str">
        <f>VLOOKUP(B1056, 'All Menu'!B:M, 4, 0)</f>
        <v>راس عصفورة نصف كيلو</v>
      </c>
      <c r="E1056" s="30" t="str">
        <f>VLOOKUP(B1056, 'All Menu'!B:M, 2, 0)</f>
        <v>قسم الصواني</v>
      </c>
      <c r="F1056" s="103" t="str">
        <f>VLOOKUP(B1056, 'All Menu'!B:M, 3, 0)</f>
        <v>صواني وصجيات سفري</v>
      </c>
      <c r="G1056" s="90" t="s">
        <v>2357</v>
      </c>
      <c r="H1056" s="219" t="s">
        <v>744</v>
      </c>
      <c r="I1056" s="110" t="str">
        <f>VLOOKUP(H1056, 'RM &amp; SF'!B:H, 2, 0)</f>
        <v>زيت زيتون مكسور</v>
      </c>
      <c r="J1056" s="184" t="str">
        <f>VLOOKUP(H1056, 'RM &amp; SF'!B:E, 4, 0)</f>
        <v>غم</v>
      </c>
      <c r="K1056" s="12">
        <v>40</v>
      </c>
      <c r="L1056" s="13">
        <f>VLOOKUP(H1056, 'RM &amp; SF'!B:H, 7, 0)</f>
        <v>3.3899999999999998E-3</v>
      </c>
      <c r="M1056" s="7">
        <f t="shared" si="63"/>
        <v>0.1356</v>
      </c>
      <c r="N1056" s="4" t="s">
        <v>825</v>
      </c>
      <c r="O1056" s="4">
        <f>VLOOKUP(B1056, 'All Menu'!B:L, 6, 0)</f>
        <v>11.939655172413794</v>
      </c>
      <c r="P1056" s="6">
        <f>VLOOKUP(B1056, 'All Menu'!B:L, 9, 0)</f>
        <v>5.543466643678161</v>
      </c>
      <c r="Q1056" s="14">
        <f>VLOOKUP(B1056, 'All Menu'!B:M, 12, 0)</f>
        <v>0.53570965294825512</v>
      </c>
      <c r="R1056" s="173">
        <f t="shared" si="64"/>
        <v>0</v>
      </c>
    </row>
    <row r="1057" spans="1:18" ht="14" hidden="1">
      <c r="A1057" s="78" t="s">
        <v>2645</v>
      </c>
      <c r="B1057" s="220" t="s">
        <v>908</v>
      </c>
      <c r="C1057" s="185"/>
      <c r="D1057" s="103" t="str">
        <f>VLOOKUP(B1057, 'All Menu'!B:M, 4, 0)</f>
        <v>راس عصفورة نصف كيلو</v>
      </c>
      <c r="E1057" s="30" t="str">
        <f>VLOOKUP(B1057, 'All Menu'!B:M, 2, 0)</f>
        <v>قسم الصواني</v>
      </c>
      <c r="F1057" s="103" t="str">
        <f>VLOOKUP(B1057, 'All Menu'!B:M, 3, 0)</f>
        <v>صواني وصجيات سفري</v>
      </c>
      <c r="G1057" s="90" t="s">
        <v>3058</v>
      </c>
      <c r="H1057" s="188">
        <v>5424</v>
      </c>
      <c r="I1057" s="110" t="str">
        <f>VLOOKUP(H1057, 'RM &amp; SF'!B:H, 2, 0)</f>
        <v>علب قصدير مدور 1/2 كغ RZ 25*****</v>
      </c>
      <c r="J1057" s="184" t="str">
        <f>VLOOKUP(H1057, 'RM &amp; SF'!B:E, 4, 0)</f>
        <v>قطعة</v>
      </c>
      <c r="K1057" s="16">
        <v>1</v>
      </c>
      <c r="L1057" s="13">
        <f>VLOOKUP(H1057, 'RM &amp; SF'!B:H, 7, 0)</f>
        <v>0.1149425287356322</v>
      </c>
      <c r="M1057" s="7">
        <f t="shared" si="63"/>
        <v>0.1149425287356322</v>
      </c>
      <c r="N1057" s="4" t="s">
        <v>825</v>
      </c>
      <c r="O1057" s="4">
        <f>VLOOKUP(B1057, 'All Menu'!B:L, 6, 0)</f>
        <v>11.939655172413794</v>
      </c>
      <c r="P1057" s="6">
        <f>VLOOKUP(B1057, 'All Menu'!B:L, 9, 0)</f>
        <v>5.543466643678161</v>
      </c>
      <c r="Q1057" s="14">
        <f>VLOOKUP(B1057, 'All Menu'!B:M, 12, 0)</f>
        <v>0.53570965294825512</v>
      </c>
      <c r="R1057" s="173">
        <f t="shared" si="64"/>
        <v>0</v>
      </c>
    </row>
    <row r="1058" spans="1:18" ht="14" hidden="1">
      <c r="A1058" s="78" t="s">
        <v>2645</v>
      </c>
      <c r="B1058" s="220" t="s">
        <v>908</v>
      </c>
      <c r="C1058" s="185"/>
      <c r="D1058" s="103" t="str">
        <f>VLOOKUP(B1058, 'All Menu'!B:M, 4, 0)</f>
        <v>راس عصفورة نصف كيلو</v>
      </c>
      <c r="E1058" s="30" t="str">
        <f>VLOOKUP(B1058, 'All Menu'!B:M, 2, 0)</f>
        <v>قسم الصواني</v>
      </c>
      <c r="F1058" s="103" t="str">
        <f>VLOOKUP(B1058, 'All Menu'!B:M, 3, 0)</f>
        <v>صواني وصجيات سفري</v>
      </c>
      <c r="G1058" s="90" t="s">
        <v>3058</v>
      </c>
      <c r="H1058" s="188">
        <v>4275</v>
      </c>
      <c r="I1058" s="110" t="str">
        <f>VLOOKUP(H1058, 'RM &amp; SF'!B:H, 2, 0)</f>
        <v>علب المركزية مطبوع + قاطع رقم 2 1*100 حبة*****</v>
      </c>
      <c r="J1058" s="184" t="str">
        <f>VLOOKUP(H1058, 'RM &amp; SF'!B:E, 4, 0)</f>
        <v>قطعة</v>
      </c>
      <c r="K1058" s="16">
        <v>1</v>
      </c>
      <c r="L1058" s="13">
        <f>VLOOKUP(H1058, 'RM &amp; SF'!B:H, 7, 0)</f>
        <v>0.2931034482758621</v>
      </c>
      <c r="M1058" s="7">
        <f t="shared" si="63"/>
        <v>0.2931034482758621</v>
      </c>
      <c r="N1058" s="4" t="s">
        <v>825</v>
      </c>
      <c r="O1058" s="4">
        <f>VLOOKUP(B1058, 'All Menu'!B:L, 6, 0)</f>
        <v>11.939655172413794</v>
      </c>
      <c r="P1058" s="6">
        <f>VLOOKUP(B1058, 'All Menu'!B:L, 9, 0)</f>
        <v>5.543466643678161</v>
      </c>
      <c r="Q1058" s="14">
        <f>VLOOKUP(B1058, 'All Menu'!B:M, 12, 0)</f>
        <v>0.53570965294825512</v>
      </c>
      <c r="R1058" s="173">
        <f t="shared" si="64"/>
        <v>0</v>
      </c>
    </row>
    <row r="1059" spans="1:18" ht="14" hidden="1">
      <c r="A1059" s="78" t="s">
        <v>2648</v>
      </c>
      <c r="B1059" s="220" t="s">
        <v>909</v>
      </c>
      <c r="C1059" s="185"/>
      <c r="D1059" s="103" t="str">
        <f>VLOOKUP(B1059, 'All Menu'!B:M, 4, 0)</f>
        <v>صاجية كبدة غنم وقية</v>
      </c>
      <c r="E1059" s="30" t="str">
        <f>VLOOKUP(B1059, 'All Menu'!B:M, 2, 0)</f>
        <v>قسم الصواني</v>
      </c>
      <c r="F1059" s="103" t="str">
        <f>VLOOKUP(B1059, 'All Menu'!B:M, 3, 0)</f>
        <v>صواني وصجيات سفري</v>
      </c>
      <c r="G1059" s="90" t="s">
        <v>3058</v>
      </c>
      <c r="H1059" s="188">
        <v>1082</v>
      </c>
      <c r="I1059" s="110" t="str">
        <f>VLOOKUP(H1059, 'RM &amp; SF'!B:H, 2, 0)</f>
        <v>كبدة غنم</v>
      </c>
      <c r="J1059" s="184" t="str">
        <f>VLOOKUP(H1059, 'RM &amp; SF'!B:E, 4, 0)</f>
        <v>غم</v>
      </c>
      <c r="K1059" s="12">
        <v>250</v>
      </c>
      <c r="L1059" s="13">
        <f>VLOOKUP(H1059, 'RM &amp; SF'!B:H, 7, 0)</f>
        <v>7.0000000000000001E-3</v>
      </c>
      <c r="M1059" s="7">
        <f t="shared" si="63"/>
        <v>1.75</v>
      </c>
      <c r="N1059" s="4" t="s">
        <v>825</v>
      </c>
      <c r="O1059" s="4">
        <f>VLOOKUP(B1059, 'All Menu'!B:L, 6, 0)</f>
        <v>3.6637931034482762</v>
      </c>
      <c r="P1059" s="6">
        <f>VLOOKUP(B1059, 'All Menu'!B:L, 9, 0)</f>
        <v>2.3623593752052541</v>
      </c>
      <c r="Q1059" s="14">
        <f>VLOOKUP(B1059, 'All Menu'!B:M, 12, 0)</f>
        <v>0.35521485288515425</v>
      </c>
      <c r="R1059" s="173">
        <f t="shared" si="64"/>
        <v>0</v>
      </c>
    </row>
    <row r="1060" spans="1:18" ht="14" hidden="1">
      <c r="A1060" s="78" t="s">
        <v>2648</v>
      </c>
      <c r="B1060" s="220" t="s">
        <v>909</v>
      </c>
      <c r="C1060" s="185"/>
      <c r="D1060" s="103" t="str">
        <f>VLOOKUP(B1060, 'All Menu'!B:M, 4, 0)</f>
        <v>صاجية كبدة غنم وقية</v>
      </c>
      <c r="E1060" s="30" t="str">
        <f>VLOOKUP(B1060, 'All Menu'!B:M, 2, 0)</f>
        <v>قسم الصواني</v>
      </c>
      <c r="F1060" s="103" t="str">
        <f>VLOOKUP(B1060, 'All Menu'!B:M, 3, 0)</f>
        <v>صواني وصجيات سفري</v>
      </c>
      <c r="G1060" s="90" t="s">
        <v>2344</v>
      </c>
      <c r="H1060" s="219" t="s">
        <v>712</v>
      </c>
      <c r="I1060" s="110" t="str">
        <f>VLOOKUP(H1060, 'RM &amp; SF'!B:H, 2, 0)</f>
        <v>دقة</v>
      </c>
      <c r="J1060" s="184" t="str">
        <f>VLOOKUP(H1060, 'RM &amp; SF'!B:E, 4, 0)</f>
        <v>غم</v>
      </c>
      <c r="K1060" s="12">
        <v>30</v>
      </c>
      <c r="L1060" s="13">
        <f>VLOOKUP(H1060, 'RM &amp; SF'!B:H, 7, 0)</f>
        <v>4.91927380952381E-3</v>
      </c>
      <c r="M1060" s="7">
        <f t="shared" si="63"/>
        <v>0.1475782142857143</v>
      </c>
      <c r="N1060" s="4" t="s">
        <v>825</v>
      </c>
      <c r="O1060" s="4">
        <f>VLOOKUP(B1060, 'All Menu'!B:L, 6, 0)</f>
        <v>3.6637931034482762</v>
      </c>
      <c r="P1060" s="6">
        <f>VLOOKUP(B1060, 'All Menu'!B:L, 9, 0)</f>
        <v>2.3623593752052541</v>
      </c>
      <c r="Q1060" s="14">
        <f>VLOOKUP(B1060, 'All Menu'!B:M, 12, 0)</f>
        <v>0.35521485288515425</v>
      </c>
      <c r="R1060" s="173">
        <f t="shared" si="64"/>
        <v>0</v>
      </c>
    </row>
    <row r="1061" spans="1:18" ht="14" hidden="1">
      <c r="A1061" s="78" t="s">
        <v>2648</v>
      </c>
      <c r="B1061" s="220" t="s">
        <v>909</v>
      </c>
      <c r="C1061" s="185"/>
      <c r="D1061" s="103" t="str">
        <f>VLOOKUP(B1061, 'All Menu'!B:M, 4, 0)</f>
        <v>صاجية كبدة غنم وقية</v>
      </c>
      <c r="E1061" s="30" t="str">
        <f>VLOOKUP(B1061, 'All Menu'!B:M, 2, 0)</f>
        <v>قسم الصواني</v>
      </c>
      <c r="F1061" s="103" t="str">
        <f>VLOOKUP(B1061, 'All Menu'!B:M, 3, 0)</f>
        <v>صواني وصجيات سفري</v>
      </c>
      <c r="G1061" s="90" t="s">
        <v>2209</v>
      </c>
      <c r="H1061" s="188">
        <v>4546</v>
      </c>
      <c r="I1061" s="110" t="str">
        <f>VLOOKUP(H1061, 'RM &amp; SF'!B:H, 2, 0)</f>
        <v>كزبرة*****</v>
      </c>
      <c r="J1061" s="184" t="str">
        <f>VLOOKUP(H1061, 'RM &amp; SF'!B:E, 4, 0)</f>
        <v>قطعة</v>
      </c>
      <c r="K1061" s="12">
        <v>0.1</v>
      </c>
      <c r="L1061" s="13">
        <f>VLOOKUP(H1061, 'RM &amp; SF'!B:H, 7, 0)</f>
        <v>1E-3</v>
      </c>
      <c r="M1061" s="7">
        <f t="shared" si="63"/>
        <v>1E-4</v>
      </c>
      <c r="N1061" s="4" t="s">
        <v>825</v>
      </c>
      <c r="O1061" s="4">
        <f>VLOOKUP(B1061, 'All Menu'!B:L, 6, 0)</f>
        <v>3.6637931034482762</v>
      </c>
      <c r="P1061" s="6">
        <f>VLOOKUP(B1061, 'All Menu'!B:L, 9, 0)</f>
        <v>2.3623593752052541</v>
      </c>
      <c r="Q1061" s="14">
        <f>VLOOKUP(B1061, 'All Menu'!B:M, 12, 0)</f>
        <v>0.35521485288515425</v>
      </c>
      <c r="R1061" s="173">
        <f t="shared" si="64"/>
        <v>0</v>
      </c>
    </row>
    <row r="1062" spans="1:18" ht="14" hidden="1">
      <c r="A1062" s="78" t="s">
        <v>2648</v>
      </c>
      <c r="B1062" s="220" t="s">
        <v>909</v>
      </c>
      <c r="C1062" s="185"/>
      <c r="D1062" s="103" t="str">
        <f>VLOOKUP(B1062, 'All Menu'!B:M, 4, 0)</f>
        <v>صاجية كبدة غنم وقية</v>
      </c>
      <c r="E1062" s="30" t="str">
        <f>VLOOKUP(B1062, 'All Menu'!B:M, 2, 0)</f>
        <v>قسم الصواني</v>
      </c>
      <c r="F1062" s="103" t="str">
        <f>VLOOKUP(B1062, 'All Menu'!B:M, 3, 0)</f>
        <v>صواني وصجيات سفري</v>
      </c>
      <c r="G1062" s="90" t="s">
        <v>2239</v>
      </c>
      <c r="H1062" s="188">
        <v>4513</v>
      </c>
      <c r="I1062" s="110" t="str">
        <f>VLOOKUP(H1062, 'RM &amp; SF'!B:H, 2, 0)</f>
        <v>ليمون اصفر*****</v>
      </c>
      <c r="J1062" s="184" t="str">
        <f>VLOOKUP(H1062, 'RM &amp; SF'!B:E, 4, 0)</f>
        <v>غم</v>
      </c>
      <c r="K1062" s="12">
        <v>20</v>
      </c>
      <c r="L1062" s="13">
        <f>VLOOKUP(H1062, 'RM &amp; SF'!B:H, 7, 0)</f>
        <v>1.75E-3</v>
      </c>
      <c r="M1062" s="7">
        <f t="shared" si="63"/>
        <v>3.5000000000000003E-2</v>
      </c>
      <c r="N1062" s="4" t="s">
        <v>825</v>
      </c>
      <c r="O1062" s="4">
        <f>VLOOKUP(B1062, 'All Menu'!B:L, 6, 0)</f>
        <v>3.6637931034482762</v>
      </c>
      <c r="P1062" s="6">
        <f>VLOOKUP(B1062, 'All Menu'!B:L, 9, 0)</f>
        <v>2.3623593752052541</v>
      </c>
      <c r="Q1062" s="14">
        <f>VLOOKUP(B1062, 'All Menu'!B:M, 12, 0)</f>
        <v>0.35521485288515425</v>
      </c>
      <c r="R1062" s="173">
        <f t="shared" si="64"/>
        <v>0</v>
      </c>
    </row>
    <row r="1063" spans="1:18" ht="14" hidden="1">
      <c r="A1063" s="78" t="s">
        <v>2648</v>
      </c>
      <c r="B1063" s="220" t="s">
        <v>909</v>
      </c>
      <c r="C1063" s="185"/>
      <c r="D1063" s="103" t="str">
        <f>VLOOKUP(B1063, 'All Menu'!B:M, 4, 0)</f>
        <v>صاجية كبدة غنم وقية</v>
      </c>
      <c r="E1063" s="30" t="str">
        <f>VLOOKUP(B1063, 'All Menu'!B:M, 2, 0)</f>
        <v>قسم الصواني</v>
      </c>
      <c r="F1063" s="103" t="str">
        <f>VLOOKUP(B1063, 'All Menu'!B:M, 3, 0)</f>
        <v>صواني وصجيات سفري</v>
      </c>
      <c r="G1063" s="90" t="s">
        <v>2234</v>
      </c>
      <c r="H1063" s="188">
        <v>4503</v>
      </c>
      <c r="I1063" s="110" t="str">
        <f>VLOOKUP(H1063, 'RM &amp; SF'!B:H, 2, 0)</f>
        <v>بصل ناشف دفش*****</v>
      </c>
      <c r="J1063" s="184" t="str">
        <f>VLOOKUP(H1063, 'RM &amp; SF'!B:E, 4, 0)</f>
        <v>غم</v>
      </c>
      <c r="K1063" s="12">
        <v>100</v>
      </c>
      <c r="L1063" s="13">
        <f>VLOOKUP(H1063, 'RM &amp; SF'!B:H, 7, 0)</f>
        <v>2.5000000000000001E-4</v>
      </c>
      <c r="M1063" s="7">
        <f t="shared" si="63"/>
        <v>2.5000000000000001E-2</v>
      </c>
      <c r="N1063" s="4" t="s">
        <v>825</v>
      </c>
      <c r="O1063" s="4">
        <f>VLOOKUP(B1063, 'All Menu'!B:L, 6, 0)</f>
        <v>3.6637931034482762</v>
      </c>
      <c r="P1063" s="6">
        <f>VLOOKUP(B1063, 'All Menu'!B:L, 9, 0)</f>
        <v>2.3623593752052541</v>
      </c>
      <c r="Q1063" s="14">
        <f>VLOOKUP(B1063, 'All Menu'!B:M, 12, 0)</f>
        <v>0.35521485288515425</v>
      </c>
      <c r="R1063" s="173">
        <f t="shared" si="64"/>
        <v>0</v>
      </c>
    </row>
    <row r="1064" spans="1:18" ht="14" hidden="1">
      <c r="A1064" s="78" t="s">
        <v>2648</v>
      </c>
      <c r="B1064" s="220" t="s">
        <v>909</v>
      </c>
      <c r="C1064" s="185"/>
      <c r="D1064" s="103" t="str">
        <f>VLOOKUP(B1064, 'All Menu'!B:M, 4, 0)</f>
        <v>صاجية كبدة غنم وقية</v>
      </c>
      <c r="E1064" s="30" t="str">
        <f>VLOOKUP(B1064, 'All Menu'!B:M, 2, 0)</f>
        <v>قسم الصواني</v>
      </c>
      <c r="F1064" s="103" t="str">
        <f>VLOOKUP(B1064, 'All Menu'!B:M, 3, 0)</f>
        <v>صواني وصجيات سفري</v>
      </c>
      <c r="G1064" s="90" t="s">
        <v>2231</v>
      </c>
      <c r="H1064" s="188">
        <v>4499</v>
      </c>
      <c r="I1064" s="110" t="str">
        <f>VLOOKUP(H1064, 'RM &amp; SF'!B:H, 2, 0)</f>
        <v>فلفل حار اخضر*****</v>
      </c>
      <c r="J1064" s="184" t="str">
        <f>VLOOKUP(H1064, 'RM &amp; SF'!B:E, 4, 0)</f>
        <v>غم</v>
      </c>
      <c r="K1064" s="12">
        <v>10</v>
      </c>
      <c r="L1064" s="13">
        <f>VLOOKUP(H1064, 'RM &amp; SF'!B:H, 7, 0)</f>
        <v>5.0000000000000001E-4</v>
      </c>
      <c r="M1064" s="7">
        <f t="shared" si="63"/>
        <v>5.0000000000000001E-3</v>
      </c>
      <c r="N1064" s="4" t="s">
        <v>825</v>
      </c>
      <c r="O1064" s="4">
        <f>VLOOKUP(B1064, 'All Menu'!B:L, 6, 0)</f>
        <v>3.6637931034482762</v>
      </c>
      <c r="P1064" s="6">
        <f>VLOOKUP(B1064, 'All Menu'!B:L, 9, 0)</f>
        <v>2.3623593752052541</v>
      </c>
      <c r="Q1064" s="14">
        <f>VLOOKUP(B1064, 'All Menu'!B:M, 12, 0)</f>
        <v>0.35521485288515425</v>
      </c>
      <c r="R1064" s="173">
        <f t="shared" si="64"/>
        <v>0</v>
      </c>
    </row>
    <row r="1065" spans="1:18" ht="14" hidden="1">
      <c r="A1065" s="78" t="s">
        <v>2648</v>
      </c>
      <c r="B1065" s="220" t="s">
        <v>909</v>
      </c>
      <c r="C1065" s="185"/>
      <c r="D1065" s="103" t="str">
        <f>VLOOKUP(B1065, 'All Menu'!B:M, 4, 0)</f>
        <v>صاجية كبدة غنم وقية</v>
      </c>
      <c r="E1065" s="30" t="str">
        <f>VLOOKUP(B1065, 'All Menu'!B:M, 2, 0)</f>
        <v>قسم الصواني</v>
      </c>
      <c r="F1065" s="103" t="str">
        <f>VLOOKUP(B1065, 'All Menu'!B:M, 3, 0)</f>
        <v>صواني وصجيات سفري</v>
      </c>
      <c r="G1065" s="90" t="s">
        <v>2260</v>
      </c>
      <c r="H1065" s="188">
        <v>4160</v>
      </c>
      <c r="I1065" s="110" t="str">
        <f>VLOOKUP(H1065, 'RM &amp; SF'!B:H, 2, 0)</f>
        <v>زيت صويا 18 لتر*****</v>
      </c>
      <c r="J1065" s="184" t="str">
        <f>VLOOKUP(H1065, 'RM &amp; SF'!B:E, 4, 0)</f>
        <v>مل</v>
      </c>
      <c r="K1065" s="16">
        <v>15</v>
      </c>
      <c r="L1065" s="13">
        <f>VLOOKUP(H1065, 'RM &amp; SF'!B:H, 7, 0)</f>
        <v>1.335E-3</v>
      </c>
      <c r="M1065" s="7">
        <f t="shared" si="63"/>
        <v>2.0025000000000001E-2</v>
      </c>
      <c r="N1065" s="4" t="s">
        <v>825</v>
      </c>
      <c r="O1065" s="4">
        <f>VLOOKUP(B1065, 'All Menu'!B:L, 6, 0)</f>
        <v>3.6637931034482762</v>
      </c>
      <c r="P1065" s="6">
        <f>VLOOKUP(B1065, 'All Menu'!B:L, 9, 0)</f>
        <v>2.3623593752052541</v>
      </c>
      <c r="Q1065" s="14">
        <f>VLOOKUP(B1065, 'All Menu'!B:M, 12, 0)</f>
        <v>0.35521485288515425</v>
      </c>
      <c r="R1065" s="173">
        <f t="shared" si="64"/>
        <v>0</v>
      </c>
    </row>
    <row r="1066" spans="1:18" ht="14" hidden="1">
      <c r="A1066" s="78" t="s">
        <v>2648</v>
      </c>
      <c r="B1066" s="220" t="s">
        <v>909</v>
      </c>
      <c r="C1066" s="185"/>
      <c r="D1066" s="103" t="str">
        <f>VLOOKUP(B1066, 'All Menu'!B:M, 4, 0)</f>
        <v>صاجية كبدة غنم وقية</v>
      </c>
      <c r="E1066" s="30" t="str">
        <f>VLOOKUP(B1066, 'All Menu'!B:M, 2, 0)</f>
        <v>قسم الصواني</v>
      </c>
      <c r="F1066" s="103" t="str">
        <f>VLOOKUP(B1066, 'All Menu'!B:M, 3, 0)</f>
        <v>صواني وصجيات سفري</v>
      </c>
      <c r="G1066" s="90" t="s">
        <v>2203</v>
      </c>
      <c r="H1066" s="188">
        <v>4152</v>
      </c>
      <c r="I1066" s="110" t="str">
        <f>VLOOKUP(H1066, 'RM &amp; SF'!B:H, 2, 0)</f>
        <v>ملح طعام 750غم*****</v>
      </c>
      <c r="J1066" s="184" t="str">
        <f>VLOOKUP(H1066, 'RM &amp; SF'!B:E, 4, 0)</f>
        <v>غم</v>
      </c>
      <c r="K1066" s="16">
        <v>2</v>
      </c>
      <c r="L1066" s="13">
        <f>VLOOKUP(H1066, 'RM &amp; SF'!B:H, 7, 0)</f>
        <v>1.7066666666666665E-4</v>
      </c>
      <c r="M1066" s="7">
        <f t="shared" si="63"/>
        <v>3.413333333333333E-4</v>
      </c>
      <c r="N1066" s="4" t="s">
        <v>825</v>
      </c>
      <c r="O1066" s="4">
        <f>VLOOKUP(B1066, 'All Menu'!B:L, 6, 0)</f>
        <v>3.6637931034482762</v>
      </c>
      <c r="P1066" s="6">
        <f>VLOOKUP(B1066, 'All Menu'!B:L, 9, 0)</f>
        <v>2.3623593752052541</v>
      </c>
      <c r="Q1066" s="14">
        <f>VLOOKUP(B1066, 'All Menu'!B:M, 12, 0)</f>
        <v>0.35521485288515425</v>
      </c>
      <c r="R1066" s="173">
        <f t="shared" si="64"/>
        <v>0</v>
      </c>
    </row>
    <row r="1067" spans="1:18" ht="14" hidden="1">
      <c r="A1067" s="78" t="s">
        <v>2648</v>
      </c>
      <c r="B1067" s="220" t="s">
        <v>909</v>
      </c>
      <c r="C1067" s="185"/>
      <c r="D1067" s="103" t="str">
        <f>VLOOKUP(B1067, 'All Menu'!B:M, 4, 0)</f>
        <v>صاجية كبدة غنم وقية</v>
      </c>
      <c r="E1067" s="30" t="str">
        <f>VLOOKUP(B1067, 'All Menu'!B:M, 2, 0)</f>
        <v>قسم الصواني</v>
      </c>
      <c r="F1067" s="103" t="str">
        <f>VLOOKUP(B1067, 'All Menu'!B:M, 3, 0)</f>
        <v>صواني وصجيات سفري</v>
      </c>
      <c r="G1067" s="90" t="s">
        <v>2206</v>
      </c>
      <c r="H1067" s="188">
        <v>4204</v>
      </c>
      <c r="I1067" s="110" t="str">
        <f>VLOOKUP(H1067, 'RM &amp; SF'!B:H, 2, 0)</f>
        <v>فلفل اسود ناعم*****</v>
      </c>
      <c r="J1067" s="184" t="str">
        <f>VLOOKUP(H1067, 'RM &amp; SF'!B:E, 4, 0)</f>
        <v>غم</v>
      </c>
      <c r="K1067" s="16">
        <v>10</v>
      </c>
      <c r="L1067" s="13">
        <f>VLOOKUP(H1067, 'RM &amp; SF'!B:H, 7, 0)</f>
        <v>6.8970000000000004E-3</v>
      </c>
      <c r="M1067" s="7">
        <f t="shared" si="63"/>
        <v>6.8970000000000004E-2</v>
      </c>
      <c r="N1067" s="4" t="s">
        <v>825</v>
      </c>
      <c r="O1067" s="4">
        <f>VLOOKUP(B1067, 'All Menu'!B:L, 6, 0)</f>
        <v>3.6637931034482762</v>
      </c>
      <c r="P1067" s="6">
        <f>VLOOKUP(B1067, 'All Menu'!B:L, 9, 0)</f>
        <v>2.3623593752052541</v>
      </c>
      <c r="Q1067" s="14">
        <f>VLOOKUP(B1067, 'All Menu'!B:M, 12, 0)</f>
        <v>0.35521485288515425</v>
      </c>
      <c r="R1067" s="173">
        <f t="shared" si="64"/>
        <v>0</v>
      </c>
    </row>
    <row r="1068" spans="1:18" ht="14" hidden="1">
      <c r="A1068" s="78" t="s">
        <v>2648</v>
      </c>
      <c r="B1068" s="220" t="s">
        <v>909</v>
      </c>
      <c r="C1068" s="185"/>
      <c r="D1068" s="103" t="str">
        <f>VLOOKUP(B1068, 'All Menu'!B:M, 4, 0)</f>
        <v>صاجية كبدة غنم وقية</v>
      </c>
      <c r="E1068" s="30" t="str">
        <f>VLOOKUP(B1068, 'All Menu'!B:M, 2, 0)</f>
        <v>قسم الصواني</v>
      </c>
      <c r="F1068" s="103" t="str">
        <f>VLOOKUP(B1068, 'All Menu'!B:M, 3, 0)</f>
        <v>صواني وصجيات سفري</v>
      </c>
      <c r="G1068" s="90" t="s">
        <v>3058</v>
      </c>
      <c r="H1068" s="188">
        <v>4290</v>
      </c>
      <c r="I1068" s="110" t="str">
        <f>VLOOKUP(H1068, 'RM &amp; SF'!B:H, 2, 0)</f>
        <v>علب قصدير مدور اوقية 250 غم RZ 18*****</v>
      </c>
      <c r="J1068" s="184" t="str">
        <f>VLOOKUP(H1068, 'RM &amp; SF'!B:E, 4, 0)</f>
        <v>قطعة</v>
      </c>
      <c r="K1068" s="16">
        <v>1</v>
      </c>
      <c r="L1068" s="13">
        <f>VLOOKUP(H1068, 'RM &amp; SF'!B:H, 7, 0)</f>
        <v>6.0344827586206906E-2</v>
      </c>
      <c r="M1068" s="7">
        <f t="shared" si="63"/>
        <v>6.0344827586206906E-2</v>
      </c>
      <c r="N1068" s="4" t="s">
        <v>825</v>
      </c>
      <c r="O1068" s="4">
        <f>VLOOKUP(B1068, 'All Menu'!B:L, 6, 0)</f>
        <v>3.6637931034482762</v>
      </c>
      <c r="P1068" s="6">
        <f>VLOOKUP(B1068, 'All Menu'!B:L, 9, 0)</f>
        <v>2.3623593752052541</v>
      </c>
      <c r="Q1068" s="14">
        <f>VLOOKUP(B1068, 'All Menu'!B:M, 12, 0)</f>
        <v>0.35521485288515425</v>
      </c>
      <c r="R1068" s="173">
        <f t="shared" si="64"/>
        <v>0</v>
      </c>
    </row>
    <row r="1069" spans="1:18" ht="14" hidden="1">
      <c r="A1069" s="78" t="s">
        <v>2648</v>
      </c>
      <c r="B1069" s="220" t="s">
        <v>909</v>
      </c>
      <c r="C1069" s="185"/>
      <c r="D1069" s="103" t="str">
        <f>VLOOKUP(B1069, 'All Menu'!B:M, 4, 0)</f>
        <v>صاجية كبدة غنم وقية</v>
      </c>
      <c r="E1069" s="30" t="str">
        <f>VLOOKUP(B1069, 'All Menu'!B:M, 2, 0)</f>
        <v>قسم الصواني</v>
      </c>
      <c r="F1069" s="103" t="str">
        <f>VLOOKUP(B1069, 'All Menu'!B:M, 3, 0)</f>
        <v>صواني وصجيات سفري</v>
      </c>
      <c r="G1069" s="90" t="s">
        <v>3058</v>
      </c>
      <c r="H1069" s="188">
        <v>4274</v>
      </c>
      <c r="I1069" s="110" t="str">
        <f>VLOOKUP(H1069, 'RM &amp; SF'!B:H, 2, 0)</f>
        <v>علب المركزية مطبوع + قاطع رقم 1 1*100 حبة*****</v>
      </c>
      <c r="J1069" s="184" t="str">
        <f>VLOOKUP(H1069, 'RM &amp; SF'!B:E, 4, 0)</f>
        <v>قطعة</v>
      </c>
      <c r="K1069" s="16">
        <v>1</v>
      </c>
      <c r="L1069" s="13">
        <f>VLOOKUP(H1069, 'RM &amp; SF'!B:H, 7, 0)</f>
        <v>0.25</v>
      </c>
      <c r="M1069" s="7">
        <f t="shared" si="63"/>
        <v>0.25</v>
      </c>
      <c r="N1069" s="4" t="s">
        <v>825</v>
      </c>
      <c r="O1069" s="4">
        <f>VLOOKUP(B1069, 'All Menu'!B:L, 6, 0)</f>
        <v>3.6637931034482762</v>
      </c>
      <c r="P1069" s="6">
        <f>VLOOKUP(B1069, 'All Menu'!B:L, 9, 0)</f>
        <v>2.3623593752052541</v>
      </c>
      <c r="Q1069" s="14">
        <f>VLOOKUP(B1069, 'All Menu'!B:M, 12, 0)</f>
        <v>0.35521485288515425</v>
      </c>
      <c r="R1069" s="173">
        <f t="shared" si="64"/>
        <v>0</v>
      </c>
    </row>
    <row r="1070" spans="1:18" ht="14" hidden="1">
      <c r="A1070" s="78" t="s">
        <v>2649</v>
      </c>
      <c r="B1070" s="220" t="s">
        <v>910</v>
      </c>
      <c r="C1070" s="185"/>
      <c r="D1070" s="103" t="str">
        <f>VLOOKUP(B1070, 'All Menu'!B:M, 4, 0)</f>
        <v>صاجية كبدة غنم نصف كيلو</v>
      </c>
      <c r="E1070" s="30" t="str">
        <f>VLOOKUP(B1070, 'All Menu'!B:M, 2, 0)</f>
        <v>قسم الصواني</v>
      </c>
      <c r="F1070" s="103" t="str">
        <f>VLOOKUP(B1070, 'All Menu'!B:M, 3, 0)</f>
        <v>صواني وصجيات سفري</v>
      </c>
      <c r="G1070" s="90" t="s">
        <v>3058</v>
      </c>
      <c r="H1070" s="188">
        <v>1082</v>
      </c>
      <c r="I1070" s="110" t="str">
        <f>VLOOKUP(H1070, 'RM &amp; SF'!B:H, 2, 0)</f>
        <v>كبدة غنم</v>
      </c>
      <c r="J1070" s="184" t="str">
        <f>VLOOKUP(H1070, 'RM &amp; SF'!B:E, 4, 0)</f>
        <v>غم</v>
      </c>
      <c r="K1070" s="16">
        <v>500</v>
      </c>
      <c r="L1070" s="13">
        <f>VLOOKUP(H1070, 'RM &amp; SF'!B:H, 7, 0)</f>
        <v>7.0000000000000001E-3</v>
      </c>
      <c r="M1070" s="7">
        <f t="shared" si="63"/>
        <v>3.5</v>
      </c>
      <c r="N1070" s="4" t="s">
        <v>825</v>
      </c>
      <c r="O1070" s="4">
        <f>VLOOKUP(B1070, 'All Menu'!B:L, 6, 0)</f>
        <v>6.4655172413793105</v>
      </c>
      <c r="P1070" s="6">
        <f>VLOOKUP(B1070, 'All Menu'!B:L, 9, 0)</f>
        <v>4.4689716239737267</v>
      </c>
      <c r="Q1070" s="14">
        <f>VLOOKUP(B1070, 'All Menu'!B:M, 12, 0)</f>
        <v>0.3087990554920636</v>
      </c>
      <c r="R1070" s="173">
        <f t="shared" si="64"/>
        <v>0</v>
      </c>
    </row>
    <row r="1071" spans="1:18" ht="14" hidden="1">
      <c r="A1071" s="78" t="s">
        <v>2649</v>
      </c>
      <c r="B1071" s="220" t="s">
        <v>910</v>
      </c>
      <c r="C1071" s="185"/>
      <c r="D1071" s="103" t="str">
        <f>VLOOKUP(B1071, 'All Menu'!B:M, 4, 0)</f>
        <v>صاجية كبدة غنم نصف كيلو</v>
      </c>
      <c r="E1071" s="30" t="str">
        <f>VLOOKUP(B1071, 'All Menu'!B:M, 2, 0)</f>
        <v>قسم الصواني</v>
      </c>
      <c r="F1071" s="103" t="str">
        <f>VLOOKUP(B1071, 'All Menu'!B:M, 3, 0)</f>
        <v>صواني وصجيات سفري</v>
      </c>
      <c r="G1071" s="90" t="s">
        <v>2344</v>
      </c>
      <c r="H1071" s="219" t="s">
        <v>712</v>
      </c>
      <c r="I1071" s="110" t="str">
        <f>VLOOKUP(H1071, 'RM &amp; SF'!B:H, 2, 0)</f>
        <v>دقة</v>
      </c>
      <c r="J1071" s="184" t="str">
        <f>VLOOKUP(H1071, 'RM &amp; SF'!B:E, 4, 0)</f>
        <v>غم</v>
      </c>
      <c r="K1071" s="16">
        <v>60</v>
      </c>
      <c r="L1071" s="13">
        <f>VLOOKUP(H1071, 'RM &amp; SF'!B:H, 7, 0)</f>
        <v>4.91927380952381E-3</v>
      </c>
      <c r="M1071" s="7">
        <f t="shared" si="63"/>
        <v>0.2951564285714286</v>
      </c>
      <c r="N1071" s="4" t="s">
        <v>825</v>
      </c>
      <c r="O1071" s="4">
        <f>VLOOKUP(B1071, 'All Menu'!B:L, 6, 0)</f>
        <v>6.4655172413793105</v>
      </c>
      <c r="P1071" s="6">
        <f>VLOOKUP(B1071, 'All Menu'!B:L, 9, 0)</f>
        <v>4.4689716239737267</v>
      </c>
      <c r="Q1071" s="14">
        <f>VLOOKUP(B1071, 'All Menu'!B:M, 12, 0)</f>
        <v>0.3087990554920636</v>
      </c>
      <c r="R1071" s="173">
        <f t="shared" si="64"/>
        <v>0</v>
      </c>
    </row>
    <row r="1072" spans="1:18" ht="14" hidden="1">
      <c r="A1072" s="78" t="s">
        <v>2649</v>
      </c>
      <c r="B1072" s="220" t="s">
        <v>910</v>
      </c>
      <c r="C1072" s="185"/>
      <c r="D1072" s="103" t="str">
        <f>VLOOKUP(B1072, 'All Menu'!B:M, 4, 0)</f>
        <v>صاجية كبدة غنم نصف كيلو</v>
      </c>
      <c r="E1072" s="30" t="str">
        <f>VLOOKUP(B1072, 'All Menu'!B:M, 2, 0)</f>
        <v>قسم الصواني</v>
      </c>
      <c r="F1072" s="103" t="str">
        <f>VLOOKUP(B1072, 'All Menu'!B:M, 3, 0)</f>
        <v>صواني وصجيات سفري</v>
      </c>
      <c r="G1072" s="90" t="s">
        <v>2209</v>
      </c>
      <c r="H1072" s="188">
        <v>4546</v>
      </c>
      <c r="I1072" s="110" t="str">
        <f>VLOOKUP(H1072, 'RM &amp; SF'!B:H, 2, 0)</f>
        <v>كزبرة*****</v>
      </c>
      <c r="J1072" s="184" t="str">
        <f>VLOOKUP(H1072, 'RM &amp; SF'!B:E, 4, 0)</f>
        <v>قطعة</v>
      </c>
      <c r="K1072" s="16">
        <v>0.2</v>
      </c>
      <c r="L1072" s="13">
        <f>VLOOKUP(H1072, 'RM &amp; SF'!B:H, 7, 0)</f>
        <v>1E-3</v>
      </c>
      <c r="M1072" s="7">
        <f t="shared" si="63"/>
        <v>2.0000000000000001E-4</v>
      </c>
      <c r="N1072" s="4" t="s">
        <v>825</v>
      </c>
      <c r="O1072" s="4">
        <f>VLOOKUP(B1072, 'All Menu'!B:L, 6, 0)</f>
        <v>6.4655172413793105</v>
      </c>
      <c r="P1072" s="6">
        <f>VLOOKUP(B1072, 'All Menu'!B:L, 9, 0)</f>
        <v>4.4689716239737267</v>
      </c>
      <c r="Q1072" s="14">
        <f>VLOOKUP(B1072, 'All Menu'!B:M, 12, 0)</f>
        <v>0.3087990554920636</v>
      </c>
      <c r="R1072" s="173">
        <f t="shared" si="64"/>
        <v>0</v>
      </c>
    </row>
    <row r="1073" spans="1:18" ht="14" hidden="1">
      <c r="A1073" s="78" t="s">
        <v>2649</v>
      </c>
      <c r="B1073" s="220" t="s">
        <v>910</v>
      </c>
      <c r="C1073" s="185"/>
      <c r="D1073" s="103" t="str">
        <f>VLOOKUP(B1073, 'All Menu'!B:M, 4, 0)</f>
        <v>صاجية كبدة غنم نصف كيلو</v>
      </c>
      <c r="E1073" s="30" t="str">
        <f>VLOOKUP(B1073, 'All Menu'!B:M, 2, 0)</f>
        <v>قسم الصواني</v>
      </c>
      <c r="F1073" s="103" t="str">
        <f>VLOOKUP(B1073, 'All Menu'!B:M, 3, 0)</f>
        <v>صواني وصجيات سفري</v>
      </c>
      <c r="G1073" s="90" t="s">
        <v>2239</v>
      </c>
      <c r="H1073" s="188">
        <v>4513</v>
      </c>
      <c r="I1073" s="110" t="str">
        <f>VLOOKUP(H1073, 'RM &amp; SF'!B:H, 2, 0)</f>
        <v>ليمون اصفر*****</v>
      </c>
      <c r="J1073" s="184" t="str">
        <f>VLOOKUP(H1073, 'RM &amp; SF'!B:E, 4, 0)</f>
        <v>غم</v>
      </c>
      <c r="K1073" s="12">
        <v>40</v>
      </c>
      <c r="L1073" s="13">
        <f>VLOOKUP(H1073, 'RM &amp; SF'!B:H, 7, 0)</f>
        <v>1.75E-3</v>
      </c>
      <c r="M1073" s="7">
        <f t="shared" si="63"/>
        <v>7.0000000000000007E-2</v>
      </c>
      <c r="N1073" s="4" t="s">
        <v>825</v>
      </c>
      <c r="O1073" s="4">
        <f>VLOOKUP(B1073, 'All Menu'!B:L, 6, 0)</f>
        <v>6.4655172413793105</v>
      </c>
      <c r="P1073" s="6">
        <f>VLOOKUP(B1073, 'All Menu'!B:L, 9, 0)</f>
        <v>4.4689716239737267</v>
      </c>
      <c r="Q1073" s="14">
        <f>VLOOKUP(B1073, 'All Menu'!B:M, 12, 0)</f>
        <v>0.3087990554920636</v>
      </c>
      <c r="R1073" s="173">
        <f t="shared" si="64"/>
        <v>0</v>
      </c>
    </row>
    <row r="1074" spans="1:18" ht="14" hidden="1">
      <c r="A1074" s="78" t="s">
        <v>2649</v>
      </c>
      <c r="B1074" s="220" t="s">
        <v>910</v>
      </c>
      <c r="C1074" s="185"/>
      <c r="D1074" s="103" t="str">
        <f>VLOOKUP(B1074, 'All Menu'!B:M, 4, 0)</f>
        <v>صاجية كبدة غنم نصف كيلو</v>
      </c>
      <c r="E1074" s="30" t="str">
        <f>VLOOKUP(B1074, 'All Menu'!B:M, 2, 0)</f>
        <v>قسم الصواني</v>
      </c>
      <c r="F1074" s="103" t="str">
        <f>VLOOKUP(B1074, 'All Menu'!B:M, 3, 0)</f>
        <v>صواني وصجيات سفري</v>
      </c>
      <c r="G1074" s="90" t="s">
        <v>2234</v>
      </c>
      <c r="H1074" s="188">
        <v>4503</v>
      </c>
      <c r="I1074" s="110" t="str">
        <f>VLOOKUP(H1074, 'RM &amp; SF'!B:H, 2, 0)</f>
        <v>بصل ناشف دفش*****</v>
      </c>
      <c r="J1074" s="184" t="str">
        <f>VLOOKUP(H1074, 'RM &amp; SF'!B:E, 4, 0)</f>
        <v>غم</v>
      </c>
      <c r="K1074" s="12">
        <v>200</v>
      </c>
      <c r="L1074" s="13">
        <f>VLOOKUP(H1074, 'RM &amp; SF'!B:H, 7, 0)</f>
        <v>2.5000000000000001E-4</v>
      </c>
      <c r="M1074" s="7">
        <f t="shared" si="63"/>
        <v>0.05</v>
      </c>
      <c r="N1074" s="4" t="s">
        <v>825</v>
      </c>
      <c r="O1074" s="4">
        <f>VLOOKUP(B1074, 'All Menu'!B:L, 6, 0)</f>
        <v>6.4655172413793105</v>
      </c>
      <c r="P1074" s="6">
        <f>VLOOKUP(B1074, 'All Menu'!B:L, 9, 0)</f>
        <v>4.4689716239737267</v>
      </c>
      <c r="Q1074" s="14">
        <f>VLOOKUP(B1074, 'All Menu'!B:M, 12, 0)</f>
        <v>0.3087990554920636</v>
      </c>
      <c r="R1074" s="173">
        <f t="shared" si="64"/>
        <v>0</v>
      </c>
    </row>
    <row r="1075" spans="1:18" ht="14" hidden="1">
      <c r="A1075" s="78" t="s">
        <v>2649</v>
      </c>
      <c r="B1075" s="220" t="s">
        <v>910</v>
      </c>
      <c r="C1075" s="185"/>
      <c r="D1075" s="103" t="str">
        <f>VLOOKUP(B1075, 'All Menu'!B:M, 4, 0)</f>
        <v>صاجية كبدة غنم نصف كيلو</v>
      </c>
      <c r="E1075" s="30" t="str">
        <f>VLOOKUP(B1075, 'All Menu'!B:M, 2, 0)</f>
        <v>قسم الصواني</v>
      </c>
      <c r="F1075" s="103" t="str">
        <f>VLOOKUP(B1075, 'All Menu'!B:M, 3, 0)</f>
        <v>صواني وصجيات سفري</v>
      </c>
      <c r="G1075" s="90" t="s">
        <v>2231</v>
      </c>
      <c r="H1075" s="188">
        <v>4499</v>
      </c>
      <c r="I1075" s="110" t="str">
        <f>VLOOKUP(H1075, 'RM &amp; SF'!B:H, 2, 0)</f>
        <v>فلفل حار اخضر*****</v>
      </c>
      <c r="J1075" s="184" t="str">
        <f>VLOOKUP(H1075, 'RM &amp; SF'!B:E, 4, 0)</f>
        <v>غم</v>
      </c>
      <c r="K1075" s="12">
        <v>20</v>
      </c>
      <c r="L1075" s="13">
        <f>VLOOKUP(H1075, 'RM &amp; SF'!B:H, 7, 0)</f>
        <v>5.0000000000000001E-4</v>
      </c>
      <c r="M1075" s="7">
        <f t="shared" si="63"/>
        <v>0.01</v>
      </c>
      <c r="N1075" s="4" t="s">
        <v>825</v>
      </c>
      <c r="O1075" s="4">
        <f>VLOOKUP(B1075, 'All Menu'!B:L, 6, 0)</f>
        <v>6.4655172413793105</v>
      </c>
      <c r="P1075" s="6">
        <f>VLOOKUP(B1075, 'All Menu'!B:L, 9, 0)</f>
        <v>4.4689716239737267</v>
      </c>
      <c r="Q1075" s="14">
        <f>VLOOKUP(B1075, 'All Menu'!B:M, 12, 0)</f>
        <v>0.3087990554920636</v>
      </c>
      <c r="R1075" s="173">
        <f t="shared" si="64"/>
        <v>0</v>
      </c>
    </row>
    <row r="1076" spans="1:18" ht="14" hidden="1">
      <c r="A1076" s="78" t="s">
        <v>2649</v>
      </c>
      <c r="B1076" s="220" t="s">
        <v>910</v>
      </c>
      <c r="C1076" s="185"/>
      <c r="D1076" s="103" t="str">
        <f>VLOOKUP(B1076, 'All Menu'!B:M, 4, 0)</f>
        <v>صاجية كبدة غنم نصف كيلو</v>
      </c>
      <c r="E1076" s="30" t="str">
        <f>VLOOKUP(B1076, 'All Menu'!B:M, 2, 0)</f>
        <v>قسم الصواني</v>
      </c>
      <c r="F1076" s="103" t="str">
        <f>VLOOKUP(B1076, 'All Menu'!B:M, 3, 0)</f>
        <v>صواني وصجيات سفري</v>
      </c>
      <c r="G1076" s="90" t="s">
        <v>2260</v>
      </c>
      <c r="H1076" s="188">
        <v>4160</v>
      </c>
      <c r="I1076" s="110" t="str">
        <f>VLOOKUP(H1076, 'RM &amp; SF'!B:H, 2, 0)</f>
        <v>زيت صويا 18 لتر*****</v>
      </c>
      <c r="J1076" s="184" t="str">
        <f>VLOOKUP(H1076, 'RM &amp; SF'!B:E, 4, 0)</f>
        <v>مل</v>
      </c>
      <c r="K1076" s="12">
        <v>30</v>
      </c>
      <c r="L1076" s="13">
        <f>VLOOKUP(H1076, 'RM &amp; SF'!B:H, 7, 0)</f>
        <v>1.335E-3</v>
      </c>
      <c r="M1076" s="7">
        <f t="shared" si="63"/>
        <v>4.0050000000000002E-2</v>
      </c>
      <c r="N1076" s="4" t="s">
        <v>825</v>
      </c>
      <c r="O1076" s="4">
        <f>VLOOKUP(B1076, 'All Menu'!B:L, 6, 0)</f>
        <v>6.4655172413793105</v>
      </c>
      <c r="P1076" s="6">
        <f>VLOOKUP(B1076, 'All Menu'!B:L, 9, 0)</f>
        <v>4.4689716239737267</v>
      </c>
      <c r="Q1076" s="14">
        <f>VLOOKUP(B1076, 'All Menu'!B:M, 12, 0)</f>
        <v>0.3087990554920636</v>
      </c>
      <c r="R1076" s="173">
        <f t="shared" si="64"/>
        <v>0</v>
      </c>
    </row>
    <row r="1077" spans="1:18" ht="14" hidden="1">
      <c r="A1077" s="78" t="s">
        <v>2649</v>
      </c>
      <c r="B1077" s="220" t="s">
        <v>910</v>
      </c>
      <c r="C1077" s="185"/>
      <c r="D1077" s="103" t="str">
        <f>VLOOKUP(B1077, 'All Menu'!B:M, 4, 0)</f>
        <v>صاجية كبدة غنم نصف كيلو</v>
      </c>
      <c r="E1077" s="30" t="str">
        <f>VLOOKUP(B1077, 'All Menu'!B:M, 2, 0)</f>
        <v>قسم الصواني</v>
      </c>
      <c r="F1077" s="103" t="str">
        <f>VLOOKUP(B1077, 'All Menu'!B:M, 3, 0)</f>
        <v>صواني وصجيات سفري</v>
      </c>
      <c r="G1077" s="90" t="s">
        <v>2203</v>
      </c>
      <c r="H1077" s="188">
        <v>4152</v>
      </c>
      <c r="I1077" s="110" t="str">
        <f>VLOOKUP(H1077, 'RM &amp; SF'!B:H, 2, 0)</f>
        <v>ملح طعام 750غم*****</v>
      </c>
      <c r="J1077" s="184" t="str">
        <f>VLOOKUP(H1077, 'RM &amp; SF'!B:E, 4, 0)</f>
        <v>غم</v>
      </c>
      <c r="K1077" s="12">
        <v>4</v>
      </c>
      <c r="L1077" s="13">
        <f>VLOOKUP(H1077, 'RM &amp; SF'!B:H, 7, 0)</f>
        <v>1.7066666666666665E-4</v>
      </c>
      <c r="M1077" s="7">
        <f t="shared" si="63"/>
        <v>6.826666666666666E-4</v>
      </c>
      <c r="N1077" s="4" t="s">
        <v>825</v>
      </c>
      <c r="O1077" s="4">
        <f>VLOOKUP(B1077, 'All Menu'!B:L, 6, 0)</f>
        <v>6.4655172413793105</v>
      </c>
      <c r="P1077" s="6">
        <f>VLOOKUP(B1077, 'All Menu'!B:L, 9, 0)</f>
        <v>4.4689716239737267</v>
      </c>
      <c r="Q1077" s="14">
        <f>VLOOKUP(B1077, 'All Menu'!B:M, 12, 0)</f>
        <v>0.3087990554920636</v>
      </c>
      <c r="R1077" s="173">
        <f t="shared" si="64"/>
        <v>0</v>
      </c>
    </row>
    <row r="1078" spans="1:18" ht="14" hidden="1">
      <c r="A1078" s="78" t="s">
        <v>2649</v>
      </c>
      <c r="B1078" s="220" t="s">
        <v>910</v>
      </c>
      <c r="C1078" s="185"/>
      <c r="D1078" s="103" t="str">
        <f>VLOOKUP(B1078, 'All Menu'!B:M, 4, 0)</f>
        <v>صاجية كبدة غنم نصف كيلو</v>
      </c>
      <c r="E1078" s="30" t="str">
        <f>VLOOKUP(B1078, 'All Menu'!B:M, 2, 0)</f>
        <v>قسم الصواني</v>
      </c>
      <c r="F1078" s="103" t="str">
        <f>VLOOKUP(B1078, 'All Menu'!B:M, 3, 0)</f>
        <v>صواني وصجيات سفري</v>
      </c>
      <c r="G1078" s="90" t="s">
        <v>2206</v>
      </c>
      <c r="H1078" s="188">
        <v>4204</v>
      </c>
      <c r="I1078" s="110" t="str">
        <f>VLOOKUP(H1078, 'RM &amp; SF'!B:H, 2, 0)</f>
        <v>فلفل اسود ناعم*****</v>
      </c>
      <c r="J1078" s="184" t="str">
        <f>VLOOKUP(H1078, 'RM &amp; SF'!B:E, 4, 0)</f>
        <v>غم</v>
      </c>
      <c r="K1078" s="16">
        <v>20</v>
      </c>
      <c r="L1078" s="13">
        <f>VLOOKUP(H1078, 'RM &amp; SF'!B:H, 7, 0)</f>
        <v>6.8970000000000004E-3</v>
      </c>
      <c r="M1078" s="7">
        <f t="shared" si="63"/>
        <v>0.13794000000000001</v>
      </c>
      <c r="N1078" s="4" t="s">
        <v>825</v>
      </c>
      <c r="O1078" s="4">
        <f>VLOOKUP(B1078, 'All Menu'!B:L, 6, 0)</f>
        <v>6.4655172413793105</v>
      </c>
      <c r="P1078" s="6">
        <f>VLOOKUP(B1078, 'All Menu'!B:L, 9, 0)</f>
        <v>4.4689716239737267</v>
      </c>
      <c r="Q1078" s="14">
        <f>VLOOKUP(B1078, 'All Menu'!B:M, 12, 0)</f>
        <v>0.3087990554920636</v>
      </c>
      <c r="R1078" s="173">
        <f t="shared" si="64"/>
        <v>0</v>
      </c>
    </row>
    <row r="1079" spans="1:18" ht="14" hidden="1">
      <c r="A1079" s="78" t="s">
        <v>2649</v>
      </c>
      <c r="B1079" s="220" t="s">
        <v>910</v>
      </c>
      <c r="C1079" s="185"/>
      <c r="D1079" s="103" t="str">
        <f>VLOOKUP(B1079, 'All Menu'!B:M, 4, 0)</f>
        <v>صاجية كبدة غنم نصف كيلو</v>
      </c>
      <c r="E1079" s="30" t="str">
        <f>VLOOKUP(B1079, 'All Menu'!B:M, 2, 0)</f>
        <v>قسم الصواني</v>
      </c>
      <c r="F1079" s="103" t="str">
        <f>VLOOKUP(B1079, 'All Menu'!B:M, 3, 0)</f>
        <v>صواني وصجيات سفري</v>
      </c>
      <c r="G1079" s="90" t="s">
        <v>3058</v>
      </c>
      <c r="H1079" s="188">
        <v>5424</v>
      </c>
      <c r="I1079" s="110" t="str">
        <f>VLOOKUP(H1079, 'RM &amp; SF'!B:H, 2, 0)</f>
        <v>علب قصدير مدور 1/2 كغ RZ 25*****</v>
      </c>
      <c r="J1079" s="184" t="str">
        <f>VLOOKUP(H1079, 'RM &amp; SF'!B:E, 4, 0)</f>
        <v>قطعة</v>
      </c>
      <c r="K1079" s="16">
        <v>1</v>
      </c>
      <c r="L1079" s="13">
        <f>VLOOKUP(H1079, 'RM &amp; SF'!B:H, 7, 0)</f>
        <v>0.1149425287356322</v>
      </c>
      <c r="M1079" s="7">
        <f t="shared" si="63"/>
        <v>0.1149425287356322</v>
      </c>
      <c r="N1079" s="4" t="s">
        <v>825</v>
      </c>
      <c r="O1079" s="4">
        <f>VLOOKUP(B1079, 'All Menu'!B:L, 6, 0)</f>
        <v>6.4655172413793105</v>
      </c>
      <c r="P1079" s="6">
        <f>VLOOKUP(B1079, 'All Menu'!B:L, 9, 0)</f>
        <v>4.4689716239737267</v>
      </c>
      <c r="Q1079" s="14">
        <f>VLOOKUP(B1079, 'All Menu'!B:M, 12, 0)</f>
        <v>0.3087990554920636</v>
      </c>
      <c r="R1079" s="173">
        <f t="shared" si="64"/>
        <v>0</v>
      </c>
    </row>
    <row r="1080" spans="1:18" ht="14" hidden="1">
      <c r="A1080" s="78" t="s">
        <v>2649</v>
      </c>
      <c r="B1080" s="220" t="s">
        <v>910</v>
      </c>
      <c r="C1080" s="185"/>
      <c r="D1080" s="103" t="str">
        <f>VLOOKUP(B1080, 'All Menu'!B:M, 4, 0)</f>
        <v>صاجية كبدة غنم نصف كيلو</v>
      </c>
      <c r="E1080" s="30" t="str">
        <f>VLOOKUP(B1080, 'All Menu'!B:M, 2, 0)</f>
        <v>قسم الصواني</v>
      </c>
      <c r="F1080" s="103" t="str">
        <f>VLOOKUP(B1080, 'All Menu'!B:M, 3, 0)</f>
        <v>صواني وصجيات سفري</v>
      </c>
      <c r="G1080" s="90" t="s">
        <v>3058</v>
      </c>
      <c r="H1080" s="188">
        <v>4274</v>
      </c>
      <c r="I1080" s="110" t="str">
        <f>VLOOKUP(H1080, 'RM &amp; SF'!B:H, 2, 0)</f>
        <v>علب المركزية مطبوع + قاطع رقم 1 1*100 حبة*****</v>
      </c>
      <c r="J1080" s="184" t="str">
        <f>VLOOKUP(H1080, 'RM &amp; SF'!B:E, 4, 0)</f>
        <v>قطعة</v>
      </c>
      <c r="K1080" s="16">
        <v>1</v>
      </c>
      <c r="L1080" s="13">
        <f>VLOOKUP(H1080, 'RM &amp; SF'!B:H, 7, 0)</f>
        <v>0.25</v>
      </c>
      <c r="M1080" s="7">
        <f t="shared" si="63"/>
        <v>0.25</v>
      </c>
      <c r="N1080" s="4" t="s">
        <v>825</v>
      </c>
      <c r="O1080" s="4">
        <f>VLOOKUP(B1080, 'All Menu'!B:L, 6, 0)</f>
        <v>6.4655172413793105</v>
      </c>
      <c r="P1080" s="6">
        <f>VLOOKUP(B1080, 'All Menu'!B:L, 9, 0)</f>
        <v>4.4689716239737267</v>
      </c>
      <c r="Q1080" s="14">
        <f>VLOOKUP(B1080, 'All Menu'!B:M, 12, 0)</f>
        <v>0.3087990554920636</v>
      </c>
      <c r="R1080" s="173">
        <f t="shared" si="64"/>
        <v>0</v>
      </c>
    </row>
    <row r="1081" spans="1:18" ht="14" hidden="1">
      <c r="A1081" s="78" t="s">
        <v>2658</v>
      </c>
      <c r="B1081" s="220" t="s">
        <v>911</v>
      </c>
      <c r="C1081" s="185"/>
      <c r="D1081" s="103" t="str">
        <f>VLOOKUP(B1081, 'All Menu'!B:M, 4, 0)</f>
        <v>كفتة بندورة كيلو</v>
      </c>
      <c r="E1081" s="30" t="str">
        <f>VLOOKUP(B1081, 'All Menu'!B:M, 2, 0)</f>
        <v>قسم الصواني</v>
      </c>
      <c r="F1081" s="103" t="str">
        <f>VLOOKUP(B1081, 'All Menu'!B:M, 3, 0)</f>
        <v>صواني وصجيات سفري</v>
      </c>
      <c r="G1081" s="90" t="s">
        <v>2414</v>
      </c>
      <c r="H1081" s="219" t="s">
        <v>485</v>
      </c>
      <c r="I1081" s="110" t="str">
        <f>VLOOKUP(H1081, 'RM &amp; SF'!B:H, 2, 0)</f>
        <v>كفتة للصواني</v>
      </c>
      <c r="J1081" s="184" t="str">
        <f>VLOOKUP(H1081, 'RM &amp; SF'!B:E, 4, 0)</f>
        <v>غم</v>
      </c>
      <c r="K1081" s="16">
        <v>1000</v>
      </c>
      <c r="L1081" s="13">
        <f>VLOOKUP(H1081, 'RM &amp; SF'!B:H, 7, 0)</f>
        <v>6.7141943181818174E-3</v>
      </c>
      <c r="M1081" s="7">
        <f t="shared" ref="M1081:M1125" si="66">L1081*K1081</f>
        <v>6.7141943181818178</v>
      </c>
      <c r="N1081" s="4" t="s">
        <v>825</v>
      </c>
      <c r="O1081" s="4">
        <f>VLOOKUP(B1081, 'All Menu'!B:L, 6, 0)</f>
        <v>12.068965517241381</v>
      </c>
      <c r="P1081" s="6">
        <f>VLOOKUP(B1081, 'All Menu'!B:L, 9, 0)</f>
        <v>8.1545283342041106</v>
      </c>
      <c r="Q1081" s="14">
        <f>VLOOKUP(B1081, 'All Menu'!B:M, 12, 0)</f>
        <v>0.32433908088023089</v>
      </c>
      <c r="R1081" s="173">
        <f t="shared" si="64"/>
        <v>0</v>
      </c>
    </row>
    <row r="1082" spans="1:18" ht="14" hidden="1">
      <c r="A1082" s="78" t="s">
        <v>2658</v>
      </c>
      <c r="B1082" s="220" t="s">
        <v>911</v>
      </c>
      <c r="C1082" s="185"/>
      <c r="D1082" s="103" t="str">
        <f>VLOOKUP(B1082, 'All Menu'!B:M, 4, 0)</f>
        <v>كفتة بندورة كيلو</v>
      </c>
      <c r="E1082" s="30" t="str">
        <f>VLOOKUP(B1082, 'All Menu'!B:M, 2, 0)</f>
        <v>قسم الصواني</v>
      </c>
      <c r="F1082" s="103" t="str">
        <f>VLOOKUP(B1082, 'All Menu'!B:M, 3, 0)</f>
        <v>صواني وصجيات سفري</v>
      </c>
      <c r="G1082" s="90" t="s">
        <v>2230</v>
      </c>
      <c r="H1082" s="188">
        <v>4497</v>
      </c>
      <c r="I1082" s="110" t="str">
        <f>VLOOKUP(H1082, 'RM &amp; SF'!B:H, 2, 0)</f>
        <v>بطاطا*****</v>
      </c>
      <c r="J1082" s="184" t="str">
        <f>VLOOKUP(H1082, 'RM &amp; SF'!B:E, 4, 0)</f>
        <v>غم</v>
      </c>
      <c r="K1082" s="16">
        <v>200</v>
      </c>
      <c r="L1082" s="13">
        <f>VLOOKUP(H1082, 'RM &amp; SF'!B:H, 7, 0)</f>
        <v>4.0000000000000002E-4</v>
      </c>
      <c r="M1082" s="7">
        <f t="shared" si="66"/>
        <v>0.08</v>
      </c>
      <c r="N1082" s="4" t="s">
        <v>825</v>
      </c>
      <c r="O1082" s="4">
        <f>VLOOKUP(B1082, 'All Menu'!B:L, 6, 0)</f>
        <v>12.068965517241381</v>
      </c>
      <c r="P1082" s="6">
        <f>VLOOKUP(B1082, 'All Menu'!B:L, 9, 0)</f>
        <v>8.1545283342041106</v>
      </c>
      <c r="Q1082" s="14">
        <f>VLOOKUP(B1082, 'All Menu'!B:M, 12, 0)</f>
        <v>0.32433908088023089</v>
      </c>
      <c r="R1082" s="173">
        <f t="shared" si="64"/>
        <v>0</v>
      </c>
    </row>
    <row r="1083" spans="1:18" ht="14" hidden="1">
      <c r="A1083" s="78" t="s">
        <v>2658</v>
      </c>
      <c r="B1083" s="220" t="s">
        <v>911</v>
      </c>
      <c r="C1083" s="185"/>
      <c r="D1083" s="103" t="str">
        <f>VLOOKUP(B1083, 'All Menu'!B:M, 4, 0)</f>
        <v>كفتة بندورة كيلو</v>
      </c>
      <c r="E1083" s="30" t="str">
        <f>VLOOKUP(B1083, 'All Menu'!B:M, 2, 0)</f>
        <v>قسم الصواني</v>
      </c>
      <c r="F1083" s="103" t="str">
        <f>VLOOKUP(B1083, 'All Menu'!B:M, 3, 0)</f>
        <v>صواني وصجيات سفري</v>
      </c>
      <c r="G1083" s="90" t="s">
        <v>2434</v>
      </c>
      <c r="H1083" s="219" t="s">
        <v>574</v>
      </c>
      <c r="I1083" s="110" t="str">
        <f>VLOOKUP(H1083, 'RM &amp; SF'!B:H, 2, 0)</f>
        <v>صوص بندورة</v>
      </c>
      <c r="J1083" s="184" t="str">
        <f>VLOOKUP(H1083, 'RM &amp; SF'!B:E, 4, 0)</f>
        <v>غم</v>
      </c>
      <c r="K1083" s="16">
        <v>800</v>
      </c>
      <c r="L1083" s="13">
        <f>VLOOKUP(H1083, 'RM &amp; SF'!B:H, 7, 0)</f>
        <v>1.1346600487634969E-3</v>
      </c>
      <c r="M1083" s="7">
        <f t="shared" si="66"/>
        <v>0.90772803901079757</v>
      </c>
      <c r="N1083" s="4" t="s">
        <v>825</v>
      </c>
      <c r="O1083" s="4">
        <f>VLOOKUP(B1083, 'All Menu'!B:L, 6, 0)</f>
        <v>12.068965517241381</v>
      </c>
      <c r="P1083" s="6">
        <f>VLOOKUP(B1083, 'All Menu'!B:L, 9, 0)</f>
        <v>8.1545283342041106</v>
      </c>
      <c r="Q1083" s="14">
        <f>VLOOKUP(B1083, 'All Menu'!B:M, 12, 0)</f>
        <v>0.32433908088023089</v>
      </c>
      <c r="R1083" s="173">
        <f t="shared" si="64"/>
        <v>0</v>
      </c>
    </row>
    <row r="1084" spans="1:18" ht="14" hidden="1">
      <c r="A1084" s="78" t="s">
        <v>2658</v>
      </c>
      <c r="B1084" s="220" t="s">
        <v>911</v>
      </c>
      <c r="C1084" s="185"/>
      <c r="D1084" s="103" t="str">
        <f>VLOOKUP(B1084, 'All Menu'!B:M, 4, 0)</f>
        <v>كفتة بندورة كيلو</v>
      </c>
      <c r="E1084" s="30" t="str">
        <f>VLOOKUP(B1084, 'All Menu'!B:M, 2, 0)</f>
        <v>قسم الصواني</v>
      </c>
      <c r="F1084" s="103" t="str">
        <f>VLOOKUP(B1084, 'All Menu'!B:M, 3, 0)</f>
        <v>صواني وصجيات سفري</v>
      </c>
      <c r="G1084" s="90" t="s">
        <v>2368</v>
      </c>
      <c r="H1084" s="219" t="s">
        <v>768</v>
      </c>
      <c r="I1084" s="110" t="str">
        <f>VLOOKUP(H1084, 'RM &amp; SF'!B:H, 2, 0)</f>
        <v>بصل مقلي</v>
      </c>
      <c r="J1084" s="184" t="str">
        <f>VLOOKUP(H1084, 'RM &amp; SF'!B:E, 4, 0)</f>
        <v>غم</v>
      </c>
      <c r="K1084" s="125">
        <v>15</v>
      </c>
      <c r="L1084" s="13">
        <f>VLOOKUP(H1084, 'RM &amp; SF'!B:H, 7, 0)</f>
        <v>2.6400000000000002E-4</v>
      </c>
      <c r="M1084" s="15">
        <f t="shared" si="66"/>
        <v>3.96E-3</v>
      </c>
      <c r="N1084" s="21" t="s">
        <v>825</v>
      </c>
      <c r="O1084" s="4">
        <f>VLOOKUP(B1084, 'All Menu'!B:L, 6, 0)</f>
        <v>12.068965517241381</v>
      </c>
      <c r="P1084" s="6">
        <f>VLOOKUP(B1084, 'All Menu'!B:L, 9, 0)</f>
        <v>8.1545283342041106</v>
      </c>
      <c r="Q1084" s="14">
        <f>VLOOKUP(B1084, 'All Menu'!B:M, 12, 0)</f>
        <v>0.32433908088023089</v>
      </c>
      <c r="R1084" s="173">
        <f t="shared" si="64"/>
        <v>0</v>
      </c>
    </row>
    <row r="1085" spans="1:18" ht="14" hidden="1">
      <c r="A1085" s="78" t="s">
        <v>2658</v>
      </c>
      <c r="B1085" s="220" t="s">
        <v>911</v>
      </c>
      <c r="C1085" s="185"/>
      <c r="D1085" s="103" t="str">
        <f>VLOOKUP(B1085, 'All Menu'!B:M, 4, 0)</f>
        <v>كفتة بندورة كيلو</v>
      </c>
      <c r="E1085" s="30" t="str">
        <f>VLOOKUP(B1085, 'All Menu'!B:M, 2, 0)</f>
        <v>قسم الصواني</v>
      </c>
      <c r="F1085" s="103" t="str">
        <f>VLOOKUP(B1085, 'All Menu'!B:M, 3, 0)</f>
        <v>صواني وصجيات سفري</v>
      </c>
      <c r="G1085" s="90" t="s">
        <v>2231</v>
      </c>
      <c r="H1085" s="188">
        <v>4499</v>
      </c>
      <c r="I1085" s="110" t="str">
        <f>VLOOKUP(H1085, 'RM &amp; SF'!B:H, 2, 0)</f>
        <v>فلفل حار اخضر*****</v>
      </c>
      <c r="J1085" s="184" t="str">
        <f>VLOOKUP(H1085, 'RM &amp; SF'!B:E, 4, 0)</f>
        <v>غم</v>
      </c>
      <c r="K1085" s="16">
        <v>80</v>
      </c>
      <c r="L1085" s="13">
        <f>VLOOKUP(H1085, 'RM &amp; SF'!B:H, 7, 0)</f>
        <v>5.0000000000000001E-4</v>
      </c>
      <c r="M1085" s="7">
        <f t="shared" si="66"/>
        <v>0.04</v>
      </c>
      <c r="N1085" s="4" t="s">
        <v>825</v>
      </c>
      <c r="O1085" s="4">
        <f>VLOOKUP(B1085, 'All Menu'!B:L, 6, 0)</f>
        <v>12.068965517241381</v>
      </c>
      <c r="P1085" s="6">
        <f>VLOOKUP(B1085, 'All Menu'!B:L, 9, 0)</f>
        <v>8.1545283342041106</v>
      </c>
      <c r="Q1085" s="14">
        <f>VLOOKUP(B1085, 'All Menu'!B:M, 12, 0)</f>
        <v>0.32433908088023089</v>
      </c>
      <c r="R1085" s="173">
        <f t="shared" si="64"/>
        <v>0</v>
      </c>
    </row>
    <row r="1086" spans="1:18" ht="14" hidden="1">
      <c r="A1086" s="78" t="s">
        <v>2658</v>
      </c>
      <c r="B1086" s="220" t="s">
        <v>911</v>
      </c>
      <c r="C1086" s="185"/>
      <c r="D1086" s="103" t="str">
        <f>VLOOKUP(B1086, 'All Menu'!B:M, 4, 0)</f>
        <v>كفتة بندورة كيلو</v>
      </c>
      <c r="E1086" s="30" t="str">
        <f>VLOOKUP(B1086, 'All Menu'!B:M, 2, 0)</f>
        <v>قسم الصواني</v>
      </c>
      <c r="F1086" s="103" t="str">
        <f>VLOOKUP(B1086, 'All Menu'!B:M, 3, 0)</f>
        <v>صواني وصجيات سفري</v>
      </c>
      <c r="G1086" s="90" t="s">
        <v>2251</v>
      </c>
      <c r="H1086" s="188">
        <v>4544</v>
      </c>
      <c r="I1086" s="110" t="str">
        <f>VLOOKUP(H1086, 'RM &amp; SF'!B:H, 2, 0)</f>
        <v>بقدونس*****</v>
      </c>
      <c r="J1086" s="184" t="str">
        <f>VLOOKUP(H1086, 'RM &amp; SF'!B:E, 4, 0)</f>
        <v>غم</v>
      </c>
      <c r="K1086" s="16">
        <v>0.8</v>
      </c>
      <c r="L1086" s="13">
        <f>VLOOKUP(H1086, 'RM &amp; SF'!B:H, 7, 0)</f>
        <v>7.5000000000000002E-4</v>
      </c>
      <c r="M1086" s="7">
        <f t="shared" si="66"/>
        <v>6.0000000000000006E-4</v>
      </c>
      <c r="N1086" s="4" t="s">
        <v>825</v>
      </c>
      <c r="O1086" s="4">
        <f>VLOOKUP(B1086, 'All Menu'!B:L, 6, 0)</f>
        <v>12.068965517241381</v>
      </c>
      <c r="P1086" s="6">
        <f>VLOOKUP(B1086, 'All Menu'!B:L, 9, 0)</f>
        <v>8.1545283342041106</v>
      </c>
      <c r="Q1086" s="14">
        <f>VLOOKUP(B1086, 'All Menu'!B:M, 12, 0)</f>
        <v>0.32433908088023089</v>
      </c>
      <c r="R1086" s="173">
        <f t="shared" si="64"/>
        <v>0</v>
      </c>
    </row>
    <row r="1087" spans="1:18" ht="14" hidden="1">
      <c r="A1087" s="78" t="s">
        <v>2658</v>
      </c>
      <c r="B1087" s="220" t="s">
        <v>911</v>
      </c>
      <c r="C1087" s="185"/>
      <c r="D1087" s="103" t="str">
        <f>VLOOKUP(B1087, 'All Menu'!B:M, 4, 0)</f>
        <v>كفتة بندورة كيلو</v>
      </c>
      <c r="E1087" s="30" t="str">
        <f>VLOOKUP(B1087, 'All Menu'!B:M, 2, 0)</f>
        <v>قسم الصواني</v>
      </c>
      <c r="F1087" s="103" t="str">
        <f>VLOOKUP(B1087, 'All Menu'!B:M, 3, 0)</f>
        <v>صواني وصجيات سفري</v>
      </c>
      <c r="G1087" s="90" t="s">
        <v>3058</v>
      </c>
      <c r="H1087" s="188">
        <v>5424</v>
      </c>
      <c r="I1087" s="110" t="str">
        <f>VLOOKUP(H1087, 'RM &amp; SF'!B:H, 2, 0)</f>
        <v>علب قصدير مدور 1/2 كغ RZ 25*****</v>
      </c>
      <c r="J1087" s="184" t="str">
        <f>VLOOKUP(H1087, 'RM &amp; SF'!B:E, 4, 0)</f>
        <v>قطعة</v>
      </c>
      <c r="K1087" s="16">
        <v>1</v>
      </c>
      <c r="L1087" s="13">
        <f>VLOOKUP(H1087, 'RM &amp; SF'!B:H, 7, 0)</f>
        <v>0.1149425287356322</v>
      </c>
      <c r="M1087" s="7">
        <f t="shared" si="66"/>
        <v>0.1149425287356322</v>
      </c>
      <c r="N1087" s="4" t="s">
        <v>825</v>
      </c>
      <c r="O1087" s="4">
        <f>VLOOKUP(B1087, 'All Menu'!B:L, 6, 0)</f>
        <v>12.068965517241381</v>
      </c>
      <c r="P1087" s="6">
        <f>VLOOKUP(B1087, 'All Menu'!B:L, 9, 0)</f>
        <v>8.1545283342041106</v>
      </c>
      <c r="Q1087" s="14">
        <f>VLOOKUP(B1087, 'All Menu'!B:M, 12, 0)</f>
        <v>0.32433908088023089</v>
      </c>
      <c r="R1087" s="173">
        <f t="shared" si="64"/>
        <v>0</v>
      </c>
    </row>
    <row r="1088" spans="1:18" ht="14" hidden="1">
      <c r="A1088" s="78" t="s">
        <v>2658</v>
      </c>
      <c r="B1088" s="220" t="s">
        <v>911</v>
      </c>
      <c r="C1088" s="185"/>
      <c r="D1088" s="103" t="str">
        <f>VLOOKUP(B1088, 'All Menu'!B:M, 4, 0)</f>
        <v>كفتة بندورة كيلو</v>
      </c>
      <c r="E1088" s="30" t="str">
        <f>VLOOKUP(B1088, 'All Menu'!B:M, 2, 0)</f>
        <v>قسم الصواني</v>
      </c>
      <c r="F1088" s="103" t="str">
        <f>VLOOKUP(B1088, 'All Menu'!B:M, 3, 0)</f>
        <v>صواني وصجيات سفري</v>
      </c>
      <c r="G1088" s="90" t="s">
        <v>3058</v>
      </c>
      <c r="H1088" s="188">
        <v>4275</v>
      </c>
      <c r="I1088" s="110" t="str">
        <f>VLOOKUP(H1088, 'RM &amp; SF'!B:H, 2, 0)</f>
        <v>علب المركزية مطبوع + قاطع رقم 2 1*100 حبة*****</v>
      </c>
      <c r="J1088" s="184" t="str">
        <f>VLOOKUP(H1088, 'RM &amp; SF'!B:E, 4, 0)</f>
        <v>قطعة</v>
      </c>
      <c r="K1088" s="16">
        <v>1</v>
      </c>
      <c r="L1088" s="13">
        <f>VLOOKUP(H1088, 'RM &amp; SF'!B:H, 7, 0)</f>
        <v>0.2931034482758621</v>
      </c>
      <c r="M1088" s="7">
        <f t="shared" si="66"/>
        <v>0.2931034482758621</v>
      </c>
      <c r="N1088" s="4" t="s">
        <v>825</v>
      </c>
      <c r="O1088" s="4">
        <f>VLOOKUP(B1088, 'All Menu'!B:L, 6, 0)</f>
        <v>12.068965517241381</v>
      </c>
      <c r="P1088" s="6">
        <f>VLOOKUP(B1088, 'All Menu'!B:L, 9, 0)</f>
        <v>8.1545283342041106</v>
      </c>
      <c r="Q1088" s="14">
        <f>VLOOKUP(B1088, 'All Menu'!B:M, 12, 0)</f>
        <v>0.32433908088023089</v>
      </c>
      <c r="R1088" s="173">
        <f t="shared" si="64"/>
        <v>0</v>
      </c>
    </row>
    <row r="1089" spans="1:18" ht="14" hidden="1">
      <c r="A1089" s="78" t="s">
        <v>2643</v>
      </c>
      <c r="B1089" s="220" t="s">
        <v>912</v>
      </c>
      <c r="C1089" s="185"/>
      <c r="D1089" s="103" t="str">
        <f>VLOOKUP(B1089, 'All Menu'!B:M, 4, 0)</f>
        <v>كفتة طحينية كيلو</v>
      </c>
      <c r="E1089" s="30" t="str">
        <f>VLOOKUP(B1089, 'All Menu'!B:M, 2, 0)</f>
        <v>قسم الصواني</v>
      </c>
      <c r="F1089" s="103" t="str">
        <f>VLOOKUP(B1089, 'All Menu'!B:M, 3, 0)</f>
        <v>صواني وصجيات سفري</v>
      </c>
      <c r="G1089" s="90" t="s">
        <v>2414</v>
      </c>
      <c r="H1089" s="219" t="s">
        <v>485</v>
      </c>
      <c r="I1089" s="110" t="str">
        <f>VLOOKUP(H1089, 'RM &amp; SF'!B:H, 2, 0)</f>
        <v>كفتة للصواني</v>
      </c>
      <c r="J1089" s="184" t="str">
        <f>VLOOKUP(H1089, 'RM &amp; SF'!B:E, 4, 0)</f>
        <v>غم</v>
      </c>
      <c r="K1089" s="16">
        <v>1000</v>
      </c>
      <c r="L1089" s="13">
        <f>VLOOKUP(H1089, 'RM &amp; SF'!B:H, 7, 0)</f>
        <v>6.7141943181818174E-3</v>
      </c>
      <c r="M1089" s="7">
        <f t="shared" si="66"/>
        <v>6.7141943181818178</v>
      </c>
      <c r="N1089" s="4" t="s">
        <v>825</v>
      </c>
      <c r="O1089" s="4">
        <f>VLOOKUP(B1089, 'All Menu'!B:L, 6, 0)</f>
        <v>12.068965517241381</v>
      </c>
      <c r="P1089" s="6">
        <f>VLOOKUP(B1089, 'All Menu'!B:L, 9, 0)</f>
        <v>8.1605712158282326</v>
      </c>
      <c r="Q1089" s="14">
        <f>VLOOKUP(B1089, 'All Menu'!B:M, 12, 0)</f>
        <v>0.32383838497423223</v>
      </c>
      <c r="R1089" s="173">
        <f t="shared" si="64"/>
        <v>0</v>
      </c>
    </row>
    <row r="1090" spans="1:18" ht="14" hidden="1">
      <c r="A1090" s="78" t="s">
        <v>2643</v>
      </c>
      <c r="B1090" s="220" t="s">
        <v>912</v>
      </c>
      <c r="C1090" s="185"/>
      <c r="D1090" s="103" t="str">
        <f>VLOOKUP(B1090, 'All Menu'!B:M, 4, 0)</f>
        <v>كفتة طحينية كيلو</v>
      </c>
      <c r="E1090" s="30" t="str">
        <f>VLOOKUP(B1090, 'All Menu'!B:M, 2, 0)</f>
        <v>قسم الصواني</v>
      </c>
      <c r="F1090" s="103" t="str">
        <f>VLOOKUP(B1090, 'All Menu'!B:M, 3, 0)</f>
        <v>صواني وصجيات سفري</v>
      </c>
      <c r="G1090" s="90" t="s">
        <v>2230</v>
      </c>
      <c r="H1090" s="188">
        <v>4497</v>
      </c>
      <c r="I1090" s="110" t="str">
        <f>VLOOKUP(H1090, 'RM &amp; SF'!B:H, 2, 0)</f>
        <v>بطاطا*****</v>
      </c>
      <c r="J1090" s="184" t="str">
        <f>VLOOKUP(H1090, 'RM &amp; SF'!B:E, 4, 0)</f>
        <v>غم</v>
      </c>
      <c r="K1090" s="16">
        <v>260</v>
      </c>
      <c r="L1090" s="13">
        <f>VLOOKUP(H1090, 'RM &amp; SF'!B:H, 7, 0)</f>
        <v>4.0000000000000002E-4</v>
      </c>
      <c r="M1090" s="7">
        <f t="shared" si="66"/>
        <v>0.10400000000000001</v>
      </c>
      <c r="N1090" s="4" t="s">
        <v>825</v>
      </c>
      <c r="O1090" s="4">
        <f>VLOOKUP(B1090, 'All Menu'!B:L, 6, 0)</f>
        <v>12.068965517241381</v>
      </c>
      <c r="P1090" s="6">
        <f>VLOOKUP(B1090, 'All Menu'!B:L, 9, 0)</f>
        <v>8.1605712158282326</v>
      </c>
      <c r="Q1090" s="14">
        <f>VLOOKUP(B1090, 'All Menu'!B:M, 12, 0)</f>
        <v>0.32383838497423223</v>
      </c>
      <c r="R1090" s="173">
        <f t="shared" si="64"/>
        <v>0</v>
      </c>
    </row>
    <row r="1091" spans="1:18" ht="14" hidden="1">
      <c r="A1091" s="78" t="s">
        <v>2643</v>
      </c>
      <c r="B1091" s="220" t="s">
        <v>912</v>
      </c>
      <c r="C1091" s="185"/>
      <c r="D1091" s="103" t="str">
        <f>VLOOKUP(B1091, 'All Menu'!B:M, 4, 0)</f>
        <v>كفتة طحينية كيلو</v>
      </c>
      <c r="E1091" s="30" t="str">
        <f>VLOOKUP(B1091, 'All Menu'!B:M, 2, 0)</f>
        <v>قسم الصواني</v>
      </c>
      <c r="F1091" s="103" t="str">
        <f>VLOOKUP(B1091, 'All Menu'!B:M, 3, 0)</f>
        <v>صواني وصجيات سفري</v>
      </c>
      <c r="G1091" s="90" t="s">
        <v>2430</v>
      </c>
      <c r="H1091" s="219" t="s">
        <v>636</v>
      </c>
      <c r="I1091" s="110" t="str">
        <f>VLOOKUP(H1091, 'RM &amp; SF'!B:H, 2, 0)</f>
        <v>صوص طحينية للصواني</v>
      </c>
      <c r="J1091" s="184" t="str">
        <f>VLOOKUP(H1091, 'RM &amp; SF'!B:E, 4, 0)</f>
        <v>غم</v>
      </c>
      <c r="K1091" s="16">
        <v>900</v>
      </c>
      <c r="L1091" s="13">
        <f>VLOOKUP(H1091, 'RM &amp; SF'!B:H, 7, 0)</f>
        <v>1.0115232451499119E-3</v>
      </c>
      <c r="M1091" s="7">
        <f t="shared" si="66"/>
        <v>0.91037092063492075</v>
      </c>
      <c r="N1091" s="4" t="s">
        <v>825</v>
      </c>
      <c r="O1091" s="4">
        <f>VLOOKUP(B1091, 'All Menu'!B:L, 6, 0)</f>
        <v>12.068965517241381</v>
      </c>
      <c r="P1091" s="6">
        <f>VLOOKUP(B1091, 'All Menu'!B:L, 9, 0)</f>
        <v>8.1605712158282326</v>
      </c>
      <c r="Q1091" s="14">
        <f>VLOOKUP(B1091, 'All Menu'!B:M, 12, 0)</f>
        <v>0.32383838497423223</v>
      </c>
      <c r="R1091" s="173">
        <f t="shared" ref="R1091:R1134" si="67">C1091*K1091</f>
        <v>0</v>
      </c>
    </row>
    <row r="1092" spans="1:18" ht="14" hidden="1">
      <c r="A1092" s="78" t="s">
        <v>2643</v>
      </c>
      <c r="B1092" s="220" t="s">
        <v>912</v>
      </c>
      <c r="C1092" s="185"/>
      <c r="D1092" s="103" t="str">
        <f>VLOOKUP(B1092, 'All Menu'!B:M, 4, 0)</f>
        <v>كفتة طحينية كيلو</v>
      </c>
      <c r="E1092" s="30" t="str">
        <f>VLOOKUP(B1092, 'All Menu'!B:M, 2, 0)</f>
        <v>قسم الصواني</v>
      </c>
      <c r="F1092" s="103" t="str">
        <f>VLOOKUP(B1092, 'All Menu'!B:M, 3, 0)</f>
        <v>صواني وصجيات سفري</v>
      </c>
      <c r="G1092" s="90" t="s">
        <v>2368</v>
      </c>
      <c r="H1092" s="219" t="s">
        <v>768</v>
      </c>
      <c r="I1092" s="110" t="str">
        <f>VLOOKUP(H1092, 'RM &amp; SF'!B:H, 2, 0)</f>
        <v>بصل مقلي</v>
      </c>
      <c r="J1092" s="184" t="str">
        <f>VLOOKUP(H1092, 'RM &amp; SF'!B:E, 4, 0)</f>
        <v>غم</v>
      </c>
      <c r="K1092" s="25">
        <v>15</v>
      </c>
      <c r="L1092" s="13">
        <f>VLOOKUP(H1092, 'RM &amp; SF'!B:H, 7, 0)</f>
        <v>2.6400000000000002E-4</v>
      </c>
      <c r="M1092" s="15">
        <f t="shared" si="66"/>
        <v>3.96E-3</v>
      </c>
      <c r="N1092" s="21" t="s">
        <v>825</v>
      </c>
      <c r="O1092" s="4">
        <f>VLOOKUP(B1092, 'All Menu'!B:L, 6, 0)</f>
        <v>12.068965517241381</v>
      </c>
      <c r="P1092" s="6">
        <f>VLOOKUP(B1092, 'All Menu'!B:L, 9, 0)</f>
        <v>8.1605712158282326</v>
      </c>
      <c r="Q1092" s="14">
        <f>VLOOKUP(B1092, 'All Menu'!B:M, 12, 0)</f>
        <v>0.32383838497423223</v>
      </c>
      <c r="R1092" s="173">
        <f t="shared" si="67"/>
        <v>0</v>
      </c>
    </row>
    <row r="1093" spans="1:18" ht="14" hidden="1">
      <c r="A1093" s="78" t="s">
        <v>2643</v>
      </c>
      <c r="B1093" s="220" t="s">
        <v>912</v>
      </c>
      <c r="C1093" s="185"/>
      <c r="D1093" s="103" t="str">
        <f>VLOOKUP(B1093, 'All Menu'!B:M, 4, 0)</f>
        <v>كفتة طحينية كيلو</v>
      </c>
      <c r="E1093" s="30" t="str">
        <f>VLOOKUP(B1093, 'All Menu'!B:M, 2, 0)</f>
        <v>قسم الصواني</v>
      </c>
      <c r="F1093" s="103" t="str">
        <f>VLOOKUP(B1093, 'All Menu'!B:M, 3, 0)</f>
        <v>صواني وصجيات سفري</v>
      </c>
      <c r="G1093" s="90" t="s">
        <v>2231</v>
      </c>
      <c r="H1093" s="188">
        <v>4499</v>
      </c>
      <c r="I1093" s="110" t="str">
        <f>VLOOKUP(H1093, 'RM &amp; SF'!B:H, 2, 0)</f>
        <v>فلفل حار اخضر*****</v>
      </c>
      <c r="J1093" s="184" t="str">
        <f>VLOOKUP(H1093, 'RM &amp; SF'!B:E, 4, 0)</f>
        <v>غم</v>
      </c>
      <c r="K1093" s="16">
        <v>40</v>
      </c>
      <c r="L1093" s="13">
        <f>VLOOKUP(H1093, 'RM &amp; SF'!B:H, 7, 0)</f>
        <v>5.0000000000000001E-4</v>
      </c>
      <c r="M1093" s="7">
        <f t="shared" si="66"/>
        <v>0.02</v>
      </c>
      <c r="N1093" s="4" t="s">
        <v>825</v>
      </c>
      <c r="O1093" s="4">
        <f>VLOOKUP(B1093, 'All Menu'!B:L, 6, 0)</f>
        <v>12.068965517241381</v>
      </c>
      <c r="P1093" s="6">
        <f>VLOOKUP(B1093, 'All Menu'!B:L, 9, 0)</f>
        <v>8.1605712158282326</v>
      </c>
      <c r="Q1093" s="14">
        <f>VLOOKUP(B1093, 'All Menu'!B:M, 12, 0)</f>
        <v>0.32383838497423223</v>
      </c>
      <c r="R1093" s="173">
        <f t="shared" si="67"/>
        <v>0</v>
      </c>
    </row>
    <row r="1094" spans="1:18" ht="14" hidden="1">
      <c r="A1094" s="78" t="s">
        <v>2643</v>
      </c>
      <c r="B1094" s="220" t="s">
        <v>912</v>
      </c>
      <c r="C1094" s="185"/>
      <c r="D1094" s="103" t="str">
        <f>VLOOKUP(B1094, 'All Menu'!B:M, 4, 0)</f>
        <v>كفتة طحينية كيلو</v>
      </c>
      <c r="E1094" s="30" t="str">
        <f>VLOOKUP(B1094, 'All Menu'!B:M, 2, 0)</f>
        <v>قسم الصواني</v>
      </c>
      <c r="F1094" s="103" t="str">
        <f>VLOOKUP(B1094, 'All Menu'!B:M, 3, 0)</f>
        <v>صواني وصجيات سفري</v>
      </c>
      <c r="G1094" s="90" t="s">
        <v>3058</v>
      </c>
      <c r="H1094" s="188">
        <v>5424</v>
      </c>
      <c r="I1094" s="110" t="str">
        <f>VLOOKUP(H1094, 'RM &amp; SF'!B:H, 2, 0)</f>
        <v>علب قصدير مدور 1/2 كغ RZ 25*****</v>
      </c>
      <c r="J1094" s="184" t="str">
        <f>VLOOKUP(H1094, 'RM &amp; SF'!B:E, 4, 0)</f>
        <v>قطعة</v>
      </c>
      <c r="K1094" s="16">
        <v>1</v>
      </c>
      <c r="L1094" s="13">
        <f>VLOOKUP(H1094, 'RM &amp; SF'!B:H, 7, 0)</f>
        <v>0.1149425287356322</v>
      </c>
      <c r="M1094" s="7">
        <f t="shared" si="66"/>
        <v>0.1149425287356322</v>
      </c>
      <c r="N1094" s="4" t="s">
        <v>825</v>
      </c>
      <c r="O1094" s="4">
        <f>VLOOKUP(B1094, 'All Menu'!B:L, 6, 0)</f>
        <v>12.068965517241381</v>
      </c>
      <c r="P1094" s="6">
        <f>VLOOKUP(B1094, 'All Menu'!B:L, 9, 0)</f>
        <v>8.1605712158282326</v>
      </c>
      <c r="Q1094" s="14">
        <f>VLOOKUP(B1094, 'All Menu'!B:M, 12, 0)</f>
        <v>0.32383838497423223</v>
      </c>
      <c r="R1094" s="173">
        <f t="shared" si="67"/>
        <v>0</v>
      </c>
    </row>
    <row r="1095" spans="1:18" ht="14" hidden="1">
      <c r="A1095" s="78" t="s">
        <v>2643</v>
      </c>
      <c r="B1095" s="220" t="s">
        <v>912</v>
      </c>
      <c r="C1095" s="185"/>
      <c r="D1095" s="103" t="str">
        <f>VLOOKUP(B1095, 'All Menu'!B:M, 4, 0)</f>
        <v>كفتة طحينية كيلو</v>
      </c>
      <c r="E1095" s="30" t="str">
        <f>VLOOKUP(B1095, 'All Menu'!B:M, 2, 0)</f>
        <v>قسم الصواني</v>
      </c>
      <c r="F1095" s="103" t="str">
        <f>VLOOKUP(B1095, 'All Menu'!B:M, 3, 0)</f>
        <v>صواني وصجيات سفري</v>
      </c>
      <c r="G1095" s="90" t="s">
        <v>3058</v>
      </c>
      <c r="H1095" s="188">
        <v>4275</v>
      </c>
      <c r="I1095" s="110" t="str">
        <f>VLOOKUP(H1095, 'RM &amp; SF'!B:H, 2, 0)</f>
        <v>علب المركزية مطبوع + قاطع رقم 2 1*100 حبة*****</v>
      </c>
      <c r="J1095" s="184" t="str">
        <f>VLOOKUP(H1095, 'RM &amp; SF'!B:E, 4, 0)</f>
        <v>قطعة</v>
      </c>
      <c r="K1095" s="16">
        <v>1</v>
      </c>
      <c r="L1095" s="13">
        <f>VLOOKUP(H1095, 'RM &amp; SF'!B:H, 7, 0)</f>
        <v>0.2931034482758621</v>
      </c>
      <c r="M1095" s="7">
        <f t="shared" si="66"/>
        <v>0.2931034482758621</v>
      </c>
      <c r="N1095" s="4" t="s">
        <v>825</v>
      </c>
      <c r="O1095" s="4">
        <f>VLOOKUP(B1095, 'All Menu'!B:L, 6, 0)</f>
        <v>12.068965517241381</v>
      </c>
      <c r="P1095" s="6">
        <f>VLOOKUP(B1095, 'All Menu'!B:L, 9, 0)</f>
        <v>8.1605712158282326</v>
      </c>
      <c r="Q1095" s="14">
        <f>VLOOKUP(B1095, 'All Menu'!B:M, 12, 0)</f>
        <v>0.32383838497423223</v>
      </c>
      <c r="R1095" s="173">
        <f t="shared" si="67"/>
        <v>0</v>
      </c>
    </row>
    <row r="1096" spans="1:18" ht="15.5" hidden="1">
      <c r="A1096" s="78" t="s">
        <v>2646</v>
      </c>
      <c r="B1096" s="220" t="s">
        <v>913</v>
      </c>
      <c r="C1096" s="185"/>
      <c r="D1096" s="103" t="str">
        <f>VLOOKUP(B1096, 'All Menu'!B:M, 4, 0)</f>
        <v>راس عصفور كيلو</v>
      </c>
      <c r="E1096" s="30" t="str">
        <f>VLOOKUP(B1096, 'All Menu'!B:M, 2, 0)</f>
        <v>قسم الصواني</v>
      </c>
      <c r="F1096" s="103" t="str">
        <f>VLOOKUP(B1096, 'All Menu'!B:M, 3, 0)</f>
        <v>صواني وصجيات سفري</v>
      </c>
      <c r="G1096" s="90" t="s">
        <v>3058</v>
      </c>
      <c r="H1096" s="112">
        <v>5403</v>
      </c>
      <c r="I1096" s="110" t="str">
        <f>VLOOKUP(H1096, 'RM &amp; SF'!B:H, 2, 0)</f>
        <v>طاجن (من تفصيلة الخروف)</v>
      </c>
      <c r="J1096" s="184" t="str">
        <f>VLOOKUP(H1096, 'RM &amp; SF'!B:E, 4, 0)</f>
        <v>غم</v>
      </c>
      <c r="K1096" s="16">
        <v>850</v>
      </c>
      <c r="L1096" s="13">
        <f>VLOOKUP(H1096, 'RM &amp; SF'!B:H, 7, 0)</f>
        <v>9.4999999999999998E-3</v>
      </c>
      <c r="M1096" s="7">
        <f t="shared" si="66"/>
        <v>8.0749999999999993</v>
      </c>
      <c r="N1096" s="4" t="s">
        <v>825</v>
      </c>
      <c r="O1096" s="4">
        <f>VLOOKUP(B1096, 'All Menu'!B:L, 6, 0)</f>
        <v>20.387931034482758</v>
      </c>
      <c r="P1096" s="6">
        <f>VLOOKUP(B1096, 'All Menu'!B:L, 9, 0)</f>
        <v>8.9953980574712649</v>
      </c>
      <c r="Q1096" s="14">
        <f>VLOOKUP(B1096, 'All Menu'!B:M, 12, 0)</f>
        <v>0.55878808682170544</v>
      </c>
      <c r="R1096" s="173">
        <f t="shared" si="67"/>
        <v>0</v>
      </c>
    </row>
    <row r="1097" spans="1:18" ht="14" hidden="1">
      <c r="A1097" s="78" t="s">
        <v>2646</v>
      </c>
      <c r="B1097" s="220" t="s">
        <v>913</v>
      </c>
      <c r="C1097" s="185"/>
      <c r="D1097" s="103" t="str">
        <f>VLOOKUP(B1097, 'All Menu'!B:M, 4, 0)</f>
        <v>راس عصفور كيلو</v>
      </c>
      <c r="E1097" s="30" t="str">
        <f>VLOOKUP(B1097, 'All Menu'!B:M, 2, 0)</f>
        <v>قسم الصواني</v>
      </c>
      <c r="F1097" s="103" t="str">
        <f>VLOOKUP(B1097, 'All Menu'!B:M, 3, 0)</f>
        <v>صواني وصجيات سفري</v>
      </c>
      <c r="G1097" s="90" t="s">
        <v>2234</v>
      </c>
      <c r="H1097" s="188">
        <v>4503</v>
      </c>
      <c r="I1097" s="110" t="str">
        <f>VLOOKUP(H1097, 'RM &amp; SF'!B:H, 2, 0)</f>
        <v>بصل ناشف دفش*****</v>
      </c>
      <c r="J1097" s="184" t="str">
        <f>VLOOKUP(H1097, 'RM &amp; SF'!B:E, 4, 0)</f>
        <v>غم</v>
      </c>
      <c r="K1097" s="16">
        <v>300</v>
      </c>
      <c r="L1097" s="13">
        <f>VLOOKUP(H1097, 'RM &amp; SF'!B:H, 7, 0)</f>
        <v>2.5000000000000001E-4</v>
      </c>
      <c r="M1097" s="7">
        <f t="shared" si="66"/>
        <v>7.4999999999999997E-2</v>
      </c>
      <c r="N1097" s="4" t="s">
        <v>825</v>
      </c>
      <c r="O1097" s="4">
        <f>VLOOKUP(B1097, 'All Menu'!B:L, 6, 0)</f>
        <v>20.387931034482758</v>
      </c>
      <c r="P1097" s="6">
        <f>VLOOKUP(B1097, 'All Menu'!B:L, 9, 0)</f>
        <v>8.9953980574712649</v>
      </c>
      <c r="Q1097" s="14">
        <f>VLOOKUP(B1097, 'All Menu'!B:M, 12, 0)</f>
        <v>0.55878808682170544</v>
      </c>
      <c r="R1097" s="173">
        <f t="shared" si="67"/>
        <v>0</v>
      </c>
    </row>
    <row r="1098" spans="1:18" ht="15.5" hidden="1">
      <c r="A1098" s="78" t="s">
        <v>2646</v>
      </c>
      <c r="B1098" s="220" t="s">
        <v>913</v>
      </c>
      <c r="C1098" s="185"/>
      <c r="D1098" s="103" t="str">
        <f>VLOOKUP(B1098, 'All Menu'!B:M, 4, 0)</f>
        <v>راس عصفور كيلو</v>
      </c>
      <c r="E1098" s="30" t="str">
        <f>VLOOKUP(B1098, 'All Menu'!B:M, 2, 0)</f>
        <v>قسم الصواني</v>
      </c>
      <c r="F1098" s="103" t="str">
        <f>VLOOKUP(B1098, 'All Menu'!B:M, 3, 0)</f>
        <v>صواني وصجيات سفري</v>
      </c>
      <c r="G1098" s="90" t="s">
        <v>2321</v>
      </c>
      <c r="H1098" s="67">
        <v>5292</v>
      </c>
      <c r="I1098" s="110" t="str">
        <f>VLOOKUP(H1098, 'RM &amp; SF'!B:H, 2, 0)</f>
        <v>ثوم مقشر*****</v>
      </c>
      <c r="J1098" s="184" t="str">
        <f>VLOOKUP(H1098, 'RM &amp; SF'!B:E, 4, 0)</f>
        <v>غم</v>
      </c>
      <c r="K1098" s="16">
        <v>8</v>
      </c>
      <c r="L1098" s="13">
        <f>VLOOKUP(H1098, 'RM &amp; SF'!B:H, 7, 0)</f>
        <v>4.4999999999999997E-3</v>
      </c>
      <c r="M1098" s="7">
        <f t="shared" si="66"/>
        <v>3.5999999999999997E-2</v>
      </c>
      <c r="N1098" s="4" t="s">
        <v>825</v>
      </c>
      <c r="O1098" s="4">
        <f>VLOOKUP(B1098, 'All Menu'!B:L, 6, 0)</f>
        <v>20.387931034482758</v>
      </c>
      <c r="P1098" s="6">
        <f>VLOOKUP(B1098, 'All Menu'!B:L, 9, 0)</f>
        <v>8.9953980574712649</v>
      </c>
      <c r="Q1098" s="14">
        <f>VLOOKUP(B1098, 'All Menu'!B:M, 12, 0)</f>
        <v>0.55878808682170544</v>
      </c>
      <c r="R1098" s="173">
        <f t="shared" si="67"/>
        <v>0</v>
      </c>
    </row>
    <row r="1099" spans="1:18" ht="14" hidden="1">
      <c r="A1099" s="78" t="s">
        <v>2646</v>
      </c>
      <c r="B1099" s="220" t="s">
        <v>913</v>
      </c>
      <c r="C1099" s="185"/>
      <c r="D1099" s="103" t="str">
        <f>VLOOKUP(B1099, 'All Menu'!B:M, 4, 0)</f>
        <v>راس عصفور كيلو</v>
      </c>
      <c r="E1099" s="30" t="str">
        <f>VLOOKUP(B1099, 'All Menu'!B:M, 2, 0)</f>
        <v>قسم الصواني</v>
      </c>
      <c r="F1099" s="103" t="str">
        <f>VLOOKUP(B1099, 'All Menu'!B:M, 3, 0)</f>
        <v>صواني وصجيات سفري</v>
      </c>
      <c r="G1099" s="90" t="s">
        <v>2231</v>
      </c>
      <c r="H1099" s="188">
        <v>4499</v>
      </c>
      <c r="I1099" s="110" t="str">
        <f>VLOOKUP(H1099, 'RM &amp; SF'!B:H, 2, 0)</f>
        <v>فلفل حار اخضر*****</v>
      </c>
      <c r="J1099" s="184" t="str">
        <f>VLOOKUP(H1099, 'RM &amp; SF'!B:E, 4, 0)</f>
        <v>غم</v>
      </c>
      <c r="K1099" s="16">
        <v>30</v>
      </c>
      <c r="L1099" s="13">
        <f>VLOOKUP(H1099, 'RM &amp; SF'!B:H, 7, 0)</f>
        <v>5.0000000000000001E-4</v>
      </c>
      <c r="M1099" s="7">
        <f t="shared" si="66"/>
        <v>1.4999999999999999E-2</v>
      </c>
      <c r="N1099" s="4" t="s">
        <v>825</v>
      </c>
      <c r="O1099" s="4">
        <f>VLOOKUP(B1099, 'All Menu'!B:L, 6, 0)</f>
        <v>20.387931034482758</v>
      </c>
      <c r="P1099" s="6">
        <f>VLOOKUP(B1099, 'All Menu'!B:L, 9, 0)</f>
        <v>8.9953980574712649</v>
      </c>
      <c r="Q1099" s="14">
        <f>VLOOKUP(B1099, 'All Menu'!B:M, 12, 0)</f>
        <v>0.55878808682170544</v>
      </c>
      <c r="R1099" s="173">
        <f t="shared" si="67"/>
        <v>0</v>
      </c>
    </row>
    <row r="1100" spans="1:18" ht="14" hidden="1">
      <c r="A1100" s="78" t="s">
        <v>2646</v>
      </c>
      <c r="B1100" s="220" t="s">
        <v>913</v>
      </c>
      <c r="C1100" s="185"/>
      <c r="D1100" s="103" t="str">
        <f>VLOOKUP(B1100, 'All Menu'!B:M, 4, 0)</f>
        <v>راس عصفور كيلو</v>
      </c>
      <c r="E1100" s="30" t="str">
        <f>VLOOKUP(B1100, 'All Menu'!B:M, 2, 0)</f>
        <v>قسم الصواني</v>
      </c>
      <c r="F1100" s="103" t="str">
        <f>VLOOKUP(B1100, 'All Menu'!B:M, 3, 0)</f>
        <v>صواني وصجيات سفري</v>
      </c>
      <c r="G1100" s="90" t="s">
        <v>2203</v>
      </c>
      <c r="H1100" s="188">
        <v>4152</v>
      </c>
      <c r="I1100" s="110" t="str">
        <f>VLOOKUP(H1100, 'RM &amp; SF'!B:H, 2, 0)</f>
        <v>ملح طعام 750غم*****</v>
      </c>
      <c r="J1100" s="184" t="str">
        <f>VLOOKUP(H1100, 'RM &amp; SF'!B:E, 4, 0)</f>
        <v>غم</v>
      </c>
      <c r="K1100" s="12">
        <v>7</v>
      </c>
      <c r="L1100" s="13">
        <f>VLOOKUP(H1100, 'RM &amp; SF'!B:H, 7, 0)</f>
        <v>1.7066666666666665E-4</v>
      </c>
      <c r="M1100" s="7">
        <f t="shared" si="66"/>
        <v>1.1946666666666666E-3</v>
      </c>
      <c r="N1100" s="4" t="s">
        <v>825</v>
      </c>
      <c r="O1100" s="4">
        <f>VLOOKUP(B1100, 'All Menu'!B:L, 6, 0)</f>
        <v>20.387931034482758</v>
      </c>
      <c r="P1100" s="6">
        <f>VLOOKUP(B1100, 'All Menu'!B:L, 9, 0)</f>
        <v>8.9953980574712649</v>
      </c>
      <c r="Q1100" s="14">
        <f>VLOOKUP(B1100, 'All Menu'!B:M, 12, 0)</f>
        <v>0.55878808682170544</v>
      </c>
      <c r="R1100" s="173">
        <f t="shared" si="67"/>
        <v>0</v>
      </c>
    </row>
    <row r="1101" spans="1:18" ht="14" hidden="1">
      <c r="A1101" s="78" t="s">
        <v>2646</v>
      </c>
      <c r="B1101" s="220" t="s">
        <v>913</v>
      </c>
      <c r="C1101" s="185"/>
      <c r="D1101" s="103" t="str">
        <f>VLOOKUP(B1101, 'All Menu'!B:M, 4, 0)</f>
        <v>راس عصفور كيلو</v>
      </c>
      <c r="E1101" s="30" t="str">
        <f>VLOOKUP(B1101, 'All Menu'!B:M, 2, 0)</f>
        <v>قسم الصواني</v>
      </c>
      <c r="F1101" s="103" t="str">
        <f>VLOOKUP(B1101, 'All Menu'!B:M, 3, 0)</f>
        <v>صواني وصجيات سفري</v>
      </c>
      <c r="G1101" s="90" t="s">
        <v>2206</v>
      </c>
      <c r="H1101" s="188">
        <v>4204</v>
      </c>
      <c r="I1101" s="110" t="str">
        <f>VLOOKUP(H1101, 'RM &amp; SF'!B:H, 2, 0)</f>
        <v>فلفل اسود ناعم*****</v>
      </c>
      <c r="J1101" s="184" t="str">
        <f>VLOOKUP(H1101, 'RM &amp; SF'!B:E, 4, 0)</f>
        <v>غم</v>
      </c>
      <c r="K1101" s="12">
        <v>5</v>
      </c>
      <c r="L1101" s="13">
        <f>VLOOKUP(H1101, 'RM &amp; SF'!B:H, 7, 0)</f>
        <v>6.8970000000000004E-3</v>
      </c>
      <c r="M1101" s="7">
        <f t="shared" si="66"/>
        <v>3.4485000000000002E-2</v>
      </c>
      <c r="N1101" s="4" t="s">
        <v>825</v>
      </c>
      <c r="O1101" s="4">
        <f>VLOOKUP(B1101, 'All Menu'!B:L, 6, 0)</f>
        <v>20.387931034482758</v>
      </c>
      <c r="P1101" s="6">
        <f>VLOOKUP(B1101, 'All Menu'!B:L, 9, 0)</f>
        <v>8.9953980574712649</v>
      </c>
      <c r="Q1101" s="14">
        <f>VLOOKUP(B1101, 'All Menu'!B:M, 12, 0)</f>
        <v>0.55878808682170544</v>
      </c>
      <c r="R1101" s="173">
        <f t="shared" si="67"/>
        <v>0</v>
      </c>
    </row>
    <row r="1102" spans="1:18" ht="14" hidden="1">
      <c r="A1102" s="78" t="s">
        <v>2646</v>
      </c>
      <c r="B1102" s="220" t="s">
        <v>913</v>
      </c>
      <c r="C1102" s="185"/>
      <c r="D1102" s="103" t="str">
        <f>VLOOKUP(B1102, 'All Menu'!B:M, 4, 0)</f>
        <v>راس عصفور كيلو</v>
      </c>
      <c r="E1102" s="30" t="str">
        <f>VLOOKUP(B1102, 'All Menu'!B:M, 2, 0)</f>
        <v>قسم الصواني</v>
      </c>
      <c r="F1102" s="103" t="str">
        <f>VLOOKUP(B1102, 'All Menu'!B:M, 3, 0)</f>
        <v>صواني وصجيات سفري</v>
      </c>
      <c r="G1102" s="90" t="s">
        <v>2357</v>
      </c>
      <c r="H1102" s="219" t="s">
        <v>744</v>
      </c>
      <c r="I1102" s="110" t="str">
        <f>VLOOKUP(H1102, 'RM &amp; SF'!B:H, 2, 0)</f>
        <v>زيت زيتون مكسور</v>
      </c>
      <c r="J1102" s="184" t="str">
        <f>VLOOKUP(H1102, 'RM &amp; SF'!B:E, 4, 0)</f>
        <v>غم</v>
      </c>
      <c r="K1102" s="12">
        <v>60</v>
      </c>
      <c r="L1102" s="13">
        <f>VLOOKUP(H1102, 'RM &amp; SF'!B:H, 7, 0)</f>
        <v>3.3899999999999998E-3</v>
      </c>
      <c r="M1102" s="7">
        <f t="shared" si="66"/>
        <v>0.2034</v>
      </c>
      <c r="N1102" s="4" t="s">
        <v>825</v>
      </c>
      <c r="O1102" s="4">
        <f>VLOOKUP(B1102, 'All Menu'!B:L, 6, 0)</f>
        <v>20.387931034482758</v>
      </c>
      <c r="P1102" s="6">
        <f>VLOOKUP(B1102, 'All Menu'!B:L, 9, 0)</f>
        <v>8.9953980574712649</v>
      </c>
      <c r="Q1102" s="14">
        <f>VLOOKUP(B1102, 'All Menu'!B:M, 12, 0)</f>
        <v>0.55878808682170544</v>
      </c>
      <c r="R1102" s="173">
        <f t="shared" si="67"/>
        <v>0</v>
      </c>
    </row>
    <row r="1103" spans="1:18" ht="14" hidden="1">
      <c r="A1103" s="78" t="s">
        <v>2646</v>
      </c>
      <c r="B1103" s="220" t="s">
        <v>913</v>
      </c>
      <c r="C1103" s="185"/>
      <c r="D1103" s="103" t="str">
        <f>VLOOKUP(B1103, 'All Menu'!B:M, 4, 0)</f>
        <v>راس عصفور كيلو</v>
      </c>
      <c r="E1103" s="30" t="str">
        <f>VLOOKUP(B1103, 'All Menu'!B:M, 2, 0)</f>
        <v>قسم الصواني</v>
      </c>
      <c r="F1103" s="103" t="str">
        <f>VLOOKUP(B1103, 'All Menu'!B:M, 3, 0)</f>
        <v>صواني وصجيات سفري</v>
      </c>
      <c r="G1103" s="90" t="s">
        <v>2266</v>
      </c>
      <c r="H1103" s="188">
        <v>4008</v>
      </c>
      <c r="I1103" s="110" t="str">
        <f>VLOOKUP(H1103, 'RM &amp; SF'!B:H, 2, 0)</f>
        <v>صويا صوص 3.79 لتر*****</v>
      </c>
      <c r="J1103" s="184" t="str">
        <f>VLOOKUP(H1103, 'RM &amp; SF'!B:E, 4, 0)</f>
        <v>مل</v>
      </c>
      <c r="K1103" s="12">
        <v>30</v>
      </c>
      <c r="L1103" s="13">
        <f>VLOOKUP(H1103, 'RM &amp; SF'!B:H, 7, 0)</f>
        <v>3.0699999999999998E-3</v>
      </c>
      <c r="M1103" s="7">
        <f t="shared" si="66"/>
        <v>9.2099999999999987E-2</v>
      </c>
      <c r="N1103" s="4" t="s">
        <v>825</v>
      </c>
      <c r="O1103" s="4">
        <f>VLOOKUP(B1103, 'All Menu'!B:L, 6, 0)</f>
        <v>20.387931034482758</v>
      </c>
      <c r="P1103" s="6">
        <f>VLOOKUP(B1103, 'All Menu'!B:L, 9, 0)</f>
        <v>8.9953980574712649</v>
      </c>
      <c r="Q1103" s="14">
        <f>VLOOKUP(B1103, 'All Menu'!B:M, 12, 0)</f>
        <v>0.55878808682170544</v>
      </c>
      <c r="R1103" s="173">
        <f t="shared" si="67"/>
        <v>0</v>
      </c>
    </row>
    <row r="1104" spans="1:18" ht="14" hidden="1">
      <c r="A1104" s="78" t="s">
        <v>2646</v>
      </c>
      <c r="B1104" s="220" t="s">
        <v>913</v>
      </c>
      <c r="C1104" s="185"/>
      <c r="D1104" s="103" t="str">
        <f>VLOOKUP(B1104, 'All Menu'!B:M, 4, 0)</f>
        <v>راس عصفور كيلو</v>
      </c>
      <c r="E1104" s="30" t="str">
        <f>VLOOKUP(B1104, 'All Menu'!B:M, 2, 0)</f>
        <v>قسم الصواني</v>
      </c>
      <c r="F1104" s="103" t="str">
        <f>VLOOKUP(B1104, 'All Menu'!B:M, 3, 0)</f>
        <v>صواني وصجيات سفري</v>
      </c>
      <c r="G1104" s="90" t="s">
        <v>3058</v>
      </c>
      <c r="H1104" s="188">
        <v>5424</v>
      </c>
      <c r="I1104" s="110" t="str">
        <f>VLOOKUP(H1104, 'RM &amp; SF'!B:H, 2, 0)</f>
        <v>علب قصدير مدور 1/2 كغ RZ 25*****</v>
      </c>
      <c r="J1104" s="184" t="str">
        <f>VLOOKUP(H1104, 'RM &amp; SF'!B:E, 4, 0)</f>
        <v>قطعة</v>
      </c>
      <c r="K1104" s="12">
        <v>1</v>
      </c>
      <c r="L1104" s="13">
        <f>VLOOKUP(H1104, 'RM &amp; SF'!B:H, 7, 0)</f>
        <v>0.1149425287356322</v>
      </c>
      <c r="M1104" s="7">
        <f t="shared" si="66"/>
        <v>0.1149425287356322</v>
      </c>
      <c r="N1104" s="4" t="s">
        <v>825</v>
      </c>
      <c r="O1104" s="4">
        <f>VLOOKUP(B1104, 'All Menu'!B:L, 6, 0)</f>
        <v>20.387931034482758</v>
      </c>
      <c r="P1104" s="6">
        <f>VLOOKUP(B1104, 'All Menu'!B:L, 9, 0)</f>
        <v>8.9953980574712649</v>
      </c>
      <c r="Q1104" s="14">
        <f>VLOOKUP(B1104, 'All Menu'!B:M, 12, 0)</f>
        <v>0.55878808682170544</v>
      </c>
      <c r="R1104" s="173">
        <f t="shared" si="67"/>
        <v>0</v>
      </c>
    </row>
    <row r="1105" spans="1:18" ht="14" hidden="1">
      <c r="A1105" s="78" t="s">
        <v>2646</v>
      </c>
      <c r="B1105" s="220" t="s">
        <v>913</v>
      </c>
      <c r="C1105" s="185"/>
      <c r="D1105" s="103" t="str">
        <f>VLOOKUP(B1105, 'All Menu'!B:M, 4, 0)</f>
        <v>راس عصفور كيلو</v>
      </c>
      <c r="E1105" s="30" t="str">
        <f>VLOOKUP(B1105, 'All Menu'!B:M, 2, 0)</f>
        <v>قسم الصواني</v>
      </c>
      <c r="F1105" s="103" t="str">
        <f>VLOOKUP(B1105, 'All Menu'!B:M, 3, 0)</f>
        <v>صواني وصجيات سفري</v>
      </c>
      <c r="G1105" s="90" t="s">
        <v>3058</v>
      </c>
      <c r="H1105" s="188">
        <v>4275</v>
      </c>
      <c r="I1105" s="110" t="str">
        <f>VLOOKUP(H1105, 'RM &amp; SF'!B:H, 2, 0)</f>
        <v>علب المركزية مطبوع + قاطع رقم 2 1*100 حبة*****</v>
      </c>
      <c r="J1105" s="184" t="str">
        <f>VLOOKUP(H1105, 'RM &amp; SF'!B:E, 4, 0)</f>
        <v>قطعة</v>
      </c>
      <c r="K1105" s="12">
        <v>1</v>
      </c>
      <c r="L1105" s="13">
        <f>VLOOKUP(H1105, 'RM &amp; SF'!B:H, 7, 0)</f>
        <v>0.2931034482758621</v>
      </c>
      <c r="M1105" s="7">
        <f t="shared" si="66"/>
        <v>0.2931034482758621</v>
      </c>
      <c r="N1105" s="4" t="s">
        <v>825</v>
      </c>
      <c r="O1105" s="4">
        <f>VLOOKUP(B1105, 'All Menu'!B:L, 6, 0)</f>
        <v>20.387931034482758</v>
      </c>
      <c r="P1105" s="6">
        <f>VLOOKUP(B1105, 'All Menu'!B:L, 9, 0)</f>
        <v>8.9953980574712649</v>
      </c>
      <c r="Q1105" s="14">
        <f>VLOOKUP(B1105, 'All Menu'!B:M, 12, 0)</f>
        <v>0.55878808682170544</v>
      </c>
      <c r="R1105" s="173">
        <f t="shared" si="67"/>
        <v>0</v>
      </c>
    </row>
    <row r="1106" spans="1:18" ht="14" hidden="1">
      <c r="A1106" s="78" t="s">
        <v>2646</v>
      </c>
      <c r="B1106" s="220" t="s">
        <v>913</v>
      </c>
      <c r="C1106" s="185"/>
      <c r="D1106" s="103" t="str">
        <f>VLOOKUP(B1106, 'All Menu'!B:M, 4, 0)</f>
        <v>راس عصفور كيلو</v>
      </c>
      <c r="E1106" s="30" t="str">
        <f>VLOOKUP(B1106, 'All Menu'!B:M, 2, 0)</f>
        <v>قسم الصواني</v>
      </c>
      <c r="F1106" s="103" t="str">
        <f>VLOOKUP(B1106, 'All Menu'!B:M, 3, 0)</f>
        <v>صواني وصجيات سفري</v>
      </c>
      <c r="G1106" s="90" t="s">
        <v>2193</v>
      </c>
      <c r="H1106" s="188">
        <v>4309</v>
      </c>
      <c r="I1106" s="110" t="str">
        <f>VLOOKUP(H1106, 'RM &amp; SF'!B:H, 2, 0)</f>
        <v>اكياس بلاستيك مطبوع 55 سم*****</v>
      </c>
      <c r="J1106" s="184" t="str">
        <f>VLOOKUP(H1106, 'RM &amp; SF'!B:E, 4, 0)</f>
        <v>قطعة</v>
      </c>
      <c r="K1106" s="12">
        <v>1</v>
      </c>
      <c r="L1106" s="13">
        <f>VLOOKUP(H1106, 'RM &amp; SF'!B:H, 7, 0)</f>
        <v>5.5172413793103454E-2</v>
      </c>
      <c r="M1106" s="7">
        <f t="shared" si="66"/>
        <v>5.5172413793103454E-2</v>
      </c>
      <c r="N1106" s="4" t="s">
        <v>825</v>
      </c>
      <c r="O1106" s="4">
        <f>VLOOKUP(B1106, 'All Menu'!B:L, 6, 0)</f>
        <v>20.387931034482758</v>
      </c>
      <c r="P1106" s="6">
        <f>VLOOKUP(B1106, 'All Menu'!B:L, 9, 0)</f>
        <v>8.9953980574712649</v>
      </c>
      <c r="Q1106" s="14">
        <f>VLOOKUP(B1106, 'All Menu'!B:M, 12, 0)</f>
        <v>0.55878808682170544</v>
      </c>
      <c r="R1106" s="173">
        <f t="shared" si="67"/>
        <v>0</v>
      </c>
    </row>
    <row r="1107" spans="1:18" ht="14" hidden="1">
      <c r="A1107" s="78" t="s">
        <v>2650</v>
      </c>
      <c r="B1107" s="220" t="s">
        <v>914</v>
      </c>
      <c r="C1107" s="185"/>
      <c r="D1107" s="103" t="str">
        <f>VLOOKUP(B1107, 'All Menu'!B:M, 4, 0)</f>
        <v>صاجية كبدة غنم كيلو</v>
      </c>
      <c r="E1107" s="30" t="str">
        <f>VLOOKUP(B1107, 'All Menu'!B:M, 2, 0)</f>
        <v>قسم الصواني</v>
      </c>
      <c r="F1107" s="103" t="str">
        <f>VLOOKUP(B1107, 'All Menu'!B:M, 3, 0)</f>
        <v>صواني وصجيات سفري</v>
      </c>
      <c r="G1107" s="90" t="s">
        <v>3058</v>
      </c>
      <c r="H1107" s="188">
        <v>1082</v>
      </c>
      <c r="I1107" s="110" t="str">
        <f>VLOOKUP(H1107, 'RM &amp; SF'!B:H, 2, 0)</f>
        <v>كبدة غنم</v>
      </c>
      <c r="J1107" s="184" t="str">
        <f>VLOOKUP(H1107, 'RM &amp; SF'!B:E, 4, 0)</f>
        <v>غم</v>
      </c>
      <c r="K1107" s="12">
        <v>1000</v>
      </c>
      <c r="L1107" s="13">
        <f>VLOOKUP(H1107, 'RM &amp; SF'!B:H, 7, 0)</f>
        <v>7.0000000000000001E-3</v>
      </c>
      <c r="M1107" s="7">
        <f t="shared" si="66"/>
        <v>7</v>
      </c>
      <c r="N1107" s="4" t="s">
        <v>825</v>
      </c>
      <c r="O1107" s="4">
        <f>VLOOKUP(B1107, 'All Menu'!B:L, 6, 0)</f>
        <v>12.068965517241381</v>
      </c>
      <c r="P1107" s="6">
        <f>VLOOKUP(B1107, 'All Menu'!B:L, 9, 0)</f>
        <v>7.7437493103448274</v>
      </c>
      <c r="Q1107" s="14">
        <f>VLOOKUP(B1107, 'All Menu'!B:M, 12, 0)</f>
        <v>0.35837505714285722</v>
      </c>
      <c r="R1107" s="173">
        <f t="shared" si="67"/>
        <v>0</v>
      </c>
    </row>
    <row r="1108" spans="1:18" ht="14" hidden="1">
      <c r="A1108" s="78" t="s">
        <v>2650</v>
      </c>
      <c r="B1108" s="220" t="s">
        <v>914</v>
      </c>
      <c r="C1108" s="185"/>
      <c r="D1108" s="103" t="str">
        <f>VLOOKUP(B1108, 'All Menu'!B:M, 4, 0)</f>
        <v>صاجية كبدة غنم كيلو</v>
      </c>
      <c r="E1108" s="30" t="str">
        <f>VLOOKUP(B1108, 'All Menu'!B:M, 2, 0)</f>
        <v>قسم الصواني</v>
      </c>
      <c r="F1108" s="103" t="str">
        <f>VLOOKUP(B1108, 'All Menu'!B:M, 3, 0)</f>
        <v>صواني وصجيات سفري</v>
      </c>
      <c r="G1108" s="90" t="s">
        <v>2234</v>
      </c>
      <c r="H1108" s="188">
        <v>4503</v>
      </c>
      <c r="I1108" s="110" t="str">
        <f>VLOOKUP(H1108, 'RM &amp; SF'!B:H, 2, 0)</f>
        <v>بصل ناشف دفش*****</v>
      </c>
      <c r="J1108" s="184" t="str">
        <f>VLOOKUP(H1108, 'RM &amp; SF'!B:E, 4, 0)</f>
        <v>غم</v>
      </c>
      <c r="K1108" s="12">
        <v>400</v>
      </c>
      <c r="L1108" s="13">
        <f>VLOOKUP(H1108, 'RM &amp; SF'!B:H, 7, 0)</f>
        <v>2.5000000000000001E-4</v>
      </c>
      <c r="M1108" s="7">
        <f t="shared" si="66"/>
        <v>0.1</v>
      </c>
      <c r="N1108" s="4" t="s">
        <v>825</v>
      </c>
      <c r="O1108" s="4">
        <f>VLOOKUP(B1108, 'All Menu'!B:L, 6, 0)</f>
        <v>12.068965517241381</v>
      </c>
      <c r="P1108" s="6">
        <f>VLOOKUP(B1108, 'All Menu'!B:L, 9, 0)</f>
        <v>7.7437493103448274</v>
      </c>
      <c r="Q1108" s="14">
        <f>VLOOKUP(B1108, 'All Menu'!B:M, 12, 0)</f>
        <v>0.35837505714285722</v>
      </c>
      <c r="R1108" s="173">
        <f t="shared" si="67"/>
        <v>0</v>
      </c>
    </row>
    <row r="1109" spans="1:18" ht="14" hidden="1">
      <c r="A1109" s="78" t="s">
        <v>2650</v>
      </c>
      <c r="B1109" s="220" t="s">
        <v>914</v>
      </c>
      <c r="C1109" s="185"/>
      <c r="D1109" s="103" t="str">
        <f>VLOOKUP(B1109, 'All Menu'!B:M, 4, 0)</f>
        <v>صاجية كبدة غنم كيلو</v>
      </c>
      <c r="E1109" s="30" t="str">
        <f>VLOOKUP(B1109, 'All Menu'!B:M, 2, 0)</f>
        <v>قسم الصواني</v>
      </c>
      <c r="F1109" s="103" t="str">
        <f>VLOOKUP(B1109, 'All Menu'!B:M, 3, 0)</f>
        <v>صواني وصجيات سفري</v>
      </c>
      <c r="G1109" s="90" t="s">
        <v>2231</v>
      </c>
      <c r="H1109" s="188">
        <v>4499</v>
      </c>
      <c r="I1109" s="110" t="str">
        <f>VLOOKUP(H1109, 'RM &amp; SF'!B:H, 2, 0)</f>
        <v>فلفل حار اخضر*****</v>
      </c>
      <c r="J1109" s="184" t="str">
        <f>VLOOKUP(H1109, 'RM &amp; SF'!B:E, 4, 0)</f>
        <v>غم</v>
      </c>
      <c r="K1109" s="12">
        <v>60</v>
      </c>
      <c r="L1109" s="13">
        <f>VLOOKUP(H1109, 'RM &amp; SF'!B:H, 7, 0)</f>
        <v>5.0000000000000001E-4</v>
      </c>
      <c r="M1109" s="7">
        <f t="shared" si="66"/>
        <v>0.03</v>
      </c>
      <c r="N1109" s="4" t="s">
        <v>825</v>
      </c>
      <c r="O1109" s="4">
        <f>VLOOKUP(B1109, 'All Menu'!B:L, 6, 0)</f>
        <v>12.068965517241381</v>
      </c>
      <c r="P1109" s="6">
        <f>VLOOKUP(B1109, 'All Menu'!B:L, 9, 0)</f>
        <v>7.7437493103448274</v>
      </c>
      <c r="Q1109" s="14">
        <f>VLOOKUP(B1109, 'All Menu'!B:M, 12, 0)</f>
        <v>0.35837505714285722</v>
      </c>
      <c r="R1109" s="173">
        <f t="shared" si="67"/>
        <v>0</v>
      </c>
    </row>
    <row r="1110" spans="1:18" ht="14" hidden="1">
      <c r="A1110" s="78" t="s">
        <v>2650</v>
      </c>
      <c r="B1110" s="220" t="s">
        <v>914</v>
      </c>
      <c r="C1110" s="185"/>
      <c r="D1110" s="103" t="str">
        <f>VLOOKUP(B1110, 'All Menu'!B:M, 4, 0)</f>
        <v>صاجية كبدة غنم كيلو</v>
      </c>
      <c r="E1110" s="30" t="str">
        <f>VLOOKUP(B1110, 'All Menu'!B:M, 2, 0)</f>
        <v>قسم الصواني</v>
      </c>
      <c r="F1110" s="103" t="str">
        <f>VLOOKUP(B1110, 'All Menu'!B:M, 3, 0)</f>
        <v>صواني وصجيات سفري</v>
      </c>
      <c r="G1110" s="90" t="s">
        <v>2260</v>
      </c>
      <c r="H1110" s="188">
        <v>4160</v>
      </c>
      <c r="I1110" s="110" t="str">
        <f>VLOOKUP(H1110, 'RM &amp; SF'!B:H, 2, 0)</f>
        <v>زيت صويا 18 لتر*****</v>
      </c>
      <c r="J1110" s="184" t="str">
        <f>VLOOKUP(H1110, 'RM &amp; SF'!B:E, 4, 0)</f>
        <v>مل</v>
      </c>
      <c r="K1110" s="12">
        <v>30</v>
      </c>
      <c r="L1110" s="13">
        <f>VLOOKUP(H1110, 'RM &amp; SF'!B:H, 7, 0)</f>
        <v>1.335E-3</v>
      </c>
      <c r="M1110" s="7">
        <f t="shared" si="66"/>
        <v>4.0050000000000002E-2</v>
      </c>
      <c r="N1110" s="4" t="s">
        <v>825</v>
      </c>
      <c r="O1110" s="4">
        <f>VLOOKUP(B1110, 'All Menu'!B:L, 6, 0)</f>
        <v>12.068965517241381</v>
      </c>
      <c r="P1110" s="6">
        <f>VLOOKUP(B1110, 'All Menu'!B:L, 9, 0)</f>
        <v>7.7437493103448274</v>
      </c>
      <c r="Q1110" s="14">
        <f>VLOOKUP(B1110, 'All Menu'!B:M, 12, 0)</f>
        <v>0.35837505714285722</v>
      </c>
      <c r="R1110" s="173">
        <f t="shared" si="67"/>
        <v>0</v>
      </c>
    </row>
    <row r="1111" spans="1:18" ht="14" hidden="1">
      <c r="A1111" s="78" t="s">
        <v>2650</v>
      </c>
      <c r="B1111" s="220" t="s">
        <v>914</v>
      </c>
      <c r="C1111" s="185"/>
      <c r="D1111" s="103" t="str">
        <f>VLOOKUP(B1111, 'All Menu'!B:M, 4, 0)</f>
        <v>صاجية كبدة غنم كيلو</v>
      </c>
      <c r="E1111" s="30" t="str">
        <f>VLOOKUP(B1111, 'All Menu'!B:M, 2, 0)</f>
        <v>قسم الصواني</v>
      </c>
      <c r="F1111" s="103" t="str">
        <f>VLOOKUP(B1111, 'All Menu'!B:M, 3, 0)</f>
        <v>صواني وصجيات سفري</v>
      </c>
      <c r="G1111" s="90" t="s">
        <v>2203</v>
      </c>
      <c r="H1111" s="188">
        <v>4152</v>
      </c>
      <c r="I1111" s="110" t="str">
        <f>VLOOKUP(H1111, 'RM &amp; SF'!B:H, 2, 0)</f>
        <v>ملح طعام 750غم*****</v>
      </c>
      <c r="J1111" s="184" t="str">
        <f>VLOOKUP(H1111, 'RM &amp; SF'!B:E, 4, 0)</f>
        <v>غم</v>
      </c>
      <c r="K1111" s="12">
        <v>8</v>
      </c>
      <c r="L1111" s="13">
        <f>VLOOKUP(H1111, 'RM &amp; SF'!B:H, 7, 0)</f>
        <v>1.7066666666666665E-4</v>
      </c>
      <c r="M1111" s="7">
        <f t="shared" si="66"/>
        <v>1.3653333333333332E-3</v>
      </c>
      <c r="N1111" s="4" t="s">
        <v>825</v>
      </c>
      <c r="O1111" s="4">
        <f>VLOOKUP(B1111, 'All Menu'!B:L, 6, 0)</f>
        <v>12.068965517241381</v>
      </c>
      <c r="P1111" s="6">
        <f>VLOOKUP(B1111, 'All Menu'!B:L, 9, 0)</f>
        <v>7.7437493103448274</v>
      </c>
      <c r="Q1111" s="14">
        <f>VLOOKUP(B1111, 'All Menu'!B:M, 12, 0)</f>
        <v>0.35837505714285722</v>
      </c>
      <c r="R1111" s="173">
        <f t="shared" si="67"/>
        <v>0</v>
      </c>
    </row>
    <row r="1112" spans="1:18" ht="14" hidden="1">
      <c r="A1112" s="78" t="s">
        <v>2650</v>
      </c>
      <c r="B1112" s="220" t="s">
        <v>914</v>
      </c>
      <c r="C1112" s="185"/>
      <c r="D1112" s="103" t="str">
        <f>VLOOKUP(B1112, 'All Menu'!B:M, 4, 0)</f>
        <v>صاجية كبدة غنم كيلو</v>
      </c>
      <c r="E1112" s="30" t="str">
        <f>VLOOKUP(B1112, 'All Menu'!B:M, 2, 0)</f>
        <v>قسم الصواني</v>
      </c>
      <c r="F1112" s="103" t="str">
        <f>VLOOKUP(B1112, 'All Menu'!B:M, 3, 0)</f>
        <v>صواني وصجيات سفري</v>
      </c>
      <c r="G1112" s="90" t="s">
        <v>2206</v>
      </c>
      <c r="H1112" s="188">
        <v>4204</v>
      </c>
      <c r="I1112" s="110" t="str">
        <f>VLOOKUP(H1112, 'RM &amp; SF'!B:H, 2, 0)</f>
        <v>فلفل اسود ناعم*****</v>
      </c>
      <c r="J1112" s="184" t="str">
        <f>VLOOKUP(H1112, 'RM &amp; SF'!B:E, 4, 0)</f>
        <v>غم</v>
      </c>
      <c r="K1112" s="12">
        <v>4</v>
      </c>
      <c r="L1112" s="13">
        <f>VLOOKUP(H1112, 'RM &amp; SF'!B:H, 7, 0)</f>
        <v>6.8970000000000004E-3</v>
      </c>
      <c r="M1112" s="7">
        <f t="shared" si="66"/>
        <v>2.7588000000000001E-2</v>
      </c>
      <c r="N1112" s="4" t="s">
        <v>825</v>
      </c>
      <c r="O1112" s="4">
        <f>VLOOKUP(B1112, 'All Menu'!B:L, 6, 0)</f>
        <v>12.068965517241381</v>
      </c>
      <c r="P1112" s="6">
        <f>VLOOKUP(B1112, 'All Menu'!B:L, 9, 0)</f>
        <v>7.7437493103448274</v>
      </c>
      <c r="Q1112" s="14">
        <f>VLOOKUP(B1112, 'All Menu'!B:M, 12, 0)</f>
        <v>0.35837505714285722</v>
      </c>
      <c r="R1112" s="173">
        <f t="shared" si="67"/>
        <v>0</v>
      </c>
    </row>
    <row r="1113" spans="1:18" ht="14" hidden="1">
      <c r="A1113" s="78" t="s">
        <v>2650</v>
      </c>
      <c r="B1113" s="220" t="s">
        <v>914</v>
      </c>
      <c r="C1113" s="185"/>
      <c r="D1113" s="103" t="str">
        <f>VLOOKUP(B1113, 'All Menu'!B:M, 4, 0)</f>
        <v>صاجية كبدة غنم كيلو</v>
      </c>
      <c r="E1113" s="30" t="str">
        <f>VLOOKUP(B1113, 'All Menu'!B:M, 2, 0)</f>
        <v>قسم الصواني</v>
      </c>
      <c r="F1113" s="103" t="str">
        <f>VLOOKUP(B1113, 'All Menu'!B:M, 3, 0)</f>
        <v>صواني وصجيات سفري</v>
      </c>
      <c r="G1113" s="90" t="s">
        <v>2357</v>
      </c>
      <c r="H1113" s="219" t="s">
        <v>744</v>
      </c>
      <c r="I1113" s="110" t="str">
        <f>VLOOKUP(H1113, 'RM &amp; SF'!B:H, 2, 0)</f>
        <v>زيت زيتون مكسور</v>
      </c>
      <c r="J1113" s="184" t="str">
        <f>VLOOKUP(H1113, 'RM &amp; SF'!B:E, 4, 0)</f>
        <v>غم</v>
      </c>
      <c r="K1113" s="12">
        <v>30</v>
      </c>
      <c r="L1113" s="13">
        <f>VLOOKUP(H1113, 'RM &amp; SF'!B:H, 7, 0)</f>
        <v>3.3899999999999998E-3</v>
      </c>
      <c r="M1113" s="7">
        <f t="shared" si="66"/>
        <v>0.1017</v>
      </c>
      <c r="N1113" s="4" t="s">
        <v>825</v>
      </c>
      <c r="O1113" s="4">
        <f>VLOOKUP(B1113, 'All Menu'!B:L, 6, 0)</f>
        <v>12.068965517241381</v>
      </c>
      <c r="P1113" s="6">
        <f>VLOOKUP(B1113, 'All Menu'!B:L, 9, 0)</f>
        <v>7.7437493103448274</v>
      </c>
      <c r="Q1113" s="14">
        <f>VLOOKUP(B1113, 'All Menu'!B:M, 12, 0)</f>
        <v>0.35837505714285722</v>
      </c>
      <c r="R1113" s="173">
        <f t="shared" si="67"/>
        <v>0</v>
      </c>
    </row>
    <row r="1114" spans="1:18" ht="14" hidden="1">
      <c r="A1114" s="78" t="s">
        <v>2650</v>
      </c>
      <c r="B1114" s="220" t="s">
        <v>914</v>
      </c>
      <c r="C1114" s="185"/>
      <c r="D1114" s="103" t="str">
        <f>VLOOKUP(B1114, 'All Menu'!B:M, 4, 0)</f>
        <v>صاجية كبدة غنم كيلو</v>
      </c>
      <c r="E1114" s="30" t="str">
        <f>VLOOKUP(B1114, 'All Menu'!B:M, 2, 0)</f>
        <v>قسم الصواني</v>
      </c>
      <c r="F1114" s="103" t="str">
        <f>VLOOKUP(B1114, 'All Menu'!B:M, 3, 0)</f>
        <v>صواني وصجيات سفري</v>
      </c>
      <c r="G1114" s="90" t="s">
        <v>3058</v>
      </c>
      <c r="H1114" s="188">
        <v>5424</v>
      </c>
      <c r="I1114" s="110" t="str">
        <f>VLOOKUP(H1114, 'RM &amp; SF'!B:H, 2, 0)</f>
        <v>علب قصدير مدور 1/2 كغ RZ 25*****</v>
      </c>
      <c r="J1114" s="184" t="str">
        <f>VLOOKUP(H1114, 'RM &amp; SF'!B:E, 4, 0)</f>
        <v>قطعة</v>
      </c>
      <c r="K1114" s="12">
        <v>1</v>
      </c>
      <c r="L1114" s="13">
        <f>VLOOKUP(H1114, 'RM &amp; SF'!B:H, 7, 0)</f>
        <v>0.1149425287356322</v>
      </c>
      <c r="M1114" s="7">
        <f t="shared" si="66"/>
        <v>0.1149425287356322</v>
      </c>
      <c r="N1114" s="4" t="s">
        <v>825</v>
      </c>
      <c r="O1114" s="4">
        <f>VLOOKUP(B1114, 'All Menu'!B:L, 6, 0)</f>
        <v>12.068965517241381</v>
      </c>
      <c r="P1114" s="6">
        <f>VLOOKUP(B1114, 'All Menu'!B:L, 9, 0)</f>
        <v>7.7437493103448274</v>
      </c>
      <c r="Q1114" s="14">
        <f>VLOOKUP(B1114, 'All Menu'!B:M, 12, 0)</f>
        <v>0.35837505714285722</v>
      </c>
      <c r="R1114" s="173">
        <f t="shared" si="67"/>
        <v>0</v>
      </c>
    </row>
    <row r="1115" spans="1:18" ht="14" hidden="1">
      <c r="A1115" s="78" t="s">
        <v>2650</v>
      </c>
      <c r="B1115" s="220" t="s">
        <v>914</v>
      </c>
      <c r="C1115" s="185"/>
      <c r="D1115" s="103" t="str">
        <f>VLOOKUP(B1115, 'All Menu'!B:M, 4, 0)</f>
        <v>صاجية كبدة غنم كيلو</v>
      </c>
      <c r="E1115" s="30" t="str">
        <f>VLOOKUP(B1115, 'All Menu'!B:M, 2, 0)</f>
        <v>قسم الصواني</v>
      </c>
      <c r="F1115" s="103" t="str">
        <f>VLOOKUP(B1115, 'All Menu'!B:M, 3, 0)</f>
        <v>صواني وصجيات سفري</v>
      </c>
      <c r="G1115" s="90" t="s">
        <v>3058</v>
      </c>
      <c r="H1115" s="188">
        <v>4275</v>
      </c>
      <c r="I1115" s="110" t="str">
        <f>VLOOKUP(H1115, 'RM &amp; SF'!B:H, 2, 0)</f>
        <v>علب المركزية مطبوع + قاطع رقم 2 1*100 حبة*****</v>
      </c>
      <c r="J1115" s="184" t="str">
        <f>VLOOKUP(H1115, 'RM &amp; SF'!B:E, 4, 0)</f>
        <v>قطعة</v>
      </c>
      <c r="K1115" s="12">
        <v>1</v>
      </c>
      <c r="L1115" s="13">
        <f>VLOOKUP(H1115, 'RM &amp; SF'!B:H, 7, 0)</f>
        <v>0.2931034482758621</v>
      </c>
      <c r="M1115" s="7">
        <f t="shared" si="66"/>
        <v>0.2931034482758621</v>
      </c>
      <c r="N1115" s="4" t="s">
        <v>825</v>
      </c>
      <c r="O1115" s="4">
        <f>VLOOKUP(B1115, 'All Menu'!B:L, 6, 0)</f>
        <v>12.068965517241381</v>
      </c>
      <c r="P1115" s="6">
        <f>VLOOKUP(B1115, 'All Menu'!B:L, 9, 0)</f>
        <v>7.7437493103448274</v>
      </c>
      <c r="Q1115" s="14">
        <f>VLOOKUP(B1115, 'All Menu'!B:M, 12, 0)</f>
        <v>0.35837505714285722</v>
      </c>
      <c r="R1115" s="173">
        <f t="shared" si="67"/>
        <v>0</v>
      </c>
    </row>
    <row r="1116" spans="1:18" ht="14" hidden="1">
      <c r="A1116" s="78" t="s">
        <v>2650</v>
      </c>
      <c r="B1116" s="220" t="s">
        <v>914</v>
      </c>
      <c r="C1116" s="185"/>
      <c r="D1116" s="103" t="str">
        <f>VLOOKUP(B1116, 'All Menu'!B:M, 4, 0)</f>
        <v>صاجية كبدة غنم كيلو</v>
      </c>
      <c r="E1116" s="30" t="str">
        <f>VLOOKUP(B1116, 'All Menu'!B:M, 2, 0)</f>
        <v>قسم الصواني</v>
      </c>
      <c r="F1116" s="103" t="str">
        <f>VLOOKUP(B1116, 'All Menu'!B:M, 3, 0)</f>
        <v>صواني وصجيات سفري</v>
      </c>
      <c r="G1116" s="90" t="s">
        <v>2239</v>
      </c>
      <c r="H1116" s="188">
        <v>4513</v>
      </c>
      <c r="I1116" s="110" t="str">
        <f>VLOOKUP(H1116, 'RM &amp; SF'!B:H, 2, 0)</f>
        <v>ليمون اصفر*****</v>
      </c>
      <c r="J1116" s="184" t="str">
        <f>VLOOKUP(H1116, 'RM &amp; SF'!B:E, 4, 0)</f>
        <v>غم</v>
      </c>
      <c r="K1116" s="12">
        <v>20</v>
      </c>
      <c r="L1116" s="13">
        <f>VLOOKUP(H1116, 'RM &amp; SF'!B:H, 7, 0)</f>
        <v>1.75E-3</v>
      </c>
      <c r="M1116" s="7">
        <f t="shared" si="66"/>
        <v>3.5000000000000003E-2</v>
      </c>
      <c r="N1116" s="4" t="s">
        <v>825</v>
      </c>
      <c r="O1116" s="4">
        <f>VLOOKUP(B1116, 'All Menu'!B:L, 6, 0)</f>
        <v>12.068965517241381</v>
      </c>
      <c r="P1116" s="6">
        <f>VLOOKUP(B1116, 'All Menu'!B:L, 9, 0)</f>
        <v>7.7437493103448274</v>
      </c>
      <c r="Q1116" s="14">
        <f>VLOOKUP(B1116, 'All Menu'!B:M, 12, 0)</f>
        <v>0.35837505714285722</v>
      </c>
      <c r="R1116" s="173">
        <f t="shared" si="67"/>
        <v>0</v>
      </c>
    </row>
    <row r="1117" spans="1:18" ht="14" hidden="1">
      <c r="A1117" s="78" t="s">
        <v>2661</v>
      </c>
      <c r="B1117" s="220" t="s">
        <v>917</v>
      </c>
      <c r="C1117" s="185"/>
      <c r="D1117" s="103" t="str">
        <f>VLOOKUP(B1117, 'All Menu'!B:M, 4, 0)</f>
        <v>حمص بلحمة وقية</v>
      </c>
      <c r="E1117" s="30" t="str">
        <f>VLOOKUP(B1117, 'All Menu'!B:M, 2, 0)</f>
        <v>قسم الصواني</v>
      </c>
      <c r="F1117" s="103" t="str">
        <f>VLOOKUP(B1117, 'All Menu'!B:M, 3, 0)</f>
        <v>صواني وصجيات سفري</v>
      </c>
      <c r="G1117" s="90" t="s">
        <v>2404</v>
      </c>
      <c r="H1117" s="219" t="s">
        <v>488</v>
      </c>
      <c r="I1117" s="110" t="str">
        <f>VLOOKUP(H1117, 'RM &amp; SF'!B:H, 2, 0)</f>
        <v>حمص</v>
      </c>
      <c r="J1117" s="184" t="str">
        <f>VLOOKUP(H1117, 'RM &amp; SF'!B:E, 4, 0)</f>
        <v>غم</v>
      </c>
      <c r="K1117" s="12">
        <v>200</v>
      </c>
      <c r="L1117" s="13">
        <f>VLOOKUP(H1117, 'RM &amp; SF'!B:H, 7, 0)</f>
        <v>1.3232918279569891E-3</v>
      </c>
      <c r="M1117" s="7">
        <f t="shared" si="66"/>
        <v>0.26465836559139783</v>
      </c>
      <c r="N1117" s="4" t="s">
        <v>825</v>
      </c>
      <c r="O1117" s="4">
        <f>VLOOKUP(B1117, 'All Menu'!B:L, 6, 0)</f>
        <v>3.6637931034482762</v>
      </c>
      <c r="P1117" s="6">
        <f>VLOOKUP(B1117, 'All Menu'!B:L, 9, 0)</f>
        <v>1.8046906845569151</v>
      </c>
      <c r="Q1117" s="14">
        <f>VLOOKUP(B1117, 'All Menu'!B:M, 12, 0)</f>
        <v>0.50742560139152437</v>
      </c>
      <c r="R1117" s="173">
        <f t="shared" si="67"/>
        <v>0</v>
      </c>
    </row>
    <row r="1118" spans="1:18" ht="14" hidden="1">
      <c r="A1118" s="78" t="s">
        <v>2661</v>
      </c>
      <c r="B1118" s="220" t="s">
        <v>917</v>
      </c>
      <c r="C1118" s="185"/>
      <c r="D1118" s="103" t="str">
        <f>VLOOKUP(B1118, 'All Menu'!B:M, 4, 0)</f>
        <v>حمص بلحمة وقية</v>
      </c>
      <c r="E1118" s="30" t="str">
        <f>VLOOKUP(B1118, 'All Menu'!B:M, 2, 0)</f>
        <v>قسم الصواني</v>
      </c>
      <c r="F1118" s="103" t="str">
        <f>VLOOKUP(B1118, 'All Menu'!B:M, 3, 0)</f>
        <v>صواني وصجيات سفري</v>
      </c>
      <c r="G1118" s="90" t="s">
        <v>2405</v>
      </c>
      <c r="H1118" s="219" t="s">
        <v>494</v>
      </c>
      <c r="I1118" s="110" t="str">
        <f>VLOOKUP(H1118, 'RM &amp; SF'!B:H, 2, 0)</f>
        <v>لحمة مفرومة</v>
      </c>
      <c r="J1118" s="184" t="str">
        <f>VLOOKUP(H1118, 'RM &amp; SF'!B:E, 4, 0)</f>
        <v>غم</v>
      </c>
      <c r="K1118" s="12">
        <v>150</v>
      </c>
      <c r="L1118" s="13">
        <f>VLOOKUP(H1118, 'RM &amp; SF'!B:H, 7, 0)</f>
        <v>7.2070000000000007E-3</v>
      </c>
      <c r="M1118" s="7">
        <f t="shared" si="66"/>
        <v>1.0810500000000001</v>
      </c>
      <c r="N1118" s="4" t="s">
        <v>825</v>
      </c>
      <c r="O1118" s="4">
        <f>VLOOKUP(B1118, 'All Menu'!B:L, 6, 0)</f>
        <v>3.6637931034482762</v>
      </c>
      <c r="P1118" s="6">
        <f>VLOOKUP(B1118, 'All Menu'!B:L, 9, 0)</f>
        <v>1.8046906845569151</v>
      </c>
      <c r="Q1118" s="14">
        <f>VLOOKUP(B1118, 'All Menu'!B:M, 12, 0)</f>
        <v>0.50742560139152437</v>
      </c>
      <c r="R1118" s="173">
        <f t="shared" si="67"/>
        <v>0</v>
      </c>
    </row>
    <row r="1119" spans="1:18" ht="14" hidden="1">
      <c r="A1119" s="78" t="s">
        <v>2661</v>
      </c>
      <c r="B1119" s="220" t="s">
        <v>917</v>
      </c>
      <c r="C1119" s="185"/>
      <c r="D1119" s="103" t="str">
        <f>VLOOKUP(B1119, 'All Menu'!B:M, 4, 0)</f>
        <v>حمص بلحمة وقية</v>
      </c>
      <c r="E1119" s="30" t="str">
        <f>VLOOKUP(B1119, 'All Menu'!B:M, 2, 0)</f>
        <v>قسم الصواني</v>
      </c>
      <c r="F1119" s="103" t="str">
        <f>VLOOKUP(B1119, 'All Menu'!B:M, 3, 0)</f>
        <v>صواني وصجيات سفري</v>
      </c>
      <c r="G1119" s="90" t="s">
        <v>2341</v>
      </c>
      <c r="H1119" s="219" t="s">
        <v>706</v>
      </c>
      <c r="I1119" s="110" t="str">
        <f>VLOOKUP(H1119, 'RM &amp; SF'!B:H, 2, 0)</f>
        <v>لوز مقلي</v>
      </c>
      <c r="J1119" s="184" t="str">
        <f>VLOOKUP(H1119, 'RM &amp; SF'!B:E, 4, 0)</f>
        <v>غم</v>
      </c>
      <c r="K1119" s="12">
        <v>15</v>
      </c>
      <c r="L1119" s="13">
        <f>VLOOKUP(H1119, 'RM &amp; SF'!B:H, 7, 0)</f>
        <v>4.1352327586206888E-3</v>
      </c>
      <c r="M1119" s="7">
        <f t="shared" si="66"/>
        <v>6.2028491379310331E-2</v>
      </c>
      <c r="N1119" s="4" t="s">
        <v>825</v>
      </c>
      <c r="O1119" s="4">
        <f>VLOOKUP(B1119, 'All Menu'!B:L, 6, 0)</f>
        <v>3.6637931034482762</v>
      </c>
      <c r="P1119" s="6">
        <f>VLOOKUP(B1119, 'All Menu'!B:L, 9, 0)</f>
        <v>1.8046906845569151</v>
      </c>
      <c r="Q1119" s="14">
        <f>VLOOKUP(B1119, 'All Menu'!B:M, 12, 0)</f>
        <v>0.50742560139152437</v>
      </c>
      <c r="R1119" s="173">
        <f t="shared" si="67"/>
        <v>0</v>
      </c>
    </row>
    <row r="1120" spans="1:18" ht="14" hidden="1">
      <c r="A1120" s="78" t="s">
        <v>2661</v>
      </c>
      <c r="B1120" s="220" t="s">
        <v>917</v>
      </c>
      <c r="C1120" s="185"/>
      <c r="D1120" s="103" t="str">
        <f>VLOOKUP(B1120, 'All Menu'!B:M, 4, 0)</f>
        <v>حمص بلحمة وقية</v>
      </c>
      <c r="E1120" s="30" t="str">
        <f>VLOOKUP(B1120, 'All Menu'!B:M, 2, 0)</f>
        <v>قسم الصواني</v>
      </c>
      <c r="F1120" s="103" t="str">
        <f>VLOOKUP(B1120, 'All Menu'!B:M, 3, 0)</f>
        <v>صواني وصجيات سفري</v>
      </c>
      <c r="G1120" s="90" t="s">
        <v>2357</v>
      </c>
      <c r="H1120" s="219" t="s">
        <v>744</v>
      </c>
      <c r="I1120" s="110" t="str">
        <f>VLOOKUP(H1120, 'RM &amp; SF'!B:H, 2, 0)</f>
        <v>زيت زيتون مكسور</v>
      </c>
      <c r="J1120" s="184" t="str">
        <f>VLOOKUP(H1120, 'RM &amp; SF'!B:E, 4, 0)</f>
        <v>غم</v>
      </c>
      <c r="K1120" s="12">
        <v>15</v>
      </c>
      <c r="L1120" s="13">
        <f>VLOOKUP(H1120, 'RM &amp; SF'!B:H, 7, 0)</f>
        <v>3.3899999999999998E-3</v>
      </c>
      <c r="M1120" s="7">
        <f t="shared" si="66"/>
        <v>5.0849999999999999E-2</v>
      </c>
      <c r="N1120" s="4" t="s">
        <v>825</v>
      </c>
      <c r="O1120" s="4">
        <f>VLOOKUP(B1120, 'All Menu'!B:L, 6, 0)</f>
        <v>3.6637931034482762</v>
      </c>
      <c r="P1120" s="6">
        <f>VLOOKUP(B1120, 'All Menu'!B:L, 9, 0)</f>
        <v>1.8046906845569151</v>
      </c>
      <c r="Q1120" s="14">
        <f>VLOOKUP(B1120, 'All Menu'!B:M, 12, 0)</f>
        <v>0.50742560139152437</v>
      </c>
      <c r="R1120" s="173">
        <f t="shared" si="67"/>
        <v>0</v>
      </c>
    </row>
    <row r="1121" spans="1:18" ht="14" hidden="1">
      <c r="A1121" s="78" t="s">
        <v>2661</v>
      </c>
      <c r="B1121" s="220" t="s">
        <v>917</v>
      </c>
      <c r="C1121" s="185"/>
      <c r="D1121" s="103" t="str">
        <f>VLOOKUP(B1121, 'All Menu'!B:M, 4, 0)</f>
        <v>حمص بلحمة وقية</v>
      </c>
      <c r="E1121" s="30" t="str">
        <f>VLOOKUP(B1121, 'All Menu'!B:M, 2, 0)</f>
        <v>قسم الصواني</v>
      </c>
      <c r="F1121" s="103" t="str">
        <f>VLOOKUP(B1121, 'All Menu'!B:M, 3, 0)</f>
        <v>صواني وصجيات سفري</v>
      </c>
      <c r="G1121" s="90" t="s">
        <v>2260</v>
      </c>
      <c r="H1121" s="188">
        <v>4160</v>
      </c>
      <c r="I1121" s="110" t="str">
        <f>VLOOKUP(H1121, 'RM &amp; SF'!B:H, 2, 0)</f>
        <v>زيت صويا 18 لتر*****</v>
      </c>
      <c r="J1121" s="184" t="str">
        <f>VLOOKUP(H1121, 'RM &amp; SF'!B:E, 4, 0)</f>
        <v>مل</v>
      </c>
      <c r="K1121" s="12">
        <v>10</v>
      </c>
      <c r="L1121" s="13">
        <f>VLOOKUP(H1121, 'RM &amp; SF'!B:H, 7, 0)</f>
        <v>1.335E-3</v>
      </c>
      <c r="M1121" s="7">
        <f t="shared" si="66"/>
        <v>1.3350000000000001E-2</v>
      </c>
      <c r="N1121" s="4" t="s">
        <v>825</v>
      </c>
      <c r="O1121" s="4">
        <f>VLOOKUP(B1121, 'All Menu'!B:L, 6, 0)</f>
        <v>3.6637931034482762</v>
      </c>
      <c r="P1121" s="6">
        <f>VLOOKUP(B1121, 'All Menu'!B:L, 9, 0)</f>
        <v>1.8046906845569151</v>
      </c>
      <c r="Q1121" s="14">
        <f>VLOOKUP(B1121, 'All Menu'!B:M, 12, 0)</f>
        <v>0.50742560139152437</v>
      </c>
      <c r="R1121" s="173">
        <f t="shared" si="67"/>
        <v>0</v>
      </c>
    </row>
    <row r="1122" spans="1:18" ht="14" hidden="1">
      <c r="A1122" s="78" t="s">
        <v>2661</v>
      </c>
      <c r="B1122" s="220" t="s">
        <v>917</v>
      </c>
      <c r="C1122" s="185"/>
      <c r="D1122" s="103" t="str">
        <f>VLOOKUP(B1122, 'All Menu'!B:M, 4, 0)</f>
        <v>حمص بلحمة وقية</v>
      </c>
      <c r="E1122" s="30" t="str">
        <f>VLOOKUP(B1122, 'All Menu'!B:M, 2, 0)</f>
        <v>قسم الصواني</v>
      </c>
      <c r="F1122" s="103" t="str">
        <f>VLOOKUP(B1122, 'All Menu'!B:M, 3, 0)</f>
        <v>صواني وصجيات سفري</v>
      </c>
      <c r="G1122" s="90" t="s">
        <v>2203</v>
      </c>
      <c r="H1122" s="188">
        <v>4152</v>
      </c>
      <c r="I1122" s="110" t="str">
        <f>VLOOKUP(H1122, 'RM &amp; SF'!B:H, 2, 0)</f>
        <v>ملح طعام 750غم*****</v>
      </c>
      <c r="J1122" s="184" t="str">
        <f>VLOOKUP(H1122, 'RM &amp; SF'!B:E, 4, 0)</f>
        <v>غم</v>
      </c>
      <c r="K1122" s="12">
        <v>3</v>
      </c>
      <c r="L1122" s="13">
        <f>VLOOKUP(H1122, 'RM &amp; SF'!B:H, 7, 0)</f>
        <v>1.7066666666666665E-4</v>
      </c>
      <c r="M1122" s="7">
        <f t="shared" si="66"/>
        <v>5.1199999999999998E-4</v>
      </c>
      <c r="N1122" s="4" t="s">
        <v>825</v>
      </c>
      <c r="O1122" s="4">
        <f>VLOOKUP(B1122, 'All Menu'!B:L, 6, 0)</f>
        <v>3.6637931034482762</v>
      </c>
      <c r="P1122" s="6">
        <f>VLOOKUP(B1122, 'All Menu'!B:L, 9, 0)</f>
        <v>1.8046906845569151</v>
      </c>
      <c r="Q1122" s="14">
        <f>VLOOKUP(B1122, 'All Menu'!B:M, 12, 0)</f>
        <v>0.50742560139152437</v>
      </c>
      <c r="R1122" s="173">
        <f t="shared" si="67"/>
        <v>0</v>
      </c>
    </row>
    <row r="1123" spans="1:18" ht="14" hidden="1">
      <c r="A1123" s="78" t="s">
        <v>2661</v>
      </c>
      <c r="B1123" s="220" t="s">
        <v>917</v>
      </c>
      <c r="C1123" s="185"/>
      <c r="D1123" s="103" t="str">
        <f>VLOOKUP(B1123, 'All Menu'!B:M, 4, 0)</f>
        <v>حمص بلحمة وقية</v>
      </c>
      <c r="E1123" s="30" t="str">
        <f>VLOOKUP(B1123, 'All Menu'!B:M, 2, 0)</f>
        <v>قسم الصواني</v>
      </c>
      <c r="F1123" s="103" t="str">
        <f>VLOOKUP(B1123, 'All Menu'!B:M, 3, 0)</f>
        <v>صواني وصجيات سفري</v>
      </c>
      <c r="G1123" s="90" t="s">
        <v>2206</v>
      </c>
      <c r="H1123" s="188">
        <v>4204</v>
      </c>
      <c r="I1123" s="110" t="str">
        <f>VLOOKUP(H1123, 'RM &amp; SF'!B:H, 2, 0)</f>
        <v>فلفل اسود ناعم*****</v>
      </c>
      <c r="J1123" s="184" t="str">
        <f>VLOOKUP(H1123, 'RM &amp; SF'!B:E, 4, 0)</f>
        <v>غم</v>
      </c>
      <c r="K1123" s="12">
        <v>1</v>
      </c>
      <c r="L1123" s="13">
        <f>VLOOKUP(H1123, 'RM &amp; SF'!B:H, 7, 0)</f>
        <v>6.8970000000000004E-3</v>
      </c>
      <c r="M1123" s="7">
        <f t="shared" si="66"/>
        <v>6.8970000000000004E-3</v>
      </c>
      <c r="N1123" s="4" t="s">
        <v>825</v>
      </c>
      <c r="O1123" s="4">
        <f>VLOOKUP(B1123, 'All Menu'!B:L, 6, 0)</f>
        <v>3.6637931034482762</v>
      </c>
      <c r="P1123" s="6">
        <f>VLOOKUP(B1123, 'All Menu'!B:L, 9, 0)</f>
        <v>1.8046906845569151</v>
      </c>
      <c r="Q1123" s="14">
        <f>VLOOKUP(B1123, 'All Menu'!B:M, 12, 0)</f>
        <v>0.50742560139152437</v>
      </c>
      <c r="R1123" s="173">
        <f t="shared" si="67"/>
        <v>0</v>
      </c>
    </row>
    <row r="1124" spans="1:18" ht="14" hidden="1">
      <c r="A1124" s="78" t="s">
        <v>2661</v>
      </c>
      <c r="B1124" s="220" t="s">
        <v>917</v>
      </c>
      <c r="C1124" s="185"/>
      <c r="D1124" s="103" t="str">
        <f>VLOOKUP(B1124, 'All Menu'!B:M, 4, 0)</f>
        <v>حمص بلحمة وقية</v>
      </c>
      <c r="E1124" s="30" t="str">
        <f>VLOOKUP(B1124, 'All Menu'!B:M, 2, 0)</f>
        <v>قسم الصواني</v>
      </c>
      <c r="F1124" s="103" t="str">
        <f>VLOOKUP(B1124, 'All Menu'!B:M, 3, 0)</f>
        <v>صواني وصجيات سفري</v>
      </c>
      <c r="G1124" s="90" t="s">
        <v>2251</v>
      </c>
      <c r="H1124" s="188">
        <v>4544</v>
      </c>
      <c r="I1124" s="110" t="str">
        <f>VLOOKUP(H1124, 'RM &amp; SF'!B:H, 2, 0)</f>
        <v>بقدونس*****</v>
      </c>
      <c r="J1124" s="184" t="str">
        <f>VLOOKUP(H1124, 'RM &amp; SF'!B:E, 4, 0)</f>
        <v>غم</v>
      </c>
      <c r="K1124" s="12">
        <v>20</v>
      </c>
      <c r="L1124" s="13">
        <f>VLOOKUP(H1124, 'RM &amp; SF'!B:H, 7, 0)</f>
        <v>7.5000000000000002E-4</v>
      </c>
      <c r="M1124" s="7">
        <f t="shared" si="66"/>
        <v>1.4999999999999999E-2</v>
      </c>
      <c r="N1124" s="4" t="s">
        <v>825</v>
      </c>
      <c r="O1124" s="4">
        <f>VLOOKUP(B1124, 'All Menu'!B:L, 6, 0)</f>
        <v>3.6637931034482762</v>
      </c>
      <c r="P1124" s="6">
        <f>VLOOKUP(B1124, 'All Menu'!B:L, 9, 0)</f>
        <v>1.8046906845569151</v>
      </c>
      <c r="Q1124" s="14">
        <f>VLOOKUP(B1124, 'All Menu'!B:M, 12, 0)</f>
        <v>0.50742560139152437</v>
      </c>
      <c r="R1124" s="173">
        <f t="shared" si="67"/>
        <v>0</v>
      </c>
    </row>
    <row r="1125" spans="1:18" ht="14" hidden="1">
      <c r="A1125" s="78" t="s">
        <v>2661</v>
      </c>
      <c r="B1125" s="220" t="s">
        <v>917</v>
      </c>
      <c r="C1125" s="185"/>
      <c r="D1125" s="103" t="str">
        <f>VLOOKUP(B1125, 'All Menu'!B:M, 4, 0)</f>
        <v>حمص بلحمة وقية</v>
      </c>
      <c r="E1125" s="30" t="str">
        <f>VLOOKUP(B1125, 'All Menu'!B:M, 2, 0)</f>
        <v>قسم الصواني</v>
      </c>
      <c r="F1125" s="103" t="str">
        <f>VLOOKUP(B1125, 'All Menu'!B:M, 3, 0)</f>
        <v>صواني وصجيات سفري</v>
      </c>
      <c r="G1125" s="90" t="s">
        <v>3058</v>
      </c>
      <c r="H1125" s="188">
        <v>4290</v>
      </c>
      <c r="I1125" s="110" t="str">
        <f>VLOOKUP(H1125, 'RM &amp; SF'!B:H, 2, 0)</f>
        <v>علب قصدير مدور اوقية 250 غم RZ 18*****</v>
      </c>
      <c r="J1125" s="184" t="str">
        <f>VLOOKUP(H1125, 'RM &amp; SF'!B:E, 4, 0)</f>
        <v>قطعة</v>
      </c>
      <c r="K1125" s="12">
        <v>1</v>
      </c>
      <c r="L1125" s="13">
        <f>VLOOKUP(H1125, 'RM &amp; SF'!B:H, 7, 0)</f>
        <v>6.0344827586206906E-2</v>
      </c>
      <c r="M1125" s="7">
        <f t="shared" si="66"/>
        <v>6.0344827586206906E-2</v>
      </c>
      <c r="N1125" s="4" t="s">
        <v>825</v>
      </c>
      <c r="O1125" s="4">
        <f>VLOOKUP(B1125, 'All Menu'!B:L, 6, 0)</f>
        <v>3.6637931034482762</v>
      </c>
      <c r="P1125" s="6">
        <f>VLOOKUP(B1125, 'All Menu'!B:L, 9, 0)</f>
        <v>1.8046906845569151</v>
      </c>
      <c r="Q1125" s="14">
        <f>VLOOKUP(B1125, 'All Menu'!B:M, 12, 0)</f>
        <v>0.50742560139152437</v>
      </c>
      <c r="R1125" s="173">
        <f t="shared" si="67"/>
        <v>0</v>
      </c>
    </row>
    <row r="1126" spans="1:18" ht="14" hidden="1">
      <c r="A1126" s="78" t="s">
        <v>2661</v>
      </c>
      <c r="B1126" s="220" t="s">
        <v>917</v>
      </c>
      <c r="C1126" s="185"/>
      <c r="D1126" s="103" t="str">
        <f>VLOOKUP(B1126, 'All Menu'!B:M, 4, 0)</f>
        <v>حمص بلحمة وقية</v>
      </c>
      <c r="E1126" s="30" t="str">
        <f>VLOOKUP(B1126, 'All Menu'!B:M, 2, 0)</f>
        <v>قسم الصواني</v>
      </c>
      <c r="F1126" s="103" t="str">
        <f>VLOOKUP(B1126, 'All Menu'!B:M, 3, 0)</f>
        <v>صواني وصجيات سفري</v>
      </c>
      <c r="G1126" s="90" t="s">
        <v>3058</v>
      </c>
      <c r="H1126" s="188">
        <v>4274</v>
      </c>
      <c r="I1126" s="110" t="str">
        <f>VLOOKUP(H1126, 'RM &amp; SF'!B:H, 2, 0)</f>
        <v>علب المركزية مطبوع + قاطع رقم 1 1*100 حبة*****</v>
      </c>
      <c r="J1126" s="184" t="str">
        <f>VLOOKUP(H1126, 'RM &amp; SF'!B:E, 4, 0)</f>
        <v>قطعة</v>
      </c>
      <c r="K1126" s="12">
        <v>1</v>
      </c>
      <c r="L1126" s="13">
        <f>VLOOKUP(H1126, 'RM &amp; SF'!B:H, 7, 0)</f>
        <v>0.25</v>
      </c>
      <c r="M1126" s="7">
        <f t="shared" ref="M1126:M1164" si="68">L1126*K1126</f>
        <v>0.25</v>
      </c>
      <c r="N1126" s="4" t="s">
        <v>825</v>
      </c>
      <c r="O1126" s="4">
        <f>VLOOKUP(B1126, 'All Menu'!B:L, 6, 0)</f>
        <v>3.6637931034482762</v>
      </c>
      <c r="P1126" s="6">
        <f>VLOOKUP(B1126, 'All Menu'!B:L, 9, 0)</f>
        <v>1.8046906845569151</v>
      </c>
      <c r="Q1126" s="14">
        <f>VLOOKUP(B1126, 'All Menu'!B:M, 12, 0)</f>
        <v>0.50742560139152437</v>
      </c>
      <c r="R1126" s="173">
        <f t="shared" si="67"/>
        <v>0</v>
      </c>
    </row>
    <row r="1127" spans="1:18" ht="14" hidden="1">
      <c r="A1127" s="78" t="s">
        <v>2662</v>
      </c>
      <c r="B1127" s="220" t="s">
        <v>918</v>
      </c>
      <c r="C1127" s="185"/>
      <c r="D1127" s="103" t="str">
        <f>VLOOKUP(B1127, 'All Menu'!B:M, 4, 0)</f>
        <v>كبدة دجاج وقية</v>
      </c>
      <c r="E1127" s="30" t="str">
        <f>VLOOKUP(B1127, 'All Menu'!B:M, 2, 0)</f>
        <v>قسم الصواني</v>
      </c>
      <c r="F1127" s="103" t="str">
        <f>VLOOKUP(B1127, 'All Menu'!B:M, 3, 0)</f>
        <v>صواني وصجيات سفري</v>
      </c>
      <c r="G1127" s="90" t="s">
        <v>3058</v>
      </c>
      <c r="H1127" s="188">
        <v>4584</v>
      </c>
      <c r="I1127" s="110" t="str">
        <f>VLOOKUP(H1127, 'RM &amp; SF'!B:H, 2, 0)</f>
        <v>كبدة دجاج طازجة*****</v>
      </c>
      <c r="J1127" s="184" t="str">
        <f>VLOOKUP(H1127, 'RM &amp; SF'!B:E, 4, 0)</f>
        <v>غم</v>
      </c>
      <c r="K1127" s="12">
        <v>250</v>
      </c>
      <c r="L1127" s="13">
        <f>VLOOKUP(H1127, 'RM &amp; SF'!B:H, 7, 0)</f>
        <v>1.2999999999999999E-3</v>
      </c>
      <c r="M1127" s="7">
        <f t="shared" si="68"/>
        <v>0.32500000000000001</v>
      </c>
      <c r="N1127" s="4" t="s">
        <v>825</v>
      </c>
      <c r="O1127" s="4">
        <f>VLOOKUP(B1127, 'All Menu'!B:L, 6, 0)</f>
        <v>3.4482758620689657</v>
      </c>
      <c r="P1127" s="6">
        <f>VLOOKUP(B1127, 'All Menu'!B:L, 9, 0)</f>
        <v>0.71389816091954028</v>
      </c>
      <c r="Q1127" s="14">
        <f>VLOOKUP(B1127, 'All Menu'!B:M, 12, 0)</f>
        <v>0.79296953333333331</v>
      </c>
      <c r="R1127" s="173">
        <f t="shared" si="67"/>
        <v>0</v>
      </c>
    </row>
    <row r="1128" spans="1:18" ht="15.5" hidden="1">
      <c r="A1128" s="78" t="s">
        <v>2662</v>
      </c>
      <c r="B1128" s="220" t="s">
        <v>918</v>
      </c>
      <c r="C1128" s="185"/>
      <c r="D1128" s="103" t="str">
        <f>VLOOKUP(B1128, 'All Menu'!B:M, 4, 0)</f>
        <v>كبدة دجاج وقية</v>
      </c>
      <c r="E1128" s="30" t="str">
        <f>VLOOKUP(B1128, 'All Menu'!B:M, 2, 0)</f>
        <v>قسم الصواني</v>
      </c>
      <c r="F1128" s="103" t="str">
        <f>VLOOKUP(B1128, 'All Menu'!B:M, 3, 0)</f>
        <v>صواني وصجيات سفري</v>
      </c>
      <c r="G1128" s="90" t="s">
        <v>2321</v>
      </c>
      <c r="H1128" s="67">
        <v>5292</v>
      </c>
      <c r="I1128" s="110" t="str">
        <f>VLOOKUP(H1128, 'RM &amp; SF'!B:H, 2, 0)</f>
        <v>ثوم مقشر*****</v>
      </c>
      <c r="J1128" s="184" t="str">
        <f>VLOOKUP(H1128, 'RM &amp; SF'!B:E, 4, 0)</f>
        <v>غم</v>
      </c>
      <c r="K1128" s="12">
        <v>5</v>
      </c>
      <c r="L1128" s="13">
        <f>VLOOKUP(H1128, 'RM &amp; SF'!B:H, 7, 0)</f>
        <v>4.4999999999999997E-3</v>
      </c>
      <c r="M1128" s="7">
        <f t="shared" si="68"/>
        <v>2.2499999999999999E-2</v>
      </c>
      <c r="N1128" s="4" t="s">
        <v>825</v>
      </c>
      <c r="O1128" s="4">
        <f>VLOOKUP(B1128, 'All Menu'!B:L, 6, 0)</f>
        <v>3.4482758620689657</v>
      </c>
      <c r="P1128" s="6">
        <f>VLOOKUP(B1128, 'All Menu'!B:L, 9, 0)</f>
        <v>0.71389816091954028</v>
      </c>
      <c r="Q1128" s="14">
        <f>VLOOKUP(B1128, 'All Menu'!B:M, 12, 0)</f>
        <v>0.79296953333333331</v>
      </c>
      <c r="R1128" s="173">
        <f t="shared" si="67"/>
        <v>0</v>
      </c>
    </row>
    <row r="1129" spans="1:18" ht="14" hidden="1">
      <c r="A1129" s="78" t="s">
        <v>2662</v>
      </c>
      <c r="B1129" s="220" t="s">
        <v>918</v>
      </c>
      <c r="C1129" s="185"/>
      <c r="D1129" s="103" t="str">
        <f>VLOOKUP(B1129, 'All Menu'!B:M, 4, 0)</f>
        <v>كبدة دجاج وقية</v>
      </c>
      <c r="E1129" s="30" t="str">
        <f>VLOOKUP(B1129, 'All Menu'!B:M, 2, 0)</f>
        <v>قسم الصواني</v>
      </c>
      <c r="F1129" s="103" t="str">
        <f>VLOOKUP(B1129, 'All Menu'!B:M, 3, 0)</f>
        <v>صواني وصجيات سفري</v>
      </c>
      <c r="G1129" s="90" t="s">
        <v>2231</v>
      </c>
      <c r="H1129" s="188">
        <v>4499</v>
      </c>
      <c r="I1129" s="110" t="str">
        <f>VLOOKUP(H1129, 'RM &amp; SF'!B:H, 2, 0)</f>
        <v>فلفل حار اخضر*****</v>
      </c>
      <c r="J1129" s="184" t="str">
        <f>VLOOKUP(H1129, 'RM &amp; SF'!B:E, 4, 0)</f>
        <v>غم</v>
      </c>
      <c r="K1129" s="12">
        <v>7</v>
      </c>
      <c r="L1129" s="13">
        <f>VLOOKUP(H1129, 'RM &amp; SF'!B:H, 7, 0)</f>
        <v>5.0000000000000001E-4</v>
      </c>
      <c r="M1129" s="7">
        <f t="shared" si="68"/>
        <v>3.5000000000000001E-3</v>
      </c>
      <c r="N1129" s="4" t="s">
        <v>825</v>
      </c>
      <c r="O1129" s="4">
        <f>VLOOKUP(B1129, 'All Menu'!B:L, 6, 0)</f>
        <v>3.4482758620689657</v>
      </c>
      <c r="P1129" s="6">
        <f>VLOOKUP(B1129, 'All Menu'!B:L, 9, 0)</f>
        <v>0.71389816091954028</v>
      </c>
      <c r="Q1129" s="14">
        <f>VLOOKUP(B1129, 'All Menu'!B:M, 12, 0)</f>
        <v>0.79296953333333331</v>
      </c>
      <c r="R1129" s="173">
        <f t="shared" si="67"/>
        <v>0</v>
      </c>
    </row>
    <row r="1130" spans="1:18" ht="14" hidden="1">
      <c r="A1130" s="78" t="s">
        <v>2662</v>
      </c>
      <c r="B1130" s="220" t="s">
        <v>918</v>
      </c>
      <c r="C1130" s="185"/>
      <c r="D1130" s="103" t="str">
        <f>VLOOKUP(B1130, 'All Menu'!B:M, 4, 0)</f>
        <v>كبدة دجاج وقية</v>
      </c>
      <c r="E1130" s="30" t="str">
        <f>VLOOKUP(B1130, 'All Menu'!B:M, 2, 0)</f>
        <v>قسم الصواني</v>
      </c>
      <c r="F1130" s="103" t="str">
        <f>VLOOKUP(B1130, 'All Menu'!B:M, 3, 0)</f>
        <v>صواني وصجيات سفري</v>
      </c>
      <c r="G1130" s="90" t="s">
        <v>2203</v>
      </c>
      <c r="H1130" s="188">
        <v>4152</v>
      </c>
      <c r="I1130" s="110" t="str">
        <f>VLOOKUP(H1130, 'RM &amp; SF'!B:H, 2, 0)</f>
        <v>ملح طعام 750غم*****</v>
      </c>
      <c r="J1130" s="184" t="str">
        <f>VLOOKUP(H1130, 'RM &amp; SF'!B:E, 4, 0)</f>
        <v>غم</v>
      </c>
      <c r="K1130" s="12">
        <v>5</v>
      </c>
      <c r="L1130" s="13">
        <f>VLOOKUP(H1130, 'RM &amp; SF'!B:H, 7, 0)</f>
        <v>1.7066666666666665E-4</v>
      </c>
      <c r="M1130" s="7">
        <f t="shared" si="68"/>
        <v>8.5333333333333322E-4</v>
      </c>
      <c r="N1130" s="4" t="s">
        <v>825</v>
      </c>
      <c r="O1130" s="4">
        <f>VLOOKUP(B1130, 'All Menu'!B:L, 6, 0)</f>
        <v>3.4482758620689657</v>
      </c>
      <c r="P1130" s="6">
        <f>VLOOKUP(B1130, 'All Menu'!B:L, 9, 0)</f>
        <v>0.71389816091954028</v>
      </c>
      <c r="Q1130" s="14">
        <f>VLOOKUP(B1130, 'All Menu'!B:M, 12, 0)</f>
        <v>0.79296953333333331</v>
      </c>
      <c r="R1130" s="173">
        <f t="shared" si="67"/>
        <v>0</v>
      </c>
    </row>
    <row r="1131" spans="1:18" ht="14" hidden="1">
      <c r="A1131" s="78" t="s">
        <v>2662</v>
      </c>
      <c r="B1131" s="220" t="s">
        <v>918</v>
      </c>
      <c r="C1131" s="185"/>
      <c r="D1131" s="103" t="str">
        <f>VLOOKUP(B1131, 'All Menu'!B:M, 4, 0)</f>
        <v>كبدة دجاج وقية</v>
      </c>
      <c r="E1131" s="30" t="str">
        <f>VLOOKUP(B1131, 'All Menu'!B:M, 2, 0)</f>
        <v>قسم الصواني</v>
      </c>
      <c r="F1131" s="103" t="str">
        <f>VLOOKUP(B1131, 'All Menu'!B:M, 3, 0)</f>
        <v>صواني وصجيات سفري</v>
      </c>
      <c r="G1131" s="90" t="s">
        <v>2234</v>
      </c>
      <c r="H1131" s="188">
        <v>4503</v>
      </c>
      <c r="I1131" s="110" t="str">
        <f>VLOOKUP(H1131, 'RM &amp; SF'!B:H, 2, 0)</f>
        <v>بصل ناشف دفش*****</v>
      </c>
      <c r="J1131" s="184" t="str">
        <f>VLOOKUP(H1131, 'RM &amp; SF'!B:E, 4, 0)</f>
        <v>غم</v>
      </c>
      <c r="K1131" s="12">
        <v>100</v>
      </c>
      <c r="L1131" s="13">
        <f>VLOOKUP(H1131, 'RM &amp; SF'!B:H, 7, 0)</f>
        <v>2.5000000000000001E-4</v>
      </c>
      <c r="M1131" s="7">
        <f t="shared" si="68"/>
        <v>2.5000000000000001E-2</v>
      </c>
      <c r="N1131" s="4" t="s">
        <v>825</v>
      </c>
      <c r="O1131" s="4">
        <f>VLOOKUP(B1131, 'All Menu'!B:L, 6, 0)</f>
        <v>3.4482758620689657</v>
      </c>
      <c r="P1131" s="6">
        <f>VLOOKUP(B1131, 'All Menu'!B:L, 9, 0)</f>
        <v>0.71389816091954028</v>
      </c>
      <c r="Q1131" s="14">
        <f>VLOOKUP(B1131, 'All Menu'!B:M, 12, 0)</f>
        <v>0.79296953333333331</v>
      </c>
      <c r="R1131" s="173">
        <f t="shared" si="67"/>
        <v>0</v>
      </c>
    </row>
    <row r="1132" spans="1:18" ht="14" hidden="1">
      <c r="A1132" s="78" t="s">
        <v>2662</v>
      </c>
      <c r="B1132" s="220" t="s">
        <v>918</v>
      </c>
      <c r="C1132" s="185"/>
      <c r="D1132" s="103" t="str">
        <f>VLOOKUP(B1132, 'All Menu'!B:M, 4, 0)</f>
        <v>كبدة دجاج وقية</v>
      </c>
      <c r="E1132" s="30" t="str">
        <f>VLOOKUP(B1132, 'All Menu'!B:M, 2, 0)</f>
        <v>قسم الصواني</v>
      </c>
      <c r="F1132" s="103" t="str">
        <f>VLOOKUP(B1132, 'All Menu'!B:M, 3, 0)</f>
        <v>صواني وصجيات سفري</v>
      </c>
      <c r="G1132" s="90" t="s">
        <v>2260</v>
      </c>
      <c r="H1132" s="188">
        <v>4160</v>
      </c>
      <c r="I1132" s="110" t="str">
        <f>VLOOKUP(H1132, 'RM &amp; SF'!B:H, 2, 0)</f>
        <v>زيت صويا 18 لتر*****</v>
      </c>
      <c r="J1132" s="184" t="str">
        <f>VLOOKUP(H1132, 'RM &amp; SF'!B:E, 4, 0)</f>
        <v>مل</v>
      </c>
      <c r="K1132" s="12">
        <v>20</v>
      </c>
      <c r="L1132" s="13">
        <f>VLOOKUP(H1132, 'RM &amp; SF'!B:H, 7, 0)</f>
        <v>1.335E-3</v>
      </c>
      <c r="M1132" s="7">
        <f t="shared" si="68"/>
        <v>2.6700000000000002E-2</v>
      </c>
      <c r="N1132" s="4" t="s">
        <v>825</v>
      </c>
      <c r="O1132" s="4">
        <f>VLOOKUP(B1132, 'All Menu'!B:L, 6, 0)</f>
        <v>3.4482758620689657</v>
      </c>
      <c r="P1132" s="6">
        <f>VLOOKUP(B1132, 'All Menu'!B:L, 9, 0)</f>
        <v>0.71389816091954028</v>
      </c>
      <c r="Q1132" s="14">
        <f>VLOOKUP(B1132, 'All Menu'!B:M, 12, 0)</f>
        <v>0.79296953333333331</v>
      </c>
      <c r="R1132" s="173">
        <f t="shared" si="67"/>
        <v>0</v>
      </c>
    </row>
    <row r="1133" spans="1:18" ht="14" hidden="1">
      <c r="A1133" s="78" t="s">
        <v>2662</v>
      </c>
      <c r="B1133" s="220" t="s">
        <v>918</v>
      </c>
      <c r="C1133" s="185"/>
      <c r="D1133" s="103" t="str">
        <f>VLOOKUP(B1133, 'All Menu'!B:M, 4, 0)</f>
        <v>كبدة دجاج وقية</v>
      </c>
      <c r="E1133" s="30" t="str">
        <f>VLOOKUP(B1133, 'All Menu'!B:M, 2, 0)</f>
        <v>قسم الصواني</v>
      </c>
      <c r="F1133" s="103" t="str">
        <f>VLOOKUP(B1133, 'All Menu'!B:M, 3, 0)</f>
        <v>صواني وصجيات سفري</v>
      </c>
      <c r="G1133" s="90" t="s">
        <v>3058</v>
      </c>
      <c r="H1133" s="188">
        <v>4290</v>
      </c>
      <c r="I1133" s="110" t="str">
        <f>VLOOKUP(H1133, 'RM &amp; SF'!B:H, 2, 0)</f>
        <v>علب قصدير مدور اوقية 250 غم RZ 18*****</v>
      </c>
      <c r="J1133" s="184" t="str">
        <f>VLOOKUP(H1133, 'RM &amp; SF'!B:E, 4, 0)</f>
        <v>قطعة</v>
      </c>
      <c r="K1133" s="12">
        <v>1</v>
      </c>
      <c r="L1133" s="13">
        <f>VLOOKUP(H1133, 'RM &amp; SF'!B:H, 7, 0)</f>
        <v>6.0344827586206906E-2</v>
      </c>
      <c r="M1133" s="7">
        <f t="shared" si="68"/>
        <v>6.0344827586206906E-2</v>
      </c>
      <c r="N1133" s="4" t="s">
        <v>825</v>
      </c>
      <c r="O1133" s="4">
        <f>VLOOKUP(B1133, 'All Menu'!B:L, 6, 0)</f>
        <v>3.4482758620689657</v>
      </c>
      <c r="P1133" s="6">
        <f>VLOOKUP(B1133, 'All Menu'!B:L, 9, 0)</f>
        <v>0.71389816091954028</v>
      </c>
      <c r="Q1133" s="14">
        <f>VLOOKUP(B1133, 'All Menu'!B:M, 12, 0)</f>
        <v>0.79296953333333331</v>
      </c>
      <c r="R1133" s="173">
        <f t="shared" si="67"/>
        <v>0</v>
      </c>
    </row>
    <row r="1134" spans="1:18" ht="14" hidden="1">
      <c r="A1134" s="78" t="s">
        <v>2662</v>
      </c>
      <c r="B1134" s="220" t="s">
        <v>918</v>
      </c>
      <c r="C1134" s="185"/>
      <c r="D1134" s="103" t="str">
        <f>VLOOKUP(B1134, 'All Menu'!B:M, 4, 0)</f>
        <v>كبدة دجاج وقية</v>
      </c>
      <c r="E1134" s="30" t="str">
        <f>VLOOKUP(B1134, 'All Menu'!B:M, 2, 0)</f>
        <v>قسم الصواني</v>
      </c>
      <c r="F1134" s="103" t="str">
        <f>VLOOKUP(B1134, 'All Menu'!B:M, 3, 0)</f>
        <v>صواني وصجيات سفري</v>
      </c>
      <c r="G1134" s="90" t="s">
        <v>3058</v>
      </c>
      <c r="H1134" s="188">
        <v>4274</v>
      </c>
      <c r="I1134" s="110" t="str">
        <f>VLOOKUP(H1134, 'RM &amp; SF'!B:H, 2, 0)</f>
        <v>علب المركزية مطبوع + قاطع رقم 1 1*100 حبة*****</v>
      </c>
      <c r="J1134" s="184" t="str">
        <f>VLOOKUP(H1134, 'RM &amp; SF'!B:E, 4, 0)</f>
        <v>قطعة</v>
      </c>
      <c r="K1134" s="12">
        <v>1</v>
      </c>
      <c r="L1134" s="13">
        <f>VLOOKUP(H1134, 'RM &amp; SF'!B:H, 7, 0)</f>
        <v>0.25</v>
      </c>
      <c r="M1134" s="7">
        <f t="shared" si="68"/>
        <v>0.25</v>
      </c>
      <c r="N1134" s="4" t="s">
        <v>825</v>
      </c>
      <c r="O1134" s="4">
        <f>VLOOKUP(B1134, 'All Menu'!B:L, 6, 0)</f>
        <v>3.4482758620689657</v>
      </c>
      <c r="P1134" s="6">
        <f>VLOOKUP(B1134, 'All Menu'!B:L, 9, 0)</f>
        <v>0.71389816091954028</v>
      </c>
      <c r="Q1134" s="14">
        <f>VLOOKUP(B1134, 'All Menu'!B:M, 12, 0)</f>
        <v>0.79296953333333331</v>
      </c>
      <c r="R1134" s="173">
        <f t="shared" si="67"/>
        <v>0</v>
      </c>
    </row>
    <row r="1135" spans="1:18" ht="14" hidden="1">
      <c r="A1135" s="78" t="s">
        <v>2663</v>
      </c>
      <c r="B1135" s="220" t="s">
        <v>922</v>
      </c>
      <c r="C1135" s="185"/>
      <c r="D1135" s="103" t="str">
        <f>VLOOKUP(B1135, 'All Menu'!B:M, 4, 0)</f>
        <v>كبدة دجاج كيلو</v>
      </c>
      <c r="E1135" s="30" t="str">
        <f>VLOOKUP(B1135, 'All Menu'!B:M, 2, 0)</f>
        <v>قسم الصواني</v>
      </c>
      <c r="F1135" s="103" t="str">
        <f>VLOOKUP(B1135, 'All Menu'!B:M, 3, 0)</f>
        <v>صواني وصجيات سفري</v>
      </c>
      <c r="G1135" s="90" t="s">
        <v>3058</v>
      </c>
      <c r="H1135" s="188">
        <v>4584</v>
      </c>
      <c r="I1135" s="110" t="str">
        <f>VLOOKUP(H1135, 'RM &amp; SF'!B:H, 2, 0)</f>
        <v>كبدة دجاج طازجة*****</v>
      </c>
      <c r="J1135" s="184" t="str">
        <f>VLOOKUP(H1135, 'RM &amp; SF'!B:E, 4, 0)</f>
        <v>غم</v>
      </c>
      <c r="K1135" s="12">
        <v>800</v>
      </c>
      <c r="L1135" s="13">
        <f>VLOOKUP(H1135, 'RM &amp; SF'!B:H, 7, 0)</f>
        <v>1.2999999999999999E-3</v>
      </c>
      <c r="M1135" s="7">
        <f t="shared" si="68"/>
        <v>1.04</v>
      </c>
      <c r="N1135" s="4" t="s">
        <v>825</v>
      </c>
      <c r="O1135" s="4">
        <f>VLOOKUP(B1135, 'All Menu'!B:L, 6, 0)</f>
        <v>8.6206896551724146</v>
      </c>
      <c r="P1135" s="6">
        <f>VLOOKUP(B1135, 'All Menu'!B:L, 9, 0)</f>
        <v>2.6211459770114947</v>
      </c>
      <c r="Q1135" s="14">
        <f>VLOOKUP(B1135, 'All Menu'!B:M, 12, 0)</f>
        <v>0.69594706666666672</v>
      </c>
      <c r="R1135" s="173">
        <f t="shared" ref="R1135:R1174" si="69">C1135*K1135</f>
        <v>0</v>
      </c>
    </row>
    <row r="1136" spans="1:18" ht="14" hidden="1">
      <c r="A1136" s="78" t="s">
        <v>2663</v>
      </c>
      <c r="B1136" s="220" t="s">
        <v>922</v>
      </c>
      <c r="C1136" s="185"/>
      <c r="D1136" s="103" t="str">
        <f>VLOOKUP(B1136, 'All Menu'!B:M, 4, 0)</f>
        <v>كبدة دجاج كيلو</v>
      </c>
      <c r="E1136" s="30" t="str">
        <f>VLOOKUP(B1136, 'All Menu'!B:M, 2, 0)</f>
        <v>قسم الصواني</v>
      </c>
      <c r="F1136" s="103" t="str">
        <f>VLOOKUP(B1136, 'All Menu'!B:M, 3, 0)</f>
        <v>صواني وصجيات سفري</v>
      </c>
      <c r="G1136" s="90" t="s">
        <v>2209</v>
      </c>
      <c r="H1136" s="188">
        <v>4546</v>
      </c>
      <c r="I1136" s="110" t="str">
        <f>VLOOKUP(H1136, 'RM &amp; SF'!B:H, 2, 0)</f>
        <v>كزبرة*****</v>
      </c>
      <c r="J1136" s="184" t="str">
        <f>VLOOKUP(H1136, 'RM &amp; SF'!B:E, 4, 0)</f>
        <v>قطعة</v>
      </c>
      <c r="K1136" s="12">
        <v>0.1</v>
      </c>
      <c r="L1136" s="13">
        <f>VLOOKUP(H1136, 'RM &amp; SF'!B:H, 7, 0)</f>
        <v>1E-3</v>
      </c>
      <c r="M1136" s="7">
        <f t="shared" si="68"/>
        <v>1E-4</v>
      </c>
      <c r="N1136" s="4" t="s">
        <v>825</v>
      </c>
      <c r="O1136" s="4">
        <f>VLOOKUP(B1136, 'All Menu'!B:L, 6, 0)</f>
        <v>8.6206896551724146</v>
      </c>
      <c r="P1136" s="6">
        <f>VLOOKUP(B1136, 'All Menu'!B:L, 9, 0)</f>
        <v>2.6211459770114947</v>
      </c>
      <c r="Q1136" s="14">
        <f>VLOOKUP(B1136, 'All Menu'!B:M, 12, 0)</f>
        <v>0.69594706666666672</v>
      </c>
      <c r="R1136" s="173">
        <f t="shared" si="69"/>
        <v>0</v>
      </c>
    </row>
    <row r="1137" spans="1:18" ht="14" hidden="1">
      <c r="A1137" s="78" t="s">
        <v>2663</v>
      </c>
      <c r="B1137" s="220" t="s">
        <v>922</v>
      </c>
      <c r="C1137" s="185"/>
      <c r="D1137" s="103" t="str">
        <f>VLOOKUP(B1137, 'All Menu'!B:M, 4, 0)</f>
        <v>كبدة دجاج كيلو</v>
      </c>
      <c r="E1137" s="30" t="str">
        <f>VLOOKUP(B1137, 'All Menu'!B:M, 2, 0)</f>
        <v>قسم الصواني</v>
      </c>
      <c r="F1137" s="103" t="str">
        <f>VLOOKUP(B1137, 'All Menu'!B:M, 3, 0)</f>
        <v>صواني وصجيات سفري</v>
      </c>
      <c r="G1137" s="90" t="s">
        <v>2255</v>
      </c>
      <c r="H1137" s="188">
        <v>4573</v>
      </c>
      <c r="I1137" s="110" t="str">
        <f>VLOOKUP(H1137, 'RM &amp; SF'!B:H, 2, 0)</f>
        <v>عصير ليمون طازج 2.5 لتر*****</v>
      </c>
      <c r="J1137" s="184" t="str">
        <f>VLOOKUP(H1137, 'RM &amp; SF'!B:E, 4, 0)</f>
        <v>مل</v>
      </c>
      <c r="K1137" s="12">
        <v>120</v>
      </c>
      <c r="L1137" s="13">
        <f>VLOOKUP(H1137, 'RM &amp; SF'!B:H, 7, 0)</f>
        <v>2.5999999999999999E-3</v>
      </c>
      <c r="M1137" s="7">
        <f t="shared" si="68"/>
        <v>0.312</v>
      </c>
      <c r="N1137" s="4" t="s">
        <v>825</v>
      </c>
      <c r="O1137" s="4">
        <f>VLOOKUP(B1137, 'All Menu'!B:L, 6, 0)</f>
        <v>8.6206896551724146</v>
      </c>
      <c r="P1137" s="6">
        <f>VLOOKUP(B1137, 'All Menu'!B:L, 9, 0)</f>
        <v>2.6211459770114947</v>
      </c>
      <c r="Q1137" s="14">
        <f>VLOOKUP(B1137, 'All Menu'!B:M, 12, 0)</f>
        <v>0.69594706666666672</v>
      </c>
      <c r="R1137" s="173">
        <f t="shared" si="69"/>
        <v>0</v>
      </c>
    </row>
    <row r="1138" spans="1:18" ht="14" hidden="1">
      <c r="A1138" s="78" t="s">
        <v>2663</v>
      </c>
      <c r="B1138" s="220" t="s">
        <v>922</v>
      </c>
      <c r="C1138" s="185"/>
      <c r="D1138" s="103" t="str">
        <f>VLOOKUP(B1138, 'All Menu'!B:M, 4, 0)</f>
        <v>كبدة دجاج كيلو</v>
      </c>
      <c r="E1138" s="30" t="str">
        <f>VLOOKUP(B1138, 'All Menu'!B:M, 2, 0)</f>
        <v>قسم الصواني</v>
      </c>
      <c r="F1138" s="103" t="str">
        <f>VLOOKUP(B1138, 'All Menu'!B:M, 3, 0)</f>
        <v>صواني وصجيات سفري</v>
      </c>
      <c r="G1138" s="90" t="s">
        <v>2357</v>
      </c>
      <c r="H1138" s="219" t="s">
        <v>744</v>
      </c>
      <c r="I1138" s="110" t="str">
        <f>VLOOKUP(H1138, 'RM &amp; SF'!B:H, 2, 0)</f>
        <v>زيت زيتون مكسور</v>
      </c>
      <c r="J1138" s="184" t="str">
        <f>VLOOKUP(H1138, 'RM &amp; SF'!B:E, 4, 0)</f>
        <v>غم</v>
      </c>
      <c r="K1138" s="12">
        <v>120</v>
      </c>
      <c r="L1138" s="13">
        <f>VLOOKUP(H1138, 'RM &amp; SF'!B:H, 7, 0)</f>
        <v>3.3899999999999998E-3</v>
      </c>
      <c r="M1138" s="7">
        <f t="shared" si="68"/>
        <v>0.40679999999999999</v>
      </c>
      <c r="N1138" s="4" t="s">
        <v>825</v>
      </c>
      <c r="O1138" s="4">
        <f>VLOOKUP(B1138, 'All Menu'!B:L, 6, 0)</f>
        <v>8.6206896551724146</v>
      </c>
      <c r="P1138" s="6">
        <f>VLOOKUP(B1138, 'All Menu'!B:L, 9, 0)</f>
        <v>2.6211459770114947</v>
      </c>
      <c r="Q1138" s="14">
        <f>VLOOKUP(B1138, 'All Menu'!B:M, 12, 0)</f>
        <v>0.69594706666666672</v>
      </c>
      <c r="R1138" s="173">
        <f t="shared" si="69"/>
        <v>0</v>
      </c>
    </row>
    <row r="1139" spans="1:18" ht="15.5" hidden="1">
      <c r="A1139" s="78" t="s">
        <v>2663</v>
      </c>
      <c r="B1139" s="220" t="s">
        <v>922</v>
      </c>
      <c r="C1139" s="185"/>
      <c r="D1139" s="103" t="str">
        <f>VLOOKUP(B1139, 'All Menu'!B:M, 4, 0)</f>
        <v>كبدة دجاج كيلو</v>
      </c>
      <c r="E1139" s="30" t="str">
        <f>VLOOKUP(B1139, 'All Menu'!B:M, 2, 0)</f>
        <v>قسم الصواني</v>
      </c>
      <c r="F1139" s="103" t="str">
        <f>VLOOKUP(B1139, 'All Menu'!B:M, 3, 0)</f>
        <v>صواني وصجيات سفري</v>
      </c>
      <c r="G1139" s="90" t="s">
        <v>2321</v>
      </c>
      <c r="H1139" s="67">
        <v>5292</v>
      </c>
      <c r="I1139" s="110" t="str">
        <f>VLOOKUP(H1139, 'RM &amp; SF'!B:H, 2, 0)</f>
        <v>ثوم مقشر*****</v>
      </c>
      <c r="J1139" s="184" t="str">
        <f>VLOOKUP(H1139, 'RM &amp; SF'!B:E, 4, 0)</f>
        <v>غم</v>
      </c>
      <c r="K1139" s="12">
        <v>40</v>
      </c>
      <c r="L1139" s="13">
        <f>VLOOKUP(H1139, 'RM &amp; SF'!B:H, 7, 0)</f>
        <v>4.4999999999999997E-3</v>
      </c>
      <c r="M1139" s="7">
        <f t="shared" si="68"/>
        <v>0.18</v>
      </c>
      <c r="N1139" s="4" t="s">
        <v>825</v>
      </c>
      <c r="O1139" s="4">
        <f>VLOOKUP(B1139, 'All Menu'!B:L, 6, 0)</f>
        <v>8.6206896551724146</v>
      </c>
      <c r="P1139" s="6">
        <f>VLOOKUP(B1139, 'All Menu'!B:L, 9, 0)</f>
        <v>2.6211459770114947</v>
      </c>
      <c r="Q1139" s="14">
        <f>VLOOKUP(B1139, 'All Menu'!B:M, 12, 0)</f>
        <v>0.69594706666666672</v>
      </c>
      <c r="R1139" s="173">
        <f t="shared" si="69"/>
        <v>0</v>
      </c>
    </row>
    <row r="1140" spans="1:18" ht="14" hidden="1">
      <c r="A1140" s="78" t="s">
        <v>2663</v>
      </c>
      <c r="B1140" s="220" t="s">
        <v>922</v>
      </c>
      <c r="C1140" s="185"/>
      <c r="D1140" s="103" t="str">
        <f>VLOOKUP(B1140, 'All Menu'!B:M, 4, 0)</f>
        <v>كبدة دجاج كيلو</v>
      </c>
      <c r="E1140" s="30" t="str">
        <f>VLOOKUP(B1140, 'All Menu'!B:M, 2, 0)</f>
        <v>قسم الصواني</v>
      </c>
      <c r="F1140" s="103" t="str">
        <f>VLOOKUP(B1140, 'All Menu'!B:M, 3, 0)</f>
        <v>صواني وصجيات سفري</v>
      </c>
      <c r="G1140" s="90" t="s">
        <v>2231</v>
      </c>
      <c r="H1140" s="188">
        <v>4499</v>
      </c>
      <c r="I1140" s="110" t="str">
        <f>VLOOKUP(H1140, 'RM &amp; SF'!B:H, 2, 0)</f>
        <v>فلفل حار اخضر*****</v>
      </c>
      <c r="J1140" s="184" t="str">
        <f>VLOOKUP(H1140, 'RM &amp; SF'!B:E, 4, 0)</f>
        <v>غم</v>
      </c>
      <c r="K1140" s="12">
        <v>28</v>
      </c>
      <c r="L1140" s="13">
        <f>VLOOKUP(H1140, 'RM &amp; SF'!B:H, 7, 0)</f>
        <v>5.0000000000000001E-4</v>
      </c>
      <c r="M1140" s="7">
        <f t="shared" si="68"/>
        <v>1.4E-2</v>
      </c>
      <c r="N1140" s="4" t="s">
        <v>825</v>
      </c>
      <c r="O1140" s="4">
        <f>VLOOKUP(B1140, 'All Menu'!B:L, 6, 0)</f>
        <v>8.6206896551724146</v>
      </c>
      <c r="P1140" s="6">
        <f>VLOOKUP(B1140, 'All Menu'!B:L, 9, 0)</f>
        <v>2.6211459770114947</v>
      </c>
      <c r="Q1140" s="14">
        <f>VLOOKUP(B1140, 'All Menu'!B:M, 12, 0)</f>
        <v>0.69594706666666672</v>
      </c>
      <c r="R1140" s="173">
        <f t="shared" si="69"/>
        <v>0</v>
      </c>
    </row>
    <row r="1141" spans="1:18" ht="14" hidden="1">
      <c r="A1141" s="78" t="s">
        <v>2663</v>
      </c>
      <c r="B1141" s="220" t="s">
        <v>922</v>
      </c>
      <c r="C1141" s="185"/>
      <c r="D1141" s="103" t="str">
        <f>VLOOKUP(B1141, 'All Menu'!B:M, 4, 0)</f>
        <v>كبدة دجاج كيلو</v>
      </c>
      <c r="E1141" s="30" t="str">
        <f>VLOOKUP(B1141, 'All Menu'!B:M, 2, 0)</f>
        <v>قسم الصواني</v>
      </c>
      <c r="F1141" s="103" t="str">
        <f>VLOOKUP(B1141, 'All Menu'!B:M, 3, 0)</f>
        <v>صواني وصجيات سفري</v>
      </c>
      <c r="G1141" s="90" t="s">
        <v>2234</v>
      </c>
      <c r="H1141" s="188">
        <v>4503</v>
      </c>
      <c r="I1141" s="110" t="str">
        <f>VLOOKUP(H1141, 'RM &amp; SF'!B:H, 2, 0)</f>
        <v>بصل ناشف دفش*****</v>
      </c>
      <c r="J1141" s="184" t="str">
        <f>VLOOKUP(H1141, 'RM &amp; SF'!B:E, 4, 0)</f>
        <v>غم</v>
      </c>
      <c r="K1141" s="12">
        <v>400</v>
      </c>
      <c r="L1141" s="13">
        <f>VLOOKUP(H1141, 'RM &amp; SF'!B:H, 7, 0)</f>
        <v>2.5000000000000001E-4</v>
      </c>
      <c r="M1141" s="7">
        <f t="shared" si="68"/>
        <v>0.1</v>
      </c>
      <c r="N1141" s="4" t="s">
        <v>825</v>
      </c>
      <c r="O1141" s="4">
        <f>VLOOKUP(B1141, 'All Menu'!B:L, 6, 0)</f>
        <v>8.6206896551724146</v>
      </c>
      <c r="P1141" s="6">
        <f>VLOOKUP(B1141, 'All Menu'!B:L, 9, 0)</f>
        <v>2.6211459770114947</v>
      </c>
      <c r="Q1141" s="14">
        <f>VLOOKUP(B1141, 'All Menu'!B:M, 12, 0)</f>
        <v>0.69594706666666672</v>
      </c>
      <c r="R1141" s="173">
        <f t="shared" si="69"/>
        <v>0</v>
      </c>
    </row>
    <row r="1142" spans="1:18" ht="14" hidden="1">
      <c r="A1142" s="78" t="s">
        <v>2663</v>
      </c>
      <c r="B1142" s="220" t="s">
        <v>922</v>
      </c>
      <c r="C1142" s="185"/>
      <c r="D1142" s="103" t="str">
        <f>VLOOKUP(B1142, 'All Menu'!B:M, 4, 0)</f>
        <v>كبدة دجاج كيلو</v>
      </c>
      <c r="E1142" s="30" t="str">
        <f>VLOOKUP(B1142, 'All Menu'!B:M, 2, 0)</f>
        <v>قسم الصواني</v>
      </c>
      <c r="F1142" s="103" t="str">
        <f>VLOOKUP(B1142, 'All Menu'!B:M, 3, 0)</f>
        <v>صواني وصجيات سفري</v>
      </c>
      <c r="G1142" s="90" t="s">
        <v>2260</v>
      </c>
      <c r="H1142" s="188">
        <v>4160</v>
      </c>
      <c r="I1142" s="110" t="str">
        <f>VLOOKUP(H1142, 'RM &amp; SF'!B:H, 2, 0)</f>
        <v>زيت صويا 18 لتر*****</v>
      </c>
      <c r="J1142" s="184" t="str">
        <f>VLOOKUP(H1142, 'RM &amp; SF'!B:E, 4, 0)</f>
        <v>مل</v>
      </c>
      <c r="K1142" s="12">
        <v>120</v>
      </c>
      <c r="L1142" s="13">
        <f>VLOOKUP(H1142, 'RM &amp; SF'!B:H, 7, 0)</f>
        <v>1.335E-3</v>
      </c>
      <c r="M1142" s="7">
        <f t="shared" si="68"/>
        <v>0.16020000000000001</v>
      </c>
      <c r="N1142" s="4" t="s">
        <v>825</v>
      </c>
      <c r="O1142" s="4">
        <f>VLOOKUP(B1142, 'All Menu'!B:L, 6, 0)</f>
        <v>8.6206896551724146</v>
      </c>
      <c r="P1142" s="6">
        <f>VLOOKUP(B1142, 'All Menu'!B:L, 9, 0)</f>
        <v>2.6211459770114947</v>
      </c>
      <c r="Q1142" s="14">
        <f>VLOOKUP(B1142, 'All Menu'!B:M, 12, 0)</f>
        <v>0.69594706666666672</v>
      </c>
      <c r="R1142" s="173">
        <f t="shared" si="69"/>
        <v>0</v>
      </c>
    </row>
    <row r="1143" spans="1:18" ht="14" hidden="1">
      <c r="A1143" s="78" t="s">
        <v>2663</v>
      </c>
      <c r="B1143" s="220" t="s">
        <v>922</v>
      </c>
      <c r="C1143" s="185"/>
      <c r="D1143" s="103" t="str">
        <f>VLOOKUP(B1143, 'All Menu'!B:M, 4, 0)</f>
        <v>كبدة دجاج كيلو</v>
      </c>
      <c r="E1143" s="30" t="str">
        <f>VLOOKUP(B1143, 'All Menu'!B:M, 2, 0)</f>
        <v>قسم الصواني</v>
      </c>
      <c r="F1143" s="103" t="str">
        <f>VLOOKUP(B1143, 'All Menu'!B:M, 3, 0)</f>
        <v>صواني وصجيات سفري</v>
      </c>
      <c r="G1143" s="90" t="s">
        <v>3058</v>
      </c>
      <c r="H1143" s="188">
        <v>5424</v>
      </c>
      <c r="I1143" s="110" t="str">
        <f>VLOOKUP(H1143, 'RM &amp; SF'!B:H, 2, 0)</f>
        <v>علب قصدير مدور 1/2 كغ RZ 25*****</v>
      </c>
      <c r="J1143" s="184" t="str">
        <f>VLOOKUP(H1143, 'RM &amp; SF'!B:E, 4, 0)</f>
        <v>قطعة</v>
      </c>
      <c r="K1143" s="12">
        <v>1</v>
      </c>
      <c r="L1143" s="13">
        <f>VLOOKUP(H1143, 'RM &amp; SF'!B:H, 7, 0)</f>
        <v>0.1149425287356322</v>
      </c>
      <c r="M1143" s="7">
        <f t="shared" si="68"/>
        <v>0.1149425287356322</v>
      </c>
      <c r="N1143" s="4" t="s">
        <v>825</v>
      </c>
      <c r="O1143" s="4">
        <f>VLOOKUP(B1143, 'All Menu'!B:L, 6, 0)</f>
        <v>8.6206896551724146</v>
      </c>
      <c r="P1143" s="6">
        <f>VLOOKUP(B1143, 'All Menu'!B:L, 9, 0)</f>
        <v>2.6211459770114947</v>
      </c>
      <c r="Q1143" s="14">
        <f>VLOOKUP(B1143, 'All Menu'!B:M, 12, 0)</f>
        <v>0.69594706666666672</v>
      </c>
      <c r="R1143" s="173">
        <f t="shared" si="69"/>
        <v>0</v>
      </c>
    </row>
    <row r="1144" spans="1:18" ht="14" hidden="1">
      <c r="A1144" s="78" t="s">
        <v>2663</v>
      </c>
      <c r="B1144" s="220" t="s">
        <v>922</v>
      </c>
      <c r="C1144" s="185"/>
      <c r="D1144" s="103" t="str">
        <f>VLOOKUP(B1144, 'All Menu'!B:M, 4, 0)</f>
        <v>كبدة دجاج كيلو</v>
      </c>
      <c r="E1144" s="30" t="str">
        <f>VLOOKUP(B1144, 'All Menu'!B:M, 2, 0)</f>
        <v>قسم الصواني</v>
      </c>
      <c r="F1144" s="103" t="str">
        <f>VLOOKUP(B1144, 'All Menu'!B:M, 3, 0)</f>
        <v>صواني وصجيات سفري</v>
      </c>
      <c r="G1144" s="90" t="s">
        <v>3058</v>
      </c>
      <c r="H1144" s="188">
        <v>4275</v>
      </c>
      <c r="I1144" s="110" t="str">
        <f>VLOOKUP(H1144, 'RM &amp; SF'!B:H, 2, 0)</f>
        <v>علب المركزية مطبوع + قاطع رقم 2 1*100 حبة*****</v>
      </c>
      <c r="J1144" s="184" t="str">
        <f>VLOOKUP(H1144, 'RM &amp; SF'!B:E, 4, 0)</f>
        <v>قطعة</v>
      </c>
      <c r="K1144" s="12">
        <v>1</v>
      </c>
      <c r="L1144" s="13">
        <f>VLOOKUP(H1144, 'RM &amp; SF'!B:H, 7, 0)</f>
        <v>0.2931034482758621</v>
      </c>
      <c r="M1144" s="7">
        <f t="shared" si="68"/>
        <v>0.2931034482758621</v>
      </c>
      <c r="N1144" s="4" t="s">
        <v>825</v>
      </c>
      <c r="O1144" s="4">
        <f>VLOOKUP(B1144, 'All Menu'!B:L, 6, 0)</f>
        <v>8.6206896551724146</v>
      </c>
      <c r="P1144" s="6">
        <f>VLOOKUP(B1144, 'All Menu'!B:L, 9, 0)</f>
        <v>2.6211459770114947</v>
      </c>
      <c r="Q1144" s="14">
        <f>VLOOKUP(B1144, 'All Menu'!B:M, 12, 0)</f>
        <v>0.69594706666666672</v>
      </c>
      <c r="R1144" s="173">
        <f t="shared" si="69"/>
        <v>0</v>
      </c>
    </row>
    <row r="1145" spans="1:18" ht="14" hidden="1">
      <c r="A1145" s="78" t="s">
        <v>2666</v>
      </c>
      <c r="B1145" s="220" t="s">
        <v>923</v>
      </c>
      <c r="C1145" s="185"/>
      <c r="D1145" s="103" t="str">
        <f>VLOOKUP(B1145, 'All Menu'!B:M, 4, 0)</f>
        <v>نخاعات مطفية</v>
      </c>
      <c r="E1145" s="30" t="str">
        <f>VLOOKUP(B1145, 'All Menu'!B:M, 2, 0)</f>
        <v>قسم الصواني</v>
      </c>
      <c r="F1145" s="103" t="str">
        <f>VLOOKUP(B1145, 'All Menu'!B:M, 3, 0)</f>
        <v>صواني وصجيات سفري</v>
      </c>
      <c r="G1145" s="90" t="s">
        <v>3058</v>
      </c>
      <c r="H1145" s="188">
        <v>5066</v>
      </c>
      <c r="I1145" s="110" t="str">
        <f>VLOOKUP(H1145, 'RM &amp; SF'!B:H, 2, 0)</f>
        <v>نخاعات نية*****</v>
      </c>
      <c r="J1145" s="184" t="str">
        <f>VLOOKUP(H1145, 'RM &amp; SF'!B:E, 4, 0)</f>
        <v>قطعة</v>
      </c>
      <c r="K1145" s="12">
        <v>2</v>
      </c>
      <c r="L1145" s="13">
        <f>VLOOKUP(H1145, 'RM &amp; SF'!B:H, 7, 0)</f>
        <v>1.25</v>
      </c>
      <c r="M1145" s="7">
        <f t="shared" si="68"/>
        <v>2.5</v>
      </c>
      <c r="N1145" s="4" t="s">
        <v>825</v>
      </c>
      <c r="O1145" s="4">
        <f>VLOOKUP(B1145, 'All Menu'!B:L, 6, 0)</f>
        <v>4.3103448275862073</v>
      </c>
      <c r="P1145" s="6">
        <f>VLOOKUP(B1145, 'All Menu'!B:L, 9, 0)</f>
        <v>3.2003989804597706</v>
      </c>
      <c r="Q1145" s="14">
        <f>VLOOKUP(B1145, 'All Menu'!B:M, 12, 0)</f>
        <v>0.2575074365333333</v>
      </c>
      <c r="R1145" s="173">
        <f t="shared" si="69"/>
        <v>0</v>
      </c>
    </row>
    <row r="1146" spans="1:18" ht="14" hidden="1">
      <c r="A1146" s="78" t="s">
        <v>2666</v>
      </c>
      <c r="B1146" s="220" t="s">
        <v>923</v>
      </c>
      <c r="C1146" s="185"/>
      <c r="D1146" s="103" t="str">
        <f>VLOOKUP(B1146, 'All Menu'!B:M, 4, 0)</f>
        <v>نخاعات مطفية</v>
      </c>
      <c r="E1146" s="30" t="str">
        <f>VLOOKUP(B1146, 'All Menu'!B:M, 2, 0)</f>
        <v>قسم الصواني</v>
      </c>
      <c r="F1146" s="103" t="str">
        <f>VLOOKUP(B1146, 'All Menu'!B:M, 3, 0)</f>
        <v>صواني وصجيات سفري</v>
      </c>
      <c r="G1146" s="90" t="s">
        <v>2385</v>
      </c>
      <c r="H1146" s="219" t="s">
        <v>540</v>
      </c>
      <c r="I1146" s="110" t="str">
        <f>VLOOKUP(H1146, 'RM &amp; SF'!B:H, 2, 0)</f>
        <v xml:space="preserve">بطاطا مقلية </v>
      </c>
      <c r="J1146" s="184" t="str">
        <f>VLOOKUP(H1146, 'RM &amp; SF'!B:E, 4, 0)</f>
        <v>غم</v>
      </c>
      <c r="K1146" s="12">
        <v>40</v>
      </c>
      <c r="L1146" s="13">
        <f>VLOOKUP(H1146, 'RM &amp; SF'!B:H, 7, 0)</f>
        <v>7.9700000000000007E-4</v>
      </c>
      <c r="M1146" s="7">
        <f t="shared" si="68"/>
        <v>3.1880000000000006E-2</v>
      </c>
      <c r="N1146" s="4" t="s">
        <v>825</v>
      </c>
      <c r="O1146" s="4">
        <f>VLOOKUP(B1146, 'All Menu'!B:L, 6, 0)</f>
        <v>4.3103448275862073</v>
      </c>
      <c r="P1146" s="6">
        <f>VLOOKUP(B1146, 'All Menu'!B:L, 9, 0)</f>
        <v>3.2003989804597706</v>
      </c>
      <c r="Q1146" s="14">
        <f>VLOOKUP(B1146, 'All Menu'!B:M, 12, 0)</f>
        <v>0.2575074365333333</v>
      </c>
      <c r="R1146" s="173">
        <f t="shared" si="69"/>
        <v>0</v>
      </c>
    </row>
    <row r="1147" spans="1:18" ht="14" hidden="1">
      <c r="A1147" s="78" t="s">
        <v>2666</v>
      </c>
      <c r="B1147" s="220" t="s">
        <v>923</v>
      </c>
      <c r="C1147" s="185"/>
      <c r="D1147" s="103" t="str">
        <f>VLOOKUP(B1147, 'All Menu'!B:M, 4, 0)</f>
        <v>نخاعات مطفية</v>
      </c>
      <c r="E1147" s="30" t="str">
        <f>VLOOKUP(B1147, 'All Menu'!B:M, 2, 0)</f>
        <v>قسم الصواني</v>
      </c>
      <c r="F1147" s="103" t="str">
        <f>VLOOKUP(B1147, 'All Menu'!B:M, 3, 0)</f>
        <v>صواني وصجيات سفري</v>
      </c>
      <c r="G1147" s="90" t="s">
        <v>2209</v>
      </c>
      <c r="H1147" s="188">
        <v>4546</v>
      </c>
      <c r="I1147" s="110" t="str">
        <f>VLOOKUP(H1147, 'RM &amp; SF'!B:H, 2, 0)</f>
        <v>كزبرة*****</v>
      </c>
      <c r="J1147" s="184" t="str">
        <f>VLOOKUP(H1147, 'RM &amp; SF'!B:E, 4, 0)</f>
        <v>قطعة</v>
      </c>
      <c r="K1147" s="12">
        <v>0.03</v>
      </c>
      <c r="L1147" s="13">
        <f>VLOOKUP(H1147, 'RM &amp; SF'!B:H, 7, 0)</f>
        <v>1E-3</v>
      </c>
      <c r="M1147" s="7">
        <f t="shared" si="68"/>
        <v>3.0000000000000001E-5</v>
      </c>
      <c r="N1147" s="4" t="s">
        <v>825</v>
      </c>
      <c r="O1147" s="4">
        <f>VLOOKUP(B1147, 'All Menu'!B:L, 6, 0)</f>
        <v>4.3103448275862073</v>
      </c>
      <c r="P1147" s="6">
        <f>VLOOKUP(B1147, 'All Menu'!B:L, 9, 0)</f>
        <v>3.2003989804597706</v>
      </c>
      <c r="Q1147" s="14">
        <f>VLOOKUP(B1147, 'All Menu'!B:M, 12, 0)</f>
        <v>0.2575074365333333</v>
      </c>
      <c r="R1147" s="173">
        <f t="shared" si="69"/>
        <v>0</v>
      </c>
    </row>
    <row r="1148" spans="1:18" ht="14" hidden="1">
      <c r="A1148" s="78" t="s">
        <v>2666</v>
      </c>
      <c r="B1148" s="220" t="s">
        <v>923</v>
      </c>
      <c r="C1148" s="185"/>
      <c r="D1148" s="103" t="str">
        <f>VLOOKUP(B1148, 'All Menu'!B:M, 4, 0)</f>
        <v>نخاعات مطفية</v>
      </c>
      <c r="E1148" s="30" t="str">
        <f>VLOOKUP(B1148, 'All Menu'!B:M, 2, 0)</f>
        <v>قسم الصواني</v>
      </c>
      <c r="F1148" s="103" t="str">
        <f>VLOOKUP(B1148, 'All Menu'!B:M, 3, 0)</f>
        <v>صواني وصجيات سفري</v>
      </c>
      <c r="G1148" s="90" t="s">
        <v>2446</v>
      </c>
      <c r="H1148" s="219" t="s">
        <v>670</v>
      </c>
      <c r="I1148" s="110" t="str">
        <f>VLOOKUP(H1148, 'RM &amp; SF'!B:H, 2, 0)</f>
        <v xml:space="preserve">صوص مطفى </v>
      </c>
      <c r="J1148" s="184" t="str">
        <f>VLOOKUP(H1148, 'RM &amp; SF'!B:E, 4, 0)</f>
        <v>غم</v>
      </c>
      <c r="K1148" s="12">
        <v>140</v>
      </c>
      <c r="L1148" s="13">
        <f>VLOOKUP(H1148, 'RM &amp; SF'!B:H, 7, 0)</f>
        <v>1.5630349999999999E-3</v>
      </c>
      <c r="M1148" s="7">
        <f t="shared" si="68"/>
        <v>0.21882489999999999</v>
      </c>
      <c r="N1148" s="4" t="s">
        <v>825</v>
      </c>
      <c r="O1148" s="4">
        <f>VLOOKUP(B1148, 'All Menu'!B:L, 6, 0)</f>
        <v>4.3103448275862073</v>
      </c>
      <c r="P1148" s="6">
        <f>VLOOKUP(B1148, 'All Menu'!B:L, 9, 0)</f>
        <v>3.2003989804597706</v>
      </c>
      <c r="Q1148" s="14">
        <f>VLOOKUP(B1148, 'All Menu'!B:M, 12, 0)</f>
        <v>0.2575074365333333</v>
      </c>
      <c r="R1148" s="173">
        <f t="shared" si="69"/>
        <v>0</v>
      </c>
    </row>
    <row r="1149" spans="1:18" ht="14" hidden="1">
      <c r="A1149" s="78" t="s">
        <v>2666</v>
      </c>
      <c r="B1149" s="220" t="s">
        <v>923</v>
      </c>
      <c r="C1149" s="185"/>
      <c r="D1149" s="103" t="str">
        <f>VLOOKUP(B1149, 'All Menu'!B:M, 4, 0)</f>
        <v>نخاعات مطفية</v>
      </c>
      <c r="E1149" s="30" t="str">
        <f>VLOOKUP(B1149, 'All Menu'!B:M, 2, 0)</f>
        <v>قسم الصواني</v>
      </c>
      <c r="F1149" s="103" t="str">
        <f>VLOOKUP(B1149, 'All Menu'!B:M, 3, 0)</f>
        <v>صواني وصجيات سفري</v>
      </c>
      <c r="G1149" s="90" t="s">
        <v>2177</v>
      </c>
      <c r="H1149" s="188">
        <v>4566</v>
      </c>
      <c r="I1149" s="110" t="str">
        <f>VLOOKUP(H1149, 'RM &amp; SF'!B:H, 2, 0)</f>
        <v>زبدة صفائح 5*2 كغ*****</v>
      </c>
      <c r="J1149" s="184" t="str">
        <f>VLOOKUP(H1149, 'RM &amp; SF'!B:E, 4, 0)</f>
        <v>غم</v>
      </c>
      <c r="K1149" s="12">
        <v>20</v>
      </c>
      <c r="L1149" s="13">
        <f>VLOOKUP(H1149, 'RM &amp; SF'!B:H, 7, 0)</f>
        <v>2E-3</v>
      </c>
      <c r="M1149" s="7">
        <f t="shared" si="68"/>
        <v>0.04</v>
      </c>
      <c r="N1149" s="4" t="s">
        <v>825</v>
      </c>
      <c r="O1149" s="4">
        <f>VLOOKUP(B1149, 'All Menu'!B:L, 6, 0)</f>
        <v>4.3103448275862073</v>
      </c>
      <c r="P1149" s="6">
        <f>VLOOKUP(B1149, 'All Menu'!B:L, 9, 0)</f>
        <v>3.2003989804597706</v>
      </c>
      <c r="Q1149" s="14">
        <f>VLOOKUP(B1149, 'All Menu'!B:M, 12, 0)</f>
        <v>0.2575074365333333</v>
      </c>
      <c r="R1149" s="173">
        <f t="shared" si="69"/>
        <v>0</v>
      </c>
    </row>
    <row r="1150" spans="1:18" ht="15.5" hidden="1">
      <c r="A1150" s="78" t="s">
        <v>2666</v>
      </c>
      <c r="B1150" s="220" t="s">
        <v>923</v>
      </c>
      <c r="C1150" s="185"/>
      <c r="D1150" s="103" t="str">
        <f>VLOOKUP(B1150, 'All Menu'!B:M, 4, 0)</f>
        <v>نخاعات مطفية</v>
      </c>
      <c r="E1150" s="30" t="str">
        <f>VLOOKUP(B1150, 'All Menu'!B:M, 2, 0)</f>
        <v>قسم الصواني</v>
      </c>
      <c r="F1150" s="103" t="str">
        <f>VLOOKUP(B1150, 'All Menu'!B:M, 3, 0)</f>
        <v>صواني وصجيات سفري</v>
      </c>
      <c r="G1150" s="90" t="s">
        <v>2321</v>
      </c>
      <c r="H1150" s="67">
        <v>5292</v>
      </c>
      <c r="I1150" s="110" t="str">
        <f>VLOOKUP(H1150, 'RM &amp; SF'!B:H, 2, 0)</f>
        <v>ثوم مقشر*****</v>
      </c>
      <c r="J1150" s="184" t="str">
        <f>VLOOKUP(H1150, 'RM &amp; SF'!B:E, 4, 0)</f>
        <v>غم</v>
      </c>
      <c r="K1150" s="12">
        <v>7</v>
      </c>
      <c r="L1150" s="13">
        <f>VLOOKUP(H1150, 'RM &amp; SF'!B:H, 7, 0)</f>
        <v>4.4999999999999997E-3</v>
      </c>
      <c r="M1150" s="7">
        <f t="shared" si="68"/>
        <v>3.15E-2</v>
      </c>
      <c r="N1150" s="4" t="s">
        <v>825</v>
      </c>
      <c r="O1150" s="4">
        <f>VLOOKUP(B1150, 'All Menu'!B:L, 6, 0)</f>
        <v>4.3103448275862073</v>
      </c>
      <c r="P1150" s="6">
        <f>VLOOKUP(B1150, 'All Menu'!B:L, 9, 0)</f>
        <v>3.2003989804597706</v>
      </c>
      <c r="Q1150" s="14">
        <f>VLOOKUP(B1150, 'All Menu'!B:M, 12, 0)</f>
        <v>0.2575074365333333</v>
      </c>
      <c r="R1150" s="173">
        <f t="shared" si="69"/>
        <v>0</v>
      </c>
    </row>
    <row r="1151" spans="1:18" ht="14" hidden="1">
      <c r="A1151" s="78" t="s">
        <v>2666</v>
      </c>
      <c r="B1151" s="220" t="s">
        <v>923</v>
      </c>
      <c r="C1151" s="185"/>
      <c r="D1151" s="103" t="str">
        <f>VLOOKUP(B1151, 'All Menu'!B:M, 4, 0)</f>
        <v>نخاعات مطفية</v>
      </c>
      <c r="E1151" s="30" t="str">
        <f>VLOOKUP(B1151, 'All Menu'!B:M, 2, 0)</f>
        <v>قسم الصواني</v>
      </c>
      <c r="F1151" s="103" t="str">
        <f>VLOOKUP(B1151, 'All Menu'!B:M, 3, 0)</f>
        <v>صواني وصجيات سفري</v>
      </c>
      <c r="G1151" s="90" t="s">
        <v>2203</v>
      </c>
      <c r="H1151" s="188">
        <v>4152</v>
      </c>
      <c r="I1151" s="110" t="str">
        <f>VLOOKUP(H1151, 'RM &amp; SF'!B:H, 2, 0)</f>
        <v>ملح طعام 750غم*****</v>
      </c>
      <c r="J1151" s="184" t="str">
        <f>VLOOKUP(H1151, 'RM &amp; SF'!B:E, 4, 0)</f>
        <v>غم</v>
      </c>
      <c r="K1151" s="12">
        <v>2</v>
      </c>
      <c r="L1151" s="13">
        <f>VLOOKUP(H1151, 'RM &amp; SF'!B:H, 7, 0)</f>
        <v>1.7066666666666665E-4</v>
      </c>
      <c r="M1151" s="7">
        <f t="shared" si="68"/>
        <v>3.413333333333333E-4</v>
      </c>
      <c r="N1151" s="4" t="s">
        <v>825</v>
      </c>
      <c r="O1151" s="4">
        <f>VLOOKUP(B1151, 'All Menu'!B:L, 6, 0)</f>
        <v>4.3103448275862073</v>
      </c>
      <c r="P1151" s="6">
        <f>VLOOKUP(B1151, 'All Menu'!B:L, 9, 0)</f>
        <v>3.2003989804597706</v>
      </c>
      <c r="Q1151" s="14">
        <f>VLOOKUP(B1151, 'All Menu'!B:M, 12, 0)</f>
        <v>0.2575074365333333</v>
      </c>
      <c r="R1151" s="173">
        <f t="shared" si="69"/>
        <v>0</v>
      </c>
    </row>
    <row r="1152" spans="1:18" ht="14" hidden="1">
      <c r="A1152" s="78" t="s">
        <v>2666</v>
      </c>
      <c r="B1152" s="220" t="s">
        <v>923</v>
      </c>
      <c r="C1152" s="185"/>
      <c r="D1152" s="103" t="str">
        <f>VLOOKUP(B1152, 'All Menu'!B:M, 4, 0)</f>
        <v>نخاعات مطفية</v>
      </c>
      <c r="E1152" s="30" t="str">
        <f>VLOOKUP(B1152, 'All Menu'!B:M, 2, 0)</f>
        <v>قسم الصواني</v>
      </c>
      <c r="F1152" s="103" t="str">
        <f>VLOOKUP(B1152, 'All Menu'!B:M, 3, 0)</f>
        <v>صواني وصجيات سفري</v>
      </c>
      <c r="G1152" s="90" t="s">
        <v>2206</v>
      </c>
      <c r="H1152" s="188">
        <v>4204</v>
      </c>
      <c r="I1152" s="110" t="str">
        <f>VLOOKUP(H1152, 'RM &amp; SF'!B:H, 2, 0)</f>
        <v>فلفل اسود ناعم*****</v>
      </c>
      <c r="J1152" s="184" t="str">
        <f>VLOOKUP(H1152, 'RM &amp; SF'!B:E, 4, 0)</f>
        <v>غم</v>
      </c>
      <c r="K1152" s="12">
        <v>1</v>
      </c>
      <c r="L1152" s="13">
        <f>VLOOKUP(H1152, 'RM &amp; SF'!B:H, 7, 0)</f>
        <v>6.8970000000000004E-3</v>
      </c>
      <c r="M1152" s="7">
        <f t="shared" si="68"/>
        <v>6.8970000000000004E-3</v>
      </c>
      <c r="N1152" s="4" t="s">
        <v>825</v>
      </c>
      <c r="O1152" s="4">
        <f>VLOOKUP(B1152, 'All Menu'!B:L, 6, 0)</f>
        <v>4.3103448275862073</v>
      </c>
      <c r="P1152" s="6">
        <f>VLOOKUP(B1152, 'All Menu'!B:L, 9, 0)</f>
        <v>3.2003989804597706</v>
      </c>
      <c r="Q1152" s="14">
        <f>VLOOKUP(B1152, 'All Menu'!B:M, 12, 0)</f>
        <v>0.2575074365333333</v>
      </c>
      <c r="R1152" s="173">
        <f t="shared" si="69"/>
        <v>0</v>
      </c>
    </row>
    <row r="1153" spans="1:18" ht="14" hidden="1">
      <c r="A1153" s="78" t="s">
        <v>2666</v>
      </c>
      <c r="B1153" s="220" t="s">
        <v>923</v>
      </c>
      <c r="C1153" s="185"/>
      <c r="D1153" s="103" t="str">
        <f>VLOOKUP(B1153, 'All Menu'!B:M, 4, 0)</f>
        <v>نخاعات مطفية</v>
      </c>
      <c r="E1153" s="30" t="str">
        <f>VLOOKUP(B1153, 'All Menu'!B:M, 2, 0)</f>
        <v>قسم الصواني</v>
      </c>
      <c r="F1153" s="103" t="str">
        <f>VLOOKUP(B1153, 'All Menu'!B:M, 3, 0)</f>
        <v>صواني وصجيات سفري</v>
      </c>
      <c r="G1153" s="90" t="s">
        <v>2345</v>
      </c>
      <c r="H1153" s="219" t="s">
        <v>714</v>
      </c>
      <c r="I1153" s="110" t="str">
        <f>VLOOKUP(H1153, 'RM &amp; SF'!B:H, 2, 0)</f>
        <v>ثوم وزيت</v>
      </c>
      <c r="J1153" s="184" t="str">
        <f>VLOOKUP(H1153, 'RM &amp; SF'!B:E, 4, 0)</f>
        <v>غم</v>
      </c>
      <c r="K1153" s="12">
        <v>5</v>
      </c>
      <c r="L1153" s="13">
        <f>VLOOKUP(H1153, 'RM &amp; SF'!B:H, 7, 0)</f>
        <v>3.2339999999999999E-3</v>
      </c>
      <c r="M1153" s="7">
        <f t="shared" si="68"/>
        <v>1.617E-2</v>
      </c>
      <c r="N1153" s="4" t="s">
        <v>825</v>
      </c>
      <c r="O1153" s="4">
        <f>VLOOKUP(B1153, 'All Menu'!B:L, 6, 0)</f>
        <v>4.3103448275862073</v>
      </c>
      <c r="P1153" s="6">
        <f>VLOOKUP(B1153, 'All Menu'!B:L, 9, 0)</f>
        <v>3.2003989804597706</v>
      </c>
      <c r="Q1153" s="14">
        <f>VLOOKUP(B1153, 'All Menu'!B:M, 12, 0)</f>
        <v>0.2575074365333333</v>
      </c>
      <c r="R1153" s="173">
        <f t="shared" si="69"/>
        <v>0</v>
      </c>
    </row>
    <row r="1154" spans="1:18" ht="14" hidden="1">
      <c r="A1154" s="78" t="s">
        <v>2666</v>
      </c>
      <c r="B1154" s="220" t="s">
        <v>923</v>
      </c>
      <c r="C1154" s="185"/>
      <c r="D1154" s="103" t="str">
        <f>VLOOKUP(B1154, 'All Menu'!B:M, 4, 0)</f>
        <v>نخاعات مطفية</v>
      </c>
      <c r="E1154" s="30" t="str">
        <f>VLOOKUP(B1154, 'All Menu'!B:M, 2, 0)</f>
        <v>قسم الصواني</v>
      </c>
      <c r="F1154" s="103" t="str">
        <f>VLOOKUP(B1154, 'All Menu'!B:M, 3, 0)</f>
        <v>صواني وصجيات سفري</v>
      </c>
      <c r="G1154" s="90" t="s">
        <v>3058</v>
      </c>
      <c r="H1154" s="188">
        <v>4022</v>
      </c>
      <c r="I1154" s="110" t="str">
        <f>VLOOKUP(H1154, 'RM &amp; SF'!B:H, 2, 0)</f>
        <v>مرق الدجاج بودرة 1 كغ*****</v>
      </c>
      <c r="J1154" s="184" t="str">
        <f>VLOOKUP(H1154, 'RM &amp; SF'!B:E, 4, 0)</f>
        <v>غم</v>
      </c>
      <c r="K1154" s="12">
        <v>2</v>
      </c>
      <c r="L1154" s="13">
        <f>VLOOKUP(H1154, 'RM &amp; SF'!B:H, 7, 0)</f>
        <v>4.7054597701149427E-3</v>
      </c>
      <c r="M1154" s="7">
        <f t="shared" si="68"/>
        <v>9.4109195402298854E-3</v>
      </c>
      <c r="N1154" s="4" t="s">
        <v>825</v>
      </c>
      <c r="O1154" s="4">
        <f>VLOOKUP(B1154, 'All Menu'!B:L, 6, 0)</f>
        <v>4.3103448275862073</v>
      </c>
      <c r="P1154" s="6">
        <f>VLOOKUP(B1154, 'All Menu'!B:L, 9, 0)</f>
        <v>3.2003989804597706</v>
      </c>
      <c r="Q1154" s="14">
        <f>VLOOKUP(B1154, 'All Menu'!B:M, 12, 0)</f>
        <v>0.2575074365333333</v>
      </c>
      <c r="R1154" s="173">
        <f t="shared" si="69"/>
        <v>0</v>
      </c>
    </row>
    <row r="1155" spans="1:18" ht="14" hidden="1">
      <c r="A1155" s="78" t="s">
        <v>2666</v>
      </c>
      <c r="B1155" s="220" t="s">
        <v>923</v>
      </c>
      <c r="C1155" s="185"/>
      <c r="D1155" s="103" t="str">
        <f>VLOOKUP(B1155, 'All Menu'!B:M, 4, 0)</f>
        <v>نخاعات مطفية</v>
      </c>
      <c r="E1155" s="30" t="str">
        <f>VLOOKUP(B1155, 'All Menu'!B:M, 2, 0)</f>
        <v>قسم الصواني</v>
      </c>
      <c r="F1155" s="103" t="str">
        <f>VLOOKUP(B1155, 'All Menu'!B:M, 3, 0)</f>
        <v>صواني وصجيات سفري</v>
      </c>
      <c r="G1155" s="90" t="s">
        <v>2239</v>
      </c>
      <c r="H1155" s="188">
        <v>4513</v>
      </c>
      <c r="I1155" s="110" t="str">
        <f>VLOOKUP(H1155, 'RM &amp; SF'!B:H, 2, 0)</f>
        <v>ليمون اصفر*****</v>
      </c>
      <c r="J1155" s="184" t="str">
        <f>VLOOKUP(H1155, 'RM &amp; SF'!B:E, 4, 0)</f>
        <v>غم</v>
      </c>
      <c r="K1155" s="12">
        <v>20</v>
      </c>
      <c r="L1155" s="13">
        <f>VLOOKUP(H1155, 'RM &amp; SF'!B:H, 7, 0)</f>
        <v>1.75E-3</v>
      </c>
      <c r="M1155" s="7">
        <f t="shared" si="68"/>
        <v>3.5000000000000003E-2</v>
      </c>
      <c r="N1155" s="4" t="s">
        <v>825</v>
      </c>
      <c r="O1155" s="4">
        <f>VLOOKUP(B1155, 'All Menu'!B:L, 6, 0)</f>
        <v>4.3103448275862073</v>
      </c>
      <c r="P1155" s="6">
        <f>VLOOKUP(B1155, 'All Menu'!B:L, 9, 0)</f>
        <v>3.2003989804597706</v>
      </c>
      <c r="Q1155" s="14">
        <f>VLOOKUP(B1155, 'All Menu'!B:M, 12, 0)</f>
        <v>0.2575074365333333</v>
      </c>
      <c r="R1155" s="173">
        <f t="shared" si="69"/>
        <v>0</v>
      </c>
    </row>
    <row r="1156" spans="1:18" ht="14" hidden="1">
      <c r="A1156" s="78" t="s">
        <v>2666</v>
      </c>
      <c r="B1156" s="220" t="s">
        <v>923</v>
      </c>
      <c r="C1156" s="185"/>
      <c r="D1156" s="103" t="str">
        <f>VLOOKUP(B1156, 'All Menu'!B:M, 4, 0)</f>
        <v>نخاعات مطفية</v>
      </c>
      <c r="E1156" s="30" t="str">
        <f>VLOOKUP(B1156, 'All Menu'!B:M, 2, 0)</f>
        <v>قسم الصواني</v>
      </c>
      <c r="F1156" s="103" t="str">
        <f>VLOOKUP(B1156, 'All Menu'!B:M, 3, 0)</f>
        <v>صواني وصجيات سفري</v>
      </c>
      <c r="G1156" s="90" t="s">
        <v>3058</v>
      </c>
      <c r="H1156" s="188">
        <v>4290</v>
      </c>
      <c r="I1156" s="110" t="str">
        <f>VLOOKUP(H1156, 'RM &amp; SF'!B:H, 2, 0)</f>
        <v>علب قصدير مدور اوقية 250 غم RZ 18*****</v>
      </c>
      <c r="J1156" s="184" t="str">
        <f>VLOOKUP(H1156, 'RM &amp; SF'!B:E, 4, 0)</f>
        <v>قطعة</v>
      </c>
      <c r="K1156" s="12">
        <v>1</v>
      </c>
      <c r="L1156" s="13">
        <f>VLOOKUP(H1156, 'RM &amp; SF'!B:H, 7, 0)</f>
        <v>6.0344827586206906E-2</v>
      </c>
      <c r="M1156" s="7">
        <f t="shared" si="68"/>
        <v>6.0344827586206906E-2</v>
      </c>
      <c r="N1156" s="4" t="s">
        <v>825</v>
      </c>
      <c r="O1156" s="4">
        <f>VLOOKUP(B1156, 'All Menu'!B:L, 6, 0)</f>
        <v>4.3103448275862073</v>
      </c>
      <c r="P1156" s="6">
        <f>VLOOKUP(B1156, 'All Menu'!B:L, 9, 0)</f>
        <v>3.2003989804597706</v>
      </c>
      <c r="Q1156" s="14">
        <f>VLOOKUP(B1156, 'All Menu'!B:M, 12, 0)</f>
        <v>0.2575074365333333</v>
      </c>
      <c r="R1156" s="173">
        <f t="shared" si="69"/>
        <v>0</v>
      </c>
    </row>
    <row r="1157" spans="1:18" ht="14" hidden="1">
      <c r="A1157" s="78" t="s">
        <v>2666</v>
      </c>
      <c r="B1157" s="220" t="s">
        <v>923</v>
      </c>
      <c r="C1157" s="185"/>
      <c r="D1157" s="103" t="str">
        <f>VLOOKUP(B1157, 'All Menu'!B:M, 4, 0)</f>
        <v>نخاعات مطفية</v>
      </c>
      <c r="E1157" s="30" t="str">
        <f>VLOOKUP(B1157, 'All Menu'!B:M, 2, 0)</f>
        <v>قسم الصواني</v>
      </c>
      <c r="F1157" s="103" t="str">
        <f>VLOOKUP(B1157, 'All Menu'!B:M, 3, 0)</f>
        <v>صواني وصجيات سفري</v>
      </c>
      <c r="G1157" s="90" t="s">
        <v>3058</v>
      </c>
      <c r="H1157" s="188">
        <v>4274</v>
      </c>
      <c r="I1157" s="110" t="str">
        <f>VLOOKUP(H1157, 'RM &amp; SF'!B:H, 2, 0)</f>
        <v>علب المركزية مطبوع + قاطع رقم 1 1*100 حبة*****</v>
      </c>
      <c r="J1157" s="184" t="str">
        <f>VLOOKUP(H1157, 'RM &amp; SF'!B:E, 4, 0)</f>
        <v>قطعة</v>
      </c>
      <c r="K1157" s="12">
        <v>1</v>
      </c>
      <c r="L1157" s="13">
        <f>VLOOKUP(H1157, 'RM &amp; SF'!B:H, 7, 0)</f>
        <v>0.25</v>
      </c>
      <c r="M1157" s="7">
        <f t="shared" si="68"/>
        <v>0.25</v>
      </c>
      <c r="N1157" s="4" t="s">
        <v>825</v>
      </c>
      <c r="O1157" s="4">
        <f>VLOOKUP(B1157, 'All Menu'!B:L, 6, 0)</f>
        <v>4.3103448275862073</v>
      </c>
      <c r="P1157" s="6">
        <f>VLOOKUP(B1157, 'All Menu'!B:L, 9, 0)</f>
        <v>3.2003989804597706</v>
      </c>
      <c r="Q1157" s="14">
        <f>VLOOKUP(B1157, 'All Menu'!B:M, 12, 0)</f>
        <v>0.2575074365333333</v>
      </c>
      <c r="R1157" s="173">
        <f t="shared" si="69"/>
        <v>0</v>
      </c>
    </row>
    <row r="1158" spans="1:18" ht="14" hidden="1">
      <c r="A1158" s="78" t="s">
        <v>2640</v>
      </c>
      <c r="B1158" s="220" t="s">
        <v>924</v>
      </c>
      <c r="C1158" s="185"/>
      <c r="D1158" s="103" t="str">
        <f>VLOOKUP(B1158, 'All Menu'!B:M, 4, 0)</f>
        <v>نقانق دبس رمان</v>
      </c>
      <c r="E1158" s="30" t="str">
        <f>VLOOKUP(B1158, 'All Menu'!B:M, 2, 0)</f>
        <v>قسم الصواني</v>
      </c>
      <c r="F1158" s="103" t="str">
        <f>VLOOKUP(B1158, 'All Menu'!B:M, 3, 0)</f>
        <v>صواني وصجيات سفري</v>
      </c>
      <c r="G1158" s="90" t="s">
        <v>3058</v>
      </c>
      <c r="H1158" s="188">
        <v>5077</v>
      </c>
      <c r="I1158" s="110" t="str">
        <f>VLOOKUP(H1158, 'RM &amp; SF'!B:H, 2, 0)</f>
        <v>نقانق عربي*****</v>
      </c>
      <c r="J1158" s="184" t="str">
        <f>VLOOKUP(H1158, 'RM &amp; SF'!B:E, 4, 0)</f>
        <v>غم</v>
      </c>
      <c r="K1158" s="12">
        <v>250</v>
      </c>
      <c r="L1158" s="13">
        <f>VLOOKUP(H1158, 'RM &amp; SF'!B:H, 7, 0)</f>
        <v>2.4172999999999998E-3</v>
      </c>
      <c r="M1158" s="7">
        <f t="shared" si="68"/>
        <v>0.604325</v>
      </c>
      <c r="N1158" s="4" t="s">
        <v>825</v>
      </c>
      <c r="O1158" s="4">
        <f>VLOOKUP(B1158, 'All Menu'!B:L, 6, 0)</f>
        <v>3.2327586206896552</v>
      </c>
      <c r="P1158" s="6">
        <f>VLOOKUP(B1158, 'All Menu'!B:L, 9, 0)</f>
        <v>1.0210398275862069</v>
      </c>
      <c r="Q1158" s="14">
        <f>VLOOKUP(B1158, 'All Menu'!B:M, 12, 0)</f>
        <v>0.68415834666666664</v>
      </c>
      <c r="R1158" s="173">
        <f t="shared" si="69"/>
        <v>0</v>
      </c>
    </row>
    <row r="1159" spans="1:18" ht="14" hidden="1">
      <c r="A1159" s="78" t="s">
        <v>2640</v>
      </c>
      <c r="B1159" s="220" t="s">
        <v>924</v>
      </c>
      <c r="C1159" s="185"/>
      <c r="D1159" s="103" t="str">
        <f>VLOOKUP(B1159, 'All Menu'!B:M, 4, 0)</f>
        <v>نقانق دبس رمان</v>
      </c>
      <c r="E1159" s="30" t="str">
        <f>VLOOKUP(B1159, 'All Menu'!B:M, 2, 0)</f>
        <v>قسم الصواني</v>
      </c>
      <c r="F1159" s="103" t="str">
        <f>VLOOKUP(B1159, 'All Menu'!B:M, 3, 0)</f>
        <v>صواني وصجيات سفري</v>
      </c>
      <c r="G1159" s="90" t="s">
        <v>2265</v>
      </c>
      <c r="H1159" s="188">
        <v>4006</v>
      </c>
      <c r="I1159" s="110" t="str">
        <f>VLOOKUP(H1159, 'RM &amp; SF'!B:H, 2, 0)</f>
        <v>دبس رمان 5 كغ (مادة أولية)*****</v>
      </c>
      <c r="J1159" s="184" t="str">
        <f>VLOOKUP(H1159, 'RM &amp; SF'!B:E, 4, 0)</f>
        <v>غم</v>
      </c>
      <c r="K1159" s="12">
        <v>40</v>
      </c>
      <c r="L1159" s="13">
        <f>VLOOKUP(H1159, 'RM &amp; SF'!B:H, 7, 0)</f>
        <v>1.508E-3</v>
      </c>
      <c r="M1159" s="7">
        <f t="shared" si="68"/>
        <v>6.0319999999999999E-2</v>
      </c>
      <c r="N1159" s="4" t="s">
        <v>825</v>
      </c>
      <c r="O1159" s="4">
        <f>VLOOKUP(B1159, 'All Menu'!B:L, 6, 0)</f>
        <v>3.2327586206896552</v>
      </c>
      <c r="P1159" s="6">
        <f>VLOOKUP(B1159, 'All Menu'!B:L, 9, 0)</f>
        <v>1.0210398275862069</v>
      </c>
      <c r="Q1159" s="14">
        <f>VLOOKUP(B1159, 'All Menu'!B:M, 12, 0)</f>
        <v>0.68415834666666664</v>
      </c>
      <c r="R1159" s="173">
        <f t="shared" si="69"/>
        <v>0</v>
      </c>
    </row>
    <row r="1160" spans="1:18" ht="14" hidden="1">
      <c r="A1160" s="78" t="s">
        <v>2640</v>
      </c>
      <c r="B1160" s="220" t="s">
        <v>924</v>
      </c>
      <c r="C1160" s="185"/>
      <c r="D1160" s="103" t="str">
        <f>VLOOKUP(B1160, 'All Menu'!B:M, 4, 0)</f>
        <v>نقانق دبس رمان</v>
      </c>
      <c r="E1160" s="30" t="str">
        <f>VLOOKUP(B1160, 'All Menu'!B:M, 2, 0)</f>
        <v>قسم الصواني</v>
      </c>
      <c r="F1160" s="103" t="str">
        <f>VLOOKUP(B1160, 'All Menu'!B:M, 3, 0)</f>
        <v>صواني وصجيات سفري</v>
      </c>
      <c r="G1160" s="90" t="s">
        <v>2266</v>
      </c>
      <c r="H1160" s="188">
        <v>4008</v>
      </c>
      <c r="I1160" s="110" t="str">
        <f>VLOOKUP(H1160, 'RM &amp; SF'!B:H, 2, 0)</f>
        <v>صويا صوص 3.79 لتر*****</v>
      </c>
      <c r="J1160" s="184" t="str">
        <f>VLOOKUP(H1160, 'RM &amp; SF'!B:E, 4, 0)</f>
        <v>مل</v>
      </c>
      <c r="K1160" s="12">
        <v>15</v>
      </c>
      <c r="L1160" s="13">
        <f>VLOOKUP(H1160, 'RM &amp; SF'!B:H, 7, 0)</f>
        <v>3.0699999999999998E-3</v>
      </c>
      <c r="M1160" s="7">
        <f t="shared" si="68"/>
        <v>4.6049999999999994E-2</v>
      </c>
      <c r="N1160" s="4" t="s">
        <v>825</v>
      </c>
      <c r="O1160" s="4">
        <f>VLOOKUP(B1160, 'All Menu'!B:L, 6, 0)</f>
        <v>3.2327586206896552</v>
      </c>
      <c r="P1160" s="6">
        <f>VLOOKUP(B1160, 'All Menu'!B:L, 9, 0)</f>
        <v>1.0210398275862069</v>
      </c>
      <c r="Q1160" s="14">
        <f>VLOOKUP(B1160, 'All Menu'!B:M, 12, 0)</f>
        <v>0.68415834666666664</v>
      </c>
      <c r="R1160" s="173">
        <f t="shared" si="69"/>
        <v>0</v>
      </c>
    </row>
    <row r="1161" spans="1:18" ht="14" hidden="1">
      <c r="A1161" s="78" t="s">
        <v>2640</v>
      </c>
      <c r="B1161" s="220" t="s">
        <v>924</v>
      </c>
      <c r="C1161" s="185"/>
      <c r="D1161" s="103" t="str">
        <f>VLOOKUP(B1161, 'All Menu'!B:M, 4, 0)</f>
        <v>نقانق دبس رمان</v>
      </c>
      <c r="E1161" s="30" t="str">
        <f>VLOOKUP(B1161, 'All Menu'!B:M, 2, 0)</f>
        <v>قسم الصواني</v>
      </c>
      <c r="F1161" s="103" t="str">
        <f>VLOOKUP(B1161, 'All Menu'!B:M, 3, 0)</f>
        <v>صواني وصجيات سفري</v>
      </c>
      <c r="G1161" s="90" t="s">
        <v>3058</v>
      </c>
      <c r="H1161" s="188">
        <v>4290</v>
      </c>
      <c r="I1161" s="110" t="str">
        <f>VLOOKUP(H1161, 'RM &amp; SF'!B:H, 2, 0)</f>
        <v>علب قصدير مدور اوقية 250 غم RZ 18*****</v>
      </c>
      <c r="J1161" s="184" t="str">
        <f>VLOOKUP(H1161, 'RM &amp; SF'!B:E, 4, 0)</f>
        <v>قطعة</v>
      </c>
      <c r="K1161" s="12">
        <v>1</v>
      </c>
      <c r="L1161" s="13">
        <f>VLOOKUP(H1161, 'RM &amp; SF'!B:H, 7, 0)</f>
        <v>6.0344827586206906E-2</v>
      </c>
      <c r="M1161" s="7">
        <f t="shared" si="68"/>
        <v>6.0344827586206906E-2</v>
      </c>
      <c r="N1161" s="4" t="s">
        <v>825</v>
      </c>
      <c r="O1161" s="4">
        <f>VLOOKUP(B1161, 'All Menu'!B:L, 6, 0)</f>
        <v>3.2327586206896552</v>
      </c>
      <c r="P1161" s="6">
        <f>VLOOKUP(B1161, 'All Menu'!B:L, 9, 0)</f>
        <v>1.0210398275862069</v>
      </c>
      <c r="Q1161" s="14">
        <f>VLOOKUP(B1161, 'All Menu'!B:M, 12, 0)</f>
        <v>0.68415834666666664</v>
      </c>
      <c r="R1161" s="173">
        <f t="shared" si="69"/>
        <v>0</v>
      </c>
    </row>
    <row r="1162" spans="1:18" ht="14" hidden="1">
      <c r="A1162" s="78" t="s">
        <v>2640</v>
      </c>
      <c r="B1162" s="220" t="s">
        <v>924</v>
      </c>
      <c r="C1162" s="185"/>
      <c r="D1162" s="103" t="str">
        <f>VLOOKUP(B1162, 'All Menu'!B:M, 4, 0)</f>
        <v>نقانق دبس رمان</v>
      </c>
      <c r="E1162" s="30" t="str">
        <f>VLOOKUP(B1162, 'All Menu'!B:M, 2, 0)</f>
        <v>قسم الصواني</v>
      </c>
      <c r="F1162" s="103" t="str">
        <f>VLOOKUP(B1162, 'All Menu'!B:M, 3, 0)</f>
        <v>صواني وصجيات سفري</v>
      </c>
      <c r="G1162" s="90" t="s">
        <v>3058</v>
      </c>
      <c r="H1162" s="188">
        <v>4274</v>
      </c>
      <c r="I1162" s="110" t="str">
        <f>VLOOKUP(H1162, 'RM &amp; SF'!B:H, 2, 0)</f>
        <v>علب المركزية مطبوع + قاطع رقم 1 1*100 حبة*****</v>
      </c>
      <c r="J1162" s="184" t="str">
        <f>VLOOKUP(H1162, 'RM &amp; SF'!B:E, 4, 0)</f>
        <v>قطعة</v>
      </c>
      <c r="K1162" s="12">
        <v>1</v>
      </c>
      <c r="L1162" s="13">
        <f>VLOOKUP(H1162, 'RM &amp; SF'!B:H, 7, 0)</f>
        <v>0.25</v>
      </c>
      <c r="M1162" s="7">
        <f t="shared" si="68"/>
        <v>0.25</v>
      </c>
      <c r="N1162" s="4" t="s">
        <v>825</v>
      </c>
      <c r="O1162" s="4">
        <f>VLOOKUP(B1162, 'All Menu'!B:L, 6, 0)</f>
        <v>3.2327586206896552</v>
      </c>
      <c r="P1162" s="6">
        <f>VLOOKUP(B1162, 'All Menu'!B:L, 9, 0)</f>
        <v>1.0210398275862069</v>
      </c>
      <c r="Q1162" s="14">
        <f>VLOOKUP(B1162, 'All Menu'!B:M, 12, 0)</f>
        <v>0.68415834666666664</v>
      </c>
      <c r="R1162" s="173">
        <f t="shared" si="69"/>
        <v>0</v>
      </c>
    </row>
    <row r="1163" spans="1:18" ht="14" hidden="1">
      <c r="A1163" s="78" t="s">
        <v>2654</v>
      </c>
      <c r="B1163" s="220" t="s">
        <v>1073</v>
      </c>
      <c r="C1163" s="185"/>
      <c r="D1163" s="103" t="str">
        <f>VLOOKUP(B1163, 'All Menu'!B:M, 4, 0)</f>
        <v>فريكة بالدجاج والكريمة وقية</v>
      </c>
      <c r="E1163" s="30" t="str">
        <f>VLOOKUP(B1163, 'All Menu'!B:M, 2, 0)</f>
        <v>قسم الصواني</v>
      </c>
      <c r="F1163" s="103" t="str">
        <f>VLOOKUP(B1163, 'All Menu'!B:M, 3, 0)</f>
        <v>صواني وصجيات سفري</v>
      </c>
      <c r="G1163" s="90" t="s">
        <v>2282</v>
      </c>
      <c r="H1163" s="188">
        <v>4137</v>
      </c>
      <c r="I1163" s="110" t="str">
        <f>VLOOKUP(H1163, 'RM &amp; SF'!B:H, 2, 0)</f>
        <v>فريكة خشنة*****</v>
      </c>
      <c r="J1163" s="184" t="str">
        <f>VLOOKUP(H1163, 'RM &amp; SF'!B:E, 4, 0)</f>
        <v>غم</v>
      </c>
      <c r="K1163" s="12">
        <v>250</v>
      </c>
      <c r="L1163" s="13">
        <f>VLOOKUP(H1163, 'RM &amp; SF'!B:H, 7, 0)</f>
        <v>2.2059000000000002E-3</v>
      </c>
      <c r="M1163" s="7">
        <f t="shared" si="68"/>
        <v>0.55147500000000005</v>
      </c>
      <c r="N1163" s="4" t="s">
        <v>825</v>
      </c>
      <c r="O1163" s="4">
        <f>VLOOKUP(B1163, 'All Menu'!B:L, 6, 0)</f>
        <v>3.6637931034482762</v>
      </c>
      <c r="P1163" s="6">
        <f>VLOOKUP(B1163, 'All Menu'!B:L, 9, 0)</f>
        <v>2.1980220273946363</v>
      </c>
      <c r="Q1163" s="14">
        <f>VLOOKUP(B1163, 'All Menu'!B:M, 12, 0)</f>
        <v>0.40006928193464053</v>
      </c>
      <c r="R1163" s="173">
        <f t="shared" si="69"/>
        <v>0</v>
      </c>
    </row>
    <row r="1164" spans="1:18" ht="14" hidden="1">
      <c r="A1164" s="78" t="s">
        <v>2654</v>
      </c>
      <c r="B1164" s="220" t="s">
        <v>1073</v>
      </c>
      <c r="C1164" s="185"/>
      <c r="D1164" s="103" t="str">
        <f>VLOOKUP(B1164, 'All Menu'!B:M, 4, 0)</f>
        <v>فريكة بالدجاج والكريمة وقية</v>
      </c>
      <c r="E1164" s="30" t="str">
        <f>VLOOKUP(B1164, 'All Menu'!B:M, 2, 0)</f>
        <v>قسم الصواني</v>
      </c>
      <c r="F1164" s="103" t="str">
        <f>VLOOKUP(B1164, 'All Menu'!B:M, 3, 0)</f>
        <v>صواني وصجيات سفري</v>
      </c>
      <c r="G1164" s="90" t="s">
        <v>2445</v>
      </c>
      <c r="H1164" s="219" t="s">
        <v>668</v>
      </c>
      <c r="I1164" s="110" t="str">
        <f>VLOOKUP(H1164, 'RM &amp; SF'!B:H, 2, 0)</f>
        <v>دجاج مسحب بالفرن انترناشونال</v>
      </c>
      <c r="J1164" s="184" t="str">
        <f>VLOOKUP(H1164, 'RM &amp; SF'!B:E, 4, 0)</f>
        <v>غم</v>
      </c>
      <c r="K1164" s="12">
        <v>100</v>
      </c>
      <c r="L1164" s="13">
        <f>VLOOKUP(H1164, 'RM &amp; SF'!B:H, 7, 0)</f>
        <v>4.5947853888888886E-3</v>
      </c>
      <c r="M1164" s="7">
        <f t="shared" si="68"/>
        <v>0.45947853888888884</v>
      </c>
      <c r="N1164" s="4" t="s">
        <v>825</v>
      </c>
      <c r="O1164" s="4">
        <f>VLOOKUP(B1164, 'All Menu'!B:L, 6, 0)</f>
        <v>3.6637931034482762</v>
      </c>
      <c r="P1164" s="6">
        <f>VLOOKUP(B1164, 'All Menu'!B:L, 9, 0)</f>
        <v>2.1980220273946363</v>
      </c>
      <c r="Q1164" s="14">
        <f>VLOOKUP(B1164, 'All Menu'!B:M, 12, 0)</f>
        <v>0.40006928193464053</v>
      </c>
      <c r="R1164" s="173">
        <f t="shared" si="69"/>
        <v>0</v>
      </c>
    </row>
    <row r="1165" spans="1:18" ht="14" hidden="1">
      <c r="A1165" s="78" t="s">
        <v>2654</v>
      </c>
      <c r="B1165" s="220" t="s">
        <v>1073</v>
      </c>
      <c r="C1165" s="185"/>
      <c r="D1165" s="103" t="str">
        <f>VLOOKUP(B1165, 'All Menu'!B:M, 4, 0)</f>
        <v>فريكة بالدجاج والكريمة وقية</v>
      </c>
      <c r="E1165" s="30" t="str">
        <f>VLOOKUP(B1165, 'All Menu'!B:M, 2, 0)</f>
        <v>قسم الصواني</v>
      </c>
      <c r="F1165" s="103" t="str">
        <f>VLOOKUP(B1165, 'All Menu'!B:M, 3, 0)</f>
        <v>صواني وصجيات سفري</v>
      </c>
      <c r="G1165" s="90" t="s">
        <v>2240</v>
      </c>
      <c r="H1165" s="188">
        <v>4515</v>
      </c>
      <c r="I1165" s="110" t="str">
        <f>VLOOKUP(H1165, 'RM &amp; SF'!B:H, 2, 0)</f>
        <v>فطر طازج (فطر فرش)*****</v>
      </c>
      <c r="J1165" s="184" t="str">
        <f>VLOOKUP(H1165, 'RM &amp; SF'!B:E, 4, 0)</f>
        <v>غم</v>
      </c>
      <c r="K1165" s="12">
        <v>60</v>
      </c>
      <c r="L1165" s="13">
        <f>VLOOKUP(H1165, 'RM &amp; SF'!B:H, 7, 0)</f>
        <v>5.9999999999999993E-3</v>
      </c>
      <c r="M1165" s="7">
        <f t="shared" ref="M1165:M1201" si="70">L1165*K1165</f>
        <v>0.35999999999999993</v>
      </c>
      <c r="N1165" s="4" t="s">
        <v>825</v>
      </c>
      <c r="O1165" s="4">
        <f>VLOOKUP(B1165, 'All Menu'!B:L, 6, 0)</f>
        <v>3.6637931034482762</v>
      </c>
      <c r="P1165" s="6">
        <f>VLOOKUP(B1165, 'All Menu'!B:L, 9, 0)</f>
        <v>2.1980220273946363</v>
      </c>
      <c r="Q1165" s="14">
        <f>VLOOKUP(B1165, 'All Menu'!B:M, 12, 0)</f>
        <v>0.40006928193464053</v>
      </c>
      <c r="R1165" s="173">
        <f t="shared" si="69"/>
        <v>0</v>
      </c>
    </row>
    <row r="1166" spans="1:18" ht="14" hidden="1">
      <c r="A1166" s="78" t="s">
        <v>2654</v>
      </c>
      <c r="B1166" s="220" t="s">
        <v>1073</v>
      </c>
      <c r="C1166" s="185"/>
      <c r="D1166" s="103" t="str">
        <f>VLOOKUP(B1166, 'All Menu'!B:M, 4, 0)</f>
        <v>فريكة بالدجاج والكريمة وقية</v>
      </c>
      <c r="E1166" s="30" t="str">
        <f>VLOOKUP(B1166, 'All Menu'!B:M, 2, 0)</f>
        <v>قسم الصواني</v>
      </c>
      <c r="F1166" s="103" t="str">
        <f>VLOOKUP(B1166, 'All Menu'!B:M, 3, 0)</f>
        <v>صواني وصجيات سفري</v>
      </c>
      <c r="G1166" s="90" t="s">
        <v>2291</v>
      </c>
      <c r="H1166" s="188">
        <v>4556</v>
      </c>
      <c r="I1166" s="110" t="str">
        <f>VLOOKUP(H1166, 'RM &amp; SF'!B:H, 2, 0)</f>
        <v>كريما طبخ 1 لتر*****</v>
      </c>
      <c r="J1166" s="184" t="str">
        <f>VLOOKUP(H1166, 'RM &amp; SF'!B:E, 4, 0)</f>
        <v>مل</v>
      </c>
      <c r="K1166" s="12">
        <v>125</v>
      </c>
      <c r="L1166" s="13">
        <f>VLOOKUP(H1166, 'RM &amp; SF'!B:H, 7, 0)</f>
        <v>2.2269999999999998E-3</v>
      </c>
      <c r="M1166" s="7">
        <f t="shared" si="70"/>
        <v>0.27837499999999998</v>
      </c>
      <c r="N1166" s="4" t="s">
        <v>825</v>
      </c>
      <c r="O1166" s="4">
        <f>VLOOKUP(B1166, 'All Menu'!B:L, 6, 0)</f>
        <v>3.6637931034482762</v>
      </c>
      <c r="P1166" s="6">
        <f>VLOOKUP(B1166, 'All Menu'!B:L, 9, 0)</f>
        <v>2.1980220273946363</v>
      </c>
      <c r="Q1166" s="14">
        <f>VLOOKUP(B1166, 'All Menu'!B:M, 12, 0)</f>
        <v>0.40006928193464053</v>
      </c>
      <c r="R1166" s="173">
        <f t="shared" si="69"/>
        <v>0</v>
      </c>
    </row>
    <row r="1167" spans="1:18" ht="14" hidden="1">
      <c r="A1167" s="78" t="s">
        <v>2654</v>
      </c>
      <c r="B1167" s="220" t="s">
        <v>1073</v>
      </c>
      <c r="C1167" s="185"/>
      <c r="D1167" s="103" t="str">
        <f>VLOOKUP(B1167, 'All Menu'!B:M, 4, 0)</f>
        <v>فريكة بالدجاج والكريمة وقية</v>
      </c>
      <c r="E1167" s="30" t="str">
        <f>VLOOKUP(B1167, 'All Menu'!B:M, 2, 0)</f>
        <v>قسم الصواني</v>
      </c>
      <c r="F1167" s="103" t="str">
        <f>VLOOKUP(B1167, 'All Menu'!B:M, 3, 0)</f>
        <v>صواني وصجيات سفري</v>
      </c>
      <c r="G1167" s="90" t="s">
        <v>2173</v>
      </c>
      <c r="H1167" s="188">
        <v>4624</v>
      </c>
      <c r="I1167" s="110" t="str">
        <f>VLOOKUP(H1167, 'RM &amp; SF'!B:H, 2, 0)</f>
        <v>جبنة موزريلا قالب 2.380 كغ*****</v>
      </c>
      <c r="J1167" s="184" t="str">
        <f>VLOOKUP(H1167, 'RM &amp; SF'!B:E, 4, 0)</f>
        <v>غم</v>
      </c>
      <c r="K1167" s="12">
        <v>25</v>
      </c>
      <c r="L1167" s="13">
        <f>VLOOKUP(H1167, 'RM &amp; SF'!B:H, 7, 0)</f>
        <v>5.1749999999999999E-3</v>
      </c>
      <c r="M1167" s="7">
        <f t="shared" si="70"/>
        <v>0.12937499999999999</v>
      </c>
      <c r="N1167" s="4" t="s">
        <v>825</v>
      </c>
      <c r="O1167" s="4">
        <f>VLOOKUP(B1167, 'All Menu'!B:L, 6, 0)</f>
        <v>3.6637931034482762</v>
      </c>
      <c r="P1167" s="6">
        <f>VLOOKUP(B1167, 'All Menu'!B:L, 9, 0)</f>
        <v>2.1980220273946363</v>
      </c>
      <c r="Q1167" s="14">
        <f>VLOOKUP(B1167, 'All Menu'!B:M, 12, 0)</f>
        <v>0.40006928193464053</v>
      </c>
      <c r="R1167" s="173">
        <f t="shared" si="69"/>
        <v>0</v>
      </c>
    </row>
    <row r="1168" spans="1:18" ht="14" hidden="1">
      <c r="A1168" s="78" t="s">
        <v>2654</v>
      </c>
      <c r="B1168" s="220" t="s">
        <v>1073</v>
      </c>
      <c r="C1168" s="185"/>
      <c r="D1168" s="103" t="str">
        <f>VLOOKUP(B1168, 'All Menu'!B:M, 4, 0)</f>
        <v>فريكة بالدجاج والكريمة وقية</v>
      </c>
      <c r="E1168" s="30" t="str">
        <f>VLOOKUP(B1168, 'All Menu'!B:M, 2, 0)</f>
        <v>قسم الصواني</v>
      </c>
      <c r="F1168" s="103" t="str">
        <f>VLOOKUP(B1168, 'All Menu'!B:M, 3, 0)</f>
        <v>صواني وصجيات سفري</v>
      </c>
      <c r="G1168" s="90" t="s">
        <v>2234</v>
      </c>
      <c r="H1168" s="188">
        <v>4503</v>
      </c>
      <c r="I1168" s="110" t="str">
        <f>VLOOKUP(H1168, 'RM &amp; SF'!B:H, 2, 0)</f>
        <v>بصل ناشف دفش*****</v>
      </c>
      <c r="J1168" s="184" t="str">
        <f>VLOOKUP(H1168, 'RM &amp; SF'!B:E, 4, 0)</f>
        <v>غم</v>
      </c>
      <c r="K1168" s="12">
        <v>10</v>
      </c>
      <c r="L1168" s="13">
        <f>VLOOKUP(H1168, 'RM &amp; SF'!B:H, 7, 0)</f>
        <v>2.5000000000000001E-4</v>
      </c>
      <c r="M1168" s="7">
        <f t="shared" si="70"/>
        <v>2.5000000000000001E-3</v>
      </c>
      <c r="N1168" s="4" t="s">
        <v>825</v>
      </c>
      <c r="O1168" s="4">
        <f>VLOOKUP(B1168, 'All Menu'!B:L, 6, 0)</f>
        <v>3.6637931034482762</v>
      </c>
      <c r="P1168" s="6">
        <f>VLOOKUP(B1168, 'All Menu'!B:L, 9, 0)</f>
        <v>2.1980220273946363</v>
      </c>
      <c r="Q1168" s="14">
        <f>VLOOKUP(B1168, 'All Menu'!B:M, 12, 0)</f>
        <v>0.40006928193464053</v>
      </c>
      <c r="R1168" s="173">
        <f t="shared" si="69"/>
        <v>0</v>
      </c>
    </row>
    <row r="1169" spans="1:18" ht="14" hidden="1">
      <c r="A1169" s="78" t="s">
        <v>2654</v>
      </c>
      <c r="B1169" s="220" t="s">
        <v>1073</v>
      </c>
      <c r="C1169" s="185"/>
      <c r="D1169" s="103" t="str">
        <f>VLOOKUP(B1169, 'All Menu'!B:M, 4, 0)</f>
        <v>فريكة بالدجاج والكريمة وقية</v>
      </c>
      <c r="E1169" s="30" t="str">
        <f>VLOOKUP(B1169, 'All Menu'!B:M, 2, 0)</f>
        <v>قسم الصواني</v>
      </c>
      <c r="F1169" s="103" t="str">
        <f>VLOOKUP(B1169, 'All Menu'!B:M, 3, 0)</f>
        <v>صواني وصجيات سفري</v>
      </c>
      <c r="G1169" s="90" t="s">
        <v>2177</v>
      </c>
      <c r="H1169" s="188">
        <v>4566</v>
      </c>
      <c r="I1169" s="110" t="str">
        <f>VLOOKUP(H1169, 'RM &amp; SF'!B:H, 2, 0)</f>
        <v>زبدة صفائح 5*2 كغ*****</v>
      </c>
      <c r="J1169" s="184" t="str">
        <f>VLOOKUP(H1169, 'RM &amp; SF'!B:E, 4, 0)</f>
        <v>غم</v>
      </c>
      <c r="K1169" s="12">
        <v>25</v>
      </c>
      <c r="L1169" s="13">
        <f>VLOOKUP(H1169, 'RM &amp; SF'!B:H, 7, 0)</f>
        <v>2E-3</v>
      </c>
      <c r="M1169" s="7">
        <f t="shared" si="70"/>
        <v>0.05</v>
      </c>
      <c r="N1169" s="4" t="s">
        <v>825</v>
      </c>
      <c r="O1169" s="4">
        <f>VLOOKUP(B1169, 'All Menu'!B:L, 6, 0)</f>
        <v>3.6637931034482762</v>
      </c>
      <c r="P1169" s="6">
        <f>VLOOKUP(B1169, 'All Menu'!B:L, 9, 0)</f>
        <v>2.1980220273946363</v>
      </c>
      <c r="Q1169" s="14">
        <f>VLOOKUP(B1169, 'All Menu'!B:M, 12, 0)</f>
        <v>0.40006928193464053</v>
      </c>
      <c r="R1169" s="173">
        <f t="shared" si="69"/>
        <v>0</v>
      </c>
    </row>
    <row r="1170" spans="1:18" ht="14" hidden="1">
      <c r="A1170" s="78" t="s">
        <v>2654</v>
      </c>
      <c r="B1170" s="220" t="s">
        <v>1073</v>
      </c>
      <c r="C1170" s="185"/>
      <c r="D1170" s="103" t="str">
        <f>VLOOKUP(B1170, 'All Menu'!B:M, 4, 0)</f>
        <v>فريكة بالدجاج والكريمة وقية</v>
      </c>
      <c r="E1170" s="30" t="str">
        <f>VLOOKUP(B1170, 'All Menu'!B:M, 2, 0)</f>
        <v>قسم الصواني</v>
      </c>
      <c r="F1170" s="103" t="str">
        <f>VLOOKUP(B1170, 'All Menu'!B:M, 3, 0)</f>
        <v>صواني وصجيات سفري</v>
      </c>
      <c r="G1170" s="90" t="s">
        <v>2341</v>
      </c>
      <c r="H1170" s="219" t="s">
        <v>706</v>
      </c>
      <c r="I1170" s="110" t="str">
        <f>VLOOKUP(H1170, 'RM &amp; SF'!B:H, 2, 0)</f>
        <v>لوز مقلي</v>
      </c>
      <c r="J1170" s="184" t="str">
        <f>VLOOKUP(H1170, 'RM &amp; SF'!B:E, 4, 0)</f>
        <v>غم</v>
      </c>
      <c r="K1170" s="12">
        <v>10</v>
      </c>
      <c r="L1170" s="13">
        <f>VLOOKUP(H1170, 'RM &amp; SF'!B:H, 7, 0)</f>
        <v>4.1352327586206888E-3</v>
      </c>
      <c r="M1170" s="7">
        <f t="shared" si="70"/>
        <v>4.135232758620689E-2</v>
      </c>
      <c r="N1170" s="4" t="s">
        <v>825</v>
      </c>
      <c r="O1170" s="4">
        <f>VLOOKUP(B1170, 'All Menu'!B:L, 6, 0)</f>
        <v>3.6637931034482762</v>
      </c>
      <c r="P1170" s="6">
        <f>VLOOKUP(B1170, 'All Menu'!B:L, 9, 0)</f>
        <v>2.1980220273946363</v>
      </c>
      <c r="Q1170" s="14">
        <f>VLOOKUP(B1170, 'All Menu'!B:M, 12, 0)</f>
        <v>0.40006928193464053</v>
      </c>
      <c r="R1170" s="173">
        <f t="shared" si="69"/>
        <v>0</v>
      </c>
    </row>
    <row r="1171" spans="1:18" ht="14" hidden="1">
      <c r="A1171" s="78" t="s">
        <v>2654</v>
      </c>
      <c r="B1171" s="220" t="s">
        <v>1073</v>
      </c>
      <c r="C1171" s="185"/>
      <c r="D1171" s="103" t="str">
        <f>VLOOKUP(B1171, 'All Menu'!B:M, 4, 0)</f>
        <v>فريكة بالدجاج والكريمة وقية</v>
      </c>
      <c r="E1171" s="30" t="str">
        <f>VLOOKUP(B1171, 'All Menu'!B:M, 2, 0)</f>
        <v>قسم الصواني</v>
      </c>
      <c r="F1171" s="103" t="str">
        <f>VLOOKUP(B1171, 'All Menu'!B:M, 3, 0)</f>
        <v>صواني وصجيات سفري</v>
      </c>
      <c r="G1171" s="90" t="s">
        <v>2203</v>
      </c>
      <c r="H1171" s="188">
        <v>4152</v>
      </c>
      <c r="I1171" s="110" t="str">
        <f>VLOOKUP(H1171, 'RM &amp; SF'!B:H, 2, 0)</f>
        <v>ملح طعام 750غم*****</v>
      </c>
      <c r="J1171" s="184" t="str">
        <f>VLOOKUP(H1171, 'RM &amp; SF'!B:E, 4, 0)</f>
        <v>غم</v>
      </c>
      <c r="K1171" s="12">
        <v>5</v>
      </c>
      <c r="L1171" s="13">
        <f>VLOOKUP(H1171, 'RM &amp; SF'!B:H, 7, 0)</f>
        <v>1.7066666666666665E-4</v>
      </c>
      <c r="M1171" s="7">
        <f t="shared" si="70"/>
        <v>8.5333333333333322E-4</v>
      </c>
      <c r="N1171" s="4" t="s">
        <v>825</v>
      </c>
      <c r="O1171" s="4">
        <f>VLOOKUP(B1171, 'All Menu'!B:L, 6, 0)</f>
        <v>3.6637931034482762</v>
      </c>
      <c r="P1171" s="6">
        <f>VLOOKUP(B1171, 'All Menu'!B:L, 9, 0)</f>
        <v>2.1980220273946363</v>
      </c>
      <c r="Q1171" s="14">
        <f>VLOOKUP(B1171, 'All Menu'!B:M, 12, 0)</f>
        <v>0.40006928193464053</v>
      </c>
      <c r="R1171" s="173">
        <f t="shared" si="69"/>
        <v>0</v>
      </c>
    </row>
    <row r="1172" spans="1:18" ht="14" hidden="1">
      <c r="A1172" s="78" t="s">
        <v>2654</v>
      </c>
      <c r="B1172" s="220" t="s">
        <v>1073</v>
      </c>
      <c r="C1172" s="185"/>
      <c r="D1172" s="103" t="str">
        <f>VLOOKUP(B1172, 'All Menu'!B:M, 4, 0)</f>
        <v>فريكة بالدجاج والكريمة وقية</v>
      </c>
      <c r="E1172" s="30" t="str">
        <f>VLOOKUP(B1172, 'All Menu'!B:M, 2, 0)</f>
        <v>قسم الصواني</v>
      </c>
      <c r="F1172" s="103" t="str">
        <f>VLOOKUP(B1172, 'All Menu'!B:M, 3, 0)</f>
        <v>صواني وصجيات سفري</v>
      </c>
      <c r="G1172" s="90" t="s">
        <v>2206</v>
      </c>
      <c r="H1172" s="188">
        <v>4204</v>
      </c>
      <c r="I1172" s="110" t="str">
        <f>VLOOKUP(H1172, 'RM &amp; SF'!B:H, 2, 0)</f>
        <v>فلفل اسود ناعم*****</v>
      </c>
      <c r="J1172" s="184" t="str">
        <f>VLOOKUP(H1172, 'RM &amp; SF'!B:E, 4, 0)</f>
        <v>غم</v>
      </c>
      <c r="K1172" s="12">
        <v>2</v>
      </c>
      <c r="L1172" s="13">
        <f>VLOOKUP(H1172, 'RM &amp; SF'!B:H, 7, 0)</f>
        <v>6.8970000000000004E-3</v>
      </c>
      <c r="M1172" s="7">
        <f t="shared" si="70"/>
        <v>1.3794000000000001E-2</v>
      </c>
      <c r="N1172" s="4" t="s">
        <v>825</v>
      </c>
      <c r="O1172" s="4">
        <f>VLOOKUP(B1172, 'All Menu'!B:L, 6, 0)</f>
        <v>3.6637931034482762</v>
      </c>
      <c r="P1172" s="6">
        <f>VLOOKUP(B1172, 'All Menu'!B:L, 9, 0)</f>
        <v>2.1980220273946363</v>
      </c>
      <c r="Q1172" s="14">
        <f>VLOOKUP(B1172, 'All Menu'!B:M, 12, 0)</f>
        <v>0.40006928193464053</v>
      </c>
      <c r="R1172" s="173">
        <f t="shared" si="69"/>
        <v>0</v>
      </c>
    </row>
    <row r="1173" spans="1:18" ht="14" hidden="1">
      <c r="A1173" s="78" t="s">
        <v>2654</v>
      </c>
      <c r="B1173" s="220" t="s">
        <v>1073</v>
      </c>
      <c r="C1173" s="185"/>
      <c r="D1173" s="103" t="str">
        <f>VLOOKUP(B1173, 'All Menu'!B:M, 4, 0)</f>
        <v>فريكة بالدجاج والكريمة وقية</v>
      </c>
      <c r="E1173" s="30" t="str">
        <f>VLOOKUP(B1173, 'All Menu'!B:M, 2, 0)</f>
        <v>قسم الصواني</v>
      </c>
      <c r="F1173" s="103" t="str">
        <f>VLOOKUP(B1173, 'All Menu'!B:M, 3, 0)</f>
        <v>صواني وصجيات سفري</v>
      </c>
      <c r="G1173" s="90" t="s">
        <v>3058</v>
      </c>
      <c r="H1173" s="188">
        <v>4290</v>
      </c>
      <c r="I1173" s="110" t="str">
        <f>VLOOKUP(H1173, 'RM &amp; SF'!B:H, 2, 0)</f>
        <v>علب قصدير مدور اوقية 250 غم RZ 18*****</v>
      </c>
      <c r="J1173" s="184" t="str">
        <f>VLOOKUP(H1173, 'RM &amp; SF'!B:E, 4, 0)</f>
        <v>قطعة</v>
      </c>
      <c r="K1173" s="12">
        <v>1</v>
      </c>
      <c r="L1173" s="13">
        <f>VLOOKUP(H1173, 'RM &amp; SF'!B:H, 7, 0)</f>
        <v>6.0344827586206906E-2</v>
      </c>
      <c r="M1173" s="7">
        <f t="shared" si="70"/>
        <v>6.0344827586206906E-2</v>
      </c>
      <c r="N1173" s="4" t="s">
        <v>825</v>
      </c>
      <c r="O1173" s="4">
        <f>VLOOKUP(B1173, 'All Menu'!B:L, 6, 0)</f>
        <v>3.6637931034482762</v>
      </c>
      <c r="P1173" s="6">
        <f>VLOOKUP(B1173, 'All Menu'!B:L, 9, 0)</f>
        <v>2.1980220273946363</v>
      </c>
      <c r="Q1173" s="14">
        <f>VLOOKUP(B1173, 'All Menu'!B:M, 12, 0)</f>
        <v>0.40006928193464053</v>
      </c>
      <c r="R1173" s="173">
        <f t="shared" si="69"/>
        <v>0</v>
      </c>
    </row>
    <row r="1174" spans="1:18" ht="14" hidden="1">
      <c r="A1174" s="78" t="s">
        <v>2654</v>
      </c>
      <c r="B1174" s="220" t="s">
        <v>1073</v>
      </c>
      <c r="C1174" s="185"/>
      <c r="D1174" s="103" t="str">
        <f>VLOOKUP(B1174, 'All Menu'!B:M, 4, 0)</f>
        <v>فريكة بالدجاج والكريمة وقية</v>
      </c>
      <c r="E1174" s="30" t="str">
        <f>VLOOKUP(B1174, 'All Menu'!B:M, 2, 0)</f>
        <v>قسم الصواني</v>
      </c>
      <c r="F1174" s="103" t="str">
        <f>VLOOKUP(B1174, 'All Menu'!B:M, 3, 0)</f>
        <v>صواني وصجيات سفري</v>
      </c>
      <c r="G1174" s="90" t="s">
        <v>3058</v>
      </c>
      <c r="H1174" s="188">
        <v>4274</v>
      </c>
      <c r="I1174" s="110" t="str">
        <f>VLOOKUP(H1174, 'RM &amp; SF'!B:H, 2, 0)</f>
        <v>علب المركزية مطبوع + قاطع رقم 1 1*100 حبة*****</v>
      </c>
      <c r="J1174" s="184" t="str">
        <f>VLOOKUP(H1174, 'RM &amp; SF'!B:E, 4, 0)</f>
        <v>قطعة</v>
      </c>
      <c r="K1174" s="12">
        <v>1</v>
      </c>
      <c r="L1174" s="13">
        <f>VLOOKUP(H1174, 'RM &amp; SF'!B:H, 7, 0)</f>
        <v>0.25</v>
      </c>
      <c r="M1174" s="7">
        <f t="shared" si="70"/>
        <v>0.25</v>
      </c>
      <c r="N1174" s="4" t="s">
        <v>825</v>
      </c>
      <c r="O1174" s="4">
        <f>VLOOKUP(B1174, 'All Menu'!B:L, 6, 0)</f>
        <v>3.6637931034482762</v>
      </c>
      <c r="P1174" s="6">
        <f>VLOOKUP(B1174, 'All Menu'!B:L, 9, 0)</f>
        <v>2.1980220273946363</v>
      </c>
      <c r="Q1174" s="14">
        <f>VLOOKUP(B1174, 'All Menu'!B:M, 12, 0)</f>
        <v>0.40006928193464053</v>
      </c>
      <c r="R1174" s="173">
        <f t="shared" si="69"/>
        <v>0</v>
      </c>
    </row>
    <row r="1175" spans="1:18" ht="14" hidden="1">
      <c r="A1175" s="78" t="s">
        <v>2654</v>
      </c>
      <c r="B1175" s="220" t="s">
        <v>1073</v>
      </c>
      <c r="C1175" s="185"/>
      <c r="D1175" s="103" t="str">
        <f>VLOOKUP(B1175, 'All Menu'!B:M, 4, 0)</f>
        <v>فريكة بالدجاج والكريمة وقية</v>
      </c>
      <c r="E1175" s="30" t="str">
        <f>VLOOKUP(B1175, 'All Menu'!B:M, 2, 0)</f>
        <v>قسم الصواني</v>
      </c>
      <c r="F1175" s="103" t="str">
        <f>VLOOKUP(B1175, 'All Menu'!B:M, 3, 0)</f>
        <v>صواني وصجيات سفري</v>
      </c>
      <c r="G1175" s="90" t="s">
        <v>2195</v>
      </c>
      <c r="H1175" s="188">
        <v>4329</v>
      </c>
      <c r="I1175" s="110" t="str">
        <f>VLOOKUP(H1175, 'RM &amp; SF'!B:H, 2, 0)</f>
        <v>ملاعق بلاستيك مع معقم مطبوع 1*500 حبة*****</v>
      </c>
      <c r="J1175" s="184" t="str">
        <f>VLOOKUP(H1175, 'RM &amp; SF'!B:E, 4, 0)</f>
        <v>قطعة</v>
      </c>
      <c r="K1175" s="12">
        <v>1</v>
      </c>
      <c r="L1175" s="13">
        <f>VLOOKUP(H1175, 'RM &amp; SF'!B:H, 7, 0)</f>
        <v>4.7399999999999997E-4</v>
      </c>
      <c r="M1175" s="7">
        <f t="shared" si="70"/>
        <v>4.7399999999999997E-4</v>
      </c>
      <c r="N1175" s="4" t="s">
        <v>825</v>
      </c>
      <c r="O1175" s="4">
        <f>VLOOKUP(B1175, 'All Menu'!B:L, 6, 0)</f>
        <v>3.6637931034482762</v>
      </c>
      <c r="P1175" s="6">
        <f>VLOOKUP(B1175, 'All Menu'!B:L, 9, 0)</f>
        <v>2.1980220273946363</v>
      </c>
      <c r="Q1175" s="14">
        <f>VLOOKUP(B1175, 'All Menu'!B:M, 12, 0)</f>
        <v>0.40006928193464053</v>
      </c>
      <c r="R1175" s="173">
        <f t="shared" ref="R1175:R1204" si="71">C1175*K1175</f>
        <v>0</v>
      </c>
    </row>
    <row r="1176" spans="1:18" ht="14" hidden="1">
      <c r="A1176" s="78" t="s">
        <v>2647</v>
      </c>
      <c r="B1176" s="220" t="s">
        <v>1076</v>
      </c>
      <c r="C1176" s="185"/>
      <c r="D1176" s="103" t="str">
        <f>VLOOKUP(B1176, 'All Menu'!B:M, 4, 0)</f>
        <v>نقانق أرميني وقية</v>
      </c>
      <c r="E1176" s="30" t="str">
        <f>VLOOKUP(B1176, 'All Menu'!B:M, 2, 0)</f>
        <v>قسم الصواني</v>
      </c>
      <c r="F1176" s="103" t="str">
        <f>VLOOKUP(B1176, 'All Menu'!B:M, 3, 0)</f>
        <v>صواني وصجيات سفري</v>
      </c>
      <c r="G1176" s="90" t="s">
        <v>3058</v>
      </c>
      <c r="H1176" s="188">
        <v>5077</v>
      </c>
      <c r="I1176" s="110" t="str">
        <f>VLOOKUP(H1176, 'RM &amp; SF'!B:H, 2, 0)</f>
        <v>نقانق عربي*****</v>
      </c>
      <c r="J1176" s="184" t="str">
        <f>VLOOKUP(H1176, 'RM &amp; SF'!B:E, 4, 0)</f>
        <v>غم</v>
      </c>
      <c r="K1176" s="12">
        <v>150</v>
      </c>
      <c r="L1176" s="13">
        <f>VLOOKUP(H1176, 'RM &amp; SF'!B:H, 7, 0)</f>
        <v>2.4172999999999998E-3</v>
      </c>
      <c r="M1176" s="7">
        <f t="shared" si="70"/>
        <v>0.362595</v>
      </c>
      <c r="N1176" s="4" t="s">
        <v>825</v>
      </c>
      <c r="O1176" s="4">
        <f>VLOOKUP(B1176, 'All Menu'!B:L, 6, 0)</f>
        <v>3.2327586206896552</v>
      </c>
      <c r="P1176" s="6">
        <f>VLOOKUP(B1176, 'All Menu'!B:L, 9, 0)</f>
        <v>0.82162382758620689</v>
      </c>
      <c r="Q1176" s="14">
        <f>VLOOKUP(B1176, 'All Menu'!B:M, 12, 0)</f>
        <v>0.74584436266666665</v>
      </c>
      <c r="R1176" s="173">
        <f t="shared" si="71"/>
        <v>0</v>
      </c>
    </row>
    <row r="1177" spans="1:18" ht="14" hidden="1">
      <c r="A1177" s="78" t="s">
        <v>2647</v>
      </c>
      <c r="B1177" s="220" t="s">
        <v>1076</v>
      </c>
      <c r="C1177" s="185"/>
      <c r="D1177" s="103" t="str">
        <f>VLOOKUP(B1177, 'All Menu'!B:M, 4, 0)</f>
        <v>نقانق أرميني وقية</v>
      </c>
      <c r="E1177" s="30" t="str">
        <f>VLOOKUP(B1177, 'All Menu'!B:M, 2, 0)</f>
        <v>قسم الصواني</v>
      </c>
      <c r="F1177" s="103" t="str">
        <f>VLOOKUP(B1177, 'All Menu'!B:M, 3, 0)</f>
        <v>صواني وصجيات سفري</v>
      </c>
      <c r="G1177" s="90" t="s">
        <v>2233</v>
      </c>
      <c r="H1177" s="188">
        <v>4501</v>
      </c>
      <c r="I1177" s="110" t="str">
        <f>VLOOKUP(H1177, 'RM &amp; SF'!B:H, 2, 0)</f>
        <v>فلفل حلو احمر*****</v>
      </c>
      <c r="J1177" s="184" t="str">
        <f>VLOOKUP(H1177, 'RM &amp; SF'!B:E, 4, 0)</f>
        <v>غم</v>
      </c>
      <c r="K1177" s="12">
        <v>50</v>
      </c>
      <c r="L1177" s="13">
        <f>VLOOKUP(H1177, 'RM &amp; SF'!B:H, 7, 0)</f>
        <v>7.5000000000000002E-4</v>
      </c>
      <c r="M1177" s="7">
        <f t="shared" si="70"/>
        <v>3.7499999999999999E-2</v>
      </c>
      <c r="N1177" s="4" t="s">
        <v>825</v>
      </c>
      <c r="O1177" s="4">
        <f>VLOOKUP(B1177, 'All Menu'!B:L, 6, 0)</f>
        <v>3.2327586206896552</v>
      </c>
      <c r="P1177" s="6">
        <f>VLOOKUP(B1177, 'All Menu'!B:L, 9, 0)</f>
        <v>0.82162382758620689</v>
      </c>
      <c r="Q1177" s="14">
        <f>VLOOKUP(B1177, 'All Menu'!B:M, 12, 0)</f>
        <v>0.74584436266666665</v>
      </c>
      <c r="R1177" s="173">
        <f t="shared" si="71"/>
        <v>0</v>
      </c>
    </row>
    <row r="1178" spans="1:18" ht="14" hidden="1">
      <c r="A1178" s="78" t="s">
        <v>2647</v>
      </c>
      <c r="B1178" s="220" t="s">
        <v>1076</v>
      </c>
      <c r="C1178" s="185"/>
      <c r="D1178" s="103" t="str">
        <f>VLOOKUP(B1178, 'All Menu'!B:M, 4, 0)</f>
        <v>نقانق أرميني وقية</v>
      </c>
      <c r="E1178" s="30" t="str">
        <f>VLOOKUP(B1178, 'All Menu'!B:M, 2, 0)</f>
        <v>قسم الصواني</v>
      </c>
      <c r="F1178" s="103" t="str">
        <f>VLOOKUP(B1178, 'All Menu'!B:M, 3, 0)</f>
        <v>صواني وصجيات سفري</v>
      </c>
      <c r="G1178" s="90" t="s">
        <v>2234</v>
      </c>
      <c r="H1178" s="188">
        <v>4503</v>
      </c>
      <c r="I1178" s="110" t="str">
        <f>VLOOKUP(H1178, 'RM &amp; SF'!B:H, 2, 0)</f>
        <v>بصل ناشف دفش*****</v>
      </c>
      <c r="J1178" s="184" t="str">
        <f>VLOOKUP(H1178, 'RM &amp; SF'!B:E, 4, 0)</f>
        <v>غم</v>
      </c>
      <c r="K1178" s="12">
        <v>50</v>
      </c>
      <c r="L1178" s="13">
        <f>VLOOKUP(H1178, 'RM &amp; SF'!B:H, 7, 0)</f>
        <v>2.5000000000000001E-4</v>
      </c>
      <c r="M1178" s="7">
        <f t="shared" si="70"/>
        <v>1.2500000000000001E-2</v>
      </c>
      <c r="N1178" s="4" t="s">
        <v>825</v>
      </c>
      <c r="O1178" s="4">
        <f>VLOOKUP(B1178, 'All Menu'!B:L, 6, 0)</f>
        <v>3.2327586206896552</v>
      </c>
      <c r="P1178" s="6">
        <f>VLOOKUP(B1178, 'All Menu'!B:L, 9, 0)</f>
        <v>0.82162382758620689</v>
      </c>
      <c r="Q1178" s="14">
        <f>VLOOKUP(B1178, 'All Menu'!B:M, 12, 0)</f>
        <v>0.74584436266666665</v>
      </c>
      <c r="R1178" s="173">
        <f t="shared" si="71"/>
        <v>0</v>
      </c>
    </row>
    <row r="1179" spans="1:18" ht="14" hidden="1">
      <c r="A1179" s="78" t="s">
        <v>2647</v>
      </c>
      <c r="B1179" s="220" t="s">
        <v>1076</v>
      </c>
      <c r="C1179" s="185"/>
      <c r="D1179" s="103" t="str">
        <f>VLOOKUP(B1179, 'All Menu'!B:M, 4, 0)</f>
        <v>نقانق أرميني وقية</v>
      </c>
      <c r="E1179" s="30" t="str">
        <f>VLOOKUP(B1179, 'All Menu'!B:M, 2, 0)</f>
        <v>قسم الصواني</v>
      </c>
      <c r="F1179" s="103" t="str">
        <f>VLOOKUP(B1179, 'All Menu'!B:M, 3, 0)</f>
        <v>صواني وصجيات سفري</v>
      </c>
      <c r="G1179" s="90" t="s">
        <v>2260</v>
      </c>
      <c r="H1179" s="188">
        <v>4160</v>
      </c>
      <c r="I1179" s="110" t="str">
        <f>VLOOKUP(H1179, 'RM &amp; SF'!B:H, 2, 0)</f>
        <v>زيت صويا 18 لتر*****</v>
      </c>
      <c r="J1179" s="184" t="str">
        <f>VLOOKUP(H1179, 'RM &amp; SF'!B:E, 4, 0)</f>
        <v>مل</v>
      </c>
      <c r="K1179" s="12">
        <v>20</v>
      </c>
      <c r="L1179" s="13">
        <f>VLOOKUP(H1179, 'RM &amp; SF'!B:H, 7, 0)</f>
        <v>1.335E-3</v>
      </c>
      <c r="M1179" s="7">
        <f t="shared" si="70"/>
        <v>2.6700000000000002E-2</v>
      </c>
      <c r="N1179" s="4" t="s">
        <v>825</v>
      </c>
      <c r="O1179" s="4">
        <f>VLOOKUP(B1179, 'All Menu'!B:L, 6, 0)</f>
        <v>3.2327586206896552</v>
      </c>
      <c r="P1179" s="6">
        <f>VLOOKUP(B1179, 'All Menu'!B:L, 9, 0)</f>
        <v>0.82162382758620689</v>
      </c>
      <c r="Q1179" s="14">
        <f>VLOOKUP(B1179, 'All Menu'!B:M, 12, 0)</f>
        <v>0.74584436266666665</v>
      </c>
      <c r="R1179" s="173">
        <f t="shared" si="71"/>
        <v>0</v>
      </c>
    </row>
    <row r="1180" spans="1:18" ht="14" hidden="1">
      <c r="A1180" s="78" t="s">
        <v>2647</v>
      </c>
      <c r="B1180" s="220" t="s">
        <v>1076</v>
      </c>
      <c r="C1180" s="185"/>
      <c r="D1180" s="103" t="str">
        <f>VLOOKUP(B1180, 'All Menu'!B:M, 4, 0)</f>
        <v>نقانق أرميني وقية</v>
      </c>
      <c r="E1180" s="30" t="str">
        <f>VLOOKUP(B1180, 'All Menu'!B:M, 2, 0)</f>
        <v>قسم الصواني</v>
      </c>
      <c r="F1180" s="103" t="str">
        <f>VLOOKUP(B1180, 'All Menu'!B:M, 3, 0)</f>
        <v>صواني وصجيات سفري</v>
      </c>
      <c r="G1180" s="90" t="s">
        <v>2251</v>
      </c>
      <c r="H1180" s="188">
        <v>4544</v>
      </c>
      <c r="I1180" s="110" t="str">
        <f>VLOOKUP(H1180, 'RM &amp; SF'!B:H, 2, 0)</f>
        <v>بقدونس*****</v>
      </c>
      <c r="J1180" s="184" t="str">
        <f>VLOOKUP(H1180, 'RM &amp; SF'!B:E, 4, 0)</f>
        <v>غم</v>
      </c>
      <c r="K1180" s="12">
        <v>30</v>
      </c>
      <c r="L1180" s="13">
        <f>VLOOKUP(H1180, 'RM &amp; SF'!B:H, 7, 0)</f>
        <v>7.5000000000000002E-4</v>
      </c>
      <c r="M1180" s="7">
        <f t="shared" si="70"/>
        <v>2.2499999999999999E-2</v>
      </c>
      <c r="N1180" s="4" t="s">
        <v>825</v>
      </c>
      <c r="O1180" s="4">
        <f>VLOOKUP(B1180, 'All Menu'!B:L, 6, 0)</f>
        <v>3.2327586206896552</v>
      </c>
      <c r="P1180" s="6">
        <f>VLOOKUP(B1180, 'All Menu'!B:L, 9, 0)</f>
        <v>0.82162382758620689</v>
      </c>
      <c r="Q1180" s="14">
        <f>VLOOKUP(B1180, 'All Menu'!B:M, 12, 0)</f>
        <v>0.74584436266666665</v>
      </c>
      <c r="R1180" s="173">
        <f t="shared" si="71"/>
        <v>0</v>
      </c>
    </row>
    <row r="1181" spans="1:18" ht="14" hidden="1">
      <c r="A1181" s="78" t="s">
        <v>2647</v>
      </c>
      <c r="B1181" s="220" t="s">
        <v>1076</v>
      </c>
      <c r="C1181" s="185"/>
      <c r="D1181" s="103" t="str">
        <f>VLOOKUP(B1181, 'All Menu'!B:M, 4, 0)</f>
        <v>نقانق أرميني وقية</v>
      </c>
      <c r="E1181" s="30" t="str">
        <f>VLOOKUP(B1181, 'All Menu'!B:M, 2, 0)</f>
        <v>قسم الصواني</v>
      </c>
      <c r="F1181" s="103" t="str">
        <f>VLOOKUP(B1181, 'All Menu'!B:M, 3, 0)</f>
        <v>صواني وصجيات سفري</v>
      </c>
      <c r="G1181" s="90" t="s">
        <v>2203</v>
      </c>
      <c r="H1181" s="188">
        <v>4152</v>
      </c>
      <c r="I1181" s="110" t="str">
        <f>VLOOKUP(H1181, 'RM &amp; SF'!B:H, 2, 0)</f>
        <v>ملح طعام 750غم*****</v>
      </c>
      <c r="J1181" s="184" t="str">
        <f>VLOOKUP(H1181, 'RM &amp; SF'!B:E, 4, 0)</f>
        <v>غم</v>
      </c>
      <c r="K1181" s="12">
        <v>3</v>
      </c>
      <c r="L1181" s="13">
        <f>VLOOKUP(H1181, 'RM &amp; SF'!B:H, 7, 0)</f>
        <v>1.7066666666666665E-4</v>
      </c>
      <c r="M1181" s="7">
        <f t="shared" si="70"/>
        <v>5.1199999999999998E-4</v>
      </c>
      <c r="N1181" s="4" t="s">
        <v>825</v>
      </c>
      <c r="O1181" s="4">
        <f>VLOOKUP(B1181, 'All Menu'!B:L, 6, 0)</f>
        <v>3.2327586206896552</v>
      </c>
      <c r="P1181" s="6">
        <f>VLOOKUP(B1181, 'All Menu'!B:L, 9, 0)</f>
        <v>0.82162382758620689</v>
      </c>
      <c r="Q1181" s="14">
        <f>VLOOKUP(B1181, 'All Menu'!B:M, 12, 0)</f>
        <v>0.74584436266666665</v>
      </c>
      <c r="R1181" s="173">
        <f t="shared" si="71"/>
        <v>0</v>
      </c>
    </row>
    <row r="1182" spans="1:18" ht="14" hidden="1">
      <c r="A1182" s="78" t="s">
        <v>2647</v>
      </c>
      <c r="B1182" s="220" t="s">
        <v>1076</v>
      </c>
      <c r="C1182" s="185"/>
      <c r="D1182" s="103" t="str">
        <f>VLOOKUP(B1182, 'All Menu'!B:M, 4, 0)</f>
        <v>نقانق أرميني وقية</v>
      </c>
      <c r="E1182" s="30" t="str">
        <f>VLOOKUP(B1182, 'All Menu'!B:M, 2, 0)</f>
        <v>قسم الصواني</v>
      </c>
      <c r="F1182" s="103" t="str">
        <f>VLOOKUP(B1182, 'All Menu'!B:M, 3, 0)</f>
        <v>صواني وصجيات سفري</v>
      </c>
      <c r="G1182" s="90" t="s">
        <v>2206</v>
      </c>
      <c r="H1182" s="188">
        <v>4204</v>
      </c>
      <c r="I1182" s="110" t="str">
        <f>VLOOKUP(H1182, 'RM &amp; SF'!B:H, 2, 0)</f>
        <v>فلفل اسود ناعم*****</v>
      </c>
      <c r="J1182" s="184" t="str">
        <f>VLOOKUP(H1182, 'RM &amp; SF'!B:E, 4, 0)</f>
        <v>غم</v>
      </c>
      <c r="K1182" s="12">
        <v>2</v>
      </c>
      <c r="L1182" s="13">
        <f>VLOOKUP(H1182, 'RM &amp; SF'!B:H, 7, 0)</f>
        <v>6.8970000000000004E-3</v>
      </c>
      <c r="M1182" s="7">
        <f t="shared" si="70"/>
        <v>1.3794000000000001E-2</v>
      </c>
      <c r="N1182" s="4" t="s">
        <v>825</v>
      </c>
      <c r="O1182" s="4">
        <f>VLOOKUP(B1182, 'All Menu'!B:L, 6, 0)</f>
        <v>3.2327586206896552</v>
      </c>
      <c r="P1182" s="6">
        <f>VLOOKUP(B1182, 'All Menu'!B:L, 9, 0)</f>
        <v>0.82162382758620689</v>
      </c>
      <c r="Q1182" s="14">
        <f>VLOOKUP(B1182, 'All Menu'!B:M, 12, 0)</f>
        <v>0.74584436266666665</v>
      </c>
      <c r="R1182" s="173">
        <f t="shared" si="71"/>
        <v>0</v>
      </c>
    </row>
    <row r="1183" spans="1:18" ht="14" hidden="1">
      <c r="A1183" s="78" t="s">
        <v>2647</v>
      </c>
      <c r="B1183" s="220" t="s">
        <v>1076</v>
      </c>
      <c r="C1183" s="185"/>
      <c r="D1183" s="103" t="str">
        <f>VLOOKUP(B1183, 'All Menu'!B:M, 4, 0)</f>
        <v>نقانق أرميني وقية</v>
      </c>
      <c r="E1183" s="30" t="str">
        <f>VLOOKUP(B1183, 'All Menu'!B:M, 2, 0)</f>
        <v>قسم الصواني</v>
      </c>
      <c r="F1183" s="103" t="str">
        <f>VLOOKUP(B1183, 'All Menu'!B:M, 3, 0)</f>
        <v>صواني وصجيات سفري</v>
      </c>
      <c r="G1183" s="90" t="s">
        <v>2223</v>
      </c>
      <c r="H1183" s="188">
        <v>4241</v>
      </c>
      <c r="I1183" s="110" t="str">
        <f>VLOOKUP(H1183, 'RM &amp; SF'!B:H, 2, 0)</f>
        <v>بهارات كيجن عادي*****</v>
      </c>
      <c r="J1183" s="184" t="str">
        <f>VLOOKUP(H1183, 'RM &amp; SF'!B:E, 4, 0)</f>
        <v>غم</v>
      </c>
      <c r="K1183" s="12">
        <v>2</v>
      </c>
      <c r="L1183" s="13">
        <f>VLOOKUP(H1183, 'RM &amp; SF'!B:H, 7, 0)</f>
        <v>3.8790000000000001E-3</v>
      </c>
      <c r="M1183" s="7">
        <f t="shared" si="70"/>
        <v>7.7580000000000001E-3</v>
      </c>
      <c r="N1183" s="4" t="s">
        <v>825</v>
      </c>
      <c r="O1183" s="4">
        <f>VLOOKUP(B1183, 'All Menu'!B:L, 6, 0)</f>
        <v>3.2327586206896552</v>
      </c>
      <c r="P1183" s="6">
        <f>VLOOKUP(B1183, 'All Menu'!B:L, 9, 0)</f>
        <v>0.82162382758620689</v>
      </c>
      <c r="Q1183" s="14">
        <f>VLOOKUP(B1183, 'All Menu'!B:M, 12, 0)</f>
        <v>0.74584436266666665</v>
      </c>
      <c r="R1183" s="173">
        <f t="shared" si="71"/>
        <v>0</v>
      </c>
    </row>
    <row r="1184" spans="1:18" ht="14" hidden="1">
      <c r="A1184" s="78" t="s">
        <v>2647</v>
      </c>
      <c r="B1184" s="220" t="s">
        <v>1076</v>
      </c>
      <c r="C1184" s="185"/>
      <c r="D1184" s="103" t="str">
        <f>VLOOKUP(B1184, 'All Menu'!B:M, 4, 0)</f>
        <v>نقانق أرميني وقية</v>
      </c>
      <c r="E1184" s="30" t="str">
        <f>VLOOKUP(B1184, 'All Menu'!B:M, 2, 0)</f>
        <v>قسم الصواني</v>
      </c>
      <c r="F1184" s="103" t="str">
        <f>VLOOKUP(B1184, 'All Menu'!B:M, 3, 0)</f>
        <v>صواني وصجيات سفري</v>
      </c>
      <c r="G1184" s="90" t="s">
        <v>2234</v>
      </c>
      <c r="H1184" s="188">
        <v>4503</v>
      </c>
      <c r="I1184" s="110" t="str">
        <f>VLOOKUP(H1184, 'RM &amp; SF'!B:H, 2, 0)</f>
        <v>بصل ناشف دفش*****</v>
      </c>
      <c r="J1184" s="184" t="str">
        <f>VLOOKUP(H1184, 'RM &amp; SF'!B:E, 4, 0)</f>
        <v>غم</v>
      </c>
      <c r="K1184" s="12">
        <v>5</v>
      </c>
      <c r="L1184" s="13">
        <f>VLOOKUP(H1184, 'RM &amp; SF'!B:H, 7, 0)</f>
        <v>2.5000000000000001E-4</v>
      </c>
      <c r="M1184" s="7">
        <f t="shared" si="70"/>
        <v>1.25E-3</v>
      </c>
      <c r="N1184" s="4" t="s">
        <v>825</v>
      </c>
      <c r="O1184" s="4">
        <f>VLOOKUP(B1184, 'All Menu'!B:L, 6, 0)</f>
        <v>3.2327586206896552</v>
      </c>
      <c r="P1184" s="6">
        <f>VLOOKUP(B1184, 'All Menu'!B:L, 9, 0)</f>
        <v>0.82162382758620689</v>
      </c>
      <c r="Q1184" s="14">
        <f>VLOOKUP(B1184, 'All Menu'!B:M, 12, 0)</f>
        <v>0.74584436266666665</v>
      </c>
      <c r="R1184" s="173">
        <f t="shared" si="71"/>
        <v>0</v>
      </c>
    </row>
    <row r="1185" spans="1:18" ht="14" hidden="1">
      <c r="A1185" s="78" t="s">
        <v>2647</v>
      </c>
      <c r="B1185" s="220" t="s">
        <v>1076</v>
      </c>
      <c r="C1185" s="185"/>
      <c r="D1185" s="103" t="str">
        <f>VLOOKUP(B1185, 'All Menu'!B:M, 4, 0)</f>
        <v>نقانق أرميني وقية</v>
      </c>
      <c r="E1185" s="30" t="str">
        <f>VLOOKUP(B1185, 'All Menu'!B:M, 2, 0)</f>
        <v>قسم الصواني</v>
      </c>
      <c r="F1185" s="103" t="str">
        <f>VLOOKUP(B1185, 'All Menu'!B:M, 3, 0)</f>
        <v>صواني وصجيات سفري</v>
      </c>
      <c r="G1185" s="90" t="s">
        <v>2231</v>
      </c>
      <c r="H1185" s="188">
        <v>4499</v>
      </c>
      <c r="I1185" s="110" t="str">
        <f>VLOOKUP(H1185, 'RM &amp; SF'!B:H, 2, 0)</f>
        <v>فلفل حار اخضر*****</v>
      </c>
      <c r="J1185" s="184" t="str">
        <f>VLOOKUP(H1185, 'RM &amp; SF'!B:E, 4, 0)</f>
        <v>غم</v>
      </c>
      <c r="K1185" s="12">
        <v>20</v>
      </c>
      <c r="L1185" s="13">
        <f>VLOOKUP(H1185, 'RM &amp; SF'!B:H, 7, 0)</f>
        <v>5.0000000000000001E-4</v>
      </c>
      <c r="M1185" s="7">
        <f t="shared" si="70"/>
        <v>0.01</v>
      </c>
      <c r="N1185" s="4" t="s">
        <v>825</v>
      </c>
      <c r="O1185" s="4">
        <f>VLOOKUP(B1185, 'All Menu'!B:L, 6, 0)</f>
        <v>3.2327586206896552</v>
      </c>
      <c r="P1185" s="6">
        <f>VLOOKUP(B1185, 'All Menu'!B:L, 9, 0)</f>
        <v>0.82162382758620689</v>
      </c>
      <c r="Q1185" s="14">
        <f>VLOOKUP(B1185, 'All Menu'!B:M, 12, 0)</f>
        <v>0.74584436266666665</v>
      </c>
      <c r="R1185" s="173">
        <f t="shared" si="71"/>
        <v>0</v>
      </c>
    </row>
    <row r="1186" spans="1:18" ht="14" hidden="1">
      <c r="A1186" s="78" t="s">
        <v>2647</v>
      </c>
      <c r="B1186" s="220" t="s">
        <v>1076</v>
      </c>
      <c r="C1186" s="185"/>
      <c r="D1186" s="103" t="str">
        <f>VLOOKUP(B1186, 'All Menu'!B:M, 4, 0)</f>
        <v>نقانق أرميني وقية</v>
      </c>
      <c r="E1186" s="30" t="str">
        <f>VLOOKUP(B1186, 'All Menu'!B:M, 2, 0)</f>
        <v>قسم الصواني</v>
      </c>
      <c r="F1186" s="103" t="str">
        <f>VLOOKUP(B1186, 'All Menu'!B:M, 3, 0)</f>
        <v>صواني وصجيات سفري</v>
      </c>
      <c r="G1186" s="90" t="s">
        <v>2345</v>
      </c>
      <c r="H1186" s="219" t="s">
        <v>714</v>
      </c>
      <c r="I1186" s="110" t="str">
        <f>VLOOKUP(H1186, 'RM &amp; SF'!B:H, 2, 0)</f>
        <v>ثوم وزيت</v>
      </c>
      <c r="J1186" s="184" t="str">
        <f>VLOOKUP(H1186, 'RM &amp; SF'!B:E, 4, 0)</f>
        <v>غم</v>
      </c>
      <c r="K1186" s="12">
        <v>5</v>
      </c>
      <c r="L1186" s="13">
        <f>VLOOKUP(H1186, 'RM &amp; SF'!B:H, 7, 0)</f>
        <v>3.2339999999999999E-3</v>
      </c>
      <c r="M1186" s="7">
        <f t="shared" si="70"/>
        <v>1.617E-2</v>
      </c>
      <c r="N1186" s="4" t="s">
        <v>825</v>
      </c>
      <c r="O1186" s="4">
        <f>VLOOKUP(B1186, 'All Menu'!B:L, 6, 0)</f>
        <v>3.2327586206896552</v>
      </c>
      <c r="P1186" s="6">
        <f>VLOOKUP(B1186, 'All Menu'!B:L, 9, 0)</f>
        <v>0.82162382758620689</v>
      </c>
      <c r="Q1186" s="14">
        <f>VLOOKUP(B1186, 'All Menu'!B:M, 12, 0)</f>
        <v>0.74584436266666665</v>
      </c>
      <c r="R1186" s="173">
        <f t="shared" si="71"/>
        <v>0</v>
      </c>
    </row>
    <row r="1187" spans="1:18" ht="14" hidden="1">
      <c r="A1187" s="78" t="s">
        <v>2647</v>
      </c>
      <c r="B1187" s="220" t="s">
        <v>1076</v>
      </c>
      <c r="C1187" s="185"/>
      <c r="D1187" s="103" t="str">
        <f>VLOOKUP(B1187, 'All Menu'!B:M, 4, 0)</f>
        <v>نقانق أرميني وقية</v>
      </c>
      <c r="E1187" s="30" t="str">
        <f>VLOOKUP(B1187, 'All Menu'!B:M, 2, 0)</f>
        <v>قسم الصواني</v>
      </c>
      <c r="F1187" s="103" t="str">
        <f>VLOOKUP(B1187, 'All Menu'!B:M, 3, 0)</f>
        <v>صواني وصجيات سفري</v>
      </c>
      <c r="G1187" s="90" t="s">
        <v>3058</v>
      </c>
      <c r="H1187" s="188">
        <v>4290</v>
      </c>
      <c r="I1187" s="110" t="str">
        <f>VLOOKUP(H1187, 'RM &amp; SF'!B:H, 2, 0)</f>
        <v>علب قصدير مدور اوقية 250 غم RZ 18*****</v>
      </c>
      <c r="J1187" s="184" t="str">
        <f>VLOOKUP(H1187, 'RM &amp; SF'!B:E, 4, 0)</f>
        <v>قطعة</v>
      </c>
      <c r="K1187" s="12">
        <v>1</v>
      </c>
      <c r="L1187" s="13">
        <f>VLOOKUP(H1187, 'RM &amp; SF'!B:H, 7, 0)</f>
        <v>6.0344827586206906E-2</v>
      </c>
      <c r="M1187" s="7">
        <f t="shared" si="70"/>
        <v>6.0344827586206906E-2</v>
      </c>
      <c r="N1187" s="4" t="s">
        <v>825</v>
      </c>
      <c r="O1187" s="4">
        <f>VLOOKUP(B1187, 'All Menu'!B:L, 6, 0)</f>
        <v>3.2327586206896552</v>
      </c>
      <c r="P1187" s="6">
        <f>VLOOKUP(B1187, 'All Menu'!B:L, 9, 0)</f>
        <v>0.82162382758620689</v>
      </c>
      <c r="Q1187" s="14">
        <f>VLOOKUP(B1187, 'All Menu'!B:M, 12, 0)</f>
        <v>0.74584436266666665</v>
      </c>
      <c r="R1187" s="173">
        <f t="shared" si="71"/>
        <v>0</v>
      </c>
    </row>
    <row r="1188" spans="1:18" ht="14" hidden="1">
      <c r="A1188" s="78" t="s">
        <v>2647</v>
      </c>
      <c r="B1188" s="220" t="s">
        <v>1076</v>
      </c>
      <c r="C1188" s="185"/>
      <c r="D1188" s="103" t="str">
        <f>VLOOKUP(B1188, 'All Menu'!B:M, 4, 0)</f>
        <v>نقانق أرميني وقية</v>
      </c>
      <c r="E1188" s="30" t="str">
        <f>VLOOKUP(B1188, 'All Menu'!B:M, 2, 0)</f>
        <v>قسم الصواني</v>
      </c>
      <c r="F1188" s="103" t="str">
        <f>VLOOKUP(B1188, 'All Menu'!B:M, 3, 0)</f>
        <v>صواني وصجيات سفري</v>
      </c>
      <c r="G1188" s="90" t="s">
        <v>3058</v>
      </c>
      <c r="H1188" s="188">
        <v>4274</v>
      </c>
      <c r="I1188" s="110" t="str">
        <f>VLOOKUP(H1188, 'RM &amp; SF'!B:H, 2, 0)</f>
        <v>علب المركزية مطبوع + قاطع رقم 1 1*100 حبة*****</v>
      </c>
      <c r="J1188" s="184" t="str">
        <f>VLOOKUP(H1188, 'RM &amp; SF'!B:E, 4, 0)</f>
        <v>قطعة</v>
      </c>
      <c r="K1188" s="12">
        <v>1</v>
      </c>
      <c r="L1188" s="13">
        <f>VLOOKUP(H1188, 'RM &amp; SF'!B:H, 7, 0)</f>
        <v>0.25</v>
      </c>
      <c r="M1188" s="7">
        <f t="shared" si="70"/>
        <v>0.25</v>
      </c>
      <c r="N1188" s="4" t="s">
        <v>825</v>
      </c>
      <c r="O1188" s="4">
        <f>VLOOKUP(B1188, 'All Menu'!B:L, 6, 0)</f>
        <v>3.2327586206896552</v>
      </c>
      <c r="P1188" s="6">
        <f>VLOOKUP(B1188, 'All Menu'!B:L, 9, 0)</f>
        <v>0.82162382758620689</v>
      </c>
      <c r="Q1188" s="14">
        <f>VLOOKUP(B1188, 'All Menu'!B:M, 12, 0)</f>
        <v>0.74584436266666665</v>
      </c>
      <c r="R1188" s="173">
        <f t="shared" si="71"/>
        <v>0</v>
      </c>
    </row>
    <row r="1189" spans="1:18" ht="14" hidden="1">
      <c r="A1189" s="78" t="s">
        <v>2659</v>
      </c>
      <c r="B1189" s="220" t="s">
        <v>1084</v>
      </c>
      <c r="C1189" s="185"/>
      <c r="D1189" s="103" t="str">
        <f>VLOOKUP(B1189, 'All Menu'!B:M, 4, 0)</f>
        <v>بندورة بلحمة وقية</v>
      </c>
      <c r="E1189" s="30" t="str">
        <f>VLOOKUP(B1189, 'All Menu'!B:M, 2, 0)</f>
        <v>قسم الصواني</v>
      </c>
      <c r="F1189" s="103" t="str">
        <f>VLOOKUP(B1189, 'All Menu'!B:M, 3, 0)</f>
        <v>صواني وصجيات سفري</v>
      </c>
      <c r="G1189" s="90" t="s">
        <v>2434</v>
      </c>
      <c r="H1189" s="219" t="s">
        <v>574</v>
      </c>
      <c r="I1189" s="110" t="str">
        <f>VLOOKUP(H1189, 'RM &amp; SF'!B:H, 2, 0)</f>
        <v>صوص بندورة</v>
      </c>
      <c r="J1189" s="184" t="str">
        <f>VLOOKUP(H1189, 'RM &amp; SF'!B:E, 4, 0)</f>
        <v>غم</v>
      </c>
      <c r="K1189" s="12">
        <v>400</v>
      </c>
      <c r="L1189" s="13">
        <f>VLOOKUP(H1189, 'RM &amp; SF'!B:H, 7, 0)</f>
        <v>1.1346600487634969E-3</v>
      </c>
      <c r="M1189" s="7">
        <f t="shared" si="70"/>
        <v>0.45386401950539879</v>
      </c>
      <c r="N1189" s="4" t="s">
        <v>825</v>
      </c>
      <c r="O1189" s="4">
        <f>VLOOKUP(B1189, 'All Menu'!B:L, 6, 0)</f>
        <v>3.4482758620689657</v>
      </c>
      <c r="P1189" s="6">
        <f>VLOOKUP(B1189, 'All Menu'!B:L, 9, 0)</f>
        <v>2.1886243384709161</v>
      </c>
      <c r="Q1189" s="14">
        <f>VLOOKUP(B1189, 'All Menu'!B:M, 12, 0)</f>
        <v>0.36529894184343437</v>
      </c>
      <c r="R1189" s="173">
        <f t="shared" si="71"/>
        <v>0</v>
      </c>
    </row>
    <row r="1190" spans="1:18" ht="14" hidden="1">
      <c r="A1190" s="78" t="s">
        <v>2659</v>
      </c>
      <c r="B1190" s="220" t="s">
        <v>1084</v>
      </c>
      <c r="C1190" s="185"/>
      <c r="D1190" s="103" t="str">
        <f>VLOOKUP(B1190, 'All Menu'!B:M, 4, 0)</f>
        <v>بندورة بلحمة وقية</v>
      </c>
      <c r="E1190" s="30" t="str">
        <f>VLOOKUP(B1190, 'All Menu'!B:M, 2, 0)</f>
        <v>قسم الصواني</v>
      </c>
      <c r="F1190" s="103" t="str">
        <f>VLOOKUP(B1190, 'All Menu'!B:M, 3, 0)</f>
        <v>صواني وصجيات سفري</v>
      </c>
      <c r="G1190" s="90" t="s">
        <v>2231</v>
      </c>
      <c r="H1190" s="188">
        <v>4499</v>
      </c>
      <c r="I1190" s="110" t="str">
        <f>VLOOKUP(H1190, 'RM &amp; SF'!B:H, 2, 0)</f>
        <v>فلفل حار اخضر*****</v>
      </c>
      <c r="J1190" s="184" t="str">
        <f>VLOOKUP(H1190, 'RM &amp; SF'!B:E, 4, 0)</f>
        <v>غم</v>
      </c>
      <c r="K1190" s="12">
        <v>20</v>
      </c>
      <c r="L1190" s="13">
        <f>VLOOKUP(H1190, 'RM &amp; SF'!B:H, 7, 0)</f>
        <v>5.0000000000000001E-4</v>
      </c>
      <c r="M1190" s="7">
        <f t="shared" si="70"/>
        <v>0.01</v>
      </c>
      <c r="N1190" s="4" t="s">
        <v>825</v>
      </c>
      <c r="O1190" s="4">
        <f>VLOOKUP(B1190, 'All Menu'!B:L, 6, 0)</f>
        <v>3.4482758620689657</v>
      </c>
      <c r="P1190" s="6">
        <f>VLOOKUP(B1190, 'All Menu'!B:L, 9, 0)</f>
        <v>2.1886243384709161</v>
      </c>
      <c r="Q1190" s="14">
        <f>VLOOKUP(B1190, 'All Menu'!B:M, 12, 0)</f>
        <v>0.36529894184343437</v>
      </c>
      <c r="R1190" s="173">
        <f t="shared" si="71"/>
        <v>0</v>
      </c>
    </row>
    <row r="1191" spans="1:18" ht="14" hidden="1">
      <c r="A1191" s="78" t="s">
        <v>2659</v>
      </c>
      <c r="B1191" s="220" t="s">
        <v>1084</v>
      </c>
      <c r="C1191" s="185"/>
      <c r="D1191" s="103" t="str">
        <f>VLOOKUP(B1191, 'All Menu'!B:M, 4, 0)</f>
        <v>بندورة بلحمة وقية</v>
      </c>
      <c r="E1191" s="30" t="str">
        <f>VLOOKUP(B1191, 'All Menu'!B:M, 2, 0)</f>
        <v>قسم الصواني</v>
      </c>
      <c r="F1191" s="103" t="str">
        <f>VLOOKUP(B1191, 'All Menu'!B:M, 3, 0)</f>
        <v>صواني وصجيات سفري</v>
      </c>
      <c r="G1191" s="90" t="s">
        <v>2341</v>
      </c>
      <c r="H1191" s="219" t="s">
        <v>706</v>
      </c>
      <c r="I1191" s="110" t="str">
        <f>VLOOKUP(H1191, 'RM &amp; SF'!B:H, 2, 0)</f>
        <v>لوز مقلي</v>
      </c>
      <c r="J1191" s="184" t="str">
        <f>VLOOKUP(H1191, 'RM &amp; SF'!B:E, 4, 0)</f>
        <v>غم</v>
      </c>
      <c r="K1191" s="12">
        <v>15</v>
      </c>
      <c r="L1191" s="13">
        <f>VLOOKUP(H1191, 'RM &amp; SF'!B:H, 7, 0)</f>
        <v>4.1352327586206888E-3</v>
      </c>
      <c r="M1191" s="7">
        <f t="shared" si="70"/>
        <v>6.2028491379310331E-2</v>
      </c>
      <c r="N1191" s="4" t="s">
        <v>825</v>
      </c>
      <c r="O1191" s="4">
        <f>VLOOKUP(B1191, 'All Menu'!B:L, 6, 0)</f>
        <v>3.4482758620689657</v>
      </c>
      <c r="P1191" s="6">
        <f>VLOOKUP(B1191, 'All Menu'!B:L, 9, 0)</f>
        <v>2.1886243384709161</v>
      </c>
      <c r="Q1191" s="14">
        <f>VLOOKUP(B1191, 'All Menu'!B:M, 12, 0)</f>
        <v>0.36529894184343437</v>
      </c>
      <c r="R1191" s="173">
        <f t="shared" si="71"/>
        <v>0</v>
      </c>
    </row>
    <row r="1192" spans="1:18" ht="14" hidden="1">
      <c r="A1192" s="78" t="s">
        <v>2659</v>
      </c>
      <c r="B1192" s="220" t="s">
        <v>1084</v>
      </c>
      <c r="C1192" s="185"/>
      <c r="D1192" s="103" t="str">
        <f>VLOOKUP(B1192, 'All Menu'!B:M, 4, 0)</f>
        <v>بندورة بلحمة وقية</v>
      </c>
      <c r="E1192" s="30" t="str">
        <f>VLOOKUP(B1192, 'All Menu'!B:M, 2, 0)</f>
        <v>قسم الصواني</v>
      </c>
      <c r="F1192" s="103" t="str">
        <f>VLOOKUP(B1192, 'All Menu'!B:M, 3, 0)</f>
        <v>صواني وصجيات سفري</v>
      </c>
      <c r="G1192" s="90" t="s">
        <v>2251</v>
      </c>
      <c r="H1192" s="188">
        <v>4544</v>
      </c>
      <c r="I1192" s="110" t="str">
        <f>VLOOKUP(H1192, 'RM &amp; SF'!B:H, 2, 0)</f>
        <v>بقدونس*****</v>
      </c>
      <c r="J1192" s="184" t="str">
        <f>VLOOKUP(H1192, 'RM &amp; SF'!B:E, 4, 0)</f>
        <v>غم</v>
      </c>
      <c r="K1192" s="12">
        <v>0.5</v>
      </c>
      <c r="L1192" s="13">
        <f>VLOOKUP(H1192, 'RM &amp; SF'!B:H, 7, 0)</f>
        <v>7.5000000000000002E-4</v>
      </c>
      <c r="M1192" s="7">
        <f t="shared" si="70"/>
        <v>3.7500000000000001E-4</v>
      </c>
      <c r="N1192" s="4" t="s">
        <v>825</v>
      </c>
      <c r="O1192" s="4">
        <f>VLOOKUP(B1192, 'All Menu'!B:L, 6, 0)</f>
        <v>3.4482758620689657</v>
      </c>
      <c r="P1192" s="6">
        <f>VLOOKUP(B1192, 'All Menu'!B:L, 9, 0)</f>
        <v>2.1886243384709161</v>
      </c>
      <c r="Q1192" s="14">
        <f>VLOOKUP(B1192, 'All Menu'!B:M, 12, 0)</f>
        <v>0.36529894184343437</v>
      </c>
      <c r="R1192" s="173">
        <f t="shared" si="71"/>
        <v>0</v>
      </c>
    </row>
    <row r="1193" spans="1:18" ht="14" hidden="1">
      <c r="A1193" s="78" t="s">
        <v>2659</v>
      </c>
      <c r="B1193" s="220" t="s">
        <v>1084</v>
      </c>
      <c r="C1193" s="185"/>
      <c r="D1193" s="103" t="str">
        <f>VLOOKUP(B1193, 'All Menu'!B:M, 4, 0)</f>
        <v>بندورة بلحمة وقية</v>
      </c>
      <c r="E1193" s="30" t="str">
        <f>VLOOKUP(B1193, 'All Menu'!B:M, 2, 0)</f>
        <v>قسم الصواني</v>
      </c>
      <c r="F1193" s="103" t="str">
        <f>VLOOKUP(B1193, 'All Menu'!B:M, 3, 0)</f>
        <v>صواني وصجيات سفري</v>
      </c>
      <c r="G1193" s="90" t="s">
        <v>2203</v>
      </c>
      <c r="H1193" s="188">
        <v>4152</v>
      </c>
      <c r="I1193" s="110" t="str">
        <f>VLOOKUP(H1193, 'RM &amp; SF'!B:H, 2, 0)</f>
        <v>ملح طعام 750غم*****</v>
      </c>
      <c r="J1193" s="184" t="str">
        <f>VLOOKUP(H1193, 'RM &amp; SF'!B:E, 4, 0)</f>
        <v>غم</v>
      </c>
      <c r="K1193" s="12">
        <v>3</v>
      </c>
      <c r="L1193" s="13">
        <f>VLOOKUP(H1193, 'RM &amp; SF'!B:H, 7, 0)</f>
        <v>1.7066666666666665E-4</v>
      </c>
      <c r="M1193" s="7">
        <f t="shared" si="70"/>
        <v>5.1199999999999998E-4</v>
      </c>
      <c r="N1193" s="4" t="s">
        <v>825</v>
      </c>
      <c r="O1193" s="4">
        <f>VLOOKUP(B1193, 'All Menu'!B:L, 6, 0)</f>
        <v>3.4482758620689657</v>
      </c>
      <c r="P1193" s="6">
        <f>VLOOKUP(B1193, 'All Menu'!B:L, 9, 0)</f>
        <v>2.1886243384709161</v>
      </c>
      <c r="Q1193" s="14">
        <f>VLOOKUP(B1193, 'All Menu'!B:M, 12, 0)</f>
        <v>0.36529894184343437</v>
      </c>
      <c r="R1193" s="173">
        <f t="shared" si="71"/>
        <v>0</v>
      </c>
    </row>
    <row r="1194" spans="1:18" s="175" customFormat="1" ht="14" hidden="1">
      <c r="A1194" s="78" t="s">
        <v>2659</v>
      </c>
      <c r="B1194" s="220" t="s">
        <v>1084</v>
      </c>
      <c r="C1194" s="185"/>
      <c r="D1194" s="192" t="str">
        <f>VLOOKUP(B1194, 'All Menu'!B:M, 4, 0)</f>
        <v>بندورة بلحمة وقية</v>
      </c>
      <c r="E1194" s="30" t="str">
        <f>VLOOKUP(B1194, 'All Menu'!B:M, 2, 0)</f>
        <v>قسم الصواني</v>
      </c>
      <c r="F1194" s="103" t="str">
        <f>VLOOKUP(B1194, 'All Menu'!B:M, 3, 0)</f>
        <v>صواني وصجيات سفري</v>
      </c>
      <c r="G1194" s="90" t="s">
        <v>3058</v>
      </c>
      <c r="H1194" s="226">
        <v>5373</v>
      </c>
      <c r="I1194" s="110" t="str">
        <f>VLOOKUP(H1194, 'RM &amp; SF'!B:H, 2, 0)</f>
        <v>قطعيات عجل مشكلة</v>
      </c>
      <c r="J1194" s="184" t="str">
        <f>VLOOKUP(H1194, 'RM &amp; SF'!B:E, 4, 0)</f>
        <v>غم</v>
      </c>
      <c r="K1194" s="144">
        <v>150</v>
      </c>
      <c r="L1194" s="13">
        <f>VLOOKUP(H1194, 'RM &amp; SF'!B:H, 7, 0)</f>
        <v>9.0100000000000006E-3</v>
      </c>
      <c r="M1194" s="145">
        <f t="shared" si="70"/>
        <v>1.3515000000000001</v>
      </c>
      <c r="N1194" s="143" t="s">
        <v>825</v>
      </c>
      <c r="O1194" s="143">
        <f>VLOOKUP(B1194, 'All Menu'!B:L, 6, 0)</f>
        <v>3.4482758620689657</v>
      </c>
      <c r="P1194" s="146">
        <f>VLOOKUP(B1194, 'All Menu'!B:L, 9, 0)</f>
        <v>2.1886243384709161</v>
      </c>
      <c r="Q1194" s="147">
        <f>VLOOKUP(B1194, 'All Menu'!B:M, 12, 0)</f>
        <v>0.36529894184343437</v>
      </c>
      <c r="R1194" s="174">
        <f t="shared" si="71"/>
        <v>0</v>
      </c>
    </row>
    <row r="1195" spans="1:18" ht="14" hidden="1">
      <c r="A1195" s="78" t="s">
        <v>2659</v>
      </c>
      <c r="B1195" s="220" t="s">
        <v>1084</v>
      </c>
      <c r="C1195" s="185"/>
      <c r="D1195" s="103" t="str">
        <f>VLOOKUP(B1195, 'All Menu'!B:M, 4, 0)</f>
        <v>بندورة بلحمة وقية</v>
      </c>
      <c r="E1195" s="30" t="str">
        <f>VLOOKUP(B1195, 'All Menu'!B:M, 2, 0)</f>
        <v>قسم الصواني</v>
      </c>
      <c r="F1195" s="103" t="str">
        <f>VLOOKUP(B1195, 'All Menu'!B:M, 3, 0)</f>
        <v>صواني وصجيات سفري</v>
      </c>
      <c r="G1195" s="90" t="s">
        <v>3058</v>
      </c>
      <c r="H1195" s="188">
        <v>4290</v>
      </c>
      <c r="I1195" s="110" t="str">
        <f>VLOOKUP(H1195, 'RM &amp; SF'!B:H, 2, 0)</f>
        <v>علب قصدير مدور اوقية 250 غم RZ 18*****</v>
      </c>
      <c r="J1195" s="184" t="str">
        <f>VLOOKUP(H1195, 'RM &amp; SF'!B:E, 4, 0)</f>
        <v>قطعة</v>
      </c>
      <c r="K1195" s="12">
        <v>1</v>
      </c>
      <c r="L1195" s="13">
        <f>VLOOKUP(H1195, 'RM &amp; SF'!B:H, 7, 0)</f>
        <v>6.0344827586206906E-2</v>
      </c>
      <c r="M1195" s="7">
        <f t="shared" si="70"/>
        <v>6.0344827586206906E-2</v>
      </c>
      <c r="N1195" s="4" t="s">
        <v>825</v>
      </c>
      <c r="O1195" s="4">
        <f>VLOOKUP(B1195, 'All Menu'!B:L, 6, 0)</f>
        <v>3.4482758620689657</v>
      </c>
      <c r="P1195" s="6">
        <f>VLOOKUP(B1195, 'All Menu'!B:L, 9, 0)</f>
        <v>2.1886243384709161</v>
      </c>
      <c r="Q1195" s="14">
        <f>VLOOKUP(B1195, 'All Menu'!B:M, 12, 0)</f>
        <v>0.36529894184343437</v>
      </c>
      <c r="R1195" s="173">
        <f t="shared" si="71"/>
        <v>0</v>
      </c>
    </row>
    <row r="1196" spans="1:18" ht="14" hidden="1">
      <c r="A1196" s="78" t="s">
        <v>2659</v>
      </c>
      <c r="B1196" s="220" t="s">
        <v>1084</v>
      </c>
      <c r="C1196" s="185"/>
      <c r="D1196" s="103" t="str">
        <f>VLOOKUP(B1196, 'All Menu'!B:M, 4, 0)</f>
        <v>بندورة بلحمة وقية</v>
      </c>
      <c r="E1196" s="30" t="str">
        <f>VLOOKUP(B1196, 'All Menu'!B:M, 2, 0)</f>
        <v>قسم الصواني</v>
      </c>
      <c r="F1196" s="103" t="str">
        <f>VLOOKUP(B1196, 'All Menu'!B:M, 3, 0)</f>
        <v>صواني وصجيات سفري</v>
      </c>
      <c r="G1196" s="90" t="s">
        <v>3058</v>
      </c>
      <c r="H1196" s="188">
        <v>4274</v>
      </c>
      <c r="I1196" s="110" t="str">
        <f>VLOOKUP(H1196, 'RM &amp; SF'!B:H, 2, 0)</f>
        <v>علب المركزية مطبوع + قاطع رقم 1 1*100 حبة*****</v>
      </c>
      <c r="J1196" s="184" t="str">
        <f>VLOOKUP(H1196, 'RM &amp; SF'!B:E, 4, 0)</f>
        <v>قطعة</v>
      </c>
      <c r="K1196" s="12">
        <v>1</v>
      </c>
      <c r="L1196" s="13">
        <f>VLOOKUP(H1196, 'RM &amp; SF'!B:H, 7, 0)</f>
        <v>0.25</v>
      </c>
      <c r="M1196" s="7">
        <f t="shared" si="70"/>
        <v>0.25</v>
      </c>
      <c r="N1196" s="4" t="s">
        <v>825</v>
      </c>
      <c r="O1196" s="4">
        <f>VLOOKUP(B1196, 'All Menu'!B:L, 6, 0)</f>
        <v>3.4482758620689657</v>
      </c>
      <c r="P1196" s="6">
        <f>VLOOKUP(B1196, 'All Menu'!B:L, 9, 0)</f>
        <v>2.1886243384709161</v>
      </c>
      <c r="Q1196" s="14">
        <f>VLOOKUP(B1196, 'All Menu'!B:M, 12, 0)</f>
        <v>0.36529894184343437</v>
      </c>
      <c r="R1196" s="173">
        <f t="shared" si="71"/>
        <v>0</v>
      </c>
    </row>
    <row r="1197" spans="1:18" ht="14" hidden="1">
      <c r="A1197" s="78" t="s">
        <v>2660</v>
      </c>
      <c r="B1197" s="220" t="s">
        <v>1085</v>
      </c>
      <c r="C1197" s="185"/>
      <c r="D1197" s="103" t="str">
        <f>VLOOKUP(B1197, 'All Menu'!B:M, 4, 0)</f>
        <v>بندورة بلحمة نصف كيلو</v>
      </c>
      <c r="E1197" s="30" t="str">
        <f>VLOOKUP(B1197, 'All Menu'!B:M, 2, 0)</f>
        <v>قسم الصواني</v>
      </c>
      <c r="F1197" s="103" t="str">
        <f>VLOOKUP(B1197, 'All Menu'!B:M, 3, 0)</f>
        <v>صواني وصجيات سفري</v>
      </c>
      <c r="G1197" s="90" t="s">
        <v>2434</v>
      </c>
      <c r="H1197" s="219" t="s">
        <v>574</v>
      </c>
      <c r="I1197" s="110" t="str">
        <f>VLOOKUP(H1197, 'RM &amp; SF'!B:H, 2, 0)</f>
        <v>صوص بندورة</v>
      </c>
      <c r="J1197" s="184" t="str">
        <f>VLOOKUP(H1197, 'RM &amp; SF'!B:E, 4, 0)</f>
        <v>غم</v>
      </c>
      <c r="K1197" s="12">
        <v>800</v>
      </c>
      <c r="L1197" s="13">
        <f>VLOOKUP(H1197, 'RM &amp; SF'!B:H, 7, 0)</f>
        <v>1.1346600487634969E-3</v>
      </c>
      <c r="M1197" s="7">
        <f t="shared" si="70"/>
        <v>0.90772803901079757</v>
      </c>
      <c r="N1197" s="4" t="s">
        <v>825</v>
      </c>
      <c r="O1197" s="4">
        <f>VLOOKUP(B1197, 'All Menu'!B:L, 6, 0)</f>
        <v>5.1724137931034484</v>
      </c>
      <c r="P1197" s="6">
        <f>VLOOKUP(B1197, 'All Menu'!B:L, 9, 0)</f>
        <v>4.0705318895855109</v>
      </c>
      <c r="Q1197" s="14">
        <f>VLOOKUP(B1197, 'All Menu'!B:M, 12, 0)</f>
        <v>0.21303050134680124</v>
      </c>
      <c r="R1197" s="173">
        <f t="shared" si="71"/>
        <v>0</v>
      </c>
    </row>
    <row r="1198" spans="1:18" ht="14" hidden="1">
      <c r="A1198" s="78" t="s">
        <v>2660</v>
      </c>
      <c r="B1198" s="220" t="s">
        <v>1085</v>
      </c>
      <c r="C1198" s="185"/>
      <c r="D1198" s="103" t="str">
        <f>VLOOKUP(B1198, 'All Menu'!B:M, 4, 0)</f>
        <v>بندورة بلحمة نصف كيلو</v>
      </c>
      <c r="E1198" s="30" t="str">
        <f>VLOOKUP(B1198, 'All Menu'!B:M, 2, 0)</f>
        <v>قسم الصواني</v>
      </c>
      <c r="F1198" s="103" t="str">
        <f>VLOOKUP(B1198, 'All Menu'!B:M, 3, 0)</f>
        <v>صواني وصجيات سفري</v>
      </c>
      <c r="G1198" s="90" t="s">
        <v>2231</v>
      </c>
      <c r="H1198" s="188">
        <v>4499</v>
      </c>
      <c r="I1198" s="110" t="str">
        <f>VLOOKUP(H1198, 'RM &amp; SF'!B:H, 2, 0)</f>
        <v>فلفل حار اخضر*****</v>
      </c>
      <c r="J1198" s="184" t="str">
        <f>VLOOKUP(H1198, 'RM &amp; SF'!B:E, 4, 0)</f>
        <v>غم</v>
      </c>
      <c r="K1198" s="12">
        <v>20</v>
      </c>
      <c r="L1198" s="13">
        <f>VLOOKUP(H1198, 'RM &amp; SF'!B:H, 7, 0)</f>
        <v>5.0000000000000001E-4</v>
      </c>
      <c r="M1198" s="7">
        <f t="shared" si="70"/>
        <v>0.01</v>
      </c>
      <c r="N1198" s="4" t="s">
        <v>825</v>
      </c>
      <c r="O1198" s="4">
        <f>VLOOKUP(B1198, 'All Menu'!B:L, 6, 0)</f>
        <v>5.1724137931034484</v>
      </c>
      <c r="P1198" s="6">
        <f>VLOOKUP(B1198, 'All Menu'!B:L, 9, 0)</f>
        <v>4.0705318895855109</v>
      </c>
      <c r="Q1198" s="14">
        <f>VLOOKUP(B1198, 'All Menu'!B:M, 12, 0)</f>
        <v>0.21303050134680124</v>
      </c>
      <c r="R1198" s="173">
        <f t="shared" si="71"/>
        <v>0</v>
      </c>
    </row>
    <row r="1199" spans="1:18" ht="14" hidden="1">
      <c r="A1199" s="78" t="s">
        <v>2660</v>
      </c>
      <c r="B1199" s="220" t="s">
        <v>1085</v>
      </c>
      <c r="C1199" s="185"/>
      <c r="D1199" s="103" t="str">
        <f>VLOOKUP(B1199, 'All Menu'!B:M, 4, 0)</f>
        <v>بندورة بلحمة نصف كيلو</v>
      </c>
      <c r="E1199" s="30" t="str">
        <f>VLOOKUP(B1199, 'All Menu'!B:M, 2, 0)</f>
        <v>قسم الصواني</v>
      </c>
      <c r="F1199" s="103" t="str">
        <f>VLOOKUP(B1199, 'All Menu'!B:M, 3, 0)</f>
        <v>صواني وصجيات سفري</v>
      </c>
      <c r="G1199" s="90" t="s">
        <v>2341</v>
      </c>
      <c r="H1199" s="219" t="s">
        <v>706</v>
      </c>
      <c r="I1199" s="110" t="str">
        <f>VLOOKUP(H1199, 'RM &amp; SF'!B:H, 2, 0)</f>
        <v>لوز مقلي</v>
      </c>
      <c r="J1199" s="184" t="str">
        <f>VLOOKUP(H1199, 'RM &amp; SF'!B:E, 4, 0)</f>
        <v>غم</v>
      </c>
      <c r="K1199" s="12">
        <v>20</v>
      </c>
      <c r="L1199" s="13">
        <f>VLOOKUP(H1199, 'RM &amp; SF'!B:H, 7, 0)</f>
        <v>4.1352327586206888E-3</v>
      </c>
      <c r="M1199" s="7">
        <f t="shared" si="70"/>
        <v>8.270465517241378E-2</v>
      </c>
      <c r="N1199" s="4" t="s">
        <v>825</v>
      </c>
      <c r="O1199" s="4">
        <f>VLOOKUP(B1199, 'All Menu'!B:L, 6, 0)</f>
        <v>5.1724137931034484</v>
      </c>
      <c r="P1199" s="6">
        <f>VLOOKUP(B1199, 'All Menu'!B:L, 9, 0)</f>
        <v>4.0705318895855109</v>
      </c>
      <c r="Q1199" s="14">
        <f>VLOOKUP(B1199, 'All Menu'!B:M, 12, 0)</f>
        <v>0.21303050134680124</v>
      </c>
      <c r="R1199" s="173">
        <f t="shared" si="71"/>
        <v>0</v>
      </c>
    </row>
    <row r="1200" spans="1:18" ht="14" hidden="1">
      <c r="A1200" s="78" t="s">
        <v>2660</v>
      </c>
      <c r="B1200" s="220" t="s">
        <v>1085</v>
      </c>
      <c r="C1200" s="185"/>
      <c r="D1200" s="103" t="str">
        <f>VLOOKUP(B1200, 'All Menu'!B:M, 4, 0)</f>
        <v>بندورة بلحمة نصف كيلو</v>
      </c>
      <c r="E1200" s="30" t="str">
        <f>VLOOKUP(B1200, 'All Menu'!B:M, 2, 0)</f>
        <v>قسم الصواني</v>
      </c>
      <c r="F1200" s="103" t="str">
        <f>VLOOKUP(B1200, 'All Menu'!B:M, 3, 0)</f>
        <v>صواني وصجيات سفري</v>
      </c>
      <c r="G1200" s="90" t="s">
        <v>2251</v>
      </c>
      <c r="H1200" s="188">
        <v>4544</v>
      </c>
      <c r="I1200" s="110" t="str">
        <f>VLOOKUP(H1200, 'RM &amp; SF'!B:H, 2, 0)</f>
        <v>بقدونس*****</v>
      </c>
      <c r="J1200" s="184" t="str">
        <f>VLOOKUP(H1200, 'RM &amp; SF'!B:E, 4, 0)</f>
        <v>غم</v>
      </c>
      <c r="K1200" s="12">
        <v>0.6</v>
      </c>
      <c r="L1200" s="13">
        <f>VLOOKUP(H1200, 'RM &amp; SF'!B:H, 7, 0)</f>
        <v>7.5000000000000002E-4</v>
      </c>
      <c r="M1200" s="7">
        <f t="shared" si="70"/>
        <v>4.4999999999999999E-4</v>
      </c>
      <c r="N1200" s="4" t="s">
        <v>825</v>
      </c>
      <c r="O1200" s="4">
        <f>VLOOKUP(B1200, 'All Menu'!B:L, 6, 0)</f>
        <v>5.1724137931034484</v>
      </c>
      <c r="P1200" s="6">
        <f>VLOOKUP(B1200, 'All Menu'!B:L, 9, 0)</f>
        <v>4.0705318895855109</v>
      </c>
      <c r="Q1200" s="14">
        <f>VLOOKUP(B1200, 'All Menu'!B:M, 12, 0)</f>
        <v>0.21303050134680124</v>
      </c>
      <c r="R1200" s="173">
        <f t="shared" si="71"/>
        <v>0</v>
      </c>
    </row>
    <row r="1201" spans="1:18" ht="14" hidden="1">
      <c r="A1201" s="78" t="s">
        <v>2660</v>
      </c>
      <c r="B1201" s="220" t="s">
        <v>1085</v>
      </c>
      <c r="C1201" s="185"/>
      <c r="D1201" s="103" t="str">
        <f>VLOOKUP(B1201, 'All Menu'!B:M, 4, 0)</f>
        <v>بندورة بلحمة نصف كيلو</v>
      </c>
      <c r="E1201" s="30" t="str">
        <f>VLOOKUP(B1201, 'All Menu'!B:M, 2, 0)</f>
        <v>قسم الصواني</v>
      </c>
      <c r="F1201" s="103" t="str">
        <f>VLOOKUP(B1201, 'All Menu'!B:M, 3, 0)</f>
        <v>صواني وصجيات سفري</v>
      </c>
      <c r="G1201" s="90" t="s">
        <v>2203</v>
      </c>
      <c r="H1201" s="188">
        <v>4152</v>
      </c>
      <c r="I1201" s="110" t="str">
        <f>VLOOKUP(H1201, 'RM &amp; SF'!B:H, 2, 0)</f>
        <v>ملح طعام 750غم*****</v>
      </c>
      <c r="J1201" s="184" t="str">
        <f>VLOOKUP(H1201, 'RM &amp; SF'!B:E, 4, 0)</f>
        <v>غم</v>
      </c>
      <c r="K1201" s="12">
        <v>10</v>
      </c>
      <c r="L1201" s="13">
        <f>VLOOKUP(H1201, 'RM &amp; SF'!B:H, 7, 0)</f>
        <v>1.7066666666666665E-4</v>
      </c>
      <c r="M1201" s="7">
        <f t="shared" si="70"/>
        <v>1.7066666666666664E-3</v>
      </c>
      <c r="N1201" s="4" t="s">
        <v>825</v>
      </c>
      <c r="O1201" s="4">
        <f>VLOOKUP(B1201, 'All Menu'!B:L, 6, 0)</f>
        <v>5.1724137931034484</v>
      </c>
      <c r="P1201" s="6">
        <f>VLOOKUP(B1201, 'All Menu'!B:L, 9, 0)</f>
        <v>4.0705318895855109</v>
      </c>
      <c r="Q1201" s="14">
        <f>VLOOKUP(B1201, 'All Menu'!B:M, 12, 0)</f>
        <v>0.21303050134680124</v>
      </c>
      <c r="R1201" s="173">
        <f t="shared" si="71"/>
        <v>0</v>
      </c>
    </row>
    <row r="1202" spans="1:18" s="175" customFormat="1" ht="14" hidden="1">
      <c r="A1202" s="78" t="s">
        <v>2660</v>
      </c>
      <c r="B1202" s="220" t="s">
        <v>1085</v>
      </c>
      <c r="C1202" s="185"/>
      <c r="D1202" s="192" t="str">
        <f>VLOOKUP(B1202, 'All Menu'!B:M, 4, 0)</f>
        <v>بندورة بلحمة نصف كيلو</v>
      </c>
      <c r="E1202" s="30" t="str">
        <f>VLOOKUP(B1202, 'All Menu'!B:M, 2, 0)</f>
        <v>قسم الصواني</v>
      </c>
      <c r="F1202" s="103" t="str">
        <f>VLOOKUP(B1202, 'All Menu'!B:M, 3, 0)</f>
        <v>صواني وصجيات سفري</v>
      </c>
      <c r="G1202" s="90" t="s">
        <v>3058</v>
      </c>
      <c r="H1202" s="226">
        <v>5373</v>
      </c>
      <c r="I1202" s="110" t="str">
        <f>VLOOKUP(H1202, 'RM &amp; SF'!B:H, 2, 0)</f>
        <v>قطعيات عجل مشكلة</v>
      </c>
      <c r="J1202" s="184" t="str">
        <f>VLOOKUP(H1202, 'RM &amp; SF'!B:E, 4, 0)</f>
        <v>غم</v>
      </c>
      <c r="K1202" s="144">
        <v>300</v>
      </c>
      <c r="L1202" s="13">
        <f>VLOOKUP(H1202, 'RM &amp; SF'!B:H, 7, 0)</f>
        <v>9.0100000000000006E-3</v>
      </c>
      <c r="M1202" s="145">
        <f t="shared" ref="M1202:M1250" si="72">L1202*K1202</f>
        <v>2.7030000000000003</v>
      </c>
      <c r="N1202" s="143" t="s">
        <v>825</v>
      </c>
      <c r="O1202" s="143">
        <f>VLOOKUP(B1202, 'All Menu'!B:L, 6, 0)</f>
        <v>5.1724137931034484</v>
      </c>
      <c r="P1202" s="146">
        <f>VLOOKUP(B1202, 'All Menu'!B:L, 9, 0)</f>
        <v>4.0705318895855109</v>
      </c>
      <c r="Q1202" s="147">
        <f>VLOOKUP(B1202, 'All Menu'!B:M, 12, 0)</f>
        <v>0.21303050134680124</v>
      </c>
      <c r="R1202" s="174">
        <f t="shared" si="71"/>
        <v>0</v>
      </c>
    </row>
    <row r="1203" spans="1:18" ht="14" hidden="1">
      <c r="A1203" s="78" t="s">
        <v>2660</v>
      </c>
      <c r="B1203" s="220" t="s">
        <v>1085</v>
      </c>
      <c r="C1203" s="185"/>
      <c r="D1203" s="103" t="str">
        <f>VLOOKUP(B1203, 'All Menu'!B:M, 4, 0)</f>
        <v>بندورة بلحمة نصف كيلو</v>
      </c>
      <c r="E1203" s="30" t="str">
        <f>VLOOKUP(B1203, 'All Menu'!B:M, 2, 0)</f>
        <v>قسم الصواني</v>
      </c>
      <c r="F1203" s="103" t="str">
        <f>VLOOKUP(B1203, 'All Menu'!B:M, 3, 0)</f>
        <v>صواني وصجيات سفري</v>
      </c>
      <c r="G1203" s="90" t="s">
        <v>3058</v>
      </c>
      <c r="H1203" s="188">
        <v>5424</v>
      </c>
      <c r="I1203" s="110" t="str">
        <f>VLOOKUP(H1203, 'RM &amp; SF'!B:H, 2, 0)</f>
        <v>علب قصدير مدور 1/2 كغ RZ 25*****</v>
      </c>
      <c r="J1203" s="184" t="str">
        <f>VLOOKUP(H1203, 'RM &amp; SF'!B:E, 4, 0)</f>
        <v>قطعة</v>
      </c>
      <c r="K1203" s="12">
        <v>1</v>
      </c>
      <c r="L1203" s="13">
        <f>VLOOKUP(H1203, 'RM &amp; SF'!B:H, 7, 0)</f>
        <v>0.1149425287356322</v>
      </c>
      <c r="M1203" s="7">
        <f t="shared" si="72"/>
        <v>0.1149425287356322</v>
      </c>
      <c r="N1203" s="4" t="s">
        <v>825</v>
      </c>
      <c r="O1203" s="4">
        <f>VLOOKUP(B1203, 'All Menu'!B:L, 6, 0)</f>
        <v>5.1724137931034484</v>
      </c>
      <c r="P1203" s="6">
        <f>VLOOKUP(B1203, 'All Menu'!B:L, 9, 0)</f>
        <v>4.0705318895855109</v>
      </c>
      <c r="Q1203" s="14">
        <f>VLOOKUP(B1203, 'All Menu'!B:M, 12, 0)</f>
        <v>0.21303050134680124</v>
      </c>
      <c r="R1203" s="173">
        <f t="shared" si="71"/>
        <v>0</v>
      </c>
    </row>
    <row r="1204" spans="1:18" ht="14" hidden="1">
      <c r="A1204" s="78" t="s">
        <v>2660</v>
      </c>
      <c r="B1204" s="220" t="s">
        <v>1085</v>
      </c>
      <c r="C1204" s="185"/>
      <c r="D1204" s="103" t="str">
        <f>VLOOKUP(B1204, 'All Menu'!B:M, 4, 0)</f>
        <v>بندورة بلحمة نصف كيلو</v>
      </c>
      <c r="E1204" s="30" t="str">
        <f>VLOOKUP(B1204, 'All Menu'!B:M, 2, 0)</f>
        <v>قسم الصواني</v>
      </c>
      <c r="F1204" s="103" t="str">
        <f>VLOOKUP(B1204, 'All Menu'!B:M, 3, 0)</f>
        <v>صواني وصجيات سفري</v>
      </c>
      <c r="G1204" s="90" t="s">
        <v>3058</v>
      </c>
      <c r="H1204" s="188">
        <v>4274</v>
      </c>
      <c r="I1204" s="110" t="str">
        <f>VLOOKUP(H1204, 'RM &amp; SF'!B:H, 2, 0)</f>
        <v>علب المركزية مطبوع + قاطع رقم 1 1*100 حبة*****</v>
      </c>
      <c r="J1204" s="184" t="str">
        <f>VLOOKUP(H1204, 'RM &amp; SF'!B:E, 4, 0)</f>
        <v>قطعة</v>
      </c>
      <c r="K1204" s="12">
        <v>1</v>
      </c>
      <c r="L1204" s="13">
        <f>VLOOKUP(H1204, 'RM &amp; SF'!B:H, 7, 0)</f>
        <v>0.25</v>
      </c>
      <c r="M1204" s="7">
        <f t="shared" si="72"/>
        <v>0.25</v>
      </c>
      <c r="N1204" s="4" t="s">
        <v>825</v>
      </c>
      <c r="O1204" s="4">
        <f>VLOOKUP(B1204, 'All Menu'!B:L, 6, 0)</f>
        <v>5.1724137931034484</v>
      </c>
      <c r="P1204" s="6">
        <f>VLOOKUP(B1204, 'All Menu'!B:L, 9, 0)</f>
        <v>4.0705318895855109</v>
      </c>
      <c r="Q1204" s="14">
        <f>VLOOKUP(B1204, 'All Menu'!B:M, 12, 0)</f>
        <v>0.21303050134680124</v>
      </c>
      <c r="R1204" s="173">
        <f t="shared" si="71"/>
        <v>0</v>
      </c>
    </row>
    <row r="1205" spans="1:18" ht="14" hidden="1">
      <c r="A1205" s="78" t="s">
        <v>2651</v>
      </c>
      <c r="B1205" s="220" t="s">
        <v>1096</v>
      </c>
      <c r="C1205" s="185"/>
      <c r="D1205" s="103" t="str">
        <f>VLOOKUP(B1205, 'All Menu'!B:M, 4, 0)</f>
        <v>صاجية دجاج وقية</v>
      </c>
      <c r="E1205" s="30" t="str">
        <f>VLOOKUP(B1205, 'All Menu'!B:M, 2, 0)</f>
        <v>قسم الصواني</v>
      </c>
      <c r="F1205" s="103" t="str">
        <f>VLOOKUP(B1205, 'All Menu'!B:M, 3, 0)</f>
        <v>صواني وصجيات سفري</v>
      </c>
      <c r="G1205" s="90" t="s">
        <v>2445</v>
      </c>
      <c r="H1205" s="219" t="s">
        <v>668</v>
      </c>
      <c r="I1205" s="110" t="str">
        <f>VLOOKUP(H1205, 'RM &amp; SF'!B:H, 2, 0)</f>
        <v>دجاج مسحب بالفرن انترناشونال</v>
      </c>
      <c r="J1205" s="184" t="str">
        <f>VLOOKUP(H1205, 'RM &amp; SF'!B:E, 4, 0)</f>
        <v>غم</v>
      </c>
      <c r="K1205" s="12">
        <v>200</v>
      </c>
      <c r="L1205" s="13">
        <f>VLOOKUP(H1205, 'RM &amp; SF'!B:H, 7, 0)</f>
        <v>4.5947853888888886E-3</v>
      </c>
      <c r="M1205" s="7">
        <f t="shared" si="72"/>
        <v>0.91895707777777769</v>
      </c>
      <c r="N1205" s="4" t="s">
        <v>825</v>
      </c>
      <c r="O1205" s="4">
        <f>VLOOKUP(B1205, 'All Menu'!B:L, 6, 0)</f>
        <v>3.6637931034482762</v>
      </c>
      <c r="P1205" s="6">
        <f>VLOOKUP(B1205, 'All Menu'!B:L, 9, 0)</f>
        <v>1.4299442846743295</v>
      </c>
      <c r="Q1205" s="14">
        <f>VLOOKUP(B1205, 'All Menu'!B:M, 12, 0)</f>
        <v>0.60970932465359473</v>
      </c>
      <c r="R1205" s="173">
        <f t="shared" ref="R1205:R1258" si="73">C1205*K1205</f>
        <v>0</v>
      </c>
    </row>
    <row r="1206" spans="1:18" ht="14" hidden="1">
      <c r="A1206" s="78" t="s">
        <v>2651</v>
      </c>
      <c r="B1206" s="220" t="s">
        <v>1096</v>
      </c>
      <c r="C1206" s="185"/>
      <c r="D1206" s="103" t="str">
        <f>VLOOKUP(B1206, 'All Menu'!B:M, 4, 0)</f>
        <v>صاجية دجاج وقية</v>
      </c>
      <c r="E1206" s="30" t="str">
        <f>VLOOKUP(B1206, 'All Menu'!B:M, 2, 0)</f>
        <v>قسم الصواني</v>
      </c>
      <c r="F1206" s="103" t="str">
        <f>VLOOKUP(B1206, 'All Menu'!B:M, 3, 0)</f>
        <v>صواني وصجيات سفري</v>
      </c>
      <c r="G1206" s="90" t="s">
        <v>2234</v>
      </c>
      <c r="H1206" s="188">
        <v>4503</v>
      </c>
      <c r="I1206" s="110" t="str">
        <f>VLOOKUP(H1206, 'RM &amp; SF'!B:H, 2, 0)</f>
        <v>بصل ناشف دفش*****</v>
      </c>
      <c r="J1206" s="184" t="str">
        <f>VLOOKUP(H1206, 'RM &amp; SF'!B:E, 4, 0)</f>
        <v>غم</v>
      </c>
      <c r="K1206" s="12">
        <v>100</v>
      </c>
      <c r="L1206" s="13">
        <f>VLOOKUP(H1206, 'RM &amp; SF'!B:H, 7, 0)</f>
        <v>2.5000000000000001E-4</v>
      </c>
      <c r="M1206" s="7">
        <f t="shared" si="72"/>
        <v>2.5000000000000001E-2</v>
      </c>
      <c r="N1206" s="4" t="s">
        <v>825</v>
      </c>
      <c r="O1206" s="4">
        <f>VLOOKUP(B1206, 'All Menu'!B:L, 6, 0)</f>
        <v>3.6637931034482762</v>
      </c>
      <c r="P1206" s="6">
        <f>VLOOKUP(B1206, 'All Menu'!B:L, 9, 0)</f>
        <v>1.4299442846743295</v>
      </c>
      <c r="Q1206" s="14">
        <f>VLOOKUP(B1206, 'All Menu'!B:M, 12, 0)</f>
        <v>0.60970932465359473</v>
      </c>
      <c r="R1206" s="173">
        <f t="shared" si="73"/>
        <v>0</v>
      </c>
    </row>
    <row r="1207" spans="1:18" ht="14" hidden="1">
      <c r="A1207" s="78" t="s">
        <v>2651</v>
      </c>
      <c r="B1207" s="220" t="s">
        <v>1096</v>
      </c>
      <c r="C1207" s="185"/>
      <c r="D1207" s="103" t="str">
        <f>VLOOKUP(B1207, 'All Menu'!B:M, 4, 0)</f>
        <v>صاجية دجاج وقية</v>
      </c>
      <c r="E1207" s="30" t="str">
        <f>VLOOKUP(B1207, 'All Menu'!B:M, 2, 0)</f>
        <v>قسم الصواني</v>
      </c>
      <c r="F1207" s="103" t="str">
        <f>VLOOKUP(B1207, 'All Menu'!B:M, 3, 0)</f>
        <v>صواني وصجيات سفري</v>
      </c>
      <c r="G1207" s="90" t="s">
        <v>2266</v>
      </c>
      <c r="H1207" s="188">
        <v>4008</v>
      </c>
      <c r="I1207" s="110" t="str">
        <f>VLOOKUP(H1207, 'RM &amp; SF'!B:H, 2, 0)</f>
        <v>صويا صوص 3.79 لتر*****</v>
      </c>
      <c r="J1207" s="184" t="str">
        <f>VLOOKUP(H1207, 'RM &amp; SF'!B:E, 4, 0)</f>
        <v>مل</v>
      </c>
      <c r="K1207" s="12">
        <v>15</v>
      </c>
      <c r="L1207" s="13">
        <f>VLOOKUP(H1207, 'RM &amp; SF'!B:H, 7, 0)</f>
        <v>3.0699999999999998E-3</v>
      </c>
      <c r="M1207" s="7">
        <f t="shared" si="72"/>
        <v>4.6049999999999994E-2</v>
      </c>
      <c r="N1207" s="4" t="s">
        <v>825</v>
      </c>
      <c r="O1207" s="4">
        <f>VLOOKUP(B1207, 'All Menu'!B:L, 6, 0)</f>
        <v>3.6637931034482762</v>
      </c>
      <c r="P1207" s="6">
        <f>VLOOKUP(B1207, 'All Menu'!B:L, 9, 0)</f>
        <v>1.4299442846743295</v>
      </c>
      <c r="Q1207" s="14">
        <f>VLOOKUP(B1207, 'All Menu'!B:M, 12, 0)</f>
        <v>0.60970932465359473</v>
      </c>
      <c r="R1207" s="173">
        <f t="shared" si="73"/>
        <v>0</v>
      </c>
    </row>
    <row r="1208" spans="1:18" ht="14" hidden="1">
      <c r="A1208" s="78" t="s">
        <v>2651</v>
      </c>
      <c r="B1208" s="220" t="s">
        <v>1096</v>
      </c>
      <c r="C1208" s="185"/>
      <c r="D1208" s="103" t="str">
        <f>VLOOKUP(B1208, 'All Menu'!B:M, 4, 0)</f>
        <v>صاجية دجاج وقية</v>
      </c>
      <c r="E1208" s="30" t="str">
        <f>VLOOKUP(B1208, 'All Menu'!B:M, 2, 0)</f>
        <v>قسم الصواني</v>
      </c>
      <c r="F1208" s="103" t="str">
        <f>VLOOKUP(B1208, 'All Menu'!B:M, 3, 0)</f>
        <v>صواني وصجيات سفري</v>
      </c>
      <c r="G1208" s="90" t="s">
        <v>2231</v>
      </c>
      <c r="H1208" s="188">
        <v>4499</v>
      </c>
      <c r="I1208" s="110" t="str">
        <f>VLOOKUP(H1208, 'RM &amp; SF'!B:H, 2, 0)</f>
        <v>فلفل حار اخضر*****</v>
      </c>
      <c r="J1208" s="184" t="str">
        <f>VLOOKUP(H1208, 'RM &amp; SF'!B:E, 4, 0)</f>
        <v>غم</v>
      </c>
      <c r="K1208" s="12">
        <v>20</v>
      </c>
      <c r="L1208" s="13">
        <f>VLOOKUP(H1208, 'RM &amp; SF'!B:H, 7, 0)</f>
        <v>5.0000000000000001E-4</v>
      </c>
      <c r="M1208" s="7">
        <f t="shared" si="72"/>
        <v>0.01</v>
      </c>
      <c r="N1208" s="4" t="s">
        <v>825</v>
      </c>
      <c r="O1208" s="4">
        <f>VLOOKUP(B1208, 'All Menu'!B:L, 6, 0)</f>
        <v>3.6637931034482762</v>
      </c>
      <c r="P1208" s="6">
        <f>VLOOKUP(B1208, 'All Menu'!B:L, 9, 0)</f>
        <v>1.4299442846743295</v>
      </c>
      <c r="Q1208" s="14">
        <f>VLOOKUP(B1208, 'All Menu'!B:M, 12, 0)</f>
        <v>0.60970932465359473</v>
      </c>
      <c r="R1208" s="173">
        <f t="shared" si="73"/>
        <v>0</v>
      </c>
    </row>
    <row r="1209" spans="1:18" ht="14" hidden="1">
      <c r="A1209" s="78" t="s">
        <v>2651</v>
      </c>
      <c r="B1209" s="220" t="s">
        <v>1096</v>
      </c>
      <c r="C1209" s="185"/>
      <c r="D1209" s="103" t="str">
        <f>VLOOKUP(B1209, 'All Menu'!B:M, 4, 0)</f>
        <v>صاجية دجاج وقية</v>
      </c>
      <c r="E1209" s="30" t="str">
        <f>VLOOKUP(B1209, 'All Menu'!B:M, 2, 0)</f>
        <v>قسم الصواني</v>
      </c>
      <c r="F1209" s="103" t="str">
        <f>VLOOKUP(B1209, 'All Menu'!B:M, 3, 0)</f>
        <v>صواني وصجيات سفري</v>
      </c>
      <c r="G1209" s="90" t="s">
        <v>2233</v>
      </c>
      <c r="H1209" s="188">
        <v>4501</v>
      </c>
      <c r="I1209" s="110" t="str">
        <f>VLOOKUP(H1209, 'RM &amp; SF'!B:H, 2, 0)</f>
        <v>فلفل حلو احمر*****</v>
      </c>
      <c r="J1209" s="184" t="str">
        <f>VLOOKUP(H1209, 'RM &amp; SF'!B:E, 4, 0)</f>
        <v>غم</v>
      </c>
      <c r="K1209" s="12">
        <v>100</v>
      </c>
      <c r="L1209" s="13">
        <f>VLOOKUP(H1209, 'RM &amp; SF'!B:H, 7, 0)</f>
        <v>7.5000000000000002E-4</v>
      </c>
      <c r="M1209" s="7">
        <f t="shared" si="72"/>
        <v>7.4999999999999997E-2</v>
      </c>
      <c r="N1209" s="4" t="s">
        <v>825</v>
      </c>
      <c r="O1209" s="4">
        <f>VLOOKUP(B1209, 'All Menu'!B:L, 6, 0)</f>
        <v>3.6637931034482762</v>
      </c>
      <c r="P1209" s="6">
        <f>VLOOKUP(B1209, 'All Menu'!B:L, 9, 0)</f>
        <v>1.4299442846743295</v>
      </c>
      <c r="Q1209" s="14">
        <f>VLOOKUP(B1209, 'All Menu'!B:M, 12, 0)</f>
        <v>0.60970932465359473</v>
      </c>
      <c r="R1209" s="173">
        <f t="shared" si="73"/>
        <v>0</v>
      </c>
    </row>
    <row r="1210" spans="1:18" ht="14" hidden="1">
      <c r="A1210" s="78" t="s">
        <v>2651</v>
      </c>
      <c r="B1210" s="220" t="s">
        <v>1096</v>
      </c>
      <c r="C1210" s="185"/>
      <c r="D1210" s="103" t="str">
        <f>VLOOKUP(B1210, 'All Menu'!B:M, 4, 0)</f>
        <v>صاجية دجاج وقية</v>
      </c>
      <c r="E1210" s="30" t="str">
        <f>VLOOKUP(B1210, 'All Menu'!B:M, 2, 0)</f>
        <v>قسم الصواني</v>
      </c>
      <c r="F1210" s="103" t="str">
        <f>VLOOKUP(B1210, 'All Menu'!B:M, 3, 0)</f>
        <v>صواني وصجيات سفري</v>
      </c>
      <c r="G1210" s="90" t="s">
        <v>2203</v>
      </c>
      <c r="H1210" s="188">
        <v>4152</v>
      </c>
      <c r="I1210" s="110" t="str">
        <f>VLOOKUP(H1210, 'RM &amp; SF'!B:H, 2, 0)</f>
        <v>ملح طعام 750غم*****</v>
      </c>
      <c r="J1210" s="184" t="str">
        <f>VLOOKUP(H1210, 'RM &amp; SF'!B:E, 4, 0)</f>
        <v>غم</v>
      </c>
      <c r="K1210" s="12">
        <v>3</v>
      </c>
      <c r="L1210" s="13">
        <f>VLOOKUP(H1210, 'RM &amp; SF'!B:H, 7, 0)</f>
        <v>1.7066666666666665E-4</v>
      </c>
      <c r="M1210" s="7">
        <f t="shared" si="72"/>
        <v>5.1199999999999998E-4</v>
      </c>
      <c r="N1210" s="4" t="s">
        <v>825</v>
      </c>
      <c r="O1210" s="4">
        <f>VLOOKUP(B1210, 'All Menu'!B:L, 6, 0)</f>
        <v>3.6637931034482762</v>
      </c>
      <c r="P1210" s="6">
        <f>VLOOKUP(B1210, 'All Menu'!B:L, 9, 0)</f>
        <v>1.4299442846743295</v>
      </c>
      <c r="Q1210" s="14">
        <f>VLOOKUP(B1210, 'All Menu'!B:M, 12, 0)</f>
        <v>0.60970932465359473</v>
      </c>
      <c r="R1210" s="173">
        <f t="shared" si="73"/>
        <v>0</v>
      </c>
    </row>
    <row r="1211" spans="1:18" ht="14" hidden="1">
      <c r="A1211" s="78" t="s">
        <v>2651</v>
      </c>
      <c r="B1211" s="220" t="s">
        <v>1096</v>
      </c>
      <c r="C1211" s="185"/>
      <c r="D1211" s="103" t="str">
        <f>VLOOKUP(B1211, 'All Menu'!B:M, 4, 0)</f>
        <v>صاجية دجاج وقية</v>
      </c>
      <c r="E1211" s="30" t="str">
        <f>VLOOKUP(B1211, 'All Menu'!B:M, 2, 0)</f>
        <v>قسم الصواني</v>
      </c>
      <c r="F1211" s="103" t="str">
        <f>VLOOKUP(B1211, 'All Menu'!B:M, 3, 0)</f>
        <v>صواني وصجيات سفري</v>
      </c>
      <c r="G1211" s="90" t="s">
        <v>2206</v>
      </c>
      <c r="H1211" s="188">
        <v>4204</v>
      </c>
      <c r="I1211" s="110" t="str">
        <f>VLOOKUP(H1211, 'RM &amp; SF'!B:H, 2, 0)</f>
        <v>فلفل اسود ناعم*****</v>
      </c>
      <c r="J1211" s="184" t="str">
        <f>VLOOKUP(H1211, 'RM &amp; SF'!B:E, 4, 0)</f>
        <v>غم</v>
      </c>
      <c r="K1211" s="12">
        <v>2</v>
      </c>
      <c r="L1211" s="13">
        <f>VLOOKUP(H1211, 'RM &amp; SF'!B:H, 7, 0)</f>
        <v>6.8970000000000004E-3</v>
      </c>
      <c r="M1211" s="7">
        <f t="shared" si="72"/>
        <v>1.3794000000000001E-2</v>
      </c>
      <c r="N1211" s="4" t="s">
        <v>825</v>
      </c>
      <c r="O1211" s="4">
        <f>VLOOKUP(B1211, 'All Menu'!B:L, 6, 0)</f>
        <v>3.6637931034482762</v>
      </c>
      <c r="P1211" s="6">
        <f>VLOOKUP(B1211, 'All Menu'!B:L, 9, 0)</f>
        <v>1.4299442846743295</v>
      </c>
      <c r="Q1211" s="14">
        <f>VLOOKUP(B1211, 'All Menu'!B:M, 12, 0)</f>
        <v>0.60970932465359473</v>
      </c>
      <c r="R1211" s="173">
        <f t="shared" si="73"/>
        <v>0</v>
      </c>
    </row>
    <row r="1212" spans="1:18" ht="14" hidden="1">
      <c r="A1212" s="78" t="s">
        <v>2651</v>
      </c>
      <c r="B1212" s="220" t="s">
        <v>1096</v>
      </c>
      <c r="C1212" s="185"/>
      <c r="D1212" s="103" t="str">
        <f>VLOOKUP(B1212, 'All Menu'!B:M, 4, 0)</f>
        <v>صاجية دجاج وقية</v>
      </c>
      <c r="E1212" s="30" t="str">
        <f>VLOOKUP(B1212, 'All Menu'!B:M, 2, 0)</f>
        <v>قسم الصواني</v>
      </c>
      <c r="F1212" s="103" t="str">
        <f>VLOOKUP(B1212, 'All Menu'!B:M, 3, 0)</f>
        <v>صواني وصجيات سفري</v>
      </c>
      <c r="G1212" s="90" t="s">
        <v>3058</v>
      </c>
      <c r="H1212" s="188">
        <v>4022</v>
      </c>
      <c r="I1212" s="110" t="str">
        <f>VLOOKUP(H1212, 'RM &amp; SF'!B:H, 2, 0)</f>
        <v>مرق الدجاج بودرة 1 كغ*****</v>
      </c>
      <c r="J1212" s="184" t="str">
        <f>VLOOKUP(H1212, 'RM &amp; SF'!B:E, 4, 0)</f>
        <v>غم</v>
      </c>
      <c r="K1212" s="12">
        <v>3</v>
      </c>
      <c r="L1212" s="13">
        <f>VLOOKUP(H1212, 'RM &amp; SF'!B:H, 7, 0)</f>
        <v>4.7054597701149427E-3</v>
      </c>
      <c r="M1212" s="7">
        <f t="shared" si="72"/>
        <v>1.4116379310344828E-2</v>
      </c>
      <c r="N1212" s="4" t="s">
        <v>825</v>
      </c>
      <c r="O1212" s="4">
        <f>VLOOKUP(B1212, 'All Menu'!B:L, 6, 0)</f>
        <v>3.6637931034482762</v>
      </c>
      <c r="P1212" s="6">
        <f>VLOOKUP(B1212, 'All Menu'!B:L, 9, 0)</f>
        <v>1.4299442846743295</v>
      </c>
      <c r="Q1212" s="14">
        <f>VLOOKUP(B1212, 'All Menu'!B:M, 12, 0)</f>
        <v>0.60970932465359473</v>
      </c>
      <c r="R1212" s="173">
        <f t="shared" si="73"/>
        <v>0</v>
      </c>
    </row>
    <row r="1213" spans="1:18" ht="14" hidden="1">
      <c r="A1213" s="78" t="s">
        <v>2651</v>
      </c>
      <c r="B1213" s="220" t="s">
        <v>1096</v>
      </c>
      <c r="C1213" s="185"/>
      <c r="D1213" s="103" t="str">
        <f>VLOOKUP(B1213, 'All Menu'!B:M, 4, 0)</f>
        <v>صاجية دجاج وقية</v>
      </c>
      <c r="E1213" s="30" t="str">
        <f>VLOOKUP(B1213, 'All Menu'!B:M, 2, 0)</f>
        <v>قسم الصواني</v>
      </c>
      <c r="F1213" s="103" t="str">
        <f>VLOOKUP(B1213, 'All Menu'!B:M, 3, 0)</f>
        <v>صواني وصجيات سفري</v>
      </c>
      <c r="G1213" s="90" t="s">
        <v>2345</v>
      </c>
      <c r="H1213" s="219" t="s">
        <v>714</v>
      </c>
      <c r="I1213" s="110" t="str">
        <f>VLOOKUP(H1213, 'RM &amp; SF'!B:H, 2, 0)</f>
        <v>ثوم وزيت</v>
      </c>
      <c r="J1213" s="184" t="str">
        <f>VLOOKUP(H1213, 'RM &amp; SF'!B:E, 4, 0)</f>
        <v>غم</v>
      </c>
      <c r="K1213" s="12">
        <v>5</v>
      </c>
      <c r="L1213" s="13">
        <f>VLOOKUP(H1213, 'RM &amp; SF'!B:H, 7, 0)</f>
        <v>3.2339999999999999E-3</v>
      </c>
      <c r="M1213" s="7">
        <f t="shared" si="72"/>
        <v>1.617E-2</v>
      </c>
      <c r="N1213" s="4" t="s">
        <v>825</v>
      </c>
      <c r="O1213" s="4">
        <f>VLOOKUP(B1213, 'All Menu'!B:L, 6, 0)</f>
        <v>3.6637931034482762</v>
      </c>
      <c r="P1213" s="6">
        <f>VLOOKUP(B1213, 'All Menu'!B:L, 9, 0)</f>
        <v>1.4299442846743295</v>
      </c>
      <c r="Q1213" s="14">
        <f>VLOOKUP(B1213, 'All Menu'!B:M, 12, 0)</f>
        <v>0.60970932465359473</v>
      </c>
      <c r="R1213" s="173">
        <f t="shared" si="73"/>
        <v>0</v>
      </c>
    </row>
    <row r="1214" spans="1:18" ht="14" hidden="1">
      <c r="A1214" s="78" t="s">
        <v>2651</v>
      </c>
      <c r="B1214" s="220" t="s">
        <v>1096</v>
      </c>
      <c r="C1214" s="185"/>
      <c r="D1214" s="103" t="str">
        <f>VLOOKUP(B1214, 'All Menu'!B:M, 4, 0)</f>
        <v>صاجية دجاج وقية</v>
      </c>
      <c r="E1214" s="30" t="str">
        <f>VLOOKUP(B1214, 'All Menu'!B:M, 2, 0)</f>
        <v>قسم الصواني</v>
      </c>
      <c r="F1214" s="103" t="str">
        <f>VLOOKUP(B1214, 'All Menu'!B:M, 3, 0)</f>
        <v>صواني وصجيات سفري</v>
      </c>
      <c r="G1214" s="90" t="s">
        <v>3058</v>
      </c>
      <c r="H1214" s="188">
        <v>4290</v>
      </c>
      <c r="I1214" s="110" t="str">
        <f>VLOOKUP(H1214, 'RM &amp; SF'!B:H, 2, 0)</f>
        <v>علب قصدير مدور اوقية 250 غم RZ 18*****</v>
      </c>
      <c r="J1214" s="184" t="str">
        <f>VLOOKUP(H1214, 'RM &amp; SF'!B:E, 4, 0)</f>
        <v>قطعة</v>
      </c>
      <c r="K1214" s="12">
        <v>1</v>
      </c>
      <c r="L1214" s="13">
        <f>VLOOKUP(H1214, 'RM &amp; SF'!B:H, 7, 0)</f>
        <v>6.0344827586206906E-2</v>
      </c>
      <c r="M1214" s="7">
        <f t="shared" si="72"/>
        <v>6.0344827586206906E-2</v>
      </c>
      <c r="N1214" s="4" t="s">
        <v>825</v>
      </c>
      <c r="O1214" s="4">
        <f>VLOOKUP(B1214, 'All Menu'!B:L, 6, 0)</f>
        <v>3.6637931034482762</v>
      </c>
      <c r="P1214" s="6">
        <f>VLOOKUP(B1214, 'All Menu'!B:L, 9, 0)</f>
        <v>1.4299442846743295</v>
      </c>
      <c r="Q1214" s="14">
        <f>VLOOKUP(B1214, 'All Menu'!B:M, 12, 0)</f>
        <v>0.60970932465359473</v>
      </c>
      <c r="R1214" s="173">
        <f t="shared" si="73"/>
        <v>0</v>
      </c>
    </row>
    <row r="1215" spans="1:18" ht="14" hidden="1">
      <c r="A1215" s="78" t="s">
        <v>2651</v>
      </c>
      <c r="B1215" s="220" t="s">
        <v>1096</v>
      </c>
      <c r="C1215" s="185"/>
      <c r="D1215" s="103" t="str">
        <f>VLOOKUP(B1215, 'All Menu'!B:M, 4, 0)</f>
        <v>صاجية دجاج وقية</v>
      </c>
      <c r="E1215" s="30" t="str">
        <f>VLOOKUP(B1215, 'All Menu'!B:M, 2, 0)</f>
        <v>قسم الصواني</v>
      </c>
      <c r="F1215" s="103" t="str">
        <f>VLOOKUP(B1215, 'All Menu'!B:M, 3, 0)</f>
        <v>صواني وصجيات سفري</v>
      </c>
      <c r="G1215" s="90" t="s">
        <v>3058</v>
      </c>
      <c r="H1215" s="188">
        <v>4274</v>
      </c>
      <c r="I1215" s="110" t="str">
        <f>VLOOKUP(H1215, 'RM &amp; SF'!B:H, 2, 0)</f>
        <v>علب المركزية مطبوع + قاطع رقم 1 1*100 حبة*****</v>
      </c>
      <c r="J1215" s="184" t="str">
        <f>VLOOKUP(H1215, 'RM &amp; SF'!B:E, 4, 0)</f>
        <v>قطعة</v>
      </c>
      <c r="K1215" s="12">
        <v>1</v>
      </c>
      <c r="L1215" s="13">
        <f>VLOOKUP(H1215, 'RM &amp; SF'!B:H, 7, 0)</f>
        <v>0.25</v>
      </c>
      <c r="M1215" s="7">
        <f t="shared" si="72"/>
        <v>0.25</v>
      </c>
      <c r="N1215" s="4" t="s">
        <v>825</v>
      </c>
      <c r="O1215" s="4">
        <f>VLOOKUP(B1215, 'All Menu'!B:L, 6, 0)</f>
        <v>3.6637931034482762</v>
      </c>
      <c r="P1215" s="6">
        <f>VLOOKUP(B1215, 'All Menu'!B:L, 9, 0)</f>
        <v>1.4299442846743295</v>
      </c>
      <c r="Q1215" s="14">
        <f>VLOOKUP(B1215, 'All Menu'!B:M, 12, 0)</f>
        <v>0.60970932465359473</v>
      </c>
      <c r="R1215" s="173">
        <f t="shared" si="73"/>
        <v>0</v>
      </c>
    </row>
    <row r="1216" spans="1:18" ht="14" hidden="1">
      <c r="A1216" s="78" t="s">
        <v>2652</v>
      </c>
      <c r="B1216" s="220" t="s">
        <v>1097</v>
      </c>
      <c r="C1216" s="185"/>
      <c r="D1216" s="103" t="str">
        <f>VLOOKUP(B1216, 'All Menu'!B:M, 4, 0)</f>
        <v>صاجية دجاج نصف كيلو</v>
      </c>
      <c r="E1216" s="30" t="str">
        <f>VLOOKUP(B1216, 'All Menu'!B:M, 2, 0)</f>
        <v>قسم الصواني</v>
      </c>
      <c r="F1216" s="103" t="str">
        <f>VLOOKUP(B1216, 'All Menu'!B:M, 3, 0)</f>
        <v>صواني وصجيات سفري</v>
      </c>
      <c r="G1216" s="90" t="s">
        <v>2445</v>
      </c>
      <c r="H1216" s="219" t="s">
        <v>668</v>
      </c>
      <c r="I1216" s="110" t="str">
        <f>VLOOKUP(H1216, 'RM &amp; SF'!B:H, 2, 0)</f>
        <v>دجاج مسحب بالفرن انترناشونال</v>
      </c>
      <c r="J1216" s="184" t="str">
        <f>VLOOKUP(H1216, 'RM &amp; SF'!B:E, 4, 0)</f>
        <v>غم</v>
      </c>
      <c r="K1216" s="12">
        <v>500</v>
      </c>
      <c r="L1216" s="13">
        <f>VLOOKUP(H1216, 'RM &amp; SF'!B:H, 7, 0)</f>
        <v>4.5947853888888886E-3</v>
      </c>
      <c r="M1216" s="7">
        <f t="shared" si="72"/>
        <v>2.2973926944444445</v>
      </c>
      <c r="N1216" s="4" t="s">
        <v>825</v>
      </c>
      <c r="O1216" s="4">
        <f>VLOOKUP(B1216, 'All Menu'!B:L, 6, 0)</f>
        <v>6.4655172413793105</v>
      </c>
      <c r="P1216" s="6">
        <f>VLOOKUP(B1216, 'All Menu'!B:L, 9, 0)</f>
        <v>3.1618752068656528</v>
      </c>
      <c r="Q1216" s="14">
        <f>VLOOKUP(B1216, 'All Menu'!B:M, 12, 0)</f>
        <v>0.51096330133811241</v>
      </c>
      <c r="R1216" s="173">
        <f t="shared" si="73"/>
        <v>0</v>
      </c>
    </row>
    <row r="1217" spans="1:18" ht="14" hidden="1">
      <c r="A1217" s="78" t="s">
        <v>2652</v>
      </c>
      <c r="B1217" s="220" t="s">
        <v>1097</v>
      </c>
      <c r="C1217" s="185"/>
      <c r="D1217" s="103" t="str">
        <f>VLOOKUP(B1217, 'All Menu'!B:M, 4, 0)</f>
        <v>صاجية دجاج نصف كيلو</v>
      </c>
      <c r="E1217" s="30" t="str">
        <f>VLOOKUP(B1217, 'All Menu'!B:M, 2, 0)</f>
        <v>قسم الصواني</v>
      </c>
      <c r="F1217" s="103" t="str">
        <f>VLOOKUP(B1217, 'All Menu'!B:M, 3, 0)</f>
        <v>صواني وصجيات سفري</v>
      </c>
      <c r="G1217" s="90" t="s">
        <v>2234</v>
      </c>
      <c r="H1217" s="188">
        <v>4503</v>
      </c>
      <c r="I1217" s="110" t="str">
        <f>VLOOKUP(H1217, 'RM &amp; SF'!B:H, 2, 0)</f>
        <v>بصل ناشف دفش*****</v>
      </c>
      <c r="J1217" s="184" t="str">
        <f>VLOOKUP(H1217, 'RM &amp; SF'!B:E, 4, 0)</f>
        <v>غم</v>
      </c>
      <c r="K1217" s="12">
        <v>100</v>
      </c>
      <c r="L1217" s="13">
        <f>VLOOKUP(H1217, 'RM &amp; SF'!B:H, 7, 0)</f>
        <v>2.5000000000000001E-4</v>
      </c>
      <c r="M1217" s="7">
        <f t="shared" si="72"/>
        <v>2.5000000000000001E-2</v>
      </c>
      <c r="N1217" s="4" t="s">
        <v>825</v>
      </c>
      <c r="O1217" s="4">
        <f>VLOOKUP(B1217, 'All Menu'!B:L, 6, 0)</f>
        <v>6.4655172413793105</v>
      </c>
      <c r="P1217" s="6">
        <f>VLOOKUP(B1217, 'All Menu'!B:L, 9, 0)</f>
        <v>3.1618752068656528</v>
      </c>
      <c r="Q1217" s="14">
        <f>VLOOKUP(B1217, 'All Menu'!B:M, 12, 0)</f>
        <v>0.51096330133811241</v>
      </c>
      <c r="R1217" s="173">
        <f t="shared" si="73"/>
        <v>0</v>
      </c>
    </row>
    <row r="1218" spans="1:18" ht="14" hidden="1">
      <c r="A1218" s="78" t="s">
        <v>2652</v>
      </c>
      <c r="B1218" s="220" t="s">
        <v>1097</v>
      </c>
      <c r="C1218" s="185"/>
      <c r="D1218" s="103" t="str">
        <f>VLOOKUP(B1218, 'All Menu'!B:M, 4, 0)</f>
        <v>صاجية دجاج نصف كيلو</v>
      </c>
      <c r="E1218" s="30" t="str">
        <f>VLOOKUP(B1218, 'All Menu'!B:M, 2, 0)</f>
        <v>قسم الصواني</v>
      </c>
      <c r="F1218" s="103" t="str">
        <f>VLOOKUP(B1218, 'All Menu'!B:M, 3, 0)</f>
        <v>صواني وصجيات سفري</v>
      </c>
      <c r="G1218" s="90" t="s">
        <v>2357</v>
      </c>
      <c r="H1218" s="219" t="s">
        <v>744</v>
      </c>
      <c r="I1218" s="110" t="str">
        <f>VLOOKUP(H1218, 'RM &amp; SF'!B:H, 2, 0)</f>
        <v>زيت زيتون مكسور</v>
      </c>
      <c r="J1218" s="184" t="str">
        <f>VLOOKUP(H1218, 'RM &amp; SF'!B:E, 4, 0)</f>
        <v>غم</v>
      </c>
      <c r="K1218" s="12">
        <v>15</v>
      </c>
      <c r="L1218" s="13">
        <f>VLOOKUP(H1218, 'RM &amp; SF'!B:H, 7, 0)</f>
        <v>3.3899999999999998E-3</v>
      </c>
      <c r="M1218" s="7">
        <f t="shared" si="72"/>
        <v>5.0849999999999999E-2</v>
      </c>
      <c r="N1218" s="4" t="s">
        <v>825</v>
      </c>
      <c r="O1218" s="4">
        <f>VLOOKUP(B1218, 'All Menu'!B:L, 6, 0)</f>
        <v>6.4655172413793105</v>
      </c>
      <c r="P1218" s="6">
        <f>VLOOKUP(B1218, 'All Menu'!B:L, 9, 0)</f>
        <v>3.1618752068656528</v>
      </c>
      <c r="Q1218" s="14">
        <f>VLOOKUP(B1218, 'All Menu'!B:M, 12, 0)</f>
        <v>0.51096330133811241</v>
      </c>
      <c r="R1218" s="173">
        <f t="shared" si="73"/>
        <v>0</v>
      </c>
    </row>
    <row r="1219" spans="1:18" ht="15.5" hidden="1">
      <c r="A1219" s="78" t="s">
        <v>2652</v>
      </c>
      <c r="B1219" s="220" t="s">
        <v>1097</v>
      </c>
      <c r="C1219" s="185"/>
      <c r="D1219" s="103" t="str">
        <f>VLOOKUP(B1219, 'All Menu'!B:M, 4, 0)</f>
        <v>صاجية دجاج نصف كيلو</v>
      </c>
      <c r="E1219" s="30" t="str">
        <f>VLOOKUP(B1219, 'All Menu'!B:M, 2, 0)</f>
        <v>قسم الصواني</v>
      </c>
      <c r="F1219" s="103" t="str">
        <f>VLOOKUP(B1219, 'All Menu'!B:M, 3, 0)</f>
        <v>صواني وصجيات سفري</v>
      </c>
      <c r="G1219" s="90" t="s">
        <v>2321</v>
      </c>
      <c r="H1219" s="67">
        <v>5292</v>
      </c>
      <c r="I1219" s="110" t="str">
        <f>VLOOKUP(H1219, 'RM &amp; SF'!B:H, 2, 0)</f>
        <v>ثوم مقشر*****</v>
      </c>
      <c r="J1219" s="184" t="str">
        <f>VLOOKUP(H1219, 'RM &amp; SF'!B:E, 4, 0)</f>
        <v>غم</v>
      </c>
      <c r="K1219" s="12">
        <v>15</v>
      </c>
      <c r="L1219" s="13">
        <f>VLOOKUP(H1219, 'RM &amp; SF'!B:H, 7, 0)</f>
        <v>4.4999999999999997E-3</v>
      </c>
      <c r="M1219" s="7">
        <f t="shared" si="72"/>
        <v>6.7499999999999991E-2</v>
      </c>
      <c r="N1219" s="4" t="s">
        <v>825</v>
      </c>
      <c r="O1219" s="4">
        <f>VLOOKUP(B1219, 'All Menu'!B:L, 6, 0)</f>
        <v>6.4655172413793105</v>
      </c>
      <c r="P1219" s="6">
        <f>VLOOKUP(B1219, 'All Menu'!B:L, 9, 0)</f>
        <v>3.1618752068656528</v>
      </c>
      <c r="Q1219" s="14">
        <f>VLOOKUP(B1219, 'All Menu'!B:M, 12, 0)</f>
        <v>0.51096330133811241</v>
      </c>
      <c r="R1219" s="173">
        <f t="shared" si="73"/>
        <v>0</v>
      </c>
    </row>
    <row r="1220" spans="1:18" ht="14" hidden="1">
      <c r="A1220" s="78" t="s">
        <v>2652</v>
      </c>
      <c r="B1220" s="220" t="s">
        <v>1097</v>
      </c>
      <c r="C1220" s="185"/>
      <c r="D1220" s="103" t="str">
        <f>VLOOKUP(B1220, 'All Menu'!B:M, 4, 0)</f>
        <v>صاجية دجاج نصف كيلو</v>
      </c>
      <c r="E1220" s="30" t="str">
        <f>VLOOKUP(B1220, 'All Menu'!B:M, 2, 0)</f>
        <v>قسم الصواني</v>
      </c>
      <c r="F1220" s="103" t="str">
        <f>VLOOKUP(B1220, 'All Menu'!B:M, 3, 0)</f>
        <v>صواني وصجيات سفري</v>
      </c>
      <c r="G1220" s="90" t="s">
        <v>2233</v>
      </c>
      <c r="H1220" s="188">
        <v>4501</v>
      </c>
      <c r="I1220" s="110" t="str">
        <f>VLOOKUP(H1220, 'RM &amp; SF'!B:H, 2, 0)</f>
        <v>فلفل حلو احمر*****</v>
      </c>
      <c r="J1220" s="184" t="str">
        <f>VLOOKUP(H1220, 'RM &amp; SF'!B:E, 4, 0)</f>
        <v>غم</v>
      </c>
      <c r="K1220" s="12">
        <v>300</v>
      </c>
      <c r="L1220" s="13">
        <f>VLOOKUP(H1220, 'RM &amp; SF'!B:H, 7, 0)</f>
        <v>7.5000000000000002E-4</v>
      </c>
      <c r="M1220" s="7">
        <f t="shared" si="72"/>
        <v>0.22500000000000001</v>
      </c>
      <c r="N1220" s="4" t="s">
        <v>825</v>
      </c>
      <c r="O1220" s="4">
        <f>VLOOKUP(B1220, 'All Menu'!B:L, 6, 0)</f>
        <v>6.4655172413793105</v>
      </c>
      <c r="P1220" s="6">
        <f>VLOOKUP(B1220, 'All Menu'!B:L, 9, 0)</f>
        <v>3.1618752068656528</v>
      </c>
      <c r="Q1220" s="14">
        <f>VLOOKUP(B1220, 'All Menu'!B:M, 12, 0)</f>
        <v>0.51096330133811241</v>
      </c>
      <c r="R1220" s="173">
        <f t="shared" si="73"/>
        <v>0</v>
      </c>
    </row>
    <row r="1221" spans="1:18" ht="14" hidden="1">
      <c r="A1221" s="78" t="s">
        <v>2652</v>
      </c>
      <c r="B1221" s="220" t="s">
        <v>1097</v>
      </c>
      <c r="C1221" s="185"/>
      <c r="D1221" s="103" t="str">
        <f>VLOOKUP(B1221, 'All Menu'!B:M, 4, 0)</f>
        <v>صاجية دجاج نصف كيلو</v>
      </c>
      <c r="E1221" s="30" t="str">
        <f>VLOOKUP(B1221, 'All Menu'!B:M, 2, 0)</f>
        <v>قسم الصواني</v>
      </c>
      <c r="F1221" s="103" t="str">
        <f>VLOOKUP(B1221, 'All Menu'!B:M, 3, 0)</f>
        <v>صواني وصجيات سفري</v>
      </c>
      <c r="G1221" s="90" t="s">
        <v>2203</v>
      </c>
      <c r="H1221" s="188">
        <v>4152</v>
      </c>
      <c r="I1221" s="110" t="str">
        <f>VLOOKUP(H1221, 'RM &amp; SF'!B:H, 2, 0)</f>
        <v>ملح طعام 750غم*****</v>
      </c>
      <c r="J1221" s="184" t="str">
        <f>VLOOKUP(H1221, 'RM &amp; SF'!B:E, 4, 0)</f>
        <v>غم</v>
      </c>
      <c r="K1221" s="12">
        <v>4</v>
      </c>
      <c r="L1221" s="13">
        <f>VLOOKUP(H1221, 'RM &amp; SF'!B:H, 7, 0)</f>
        <v>1.7066666666666665E-4</v>
      </c>
      <c r="M1221" s="7">
        <f t="shared" si="72"/>
        <v>6.826666666666666E-4</v>
      </c>
      <c r="N1221" s="4" t="s">
        <v>825</v>
      </c>
      <c r="O1221" s="4">
        <f>VLOOKUP(B1221, 'All Menu'!B:L, 6, 0)</f>
        <v>6.4655172413793105</v>
      </c>
      <c r="P1221" s="6">
        <f>VLOOKUP(B1221, 'All Menu'!B:L, 9, 0)</f>
        <v>3.1618752068656528</v>
      </c>
      <c r="Q1221" s="14">
        <f>VLOOKUP(B1221, 'All Menu'!B:M, 12, 0)</f>
        <v>0.51096330133811241</v>
      </c>
      <c r="R1221" s="173">
        <f t="shared" si="73"/>
        <v>0</v>
      </c>
    </row>
    <row r="1222" spans="1:18" ht="14" hidden="1">
      <c r="A1222" s="78" t="s">
        <v>2652</v>
      </c>
      <c r="B1222" s="220" t="s">
        <v>1097</v>
      </c>
      <c r="C1222" s="185"/>
      <c r="D1222" s="103" t="str">
        <f>VLOOKUP(B1222, 'All Menu'!B:M, 4, 0)</f>
        <v>صاجية دجاج نصف كيلو</v>
      </c>
      <c r="E1222" s="30" t="str">
        <f>VLOOKUP(B1222, 'All Menu'!B:M, 2, 0)</f>
        <v>قسم الصواني</v>
      </c>
      <c r="F1222" s="103" t="str">
        <f>VLOOKUP(B1222, 'All Menu'!B:M, 3, 0)</f>
        <v>صواني وصجيات سفري</v>
      </c>
      <c r="G1222" s="90" t="s">
        <v>2206</v>
      </c>
      <c r="H1222" s="188">
        <v>4204</v>
      </c>
      <c r="I1222" s="110" t="str">
        <f>VLOOKUP(H1222, 'RM &amp; SF'!B:H, 2, 0)</f>
        <v>فلفل اسود ناعم*****</v>
      </c>
      <c r="J1222" s="184" t="str">
        <f>VLOOKUP(H1222, 'RM &amp; SF'!B:E, 4, 0)</f>
        <v>غم</v>
      </c>
      <c r="K1222" s="12">
        <v>2</v>
      </c>
      <c r="L1222" s="13">
        <f>VLOOKUP(H1222, 'RM &amp; SF'!B:H, 7, 0)</f>
        <v>6.8970000000000004E-3</v>
      </c>
      <c r="M1222" s="7">
        <f t="shared" si="72"/>
        <v>1.3794000000000001E-2</v>
      </c>
      <c r="N1222" s="4" t="s">
        <v>825</v>
      </c>
      <c r="O1222" s="4">
        <f>VLOOKUP(B1222, 'All Menu'!B:L, 6, 0)</f>
        <v>6.4655172413793105</v>
      </c>
      <c r="P1222" s="6">
        <f>VLOOKUP(B1222, 'All Menu'!B:L, 9, 0)</f>
        <v>3.1618752068656528</v>
      </c>
      <c r="Q1222" s="14">
        <f>VLOOKUP(B1222, 'All Menu'!B:M, 12, 0)</f>
        <v>0.51096330133811241</v>
      </c>
      <c r="R1222" s="173">
        <f t="shared" si="73"/>
        <v>0</v>
      </c>
    </row>
    <row r="1223" spans="1:18" ht="14" hidden="1">
      <c r="A1223" s="78" t="s">
        <v>2652</v>
      </c>
      <c r="B1223" s="220" t="s">
        <v>1097</v>
      </c>
      <c r="C1223" s="185"/>
      <c r="D1223" s="103" t="str">
        <f>VLOOKUP(B1223, 'All Menu'!B:M, 4, 0)</f>
        <v>صاجية دجاج نصف كيلو</v>
      </c>
      <c r="E1223" s="30" t="str">
        <f>VLOOKUP(B1223, 'All Menu'!B:M, 2, 0)</f>
        <v>قسم الصواني</v>
      </c>
      <c r="F1223" s="103" t="str">
        <f>VLOOKUP(B1223, 'All Menu'!B:M, 3, 0)</f>
        <v>صواني وصجيات سفري</v>
      </c>
      <c r="G1223" s="90" t="s">
        <v>2223</v>
      </c>
      <c r="H1223" s="188">
        <v>4241</v>
      </c>
      <c r="I1223" s="110" t="str">
        <f>VLOOKUP(H1223, 'RM &amp; SF'!B:H, 2, 0)</f>
        <v>بهارات كيجن عادي*****</v>
      </c>
      <c r="J1223" s="184" t="str">
        <f>VLOOKUP(H1223, 'RM &amp; SF'!B:E, 4, 0)</f>
        <v>غم</v>
      </c>
      <c r="K1223" s="12">
        <v>2</v>
      </c>
      <c r="L1223" s="13">
        <f>VLOOKUP(H1223, 'RM &amp; SF'!B:H, 7, 0)</f>
        <v>3.8790000000000001E-3</v>
      </c>
      <c r="M1223" s="7">
        <f t="shared" si="72"/>
        <v>7.7580000000000001E-3</v>
      </c>
      <c r="N1223" s="4" t="s">
        <v>825</v>
      </c>
      <c r="O1223" s="4">
        <f>VLOOKUP(B1223, 'All Menu'!B:L, 6, 0)</f>
        <v>6.4655172413793105</v>
      </c>
      <c r="P1223" s="6">
        <f>VLOOKUP(B1223, 'All Menu'!B:L, 9, 0)</f>
        <v>3.1618752068656528</v>
      </c>
      <c r="Q1223" s="14">
        <f>VLOOKUP(B1223, 'All Menu'!B:M, 12, 0)</f>
        <v>0.51096330133811241</v>
      </c>
      <c r="R1223" s="173">
        <f t="shared" si="73"/>
        <v>0</v>
      </c>
    </row>
    <row r="1224" spans="1:18" ht="14" hidden="1">
      <c r="A1224" s="78" t="s">
        <v>2652</v>
      </c>
      <c r="B1224" s="220" t="s">
        <v>1097</v>
      </c>
      <c r="C1224" s="185"/>
      <c r="D1224" s="103" t="str">
        <f>VLOOKUP(B1224, 'All Menu'!B:M, 4, 0)</f>
        <v>صاجية دجاج نصف كيلو</v>
      </c>
      <c r="E1224" s="30" t="str">
        <f>VLOOKUP(B1224, 'All Menu'!B:M, 2, 0)</f>
        <v>قسم الصواني</v>
      </c>
      <c r="F1224" s="103" t="str">
        <f>VLOOKUP(B1224, 'All Menu'!B:M, 3, 0)</f>
        <v>صواني وصجيات سفري</v>
      </c>
      <c r="G1224" s="90" t="s">
        <v>2345</v>
      </c>
      <c r="H1224" s="219" t="s">
        <v>714</v>
      </c>
      <c r="I1224" s="110" t="str">
        <f>VLOOKUP(H1224, 'RM &amp; SF'!B:H, 2, 0)</f>
        <v>ثوم وزيت</v>
      </c>
      <c r="J1224" s="184" t="str">
        <f>VLOOKUP(H1224, 'RM &amp; SF'!B:E, 4, 0)</f>
        <v>غم</v>
      </c>
      <c r="K1224" s="12">
        <v>5</v>
      </c>
      <c r="L1224" s="13">
        <f>VLOOKUP(H1224, 'RM &amp; SF'!B:H, 7, 0)</f>
        <v>3.2339999999999999E-3</v>
      </c>
      <c r="M1224" s="7">
        <f t="shared" si="72"/>
        <v>1.617E-2</v>
      </c>
      <c r="N1224" s="4" t="s">
        <v>825</v>
      </c>
      <c r="O1224" s="4">
        <f>VLOOKUP(B1224, 'All Menu'!B:L, 6, 0)</f>
        <v>6.4655172413793105</v>
      </c>
      <c r="P1224" s="6">
        <f>VLOOKUP(B1224, 'All Menu'!B:L, 9, 0)</f>
        <v>3.1618752068656528</v>
      </c>
      <c r="Q1224" s="14">
        <f>VLOOKUP(B1224, 'All Menu'!B:M, 12, 0)</f>
        <v>0.51096330133811241</v>
      </c>
      <c r="R1224" s="173">
        <f t="shared" si="73"/>
        <v>0</v>
      </c>
    </row>
    <row r="1225" spans="1:18" ht="14" hidden="1">
      <c r="A1225" s="78" t="s">
        <v>2652</v>
      </c>
      <c r="B1225" s="220" t="s">
        <v>1097</v>
      </c>
      <c r="C1225" s="185"/>
      <c r="D1225" s="103" t="str">
        <f>VLOOKUP(B1225, 'All Menu'!B:M, 4, 0)</f>
        <v>صاجية دجاج نصف كيلو</v>
      </c>
      <c r="E1225" s="30" t="str">
        <f>VLOOKUP(B1225, 'All Menu'!B:M, 2, 0)</f>
        <v>قسم الصواني</v>
      </c>
      <c r="F1225" s="103" t="str">
        <f>VLOOKUP(B1225, 'All Menu'!B:M, 3, 0)</f>
        <v>صواني وصجيات سفري</v>
      </c>
      <c r="G1225" s="90" t="s">
        <v>2331</v>
      </c>
      <c r="H1225" s="219" t="s">
        <v>530</v>
      </c>
      <c r="I1225" s="110" t="str">
        <f>VLOOKUP(H1225, 'RM &amp; SF'!B:H, 2, 0)</f>
        <v>خبز صاج</v>
      </c>
      <c r="J1225" s="184" t="str">
        <f>VLOOKUP(H1225, 'RM &amp; SF'!B:E, 4, 0)</f>
        <v>غم</v>
      </c>
      <c r="K1225" s="12">
        <v>200</v>
      </c>
      <c r="L1225" s="13">
        <f>VLOOKUP(H1225, 'RM &amp; SF'!B:H, 7, 0)</f>
        <v>1.8806451612903227E-4</v>
      </c>
      <c r="M1225" s="7">
        <f t="shared" si="72"/>
        <v>3.7612903225806453E-2</v>
      </c>
      <c r="N1225" s="4" t="s">
        <v>825</v>
      </c>
      <c r="O1225" s="4">
        <f>VLOOKUP(B1225, 'All Menu'!B:L, 6, 0)</f>
        <v>6.4655172413793105</v>
      </c>
      <c r="P1225" s="6">
        <f>VLOOKUP(B1225, 'All Menu'!B:L, 9, 0)</f>
        <v>3.1618752068656528</v>
      </c>
      <c r="Q1225" s="14">
        <f>VLOOKUP(B1225, 'All Menu'!B:M, 12, 0)</f>
        <v>0.51096330133811241</v>
      </c>
      <c r="R1225" s="173">
        <f t="shared" si="73"/>
        <v>0</v>
      </c>
    </row>
    <row r="1226" spans="1:18" ht="14" hidden="1">
      <c r="A1226" s="78" t="s">
        <v>2652</v>
      </c>
      <c r="B1226" s="220" t="s">
        <v>1097</v>
      </c>
      <c r="C1226" s="185"/>
      <c r="D1226" s="103" t="str">
        <f>VLOOKUP(B1226, 'All Menu'!B:M, 4, 0)</f>
        <v>صاجية دجاج نصف كيلو</v>
      </c>
      <c r="E1226" s="30" t="str">
        <f>VLOOKUP(B1226, 'All Menu'!B:M, 2, 0)</f>
        <v>قسم الصواني</v>
      </c>
      <c r="F1226" s="103" t="str">
        <f>VLOOKUP(B1226, 'All Menu'!B:M, 3, 0)</f>
        <v>صواني وصجيات سفري</v>
      </c>
      <c r="G1226" s="90" t="s">
        <v>3058</v>
      </c>
      <c r="H1226" s="188">
        <v>5424</v>
      </c>
      <c r="I1226" s="110" t="str">
        <f>VLOOKUP(H1226, 'RM &amp; SF'!B:H, 2, 0)</f>
        <v>علب قصدير مدور 1/2 كغ RZ 25*****</v>
      </c>
      <c r="J1226" s="184" t="str">
        <f>VLOOKUP(H1226, 'RM &amp; SF'!B:E, 4, 0)</f>
        <v>قطعة</v>
      </c>
      <c r="K1226" s="12">
        <v>1</v>
      </c>
      <c r="L1226" s="13">
        <f>VLOOKUP(H1226, 'RM &amp; SF'!B:H, 7, 0)</f>
        <v>0.1149425287356322</v>
      </c>
      <c r="M1226" s="7">
        <f t="shared" si="72"/>
        <v>0.1149425287356322</v>
      </c>
      <c r="N1226" s="4" t="s">
        <v>825</v>
      </c>
      <c r="O1226" s="4">
        <f>VLOOKUP(B1226, 'All Menu'!B:L, 6, 0)</f>
        <v>6.4655172413793105</v>
      </c>
      <c r="P1226" s="6">
        <f>VLOOKUP(B1226, 'All Menu'!B:L, 9, 0)</f>
        <v>3.1618752068656528</v>
      </c>
      <c r="Q1226" s="14">
        <f>VLOOKUP(B1226, 'All Menu'!B:M, 12, 0)</f>
        <v>0.51096330133811241</v>
      </c>
      <c r="R1226" s="173">
        <f t="shared" si="73"/>
        <v>0</v>
      </c>
    </row>
    <row r="1227" spans="1:18" ht="14" hidden="1">
      <c r="A1227" s="78" t="s">
        <v>2652</v>
      </c>
      <c r="B1227" s="220" t="s">
        <v>1097</v>
      </c>
      <c r="C1227" s="185"/>
      <c r="D1227" s="103" t="str">
        <f>VLOOKUP(B1227, 'All Menu'!B:M, 4, 0)</f>
        <v>صاجية دجاج نصف كيلو</v>
      </c>
      <c r="E1227" s="30" t="str">
        <f>VLOOKUP(B1227, 'All Menu'!B:M, 2, 0)</f>
        <v>قسم الصواني</v>
      </c>
      <c r="F1227" s="103" t="str">
        <f>VLOOKUP(B1227, 'All Menu'!B:M, 3, 0)</f>
        <v>صواني وصجيات سفري</v>
      </c>
      <c r="G1227" s="90" t="s">
        <v>3058</v>
      </c>
      <c r="H1227" s="188">
        <v>4274</v>
      </c>
      <c r="I1227" s="110" t="str">
        <f>VLOOKUP(H1227, 'RM &amp; SF'!B:H, 2, 0)</f>
        <v>علب المركزية مطبوع + قاطع رقم 1 1*100 حبة*****</v>
      </c>
      <c r="J1227" s="184" t="str">
        <f>VLOOKUP(H1227, 'RM &amp; SF'!B:E, 4, 0)</f>
        <v>قطعة</v>
      </c>
      <c r="K1227" s="12">
        <v>1</v>
      </c>
      <c r="L1227" s="13">
        <f>VLOOKUP(H1227, 'RM &amp; SF'!B:H, 7, 0)</f>
        <v>0.25</v>
      </c>
      <c r="M1227" s="7">
        <f t="shared" si="72"/>
        <v>0.25</v>
      </c>
      <c r="N1227" s="4" t="s">
        <v>825</v>
      </c>
      <c r="O1227" s="4">
        <f>VLOOKUP(B1227, 'All Menu'!B:L, 6, 0)</f>
        <v>6.4655172413793105</v>
      </c>
      <c r="P1227" s="6">
        <f>VLOOKUP(B1227, 'All Menu'!B:L, 9, 0)</f>
        <v>3.1618752068656528</v>
      </c>
      <c r="Q1227" s="14">
        <f>VLOOKUP(B1227, 'All Menu'!B:M, 12, 0)</f>
        <v>0.51096330133811241</v>
      </c>
      <c r="R1227" s="173">
        <f t="shared" si="73"/>
        <v>0</v>
      </c>
    </row>
    <row r="1228" spans="1:18" ht="14" hidden="1">
      <c r="A1228" s="78" t="s">
        <v>2652</v>
      </c>
      <c r="B1228" s="220" t="s">
        <v>1097</v>
      </c>
      <c r="C1228" s="185"/>
      <c r="D1228" s="103" t="str">
        <f>VLOOKUP(B1228, 'All Menu'!B:M, 4, 0)</f>
        <v>صاجية دجاج نصف كيلو</v>
      </c>
      <c r="E1228" s="30" t="str">
        <f>VLOOKUP(B1228, 'All Menu'!B:M, 2, 0)</f>
        <v>قسم الصواني</v>
      </c>
      <c r="F1228" s="103" t="str">
        <f>VLOOKUP(B1228, 'All Menu'!B:M, 3, 0)</f>
        <v>صواني وصجيات سفري</v>
      </c>
      <c r="G1228" s="90" t="s">
        <v>2193</v>
      </c>
      <c r="H1228" s="188">
        <v>4309</v>
      </c>
      <c r="I1228" s="110" t="str">
        <f>VLOOKUP(H1228, 'RM &amp; SF'!B:H, 2, 0)</f>
        <v>اكياس بلاستيك مطبوع 55 سم*****</v>
      </c>
      <c r="J1228" s="184" t="str">
        <f>VLOOKUP(H1228, 'RM &amp; SF'!B:E, 4, 0)</f>
        <v>قطعة</v>
      </c>
      <c r="K1228" s="12">
        <v>1</v>
      </c>
      <c r="L1228" s="13">
        <f>VLOOKUP(H1228, 'RM &amp; SF'!B:H, 7, 0)</f>
        <v>5.5172413793103454E-2</v>
      </c>
      <c r="M1228" s="7">
        <f t="shared" si="72"/>
        <v>5.5172413793103454E-2</v>
      </c>
      <c r="N1228" s="4" t="s">
        <v>825</v>
      </c>
      <c r="O1228" s="4">
        <f>VLOOKUP(B1228, 'All Menu'!B:L, 6, 0)</f>
        <v>6.4655172413793105</v>
      </c>
      <c r="P1228" s="6">
        <f>VLOOKUP(B1228, 'All Menu'!B:L, 9, 0)</f>
        <v>3.1618752068656528</v>
      </c>
      <c r="Q1228" s="14">
        <f>VLOOKUP(B1228, 'All Menu'!B:M, 12, 0)</f>
        <v>0.51096330133811241</v>
      </c>
      <c r="R1228" s="173">
        <f t="shared" si="73"/>
        <v>0</v>
      </c>
    </row>
    <row r="1229" spans="1:18" ht="14" hidden="1">
      <c r="A1229" s="78" t="s">
        <v>2653</v>
      </c>
      <c r="B1229" s="220" t="s">
        <v>1098</v>
      </c>
      <c r="C1229" s="185"/>
      <c r="D1229" s="103" t="str">
        <f>VLOOKUP(B1229, 'All Menu'!B:M, 4, 0)</f>
        <v>صاجية دجاج كيلو</v>
      </c>
      <c r="E1229" s="30" t="str">
        <f>VLOOKUP(B1229, 'All Menu'!B:M, 2, 0)</f>
        <v>قسم الصواني</v>
      </c>
      <c r="F1229" s="103" t="str">
        <f>VLOOKUP(B1229, 'All Menu'!B:M, 3, 0)</f>
        <v>صواني وصجيات سفري</v>
      </c>
      <c r="G1229" s="90" t="s">
        <v>2445</v>
      </c>
      <c r="H1229" s="219" t="s">
        <v>668</v>
      </c>
      <c r="I1229" s="110" t="str">
        <f>VLOOKUP(H1229, 'RM &amp; SF'!B:H, 2, 0)</f>
        <v>دجاج مسحب بالفرن انترناشونال</v>
      </c>
      <c r="J1229" s="184" t="str">
        <f>VLOOKUP(H1229, 'RM &amp; SF'!B:E, 4, 0)</f>
        <v>غم</v>
      </c>
      <c r="K1229" s="12">
        <v>1000</v>
      </c>
      <c r="L1229" s="13">
        <f>VLOOKUP(H1229, 'RM &amp; SF'!B:H, 7, 0)</f>
        <v>4.5947853888888886E-3</v>
      </c>
      <c r="M1229" s="7">
        <f t="shared" si="72"/>
        <v>4.594785388888889</v>
      </c>
      <c r="N1229" s="4" t="s">
        <v>825</v>
      </c>
      <c r="O1229" s="4">
        <f>VLOOKUP(B1229, 'All Menu'!B:L, 6, 0)</f>
        <v>12.068965517241381</v>
      </c>
      <c r="P1229" s="6">
        <f>VLOOKUP(B1229, 'All Menu'!B:L, 9, 0)</f>
        <v>6.0648999013100973</v>
      </c>
      <c r="Q1229" s="14">
        <f>VLOOKUP(B1229, 'All Menu'!B:M, 12, 0)</f>
        <v>0.49747972246287769</v>
      </c>
      <c r="R1229" s="173">
        <f t="shared" si="73"/>
        <v>0</v>
      </c>
    </row>
    <row r="1230" spans="1:18" ht="14" hidden="1">
      <c r="A1230" s="78" t="s">
        <v>2653</v>
      </c>
      <c r="B1230" s="220" t="s">
        <v>1098</v>
      </c>
      <c r="C1230" s="185"/>
      <c r="D1230" s="103" t="str">
        <f>VLOOKUP(B1230, 'All Menu'!B:M, 4, 0)</f>
        <v>صاجية دجاج كيلو</v>
      </c>
      <c r="E1230" s="30" t="str">
        <f>VLOOKUP(B1230, 'All Menu'!B:M, 2, 0)</f>
        <v>قسم الصواني</v>
      </c>
      <c r="F1230" s="103" t="str">
        <f>VLOOKUP(B1230, 'All Menu'!B:M, 3, 0)</f>
        <v>صواني وصجيات سفري</v>
      </c>
      <c r="G1230" s="90" t="s">
        <v>2234</v>
      </c>
      <c r="H1230" s="188">
        <v>4503</v>
      </c>
      <c r="I1230" s="110" t="str">
        <f>VLOOKUP(H1230, 'RM &amp; SF'!B:H, 2, 0)</f>
        <v>بصل ناشف دفش*****</v>
      </c>
      <c r="J1230" s="184" t="str">
        <f>VLOOKUP(H1230, 'RM &amp; SF'!B:E, 4, 0)</f>
        <v>غم</v>
      </c>
      <c r="K1230" s="12">
        <v>160</v>
      </c>
      <c r="L1230" s="13">
        <f>VLOOKUP(H1230, 'RM &amp; SF'!B:H, 7, 0)</f>
        <v>2.5000000000000001E-4</v>
      </c>
      <c r="M1230" s="7">
        <f t="shared" si="72"/>
        <v>0.04</v>
      </c>
      <c r="N1230" s="4" t="s">
        <v>825</v>
      </c>
      <c r="O1230" s="4">
        <f>VLOOKUP(B1230, 'All Menu'!B:L, 6, 0)</f>
        <v>12.068965517241381</v>
      </c>
      <c r="P1230" s="6">
        <f>VLOOKUP(B1230, 'All Menu'!B:L, 9, 0)</f>
        <v>6.0648999013100973</v>
      </c>
      <c r="Q1230" s="14">
        <f>VLOOKUP(B1230, 'All Menu'!B:M, 12, 0)</f>
        <v>0.49747972246287769</v>
      </c>
      <c r="R1230" s="173">
        <f t="shared" si="73"/>
        <v>0</v>
      </c>
    </row>
    <row r="1231" spans="1:18" ht="14" hidden="1">
      <c r="A1231" s="78" t="s">
        <v>2653</v>
      </c>
      <c r="B1231" s="220" t="s">
        <v>1098</v>
      </c>
      <c r="C1231" s="185"/>
      <c r="D1231" s="103" t="str">
        <f>VLOOKUP(B1231, 'All Menu'!B:M, 4, 0)</f>
        <v>صاجية دجاج كيلو</v>
      </c>
      <c r="E1231" s="30" t="str">
        <f>VLOOKUP(B1231, 'All Menu'!B:M, 2, 0)</f>
        <v>قسم الصواني</v>
      </c>
      <c r="F1231" s="103" t="str">
        <f>VLOOKUP(B1231, 'All Menu'!B:M, 3, 0)</f>
        <v>صواني وصجيات سفري</v>
      </c>
      <c r="G1231" s="90" t="s">
        <v>2357</v>
      </c>
      <c r="H1231" s="219" t="s">
        <v>744</v>
      </c>
      <c r="I1231" s="110" t="str">
        <f>VLOOKUP(H1231, 'RM &amp; SF'!B:H, 2, 0)</f>
        <v>زيت زيتون مكسور</v>
      </c>
      <c r="J1231" s="184" t="str">
        <f>VLOOKUP(H1231, 'RM &amp; SF'!B:E, 4, 0)</f>
        <v>غم</v>
      </c>
      <c r="K1231" s="12">
        <v>120</v>
      </c>
      <c r="L1231" s="13">
        <f>VLOOKUP(H1231, 'RM &amp; SF'!B:H, 7, 0)</f>
        <v>3.3899999999999998E-3</v>
      </c>
      <c r="M1231" s="7">
        <f t="shared" si="72"/>
        <v>0.40679999999999999</v>
      </c>
      <c r="N1231" s="4" t="s">
        <v>825</v>
      </c>
      <c r="O1231" s="4">
        <f>VLOOKUP(B1231, 'All Menu'!B:L, 6, 0)</f>
        <v>12.068965517241381</v>
      </c>
      <c r="P1231" s="6">
        <f>VLOOKUP(B1231, 'All Menu'!B:L, 9, 0)</f>
        <v>6.0648999013100973</v>
      </c>
      <c r="Q1231" s="14">
        <f>VLOOKUP(B1231, 'All Menu'!B:M, 12, 0)</f>
        <v>0.49747972246287769</v>
      </c>
      <c r="R1231" s="173">
        <f t="shared" si="73"/>
        <v>0</v>
      </c>
    </row>
    <row r="1232" spans="1:18" ht="15.5" hidden="1">
      <c r="A1232" s="78" t="s">
        <v>2653</v>
      </c>
      <c r="B1232" s="220" t="s">
        <v>1098</v>
      </c>
      <c r="C1232" s="185"/>
      <c r="D1232" s="103" t="str">
        <f>VLOOKUP(B1232, 'All Menu'!B:M, 4, 0)</f>
        <v>صاجية دجاج كيلو</v>
      </c>
      <c r="E1232" s="30" t="str">
        <f>VLOOKUP(B1232, 'All Menu'!B:M, 2, 0)</f>
        <v>قسم الصواني</v>
      </c>
      <c r="F1232" s="103" t="str">
        <f>VLOOKUP(B1232, 'All Menu'!B:M, 3, 0)</f>
        <v>صواني وصجيات سفري</v>
      </c>
      <c r="G1232" s="90" t="s">
        <v>2321</v>
      </c>
      <c r="H1232" s="67">
        <v>5292</v>
      </c>
      <c r="I1232" s="110" t="str">
        <f>VLOOKUP(H1232, 'RM &amp; SF'!B:H, 2, 0)</f>
        <v>ثوم مقشر*****</v>
      </c>
      <c r="J1232" s="184" t="str">
        <f>VLOOKUP(H1232, 'RM &amp; SF'!B:E, 4, 0)</f>
        <v>غم</v>
      </c>
      <c r="K1232" s="12">
        <v>30</v>
      </c>
      <c r="L1232" s="13">
        <f>VLOOKUP(H1232, 'RM &amp; SF'!B:H, 7, 0)</f>
        <v>4.4999999999999997E-3</v>
      </c>
      <c r="M1232" s="7">
        <f t="shared" si="72"/>
        <v>0.13499999999999998</v>
      </c>
      <c r="N1232" s="4" t="s">
        <v>825</v>
      </c>
      <c r="O1232" s="4">
        <f>VLOOKUP(B1232, 'All Menu'!B:L, 6, 0)</f>
        <v>12.068965517241381</v>
      </c>
      <c r="P1232" s="6">
        <f>VLOOKUP(B1232, 'All Menu'!B:L, 9, 0)</f>
        <v>6.0648999013100973</v>
      </c>
      <c r="Q1232" s="14">
        <f>VLOOKUP(B1232, 'All Menu'!B:M, 12, 0)</f>
        <v>0.49747972246287769</v>
      </c>
      <c r="R1232" s="173">
        <f t="shared" si="73"/>
        <v>0</v>
      </c>
    </row>
    <row r="1233" spans="1:18" ht="14" hidden="1">
      <c r="A1233" s="78" t="s">
        <v>2653</v>
      </c>
      <c r="B1233" s="220" t="s">
        <v>1098</v>
      </c>
      <c r="C1233" s="185"/>
      <c r="D1233" s="103" t="str">
        <f>VLOOKUP(B1233, 'All Menu'!B:M, 4, 0)</f>
        <v>صاجية دجاج كيلو</v>
      </c>
      <c r="E1233" s="30" t="str">
        <f>VLOOKUP(B1233, 'All Menu'!B:M, 2, 0)</f>
        <v>قسم الصواني</v>
      </c>
      <c r="F1233" s="103" t="str">
        <f>VLOOKUP(B1233, 'All Menu'!B:M, 3, 0)</f>
        <v>صواني وصجيات سفري</v>
      </c>
      <c r="G1233" s="90" t="s">
        <v>2233</v>
      </c>
      <c r="H1233" s="188">
        <v>4501</v>
      </c>
      <c r="I1233" s="110" t="str">
        <f>VLOOKUP(H1233, 'RM &amp; SF'!B:H, 2, 0)</f>
        <v>فلفل حلو احمر*****</v>
      </c>
      <c r="J1233" s="184" t="str">
        <f>VLOOKUP(H1233, 'RM &amp; SF'!B:E, 4, 0)</f>
        <v>غم</v>
      </c>
      <c r="K1233" s="12">
        <v>500</v>
      </c>
      <c r="L1233" s="13">
        <f>VLOOKUP(H1233, 'RM &amp; SF'!B:H, 7, 0)</f>
        <v>7.5000000000000002E-4</v>
      </c>
      <c r="M1233" s="7">
        <f t="shared" si="72"/>
        <v>0.375</v>
      </c>
      <c r="N1233" s="4" t="s">
        <v>825</v>
      </c>
      <c r="O1233" s="4">
        <f>VLOOKUP(B1233, 'All Menu'!B:L, 6, 0)</f>
        <v>12.068965517241381</v>
      </c>
      <c r="P1233" s="6">
        <f>VLOOKUP(B1233, 'All Menu'!B:L, 9, 0)</f>
        <v>6.0648999013100973</v>
      </c>
      <c r="Q1233" s="14">
        <f>VLOOKUP(B1233, 'All Menu'!B:M, 12, 0)</f>
        <v>0.49747972246287769</v>
      </c>
      <c r="R1233" s="173">
        <f t="shared" si="73"/>
        <v>0</v>
      </c>
    </row>
    <row r="1234" spans="1:18" ht="14" hidden="1">
      <c r="A1234" s="78" t="s">
        <v>2653</v>
      </c>
      <c r="B1234" s="220" t="s">
        <v>1098</v>
      </c>
      <c r="C1234" s="185"/>
      <c r="D1234" s="103" t="str">
        <f>VLOOKUP(B1234, 'All Menu'!B:M, 4, 0)</f>
        <v>صاجية دجاج كيلو</v>
      </c>
      <c r="E1234" s="30" t="str">
        <f>VLOOKUP(B1234, 'All Menu'!B:M, 2, 0)</f>
        <v>قسم الصواني</v>
      </c>
      <c r="F1234" s="103" t="str">
        <f>VLOOKUP(B1234, 'All Menu'!B:M, 3, 0)</f>
        <v>صواني وصجيات سفري</v>
      </c>
      <c r="G1234" s="90" t="s">
        <v>2203</v>
      </c>
      <c r="H1234" s="188">
        <v>4152</v>
      </c>
      <c r="I1234" s="110" t="str">
        <f>VLOOKUP(H1234, 'RM &amp; SF'!B:H, 2, 0)</f>
        <v>ملح طعام 750غم*****</v>
      </c>
      <c r="J1234" s="184" t="str">
        <f>VLOOKUP(H1234, 'RM &amp; SF'!B:E, 4, 0)</f>
        <v>غم</v>
      </c>
      <c r="K1234" s="12">
        <v>10</v>
      </c>
      <c r="L1234" s="13">
        <f>VLOOKUP(H1234, 'RM &amp; SF'!B:H, 7, 0)</f>
        <v>1.7066666666666665E-4</v>
      </c>
      <c r="M1234" s="7">
        <f t="shared" si="72"/>
        <v>1.7066666666666664E-3</v>
      </c>
      <c r="N1234" s="4" t="s">
        <v>825</v>
      </c>
      <c r="O1234" s="4">
        <f>VLOOKUP(B1234, 'All Menu'!B:L, 6, 0)</f>
        <v>12.068965517241381</v>
      </c>
      <c r="P1234" s="6">
        <f>VLOOKUP(B1234, 'All Menu'!B:L, 9, 0)</f>
        <v>6.0648999013100973</v>
      </c>
      <c r="Q1234" s="14">
        <f>VLOOKUP(B1234, 'All Menu'!B:M, 12, 0)</f>
        <v>0.49747972246287769</v>
      </c>
      <c r="R1234" s="173">
        <f t="shared" si="73"/>
        <v>0</v>
      </c>
    </row>
    <row r="1235" spans="1:18" ht="14" hidden="1">
      <c r="A1235" s="78" t="s">
        <v>2653</v>
      </c>
      <c r="B1235" s="220" t="s">
        <v>1098</v>
      </c>
      <c r="C1235" s="185"/>
      <c r="D1235" s="103" t="str">
        <f>VLOOKUP(B1235, 'All Menu'!B:M, 4, 0)</f>
        <v>صاجية دجاج كيلو</v>
      </c>
      <c r="E1235" s="30" t="str">
        <f>VLOOKUP(B1235, 'All Menu'!B:M, 2, 0)</f>
        <v>قسم الصواني</v>
      </c>
      <c r="F1235" s="103" t="str">
        <f>VLOOKUP(B1235, 'All Menu'!B:M, 3, 0)</f>
        <v>صواني وصجيات سفري</v>
      </c>
      <c r="G1235" s="90" t="s">
        <v>2206</v>
      </c>
      <c r="H1235" s="188">
        <v>4204</v>
      </c>
      <c r="I1235" s="110" t="str">
        <f>VLOOKUP(H1235, 'RM &amp; SF'!B:H, 2, 0)</f>
        <v>فلفل اسود ناعم*****</v>
      </c>
      <c r="J1235" s="184" t="str">
        <f>VLOOKUP(H1235, 'RM &amp; SF'!B:E, 4, 0)</f>
        <v>غم</v>
      </c>
      <c r="K1235" s="12">
        <v>5</v>
      </c>
      <c r="L1235" s="13">
        <f>VLOOKUP(H1235, 'RM &amp; SF'!B:H, 7, 0)</f>
        <v>6.8970000000000004E-3</v>
      </c>
      <c r="M1235" s="7">
        <f t="shared" si="72"/>
        <v>3.4485000000000002E-2</v>
      </c>
      <c r="N1235" s="4" t="s">
        <v>825</v>
      </c>
      <c r="O1235" s="4">
        <f>VLOOKUP(B1235, 'All Menu'!B:L, 6, 0)</f>
        <v>12.068965517241381</v>
      </c>
      <c r="P1235" s="6">
        <f>VLOOKUP(B1235, 'All Menu'!B:L, 9, 0)</f>
        <v>6.0648999013100973</v>
      </c>
      <c r="Q1235" s="14">
        <f>VLOOKUP(B1235, 'All Menu'!B:M, 12, 0)</f>
        <v>0.49747972246287769</v>
      </c>
      <c r="R1235" s="173">
        <f t="shared" si="73"/>
        <v>0</v>
      </c>
    </row>
    <row r="1236" spans="1:18" ht="14" hidden="1">
      <c r="A1236" s="78" t="s">
        <v>2653</v>
      </c>
      <c r="B1236" s="220" t="s">
        <v>1098</v>
      </c>
      <c r="C1236" s="185"/>
      <c r="D1236" s="103" t="str">
        <f>VLOOKUP(B1236, 'All Menu'!B:M, 4, 0)</f>
        <v>صاجية دجاج كيلو</v>
      </c>
      <c r="E1236" s="30" t="str">
        <f>VLOOKUP(B1236, 'All Menu'!B:M, 2, 0)</f>
        <v>قسم الصواني</v>
      </c>
      <c r="F1236" s="103" t="str">
        <f>VLOOKUP(B1236, 'All Menu'!B:M, 3, 0)</f>
        <v>صواني وصجيات سفري</v>
      </c>
      <c r="G1236" s="90" t="s">
        <v>2223</v>
      </c>
      <c r="H1236" s="188">
        <v>4241</v>
      </c>
      <c r="I1236" s="110" t="str">
        <f>VLOOKUP(H1236, 'RM &amp; SF'!B:H, 2, 0)</f>
        <v>بهارات كيجن عادي*****</v>
      </c>
      <c r="J1236" s="184" t="str">
        <f>VLOOKUP(H1236, 'RM &amp; SF'!B:E, 4, 0)</f>
        <v>غم</v>
      </c>
      <c r="K1236" s="12">
        <v>5</v>
      </c>
      <c r="L1236" s="13">
        <f>VLOOKUP(H1236, 'RM &amp; SF'!B:H, 7, 0)</f>
        <v>3.8790000000000001E-3</v>
      </c>
      <c r="M1236" s="7">
        <f t="shared" si="72"/>
        <v>1.9394999999999999E-2</v>
      </c>
      <c r="N1236" s="4" t="s">
        <v>825</v>
      </c>
      <c r="O1236" s="4">
        <f>VLOOKUP(B1236, 'All Menu'!B:L, 6, 0)</f>
        <v>12.068965517241381</v>
      </c>
      <c r="P1236" s="6">
        <f>VLOOKUP(B1236, 'All Menu'!B:L, 9, 0)</f>
        <v>6.0648999013100973</v>
      </c>
      <c r="Q1236" s="14">
        <f>VLOOKUP(B1236, 'All Menu'!B:M, 12, 0)</f>
        <v>0.49747972246287769</v>
      </c>
      <c r="R1236" s="173">
        <f t="shared" si="73"/>
        <v>0</v>
      </c>
    </row>
    <row r="1237" spans="1:18" ht="14" hidden="1">
      <c r="A1237" s="78" t="s">
        <v>2653</v>
      </c>
      <c r="B1237" s="220" t="s">
        <v>1098</v>
      </c>
      <c r="C1237" s="185"/>
      <c r="D1237" s="103" t="str">
        <f>VLOOKUP(B1237, 'All Menu'!B:M, 4, 0)</f>
        <v>صاجية دجاج كيلو</v>
      </c>
      <c r="E1237" s="30" t="str">
        <f>VLOOKUP(B1237, 'All Menu'!B:M, 2, 0)</f>
        <v>قسم الصواني</v>
      </c>
      <c r="F1237" s="103" t="str">
        <f>VLOOKUP(B1237, 'All Menu'!B:M, 3, 0)</f>
        <v>صواني وصجيات سفري</v>
      </c>
      <c r="G1237" s="90" t="s">
        <v>2331</v>
      </c>
      <c r="H1237" s="219" t="s">
        <v>530</v>
      </c>
      <c r="I1237" s="110" t="str">
        <f>VLOOKUP(H1237, 'RM &amp; SF'!B:H, 2, 0)</f>
        <v>خبز صاج</v>
      </c>
      <c r="J1237" s="184" t="str">
        <f>VLOOKUP(H1237, 'RM &amp; SF'!B:E, 4, 0)</f>
        <v>غم</v>
      </c>
      <c r="K1237" s="12">
        <v>200</v>
      </c>
      <c r="L1237" s="13">
        <f>VLOOKUP(H1237, 'RM &amp; SF'!B:H, 7, 0)</f>
        <v>1.8806451612903227E-4</v>
      </c>
      <c r="M1237" s="7">
        <f t="shared" si="72"/>
        <v>3.7612903225806453E-2</v>
      </c>
      <c r="N1237" s="4" t="s">
        <v>825</v>
      </c>
      <c r="O1237" s="4">
        <f>VLOOKUP(B1237, 'All Menu'!B:L, 6, 0)</f>
        <v>12.068965517241381</v>
      </c>
      <c r="P1237" s="6">
        <f>VLOOKUP(B1237, 'All Menu'!B:L, 9, 0)</f>
        <v>6.0648999013100973</v>
      </c>
      <c r="Q1237" s="14">
        <f>VLOOKUP(B1237, 'All Menu'!B:M, 12, 0)</f>
        <v>0.49747972246287769</v>
      </c>
      <c r="R1237" s="173">
        <f t="shared" si="73"/>
        <v>0</v>
      </c>
    </row>
    <row r="1238" spans="1:18" ht="14" hidden="1">
      <c r="A1238" s="78" t="s">
        <v>2653</v>
      </c>
      <c r="B1238" s="220" t="s">
        <v>1098</v>
      </c>
      <c r="C1238" s="185"/>
      <c r="D1238" s="103" t="str">
        <f>VLOOKUP(B1238, 'All Menu'!B:M, 4, 0)</f>
        <v>صاجية دجاج كيلو</v>
      </c>
      <c r="E1238" s="30" t="str">
        <f>VLOOKUP(B1238, 'All Menu'!B:M, 2, 0)</f>
        <v>قسم الصواني</v>
      </c>
      <c r="F1238" s="103" t="str">
        <f>VLOOKUP(B1238, 'All Menu'!B:M, 3, 0)</f>
        <v>صواني وصجيات سفري</v>
      </c>
      <c r="G1238" s="90" t="s">
        <v>3058</v>
      </c>
      <c r="H1238" s="188">
        <v>5424</v>
      </c>
      <c r="I1238" s="110" t="str">
        <f>VLOOKUP(H1238, 'RM &amp; SF'!B:H, 2, 0)</f>
        <v>علب قصدير مدور 1/2 كغ RZ 25*****</v>
      </c>
      <c r="J1238" s="184" t="str">
        <f>VLOOKUP(H1238, 'RM &amp; SF'!B:E, 4, 0)</f>
        <v>قطعة</v>
      </c>
      <c r="K1238" s="12">
        <v>1</v>
      </c>
      <c r="L1238" s="13">
        <f>VLOOKUP(H1238, 'RM &amp; SF'!B:H, 7, 0)</f>
        <v>0.1149425287356322</v>
      </c>
      <c r="M1238" s="7">
        <f t="shared" si="72"/>
        <v>0.1149425287356322</v>
      </c>
      <c r="N1238" s="4" t="s">
        <v>825</v>
      </c>
      <c r="O1238" s="4">
        <f>VLOOKUP(B1238, 'All Menu'!B:L, 6, 0)</f>
        <v>12.068965517241381</v>
      </c>
      <c r="P1238" s="6">
        <f>VLOOKUP(B1238, 'All Menu'!B:L, 9, 0)</f>
        <v>6.0648999013100973</v>
      </c>
      <c r="Q1238" s="14">
        <f>VLOOKUP(B1238, 'All Menu'!B:M, 12, 0)</f>
        <v>0.49747972246287769</v>
      </c>
      <c r="R1238" s="173">
        <f t="shared" si="73"/>
        <v>0</v>
      </c>
    </row>
    <row r="1239" spans="1:18" ht="14" hidden="1">
      <c r="A1239" s="78" t="s">
        <v>2653</v>
      </c>
      <c r="B1239" s="220" t="s">
        <v>1098</v>
      </c>
      <c r="C1239" s="185"/>
      <c r="D1239" s="103" t="str">
        <f>VLOOKUP(B1239, 'All Menu'!B:M, 4, 0)</f>
        <v>صاجية دجاج كيلو</v>
      </c>
      <c r="E1239" s="30" t="str">
        <f>VLOOKUP(B1239, 'All Menu'!B:M, 2, 0)</f>
        <v>قسم الصواني</v>
      </c>
      <c r="F1239" s="103" t="str">
        <f>VLOOKUP(B1239, 'All Menu'!B:M, 3, 0)</f>
        <v>صواني وصجيات سفري</v>
      </c>
      <c r="G1239" s="90" t="s">
        <v>3058</v>
      </c>
      <c r="H1239" s="188">
        <v>4274</v>
      </c>
      <c r="I1239" s="110" t="str">
        <f>VLOOKUP(H1239, 'RM &amp; SF'!B:H, 2, 0)</f>
        <v>علب المركزية مطبوع + قاطع رقم 1 1*100 حبة*****</v>
      </c>
      <c r="J1239" s="184" t="str">
        <f>VLOOKUP(H1239, 'RM &amp; SF'!B:E, 4, 0)</f>
        <v>قطعة</v>
      </c>
      <c r="K1239" s="12">
        <v>1</v>
      </c>
      <c r="L1239" s="13">
        <f>VLOOKUP(H1239, 'RM &amp; SF'!B:H, 7, 0)</f>
        <v>0.25</v>
      </c>
      <c r="M1239" s="7">
        <f t="shared" si="72"/>
        <v>0.25</v>
      </c>
      <c r="N1239" s="4" t="s">
        <v>825</v>
      </c>
      <c r="O1239" s="4">
        <f>VLOOKUP(B1239, 'All Menu'!B:L, 6, 0)</f>
        <v>12.068965517241381</v>
      </c>
      <c r="P1239" s="6">
        <f>VLOOKUP(B1239, 'All Menu'!B:L, 9, 0)</f>
        <v>6.0648999013100973</v>
      </c>
      <c r="Q1239" s="14">
        <f>VLOOKUP(B1239, 'All Menu'!B:M, 12, 0)</f>
        <v>0.49747972246287769</v>
      </c>
      <c r="R1239" s="173">
        <f t="shared" si="73"/>
        <v>0</v>
      </c>
    </row>
    <row r="1240" spans="1:18" ht="14" hidden="1">
      <c r="A1240" s="78" t="s">
        <v>2653</v>
      </c>
      <c r="B1240" s="220" t="s">
        <v>1098</v>
      </c>
      <c r="C1240" s="185"/>
      <c r="D1240" s="103" t="str">
        <f>VLOOKUP(B1240, 'All Menu'!B:M, 4, 0)</f>
        <v>صاجية دجاج كيلو</v>
      </c>
      <c r="E1240" s="30" t="str">
        <f>VLOOKUP(B1240, 'All Menu'!B:M, 2, 0)</f>
        <v>قسم الصواني</v>
      </c>
      <c r="F1240" s="103" t="str">
        <f>VLOOKUP(B1240, 'All Menu'!B:M, 3, 0)</f>
        <v>صواني وصجيات سفري</v>
      </c>
      <c r="G1240" s="90" t="s">
        <v>2193</v>
      </c>
      <c r="H1240" s="188">
        <v>4309</v>
      </c>
      <c r="I1240" s="110" t="str">
        <f>VLOOKUP(H1240, 'RM &amp; SF'!B:H, 2, 0)</f>
        <v>اكياس بلاستيك مطبوع 55 سم*****</v>
      </c>
      <c r="J1240" s="184" t="str">
        <f>VLOOKUP(H1240, 'RM &amp; SF'!B:E, 4, 0)</f>
        <v>قطعة</v>
      </c>
      <c r="K1240" s="12">
        <v>1</v>
      </c>
      <c r="L1240" s="13">
        <f>VLOOKUP(H1240, 'RM &amp; SF'!B:H, 7, 0)</f>
        <v>5.5172413793103454E-2</v>
      </c>
      <c r="M1240" s="7">
        <f t="shared" si="72"/>
        <v>5.5172413793103454E-2</v>
      </c>
      <c r="N1240" s="4" t="s">
        <v>825</v>
      </c>
      <c r="O1240" s="4">
        <f>VLOOKUP(B1240, 'All Menu'!B:L, 6, 0)</f>
        <v>12.068965517241381</v>
      </c>
      <c r="P1240" s="6">
        <f>VLOOKUP(B1240, 'All Menu'!B:L, 9, 0)</f>
        <v>6.0648999013100973</v>
      </c>
      <c r="Q1240" s="14">
        <f>VLOOKUP(B1240, 'All Menu'!B:M, 12, 0)</f>
        <v>0.49747972246287769</v>
      </c>
      <c r="R1240" s="173">
        <f t="shared" si="73"/>
        <v>0</v>
      </c>
    </row>
    <row r="1241" spans="1:18" ht="14" hidden="1">
      <c r="A1241" s="78" t="s">
        <v>2655</v>
      </c>
      <c r="B1241" s="220" t="s">
        <v>1105</v>
      </c>
      <c r="C1241" s="185"/>
      <c r="D1241" s="103" t="str">
        <f>VLOOKUP(B1241, 'All Menu'!B:M, 4, 0)</f>
        <v>فريكة بالدجاج والكريمة نص كيلو</v>
      </c>
      <c r="E1241" s="30" t="str">
        <f>VLOOKUP(B1241, 'All Menu'!B:M, 2, 0)</f>
        <v>قسم الصواني</v>
      </c>
      <c r="F1241" s="103" t="str">
        <f>VLOOKUP(B1241, 'All Menu'!B:M, 3, 0)</f>
        <v>صواني وصجيات سفري</v>
      </c>
      <c r="G1241" s="90" t="s">
        <v>2282</v>
      </c>
      <c r="H1241" s="188">
        <v>4137</v>
      </c>
      <c r="I1241" s="110" t="str">
        <f>VLOOKUP(H1241, 'RM &amp; SF'!B:H, 2, 0)</f>
        <v>فريكة خشنة*****</v>
      </c>
      <c r="J1241" s="184" t="str">
        <f>VLOOKUP(H1241, 'RM &amp; SF'!B:E, 4, 0)</f>
        <v>غم</v>
      </c>
      <c r="K1241" s="12">
        <v>400</v>
      </c>
      <c r="L1241" s="13">
        <f>VLOOKUP(H1241, 'RM &amp; SF'!B:H, 7, 0)</f>
        <v>2.2059000000000002E-3</v>
      </c>
      <c r="M1241" s="7">
        <f t="shared" si="72"/>
        <v>0.88236000000000003</v>
      </c>
      <c r="N1241" s="4" t="s">
        <v>825</v>
      </c>
      <c r="O1241" s="4">
        <f>VLOOKUP(B1241, 'All Menu'!B:L, 6, 0)</f>
        <v>6.4655172413793105</v>
      </c>
      <c r="P1241" s="6">
        <f>VLOOKUP(B1241, 'All Menu'!B:L, 9, 0)</f>
        <v>3.7983309847126434</v>
      </c>
      <c r="Q1241" s="14">
        <f>VLOOKUP(B1241, 'All Menu'!B:M, 12, 0)</f>
        <v>0.41252480769777783</v>
      </c>
      <c r="R1241" s="173">
        <f t="shared" si="73"/>
        <v>0</v>
      </c>
    </row>
    <row r="1242" spans="1:18" ht="14" hidden="1">
      <c r="A1242" s="78" t="s">
        <v>2655</v>
      </c>
      <c r="B1242" s="220" t="s">
        <v>1105</v>
      </c>
      <c r="C1242" s="185"/>
      <c r="D1242" s="103" t="str">
        <f>VLOOKUP(B1242, 'All Menu'!B:M, 4, 0)</f>
        <v>فريكة بالدجاج والكريمة نص كيلو</v>
      </c>
      <c r="E1242" s="30" t="str">
        <f>VLOOKUP(B1242, 'All Menu'!B:M, 2, 0)</f>
        <v>قسم الصواني</v>
      </c>
      <c r="F1242" s="103" t="str">
        <f>VLOOKUP(B1242, 'All Menu'!B:M, 3, 0)</f>
        <v>صواني وصجيات سفري</v>
      </c>
      <c r="G1242" s="90" t="s">
        <v>2445</v>
      </c>
      <c r="H1242" s="219" t="s">
        <v>668</v>
      </c>
      <c r="I1242" s="110" t="str">
        <f>VLOOKUP(H1242, 'RM &amp; SF'!B:H, 2, 0)</f>
        <v>دجاج مسحب بالفرن انترناشونال</v>
      </c>
      <c r="J1242" s="184" t="str">
        <f>VLOOKUP(H1242, 'RM &amp; SF'!B:E, 4, 0)</f>
        <v>غم</v>
      </c>
      <c r="K1242" s="12">
        <v>240</v>
      </c>
      <c r="L1242" s="13">
        <f>VLOOKUP(H1242, 'RM &amp; SF'!B:H, 7, 0)</f>
        <v>4.5947853888888886E-3</v>
      </c>
      <c r="M1242" s="7">
        <f t="shared" si="72"/>
        <v>1.1027484933333334</v>
      </c>
      <c r="N1242" s="4" t="s">
        <v>825</v>
      </c>
      <c r="O1242" s="4">
        <f>VLOOKUP(B1242, 'All Menu'!B:L, 6, 0)</f>
        <v>6.4655172413793105</v>
      </c>
      <c r="P1242" s="6">
        <f>VLOOKUP(B1242, 'All Menu'!B:L, 9, 0)</f>
        <v>3.7983309847126434</v>
      </c>
      <c r="Q1242" s="14">
        <f>VLOOKUP(B1242, 'All Menu'!B:M, 12, 0)</f>
        <v>0.41252480769777783</v>
      </c>
      <c r="R1242" s="173">
        <f t="shared" si="73"/>
        <v>0</v>
      </c>
    </row>
    <row r="1243" spans="1:18" ht="14" hidden="1">
      <c r="A1243" s="78" t="s">
        <v>2655</v>
      </c>
      <c r="B1243" s="220" t="s">
        <v>1105</v>
      </c>
      <c r="C1243" s="185"/>
      <c r="D1243" s="103" t="str">
        <f>VLOOKUP(B1243, 'All Menu'!B:M, 4, 0)</f>
        <v>فريكة بالدجاج والكريمة نص كيلو</v>
      </c>
      <c r="E1243" s="30" t="str">
        <f>VLOOKUP(B1243, 'All Menu'!B:M, 2, 0)</f>
        <v>قسم الصواني</v>
      </c>
      <c r="F1243" s="103" t="str">
        <f>VLOOKUP(B1243, 'All Menu'!B:M, 3, 0)</f>
        <v>صواني وصجيات سفري</v>
      </c>
      <c r="G1243" s="90" t="s">
        <v>2240</v>
      </c>
      <c r="H1243" s="188">
        <v>4515</v>
      </c>
      <c r="I1243" s="110" t="str">
        <f>VLOOKUP(H1243, 'RM &amp; SF'!B:H, 2, 0)</f>
        <v>فطر طازج (فطر فرش)*****</v>
      </c>
      <c r="J1243" s="184" t="str">
        <f>VLOOKUP(H1243, 'RM &amp; SF'!B:E, 4, 0)</f>
        <v>غم</v>
      </c>
      <c r="K1243" s="12">
        <v>80</v>
      </c>
      <c r="L1243" s="13">
        <f>VLOOKUP(H1243, 'RM &amp; SF'!B:H, 7, 0)</f>
        <v>5.9999999999999993E-3</v>
      </c>
      <c r="M1243" s="7">
        <f t="shared" si="72"/>
        <v>0.47999999999999993</v>
      </c>
      <c r="N1243" s="4" t="s">
        <v>825</v>
      </c>
      <c r="O1243" s="4">
        <f>VLOOKUP(B1243, 'All Menu'!B:L, 6, 0)</f>
        <v>6.4655172413793105</v>
      </c>
      <c r="P1243" s="6">
        <f>VLOOKUP(B1243, 'All Menu'!B:L, 9, 0)</f>
        <v>3.7983309847126434</v>
      </c>
      <c r="Q1243" s="14">
        <f>VLOOKUP(B1243, 'All Menu'!B:M, 12, 0)</f>
        <v>0.41252480769777783</v>
      </c>
      <c r="R1243" s="173">
        <f t="shared" si="73"/>
        <v>0</v>
      </c>
    </row>
    <row r="1244" spans="1:18" ht="14" hidden="1">
      <c r="A1244" s="78" t="s">
        <v>2655</v>
      </c>
      <c r="B1244" s="220" t="s">
        <v>1105</v>
      </c>
      <c r="C1244" s="185"/>
      <c r="D1244" s="103" t="str">
        <f>VLOOKUP(B1244, 'All Menu'!B:M, 4, 0)</f>
        <v>فريكة بالدجاج والكريمة نص كيلو</v>
      </c>
      <c r="E1244" s="30" t="str">
        <f>VLOOKUP(B1244, 'All Menu'!B:M, 2, 0)</f>
        <v>قسم الصواني</v>
      </c>
      <c r="F1244" s="103" t="str">
        <f>VLOOKUP(B1244, 'All Menu'!B:M, 3, 0)</f>
        <v>صواني وصجيات سفري</v>
      </c>
      <c r="G1244" s="90" t="s">
        <v>2291</v>
      </c>
      <c r="H1244" s="188">
        <v>4556</v>
      </c>
      <c r="I1244" s="110" t="str">
        <f>VLOOKUP(H1244, 'RM &amp; SF'!B:H, 2, 0)</f>
        <v>كريما طبخ 1 لتر*****</v>
      </c>
      <c r="J1244" s="184" t="str">
        <f>VLOOKUP(H1244, 'RM &amp; SF'!B:E, 4, 0)</f>
        <v>مل</v>
      </c>
      <c r="K1244" s="12">
        <v>400</v>
      </c>
      <c r="L1244" s="13">
        <f>VLOOKUP(H1244, 'RM &amp; SF'!B:H, 7, 0)</f>
        <v>2.2269999999999998E-3</v>
      </c>
      <c r="M1244" s="7">
        <f t="shared" si="72"/>
        <v>0.89079999999999993</v>
      </c>
      <c r="N1244" s="4" t="s">
        <v>825</v>
      </c>
      <c r="O1244" s="4">
        <f>VLOOKUP(B1244, 'All Menu'!B:L, 6, 0)</f>
        <v>6.4655172413793105</v>
      </c>
      <c r="P1244" s="6">
        <f>VLOOKUP(B1244, 'All Menu'!B:L, 9, 0)</f>
        <v>3.7983309847126434</v>
      </c>
      <c r="Q1244" s="14">
        <f>VLOOKUP(B1244, 'All Menu'!B:M, 12, 0)</f>
        <v>0.41252480769777783</v>
      </c>
      <c r="R1244" s="173">
        <f t="shared" si="73"/>
        <v>0</v>
      </c>
    </row>
    <row r="1245" spans="1:18" ht="14" hidden="1">
      <c r="A1245" s="78" t="s">
        <v>2655</v>
      </c>
      <c r="B1245" s="220" t="s">
        <v>1105</v>
      </c>
      <c r="C1245" s="185"/>
      <c r="D1245" s="103" t="str">
        <f>VLOOKUP(B1245, 'All Menu'!B:M, 4, 0)</f>
        <v>فريكة بالدجاج والكريمة نص كيلو</v>
      </c>
      <c r="E1245" s="30" t="str">
        <f>VLOOKUP(B1245, 'All Menu'!B:M, 2, 0)</f>
        <v>قسم الصواني</v>
      </c>
      <c r="F1245" s="103" t="str">
        <f>VLOOKUP(B1245, 'All Menu'!B:M, 3, 0)</f>
        <v>صواني وصجيات سفري</v>
      </c>
      <c r="G1245" s="90" t="s">
        <v>2173</v>
      </c>
      <c r="H1245" s="188">
        <v>4624</v>
      </c>
      <c r="I1245" s="110" t="str">
        <f>VLOOKUP(H1245, 'RM &amp; SF'!B:H, 2, 0)</f>
        <v>جبنة موزريلا قالب 2.380 كغ*****</v>
      </c>
      <c r="J1245" s="184" t="str">
        <f>VLOOKUP(H1245, 'RM &amp; SF'!B:E, 4, 0)</f>
        <v>غم</v>
      </c>
      <c r="K1245" s="12">
        <v>50</v>
      </c>
      <c r="L1245" s="13">
        <f>VLOOKUP(H1245, 'RM &amp; SF'!B:H, 7, 0)</f>
        <v>5.1749999999999999E-3</v>
      </c>
      <c r="M1245" s="7">
        <f t="shared" si="72"/>
        <v>0.25874999999999998</v>
      </c>
      <c r="N1245" s="4" t="s">
        <v>825</v>
      </c>
      <c r="O1245" s="4">
        <f>VLOOKUP(B1245, 'All Menu'!B:L, 6, 0)</f>
        <v>6.4655172413793105</v>
      </c>
      <c r="P1245" s="6">
        <f>VLOOKUP(B1245, 'All Menu'!B:L, 9, 0)</f>
        <v>3.7983309847126434</v>
      </c>
      <c r="Q1245" s="14">
        <f>VLOOKUP(B1245, 'All Menu'!B:M, 12, 0)</f>
        <v>0.41252480769777783</v>
      </c>
      <c r="R1245" s="173">
        <f t="shared" si="73"/>
        <v>0</v>
      </c>
    </row>
    <row r="1246" spans="1:18" ht="14" hidden="1">
      <c r="A1246" s="78" t="s">
        <v>2655</v>
      </c>
      <c r="B1246" s="220" t="s">
        <v>1105</v>
      </c>
      <c r="C1246" s="185"/>
      <c r="D1246" s="103" t="str">
        <f>VLOOKUP(B1246, 'All Menu'!B:M, 4, 0)</f>
        <v>فريكة بالدجاج والكريمة نص كيلو</v>
      </c>
      <c r="E1246" s="30" t="str">
        <f>VLOOKUP(B1246, 'All Menu'!B:M, 2, 0)</f>
        <v>قسم الصواني</v>
      </c>
      <c r="F1246" s="103" t="str">
        <f>VLOOKUP(B1246, 'All Menu'!B:M, 3, 0)</f>
        <v>صواني وصجيات سفري</v>
      </c>
      <c r="G1246" s="90" t="s">
        <v>2234</v>
      </c>
      <c r="H1246" s="188">
        <v>4503</v>
      </c>
      <c r="I1246" s="110" t="str">
        <f>VLOOKUP(H1246, 'RM &amp; SF'!B:H, 2, 0)</f>
        <v>بصل ناشف دفش*****</v>
      </c>
      <c r="J1246" s="184" t="str">
        <f>VLOOKUP(H1246, 'RM &amp; SF'!B:E, 4, 0)</f>
        <v>غم</v>
      </c>
      <c r="K1246" s="12">
        <v>20</v>
      </c>
      <c r="L1246" s="13">
        <f>VLOOKUP(H1246, 'RM &amp; SF'!B:H, 7, 0)</f>
        <v>2.5000000000000001E-4</v>
      </c>
      <c r="M1246" s="7">
        <f t="shared" si="72"/>
        <v>5.0000000000000001E-3</v>
      </c>
      <c r="N1246" s="4" t="s">
        <v>825</v>
      </c>
      <c r="O1246" s="4">
        <f>VLOOKUP(B1246, 'All Menu'!B:L, 6, 0)</f>
        <v>6.4655172413793105</v>
      </c>
      <c r="P1246" s="6">
        <f>VLOOKUP(B1246, 'All Menu'!B:L, 9, 0)</f>
        <v>3.7983309847126434</v>
      </c>
      <c r="Q1246" s="14">
        <f>VLOOKUP(B1246, 'All Menu'!B:M, 12, 0)</f>
        <v>0.41252480769777783</v>
      </c>
      <c r="R1246" s="173">
        <f t="shared" si="73"/>
        <v>0</v>
      </c>
    </row>
    <row r="1247" spans="1:18" ht="14" hidden="1">
      <c r="A1247" s="78" t="s">
        <v>2655</v>
      </c>
      <c r="B1247" s="220" t="s">
        <v>1105</v>
      </c>
      <c r="C1247" s="185"/>
      <c r="D1247" s="103" t="str">
        <f>VLOOKUP(B1247, 'All Menu'!B:M, 4, 0)</f>
        <v>فريكة بالدجاج والكريمة نص كيلو</v>
      </c>
      <c r="E1247" s="30" t="str">
        <f>VLOOKUP(B1247, 'All Menu'!B:M, 2, 0)</f>
        <v>قسم الصواني</v>
      </c>
      <c r="F1247" s="103" t="str">
        <f>VLOOKUP(B1247, 'All Menu'!B:M, 3, 0)</f>
        <v>صواني وصجيات سفري</v>
      </c>
      <c r="G1247" s="90" t="s">
        <v>2177</v>
      </c>
      <c r="H1247" s="188">
        <v>4566</v>
      </c>
      <c r="I1247" s="110" t="str">
        <f>VLOOKUP(H1247, 'RM &amp; SF'!B:H, 2, 0)</f>
        <v>زبدة صفائح 5*2 كغ*****</v>
      </c>
      <c r="J1247" s="184" t="str">
        <f>VLOOKUP(H1247, 'RM &amp; SF'!B:E, 4, 0)</f>
        <v>غم</v>
      </c>
      <c r="K1247" s="12">
        <v>50</v>
      </c>
      <c r="L1247" s="13">
        <f>VLOOKUP(H1247, 'RM &amp; SF'!B:H, 7, 0)</f>
        <v>2E-3</v>
      </c>
      <c r="M1247" s="7">
        <f t="shared" si="72"/>
        <v>0.1</v>
      </c>
      <c r="N1247" s="4" t="s">
        <v>825</v>
      </c>
      <c r="O1247" s="4">
        <f>VLOOKUP(B1247, 'All Menu'!B:L, 6, 0)</f>
        <v>6.4655172413793105</v>
      </c>
      <c r="P1247" s="6">
        <f>VLOOKUP(B1247, 'All Menu'!B:L, 9, 0)</f>
        <v>3.7983309847126434</v>
      </c>
      <c r="Q1247" s="14">
        <f>VLOOKUP(B1247, 'All Menu'!B:M, 12, 0)</f>
        <v>0.41252480769777783</v>
      </c>
      <c r="R1247" s="173">
        <f t="shared" si="73"/>
        <v>0</v>
      </c>
    </row>
    <row r="1248" spans="1:18" ht="14" hidden="1">
      <c r="A1248" s="78" t="s">
        <v>2655</v>
      </c>
      <c r="B1248" s="220" t="s">
        <v>1105</v>
      </c>
      <c r="C1248" s="185"/>
      <c r="D1248" s="103" t="str">
        <f>VLOOKUP(B1248, 'All Menu'!B:M, 4, 0)</f>
        <v>فريكة بالدجاج والكريمة نص كيلو</v>
      </c>
      <c r="E1248" s="30" t="str">
        <f>VLOOKUP(B1248, 'All Menu'!B:M, 2, 0)</f>
        <v>قسم الصواني</v>
      </c>
      <c r="F1248" s="103" t="str">
        <f>VLOOKUP(B1248, 'All Menu'!B:M, 3, 0)</f>
        <v>صواني وصجيات سفري</v>
      </c>
      <c r="G1248" s="90" t="s">
        <v>2341</v>
      </c>
      <c r="H1248" s="219" t="s">
        <v>706</v>
      </c>
      <c r="I1248" s="110" t="str">
        <f>VLOOKUP(H1248, 'RM &amp; SF'!B:H, 2, 0)</f>
        <v>لوز مقلي</v>
      </c>
      <c r="J1248" s="184" t="str">
        <f>VLOOKUP(H1248, 'RM &amp; SF'!B:E, 4, 0)</f>
        <v>غم</v>
      </c>
      <c r="K1248" s="12">
        <v>15</v>
      </c>
      <c r="L1248" s="13">
        <f>VLOOKUP(H1248, 'RM &amp; SF'!B:H, 7, 0)</f>
        <v>4.1352327586206888E-3</v>
      </c>
      <c r="M1248" s="7">
        <f t="shared" si="72"/>
        <v>6.2028491379310331E-2</v>
      </c>
      <c r="N1248" s="4" t="s">
        <v>825</v>
      </c>
      <c r="O1248" s="4">
        <f>VLOOKUP(B1248, 'All Menu'!B:L, 6, 0)</f>
        <v>6.4655172413793105</v>
      </c>
      <c r="P1248" s="6">
        <f>VLOOKUP(B1248, 'All Menu'!B:L, 9, 0)</f>
        <v>3.7983309847126434</v>
      </c>
      <c r="Q1248" s="14">
        <f>VLOOKUP(B1248, 'All Menu'!B:M, 12, 0)</f>
        <v>0.41252480769777783</v>
      </c>
      <c r="R1248" s="173">
        <f t="shared" si="73"/>
        <v>0</v>
      </c>
    </row>
    <row r="1249" spans="1:18" ht="14" hidden="1">
      <c r="A1249" s="78" t="s">
        <v>2655</v>
      </c>
      <c r="B1249" s="220" t="s">
        <v>1105</v>
      </c>
      <c r="C1249" s="185"/>
      <c r="D1249" s="103" t="str">
        <f>VLOOKUP(B1249, 'All Menu'!B:M, 4, 0)</f>
        <v>فريكة بالدجاج والكريمة نص كيلو</v>
      </c>
      <c r="E1249" s="30" t="str">
        <f>VLOOKUP(B1249, 'All Menu'!B:M, 2, 0)</f>
        <v>قسم الصواني</v>
      </c>
      <c r="F1249" s="103" t="str">
        <f>VLOOKUP(B1249, 'All Menu'!B:M, 3, 0)</f>
        <v>صواني وصجيات سفري</v>
      </c>
      <c r="G1249" s="90" t="s">
        <v>2345</v>
      </c>
      <c r="H1249" s="219" t="s">
        <v>714</v>
      </c>
      <c r="I1249" s="110" t="str">
        <f>VLOOKUP(H1249, 'RM &amp; SF'!B:H, 2, 0)</f>
        <v>ثوم وزيت</v>
      </c>
      <c r="J1249" s="184" t="str">
        <f>VLOOKUP(H1249, 'RM &amp; SF'!B:E, 4, 0)</f>
        <v>غم</v>
      </c>
      <c r="K1249" s="12">
        <v>5</v>
      </c>
      <c r="L1249" s="13">
        <f>VLOOKUP(H1249, 'RM &amp; SF'!B:H, 7, 0)</f>
        <v>3.2339999999999999E-3</v>
      </c>
      <c r="M1249" s="7">
        <f t="shared" si="72"/>
        <v>1.617E-2</v>
      </c>
      <c r="N1249" s="4" t="s">
        <v>825</v>
      </c>
      <c r="O1249" s="4">
        <f>VLOOKUP(B1249, 'All Menu'!B:L, 6, 0)</f>
        <v>6.4655172413793105</v>
      </c>
      <c r="P1249" s="6">
        <f>VLOOKUP(B1249, 'All Menu'!B:L, 9, 0)</f>
        <v>3.7983309847126434</v>
      </c>
      <c r="Q1249" s="14">
        <f>VLOOKUP(B1249, 'All Menu'!B:M, 12, 0)</f>
        <v>0.41252480769777783</v>
      </c>
      <c r="R1249" s="173">
        <f t="shared" si="73"/>
        <v>0</v>
      </c>
    </row>
    <row r="1250" spans="1:18" ht="14" hidden="1">
      <c r="A1250" s="78" t="s">
        <v>2655</v>
      </c>
      <c r="B1250" s="220" t="s">
        <v>1105</v>
      </c>
      <c r="C1250" s="185"/>
      <c r="D1250" s="103" t="str">
        <f>VLOOKUP(B1250, 'All Menu'!B:M, 4, 0)</f>
        <v>فريكة بالدجاج والكريمة نص كيلو</v>
      </c>
      <c r="E1250" s="30" t="str">
        <f>VLOOKUP(B1250, 'All Menu'!B:M, 2, 0)</f>
        <v>قسم الصواني</v>
      </c>
      <c r="F1250" s="103" t="str">
        <f>VLOOKUP(B1250, 'All Menu'!B:M, 3, 0)</f>
        <v>صواني وصجيات سفري</v>
      </c>
      <c r="G1250" s="90" t="s">
        <v>2195</v>
      </c>
      <c r="H1250" s="188">
        <v>4329</v>
      </c>
      <c r="I1250" s="110" t="str">
        <f>VLOOKUP(H1250, 'RM &amp; SF'!B:H, 2, 0)</f>
        <v>ملاعق بلاستيك مع معقم مطبوع 1*500 حبة*****</v>
      </c>
      <c r="J1250" s="184" t="str">
        <f>VLOOKUP(H1250, 'RM &amp; SF'!B:E, 4, 0)</f>
        <v>قطعة</v>
      </c>
      <c r="K1250" s="12">
        <v>1</v>
      </c>
      <c r="L1250" s="13">
        <f>VLOOKUP(H1250, 'RM &amp; SF'!B:H, 7, 0)</f>
        <v>4.7399999999999997E-4</v>
      </c>
      <c r="M1250" s="7">
        <f t="shared" si="72"/>
        <v>4.7399999999999997E-4</v>
      </c>
      <c r="N1250" s="4" t="s">
        <v>825</v>
      </c>
      <c r="O1250" s="4">
        <f>VLOOKUP(B1250, 'All Menu'!B:L, 6, 0)</f>
        <v>6.4655172413793105</v>
      </c>
      <c r="P1250" s="6">
        <f>VLOOKUP(B1250, 'All Menu'!B:L, 9, 0)</f>
        <v>3.7983309847126434</v>
      </c>
      <c r="Q1250" s="14">
        <f>VLOOKUP(B1250, 'All Menu'!B:M, 12, 0)</f>
        <v>0.41252480769777783</v>
      </c>
      <c r="R1250" s="173">
        <f t="shared" si="73"/>
        <v>0</v>
      </c>
    </row>
    <row r="1251" spans="1:18" ht="14" hidden="1">
      <c r="A1251" s="78" t="s">
        <v>2638</v>
      </c>
      <c r="B1251" s="220" t="s">
        <v>1157</v>
      </c>
      <c r="C1251" s="185"/>
      <c r="D1251" s="103" t="str">
        <f>VLOOKUP(B1251, 'All Menu'!B:M, 4, 0)</f>
        <v>فتة يالنجي سفري</v>
      </c>
      <c r="E1251" s="30" t="str">
        <f>VLOOKUP(B1251, 'All Menu'!B:M, 2, 0)</f>
        <v>قسم الصواني</v>
      </c>
      <c r="F1251" s="103" t="str">
        <f>VLOOKUP(B1251, 'All Menu'!B:M, 3, 0)</f>
        <v>فتات سفري</v>
      </c>
      <c r="G1251" s="90" t="s">
        <v>2420</v>
      </c>
      <c r="H1251" s="219" t="s">
        <v>614</v>
      </c>
      <c r="I1251" s="110" t="str">
        <f>VLOOKUP(H1251, 'RM &amp; SF'!B:H, 2, 0)</f>
        <v>طبخة فتة يالنجي</v>
      </c>
      <c r="J1251" s="184" t="str">
        <f>VLOOKUP(H1251, 'RM &amp; SF'!B:E, 4, 0)</f>
        <v>غم</v>
      </c>
      <c r="K1251" s="12">
        <v>250</v>
      </c>
      <c r="L1251" s="13">
        <f>VLOOKUP(H1251, 'RM &amp; SF'!B:H, 7, 0)</f>
        <v>1.02600183908046E-3</v>
      </c>
      <c r="M1251" s="7">
        <f t="shared" ref="M1251:M1312" si="74">L1251*K1251</f>
        <v>0.25650045977011499</v>
      </c>
      <c r="N1251" s="4" t="s">
        <v>825</v>
      </c>
      <c r="O1251" s="4">
        <f>VLOOKUP(B1251, 'All Menu'!B:L, 6, 0)</f>
        <v>4.0948275862068968</v>
      </c>
      <c r="P1251" s="6">
        <f>VLOOKUP(B1251, 'All Menu'!B:L, 9, 0)</f>
        <v>1.0118494252964787</v>
      </c>
      <c r="Q1251" s="14">
        <f>VLOOKUP(B1251, 'All Menu'!B:M, 12, 0)</f>
        <v>0.75289571929601784</v>
      </c>
      <c r="R1251" s="173">
        <f t="shared" si="73"/>
        <v>0</v>
      </c>
    </row>
    <row r="1252" spans="1:18" ht="14" hidden="1">
      <c r="A1252" s="78" t="s">
        <v>2638</v>
      </c>
      <c r="B1252" s="220" t="s">
        <v>1157</v>
      </c>
      <c r="C1252" s="185"/>
      <c r="D1252" s="103" t="str">
        <f>VLOOKUP(B1252, 'All Menu'!B:M, 4, 0)</f>
        <v>فتة يالنجي سفري</v>
      </c>
      <c r="E1252" s="30" t="str">
        <f>VLOOKUP(B1252, 'All Menu'!B:M, 2, 0)</f>
        <v>قسم الصواني</v>
      </c>
      <c r="F1252" s="103" t="str">
        <f>VLOOKUP(B1252, 'All Menu'!B:M, 3, 0)</f>
        <v>فتات سفري</v>
      </c>
      <c r="G1252" s="90" t="s">
        <v>2330</v>
      </c>
      <c r="H1252" s="219" t="s">
        <v>490</v>
      </c>
      <c r="I1252" s="110" t="str">
        <f>VLOOKUP(H1252, 'RM &amp; SF'!B:H, 2, 0)</f>
        <v>خبز مقلي</v>
      </c>
      <c r="J1252" s="184" t="str">
        <f>VLOOKUP(H1252, 'RM &amp; SF'!B:E, 4, 0)</f>
        <v>غم</v>
      </c>
      <c r="K1252" s="12">
        <v>40</v>
      </c>
      <c r="L1252" s="13">
        <f>VLOOKUP(H1252, 'RM &amp; SF'!B:H, 7, 0)</f>
        <v>2.2857142857142859E-4</v>
      </c>
      <c r="M1252" s="7">
        <f t="shared" si="74"/>
        <v>9.1428571428571435E-3</v>
      </c>
      <c r="N1252" s="4" t="s">
        <v>825</v>
      </c>
      <c r="O1252" s="4">
        <f>VLOOKUP(B1252, 'All Menu'!B:L, 6, 0)</f>
        <v>4.0948275862068968</v>
      </c>
      <c r="P1252" s="6">
        <f>VLOOKUP(B1252, 'All Menu'!B:L, 9, 0)</f>
        <v>1.0118494252964787</v>
      </c>
      <c r="Q1252" s="14">
        <f>VLOOKUP(B1252, 'All Menu'!B:M, 12, 0)</f>
        <v>0.75289571929601784</v>
      </c>
      <c r="R1252" s="173">
        <f t="shared" si="73"/>
        <v>0</v>
      </c>
    </row>
    <row r="1253" spans="1:18" ht="14" hidden="1">
      <c r="A1253" s="78" t="s">
        <v>2638</v>
      </c>
      <c r="B1253" s="220" t="s">
        <v>1157</v>
      </c>
      <c r="C1253" s="185"/>
      <c r="D1253" s="103" t="str">
        <f>VLOOKUP(B1253, 'All Menu'!B:M, 4, 0)</f>
        <v>فتة يالنجي سفري</v>
      </c>
      <c r="E1253" s="30" t="str">
        <f>VLOOKUP(B1253, 'All Menu'!B:M, 2, 0)</f>
        <v>قسم الصواني</v>
      </c>
      <c r="F1253" s="103" t="str">
        <f>VLOOKUP(B1253, 'All Menu'!B:M, 3, 0)</f>
        <v>فتات سفري</v>
      </c>
      <c r="G1253" s="90" t="s">
        <v>2430</v>
      </c>
      <c r="H1253" s="219" t="s">
        <v>636</v>
      </c>
      <c r="I1253" s="110" t="str">
        <f>VLOOKUP(H1253, 'RM &amp; SF'!B:H, 2, 0)</f>
        <v>صوص طحينية للصواني</v>
      </c>
      <c r="J1253" s="184" t="str">
        <f>VLOOKUP(H1253, 'RM &amp; SF'!B:E, 4, 0)</f>
        <v>غم</v>
      </c>
      <c r="K1253" s="12">
        <v>120</v>
      </c>
      <c r="L1253" s="13">
        <f>VLOOKUP(H1253, 'RM &amp; SF'!B:H, 7, 0)</f>
        <v>1.0115232451499119E-3</v>
      </c>
      <c r="M1253" s="7">
        <f t="shared" si="74"/>
        <v>0.12138278941798944</v>
      </c>
      <c r="N1253" s="4" t="s">
        <v>825</v>
      </c>
      <c r="O1253" s="4">
        <f>VLOOKUP(B1253, 'All Menu'!B:L, 6, 0)</f>
        <v>4.0948275862068968</v>
      </c>
      <c r="P1253" s="6">
        <f>VLOOKUP(B1253, 'All Menu'!B:L, 9, 0)</f>
        <v>1.0118494252964787</v>
      </c>
      <c r="Q1253" s="14">
        <f>VLOOKUP(B1253, 'All Menu'!B:M, 12, 0)</f>
        <v>0.75289571929601784</v>
      </c>
      <c r="R1253" s="173">
        <f t="shared" si="73"/>
        <v>0</v>
      </c>
    </row>
    <row r="1254" spans="1:18" ht="14" hidden="1">
      <c r="A1254" s="78" t="s">
        <v>2638</v>
      </c>
      <c r="B1254" s="220" t="s">
        <v>1157</v>
      </c>
      <c r="C1254" s="185"/>
      <c r="D1254" s="103" t="str">
        <f>VLOOKUP(B1254, 'All Menu'!B:M, 4, 0)</f>
        <v>فتة يالنجي سفري</v>
      </c>
      <c r="E1254" s="30" t="str">
        <f>VLOOKUP(B1254, 'All Menu'!B:M, 2, 0)</f>
        <v>قسم الصواني</v>
      </c>
      <c r="F1254" s="103" t="str">
        <f>VLOOKUP(B1254, 'All Menu'!B:M, 3, 0)</f>
        <v>فتات سفري</v>
      </c>
      <c r="G1254" s="90" t="s">
        <v>2341</v>
      </c>
      <c r="H1254" s="219" t="s">
        <v>706</v>
      </c>
      <c r="I1254" s="110" t="str">
        <f>VLOOKUP(H1254, 'RM &amp; SF'!B:H, 2, 0)</f>
        <v>لوز مقلي</v>
      </c>
      <c r="J1254" s="184" t="str">
        <f>VLOOKUP(H1254, 'RM &amp; SF'!B:E, 4, 0)</f>
        <v>غم</v>
      </c>
      <c r="K1254" s="12">
        <v>15</v>
      </c>
      <c r="L1254" s="13">
        <f>VLOOKUP(H1254, 'RM &amp; SF'!B:H, 7, 0)</f>
        <v>4.1352327586206888E-3</v>
      </c>
      <c r="M1254" s="7">
        <f t="shared" si="74"/>
        <v>6.2028491379310331E-2</v>
      </c>
      <c r="N1254" s="4" t="s">
        <v>825</v>
      </c>
      <c r="O1254" s="4">
        <f>VLOOKUP(B1254, 'All Menu'!B:L, 6, 0)</f>
        <v>4.0948275862068968</v>
      </c>
      <c r="P1254" s="6">
        <f>VLOOKUP(B1254, 'All Menu'!B:L, 9, 0)</f>
        <v>1.0118494252964787</v>
      </c>
      <c r="Q1254" s="14">
        <f>VLOOKUP(B1254, 'All Menu'!B:M, 12, 0)</f>
        <v>0.75289571929601784</v>
      </c>
      <c r="R1254" s="173">
        <f t="shared" si="73"/>
        <v>0</v>
      </c>
    </row>
    <row r="1255" spans="1:18" ht="14" hidden="1">
      <c r="A1255" s="78" t="s">
        <v>2638</v>
      </c>
      <c r="B1255" s="220" t="s">
        <v>1157</v>
      </c>
      <c r="C1255" s="185"/>
      <c r="D1255" s="103" t="str">
        <f>VLOOKUP(B1255, 'All Menu'!B:M, 4, 0)</f>
        <v>فتة يالنجي سفري</v>
      </c>
      <c r="E1255" s="30" t="str">
        <f>VLOOKUP(B1255, 'All Menu'!B:M, 2, 0)</f>
        <v>قسم الصواني</v>
      </c>
      <c r="F1255" s="103" t="str">
        <f>VLOOKUP(B1255, 'All Menu'!B:M, 3, 0)</f>
        <v>فتات سفري</v>
      </c>
      <c r="G1255" s="90" t="s">
        <v>2251</v>
      </c>
      <c r="H1255" s="188">
        <v>4544</v>
      </c>
      <c r="I1255" s="110" t="str">
        <f>VLOOKUP(H1255, 'RM &amp; SF'!B:H, 2, 0)</f>
        <v>بقدونس*****</v>
      </c>
      <c r="J1255" s="184" t="str">
        <f>VLOOKUP(H1255, 'RM &amp; SF'!B:E, 4, 0)</f>
        <v>غم</v>
      </c>
      <c r="K1255" s="12">
        <v>0.5</v>
      </c>
      <c r="L1255" s="13">
        <f>VLOOKUP(H1255, 'RM &amp; SF'!B:H, 7, 0)</f>
        <v>7.5000000000000002E-4</v>
      </c>
      <c r="M1255" s="7">
        <f t="shared" si="74"/>
        <v>3.7500000000000001E-4</v>
      </c>
      <c r="N1255" s="4" t="s">
        <v>825</v>
      </c>
      <c r="O1255" s="4">
        <f>VLOOKUP(B1255, 'All Menu'!B:L, 6, 0)</f>
        <v>4.0948275862068968</v>
      </c>
      <c r="P1255" s="6">
        <f>VLOOKUP(B1255, 'All Menu'!B:L, 9, 0)</f>
        <v>1.0118494252964787</v>
      </c>
      <c r="Q1255" s="14">
        <f>VLOOKUP(B1255, 'All Menu'!B:M, 12, 0)</f>
        <v>0.75289571929601784</v>
      </c>
      <c r="R1255" s="173">
        <f t="shared" si="73"/>
        <v>0</v>
      </c>
    </row>
    <row r="1256" spans="1:18" ht="14" hidden="1">
      <c r="A1256" s="78" t="s">
        <v>2638</v>
      </c>
      <c r="B1256" s="220" t="s">
        <v>1157</v>
      </c>
      <c r="C1256" s="185"/>
      <c r="D1256" s="103" t="str">
        <f>VLOOKUP(B1256, 'All Menu'!B:M, 4, 0)</f>
        <v>فتة يالنجي سفري</v>
      </c>
      <c r="E1256" s="30" t="str">
        <f>VLOOKUP(B1256, 'All Menu'!B:M, 2, 0)</f>
        <v>قسم الصواني</v>
      </c>
      <c r="F1256" s="103" t="str">
        <f>VLOOKUP(B1256, 'All Menu'!B:M, 3, 0)</f>
        <v>فتات سفري</v>
      </c>
      <c r="G1256" s="90" t="s">
        <v>2180</v>
      </c>
      <c r="H1256" s="188">
        <v>4791</v>
      </c>
      <c r="I1256" s="110" t="str">
        <f>VLOOKUP(H1256, 'RM &amp; SF'!B:H, 2, 0)</f>
        <v>سمنة بلدية 5 كغ*****</v>
      </c>
      <c r="J1256" s="184" t="str">
        <f>VLOOKUP(H1256, 'RM &amp; SF'!B:E, 4, 0)</f>
        <v>غم</v>
      </c>
      <c r="K1256" s="12">
        <v>25</v>
      </c>
      <c r="L1256" s="13">
        <f>VLOOKUP(H1256, 'RM &amp; SF'!B:H, 7, 0)</f>
        <v>8.3330000000000001E-3</v>
      </c>
      <c r="M1256" s="7">
        <f t="shared" si="74"/>
        <v>0.20832500000000001</v>
      </c>
      <c r="N1256" s="4" t="s">
        <v>825</v>
      </c>
      <c r="O1256" s="4">
        <f>VLOOKUP(B1256, 'All Menu'!B:L, 6, 0)</f>
        <v>4.0948275862068968</v>
      </c>
      <c r="P1256" s="6">
        <f>VLOOKUP(B1256, 'All Menu'!B:L, 9, 0)</f>
        <v>1.0118494252964787</v>
      </c>
      <c r="Q1256" s="14">
        <f>VLOOKUP(B1256, 'All Menu'!B:M, 12, 0)</f>
        <v>0.75289571929601784</v>
      </c>
      <c r="R1256" s="173">
        <f t="shared" si="73"/>
        <v>0</v>
      </c>
    </row>
    <row r="1257" spans="1:18" ht="14" hidden="1">
      <c r="A1257" s="78" t="s">
        <v>2638</v>
      </c>
      <c r="B1257" s="220" t="s">
        <v>1157</v>
      </c>
      <c r="C1257" s="185"/>
      <c r="D1257" s="103" t="str">
        <f>VLOOKUP(B1257, 'All Menu'!B:M, 4, 0)</f>
        <v>فتة يالنجي سفري</v>
      </c>
      <c r="E1257" s="30" t="str">
        <f>VLOOKUP(B1257, 'All Menu'!B:M, 2, 0)</f>
        <v>قسم الصواني</v>
      </c>
      <c r="F1257" s="103" t="str">
        <f>VLOOKUP(B1257, 'All Menu'!B:M, 3, 0)</f>
        <v>فتات سفري</v>
      </c>
      <c r="G1257" s="90" t="s">
        <v>2244</v>
      </c>
      <c r="H1257" s="188">
        <v>4522</v>
      </c>
      <c r="I1257" s="110" t="str">
        <f>VLOOKUP(H1257, 'RM &amp; SF'!B:H, 2, 0)</f>
        <v>رمان*****</v>
      </c>
      <c r="J1257" s="184" t="str">
        <f>VLOOKUP(H1257, 'RM &amp; SF'!B:E, 4, 0)</f>
        <v>غم</v>
      </c>
      <c r="K1257" s="12">
        <v>25</v>
      </c>
      <c r="L1257" s="13">
        <f>VLOOKUP(H1257, 'RM &amp; SF'!B:H, 7, 0)</f>
        <v>1.75E-3</v>
      </c>
      <c r="M1257" s="7">
        <f t="shared" si="74"/>
        <v>4.3750000000000004E-2</v>
      </c>
      <c r="N1257" s="4" t="s">
        <v>825</v>
      </c>
      <c r="O1257" s="4">
        <f>VLOOKUP(B1257, 'All Menu'!B:L, 6, 0)</f>
        <v>4.0948275862068968</v>
      </c>
      <c r="P1257" s="6">
        <f>VLOOKUP(B1257, 'All Menu'!B:L, 9, 0)</f>
        <v>1.0118494252964787</v>
      </c>
      <c r="Q1257" s="14">
        <f>VLOOKUP(B1257, 'All Menu'!B:M, 12, 0)</f>
        <v>0.75289571929601784</v>
      </c>
      <c r="R1257" s="173">
        <f t="shared" si="73"/>
        <v>0</v>
      </c>
    </row>
    <row r="1258" spans="1:18" ht="14" hidden="1">
      <c r="A1258" s="78" t="s">
        <v>2638</v>
      </c>
      <c r="B1258" s="220" t="s">
        <v>1157</v>
      </c>
      <c r="C1258" s="185"/>
      <c r="D1258" s="103" t="str">
        <f>VLOOKUP(B1258, 'All Menu'!B:M, 4, 0)</f>
        <v>فتة يالنجي سفري</v>
      </c>
      <c r="E1258" s="30" t="str">
        <f>VLOOKUP(B1258, 'All Menu'!B:M, 2, 0)</f>
        <v>قسم الصواني</v>
      </c>
      <c r="F1258" s="103" t="str">
        <f>VLOOKUP(B1258, 'All Menu'!B:M, 3, 0)</f>
        <v>فتات سفري</v>
      </c>
      <c r="G1258" s="90" t="s">
        <v>3058</v>
      </c>
      <c r="H1258" s="188">
        <v>4290</v>
      </c>
      <c r="I1258" s="110" t="str">
        <f>VLOOKUP(H1258, 'RM &amp; SF'!B:H, 2, 0)</f>
        <v>علب قصدير مدور اوقية 250 غم RZ 18*****</v>
      </c>
      <c r="J1258" s="184" t="str">
        <f>VLOOKUP(H1258, 'RM &amp; SF'!B:E, 4, 0)</f>
        <v>قطعة</v>
      </c>
      <c r="K1258" s="12">
        <v>1</v>
      </c>
      <c r="L1258" s="13">
        <f>VLOOKUP(H1258, 'RM &amp; SF'!B:H, 7, 0)</f>
        <v>6.0344827586206906E-2</v>
      </c>
      <c r="M1258" s="7">
        <f t="shared" si="74"/>
        <v>6.0344827586206906E-2</v>
      </c>
      <c r="N1258" s="4" t="s">
        <v>825</v>
      </c>
      <c r="O1258" s="4">
        <f>VLOOKUP(B1258, 'All Menu'!B:L, 6, 0)</f>
        <v>4.0948275862068968</v>
      </c>
      <c r="P1258" s="6">
        <f>VLOOKUP(B1258, 'All Menu'!B:L, 9, 0)</f>
        <v>1.0118494252964787</v>
      </c>
      <c r="Q1258" s="14">
        <f>VLOOKUP(B1258, 'All Menu'!B:M, 12, 0)</f>
        <v>0.75289571929601784</v>
      </c>
      <c r="R1258" s="173">
        <f t="shared" si="73"/>
        <v>0</v>
      </c>
    </row>
    <row r="1259" spans="1:18" ht="14" hidden="1">
      <c r="A1259" s="78" t="s">
        <v>2638</v>
      </c>
      <c r="B1259" s="220" t="s">
        <v>1157</v>
      </c>
      <c r="C1259" s="185"/>
      <c r="D1259" s="103" t="str">
        <f>VLOOKUP(B1259, 'All Menu'!B:M, 4, 0)</f>
        <v>فتة يالنجي سفري</v>
      </c>
      <c r="E1259" s="30" t="str">
        <f>VLOOKUP(B1259, 'All Menu'!B:M, 2, 0)</f>
        <v>قسم الصواني</v>
      </c>
      <c r="F1259" s="103" t="str">
        <f>VLOOKUP(B1259, 'All Menu'!B:M, 3, 0)</f>
        <v>فتات سفري</v>
      </c>
      <c r="G1259" s="90" t="s">
        <v>3058</v>
      </c>
      <c r="H1259" s="188">
        <v>4274</v>
      </c>
      <c r="I1259" s="110" t="str">
        <f>VLOOKUP(H1259, 'RM &amp; SF'!B:H, 2, 0)</f>
        <v>علب المركزية مطبوع + قاطع رقم 1 1*100 حبة*****</v>
      </c>
      <c r="J1259" s="184" t="str">
        <f>VLOOKUP(H1259, 'RM &amp; SF'!B:E, 4, 0)</f>
        <v>قطعة</v>
      </c>
      <c r="K1259" s="12">
        <v>1</v>
      </c>
      <c r="L1259" s="13">
        <f>VLOOKUP(H1259, 'RM &amp; SF'!B:H, 7, 0)</f>
        <v>0.25</v>
      </c>
      <c r="M1259" s="7">
        <f t="shared" si="74"/>
        <v>0.25</v>
      </c>
      <c r="N1259" s="4" t="s">
        <v>825</v>
      </c>
      <c r="O1259" s="4">
        <f>VLOOKUP(B1259, 'All Menu'!B:L, 6, 0)</f>
        <v>4.0948275862068968</v>
      </c>
      <c r="P1259" s="6">
        <f>VLOOKUP(B1259, 'All Menu'!B:L, 9, 0)</f>
        <v>1.0118494252964787</v>
      </c>
      <c r="Q1259" s="14">
        <f>VLOOKUP(B1259, 'All Menu'!B:M, 12, 0)</f>
        <v>0.75289571929601784</v>
      </c>
      <c r="R1259" s="173">
        <f t="shared" ref="R1259:R1322" si="75">C1259*K1259</f>
        <v>0</v>
      </c>
    </row>
    <row r="1260" spans="1:18" ht="14" hidden="1">
      <c r="A1260" s="78" t="s">
        <v>2639</v>
      </c>
      <c r="B1260" s="220" t="s">
        <v>1177</v>
      </c>
      <c r="C1260" s="185"/>
      <c r="D1260" s="103" t="str">
        <f>VLOOKUP(B1260, 'All Menu'!B:M, 4, 0)</f>
        <v>فتة كباب</v>
      </c>
      <c r="E1260" s="30" t="str">
        <f>VLOOKUP(B1260, 'All Menu'!B:M, 2, 0)</f>
        <v>قسم الصواني</v>
      </c>
      <c r="F1260" s="103" t="str">
        <f>VLOOKUP(B1260, 'All Menu'!B:M, 3, 0)</f>
        <v>فتات سفري</v>
      </c>
      <c r="G1260" s="90" t="s">
        <v>2453</v>
      </c>
      <c r="H1260" s="219" t="s">
        <v>536</v>
      </c>
      <c r="I1260" s="110" t="str">
        <f>VLOOKUP(H1260, 'RM &amp; SF'!B:H, 2, 0)</f>
        <v>كباب</v>
      </c>
      <c r="J1260" s="184" t="str">
        <f>VLOOKUP(H1260, 'RM &amp; SF'!B:E, 4, 0)</f>
        <v>غم</v>
      </c>
      <c r="K1260" s="12">
        <v>160</v>
      </c>
      <c r="L1260" s="13">
        <f>VLOOKUP(H1260, 'RM &amp; SF'!B:H, 7, 0)</f>
        <v>1.1636090242685134E-2</v>
      </c>
      <c r="M1260" s="7">
        <f t="shared" si="74"/>
        <v>1.8617744388296216</v>
      </c>
      <c r="N1260" s="4" t="s">
        <v>825</v>
      </c>
      <c r="O1260" s="4">
        <f>VLOOKUP(B1260, 'All Menu'!B:L, 6, 0)</f>
        <v>3.0172413793103452</v>
      </c>
      <c r="P1260" s="6">
        <f>VLOOKUP(B1260, 'All Menu'!B:L, 9, 0)</f>
        <v>2.4346055430311861</v>
      </c>
      <c r="Q1260" s="14">
        <f>VLOOKUP(B1260, 'All Menu'!B:M, 12, 0)</f>
        <v>0.19310216288109269</v>
      </c>
      <c r="R1260" s="173">
        <f t="shared" si="75"/>
        <v>0</v>
      </c>
    </row>
    <row r="1261" spans="1:18" ht="14" hidden="1">
      <c r="A1261" s="78" t="s">
        <v>2639</v>
      </c>
      <c r="B1261" s="220" t="s">
        <v>1177</v>
      </c>
      <c r="C1261" s="185"/>
      <c r="D1261" s="103" t="str">
        <f>VLOOKUP(B1261, 'All Menu'!B:M, 4, 0)</f>
        <v>فتة كباب</v>
      </c>
      <c r="E1261" s="30" t="str">
        <f>VLOOKUP(B1261, 'All Menu'!B:M, 2, 0)</f>
        <v>قسم الصواني</v>
      </c>
      <c r="F1261" s="103" t="str">
        <f>VLOOKUP(B1261, 'All Menu'!B:M, 3, 0)</f>
        <v>فتات سفري</v>
      </c>
      <c r="G1261" s="90" t="s">
        <v>2396</v>
      </c>
      <c r="H1261" s="219" t="s">
        <v>582</v>
      </c>
      <c r="I1261" s="110" t="str">
        <f>VLOOKUP(H1261, 'RM &amp; SF'!B:H, 2, 0)</f>
        <v>بيواز</v>
      </c>
      <c r="J1261" s="184" t="str">
        <f>VLOOKUP(H1261, 'RM &amp; SF'!B:E, 4, 0)</f>
        <v>غم</v>
      </c>
      <c r="K1261" s="12">
        <v>85</v>
      </c>
      <c r="L1261" s="13">
        <f>VLOOKUP(H1261, 'RM &amp; SF'!B:H, 7, 0)</f>
        <v>2.0666065869244635E-4</v>
      </c>
      <c r="M1261" s="7">
        <f t="shared" si="74"/>
        <v>1.756615598885794E-2</v>
      </c>
      <c r="N1261" s="4" t="s">
        <v>825</v>
      </c>
      <c r="O1261" s="4">
        <f>VLOOKUP(B1261, 'All Menu'!B:L, 6, 0)</f>
        <v>3.0172413793103452</v>
      </c>
      <c r="P1261" s="6">
        <f>VLOOKUP(B1261, 'All Menu'!B:L, 9, 0)</f>
        <v>2.4346055430311861</v>
      </c>
      <c r="Q1261" s="14">
        <f>VLOOKUP(B1261, 'All Menu'!B:M, 12, 0)</f>
        <v>0.19310216288109269</v>
      </c>
      <c r="R1261" s="173">
        <f t="shared" si="75"/>
        <v>0</v>
      </c>
    </row>
    <row r="1262" spans="1:18" ht="14" hidden="1">
      <c r="A1262" s="78" t="s">
        <v>2639</v>
      </c>
      <c r="B1262" s="220" t="s">
        <v>1177</v>
      </c>
      <c r="C1262" s="185"/>
      <c r="D1262" s="103" t="str">
        <f>VLOOKUP(B1262, 'All Menu'!B:M, 4, 0)</f>
        <v>فتة كباب</v>
      </c>
      <c r="E1262" s="30" t="str">
        <f>VLOOKUP(B1262, 'All Menu'!B:M, 2, 0)</f>
        <v>قسم الصواني</v>
      </c>
      <c r="F1262" s="103" t="str">
        <f>VLOOKUP(B1262, 'All Menu'!B:M, 3, 0)</f>
        <v>فتات سفري</v>
      </c>
      <c r="G1262" s="90" t="s">
        <v>2397</v>
      </c>
      <c r="H1262" s="219" t="s">
        <v>580</v>
      </c>
      <c r="I1262" s="110" t="str">
        <f>VLOOKUP(H1262, 'RM &amp; SF'!B:H, 2, 0)</f>
        <v>طحينة مشاوي</v>
      </c>
      <c r="J1262" s="184" t="str">
        <f>VLOOKUP(H1262, 'RM &amp; SF'!B:E, 4, 0)</f>
        <v>غم</v>
      </c>
      <c r="K1262" s="12">
        <v>300</v>
      </c>
      <c r="L1262" s="13">
        <f>VLOOKUP(H1262, 'RM &amp; SF'!B:H, 7, 0)</f>
        <v>1.0841676434676436E-3</v>
      </c>
      <c r="M1262" s="7">
        <f t="shared" si="74"/>
        <v>0.32525029304029307</v>
      </c>
      <c r="N1262" s="4" t="s">
        <v>825</v>
      </c>
      <c r="O1262" s="4">
        <f>VLOOKUP(B1262, 'All Menu'!B:L, 6, 0)</f>
        <v>3.0172413793103452</v>
      </c>
      <c r="P1262" s="6">
        <f>VLOOKUP(B1262, 'All Menu'!B:L, 9, 0)</f>
        <v>2.4346055430311861</v>
      </c>
      <c r="Q1262" s="14">
        <f>VLOOKUP(B1262, 'All Menu'!B:M, 12, 0)</f>
        <v>0.19310216288109269</v>
      </c>
      <c r="R1262" s="173">
        <f t="shared" si="75"/>
        <v>0</v>
      </c>
    </row>
    <row r="1263" spans="1:18" ht="14" hidden="1">
      <c r="A1263" s="78" t="s">
        <v>2639</v>
      </c>
      <c r="B1263" s="220" t="s">
        <v>1177</v>
      </c>
      <c r="C1263" s="185"/>
      <c r="D1263" s="103" t="str">
        <f>VLOOKUP(B1263, 'All Menu'!B:M, 4, 0)</f>
        <v>فتة كباب</v>
      </c>
      <c r="E1263" s="30" t="str">
        <f>VLOOKUP(B1263, 'All Menu'!B:M, 2, 0)</f>
        <v>قسم الصواني</v>
      </c>
      <c r="F1263" s="103" t="str">
        <f>VLOOKUP(B1263, 'All Menu'!B:M, 3, 0)</f>
        <v>فتات سفري</v>
      </c>
      <c r="G1263" s="90" t="s">
        <v>2215</v>
      </c>
      <c r="H1263" s="188">
        <v>4224</v>
      </c>
      <c r="I1263" s="110" t="str">
        <f>VLOOKUP(H1263, 'RM &amp; SF'!B:H, 2, 0)</f>
        <v>سماق*****</v>
      </c>
      <c r="J1263" s="184" t="str">
        <f>VLOOKUP(H1263, 'RM &amp; SF'!B:E, 4, 0)</f>
        <v>غم</v>
      </c>
      <c r="K1263" s="12">
        <v>1</v>
      </c>
      <c r="L1263" s="13">
        <f>VLOOKUP(H1263, 'RM &amp; SF'!B:H, 7, 0)</f>
        <v>4.3099999999999996E-3</v>
      </c>
      <c r="M1263" s="7">
        <f t="shared" si="74"/>
        <v>4.3099999999999996E-3</v>
      </c>
      <c r="N1263" s="4" t="s">
        <v>825</v>
      </c>
      <c r="O1263" s="4">
        <f>VLOOKUP(B1263, 'All Menu'!B:L, 6, 0)</f>
        <v>3.0172413793103452</v>
      </c>
      <c r="P1263" s="6">
        <f>VLOOKUP(B1263, 'All Menu'!B:L, 9, 0)</f>
        <v>2.4346055430311861</v>
      </c>
      <c r="Q1263" s="14">
        <f>VLOOKUP(B1263, 'All Menu'!B:M, 12, 0)</f>
        <v>0.19310216288109269</v>
      </c>
      <c r="R1263" s="173">
        <f t="shared" si="75"/>
        <v>0</v>
      </c>
    </row>
    <row r="1264" spans="1:18" ht="14" hidden="1">
      <c r="A1264" s="78" t="s">
        <v>2639</v>
      </c>
      <c r="B1264" s="220" t="s">
        <v>1177</v>
      </c>
      <c r="C1264" s="185"/>
      <c r="D1264" s="103" t="str">
        <f>VLOOKUP(B1264, 'All Menu'!B:M, 4, 0)</f>
        <v>فتة كباب</v>
      </c>
      <c r="E1264" s="30" t="str">
        <f>VLOOKUP(B1264, 'All Menu'!B:M, 2, 0)</f>
        <v>قسم الصواني</v>
      </c>
      <c r="F1264" s="103" t="str">
        <f>VLOOKUP(B1264, 'All Menu'!B:M, 3, 0)</f>
        <v>فتات سفري</v>
      </c>
      <c r="G1264" s="90" t="s">
        <v>3058</v>
      </c>
      <c r="H1264" s="188">
        <v>5252</v>
      </c>
      <c r="I1264" s="110" t="str">
        <f>VLOOKUP(H1264, 'RM &amp; SF'!B:H, 2, 0)</f>
        <v>*****علب مقسم ثلاثي اسزد</v>
      </c>
      <c r="J1264" s="184" t="str">
        <f>VLOOKUP(H1264, 'RM &amp; SF'!B:E, 4, 0)</f>
        <v>قطعة</v>
      </c>
      <c r="K1264" s="12">
        <v>1</v>
      </c>
      <c r="L1264" s="13">
        <f>VLOOKUP(H1264, 'RM &amp; SF'!B:H, 7, 0)</f>
        <v>0.14299999999999999</v>
      </c>
      <c r="M1264" s="7">
        <f t="shared" si="74"/>
        <v>0.14299999999999999</v>
      </c>
      <c r="N1264" s="4" t="s">
        <v>825</v>
      </c>
      <c r="O1264" s="4">
        <f>VLOOKUP(B1264, 'All Menu'!B:L, 6, 0)</f>
        <v>3.0172413793103452</v>
      </c>
      <c r="P1264" s="6">
        <f>VLOOKUP(B1264, 'All Menu'!B:L, 9, 0)</f>
        <v>2.4346055430311861</v>
      </c>
      <c r="Q1264" s="14">
        <f>VLOOKUP(B1264, 'All Menu'!B:M, 12, 0)</f>
        <v>0.19310216288109269</v>
      </c>
      <c r="R1264" s="173">
        <f t="shared" si="75"/>
        <v>0</v>
      </c>
    </row>
    <row r="1265" spans="1:18" ht="14" hidden="1">
      <c r="A1265" s="78" t="s">
        <v>2639</v>
      </c>
      <c r="B1265" s="220" t="s">
        <v>1177</v>
      </c>
      <c r="C1265" s="185"/>
      <c r="D1265" s="103" t="str">
        <f>VLOOKUP(B1265, 'All Menu'!B:M, 4, 0)</f>
        <v>فتة كباب</v>
      </c>
      <c r="E1265" s="30" t="str">
        <f>VLOOKUP(B1265, 'All Menu'!B:M, 2, 0)</f>
        <v>قسم الصواني</v>
      </c>
      <c r="F1265" s="103" t="str">
        <f>VLOOKUP(B1265, 'All Menu'!B:M, 3, 0)</f>
        <v>فتات سفري</v>
      </c>
      <c r="G1265" s="90" t="s">
        <v>2341</v>
      </c>
      <c r="H1265" s="219" t="s">
        <v>706</v>
      </c>
      <c r="I1265" s="110" t="str">
        <f>VLOOKUP(H1265, 'RM &amp; SF'!B:H, 2, 0)</f>
        <v>لوز مقلي</v>
      </c>
      <c r="J1265" s="184" t="str">
        <f>VLOOKUP(H1265, 'RM &amp; SF'!B:E, 4, 0)</f>
        <v>غم</v>
      </c>
      <c r="K1265" s="12">
        <v>20</v>
      </c>
      <c r="L1265" s="13">
        <f>VLOOKUP(H1265, 'RM &amp; SF'!B:H, 7, 0)</f>
        <v>4.1352327586206888E-3</v>
      </c>
      <c r="M1265" s="7">
        <f t="shared" si="74"/>
        <v>8.270465517241378E-2</v>
      </c>
      <c r="N1265" s="4" t="s">
        <v>825</v>
      </c>
      <c r="O1265" s="4">
        <f>VLOOKUP(B1265, 'All Menu'!B:L, 6, 0)</f>
        <v>3.0172413793103452</v>
      </c>
      <c r="P1265" s="6">
        <f>VLOOKUP(B1265, 'All Menu'!B:L, 9, 0)</f>
        <v>2.4346055430311861</v>
      </c>
      <c r="Q1265" s="14">
        <f>VLOOKUP(B1265, 'All Menu'!B:M, 12, 0)</f>
        <v>0.19310216288109269</v>
      </c>
      <c r="R1265" s="173">
        <f t="shared" si="75"/>
        <v>0</v>
      </c>
    </row>
    <row r="1266" spans="1:18" ht="14" hidden="1">
      <c r="A1266" s="78" t="s">
        <v>2667</v>
      </c>
      <c r="B1266" s="220" t="s">
        <v>1301</v>
      </c>
      <c r="C1266" s="185"/>
      <c r="D1266" s="198" t="str">
        <f>VLOOKUP(B1266, 'All Menu'!B:M, 4, 0)</f>
        <v>صينية طحالات كيلو</v>
      </c>
      <c r="E1266" s="30" t="str">
        <f>VLOOKUP(B1266, 'All Menu'!B:M, 2, 0)</f>
        <v>قسم الصواني</v>
      </c>
      <c r="F1266" s="103" t="str">
        <f>VLOOKUP(B1266, 'All Menu'!B:M, 3, 0)</f>
        <v>صواني وصجيات سفري</v>
      </c>
      <c r="G1266" s="90" t="s">
        <v>3058</v>
      </c>
      <c r="H1266" s="227">
        <v>5432</v>
      </c>
      <c r="I1266" s="110" t="str">
        <f>VLOOKUP(H1266, 'RM &amp; SF'!B:H, 2, 0)</f>
        <v>سقط بلدي</v>
      </c>
      <c r="J1266" s="184" t="str">
        <f>VLOOKUP(H1266, 'RM &amp; SF'!B:E, 4, 0)</f>
        <v>غم</v>
      </c>
      <c r="K1266" s="22">
        <v>1000</v>
      </c>
      <c r="L1266" s="13">
        <f>VLOOKUP(H1266, 'RM &amp; SF'!B:H, 7, 0)</f>
        <v>5.8240000000000002E-3</v>
      </c>
      <c r="M1266" s="15">
        <f t="shared" si="74"/>
        <v>5.8239999999999998</v>
      </c>
      <c r="N1266" s="21" t="s">
        <v>825</v>
      </c>
      <c r="O1266" s="4">
        <f>VLOOKUP(B1266, 'All Menu'!B:L, 6, 0)</f>
        <v>12.068965517241381</v>
      </c>
      <c r="P1266" s="6">
        <f>VLOOKUP(B1266, 'All Menu'!B:L, 9, 0)</f>
        <v>7.1477666666666666</v>
      </c>
      <c r="Q1266" s="14">
        <f>VLOOKUP(B1266, 'All Menu'!B:M, 12, 0)</f>
        <v>0.40775647619047628</v>
      </c>
      <c r="R1266" s="173">
        <f t="shared" si="75"/>
        <v>0</v>
      </c>
    </row>
    <row r="1267" spans="1:18" ht="14" hidden="1">
      <c r="A1267" s="78" t="s">
        <v>2667</v>
      </c>
      <c r="B1267" s="220" t="s">
        <v>1301</v>
      </c>
      <c r="C1267" s="185"/>
      <c r="D1267" s="198" t="str">
        <f>VLOOKUP(B1267, 'All Menu'!B:M, 4, 0)</f>
        <v>صينية طحالات كيلو</v>
      </c>
      <c r="E1267" s="30" t="str">
        <f>VLOOKUP(B1267, 'All Menu'!B:M, 2, 0)</f>
        <v>قسم الصواني</v>
      </c>
      <c r="F1267" s="103" t="str">
        <f>VLOOKUP(B1267, 'All Menu'!B:M, 3, 0)</f>
        <v>صواني وصجيات سفري</v>
      </c>
      <c r="G1267" s="90" t="s">
        <v>2209</v>
      </c>
      <c r="H1267" s="227">
        <v>4546</v>
      </c>
      <c r="I1267" s="110" t="str">
        <f>VLOOKUP(H1267, 'RM &amp; SF'!B:H, 2, 0)</f>
        <v>كزبرة*****</v>
      </c>
      <c r="J1267" s="184" t="str">
        <f>VLOOKUP(H1267, 'RM &amp; SF'!B:E, 4, 0)</f>
        <v>قطعة</v>
      </c>
      <c r="K1267" s="22">
        <v>1</v>
      </c>
      <c r="L1267" s="13">
        <f>VLOOKUP(H1267, 'RM &amp; SF'!B:H, 7, 0)</f>
        <v>1E-3</v>
      </c>
      <c r="M1267" s="15">
        <f t="shared" si="74"/>
        <v>1E-3</v>
      </c>
      <c r="N1267" s="21" t="s">
        <v>825</v>
      </c>
      <c r="O1267" s="4">
        <f>VLOOKUP(B1267, 'All Menu'!B:L, 6, 0)</f>
        <v>12.068965517241381</v>
      </c>
      <c r="P1267" s="6">
        <f>VLOOKUP(B1267, 'All Menu'!B:L, 9, 0)</f>
        <v>7.1477666666666666</v>
      </c>
      <c r="Q1267" s="14">
        <f>VLOOKUP(B1267, 'All Menu'!B:M, 12, 0)</f>
        <v>0.40775647619047628</v>
      </c>
      <c r="R1267" s="173">
        <f t="shared" si="75"/>
        <v>0</v>
      </c>
    </row>
    <row r="1268" spans="1:18" ht="14" hidden="1">
      <c r="A1268" s="78" t="s">
        <v>2667</v>
      </c>
      <c r="B1268" s="220" t="s">
        <v>1301</v>
      </c>
      <c r="C1268" s="185"/>
      <c r="D1268" s="198" t="str">
        <f>VLOOKUP(B1268, 'All Menu'!B:M, 4, 0)</f>
        <v>صينية طحالات كيلو</v>
      </c>
      <c r="E1268" s="30" t="str">
        <f>VLOOKUP(B1268, 'All Menu'!B:M, 2, 0)</f>
        <v>قسم الصواني</v>
      </c>
      <c r="F1268" s="103" t="str">
        <f>VLOOKUP(B1268, 'All Menu'!B:M, 3, 0)</f>
        <v>صواني وصجيات سفري</v>
      </c>
      <c r="G1268" s="90" t="s">
        <v>3058</v>
      </c>
      <c r="H1268" s="227">
        <v>4598</v>
      </c>
      <c r="I1268" s="110" t="str">
        <f>VLOOKUP(H1268, 'RM &amp; SF'!B:H, 2, 0)</f>
        <v>لية خروف نية*****</v>
      </c>
      <c r="J1268" s="184" t="str">
        <f>VLOOKUP(H1268, 'RM &amp; SF'!B:E, 4, 0)</f>
        <v>غم</v>
      </c>
      <c r="K1268" s="22">
        <v>100</v>
      </c>
      <c r="L1268" s="13">
        <f>VLOOKUP(H1268, 'RM &amp; SF'!B:H, 7, 0)</f>
        <v>5.0000000000000001E-3</v>
      </c>
      <c r="M1268" s="15">
        <f t="shared" si="74"/>
        <v>0.5</v>
      </c>
      <c r="N1268" s="21" t="s">
        <v>825</v>
      </c>
      <c r="O1268" s="4">
        <f>VLOOKUP(B1268, 'All Menu'!B:L, 6, 0)</f>
        <v>12.068965517241381</v>
      </c>
      <c r="P1268" s="6">
        <f>VLOOKUP(B1268, 'All Menu'!B:L, 9, 0)</f>
        <v>7.1477666666666666</v>
      </c>
      <c r="Q1268" s="14">
        <f>VLOOKUP(B1268, 'All Menu'!B:M, 12, 0)</f>
        <v>0.40775647619047628</v>
      </c>
      <c r="R1268" s="173">
        <f t="shared" si="75"/>
        <v>0</v>
      </c>
    </row>
    <row r="1269" spans="1:18" ht="14" hidden="1">
      <c r="A1269" s="78" t="s">
        <v>2667</v>
      </c>
      <c r="B1269" s="220" t="s">
        <v>1301</v>
      </c>
      <c r="C1269" s="185"/>
      <c r="D1269" s="198" t="str">
        <f>VLOOKUP(B1269, 'All Menu'!B:M, 4, 0)</f>
        <v>صينية طحالات كيلو</v>
      </c>
      <c r="E1269" s="30" t="str">
        <f>VLOOKUP(B1269, 'All Menu'!B:M, 2, 0)</f>
        <v>قسم الصواني</v>
      </c>
      <c r="F1269" s="103" t="str">
        <f>VLOOKUP(B1269, 'All Menu'!B:M, 3, 0)</f>
        <v>صواني وصجيات سفري</v>
      </c>
      <c r="G1269" s="90" t="s">
        <v>2260</v>
      </c>
      <c r="H1269" s="227">
        <v>4160</v>
      </c>
      <c r="I1269" s="110" t="str">
        <f>VLOOKUP(H1269, 'RM &amp; SF'!B:H, 2, 0)</f>
        <v>زيت صويا 18 لتر*****</v>
      </c>
      <c r="J1269" s="184" t="str">
        <f>VLOOKUP(H1269, 'RM &amp; SF'!B:E, 4, 0)</f>
        <v>مل</v>
      </c>
      <c r="K1269" s="22">
        <v>200</v>
      </c>
      <c r="L1269" s="13">
        <f>VLOOKUP(H1269, 'RM &amp; SF'!B:H, 7, 0)</f>
        <v>1.335E-3</v>
      </c>
      <c r="M1269" s="15">
        <f t="shared" si="74"/>
        <v>0.26700000000000002</v>
      </c>
      <c r="N1269" s="21" t="s">
        <v>825</v>
      </c>
      <c r="O1269" s="4">
        <f>VLOOKUP(B1269, 'All Menu'!B:L, 6, 0)</f>
        <v>12.068965517241381</v>
      </c>
      <c r="P1269" s="6">
        <f>VLOOKUP(B1269, 'All Menu'!B:L, 9, 0)</f>
        <v>7.1477666666666666</v>
      </c>
      <c r="Q1269" s="14">
        <f>VLOOKUP(B1269, 'All Menu'!B:M, 12, 0)</f>
        <v>0.40775647619047628</v>
      </c>
      <c r="R1269" s="173">
        <f t="shared" si="75"/>
        <v>0</v>
      </c>
    </row>
    <row r="1270" spans="1:18" ht="14" hidden="1">
      <c r="A1270" s="78" t="s">
        <v>2667</v>
      </c>
      <c r="B1270" s="220" t="s">
        <v>1301</v>
      </c>
      <c r="C1270" s="185"/>
      <c r="D1270" s="198" t="str">
        <f>VLOOKUP(B1270, 'All Menu'!B:M, 4, 0)</f>
        <v>صينية طحالات كيلو</v>
      </c>
      <c r="E1270" s="30" t="str">
        <f>VLOOKUP(B1270, 'All Menu'!B:M, 2, 0)</f>
        <v>قسم الصواني</v>
      </c>
      <c r="F1270" s="103" t="str">
        <f>VLOOKUP(B1270, 'All Menu'!B:M, 3, 0)</f>
        <v>صواني وصجيات سفري</v>
      </c>
      <c r="G1270" s="90" t="s">
        <v>2309</v>
      </c>
      <c r="H1270" s="227">
        <v>4491</v>
      </c>
      <c r="I1270" s="110" t="str">
        <f>VLOOKUP(H1270, 'RM &amp; SF'!B:H, 2, 0)</f>
        <v>بندورة جامدة*****</v>
      </c>
      <c r="J1270" s="184" t="str">
        <f>VLOOKUP(H1270, 'RM &amp; SF'!B:E, 4, 0)</f>
        <v>غم</v>
      </c>
      <c r="K1270" s="25">
        <v>100</v>
      </c>
      <c r="L1270" s="13">
        <f>VLOOKUP(H1270, 'RM &amp; SF'!B:H, 7, 0)</f>
        <v>5.0000000000000001E-4</v>
      </c>
      <c r="M1270" s="15">
        <f t="shared" si="74"/>
        <v>0.05</v>
      </c>
      <c r="N1270" s="21" t="s">
        <v>825</v>
      </c>
      <c r="O1270" s="4">
        <f>VLOOKUP(B1270, 'All Menu'!B:L, 6, 0)</f>
        <v>12.068965517241381</v>
      </c>
      <c r="P1270" s="6">
        <f>VLOOKUP(B1270, 'All Menu'!B:L, 9, 0)</f>
        <v>7.1477666666666666</v>
      </c>
      <c r="Q1270" s="14">
        <f>VLOOKUP(B1270, 'All Menu'!B:M, 12, 0)</f>
        <v>0.40775647619047628</v>
      </c>
      <c r="R1270" s="173">
        <f t="shared" si="75"/>
        <v>0</v>
      </c>
    </row>
    <row r="1271" spans="1:18" ht="14" hidden="1">
      <c r="A1271" s="78" t="s">
        <v>2667</v>
      </c>
      <c r="B1271" s="220" t="s">
        <v>1301</v>
      </c>
      <c r="C1271" s="185"/>
      <c r="D1271" s="198" t="str">
        <f>VLOOKUP(B1271, 'All Menu'!B:M, 4, 0)</f>
        <v>صينية طحالات كيلو</v>
      </c>
      <c r="E1271" s="30" t="str">
        <f>VLOOKUP(B1271, 'All Menu'!B:M, 2, 0)</f>
        <v>قسم الصواني</v>
      </c>
      <c r="F1271" s="103" t="str">
        <f>VLOOKUP(B1271, 'All Menu'!B:M, 3, 0)</f>
        <v>صواني وصجيات سفري</v>
      </c>
      <c r="G1271" s="90" t="s">
        <v>2203</v>
      </c>
      <c r="H1271" s="227">
        <v>4152</v>
      </c>
      <c r="I1271" s="110" t="str">
        <f>VLOOKUP(H1271, 'RM &amp; SF'!B:H, 2, 0)</f>
        <v>ملح طعام 750غم*****</v>
      </c>
      <c r="J1271" s="184" t="str">
        <f>VLOOKUP(H1271, 'RM &amp; SF'!B:E, 4, 0)</f>
        <v>غم</v>
      </c>
      <c r="K1271" s="25">
        <v>10</v>
      </c>
      <c r="L1271" s="13">
        <f>VLOOKUP(H1271, 'RM &amp; SF'!B:H, 7, 0)</f>
        <v>1.7066666666666665E-4</v>
      </c>
      <c r="M1271" s="15">
        <f t="shared" si="74"/>
        <v>1.7066666666666664E-3</v>
      </c>
      <c r="N1271" s="21" t="s">
        <v>825</v>
      </c>
      <c r="O1271" s="4">
        <f>VLOOKUP(B1271, 'All Menu'!B:L, 6, 0)</f>
        <v>12.068965517241381</v>
      </c>
      <c r="P1271" s="6">
        <f>VLOOKUP(B1271, 'All Menu'!B:L, 9, 0)</f>
        <v>7.1477666666666666</v>
      </c>
      <c r="Q1271" s="14">
        <f>VLOOKUP(B1271, 'All Menu'!B:M, 12, 0)</f>
        <v>0.40775647619047628</v>
      </c>
      <c r="R1271" s="173">
        <f t="shared" si="75"/>
        <v>0</v>
      </c>
    </row>
    <row r="1272" spans="1:18" ht="14" hidden="1">
      <c r="A1272" s="78" t="s">
        <v>2667</v>
      </c>
      <c r="B1272" s="220" t="s">
        <v>1301</v>
      </c>
      <c r="C1272" s="185"/>
      <c r="D1272" s="198" t="str">
        <f>VLOOKUP(B1272, 'All Menu'!B:M, 4, 0)</f>
        <v>صينية طحالات كيلو</v>
      </c>
      <c r="E1272" s="30" t="str">
        <f>VLOOKUP(B1272, 'All Menu'!B:M, 2, 0)</f>
        <v>قسم الصواني</v>
      </c>
      <c r="F1272" s="103" t="str">
        <f>VLOOKUP(B1272, 'All Menu'!B:M, 3, 0)</f>
        <v>صواني وصجيات سفري</v>
      </c>
      <c r="G1272" s="90" t="s">
        <v>2206</v>
      </c>
      <c r="H1272" s="227">
        <v>4204</v>
      </c>
      <c r="I1272" s="110" t="str">
        <f>VLOOKUP(H1272, 'RM &amp; SF'!B:H, 2, 0)</f>
        <v>فلفل اسود ناعم*****</v>
      </c>
      <c r="J1272" s="184" t="str">
        <f>VLOOKUP(H1272, 'RM &amp; SF'!B:E, 4, 0)</f>
        <v>غم</v>
      </c>
      <c r="K1272" s="25">
        <v>10</v>
      </c>
      <c r="L1272" s="13">
        <f>VLOOKUP(H1272, 'RM &amp; SF'!B:H, 7, 0)</f>
        <v>6.8970000000000004E-3</v>
      </c>
      <c r="M1272" s="15">
        <f t="shared" si="74"/>
        <v>6.8970000000000004E-2</v>
      </c>
      <c r="N1272" s="21" t="s">
        <v>825</v>
      </c>
      <c r="O1272" s="4">
        <f>VLOOKUP(B1272, 'All Menu'!B:L, 6, 0)</f>
        <v>12.068965517241381</v>
      </c>
      <c r="P1272" s="6">
        <f>VLOOKUP(B1272, 'All Menu'!B:L, 9, 0)</f>
        <v>7.1477666666666666</v>
      </c>
      <c r="Q1272" s="14">
        <f>VLOOKUP(B1272, 'All Menu'!B:M, 12, 0)</f>
        <v>0.40775647619047628</v>
      </c>
      <c r="R1272" s="173">
        <f t="shared" si="75"/>
        <v>0</v>
      </c>
    </row>
    <row r="1273" spans="1:18" ht="14" hidden="1">
      <c r="A1273" s="78" t="s">
        <v>2667</v>
      </c>
      <c r="B1273" s="220" t="s">
        <v>1301</v>
      </c>
      <c r="C1273" s="185"/>
      <c r="D1273" s="198" t="str">
        <f>VLOOKUP(B1273, 'All Menu'!B:M, 4, 0)</f>
        <v>صينية طحالات كيلو</v>
      </c>
      <c r="E1273" s="30" t="str">
        <f>VLOOKUP(B1273, 'All Menu'!B:M, 2, 0)</f>
        <v>قسم الصواني</v>
      </c>
      <c r="F1273" s="103" t="str">
        <f>VLOOKUP(B1273, 'All Menu'!B:M, 3, 0)</f>
        <v>صواني وصجيات سفري</v>
      </c>
      <c r="G1273" s="90" t="s">
        <v>2208</v>
      </c>
      <c r="H1273" s="227">
        <v>4211</v>
      </c>
      <c r="I1273" s="110" t="str">
        <f>VLOOKUP(H1273, 'RM &amp; SF'!B:H, 2, 0)</f>
        <v>كزبرة ناعمة*****</v>
      </c>
      <c r="J1273" s="184" t="str">
        <f>VLOOKUP(H1273, 'RM &amp; SF'!B:E, 4, 0)</f>
        <v>غم</v>
      </c>
      <c r="K1273" s="25">
        <v>10</v>
      </c>
      <c r="L1273" s="13">
        <f>VLOOKUP(H1273, 'RM &amp; SF'!B:H, 7, 0)</f>
        <v>1.5089999999999999E-3</v>
      </c>
      <c r="M1273" s="15">
        <f t="shared" si="74"/>
        <v>1.5089999999999999E-2</v>
      </c>
      <c r="N1273" s="21" t="s">
        <v>825</v>
      </c>
      <c r="O1273" s="4">
        <f>VLOOKUP(B1273, 'All Menu'!B:L, 6, 0)</f>
        <v>12.068965517241381</v>
      </c>
      <c r="P1273" s="6">
        <f>VLOOKUP(B1273, 'All Menu'!B:L, 9, 0)</f>
        <v>7.1477666666666666</v>
      </c>
      <c r="Q1273" s="14">
        <f>VLOOKUP(B1273, 'All Menu'!B:M, 12, 0)</f>
        <v>0.40775647619047628</v>
      </c>
      <c r="R1273" s="173">
        <f t="shared" si="75"/>
        <v>0</v>
      </c>
    </row>
    <row r="1274" spans="1:18" ht="14" hidden="1">
      <c r="A1274" s="78" t="s">
        <v>2667</v>
      </c>
      <c r="B1274" s="220" t="s">
        <v>1301</v>
      </c>
      <c r="C1274" s="185"/>
      <c r="D1274" s="198" t="str">
        <f>VLOOKUP(B1274, 'All Menu'!B:M, 4, 0)</f>
        <v>صينية طحالات كيلو</v>
      </c>
      <c r="E1274" s="30" t="str">
        <f>VLOOKUP(B1274, 'All Menu'!B:M, 2, 0)</f>
        <v>قسم الصواني</v>
      </c>
      <c r="F1274" s="103" t="str">
        <f>VLOOKUP(B1274, 'All Menu'!B:M, 3, 0)</f>
        <v>صواني وصجيات سفري</v>
      </c>
      <c r="G1274" s="90" t="s">
        <v>2231</v>
      </c>
      <c r="H1274" s="227">
        <v>4499</v>
      </c>
      <c r="I1274" s="110" t="str">
        <f>VLOOKUP(H1274, 'RM &amp; SF'!B:H, 2, 0)</f>
        <v>فلفل حار اخضر*****</v>
      </c>
      <c r="J1274" s="184" t="str">
        <f>VLOOKUP(H1274, 'RM &amp; SF'!B:E, 4, 0)</f>
        <v>غم</v>
      </c>
      <c r="K1274" s="25">
        <v>50</v>
      </c>
      <c r="L1274" s="13">
        <f>VLOOKUP(H1274, 'RM &amp; SF'!B:H, 7, 0)</f>
        <v>5.0000000000000001E-4</v>
      </c>
      <c r="M1274" s="15">
        <f t="shared" si="74"/>
        <v>2.5000000000000001E-2</v>
      </c>
      <c r="N1274" s="21" t="s">
        <v>825</v>
      </c>
      <c r="O1274" s="4">
        <f>VLOOKUP(B1274, 'All Menu'!B:L, 6, 0)</f>
        <v>12.068965517241381</v>
      </c>
      <c r="P1274" s="6">
        <f>VLOOKUP(B1274, 'All Menu'!B:L, 9, 0)</f>
        <v>7.1477666666666666</v>
      </c>
      <c r="Q1274" s="14">
        <f>VLOOKUP(B1274, 'All Menu'!B:M, 12, 0)</f>
        <v>0.40775647619047628</v>
      </c>
      <c r="R1274" s="173">
        <f t="shared" si="75"/>
        <v>0</v>
      </c>
    </row>
    <row r="1275" spans="1:18" ht="14" hidden="1">
      <c r="A1275" s="78" t="s">
        <v>2667</v>
      </c>
      <c r="B1275" s="220" t="s">
        <v>1301</v>
      </c>
      <c r="C1275" s="185"/>
      <c r="D1275" s="198" t="str">
        <f>VLOOKUP(B1275, 'All Menu'!B:M, 4, 0)</f>
        <v>صينية طحالات كيلو</v>
      </c>
      <c r="E1275" s="30" t="str">
        <f>VLOOKUP(B1275, 'All Menu'!B:M, 2, 0)</f>
        <v>قسم الصواني</v>
      </c>
      <c r="F1275" s="103" t="str">
        <f>VLOOKUP(B1275, 'All Menu'!B:M, 3, 0)</f>
        <v>صواني وصجيات سفري</v>
      </c>
      <c r="G1275" s="90" t="s">
        <v>3058</v>
      </c>
      <c r="H1275" s="227">
        <v>5331</v>
      </c>
      <c r="I1275" s="110" t="str">
        <f>VLOOKUP(H1275, 'RM &amp; SF'!B:H, 2, 0)</f>
        <v>علب قصدير مدور 1 كغ RZ</v>
      </c>
      <c r="J1275" s="184" t="str">
        <f>VLOOKUP(H1275, 'RM &amp; SF'!B:E, 4, 0)</f>
        <v>قطعة</v>
      </c>
      <c r="K1275" s="25">
        <v>1</v>
      </c>
      <c r="L1275" s="13">
        <f>VLOOKUP(H1275, 'RM &amp; SF'!B:H, 7, 0)</f>
        <v>0.13</v>
      </c>
      <c r="M1275" s="15">
        <f t="shared" si="74"/>
        <v>0.13</v>
      </c>
      <c r="N1275" s="21" t="s">
        <v>825</v>
      </c>
      <c r="O1275" s="4">
        <f>VLOOKUP(B1275, 'All Menu'!B:L, 6, 0)</f>
        <v>12.068965517241381</v>
      </c>
      <c r="P1275" s="6">
        <f>VLOOKUP(B1275, 'All Menu'!B:L, 9, 0)</f>
        <v>7.1477666666666666</v>
      </c>
      <c r="Q1275" s="14">
        <f>VLOOKUP(B1275, 'All Menu'!B:M, 12, 0)</f>
        <v>0.40775647619047628</v>
      </c>
      <c r="R1275" s="173">
        <f t="shared" si="75"/>
        <v>0</v>
      </c>
    </row>
    <row r="1276" spans="1:18" ht="14" hidden="1">
      <c r="A1276" s="78" t="s">
        <v>2667</v>
      </c>
      <c r="B1276" s="220" t="s">
        <v>1301</v>
      </c>
      <c r="C1276" s="185"/>
      <c r="D1276" s="198" t="str">
        <f>VLOOKUP(B1276, 'All Menu'!B:M, 4, 0)</f>
        <v>صينية طحالات كيلو</v>
      </c>
      <c r="E1276" s="30" t="str">
        <f>VLOOKUP(B1276, 'All Menu'!B:M, 2, 0)</f>
        <v>قسم الصواني</v>
      </c>
      <c r="F1276" s="103" t="str">
        <f>VLOOKUP(B1276, 'All Menu'!B:M, 3, 0)</f>
        <v>صواني وصجيات سفري</v>
      </c>
      <c r="G1276" s="90" t="s">
        <v>3058</v>
      </c>
      <c r="H1276" s="227">
        <v>4274</v>
      </c>
      <c r="I1276" s="110" t="str">
        <f>VLOOKUP(H1276, 'RM &amp; SF'!B:H, 2, 0)</f>
        <v>علب المركزية مطبوع + قاطع رقم 1 1*100 حبة*****</v>
      </c>
      <c r="J1276" s="184" t="str">
        <f>VLOOKUP(H1276, 'RM &amp; SF'!B:E, 4, 0)</f>
        <v>قطعة</v>
      </c>
      <c r="K1276" s="22">
        <v>1</v>
      </c>
      <c r="L1276" s="13">
        <f>VLOOKUP(H1276, 'RM &amp; SF'!B:H, 7, 0)</f>
        <v>0.25</v>
      </c>
      <c r="M1276" s="15">
        <f t="shared" si="74"/>
        <v>0.25</v>
      </c>
      <c r="N1276" s="21" t="s">
        <v>825</v>
      </c>
      <c r="O1276" s="4">
        <f>VLOOKUP(B1276, 'All Menu'!B:L, 6, 0)</f>
        <v>12.068965517241381</v>
      </c>
      <c r="P1276" s="6">
        <f>VLOOKUP(B1276, 'All Menu'!B:L, 9, 0)</f>
        <v>7.1477666666666666</v>
      </c>
      <c r="Q1276" s="14">
        <f>VLOOKUP(B1276, 'All Menu'!B:M, 12, 0)</f>
        <v>0.40775647619047628</v>
      </c>
      <c r="R1276" s="173">
        <f t="shared" si="75"/>
        <v>0</v>
      </c>
    </row>
    <row r="1277" spans="1:18" ht="14" hidden="1">
      <c r="A1277" s="78" t="s">
        <v>2667</v>
      </c>
      <c r="B1277" s="220" t="s">
        <v>1301</v>
      </c>
      <c r="C1277" s="185"/>
      <c r="D1277" s="198" t="str">
        <f>VLOOKUP(B1277, 'All Menu'!B:M, 4, 0)</f>
        <v>صينية طحالات كيلو</v>
      </c>
      <c r="E1277" s="30" t="str">
        <f>VLOOKUP(B1277, 'All Menu'!B:M, 2, 0)</f>
        <v>قسم الصواني</v>
      </c>
      <c r="F1277" s="103" t="str">
        <f>VLOOKUP(B1277, 'All Menu'!B:M, 3, 0)</f>
        <v>صواني وصجيات سفري</v>
      </c>
      <c r="G1277" s="90" t="s">
        <v>2251</v>
      </c>
      <c r="H1277" s="227">
        <v>4544</v>
      </c>
      <c r="I1277" s="110" t="str">
        <f>VLOOKUP(H1277, 'RM &amp; SF'!B:H, 2, 0)</f>
        <v>بقدونس*****</v>
      </c>
      <c r="J1277" s="184" t="str">
        <f>VLOOKUP(H1277, 'RM &amp; SF'!B:E, 4, 0)</f>
        <v>غم</v>
      </c>
      <c r="K1277" s="78">
        <v>20</v>
      </c>
      <c r="L1277" s="13">
        <f>VLOOKUP(H1277, 'RM &amp; SF'!B:H, 7, 0)</f>
        <v>7.5000000000000002E-4</v>
      </c>
      <c r="M1277" s="15">
        <f t="shared" si="74"/>
        <v>1.4999999999999999E-2</v>
      </c>
      <c r="N1277" s="21" t="s">
        <v>825</v>
      </c>
      <c r="O1277" s="4">
        <f>VLOOKUP(B1277, 'All Menu'!B:L, 6, 0)</f>
        <v>12.068965517241381</v>
      </c>
      <c r="P1277" s="6">
        <f>VLOOKUP(B1277, 'All Menu'!B:L, 9, 0)</f>
        <v>7.1477666666666666</v>
      </c>
      <c r="Q1277" s="14">
        <f>VLOOKUP(B1277, 'All Menu'!B:M, 12, 0)</f>
        <v>0.40775647619047628</v>
      </c>
      <c r="R1277" s="173">
        <f t="shared" si="75"/>
        <v>0</v>
      </c>
    </row>
    <row r="1278" spans="1:18" ht="14" hidden="1">
      <c r="A1278" s="78" t="s">
        <v>2668</v>
      </c>
      <c r="B1278" s="220" t="s">
        <v>1302</v>
      </c>
      <c r="C1278" s="185"/>
      <c r="D1278" s="198" t="str">
        <f>VLOOKUP(B1278, 'All Menu'!B:M, 4, 0)</f>
        <v>صينية احشاء خروف</v>
      </c>
      <c r="E1278" s="30" t="str">
        <f>VLOOKUP(B1278, 'All Menu'!B:M, 2, 0)</f>
        <v>قسم الصواني</v>
      </c>
      <c r="F1278" s="103" t="str">
        <f>VLOOKUP(B1278, 'All Menu'!B:M, 3, 0)</f>
        <v>صواني وصجيات سفري</v>
      </c>
      <c r="G1278" s="90" t="s">
        <v>3058</v>
      </c>
      <c r="H1278" s="228">
        <v>5432</v>
      </c>
      <c r="I1278" s="110" t="str">
        <f>VLOOKUP(H1278, 'RM &amp; SF'!B:H, 2, 0)</f>
        <v>سقط بلدي</v>
      </c>
      <c r="J1278" s="184" t="str">
        <f>VLOOKUP(H1278, 'RM &amp; SF'!B:E, 4, 0)</f>
        <v>غم</v>
      </c>
      <c r="K1278" s="211">
        <v>1000</v>
      </c>
      <c r="L1278" s="13">
        <f>VLOOKUP(H1278, 'RM &amp; SF'!B:H, 7, 0)</f>
        <v>5.8240000000000002E-3</v>
      </c>
      <c r="M1278" s="15">
        <f t="shared" si="74"/>
        <v>5.8239999999999998</v>
      </c>
      <c r="N1278" s="21" t="s">
        <v>825</v>
      </c>
      <c r="O1278" s="4">
        <f>VLOOKUP(B1278, 'All Menu'!B:L, 6, 0)</f>
        <v>12.068965517241381</v>
      </c>
      <c r="P1278" s="6">
        <f>VLOOKUP(B1278, 'All Menu'!B:L, 9, 0)</f>
        <v>6.5347266666666659</v>
      </c>
      <c r="Q1278" s="14">
        <f>VLOOKUP(B1278, 'All Menu'!B:M, 12, 0)</f>
        <v>0.4585512190476192</v>
      </c>
      <c r="R1278" s="173">
        <f t="shared" si="75"/>
        <v>0</v>
      </c>
    </row>
    <row r="1279" spans="1:18" ht="14" hidden="1">
      <c r="A1279" s="78" t="s">
        <v>2668</v>
      </c>
      <c r="B1279" s="220" t="s">
        <v>1302</v>
      </c>
      <c r="C1279" s="185"/>
      <c r="D1279" s="198" t="str">
        <f>VLOOKUP(B1279, 'All Menu'!B:M, 4, 0)</f>
        <v>صينية احشاء خروف</v>
      </c>
      <c r="E1279" s="30" t="str">
        <f>VLOOKUP(B1279, 'All Menu'!B:M, 2, 0)</f>
        <v>قسم الصواني</v>
      </c>
      <c r="F1279" s="103" t="str">
        <f>VLOOKUP(B1279, 'All Menu'!B:M, 3, 0)</f>
        <v>صواني وصجيات سفري</v>
      </c>
      <c r="G1279" s="90" t="s">
        <v>2234</v>
      </c>
      <c r="H1279" s="228">
        <v>4503</v>
      </c>
      <c r="I1279" s="110" t="str">
        <f>VLOOKUP(H1279, 'RM &amp; SF'!B:H, 2, 0)</f>
        <v>بصل ناشف دفش*****</v>
      </c>
      <c r="J1279" s="184" t="str">
        <f>VLOOKUP(H1279, 'RM &amp; SF'!B:E, 4, 0)</f>
        <v>غم</v>
      </c>
      <c r="K1279" s="211">
        <v>400</v>
      </c>
      <c r="L1279" s="13">
        <f>VLOOKUP(H1279, 'RM &amp; SF'!B:H, 7, 0)</f>
        <v>2.5000000000000001E-4</v>
      </c>
      <c r="M1279" s="15">
        <f t="shared" si="74"/>
        <v>0.1</v>
      </c>
      <c r="N1279" s="21" t="s">
        <v>825</v>
      </c>
      <c r="O1279" s="4">
        <f>VLOOKUP(B1279, 'All Menu'!B:L, 6, 0)</f>
        <v>12.068965517241381</v>
      </c>
      <c r="P1279" s="6">
        <f>VLOOKUP(B1279, 'All Menu'!B:L, 9, 0)</f>
        <v>6.5347266666666659</v>
      </c>
      <c r="Q1279" s="14">
        <f>VLOOKUP(B1279, 'All Menu'!B:M, 12, 0)</f>
        <v>0.4585512190476192</v>
      </c>
      <c r="R1279" s="173">
        <f t="shared" si="75"/>
        <v>0</v>
      </c>
    </row>
    <row r="1280" spans="1:18" ht="14" hidden="1">
      <c r="A1280" s="78" t="s">
        <v>2668</v>
      </c>
      <c r="B1280" s="220" t="s">
        <v>1302</v>
      </c>
      <c r="C1280" s="185"/>
      <c r="D1280" s="198" t="str">
        <f>VLOOKUP(B1280, 'All Menu'!B:M, 4, 0)</f>
        <v>صينية احشاء خروف</v>
      </c>
      <c r="E1280" s="30" t="str">
        <f>VLOOKUP(B1280, 'All Menu'!B:M, 2, 0)</f>
        <v>قسم الصواني</v>
      </c>
      <c r="F1280" s="103" t="str">
        <f>VLOOKUP(B1280, 'All Menu'!B:M, 3, 0)</f>
        <v>صواني وصجيات سفري</v>
      </c>
      <c r="G1280" s="90" t="s">
        <v>2231</v>
      </c>
      <c r="H1280" s="228">
        <v>4499</v>
      </c>
      <c r="I1280" s="110" t="str">
        <f>VLOOKUP(H1280, 'RM &amp; SF'!B:H, 2, 0)</f>
        <v>فلفل حار اخضر*****</v>
      </c>
      <c r="J1280" s="184" t="str">
        <f>VLOOKUP(H1280, 'RM &amp; SF'!B:E, 4, 0)</f>
        <v>غم</v>
      </c>
      <c r="K1280" s="211">
        <v>150</v>
      </c>
      <c r="L1280" s="13">
        <f>VLOOKUP(H1280, 'RM &amp; SF'!B:H, 7, 0)</f>
        <v>5.0000000000000001E-4</v>
      </c>
      <c r="M1280" s="15">
        <f t="shared" si="74"/>
        <v>7.4999999999999997E-2</v>
      </c>
      <c r="N1280" s="21" t="s">
        <v>825</v>
      </c>
      <c r="O1280" s="4">
        <f>VLOOKUP(B1280, 'All Menu'!B:L, 6, 0)</f>
        <v>12.068965517241381</v>
      </c>
      <c r="P1280" s="6">
        <f>VLOOKUP(B1280, 'All Menu'!B:L, 9, 0)</f>
        <v>6.5347266666666659</v>
      </c>
      <c r="Q1280" s="14">
        <f>VLOOKUP(B1280, 'All Menu'!B:M, 12, 0)</f>
        <v>0.4585512190476192</v>
      </c>
      <c r="R1280" s="173">
        <f t="shared" si="75"/>
        <v>0</v>
      </c>
    </row>
    <row r="1281" spans="1:18" ht="15.5" hidden="1">
      <c r="A1281" s="78" t="s">
        <v>2668</v>
      </c>
      <c r="B1281" s="220" t="s">
        <v>1302</v>
      </c>
      <c r="C1281" s="185"/>
      <c r="D1281" s="198" t="str">
        <f>VLOOKUP(B1281, 'All Menu'!B:M, 4, 0)</f>
        <v>صينية احشاء خروف</v>
      </c>
      <c r="E1281" s="30" t="str">
        <f>VLOOKUP(B1281, 'All Menu'!B:M, 2, 0)</f>
        <v>قسم الصواني</v>
      </c>
      <c r="F1281" s="103" t="str">
        <f>VLOOKUP(B1281, 'All Menu'!B:M, 3, 0)</f>
        <v>صواني وصجيات سفري</v>
      </c>
      <c r="G1281" s="90" t="s">
        <v>2321</v>
      </c>
      <c r="H1281" s="67">
        <v>5292</v>
      </c>
      <c r="I1281" s="110" t="str">
        <f>VLOOKUP(H1281, 'RM &amp; SF'!B:H, 2, 0)</f>
        <v>ثوم مقشر*****</v>
      </c>
      <c r="J1281" s="184" t="str">
        <f>VLOOKUP(H1281, 'RM &amp; SF'!B:E, 4, 0)</f>
        <v>غم</v>
      </c>
      <c r="K1281" s="211">
        <v>10</v>
      </c>
      <c r="L1281" s="13">
        <f>VLOOKUP(H1281, 'RM &amp; SF'!B:H, 7, 0)</f>
        <v>4.4999999999999997E-3</v>
      </c>
      <c r="M1281" s="15">
        <f t="shared" si="74"/>
        <v>4.4999999999999998E-2</v>
      </c>
      <c r="N1281" s="21" t="s">
        <v>825</v>
      </c>
      <c r="O1281" s="4">
        <f>VLOOKUP(B1281, 'All Menu'!B:L, 6, 0)</f>
        <v>12.068965517241381</v>
      </c>
      <c r="P1281" s="6">
        <f>VLOOKUP(B1281, 'All Menu'!B:L, 9, 0)</f>
        <v>6.5347266666666659</v>
      </c>
      <c r="Q1281" s="14">
        <f>VLOOKUP(B1281, 'All Menu'!B:M, 12, 0)</f>
        <v>0.4585512190476192</v>
      </c>
      <c r="R1281" s="173">
        <f t="shared" si="75"/>
        <v>0</v>
      </c>
    </row>
    <row r="1282" spans="1:18" ht="14" hidden="1">
      <c r="A1282" s="78" t="s">
        <v>2668</v>
      </c>
      <c r="B1282" s="220" t="s">
        <v>1302</v>
      </c>
      <c r="C1282" s="185"/>
      <c r="D1282" s="198" t="str">
        <f>VLOOKUP(B1282, 'All Menu'!B:M, 4, 0)</f>
        <v>صينية احشاء خروف</v>
      </c>
      <c r="E1282" s="30" t="str">
        <f>VLOOKUP(B1282, 'All Menu'!B:M, 2, 0)</f>
        <v>قسم الصواني</v>
      </c>
      <c r="F1282" s="103" t="str">
        <f>VLOOKUP(B1282, 'All Menu'!B:M, 3, 0)</f>
        <v>صواني وصجيات سفري</v>
      </c>
      <c r="G1282" s="90" t="s">
        <v>2260</v>
      </c>
      <c r="H1282" s="228">
        <v>4160</v>
      </c>
      <c r="I1282" s="110" t="str">
        <f>VLOOKUP(H1282, 'RM &amp; SF'!B:H, 2, 0)</f>
        <v>زيت صويا 18 لتر*****</v>
      </c>
      <c r="J1282" s="184" t="str">
        <f>VLOOKUP(H1282, 'RM &amp; SF'!B:E, 4, 0)</f>
        <v>مل</v>
      </c>
      <c r="K1282" s="211">
        <v>30</v>
      </c>
      <c r="L1282" s="13">
        <f>VLOOKUP(H1282, 'RM &amp; SF'!B:H, 7, 0)</f>
        <v>1.335E-3</v>
      </c>
      <c r="M1282" s="15">
        <f t="shared" si="74"/>
        <v>4.0050000000000002E-2</v>
      </c>
      <c r="N1282" s="21" t="s">
        <v>825</v>
      </c>
      <c r="O1282" s="4">
        <f>VLOOKUP(B1282, 'All Menu'!B:L, 6, 0)</f>
        <v>12.068965517241381</v>
      </c>
      <c r="P1282" s="6">
        <f>VLOOKUP(B1282, 'All Menu'!B:L, 9, 0)</f>
        <v>6.5347266666666659</v>
      </c>
      <c r="Q1282" s="14">
        <f>VLOOKUP(B1282, 'All Menu'!B:M, 12, 0)</f>
        <v>0.4585512190476192</v>
      </c>
      <c r="R1282" s="173">
        <f t="shared" si="75"/>
        <v>0</v>
      </c>
    </row>
    <row r="1283" spans="1:18" ht="14" hidden="1">
      <c r="A1283" s="78" t="s">
        <v>2668</v>
      </c>
      <c r="B1283" s="220" t="s">
        <v>1302</v>
      </c>
      <c r="C1283" s="185"/>
      <c r="D1283" s="198" t="str">
        <f>VLOOKUP(B1283, 'All Menu'!B:M, 4, 0)</f>
        <v>صينية احشاء خروف</v>
      </c>
      <c r="E1283" s="30" t="str">
        <f>VLOOKUP(B1283, 'All Menu'!B:M, 2, 0)</f>
        <v>قسم الصواني</v>
      </c>
      <c r="F1283" s="103" t="str">
        <f>VLOOKUP(B1283, 'All Menu'!B:M, 3, 0)</f>
        <v>صواني وصجيات سفري</v>
      </c>
      <c r="G1283" s="90" t="s">
        <v>2203</v>
      </c>
      <c r="H1283" s="228">
        <v>4152</v>
      </c>
      <c r="I1283" s="110" t="str">
        <f>VLOOKUP(H1283, 'RM &amp; SF'!B:H, 2, 0)</f>
        <v>ملح طعام 750غم*****</v>
      </c>
      <c r="J1283" s="184" t="str">
        <f>VLOOKUP(H1283, 'RM &amp; SF'!B:E, 4, 0)</f>
        <v>غم</v>
      </c>
      <c r="K1283" s="211">
        <v>10</v>
      </c>
      <c r="L1283" s="13">
        <f>VLOOKUP(H1283, 'RM &amp; SF'!B:H, 7, 0)</f>
        <v>1.7066666666666665E-4</v>
      </c>
      <c r="M1283" s="15">
        <f t="shared" si="74"/>
        <v>1.7066666666666664E-3</v>
      </c>
      <c r="N1283" s="21" t="s">
        <v>825</v>
      </c>
      <c r="O1283" s="4">
        <f>VLOOKUP(B1283, 'All Menu'!B:L, 6, 0)</f>
        <v>12.068965517241381</v>
      </c>
      <c r="P1283" s="6">
        <f>VLOOKUP(B1283, 'All Menu'!B:L, 9, 0)</f>
        <v>6.5347266666666659</v>
      </c>
      <c r="Q1283" s="14">
        <f>VLOOKUP(B1283, 'All Menu'!B:M, 12, 0)</f>
        <v>0.4585512190476192</v>
      </c>
      <c r="R1283" s="173">
        <f t="shared" si="75"/>
        <v>0</v>
      </c>
    </row>
    <row r="1284" spans="1:18" ht="14" hidden="1">
      <c r="A1284" s="78" t="s">
        <v>2668</v>
      </c>
      <c r="B1284" s="220" t="s">
        <v>1302</v>
      </c>
      <c r="C1284" s="185"/>
      <c r="D1284" s="198" t="str">
        <f>VLOOKUP(B1284, 'All Menu'!B:M, 4, 0)</f>
        <v>صينية احشاء خروف</v>
      </c>
      <c r="E1284" s="30" t="str">
        <f>VLOOKUP(B1284, 'All Menu'!B:M, 2, 0)</f>
        <v>قسم الصواني</v>
      </c>
      <c r="F1284" s="103" t="str">
        <f>VLOOKUP(B1284, 'All Menu'!B:M, 3, 0)</f>
        <v>صواني وصجيات سفري</v>
      </c>
      <c r="G1284" s="90" t="s">
        <v>2206</v>
      </c>
      <c r="H1284" s="228">
        <v>4204</v>
      </c>
      <c r="I1284" s="110" t="str">
        <f>VLOOKUP(H1284, 'RM &amp; SF'!B:H, 2, 0)</f>
        <v>فلفل اسود ناعم*****</v>
      </c>
      <c r="J1284" s="184" t="str">
        <f>VLOOKUP(H1284, 'RM &amp; SF'!B:E, 4, 0)</f>
        <v>غم</v>
      </c>
      <c r="K1284" s="211">
        <v>10</v>
      </c>
      <c r="L1284" s="13">
        <f>VLOOKUP(H1284, 'RM &amp; SF'!B:H, 7, 0)</f>
        <v>6.8970000000000004E-3</v>
      </c>
      <c r="M1284" s="15">
        <f t="shared" si="74"/>
        <v>6.8970000000000004E-2</v>
      </c>
      <c r="N1284" s="21" t="s">
        <v>825</v>
      </c>
      <c r="O1284" s="4">
        <f>VLOOKUP(B1284, 'All Menu'!B:L, 6, 0)</f>
        <v>12.068965517241381</v>
      </c>
      <c r="P1284" s="6">
        <f>VLOOKUP(B1284, 'All Menu'!B:L, 9, 0)</f>
        <v>6.5347266666666659</v>
      </c>
      <c r="Q1284" s="14">
        <f>VLOOKUP(B1284, 'All Menu'!B:M, 12, 0)</f>
        <v>0.4585512190476192</v>
      </c>
      <c r="R1284" s="173">
        <f t="shared" si="75"/>
        <v>0</v>
      </c>
    </row>
    <row r="1285" spans="1:18" ht="14" hidden="1">
      <c r="A1285" s="78" t="s">
        <v>2668</v>
      </c>
      <c r="B1285" s="220" t="s">
        <v>1302</v>
      </c>
      <c r="C1285" s="185"/>
      <c r="D1285" s="198" t="str">
        <f>VLOOKUP(B1285, 'All Menu'!B:M, 4, 0)</f>
        <v>صينية احشاء خروف</v>
      </c>
      <c r="E1285" s="30" t="str">
        <f>VLOOKUP(B1285, 'All Menu'!B:M, 2, 0)</f>
        <v>قسم الصواني</v>
      </c>
      <c r="F1285" s="103" t="str">
        <f>VLOOKUP(B1285, 'All Menu'!B:M, 3, 0)</f>
        <v>صواني وصجيات سفري</v>
      </c>
      <c r="G1285" s="90" t="s">
        <v>3058</v>
      </c>
      <c r="H1285" s="228">
        <v>5331</v>
      </c>
      <c r="I1285" s="110" t="str">
        <f>VLOOKUP(H1285, 'RM &amp; SF'!B:H, 2, 0)</f>
        <v>علب قصدير مدور 1 كغ RZ</v>
      </c>
      <c r="J1285" s="184" t="str">
        <f>VLOOKUP(H1285, 'RM &amp; SF'!B:E, 4, 0)</f>
        <v>قطعة</v>
      </c>
      <c r="K1285" s="211">
        <v>1</v>
      </c>
      <c r="L1285" s="13">
        <f>VLOOKUP(H1285, 'RM &amp; SF'!B:H, 7, 0)</f>
        <v>0.13</v>
      </c>
      <c r="M1285" s="15">
        <f t="shared" si="74"/>
        <v>0.13</v>
      </c>
      <c r="N1285" s="21" t="s">
        <v>825</v>
      </c>
      <c r="O1285" s="4">
        <f>VLOOKUP(B1285, 'All Menu'!B:L, 6, 0)</f>
        <v>12.068965517241381</v>
      </c>
      <c r="P1285" s="6">
        <f>VLOOKUP(B1285, 'All Menu'!B:L, 9, 0)</f>
        <v>6.5347266666666659</v>
      </c>
      <c r="Q1285" s="14">
        <f>VLOOKUP(B1285, 'All Menu'!B:M, 12, 0)</f>
        <v>0.4585512190476192</v>
      </c>
      <c r="R1285" s="173">
        <f t="shared" si="75"/>
        <v>0</v>
      </c>
    </row>
    <row r="1286" spans="1:18" ht="14" hidden="1">
      <c r="A1286" s="78" t="s">
        <v>2668</v>
      </c>
      <c r="B1286" s="220" t="s">
        <v>1302</v>
      </c>
      <c r="C1286" s="185"/>
      <c r="D1286" s="198" t="str">
        <f>VLOOKUP(B1286, 'All Menu'!B:M, 4, 0)</f>
        <v>صينية احشاء خروف</v>
      </c>
      <c r="E1286" s="30" t="str">
        <f>VLOOKUP(B1286, 'All Menu'!B:M, 2, 0)</f>
        <v>قسم الصواني</v>
      </c>
      <c r="F1286" s="103" t="str">
        <f>VLOOKUP(B1286, 'All Menu'!B:M, 3, 0)</f>
        <v>صواني وصجيات سفري</v>
      </c>
      <c r="G1286" s="90" t="s">
        <v>3058</v>
      </c>
      <c r="H1286" s="228">
        <v>4274</v>
      </c>
      <c r="I1286" s="110" t="str">
        <f>VLOOKUP(H1286, 'RM &amp; SF'!B:H, 2, 0)</f>
        <v>علب المركزية مطبوع + قاطع رقم 1 1*100 حبة*****</v>
      </c>
      <c r="J1286" s="184" t="str">
        <f>VLOOKUP(H1286, 'RM &amp; SF'!B:E, 4, 0)</f>
        <v>قطعة</v>
      </c>
      <c r="K1286" s="211">
        <v>1</v>
      </c>
      <c r="L1286" s="13">
        <f>VLOOKUP(H1286, 'RM &amp; SF'!B:H, 7, 0)</f>
        <v>0.25</v>
      </c>
      <c r="M1286" s="15">
        <f t="shared" si="74"/>
        <v>0.25</v>
      </c>
      <c r="N1286" s="21" t="s">
        <v>825</v>
      </c>
      <c r="O1286" s="4">
        <f>VLOOKUP(B1286, 'All Menu'!B:L, 6, 0)</f>
        <v>12.068965517241381</v>
      </c>
      <c r="P1286" s="6">
        <f>VLOOKUP(B1286, 'All Menu'!B:L, 9, 0)</f>
        <v>6.5347266666666659</v>
      </c>
      <c r="Q1286" s="14">
        <f>VLOOKUP(B1286, 'All Menu'!B:M, 12, 0)</f>
        <v>0.4585512190476192</v>
      </c>
      <c r="R1286" s="173">
        <f t="shared" si="75"/>
        <v>0</v>
      </c>
    </row>
    <row r="1287" spans="1:18" ht="14" hidden="1">
      <c r="A1287" s="78" t="s">
        <v>2665</v>
      </c>
      <c r="B1287" s="220" t="s">
        <v>1701</v>
      </c>
      <c r="C1287" s="185"/>
      <c r="D1287" s="103" t="str">
        <f>VLOOKUP(B1287, 'All Menu'!B:M, 4, 0)</f>
        <v>صينية معلاق كيلو</v>
      </c>
      <c r="E1287" s="30" t="str">
        <f>VLOOKUP(B1287, 'All Menu'!B:M, 2, 0)</f>
        <v>قسم الصواني</v>
      </c>
      <c r="F1287" s="103" t="str">
        <f>VLOOKUP(B1287, 'All Menu'!B:M, 3, 0)</f>
        <v>صواني وصجيات  سفري</v>
      </c>
      <c r="G1287" s="90" t="s">
        <v>3058</v>
      </c>
      <c r="H1287" s="188">
        <v>5318</v>
      </c>
      <c r="I1287" s="110" t="str">
        <f>VLOOKUP(H1287, 'RM &amp; SF'!B:H, 2, 0)</f>
        <v>معلاق</v>
      </c>
      <c r="J1287" s="184" t="str">
        <f>VLOOKUP(H1287, 'RM &amp; SF'!B:E, 4, 0)</f>
        <v>قطعة</v>
      </c>
      <c r="K1287" s="123">
        <v>1</v>
      </c>
      <c r="L1287" s="13">
        <f>VLOOKUP(H1287, 'RM &amp; SF'!B:H, 7, 0)</f>
        <v>4.5</v>
      </c>
      <c r="M1287" s="128">
        <f t="shared" si="74"/>
        <v>4.5</v>
      </c>
      <c r="N1287" s="121" t="s">
        <v>825</v>
      </c>
      <c r="O1287" s="121">
        <f>VLOOKUP(B1287, 'All Menu'!B:L, 6, 0)</f>
        <v>12.068965517241381</v>
      </c>
      <c r="P1287" s="130">
        <f>VLOOKUP(B1287, 'All Menu'!B:L, 9, 0)</f>
        <v>5.3013301149425276</v>
      </c>
      <c r="Q1287" s="132">
        <f>VLOOKUP(B1287, 'All Menu'!B:M, 12, 0)</f>
        <v>0.56074693333333347</v>
      </c>
      <c r="R1287" s="173">
        <f t="shared" si="75"/>
        <v>0</v>
      </c>
    </row>
    <row r="1288" spans="1:18" ht="14" hidden="1">
      <c r="A1288" s="78" t="s">
        <v>2665</v>
      </c>
      <c r="B1288" s="220" t="s">
        <v>1701</v>
      </c>
      <c r="C1288" s="185"/>
      <c r="D1288" s="103" t="str">
        <f>VLOOKUP(B1288, 'All Menu'!B:M, 4, 0)</f>
        <v>صينية معلاق كيلو</v>
      </c>
      <c r="E1288" s="30" t="str">
        <f>VLOOKUP(B1288, 'All Menu'!B:M, 2, 0)</f>
        <v>قسم الصواني</v>
      </c>
      <c r="F1288" s="103" t="str">
        <f>VLOOKUP(B1288, 'All Menu'!B:M, 3, 0)</f>
        <v>صواني وصجيات  سفري</v>
      </c>
      <c r="G1288" s="90" t="s">
        <v>2234</v>
      </c>
      <c r="H1288" s="188">
        <v>4503</v>
      </c>
      <c r="I1288" s="110" t="str">
        <f>VLOOKUP(H1288, 'RM &amp; SF'!B:H, 2, 0)</f>
        <v>بصل ناشف دفش*****</v>
      </c>
      <c r="J1288" s="184" t="str">
        <f>VLOOKUP(H1288, 'RM &amp; SF'!B:E, 4, 0)</f>
        <v>غم</v>
      </c>
      <c r="K1288" s="123">
        <v>400</v>
      </c>
      <c r="L1288" s="13">
        <f>VLOOKUP(H1288, 'RM &amp; SF'!B:H, 7, 0)</f>
        <v>2.5000000000000001E-4</v>
      </c>
      <c r="M1288" s="128">
        <f t="shared" si="74"/>
        <v>0.1</v>
      </c>
      <c r="N1288" s="121" t="s">
        <v>825</v>
      </c>
      <c r="O1288" s="121">
        <f>VLOOKUP(B1288, 'All Menu'!B:L, 6, 0)</f>
        <v>12.068965517241381</v>
      </c>
      <c r="P1288" s="130">
        <f>VLOOKUP(B1288, 'All Menu'!B:L, 9, 0)</f>
        <v>5.3013301149425276</v>
      </c>
      <c r="Q1288" s="132">
        <f>VLOOKUP(B1288, 'All Menu'!B:M, 12, 0)</f>
        <v>0.56074693333333347</v>
      </c>
      <c r="R1288" s="173">
        <f t="shared" si="75"/>
        <v>0</v>
      </c>
    </row>
    <row r="1289" spans="1:18" ht="14" hidden="1">
      <c r="A1289" s="78" t="s">
        <v>2665</v>
      </c>
      <c r="B1289" s="220" t="s">
        <v>1701</v>
      </c>
      <c r="C1289" s="185"/>
      <c r="D1289" s="103" t="str">
        <f>VLOOKUP(B1289, 'All Menu'!B:M, 4, 0)</f>
        <v>صينية معلاق كيلو</v>
      </c>
      <c r="E1289" s="30" t="str">
        <f>VLOOKUP(B1289, 'All Menu'!B:M, 2, 0)</f>
        <v>قسم الصواني</v>
      </c>
      <c r="F1289" s="103" t="str">
        <f>VLOOKUP(B1289, 'All Menu'!B:M, 3, 0)</f>
        <v>صواني وصجيات  سفري</v>
      </c>
      <c r="G1289" s="90" t="s">
        <v>2231</v>
      </c>
      <c r="H1289" s="188">
        <v>4499</v>
      </c>
      <c r="I1289" s="110" t="str">
        <f>VLOOKUP(H1289, 'RM &amp; SF'!B:H, 2, 0)</f>
        <v>فلفل حار اخضر*****</v>
      </c>
      <c r="J1289" s="184" t="str">
        <f>VLOOKUP(H1289, 'RM &amp; SF'!B:E, 4, 0)</f>
        <v>غم</v>
      </c>
      <c r="K1289" s="123">
        <v>30</v>
      </c>
      <c r="L1289" s="13">
        <f>VLOOKUP(H1289, 'RM &amp; SF'!B:H, 7, 0)</f>
        <v>5.0000000000000001E-4</v>
      </c>
      <c r="M1289" s="128">
        <f t="shared" si="74"/>
        <v>1.4999999999999999E-2</v>
      </c>
      <c r="N1289" s="121" t="s">
        <v>825</v>
      </c>
      <c r="O1289" s="121">
        <f>VLOOKUP(B1289, 'All Menu'!B:L, 6, 0)</f>
        <v>12.068965517241381</v>
      </c>
      <c r="P1289" s="130">
        <f>VLOOKUP(B1289, 'All Menu'!B:L, 9, 0)</f>
        <v>5.3013301149425276</v>
      </c>
      <c r="Q1289" s="132">
        <f>VLOOKUP(B1289, 'All Menu'!B:M, 12, 0)</f>
        <v>0.56074693333333347</v>
      </c>
      <c r="R1289" s="173">
        <f t="shared" si="75"/>
        <v>0</v>
      </c>
    </row>
    <row r="1290" spans="1:18" ht="15.5" hidden="1">
      <c r="A1290" s="78" t="s">
        <v>2665</v>
      </c>
      <c r="B1290" s="220" t="s">
        <v>1701</v>
      </c>
      <c r="C1290" s="185"/>
      <c r="D1290" s="103" t="str">
        <f>VLOOKUP(B1290, 'All Menu'!B:M, 4, 0)</f>
        <v>صينية معلاق كيلو</v>
      </c>
      <c r="E1290" s="30" t="str">
        <f>VLOOKUP(B1290, 'All Menu'!B:M, 2, 0)</f>
        <v>قسم الصواني</v>
      </c>
      <c r="F1290" s="103" t="str">
        <f>VLOOKUP(B1290, 'All Menu'!B:M, 3, 0)</f>
        <v>صواني وصجيات  سفري</v>
      </c>
      <c r="G1290" s="90" t="s">
        <v>2321</v>
      </c>
      <c r="H1290" s="67">
        <v>5292</v>
      </c>
      <c r="I1290" s="110" t="str">
        <f>VLOOKUP(H1290, 'RM &amp; SF'!B:H, 2, 0)</f>
        <v>ثوم مقشر*****</v>
      </c>
      <c r="J1290" s="184" t="str">
        <f>VLOOKUP(H1290, 'RM &amp; SF'!B:E, 4, 0)</f>
        <v>غم</v>
      </c>
      <c r="K1290" s="123">
        <v>5</v>
      </c>
      <c r="L1290" s="13">
        <f>VLOOKUP(H1290, 'RM &amp; SF'!B:H, 7, 0)</f>
        <v>4.4999999999999997E-3</v>
      </c>
      <c r="M1290" s="128">
        <f t="shared" si="74"/>
        <v>2.2499999999999999E-2</v>
      </c>
      <c r="N1290" s="121" t="s">
        <v>825</v>
      </c>
      <c r="O1290" s="121">
        <f>VLOOKUP(B1290, 'All Menu'!B:L, 6, 0)</f>
        <v>12.068965517241381</v>
      </c>
      <c r="P1290" s="130">
        <f>VLOOKUP(B1290, 'All Menu'!B:L, 9, 0)</f>
        <v>5.3013301149425276</v>
      </c>
      <c r="Q1290" s="132">
        <f>VLOOKUP(B1290, 'All Menu'!B:M, 12, 0)</f>
        <v>0.56074693333333347</v>
      </c>
      <c r="R1290" s="173">
        <f t="shared" si="75"/>
        <v>0</v>
      </c>
    </row>
    <row r="1291" spans="1:18" ht="14" hidden="1">
      <c r="A1291" s="78" t="s">
        <v>2665</v>
      </c>
      <c r="B1291" s="220" t="s">
        <v>1701</v>
      </c>
      <c r="C1291" s="185"/>
      <c r="D1291" s="103" t="str">
        <f>VLOOKUP(B1291, 'All Menu'!B:M, 4, 0)</f>
        <v>صينية معلاق كيلو</v>
      </c>
      <c r="E1291" s="30" t="str">
        <f>VLOOKUP(B1291, 'All Menu'!B:M, 2, 0)</f>
        <v>قسم الصواني</v>
      </c>
      <c r="F1291" s="103" t="str">
        <f>VLOOKUP(B1291, 'All Menu'!B:M, 3, 0)</f>
        <v>صواني وصجيات  سفري</v>
      </c>
      <c r="G1291" s="90" t="s">
        <v>2203</v>
      </c>
      <c r="H1291" s="188">
        <v>4152</v>
      </c>
      <c r="I1291" s="110" t="str">
        <f>VLOOKUP(H1291, 'RM &amp; SF'!B:H, 2, 0)</f>
        <v>ملح طعام 750غم*****</v>
      </c>
      <c r="J1291" s="184" t="str">
        <f>VLOOKUP(H1291, 'RM &amp; SF'!B:E, 4, 0)</f>
        <v>غم</v>
      </c>
      <c r="K1291" s="123">
        <v>10</v>
      </c>
      <c r="L1291" s="13">
        <f>VLOOKUP(H1291, 'RM &amp; SF'!B:H, 7, 0)</f>
        <v>1.7066666666666665E-4</v>
      </c>
      <c r="M1291" s="128">
        <f t="shared" si="74"/>
        <v>1.7066666666666664E-3</v>
      </c>
      <c r="N1291" s="121" t="s">
        <v>825</v>
      </c>
      <c r="O1291" s="121">
        <f>VLOOKUP(B1291, 'All Menu'!B:L, 6, 0)</f>
        <v>12.068965517241381</v>
      </c>
      <c r="P1291" s="130">
        <f>VLOOKUP(B1291, 'All Menu'!B:L, 9, 0)</f>
        <v>5.3013301149425276</v>
      </c>
      <c r="Q1291" s="132">
        <f>VLOOKUP(B1291, 'All Menu'!B:M, 12, 0)</f>
        <v>0.56074693333333347</v>
      </c>
      <c r="R1291" s="173">
        <f t="shared" si="75"/>
        <v>0</v>
      </c>
    </row>
    <row r="1292" spans="1:18" ht="14" hidden="1">
      <c r="A1292" s="78" t="s">
        <v>2665</v>
      </c>
      <c r="B1292" s="220" t="s">
        <v>1701</v>
      </c>
      <c r="C1292" s="185"/>
      <c r="D1292" s="103" t="str">
        <f>VLOOKUP(B1292, 'All Menu'!B:M, 4, 0)</f>
        <v>صينية معلاق كيلو</v>
      </c>
      <c r="E1292" s="30" t="str">
        <f>VLOOKUP(B1292, 'All Menu'!B:M, 2, 0)</f>
        <v>قسم الصواني</v>
      </c>
      <c r="F1292" s="103" t="str">
        <f>VLOOKUP(B1292, 'All Menu'!B:M, 3, 0)</f>
        <v>صواني وصجيات  سفري</v>
      </c>
      <c r="G1292" s="90" t="s">
        <v>2206</v>
      </c>
      <c r="H1292" s="188">
        <v>4204</v>
      </c>
      <c r="I1292" s="110" t="str">
        <f>VLOOKUP(H1292, 'RM &amp; SF'!B:H, 2, 0)</f>
        <v>فلفل اسود ناعم*****</v>
      </c>
      <c r="J1292" s="184" t="str">
        <f>VLOOKUP(H1292, 'RM &amp; SF'!B:E, 4, 0)</f>
        <v>غم</v>
      </c>
      <c r="K1292" s="123">
        <v>10</v>
      </c>
      <c r="L1292" s="13">
        <f>VLOOKUP(H1292, 'RM &amp; SF'!B:H, 7, 0)</f>
        <v>6.8970000000000004E-3</v>
      </c>
      <c r="M1292" s="128">
        <f t="shared" si="74"/>
        <v>6.8970000000000004E-2</v>
      </c>
      <c r="N1292" s="121" t="s">
        <v>825</v>
      </c>
      <c r="O1292" s="121">
        <f>VLOOKUP(B1292, 'All Menu'!B:L, 6, 0)</f>
        <v>12.068965517241381</v>
      </c>
      <c r="P1292" s="130">
        <f>VLOOKUP(B1292, 'All Menu'!B:L, 9, 0)</f>
        <v>5.3013301149425276</v>
      </c>
      <c r="Q1292" s="132">
        <f>VLOOKUP(B1292, 'All Menu'!B:M, 12, 0)</f>
        <v>0.56074693333333347</v>
      </c>
      <c r="R1292" s="173">
        <f t="shared" si="75"/>
        <v>0</v>
      </c>
    </row>
    <row r="1293" spans="1:18" ht="14" hidden="1">
      <c r="A1293" s="78" t="s">
        <v>2665</v>
      </c>
      <c r="B1293" s="220" t="s">
        <v>1701</v>
      </c>
      <c r="C1293" s="185"/>
      <c r="D1293" s="103" t="str">
        <f>VLOOKUP(B1293, 'All Menu'!B:M, 4, 0)</f>
        <v>صينية معلاق كيلو</v>
      </c>
      <c r="E1293" s="30" t="str">
        <f>VLOOKUP(B1293, 'All Menu'!B:M, 2, 0)</f>
        <v>قسم الصواني</v>
      </c>
      <c r="F1293" s="103" t="str">
        <f>VLOOKUP(B1293, 'All Menu'!B:M, 3, 0)</f>
        <v>صواني وصجيات  سفري</v>
      </c>
      <c r="G1293" s="90" t="s">
        <v>2260</v>
      </c>
      <c r="H1293" s="188">
        <v>4160</v>
      </c>
      <c r="I1293" s="110" t="str">
        <f>VLOOKUP(H1293, 'RM &amp; SF'!B:H, 2, 0)</f>
        <v>زيت صويا 18 لتر*****</v>
      </c>
      <c r="J1293" s="184" t="str">
        <f>VLOOKUP(H1293, 'RM &amp; SF'!B:E, 4, 0)</f>
        <v>مل</v>
      </c>
      <c r="K1293" s="123">
        <v>30</v>
      </c>
      <c r="L1293" s="13">
        <f>VLOOKUP(H1293, 'RM &amp; SF'!B:H, 7, 0)</f>
        <v>1.335E-3</v>
      </c>
      <c r="M1293" s="128">
        <f t="shared" si="74"/>
        <v>4.0050000000000002E-2</v>
      </c>
      <c r="N1293" s="121" t="s">
        <v>825</v>
      </c>
      <c r="O1293" s="121">
        <f>VLOOKUP(B1293, 'All Menu'!B:L, 6, 0)</f>
        <v>12.068965517241381</v>
      </c>
      <c r="P1293" s="130">
        <f>VLOOKUP(B1293, 'All Menu'!B:L, 9, 0)</f>
        <v>5.3013301149425276</v>
      </c>
      <c r="Q1293" s="132">
        <f>VLOOKUP(B1293, 'All Menu'!B:M, 12, 0)</f>
        <v>0.56074693333333347</v>
      </c>
      <c r="R1293" s="173">
        <f t="shared" si="75"/>
        <v>0</v>
      </c>
    </row>
    <row r="1294" spans="1:18" ht="14" hidden="1">
      <c r="A1294" s="78" t="s">
        <v>2665</v>
      </c>
      <c r="B1294" s="220" t="s">
        <v>1701</v>
      </c>
      <c r="C1294" s="185"/>
      <c r="D1294" s="103" t="str">
        <f>VLOOKUP(B1294, 'All Menu'!B:M, 4, 0)</f>
        <v>صينية معلاق كيلو</v>
      </c>
      <c r="E1294" s="30" t="str">
        <f>VLOOKUP(B1294, 'All Menu'!B:M, 2, 0)</f>
        <v>قسم الصواني</v>
      </c>
      <c r="F1294" s="103" t="str">
        <f>VLOOKUP(B1294, 'All Menu'!B:M, 3, 0)</f>
        <v>صواني وصجيات  سفري</v>
      </c>
      <c r="G1294" s="90" t="s">
        <v>3058</v>
      </c>
      <c r="H1294" s="188">
        <v>4275</v>
      </c>
      <c r="I1294" s="110" t="str">
        <f>VLOOKUP(H1294, 'RM &amp; SF'!B:H, 2, 0)</f>
        <v>علب المركزية مطبوع + قاطع رقم 2 1*100 حبة*****</v>
      </c>
      <c r="J1294" s="184" t="str">
        <f>VLOOKUP(H1294, 'RM &amp; SF'!B:E, 4, 0)</f>
        <v>قطعة</v>
      </c>
      <c r="K1294" s="123">
        <v>1</v>
      </c>
      <c r="L1294" s="13">
        <f>VLOOKUP(H1294, 'RM &amp; SF'!B:H, 7, 0)</f>
        <v>0.2931034482758621</v>
      </c>
      <c r="M1294" s="128">
        <f t="shared" si="74"/>
        <v>0.2931034482758621</v>
      </c>
      <c r="N1294" s="121" t="s">
        <v>825</v>
      </c>
      <c r="O1294" s="121">
        <f>VLOOKUP(B1294, 'All Menu'!B:L, 6, 0)</f>
        <v>12.068965517241381</v>
      </c>
      <c r="P1294" s="130">
        <f>VLOOKUP(B1294, 'All Menu'!B:L, 9, 0)</f>
        <v>5.3013301149425276</v>
      </c>
      <c r="Q1294" s="132">
        <f>VLOOKUP(B1294, 'All Menu'!B:M, 12, 0)</f>
        <v>0.56074693333333347</v>
      </c>
      <c r="R1294" s="173">
        <f t="shared" si="75"/>
        <v>0</v>
      </c>
    </row>
    <row r="1295" spans="1:18" ht="14" hidden="1">
      <c r="A1295" s="78" t="s">
        <v>2665</v>
      </c>
      <c r="B1295" s="220" t="s">
        <v>1701</v>
      </c>
      <c r="C1295" s="185"/>
      <c r="D1295" s="103" t="str">
        <f>VLOOKUP(B1295, 'All Menu'!B:M, 4, 0)</f>
        <v>صينية معلاق كيلو</v>
      </c>
      <c r="E1295" s="30" t="str">
        <f>VLOOKUP(B1295, 'All Menu'!B:M, 2, 0)</f>
        <v>قسم الصواني</v>
      </c>
      <c r="F1295" s="103" t="str">
        <f>VLOOKUP(B1295, 'All Menu'!B:M, 3, 0)</f>
        <v>صواني وصجيات  سفري</v>
      </c>
      <c r="G1295" s="90" t="s">
        <v>3058</v>
      </c>
      <c r="H1295" s="188">
        <v>5331</v>
      </c>
      <c r="I1295" s="110" t="str">
        <f>VLOOKUP(H1295, 'RM &amp; SF'!B:H, 2, 0)</f>
        <v>علب قصدير مدور 1 كغ RZ</v>
      </c>
      <c r="J1295" s="184" t="str">
        <f>VLOOKUP(H1295, 'RM &amp; SF'!B:E, 4, 0)</f>
        <v>قطعة</v>
      </c>
      <c r="K1295" s="123">
        <v>2</v>
      </c>
      <c r="L1295" s="13">
        <f>VLOOKUP(H1295, 'RM &amp; SF'!B:H, 7, 0)</f>
        <v>0.13</v>
      </c>
      <c r="M1295" s="128">
        <f t="shared" si="74"/>
        <v>0.26</v>
      </c>
      <c r="N1295" s="121" t="s">
        <v>825</v>
      </c>
      <c r="O1295" s="121">
        <f>VLOOKUP(B1295, 'All Menu'!B:L, 6, 0)</f>
        <v>12.068965517241381</v>
      </c>
      <c r="P1295" s="130">
        <f>VLOOKUP(B1295, 'All Menu'!B:L, 9, 0)</f>
        <v>5.3013301149425276</v>
      </c>
      <c r="Q1295" s="132">
        <f>VLOOKUP(B1295, 'All Menu'!B:M, 12, 0)</f>
        <v>0.56074693333333347</v>
      </c>
      <c r="R1295" s="173">
        <f t="shared" si="75"/>
        <v>0</v>
      </c>
    </row>
    <row r="1296" spans="1:18" ht="14" hidden="1">
      <c r="A1296" s="78" t="s">
        <v>2676</v>
      </c>
      <c r="B1296" s="220" t="s">
        <v>925</v>
      </c>
      <c r="C1296" s="185"/>
      <c r="D1296" s="103" t="str">
        <f>VLOOKUP(B1296, 'All Menu'!B:M, 4, 0)</f>
        <v>منقوشة جبنة بيضاء</v>
      </c>
      <c r="E1296" s="30" t="str">
        <f>VLOOKUP(B1296, 'All Menu'!B:M, 2, 0)</f>
        <v>قسم الفرن</v>
      </c>
      <c r="F1296" s="103" t="str">
        <f>VLOOKUP(B1296, 'All Menu'!B:M, 3, 0)</f>
        <v>عجين سفري</v>
      </c>
      <c r="G1296" s="90" t="s">
        <v>2333</v>
      </c>
      <c r="H1296" s="219" t="s">
        <v>498</v>
      </c>
      <c r="I1296" s="110" t="str">
        <f>VLOOKUP(H1296, 'RM &amp; SF'!B:H, 2, 0)</f>
        <v>عجين الصفيحة والمناقيش</v>
      </c>
      <c r="J1296" s="184" t="str">
        <f>VLOOKUP(H1296, 'RM &amp; SF'!B:E, 4, 0)</f>
        <v>غم</v>
      </c>
      <c r="K1296" s="12">
        <v>140</v>
      </c>
      <c r="L1296" s="13">
        <f>VLOOKUP(H1296, 'RM &amp; SF'!B:H, 7, 0)</f>
        <v>4.659980972150147E-4</v>
      </c>
      <c r="M1296" s="7">
        <f t="shared" si="74"/>
        <v>6.523973361010206E-2</v>
      </c>
      <c r="N1296" s="4" t="s">
        <v>825</v>
      </c>
      <c r="O1296" s="4">
        <f>VLOOKUP(B1296, 'All Menu'!B:L, 6, 0)</f>
        <v>0.86206896551724144</v>
      </c>
      <c r="P1296" s="6">
        <f>VLOOKUP(B1296, 'All Menu'!B:L, 9, 0)</f>
        <v>0.59705973361010212</v>
      </c>
      <c r="Q1296" s="14">
        <f>VLOOKUP(B1296, 'All Menu'!B:M, 12, 0)</f>
        <v>0.30741070901228157</v>
      </c>
      <c r="R1296" s="173">
        <f t="shared" si="75"/>
        <v>0</v>
      </c>
    </row>
    <row r="1297" spans="1:18" ht="14" hidden="1">
      <c r="A1297" s="78" t="s">
        <v>2676</v>
      </c>
      <c r="B1297" s="220" t="s">
        <v>925</v>
      </c>
      <c r="C1297" s="185"/>
      <c r="D1297" s="103" t="str">
        <f>VLOOKUP(B1297, 'All Menu'!B:M, 4, 0)</f>
        <v>منقوشة جبنة بيضاء</v>
      </c>
      <c r="E1297" s="30" t="str">
        <f>VLOOKUP(B1297, 'All Menu'!B:M, 2, 0)</f>
        <v>قسم الفرن</v>
      </c>
      <c r="F1297" s="103" t="str">
        <f>VLOOKUP(B1297, 'All Menu'!B:M, 3, 0)</f>
        <v>عجين سفري</v>
      </c>
      <c r="G1297" s="90" t="s">
        <v>2172</v>
      </c>
      <c r="H1297" s="188">
        <v>4559</v>
      </c>
      <c r="I1297" s="110" t="str">
        <f>VLOOKUP(H1297, 'RM &amp; SF'!B:H, 2, 0)</f>
        <v>جبنة عكاوي 5 كغ*****</v>
      </c>
      <c r="J1297" s="184" t="str">
        <f>VLOOKUP(H1297, 'RM &amp; SF'!B:E, 4, 0)</f>
        <v>غم</v>
      </c>
      <c r="K1297" s="12">
        <v>100</v>
      </c>
      <c r="L1297" s="13">
        <f>VLOOKUP(H1297, 'RM &amp; SF'!B:H, 7, 0)</f>
        <v>4.7619999999999997E-3</v>
      </c>
      <c r="M1297" s="7">
        <f t="shared" si="74"/>
        <v>0.47619999999999996</v>
      </c>
      <c r="N1297" s="4" t="s">
        <v>825</v>
      </c>
      <c r="O1297" s="4">
        <f>VLOOKUP(B1297, 'All Menu'!B:L, 6, 0)</f>
        <v>0.86206896551724144</v>
      </c>
      <c r="P1297" s="6">
        <f>VLOOKUP(B1297, 'All Menu'!B:L, 9, 0)</f>
        <v>0.59705973361010212</v>
      </c>
      <c r="Q1297" s="14">
        <f>VLOOKUP(B1297, 'All Menu'!B:M, 12, 0)</f>
        <v>0.30741070901228157</v>
      </c>
      <c r="R1297" s="173">
        <f t="shared" si="75"/>
        <v>0</v>
      </c>
    </row>
    <row r="1298" spans="1:18" ht="14" hidden="1">
      <c r="A1298" s="78" t="s">
        <v>2676</v>
      </c>
      <c r="B1298" s="220" t="s">
        <v>925</v>
      </c>
      <c r="C1298" s="185"/>
      <c r="D1298" s="103" t="str">
        <f>VLOOKUP(B1298, 'All Menu'!B:M, 4, 0)</f>
        <v>منقوشة جبنة بيضاء</v>
      </c>
      <c r="E1298" s="30" t="str">
        <f>VLOOKUP(B1298, 'All Menu'!B:M, 2, 0)</f>
        <v>قسم الفرن</v>
      </c>
      <c r="F1298" s="103" t="str">
        <f>VLOOKUP(B1298, 'All Menu'!B:M, 3, 0)</f>
        <v>عجين سفري</v>
      </c>
      <c r="G1298" s="90" t="s">
        <v>2199</v>
      </c>
      <c r="H1298" s="188">
        <v>4350</v>
      </c>
      <c r="I1298" s="110" t="str">
        <f>VLOOKUP(H1298, 'RM &amp; SF'!B:H, 2, 0)</f>
        <v>صحن كرتون مستطيل مسلفر 1/2 كغ (رقم 1)*****</v>
      </c>
      <c r="J1298" s="184" t="str">
        <f>VLOOKUP(H1298, 'RM &amp; SF'!B:E, 4, 0)</f>
        <v>قطعة</v>
      </c>
      <c r="K1298" s="12">
        <v>1</v>
      </c>
      <c r="L1298" s="13">
        <f>VLOOKUP(H1298, 'RM &amp; SF'!B:H, 7, 0)</f>
        <v>3.0169999999999999E-2</v>
      </c>
      <c r="M1298" s="7">
        <f t="shared" si="74"/>
        <v>3.0169999999999999E-2</v>
      </c>
      <c r="N1298" s="4" t="s">
        <v>825</v>
      </c>
      <c r="O1298" s="4">
        <f>VLOOKUP(B1298, 'All Menu'!B:L, 6, 0)</f>
        <v>0.86206896551724144</v>
      </c>
      <c r="P1298" s="6">
        <f>VLOOKUP(B1298, 'All Menu'!B:L, 9, 0)</f>
        <v>0.59705973361010212</v>
      </c>
      <c r="Q1298" s="14">
        <f>VLOOKUP(B1298, 'All Menu'!B:M, 12, 0)</f>
        <v>0.30741070901228157</v>
      </c>
      <c r="R1298" s="173">
        <f t="shared" si="75"/>
        <v>0</v>
      </c>
    </row>
    <row r="1299" spans="1:18" ht="14" hidden="1">
      <c r="A1299" s="78" t="s">
        <v>2676</v>
      </c>
      <c r="B1299" s="220" t="s">
        <v>925</v>
      </c>
      <c r="C1299" s="185"/>
      <c r="D1299" s="103" t="str">
        <f>VLOOKUP(B1299, 'All Menu'!B:M, 4, 0)</f>
        <v>منقوشة جبنة بيضاء</v>
      </c>
      <c r="E1299" s="30" t="str">
        <f>VLOOKUP(B1299, 'All Menu'!B:M, 2, 0)</f>
        <v>قسم الفرن</v>
      </c>
      <c r="F1299" s="103" t="str">
        <f>VLOOKUP(B1299, 'All Menu'!B:M, 3, 0)</f>
        <v>عجين سفري</v>
      </c>
      <c r="G1299" s="90" t="s">
        <v>2192</v>
      </c>
      <c r="H1299" s="188">
        <v>4298</v>
      </c>
      <c r="I1299" s="110" t="str">
        <f>VLOOKUP(H1299, 'RM &amp; SF'!B:H, 2, 0)</f>
        <v>اكياس ساندويش ورقية مطبوع 22 سم*42 سم 1*100 حبة*****</v>
      </c>
      <c r="J1299" s="184" t="str">
        <f>VLOOKUP(H1299, 'RM &amp; SF'!B:E, 4, 0)</f>
        <v>قطعة</v>
      </c>
      <c r="K1299" s="12">
        <v>1</v>
      </c>
      <c r="L1299" s="13">
        <f>VLOOKUP(H1299, 'RM &amp; SF'!B:H, 7, 0)</f>
        <v>2.3699999999999999E-2</v>
      </c>
      <c r="M1299" s="7">
        <f t="shared" si="74"/>
        <v>2.3699999999999999E-2</v>
      </c>
      <c r="N1299" s="4" t="s">
        <v>825</v>
      </c>
      <c r="O1299" s="4">
        <f>VLOOKUP(B1299, 'All Menu'!B:L, 6, 0)</f>
        <v>0.86206896551724144</v>
      </c>
      <c r="P1299" s="6">
        <f>VLOOKUP(B1299, 'All Menu'!B:L, 9, 0)</f>
        <v>0.59705973361010212</v>
      </c>
      <c r="Q1299" s="14">
        <f>VLOOKUP(B1299, 'All Menu'!B:M, 12, 0)</f>
        <v>0.30741070901228157</v>
      </c>
      <c r="R1299" s="173">
        <f t="shared" si="75"/>
        <v>0</v>
      </c>
    </row>
    <row r="1300" spans="1:18" ht="14" hidden="1">
      <c r="A1300" s="78" t="s">
        <v>2676</v>
      </c>
      <c r="B1300" s="220" t="s">
        <v>925</v>
      </c>
      <c r="C1300" s="185"/>
      <c r="D1300" s="103" t="str">
        <f>VLOOKUP(B1300, 'All Menu'!B:M, 4, 0)</f>
        <v>منقوشة جبنة بيضاء</v>
      </c>
      <c r="E1300" s="30" t="str">
        <f>VLOOKUP(B1300, 'All Menu'!B:M, 2, 0)</f>
        <v>قسم الفرن</v>
      </c>
      <c r="F1300" s="103" t="str">
        <f>VLOOKUP(B1300, 'All Menu'!B:M, 3, 0)</f>
        <v>عجين سفري</v>
      </c>
      <c r="G1300" s="90" t="s">
        <v>3058</v>
      </c>
      <c r="H1300" s="188">
        <v>4311</v>
      </c>
      <c r="I1300" s="110" t="str">
        <f>VLOOKUP(H1300, 'RM &amp; SF'!B:H, 2, 0)</f>
        <v>ورق بلاستيك (شرحات نايلون)*****</v>
      </c>
      <c r="J1300" s="184" t="str">
        <f>VLOOKUP(H1300, 'RM &amp; SF'!B:E, 4, 0)</f>
        <v>قطعة</v>
      </c>
      <c r="K1300" s="12">
        <v>1</v>
      </c>
      <c r="L1300" s="13">
        <f>VLOOKUP(H1300, 'RM &amp; SF'!B:H, 7, 0)</f>
        <v>1.75E-3</v>
      </c>
      <c r="M1300" s="7">
        <f t="shared" si="74"/>
        <v>1.75E-3</v>
      </c>
      <c r="N1300" s="4" t="s">
        <v>825</v>
      </c>
      <c r="O1300" s="4">
        <f>VLOOKUP(B1300, 'All Menu'!B:L, 6, 0)</f>
        <v>0.86206896551724144</v>
      </c>
      <c r="P1300" s="6">
        <f>VLOOKUP(B1300, 'All Menu'!B:L, 9, 0)</f>
        <v>0.59705973361010212</v>
      </c>
      <c r="Q1300" s="14">
        <f>VLOOKUP(B1300, 'All Menu'!B:M, 12, 0)</f>
        <v>0.30741070901228157</v>
      </c>
      <c r="R1300" s="173">
        <f t="shared" si="75"/>
        <v>0</v>
      </c>
    </row>
    <row r="1301" spans="1:18" ht="14" hidden="1">
      <c r="A1301" s="78" t="s">
        <v>2669</v>
      </c>
      <c r="B1301" s="220" t="s">
        <v>926</v>
      </c>
      <c r="C1301" s="185"/>
      <c r="D1301" s="103" t="str">
        <f>VLOOKUP(B1301, 'All Menu'!B:M, 4, 0)</f>
        <v>قشقوان</v>
      </c>
      <c r="E1301" s="30" t="str">
        <f>VLOOKUP(B1301, 'All Menu'!B:M, 2, 0)</f>
        <v>قسم الفرن</v>
      </c>
      <c r="F1301" s="103" t="str">
        <f>VLOOKUP(B1301, 'All Menu'!B:M, 3, 0)</f>
        <v>عجين سفري</v>
      </c>
      <c r="G1301" s="90" t="s">
        <v>2333</v>
      </c>
      <c r="H1301" s="219" t="s">
        <v>498</v>
      </c>
      <c r="I1301" s="110" t="str">
        <f>VLOOKUP(H1301, 'RM &amp; SF'!B:H, 2, 0)</f>
        <v>عجين الصفيحة والمناقيش</v>
      </c>
      <c r="J1301" s="184" t="str">
        <f>VLOOKUP(H1301, 'RM &amp; SF'!B:E, 4, 0)</f>
        <v>غم</v>
      </c>
      <c r="K1301" s="12">
        <v>140</v>
      </c>
      <c r="L1301" s="13">
        <f>VLOOKUP(H1301, 'RM &amp; SF'!B:H, 7, 0)</f>
        <v>4.659980972150147E-4</v>
      </c>
      <c r="M1301" s="7">
        <f t="shared" si="74"/>
        <v>6.523973361010206E-2</v>
      </c>
      <c r="N1301" s="4" t="s">
        <v>825</v>
      </c>
      <c r="O1301" s="4">
        <f>VLOOKUP(B1301, 'All Menu'!B:L, 6, 0)</f>
        <v>1.0775862068965518</v>
      </c>
      <c r="P1301" s="6">
        <f>VLOOKUP(B1301, 'All Menu'!B:L, 9, 0)</f>
        <v>0.40548473361010201</v>
      </c>
      <c r="Q1301" s="14">
        <f>VLOOKUP(B1301, 'All Menu'!B:M, 12, 0)</f>
        <v>0.62371016720982542</v>
      </c>
      <c r="R1301" s="173">
        <f t="shared" si="75"/>
        <v>0</v>
      </c>
    </row>
    <row r="1302" spans="1:18" ht="14" hidden="1">
      <c r="A1302" s="78" t="s">
        <v>2669</v>
      </c>
      <c r="B1302" s="220" t="s">
        <v>926</v>
      </c>
      <c r="C1302" s="185"/>
      <c r="D1302" s="103" t="str">
        <f>VLOOKUP(B1302, 'All Menu'!B:M, 4, 0)</f>
        <v>قشقوان</v>
      </c>
      <c r="E1302" s="30" t="str">
        <f>VLOOKUP(B1302, 'All Menu'!B:M, 2, 0)</f>
        <v>قسم الفرن</v>
      </c>
      <c r="F1302" s="103" t="str">
        <f>VLOOKUP(B1302, 'All Menu'!B:M, 3, 0)</f>
        <v>عجين سفري</v>
      </c>
      <c r="G1302" s="90" t="s">
        <v>2173</v>
      </c>
      <c r="H1302" s="188">
        <v>4624</v>
      </c>
      <c r="I1302" s="110" t="str">
        <f>VLOOKUP(H1302, 'RM &amp; SF'!B:H, 2, 0)</f>
        <v>جبنة موزريلا قالب 2.380 كغ*****</v>
      </c>
      <c r="J1302" s="184" t="str">
        <f>VLOOKUP(H1302, 'RM &amp; SF'!B:E, 4, 0)</f>
        <v>غم</v>
      </c>
      <c r="K1302" s="12">
        <v>55</v>
      </c>
      <c r="L1302" s="13">
        <f>VLOOKUP(H1302, 'RM &amp; SF'!B:H, 7, 0)</f>
        <v>5.1749999999999999E-3</v>
      </c>
      <c r="M1302" s="7">
        <f t="shared" si="74"/>
        <v>0.28462500000000002</v>
      </c>
      <c r="N1302" s="4" t="s">
        <v>825</v>
      </c>
      <c r="O1302" s="4">
        <f>VLOOKUP(B1302, 'All Menu'!B:L, 6, 0)</f>
        <v>1.0775862068965518</v>
      </c>
      <c r="P1302" s="6">
        <f>VLOOKUP(B1302, 'All Menu'!B:L, 9, 0)</f>
        <v>0.40548473361010201</v>
      </c>
      <c r="Q1302" s="14">
        <f>VLOOKUP(B1302, 'All Menu'!B:M, 12, 0)</f>
        <v>0.62371016720982542</v>
      </c>
      <c r="R1302" s="173">
        <f t="shared" si="75"/>
        <v>0</v>
      </c>
    </row>
    <row r="1303" spans="1:18" ht="14" hidden="1">
      <c r="A1303" s="78" t="s">
        <v>2669</v>
      </c>
      <c r="B1303" s="220" t="s">
        <v>926</v>
      </c>
      <c r="C1303" s="185"/>
      <c r="D1303" s="103" t="str">
        <f>VLOOKUP(B1303, 'All Menu'!B:M, 4, 0)</f>
        <v>قشقوان</v>
      </c>
      <c r="E1303" s="30" t="str">
        <f>VLOOKUP(B1303, 'All Menu'!B:M, 2, 0)</f>
        <v>قسم الفرن</v>
      </c>
      <c r="F1303" s="103" t="str">
        <f>VLOOKUP(B1303, 'All Menu'!B:M, 3, 0)</f>
        <v>عجين سفري</v>
      </c>
      <c r="G1303" s="90" t="s">
        <v>2199</v>
      </c>
      <c r="H1303" s="188">
        <v>4350</v>
      </c>
      <c r="I1303" s="110" t="str">
        <f>VLOOKUP(H1303, 'RM &amp; SF'!B:H, 2, 0)</f>
        <v>صحن كرتون مستطيل مسلفر 1/2 كغ (رقم 1)*****</v>
      </c>
      <c r="J1303" s="184" t="str">
        <f>VLOOKUP(H1303, 'RM &amp; SF'!B:E, 4, 0)</f>
        <v>قطعة</v>
      </c>
      <c r="K1303" s="12">
        <v>1</v>
      </c>
      <c r="L1303" s="13">
        <f>VLOOKUP(H1303, 'RM &amp; SF'!B:H, 7, 0)</f>
        <v>3.0169999999999999E-2</v>
      </c>
      <c r="M1303" s="7">
        <f t="shared" si="74"/>
        <v>3.0169999999999999E-2</v>
      </c>
      <c r="N1303" s="4" t="s">
        <v>825</v>
      </c>
      <c r="O1303" s="4">
        <f>VLOOKUP(B1303, 'All Menu'!B:L, 6, 0)</f>
        <v>1.0775862068965518</v>
      </c>
      <c r="P1303" s="6">
        <f>VLOOKUP(B1303, 'All Menu'!B:L, 9, 0)</f>
        <v>0.40548473361010201</v>
      </c>
      <c r="Q1303" s="14">
        <f>VLOOKUP(B1303, 'All Menu'!B:M, 12, 0)</f>
        <v>0.62371016720982542</v>
      </c>
      <c r="R1303" s="173">
        <f t="shared" si="75"/>
        <v>0</v>
      </c>
    </row>
    <row r="1304" spans="1:18" ht="14" hidden="1">
      <c r="A1304" s="78" t="s">
        <v>2669</v>
      </c>
      <c r="B1304" s="220" t="s">
        <v>926</v>
      </c>
      <c r="C1304" s="185"/>
      <c r="D1304" s="103" t="str">
        <f>VLOOKUP(B1304, 'All Menu'!B:M, 4, 0)</f>
        <v>قشقوان</v>
      </c>
      <c r="E1304" s="30" t="str">
        <f>VLOOKUP(B1304, 'All Menu'!B:M, 2, 0)</f>
        <v>قسم الفرن</v>
      </c>
      <c r="F1304" s="103" t="str">
        <f>VLOOKUP(B1304, 'All Menu'!B:M, 3, 0)</f>
        <v>عجين سفري</v>
      </c>
      <c r="G1304" s="90" t="s">
        <v>2192</v>
      </c>
      <c r="H1304" s="188">
        <v>4298</v>
      </c>
      <c r="I1304" s="110" t="str">
        <f>VLOOKUP(H1304, 'RM &amp; SF'!B:H, 2, 0)</f>
        <v>اكياس ساندويش ورقية مطبوع 22 سم*42 سم 1*100 حبة*****</v>
      </c>
      <c r="J1304" s="184" t="str">
        <f>VLOOKUP(H1304, 'RM &amp; SF'!B:E, 4, 0)</f>
        <v>قطعة</v>
      </c>
      <c r="K1304" s="12">
        <v>1</v>
      </c>
      <c r="L1304" s="13">
        <f>VLOOKUP(H1304, 'RM &amp; SF'!B:H, 7, 0)</f>
        <v>2.3699999999999999E-2</v>
      </c>
      <c r="M1304" s="7">
        <f t="shared" si="74"/>
        <v>2.3699999999999999E-2</v>
      </c>
      <c r="N1304" s="4" t="s">
        <v>825</v>
      </c>
      <c r="O1304" s="4">
        <f>VLOOKUP(B1304, 'All Menu'!B:L, 6, 0)</f>
        <v>1.0775862068965518</v>
      </c>
      <c r="P1304" s="6">
        <f>VLOOKUP(B1304, 'All Menu'!B:L, 9, 0)</f>
        <v>0.40548473361010201</v>
      </c>
      <c r="Q1304" s="14">
        <f>VLOOKUP(B1304, 'All Menu'!B:M, 12, 0)</f>
        <v>0.62371016720982542</v>
      </c>
      <c r="R1304" s="173">
        <f t="shared" si="75"/>
        <v>0</v>
      </c>
    </row>
    <row r="1305" spans="1:18" ht="14" hidden="1">
      <c r="A1305" s="78" t="s">
        <v>2669</v>
      </c>
      <c r="B1305" s="220" t="s">
        <v>926</v>
      </c>
      <c r="C1305" s="185"/>
      <c r="D1305" s="103" t="str">
        <f>VLOOKUP(B1305, 'All Menu'!B:M, 4, 0)</f>
        <v>قشقوان</v>
      </c>
      <c r="E1305" s="30" t="str">
        <f>VLOOKUP(B1305, 'All Menu'!B:M, 2, 0)</f>
        <v>قسم الفرن</v>
      </c>
      <c r="F1305" s="103" t="str">
        <f>VLOOKUP(B1305, 'All Menu'!B:M, 3, 0)</f>
        <v>عجين سفري</v>
      </c>
      <c r="G1305" s="90" t="s">
        <v>3058</v>
      </c>
      <c r="H1305" s="188">
        <v>4311</v>
      </c>
      <c r="I1305" s="110" t="str">
        <f>VLOOKUP(H1305, 'RM &amp; SF'!B:H, 2, 0)</f>
        <v>ورق بلاستيك (شرحات نايلون)*****</v>
      </c>
      <c r="J1305" s="184" t="str">
        <f>VLOOKUP(H1305, 'RM &amp; SF'!B:E, 4, 0)</f>
        <v>قطعة</v>
      </c>
      <c r="K1305" s="12">
        <v>1</v>
      </c>
      <c r="L1305" s="13">
        <f>VLOOKUP(H1305, 'RM &amp; SF'!B:H, 7, 0)</f>
        <v>1.75E-3</v>
      </c>
      <c r="M1305" s="7">
        <f t="shared" si="74"/>
        <v>1.75E-3</v>
      </c>
      <c r="N1305" s="4" t="s">
        <v>825</v>
      </c>
      <c r="O1305" s="4">
        <f>VLOOKUP(B1305, 'All Menu'!B:L, 6, 0)</f>
        <v>1.0775862068965518</v>
      </c>
      <c r="P1305" s="6">
        <f>VLOOKUP(B1305, 'All Menu'!B:L, 9, 0)</f>
        <v>0.40548473361010201</v>
      </c>
      <c r="Q1305" s="14">
        <f>VLOOKUP(B1305, 'All Menu'!B:M, 12, 0)</f>
        <v>0.62371016720982542</v>
      </c>
      <c r="R1305" s="173">
        <f t="shared" si="75"/>
        <v>0</v>
      </c>
    </row>
    <row r="1306" spans="1:18" ht="14" hidden="1">
      <c r="A1306" s="78" t="s">
        <v>2680</v>
      </c>
      <c r="B1306" s="220" t="s">
        <v>927</v>
      </c>
      <c r="C1306" s="185"/>
      <c r="D1306" s="103" t="str">
        <f>VLOOKUP(B1306, 'All Menu'!B:M, 4, 0)</f>
        <v>زعتر بلدي</v>
      </c>
      <c r="E1306" s="30" t="str">
        <f>VLOOKUP(B1306, 'All Menu'!B:M, 2, 0)</f>
        <v>قسم الفرن</v>
      </c>
      <c r="F1306" s="103" t="str">
        <f>VLOOKUP(B1306, 'All Menu'!B:M, 3, 0)</f>
        <v>عجين سفري</v>
      </c>
      <c r="G1306" s="90" t="s">
        <v>2333</v>
      </c>
      <c r="H1306" s="219" t="s">
        <v>498</v>
      </c>
      <c r="I1306" s="110" t="str">
        <f>VLOOKUP(H1306, 'RM &amp; SF'!B:H, 2, 0)</f>
        <v>عجين الصفيحة والمناقيش</v>
      </c>
      <c r="J1306" s="184" t="str">
        <f>VLOOKUP(H1306, 'RM &amp; SF'!B:E, 4, 0)</f>
        <v>غم</v>
      </c>
      <c r="K1306" s="12">
        <v>140</v>
      </c>
      <c r="L1306" s="13">
        <f>VLOOKUP(H1306, 'RM &amp; SF'!B:H, 7, 0)</f>
        <v>4.659980972150147E-4</v>
      </c>
      <c r="M1306" s="7">
        <f t="shared" si="74"/>
        <v>6.523973361010206E-2</v>
      </c>
      <c r="N1306" s="4" t="s">
        <v>825</v>
      </c>
      <c r="O1306" s="4">
        <f>VLOOKUP(B1306, 'All Menu'!B:L, 6, 0)</f>
        <v>0.60344827586206895</v>
      </c>
      <c r="P1306" s="6">
        <f>VLOOKUP(B1306, 'All Menu'!B:L, 9, 0)</f>
        <v>0.23578973361010208</v>
      </c>
      <c r="Q1306" s="14">
        <f>VLOOKUP(B1306, 'All Menu'!B:M, 12, 0)</f>
        <v>0.60926272716040231</v>
      </c>
      <c r="R1306" s="173">
        <f t="shared" si="75"/>
        <v>0</v>
      </c>
    </row>
    <row r="1307" spans="1:18" ht="14" hidden="1">
      <c r="A1307" s="78" t="s">
        <v>2680</v>
      </c>
      <c r="B1307" s="220" t="s">
        <v>927</v>
      </c>
      <c r="C1307" s="185"/>
      <c r="D1307" s="103" t="str">
        <f>VLOOKUP(B1307, 'All Menu'!B:M, 4, 0)</f>
        <v>زعتر بلدي</v>
      </c>
      <c r="E1307" s="30" t="str">
        <f>VLOOKUP(B1307, 'All Menu'!B:M, 2, 0)</f>
        <v>قسم الفرن</v>
      </c>
      <c r="F1307" s="103" t="str">
        <f>VLOOKUP(B1307, 'All Menu'!B:M, 3, 0)</f>
        <v>عجين سفري</v>
      </c>
      <c r="G1307" s="90" t="s">
        <v>2260</v>
      </c>
      <c r="H1307" s="188">
        <v>4160</v>
      </c>
      <c r="I1307" s="110" t="str">
        <f>VLOOKUP(H1307, 'RM &amp; SF'!B:H, 2, 0)</f>
        <v>زيت صويا 18 لتر*****</v>
      </c>
      <c r="J1307" s="184" t="str">
        <f>VLOOKUP(H1307, 'RM &amp; SF'!B:E, 4, 0)</f>
        <v>مل</v>
      </c>
      <c r="K1307" s="12">
        <v>20</v>
      </c>
      <c r="L1307" s="13">
        <f>VLOOKUP(H1307, 'RM &amp; SF'!B:H, 7, 0)</f>
        <v>1.335E-3</v>
      </c>
      <c r="M1307" s="7">
        <f t="shared" si="74"/>
        <v>2.6700000000000002E-2</v>
      </c>
      <c r="N1307" s="4" t="s">
        <v>825</v>
      </c>
      <c r="O1307" s="4">
        <f>VLOOKUP(B1307, 'All Menu'!B:L, 6, 0)</f>
        <v>0.60344827586206895</v>
      </c>
      <c r="P1307" s="6">
        <f>VLOOKUP(B1307, 'All Menu'!B:L, 9, 0)</f>
        <v>0.23578973361010208</v>
      </c>
      <c r="Q1307" s="14">
        <f>VLOOKUP(B1307, 'All Menu'!B:M, 12, 0)</f>
        <v>0.60926272716040231</v>
      </c>
      <c r="R1307" s="173">
        <f t="shared" si="75"/>
        <v>0</v>
      </c>
    </row>
    <row r="1308" spans="1:18" ht="14" hidden="1">
      <c r="A1308" s="78" t="s">
        <v>2680</v>
      </c>
      <c r="B1308" s="220" t="s">
        <v>927</v>
      </c>
      <c r="C1308" s="185"/>
      <c r="D1308" s="103" t="str">
        <f>VLOOKUP(B1308, 'All Menu'!B:M, 4, 0)</f>
        <v>زعتر بلدي</v>
      </c>
      <c r="E1308" s="30" t="str">
        <f>VLOOKUP(B1308, 'All Menu'!B:M, 2, 0)</f>
        <v>قسم الفرن</v>
      </c>
      <c r="F1308" s="103" t="str">
        <f>VLOOKUP(B1308, 'All Menu'!B:M, 3, 0)</f>
        <v>عجين سفري</v>
      </c>
      <c r="G1308" s="90" t="s">
        <v>2227</v>
      </c>
      <c r="H1308" s="188">
        <v>4217</v>
      </c>
      <c r="I1308" s="110" t="str">
        <f>VLOOKUP(H1308, 'RM &amp; SF'!B:H, 2, 0)</f>
        <v>زعتر بلدي*****</v>
      </c>
      <c r="J1308" s="184" t="str">
        <f>VLOOKUP(H1308, 'RM &amp; SF'!B:E, 4, 0)</f>
        <v>غم</v>
      </c>
      <c r="K1308" s="12">
        <v>30</v>
      </c>
      <c r="L1308" s="13">
        <f>VLOOKUP(H1308, 'RM &amp; SF'!B:H, 7, 0)</f>
        <v>2.941E-3</v>
      </c>
      <c r="M1308" s="7">
        <f t="shared" si="74"/>
        <v>8.8230000000000003E-2</v>
      </c>
      <c r="N1308" s="4" t="s">
        <v>825</v>
      </c>
      <c r="O1308" s="4">
        <f>VLOOKUP(B1308, 'All Menu'!B:L, 6, 0)</f>
        <v>0.60344827586206895</v>
      </c>
      <c r="P1308" s="6">
        <f>VLOOKUP(B1308, 'All Menu'!B:L, 9, 0)</f>
        <v>0.23578973361010208</v>
      </c>
      <c r="Q1308" s="14">
        <f>VLOOKUP(B1308, 'All Menu'!B:M, 12, 0)</f>
        <v>0.60926272716040231</v>
      </c>
      <c r="R1308" s="173">
        <f t="shared" si="75"/>
        <v>0</v>
      </c>
    </row>
    <row r="1309" spans="1:18" ht="14" hidden="1">
      <c r="A1309" s="78" t="s">
        <v>2680</v>
      </c>
      <c r="B1309" s="220" t="s">
        <v>927</v>
      </c>
      <c r="C1309" s="185"/>
      <c r="D1309" s="103" t="str">
        <f>VLOOKUP(B1309, 'All Menu'!B:M, 4, 0)</f>
        <v>زعتر بلدي</v>
      </c>
      <c r="E1309" s="30" t="str">
        <f>VLOOKUP(B1309, 'All Menu'!B:M, 2, 0)</f>
        <v>قسم الفرن</v>
      </c>
      <c r="F1309" s="103" t="str">
        <f>VLOOKUP(B1309, 'All Menu'!B:M, 3, 0)</f>
        <v>عجين سفري</v>
      </c>
      <c r="G1309" s="90" t="s">
        <v>2199</v>
      </c>
      <c r="H1309" s="188">
        <v>4350</v>
      </c>
      <c r="I1309" s="110" t="str">
        <f>VLOOKUP(H1309, 'RM &amp; SF'!B:H, 2, 0)</f>
        <v>صحن كرتون مستطيل مسلفر 1/2 كغ (رقم 1)*****</v>
      </c>
      <c r="J1309" s="184" t="str">
        <f>VLOOKUP(H1309, 'RM &amp; SF'!B:E, 4, 0)</f>
        <v>قطعة</v>
      </c>
      <c r="K1309" s="12">
        <v>1</v>
      </c>
      <c r="L1309" s="13">
        <f>VLOOKUP(H1309, 'RM &amp; SF'!B:H, 7, 0)</f>
        <v>3.0169999999999999E-2</v>
      </c>
      <c r="M1309" s="7">
        <f t="shared" si="74"/>
        <v>3.0169999999999999E-2</v>
      </c>
      <c r="N1309" s="4" t="s">
        <v>825</v>
      </c>
      <c r="O1309" s="4">
        <f>VLOOKUP(B1309, 'All Menu'!B:L, 6, 0)</f>
        <v>0.60344827586206895</v>
      </c>
      <c r="P1309" s="6">
        <f>VLOOKUP(B1309, 'All Menu'!B:L, 9, 0)</f>
        <v>0.23578973361010208</v>
      </c>
      <c r="Q1309" s="14">
        <f>VLOOKUP(B1309, 'All Menu'!B:M, 12, 0)</f>
        <v>0.60926272716040231</v>
      </c>
      <c r="R1309" s="173">
        <f t="shared" si="75"/>
        <v>0</v>
      </c>
    </row>
    <row r="1310" spans="1:18" ht="14" hidden="1">
      <c r="A1310" s="78" t="s">
        <v>2680</v>
      </c>
      <c r="B1310" s="220" t="s">
        <v>927</v>
      </c>
      <c r="C1310" s="185"/>
      <c r="D1310" s="103" t="str">
        <f>VLOOKUP(B1310, 'All Menu'!B:M, 4, 0)</f>
        <v>زعتر بلدي</v>
      </c>
      <c r="E1310" s="30" t="str">
        <f>VLOOKUP(B1310, 'All Menu'!B:M, 2, 0)</f>
        <v>قسم الفرن</v>
      </c>
      <c r="F1310" s="103" t="str">
        <f>VLOOKUP(B1310, 'All Menu'!B:M, 3, 0)</f>
        <v>عجين سفري</v>
      </c>
      <c r="G1310" s="90" t="s">
        <v>2192</v>
      </c>
      <c r="H1310" s="188">
        <v>4298</v>
      </c>
      <c r="I1310" s="110" t="str">
        <f>VLOOKUP(H1310, 'RM &amp; SF'!B:H, 2, 0)</f>
        <v>اكياس ساندويش ورقية مطبوع 22 سم*42 سم 1*100 حبة*****</v>
      </c>
      <c r="J1310" s="184" t="str">
        <f>VLOOKUP(H1310, 'RM &amp; SF'!B:E, 4, 0)</f>
        <v>قطعة</v>
      </c>
      <c r="K1310" s="12">
        <v>1</v>
      </c>
      <c r="L1310" s="13">
        <f>VLOOKUP(H1310, 'RM &amp; SF'!B:H, 7, 0)</f>
        <v>2.3699999999999999E-2</v>
      </c>
      <c r="M1310" s="7">
        <f t="shared" si="74"/>
        <v>2.3699999999999999E-2</v>
      </c>
      <c r="N1310" s="4" t="s">
        <v>825</v>
      </c>
      <c r="O1310" s="4">
        <f>VLOOKUP(B1310, 'All Menu'!B:L, 6, 0)</f>
        <v>0.60344827586206895</v>
      </c>
      <c r="P1310" s="6">
        <f>VLOOKUP(B1310, 'All Menu'!B:L, 9, 0)</f>
        <v>0.23578973361010208</v>
      </c>
      <c r="Q1310" s="14">
        <f>VLOOKUP(B1310, 'All Menu'!B:M, 12, 0)</f>
        <v>0.60926272716040231</v>
      </c>
      <c r="R1310" s="173">
        <f t="shared" si="75"/>
        <v>0</v>
      </c>
    </row>
    <row r="1311" spans="1:18" ht="14" hidden="1">
      <c r="A1311" s="78" t="s">
        <v>2680</v>
      </c>
      <c r="B1311" s="220" t="s">
        <v>927</v>
      </c>
      <c r="C1311" s="185"/>
      <c r="D1311" s="103" t="str">
        <f>VLOOKUP(B1311, 'All Menu'!B:M, 4, 0)</f>
        <v>زعتر بلدي</v>
      </c>
      <c r="E1311" s="30" t="str">
        <f>VLOOKUP(B1311, 'All Menu'!B:M, 2, 0)</f>
        <v>قسم الفرن</v>
      </c>
      <c r="F1311" s="103" t="str">
        <f>VLOOKUP(B1311, 'All Menu'!B:M, 3, 0)</f>
        <v>عجين سفري</v>
      </c>
      <c r="G1311" s="90" t="s">
        <v>3058</v>
      </c>
      <c r="H1311" s="188">
        <v>4311</v>
      </c>
      <c r="I1311" s="110" t="str">
        <f>VLOOKUP(H1311, 'RM &amp; SF'!B:H, 2, 0)</f>
        <v>ورق بلاستيك (شرحات نايلون)*****</v>
      </c>
      <c r="J1311" s="184" t="str">
        <f>VLOOKUP(H1311, 'RM &amp; SF'!B:E, 4, 0)</f>
        <v>قطعة</v>
      </c>
      <c r="K1311" s="12">
        <v>1</v>
      </c>
      <c r="L1311" s="13">
        <f>VLOOKUP(H1311, 'RM &amp; SF'!B:H, 7, 0)</f>
        <v>1.75E-3</v>
      </c>
      <c r="M1311" s="7">
        <f t="shared" si="74"/>
        <v>1.75E-3</v>
      </c>
      <c r="N1311" s="4" t="s">
        <v>825</v>
      </c>
      <c r="O1311" s="4">
        <f>VLOOKUP(B1311, 'All Menu'!B:L, 6, 0)</f>
        <v>0.60344827586206895</v>
      </c>
      <c r="P1311" s="6">
        <f>VLOOKUP(B1311, 'All Menu'!B:L, 9, 0)</f>
        <v>0.23578973361010208</v>
      </c>
      <c r="Q1311" s="14">
        <f>VLOOKUP(B1311, 'All Menu'!B:M, 12, 0)</f>
        <v>0.60926272716040231</v>
      </c>
      <c r="R1311" s="173">
        <f t="shared" si="75"/>
        <v>0</v>
      </c>
    </row>
    <row r="1312" spans="1:18" ht="14" hidden="1">
      <c r="A1312" s="78" t="s">
        <v>2677</v>
      </c>
      <c r="B1312" s="220" t="s">
        <v>928</v>
      </c>
      <c r="C1312" s="185"/>
      <c r="D1312" s="103" t="str">
        <f>VLOOKUP(B1312, 'All Menu'!B:M, 4, 0)</f>
        <v>زعتر وجبنة</v>
      </c>
      <c r="E1312" s="30" t="str">
        <f>VLOOKUP(B1312, 'All Menu'!B:M, 2, 0)</f>
        <v>قسم الفرن</v>
      </c>
      <c r="F1312" s="103" t="str">
        <f>VLOOKUP(B1312, 'All Menu'!B:M, 3, 0)</f>
        <v>عجين سفري</v>
      </c>
      <c r="G1312" s="90" t="s">
        <v>2333</v>
      </c>
      <c r="H1312" s="219" t="s">
        <v>498</v>
      </c>
      <c r="I1312" s="110" t="str">
        <f>VLOOKUP(H1312, 'RM &amp; SF'!B:H, 2, 0)</f>
        <v>عجين الصفيحة والمناقيش</v>
      </c>
      <c r="J1312" s="184" t="str">
        <f>VLOOKUP(H1312, 'RM &amp; SF'!B:E, 4, 0)</f>
        <v>غم</v>
      </c>
      <c r="K1312" s="12">
        <v>140</v>
      </c>
      <c r="L1312" s="13">
        <f>VLOOKUP(H1312, 'RM &amp; SF'!B:H, 7, 0)</f>
        <v>4.659980972150147E-4</v>
      </c>
      <c r="M1312" s="7">
        <f t="shared" si="74"/>
        <v>6.523973361010206E-2</v>
      </c>
      <c r="N1312" s="4" t="s">
        <v>825</v>
      </c>
      <c r="O1312" s="4">
        <f>VLOOKUP(B1312, 'All Menu'!B:L, 6, 0)</f>
        <v>0.86206896551724144</v>
      </c>
      <c r="P1312" s="6">
        <f>VLOOKUP(B1312, 'All Menu'!B:L, 9, 0)</f>
        <v>0.34831973361010199</v>
      </c>
      <c r="Q1312" s="14">
        <f>VLOOKUP(B1312, 'All Menu'!B:M, 12, 0)</f>
        <v>0.59594910901228182</v>
      </c>
      <c r="R1312" s="173">
        <f t="shared" si="75"/>
        <v>0</v>
      </c>
    </row>
    <row r="1313" spans="1:18" ht="14" hidden="1">
      <c r="A1313" s="78" t="s">
        <v>2677</v>
      </c>
      <c r="B1313" s="220" t="s">
        <v>928</v>
      </c>
      <c r="C1313" s="185"/>
      <c r="D1313" s="103" t="str">
        <f>VLOOKUP(B1313, 'All Menu'!B:M, 4, 0)</f>
        <v>زعتر وجبنة</v>
      </c>
      <c r="E1313" s="30" t="str">
        <f>VLOOKUP(B1313, 'All Menu'!B:M, 2, 0)</f>
        <v>قسم الفرن</v>
      </c>
      <c r="F1313" s="103" t="str">
        <f>VLOOKUP(B1313, 'All Menu'!B:M, 3, 0)</f>
        <v>عجين سفري</v>
      </c>
      <c r="G1313" s="90" t="s">
        <v>2357</v>
      </c>
      <c r="H1313" s="219" t="s">
        <v>744</v>
      </c>
      <c r="I1313" s="110" t="str">
        <f>VLOOKUP(H1313, 'RM &amp; SF'!B:H, 2, 0)</f>
        <v>زيت زيتون مكسور</v>
      </c>
      <c r="J1313" s="184" t="str">
        <f>VLOOKUP(H1313, 'RM &amp; SF'!B:E, 4, 0)</f>
        <v>غم</v>
      </c>
      <c r="K1313" s="12">
        <v>20</v>
      </c>
      <c r="L1313" s="13">
        <f>VLOOKUP(H1313, 'RM &amp; SF'!B:H, 7, 0)</f>
        <v>3.3899999999999998E-3</v>
      </c>
      <c r="M1313" s="7">
        <f t="shared" ref="M1313:M1376" si="76">L1313*K1313</f>
        <v>6.7799999999999999E-2</v>
      </c>
      <c r="N1313" s="4" t="s">
        <v>825</v>
      </c>
      <c r="O1313" s="4">
        <f>VLOOKUP(B1313, 'All Menu'!B:L, 6, 0)</f>
        <v>0.86206896551724144</v>
      </c>
      <c r="P1313" s="6">
        <f>VLOOKUP(B1313, 'All Menu'!B:L, 9, 0)</f>
        <v>0.34831973361010199</v>
      </c>
      <c r="Q1313" s="14">
        <f>VLOOKUP(B1313, 'All Menu'!B:M, 12, 0)</f>
        <v>0.59594910901228182</v>
      </c>
      <c r="R1313" s="173">
        <f t="shared" si="75"/>
        <v>0</v>
      </c>
    </row>
    <row r="1314" spans="1:18" ht="14" hidden="1">
      <c r="A1314" s="78" t="s">
        <v>2677</v>
      </c>
      <c r="B1314" s="220" t="s">
        <v>928</v>
      </c>
      <c r="C1314" s="185"/>
      <c r="D1314" s="103" t="str">
        <f>VLOOKUP(B1314, 'All Menu'!B:M, 4, 0)</f>
        <v>زعتر وجبنة</v>
      </c>
      <c r="E1314" s="30" t="str">
        <f>VLOOKUP(B1314, 'All Menu'!B:M, 2, 0)</f>
        <v>قسم الفرن</v>
      </c>
      <c r="F1314" s="103" t="str">
        <f>VLOOKUP(B1314, 'All Menu'!B:M, 3, 0)</f>
        <v>عجين سفري</v>
      </c>
      <c r="G1314" s="90" t="s">
        <v>2227</v>
      </c>
      <c r="H1314" s="188">
        <v>4217</v>
      </c>
      <c r="I1314" s="110" t="str">
        <f>VLOOKUP(H1314, 'RM &amp; SF'!B:H, 2, 0)</f>
        <v>زعتر بلدي*****</v>
      </c>
      <c r="J1314" s="184" t="str">
        <f>VLOOKUP(H1314, 'RM &amp; SF'!B:E, 4, 0)</f>
        <v>غم</v>
      </c>
      <c r="K1314" s="12">
        <v>30</v>
      </c>
      <c r="L1314" s="13">
        <f>VLOOKUP(H1314, 'RM &amp; SF'!B:H, 7, 0)</f>
        <v>2.941E-3</v>
      </c>
      <c r="M1314" s="7">
        <f t="shared" si="76"/>
        <v>8.8230000000000003E-2</v>
      </c>
      <c r="N1314" s="4" t="s">
        <v>825</v>
      </c>
      <c r="O1314" s="4">
        <f>VLOOKUP(B1314, 'All Menu'!B:L, 6, 0)</f>
        <v>0.86206896551724144</v>
      </c>
      <c r="P1314" s="6">
        <f>VLOOKUP(B1314, 'All Menu'!B:L, 9, 0)</f>
        <v>0.34831973361010199</v>
      </c>
      <c r="Q1314" s="14">
        <f>VLOOKUP(B1314, 'All Menu'!B:M, 12, 0)</f>
        <v>0.59594910901228182</v>
      </c>
      <c r="R1314" s="173">
        <f t="shared" si="75"/>
        <v>0</v>
      </c>
    </row>
    <row r="1315" spans="1:18" ht="14" hidden="1">
      <c r="A1315" s="78" t="s">
        <v>2677</v>
      </c>
      <c r="B1315" s="220" t="s">
        <v>928</v>
      </c>
      <c r="C1315" s="185"/>
      <c r="D1315" s="103" t="str">
        <f>VLOOKUP(B1315, 'All Menu'!B:M, 4, 0)</f>
        <v>زعتر وجبنة</v>
      </c>
      <c r="E1315" s="30" t="str">
        <f>VLOOKUP(B1315, 'All Menu'!B:M, 2, 0)</f>
        <v>قسم الفرن</v>
      </c>
      <c r="F1315" s="103" t="str">
        <f>VLOOKUP(B1315, 'All Menu'!B:M, 3, 0)</f>
        <v>عجين سفري</v>
      </c>
      <c r="G1315" s="90" t="s">
        <v>2172</v>
      </c>
      <c r="H1315" s="188">
        <v>4559</v>
      </c>
      <c r="I1315" s="110" t="str">
        <f>VLOOKUP(H1315, 'RM &amp; SF'!B:H, 2, 0)</f>
        <v>جبنة عكاوي 5 كغ*****</v>
      </c>
      <c r="J1315" s="184" t="str">
        <f>VLOOKUP(H1315, 'RM &amp; SF'!B:E, 4, 0)</f>
        <v>غم</v>
      </c>
      <c r="K1315" s="12">
        <v>15</v>
      </c>
      <c r="L1315" s="13">
        <f>VLOOKUP(H1315, 'RM &amp; SF'!B:H, 7, 0)</f>
        <v>4.7619999999999997E-3</v>
      </c>
      <c r="M1315" s="7">
        <f t="shared" si="76"/>
        <v>7.1429999999999993E-2</v>
      </c>
      <c r="N1315" s="4" t="s">
        <v>825</v>
      </c>
      <c r="O1315" s="4">
        <f>VLOOKUP(B1315, 'All Menu'!B:L, 6, 0)</f>
        <v>0.86206896551724144</v>
      </c>
      <c r="P1315" s="6">
        <f>VLOOKUP(B1315, 'All Menu'!B:L, 9, 0)</f>
        <v>0.34831973361010199</v>
      </c>
      <c r="Q1315" s="14">
        <f>VLOOKUP(B1315, 'All Menu'!B:M, 12, 0)</f>
        <v>0.59594910901228182</v>
      </c>
      <c r="R1315" s="173">
        <f t="shared" si="75"/>
        <v>0</v>
      </c>
    </row>
    <row r="1316" spans="1:18" ht="14" hidden="1">
      <c r="A1316" s="78" t="s">
        <v>2677</v>
      </c>
      <c r="B1316" s="220" t="s">
        <v>928</v>
      </c>
      <c r="C1316" s="185"/>
      <c r="D1316" s="103" t="str">
        <f>VLOOKUP(B1316, 'All Menu'!B:M, 4, 0)</f>
        <v>زعتر وجبنة</v>
      </c>
      <c r="E1316" s="30" t="str">
        <f>VLOOKUP(B1316, 'All Menu'!B:M, 2, 0)</f>
        <v>قسم الفرن</v>
      </c>
      <c r="F1316" s="103" t="str">
        <f>VLOOKUP(B1316, 'All Menu'!B:M, 3, 0)</f>
        <v>عجين سفري</v>
      </c>
      <c r="G1316" s="90" t="s">
        <v>2199</v>
      </c>
      <c r="H1316" s="188">
        <v>4350</v>
      </c>
      <c r="I1316" s="110" t="str">
        <f>VLOOKUP(H1316, 'RM &amp; SF'!B:H, 2, 0)</f>
        <v>صحن كرتون مستطيل مسلفر 1/2 كغ (رقم 1)*****</v>
      </c>
      <c r="J1316" s="184" t="str">
        <f>VLOOKUP(H1316, 'RM &amp; SF'!B:E, 4, 0)</f>
        <v>قطعة</v>
      </c>
      <c r="K1316" s="12">
        <v>1</v>
      </c>
      <c r="L1316" s="13">
        <f>VLOOKUP(H1316, 'RM &amp; SF'!B:H, 7, 0)</f>
        <v>3.0169999999999999E-2</v>
      </c>
      <c r="M1316" s="7">
        <f t="shared" si="76"/>
        <v>3.0169999999999999E-2</v>
      </c>
      <c r="N1316" s="4" t="s">
        <v>825</v>
      </c>
      <c r="O1316" s="4">
        <f>VLOOKUP(B1316, 'All Menu'!B:L, 6, 0)</f>
        <v>0.86206896551724144</v>
      </c>
      <c r="P1316" s="6">
        <f>VLOOKUP(B1316, 'All Menu'!B:L, 9, 0)</f>
        <v>0.34831973361010199</v>
      </c>
      <c r="Q1316" s="14">
        <f>VLOOKUP(B1316, 'All Menu'!B:M, 12, 0)</f>
        <v>0.59594910901228182</v>
      </c>
      <c r="R1316" s="173">
        <f t="shared" si="75"/>
        <v>0</v>
      </c>
    </row>
    <row r="1317" spans="1:18" ht="14" hidden="1">
      <c r="A1317" s="78" t="s">
        <v>2677</v>
      </c>
      <c r="B1317" s="220" t="s">
        <v>928</v>
      </c>
      <c r="C1317" s="185"/>
      <c r="D1317" s="103" t="str">
        <f>VLOOKUP(B1317, 'All Menu'!B:M, 4, 0)</f>
        <v>زعتر وجبنة</v>
      </c>
      <c r="E1317" s="30" t="str">
        <f>VLOOKUP(B1317, 'All Menu'!B:M, 2, 0)</f>
        <v>قسم الفرن</v>
      </c>
      <c r="F1317" s="103" t="str">
        <f>VLOOKUP(B1317, 'All Menu'!B:M, 3, 0)</f>
        <v>عجين سفري</v>
      </c>
      <c r="G1317" s="90" t="s">
        <v>2192</v>
      </c>
      <c r="H1317" s="188">
        <v>4298</v>
      </c>
      <c r="I1317" s="110" t="str">
        <f>VLOOKUP(H1317, 'RM &amp; SF'!B:H, 2, 0)</f>
        <v>اكياس ساندويش ورقية مطبوع 22 سم*42 سم 1*100 حبة*****</v>
      </c>
      <c r="J1317" s="184" t="str">
        <f>VLOOKUP(H1317, 'RM &amp; SF'!B:E, 4, 0)</f>
        <v>قطعة</v>
      </c>
      <c r="K1317" s="12">
        <v>1</v>
      </c>
      <c r="L1317" s="13">
        <f>VLOOKUP(H1317, 'RM &amp; SF'!B:H, 7, 0)</f>
        <v>2.3699999999999999E-2</v>
      </c>
      <c r="M1317" s="7">
        <f t="shared" si="76"/>
        <v>2.3699999999999999E-2</v>
      </c>
      <c r="N1317" s="4" t="s">
        <v>825</v>
      </c>
      <c r="O1317" s="4">
        <f>VLOOKUP(B1317, 'All Menu'!B:L, 6, 0)</f>
        <v>0.86206896551724144</v>
      </c>
      <c r="P1317" s="6">
        <f>VLOOKUP(B1317, 'All Menu'!B:L, 9, 0)</f>
        <v>0.34831973361010199</v>
      </c>
      <c r="Q1317" s="14">
        <f>VLOOKUP(B1317, 'All Menu'!B:M, 12, 0)</f>
        <v>0.59594910901228182</v>
      </c>
      <c r="R1317" s="173">
        <f t="shared" si="75"/>
        <v>0</v>
      </c>
    </row>
    <row r="1318" spans="1:18" ht="14" hidden="1">
      <c r="A1318" s="78" t="s">
        <v>2677</v>
      </c>
      <c r="B1318" s="220" t="s">
        <v>928</v>
      </c>
      <c r="C1318" s="185"/>
      <c r="D1318" s="103" t="str">
        <f>VLOOKUP(B1318, 'All Menu'!B:M, 4, 0)</f>
        <v>زعتر وجبنة</v>
      </c>
      <c r="E1318" s="30" t="str">
        <f>VLOOKUP(B1318, 'All Menu'!B:M, 2, 0)</f>
        <v>قسم الفرن</v>
      </c>
      <c r="F1318" s="103" t="str">
        <f>VLOOKUP(B1318, 'All Menu'!B:M, 3, 0)</f>
        <v>عجين سفري</v>
      </c>
      <c r="G1318" s="90" t="s">
        <v>3058</v>
      </c>
      <c r="H1318" s="188">
        <v>4311</v>
      </c>
      <c r="I1318" s="110" t="str">
        <f>VLOOKUP(H1318, 'RM &amp; SF'!B:H, 2, 0)</f>
        <v>ورق بلاستيك (شرحات نايلون)*****</v>
      </c>
      <c r="J1318" s="184" t="str">
        <f>VLOOKUP(H1318, 'RM &amp; SF'!B:E, 4, 0)</f>
        <v>قطعة</v>
      </c>
      <c r="K1318" s="12">
        <v>1</v>
      </c>
      <c r="L1318" s="13">
        <f>VLOOKUP(H1318, 'RM &amp; SF'!B:H, 7, 0)</f>
        <v>1.75E-3</v>
      </c>
      <c r="M1318" s="7">
        <f t="shared" si="76"/>
        <v>1.75E-3</v>
      </c>
      <c r="N1318" s="4" t="s">
        <v>825</v>
      </c>
      <c r="O1318" s="4">
        <f>VLOOKUP(B1318, 'All Menu'!B:L, 6, 0)</f>
        <v>0.86206896551724144</v>
      </c>
      <c r="P1318" s="6">
        <f>VLOOKUP(B1318, 'All Menu'!B:L, 9, 0)</f>
        <v>0.34831973361010199</v>
      </c>
      <c r="Q1318" s="14">
        <f>VLOOKUP(B1318, 'All Menu'!B:M, 12, 0)</f>
        <v>0.59594910901228182</v>
      </c>
      <c r="R1318" s="173">
        <f t="shared" si="75"/>
        <v>0</v>
      </c>
    </row>
    <row r="1319" spans="1:18" ht="14" hidden="1">
      <c r="A1319" s="78" t="s">
        <v>2671</v>
      </c>
      <c r="B1319" s="220" t="s">
        <v>929</v>
      </c>
      <c r="C1319" s="185"/>
      <c r="D1319" s="103" t="str">
        <f>VLOOKUP(B1319, 'All Menu'!B:M, 4, 0)</f>
        <v>منقوشة محمرة</v>
      </c>
      <c r="E1319" s="30" t="str">
        <f>VLOOKUP(B1319, 'All Menu'!B:M, 2, 0)</f>
        <v>قسم الفرن</v>
      </c>
      <c r="F1319" s="103" t="str">
        <f>VLOOKUP(B1319, 'All Menu'!B:M, 3, 0)</f>
        <v>عجين سفري</v>
      </c>
      <c r="G1319" s="90" t="s">
        <v>2333</v>
      </c>
      <c r="H1319" s="219" t="s">
        <v>498</v>
      </c>
      <c r="I1319" s="110" t="str">
        <f>VLOOKUP(H1319, 'RM &amp; SF'!B:H, 2, 0)</f>
        <v>عجين الصفيحة والمناقيش</v>
      </c>
      <c r="J1319" s="184" t="str">
        <f>VLOOKUP(H1319, 'RM &amp; SF'!B:E, 4, 0)</f>
        <v>غم</v>
      </c>
      <c r="K1319" s="12">
        <v>140</v>
      </c>
      <c r="L1319" s="13">
        <f>VLOOKUP(H1319, 'RM &amp; SF'!B:H, 7, 0)</f>
        <v>4.659980972150147E-4</v>
      </c>
      <c r="M1319" s="7">
        <f t="shared" si="76"/>
        <v>6.523973361010206E-2</v>
      </c>
      <c r="N1319" s="4" t="s">
        <v>825</v>
      </c>
      <c r="O1319" s="4">
        <f>VLOOKUP(B1319, 'All Menu'!B:L, 6, 0)</f>
        <v>0.60344827586206895</v>
      </c>
      <c r="P1319" s="6">
        <f>VLOOKUP(B1319, 'All Menu'!B:L, 9, 0)</f>
        <v>0.22324543361010207</v>
      </c>
      <c r="Q1319" s="14">
        <f>VLOOKUP(B1319, 'All Menu'!B:M, 12, 0)</f>
        <v>0.63005042430325942</v>
      </c>
      <c r="R1319" s="173">
        <f t="shared" si="75"/>
        <v>0</v>
      </c>
    </row>
    <row r="1320" spans="1:18" ht="14" hidden="1">
      <c r="A1320" s="78" t="s">
        <v>2671</v>
      </c>
      <c r="B1320" s="220" t="s">
        <v>929</v>
      </c>
      <c r="C1320" s="185"/>
      <c r="D1320" s="103" t="str">
        <f>VLOOKUP(B1320, 'All Menu'!B:M, 4, 0)</f>
        <v>منقوشة محمرة</v>
      </c>
      <c r="E1320" s="30" t="str">
        <f>VLOOKUP(B1320, 'All Menu'!B:M, 2, 0)</f>
        <v>قسم الفرن</v>
      </c>
      <c r="F1320" s="103" t="str">
        <f>VLOOKUP(B1320, 'All Menu'!B:M, 3, 0)</f>
        <v>عجين سفري</v>
      </c>
      <c r="G1320" s="90" t="s">
        <v>2418</v>
      </c>
      <c r="H1320" s="219" t="s">
        <v>612</v>
      </c>
      <c r="I1320" s="110" t="str">
        <f>VLOOKUP(H1320, 'RM &amp; SF'!B:H, 2, 0)</f>
        <v>محمرة مناقيش</v>
      </c>
      <c r="J1320" s="184" t="str">
        <f>VLOOKUP(H1320, 'RM &amp; SF'!B:E, 4, 0)</f>
        <v>غم</v>
      </c>
      <c r="K1320" s="12">
        <v>60</v>
      </c>
      <c r="L1320" s="13">
        <f>VLOOKUP(H1320, 'RM &amp; SF'!B:H, 7, 0)</f>
        <v>1.7064283333333332E-3</v>
      </c>
      <c r="M1320" s="7">
        <f t="shared" si="76"/>
        <v>0.1023857</v>
      </c>
      <c r="N1320" s="4" t="s">
        <v>825</v>
      </c>
      <c r="O1320" s="4">
        <f>VLOOKUP(B1320, 'All Menu'!B:L, 6, 0)</f>
        <v>0.60344827586206895</v>
      </c>
      <c r="P1320" s="6">
        <f>VLOOKUP(B1320, 'All Menu'!B:L, 9, 0)</f>
        <v>0.22324543361010207</v>
      </c>
      <c r="Q1320" s="14">
        <f>VLOOKUP(B1320, 'All Menu'!B:M, 12, 0)</f>
        <v>0.63005042430325942</v>
      </c>
      <c r="R1320" s="173">
        <f t="shared" si="75"/>
        <v>0</v>
      </c>
    </row>
    <row r="1321" spans="1:18" ht="14" hidden="1">
      <c r="A1321" s="78" t="s">
        <v>2671</v>
      </c>
      <c r="B1321" s="220" t="s">
        <v>929</v>
      </c>
      <c r="C1321" s="185"/>
      <c r="D1321" s="103" t="str">
        <f>VLOOKUP(B1321, 'All Menu'!B:M, 4, 0)</f>
        <v>منقوشة محمرة</v>
      </c>
      <c r="E1321" s="30" t="str">
        <f>VLOOKUP(B1321, 'All Menu'!B:M, 2, 0)</f>
        <v>قسم الفرن</v>
      </c>
      <c r="F1321" s="103" t="str">
        <f>VLOOKUP(B1321, 'All Menu'!B:M, 3, 0)</f>
        <v>عجين سفري</v>
      </c>
      <c r="G1321" s="90" t="s">
        <v>2199</v>
      </c>
      <c r="H1321" s="188">
        <v>4350</v>
      </c>
      <c r="I1321" s="110" t="str">
        <f>VLOOKUP(H1321, 'RM &amp; SF'!B:H, 2, 0)</f>
        <v>صحن كرتون مستطيل مسلفر 1/2 كغ (رقم 1)*****</v>
      </c>
      <c r="J1321" s="184" t="str">
        <f>VLOOKUP(H1321, 'RM &amp; SF'!B:E, 4, 0)</f>
        <v>قطعة</v>
      </c>
      <c r="K1321" s="12">
        <v>1</v>
      </c>
      <c r="L1321" s="13">
        <f>VLOOKUP(H1321, 'RM &amp; SF'!B:H, 7, 0)</f>
        <v>3.0169999999999999E-2</v>
      </c>
      <c r="M1321" s="7">
        <f t="shared" si="76"/>
        <v>3.0169999999999999E-2</v>
      </c>
      <c r="N1321" s="4" t="s">
        <v>825</v>
      </c>
      <c r="O1321" s="4">
        <f>VLOOKUP(B1321, 'All Menu'!B:L, 6, 0)</f>
        <v>0.60344827586206895</v>
      </c>
      <c r="P1321" s="6">
        <f>VLOOKUP(B1321, 'All Menu'!B:L, 9, 0)</f>
        <v>0.22324543361010207</v>
      </c>
      <c r="Q1321" s="14">
        <f>VLOOKUP(B1321, 'All Menu'!B:M, 12, 0)</f>
        <v>0.63005042430325942</v>
      </c>
      <c r="R1321" s="173">
        <f t="shared" si="75"/>
        <v>0</v>
      </c>
    </row>
    <row r="1322" spans="1:18" ht="14" hidden="1">
      <c r="A1322" s="78" t="s">
        <v>2671</v>
      </c>
      <c r="B1322" s="220" t="s">
        <v>929</v>
      </c>
      <c r="C1322" s="185"/>
      <c r="D1322" s="103" t="str">
        <f>VLOOKUP(B1322, 'All Menu'!B:M, 4, 0)</f>
        <v>منقوشة محمرة</v>
      </c>
      <c r="E1322" s="30" t="str">
        <f>VLOOKUP(B1322, 'All Menu'!B:M, 2, 0)</f>
        <v>قسم الفرن</v>
      </c>
      <c r="F1322" s="103" t="str">
        <f>VLOOKUP(B1322, 'All Menu'!B:M, 3, 0)</f>
        <v>عجين سفري</v>
      </c>
      <c r="G1322" s="90" t="s">
        <v>2192</v>
      </c>
      <c r="H1322" s="188">
        <v>4298</v>
      </c>
      <c r="I1322" s="110" t="str">
        <f>VLOOKUP(H1322, 'RM &amp; SF'!B:H, 2, 0)</f>
        <v>اكياس ساندويش ورقية مطبوع 22 سم*42 سم 1*100 حبة*****</v>
      </c>
      <c r="J1322" s="184" t="str">
        <f>VLOOKUP(H1322, 'RM &amp; SF'!B:E, 4, 0)</f>
        <v>قطعة</v>
      </c>
      <c r="K1322" s="12">
        <v>1</v>
      </c>
      <c r="L1322" s="13">
        <f>VLOOKUP(H1322, 'RM &amp; SF'!B:H, 7, 0)</f>
        <v>2.3699999999999999E-2</v>
      </c>
      <c r="M1322" s="7">
        <f t="shared" si="76"/>
        <v>2.3699999999999999E-2</v>
      </c>
      <c r="N1322" s="4" t="s">
        <v>825</v>
      </c>
      <c r="O1322" s="4">
        <f>VLOOKUP(B1322, 'All Menu'!B:L, 6, 0)</f>
        <v>0.60344827586206895</v>
      </c>
      <c r="P1322" s="6">
        <f>VLOOKUP(B1322, 'All Menu'!B:L, 9, 0)</f>
        <v>0.22324543361010207</v>
      </c>
      <c r="Q1322" s="14">
        <f>VLOOKUP(B1322, 'All Menu'!B:M, 12, 0)</f>
        <v>0.63005042430325942</v>
      </c>
      <c r="R1322" s="173">
        <f t="shared" si="75"/>
        <v>0</v>
      </c>
    </row>
    <row r="1323" spans="1:18" ht="14" hidden="1">
      <c r="A1323" s="78" t="s">
        <v>2671</v>
      </c>
      <c r="B1323" s="220" t="s">
        <v>929</v>
      </c>
      <c r="C1323" s="185"/>
      <c r="D1323" s="103" t="str">
        <f>VLOOKUP(B1323, 'All Menu'!B:M, 4, 0)</f>
        <v>منقوشة محمرة</v>
      </c>
      <c r="E1323" s="30" t="str">
        <f>VLOOKUP(B1323, 'All Menu'!B:M, 2, 0)</f>
        <v>قسم الفرن</v>
      </c>
      <c r="F1323" s="103" t="str">
        <f>VLOOKUP(B1323, 'All Menu'!B:M, 3, 0)</f>
        <v>عجين سفري</v>
      </c>
      <c r="G1323" s="90" t="s">
        <v>3058</v>
      </c>
      <c r="H1323" s="188">
        <v>4311</v>
      </c>
      <c r="I1323" s="110" t="str">
        <f>VLOOKUP(H1323, 'RM &amp; SF'!B:H, 2, 0)</f>
        <v>ورق بلاستيك (شرحات نايلون)*****</v>
      </c>
      <c r="J1323" s="184" t="str">
        <f>VLOOKUP(H1323, 'RM &amp; SF'!B:E, 4, 0)</f>
        <v>قطعة</v>
      </c>
      <c r="K1323" s="12">
        <v>1</v>
      </c>
      <c r="L1323" s="13">
        <f>VLOOKUP(H1323, 'RM &amp; SF'!B:H, 7, 0)</f>
        <v>1.75E-3</v>
      </c>
      <c r="M1323" s="7">
        <f t="shared" si="76"/>
        <v>1.75E-3</v>
      </c>
      <c r="N1323" s="4" t="s">
        <v>825</v>
      </c>
      <c r="O1323" s="4">
        <f>VLOOKUP(B1323, 'All Menu'!B:L, 6, 0)</f>
        <v>0.60344827586206895</v>
      </c>
      <c r="P1323" s="6">
        <f>VLOOKUP(B1323, 'All Menu'!B:L, 9, 0)</f>
        <v>0.22324543361010207</v>
      </c>
      <c r="Q1323" s="14">
        <f>VLOOKUP(B1323, 'All Menu'!B:M, 12, 0)</f>
        <v>0.63005042430325942</v>
      </c>
      <c r="R1323" s="173">
        <f t="shared" ref="R1323:R1386" si="77">C1323*K1323</f>
        <v>0</v>
      </c>
    </row>
    <row r="1324" spans="1:18" ht="14" hidden="1">
      <c r="A1324" s="78" t="s">
        <v>2672</v>
      </c>
      <c r="B1324" s="220" t="s">
        <v>930</v>
      </c>
      <c r="C1324" s="185"/>
      <c r="D1324" s="103" t="str">
        <f>VLOOKUP(B1324, 'All Menu'!B:M, 4, 0)</f>
        <v>محمرة بقشقوان</v>
      </c>
      <c r="E1324" s="30" t="str">
        <f>VLOOKUP(B1324, 'All Menu'!B:M, 2, 0)</f>
        <v>قسم الفرن</v>
      </c>
      <c r="F1324" s="103" t="str">
        <f>VLOOKUP(B1324, 'All Menu'!B:M, 3, 0)</f>
        <v>عجين سفري</v>
      </c>
      <c r="G1324" s="90" t="s">
        <v>2333</v>
      </c>
      <c r="H1324" s="219" t="s">
        <v>498</v>
      </c>
      <c r="I1324" s="110" t="str">
        <f>VLOOKUP(H1324, 'RM &amp; SF'!B:H, 2, 0)</f>
        <v>عجين الصفيحة والمناقيش</v>
      </c>
      <c r="J1324" s="184" t="str">
        <f>VLOOKUP(H1324, 'RM &amp; SF'!B:E, 4, 0)</f>
        <v>غم</v>
      </c>
      <c r="K1324" s="12">
        <v>140</v>
      </c>
      <c r="L1324" s="13">
        <f>VLOOKUP(H1324, 'RM &amp; SF'!B:H, 7, 0)</f>
        <v>4.659980972150147E-4</v>
      </c>
      <c r="M1324" s="7">
        <f t="shared" si="76"/>
        <v>6.523973361010206E-2</v>
      </c>
      <c r="N1324" s="4" t="s">
        <v>825</v>
      </c>
      <c r="O1324" s="4">
        <f>VLOOKUP(B1324, 'All Menu'!B:L, 6, 0)</f>
        <v>1.0775862068965518</v>
      </c>
      <c r="P1324" s="6">
        <f>VLOOKUP(B1324, 'All Menu'!B:L, 9, 0)</f>
        <v>0.39583829194343534</v>
      </c>
      <c r="Q1324" s="14">
        <f>VLOOKUP(B1324, 'All Menu'!B:M, 12, 0)</f>
        <v>0.63266206507649203</v>
      </c>
      <c r="R1324" s="173">
        <f t="shared" si="77"/>
        <v>0</v>
      </c>
    </row>
    <row r="1325" spans="1:18" ht="14" hidden="1">
      <c r="A1325" s="78" t="s">
        <v>2672</v>
      </c>
      <c r="B1325" s="220" t="s">
        <v>930</v>
      </c>
      <c r="C1325" s="185"/>
      <c r="D1325" s="103" t="str">
        <f>VLOOKUP(B1325, 'All Menu'!B:M, 4, 0)</f>
        <v>محمرة بقشقوان</v>
      </c>
      <c r="E1325" s="30" t="str">
        <f>VLOOKUP(B1325, 'All Menu'!B:M, 2, 0)</f>
        <v>قسم الفرن</v>
      </c>
      <c r="F1325" s="103" t="str">
        <f>VLOOKUP(B1325, 'All Menu'!B:M, 3, 0)</f>
        <v>عجين سفري</v>
      </c>
      <c r="G1325" s="90" t="s">
        <v>2418</v>
      </c>
      <c r="H1325" s="219" t="s">
        <v>612</v>
      </c>
      <c r="I1325" s="110" t="str">
        <f>VLOOKUP(H1325, 'RM &amp; SF'!B:H, 2, 0)</f>
        <v>محمرة مناقيش</v>
      </c>
      <c r="J1325" s="184" t="str">
        <f>VLOOKUP(H1325, 'RM &amp; SF'!B:E, 4, 0)</f>
        <v>غم</v>
      </c>
      <c r="K1325" s="12">
        <v>55</v>
      </c>
      <c r="L1325" s="13">
        <f>VLOOKUP(H1325, 'RM &amp; SF'!B:H, 7, 0)</f>
        <v>1.7064283333333332E-3</v>
      </c>
      <c r="M1325" s="7">
        <f t="shared" si="76"/>
        <v>9.3853558333333323E-2</v>
      </c>
      <c r="N1325" s="4" t="s">
        <v>825</v>
      </c>
      <c r="O1325" s="4">
        <f>VLOOKUP(B1325, 'All Menu'!B:L, 6, 0)</f>
        <v>1.0775862068965518</v>
      </c>
      <c r="P1325" s="6">
        <f>VLOOKUP(B1325, 'All Menu'!B:L, 9, 0)</f>
        <v>0.39583829194343534</v>
      </c>
      <c r="Q1325" s="14">
        <f>VLOOKUP(B1325, 'All Menu'!B:M, 12, 0)</f>
        <v>0.63266206507649203</v>
      </c>
      <c r="R1325" s="173">
        <f t="shared" si="77"/>
        <v>0</v>
      </c>
    </row>
    <row r="1326" spans="1:18" ht="14" hidden="1">
      <c r="A1326" s="78" t="s">
        <v>2672</v>
      </c>
      <c r="B1326" s="220" t="s">
        <v>930</v>
      </c>
      <c r="C1326" s="185"/>
      <c r="D1326" s="103" t="str">
        <f>VLOOKUP(B1326, 'All Menu'!B:M, 4, 0)</f>
        <v>محمرة بقشقوان</v>
      </c>
      <c r="E1326" s="30" t="str">
        <f>VLOOKUP(B1326, 'All Menu'!B:M, 2, 0)</f>
        <v>قسم الفرن</v>
      </c>
      <c r="F1326" s="103" t="str">
        <f>VLOOKUP(B1326, 'All Menu'!B:M, 3, 0)</f>
        <v>عجين سفري</v>
      </c>
      <c r="G1326" s="90" t="s">
        <v>2173</v>
      </c>
      <c r="H1326" s="188">
        <v>4624</v>
      </c>
      <c r="I1326" s="110" t="str">
        <f>VLOOKUP(H1326, 'RM &amp; SF'!B:H, 2, 0)</f>
        <v>جبنة موزريلا قالب 2.380 كغ*****</v>
      </c>
      <c r="J1326" s="184" t="str">
        <f>VLOOKUP(H1326, 'RM &amp; SF'!B:E, 4, 0)</f>
        <v>غم</v>
      </c>
      <c r="K1326" s="12">
        <v>35</v>
      </c>
      <c r="L1326" s="13">
        <f>VLOOKUP(H1326, 'RM &amp; SF'!B:H, 7, 0)</f>
        <v>5.1749999999999999E-3</v>
      </c>
      <c r="M1326" s="7">
        <f t="shared" si="76"/>
        <v>0.18112500000000001</v>
      </c>
      <c r="N1326" s="4" t="s">
        <v>825</v>
      </c>
      <c r="O1326" s="4">
        <f>VLOOKUP(B1326, 'All Menu'!B:L, 6, 0)</f>
        <v>1.0775862068965518</v>
      </c>
      <c r="P1326" s="6">
        <f>VLOOKUP(B1326, 'All Menu'!B:L, 9, 0)</f>
        <v>0.39583829194343534</v>
      </c>
      <c r="Q1326" s="14">
        <f>VLOOKUP(B1326, 'All Menu'!B:M, 12, 0)</f>
        <v>0.63266206507649203</v>
      </c>
      <c r="R1326" s="173">
        <f t="shared" si="77"/>
        <v>0</v>
      </c>
    </row>
    <row r="1327" spans="1:18" ht="14" hidden="1">
      <c r="A1327" s="78" t="s">
        <v>2672</v>
      </c>
      <c r="B1327" s="220" t="s">
        <v>930</v>
      </c>
      <c r="C1327" s="185"/>
      <c r="D1327" s="103" t="str">
        <f>VLOOKUP(B1327, 'All Menu'!B:M, 4, 0)</f>
        <v>محمرة بقشقوان</v>
      </c>
      <c r="E1327" s="30" t="str">
        <f>VLOOKUP(B1327, 'All Menu'!B:M, 2, 0)</f>
        <v>قسم الفرن</v>
      </c>
      <c r="F1327" s="103" t="str">
        <f>VLOOKUP(B1327, 'All Menu'!B:M, 3, 0)</f>
        <v>عجين سفري</v>
      </c>
      <c r="G1327" s="90" t="s">
        <v>2199</v>
      </c>
      <c r="H1327" s="188">
        <v>4350</v>
      </c>
      <c r="I1327" s="110" t="str">
        <f>VLOOKUP(H1327, 'RM &amp; SF'!B:H, 2, 0)</f>
        <v>صحن كرتون مستطيل مسلفر 1/2 كغ (رقم 1)*****</v>
      </c>
      <c r="J1327" s="184" t="str">
        <f>VLOOKUP(H1327, 'RM &amp; SF'!B:E, 4, 0)</f>
        <v>قطعة</v>
      </c>
      <c r="K1327" s="12">
        <v>1</v>
      </c>
      <c r="L1327" s="13">
        <f>VLOOKUP(H1327, 'RM &amp; SF'!B:H, 7, 0)</f>
        <v>3.0169999999999999E-2</v>
      </c>
      <c r="M1327" s="7">
        <f t="shared" si="76"/>
        <v>3.0169999999999999E-2</v>
      </c>
      <c r="N1327" s="4" t="s">
        <v>825</v>
      </c>
      <c r="O1327" s="4">
        <f>VLOOKUP(B1327, 'All Menu'!B:L, 6, 0)</f>
        <v>1.0775862068965518</v>
      </c>
      <c r="P1327" s="6">
        <f>VLOOKUP(B1327, 'All Menu'!B:L, 9, 0)</f>
        <v>0.39583829194343534</v>
      </c>
      <c r="Q1327" s="14">
        <f>VLOOKUP(B1327, 'All Menu'!B:M, 12, 0)</f>
        <v>0.63266206507649203</v>
      </c>
      <c r="R1327" s="173">
        <f t="shared" si="77"/>
        <v>0</v>
      </c>
    </row>
    <row r="1328" spans="1:18" ht="14" hidden="1">
      <c r="A1328" s="78" t="s">
        <v>2672</v>
      </c>
      <c r="B1328" s="220" t="s">
        <v>930</v>
      </c>
      <c r="C1328" s="185"/>
      <c r="D1328" s="103" t="str">
        <f>VLOOKUP(B1328, 'All Menu'!B:M, 4, 0)</f>
        <v>محمرة بقشقوان</v>
      </c>
      <c r="E1328" s="30" t="str">
        <f>VLOOKUP(B1328, 'All Menu'!B:M, 2, 0)</f>
        <v>قسم الفرن</v>
      </c>
      <c r="F1328" s="103" t="str">
        <f>VLOOKUP(B1328, 'All Menu'!B:M, 3, 0)</f>
        <v>عجين سفري</v>
      </c>
      <c r="G1328" s="90" t="s">
        <v>2192</v>
      </c>
      <c r="H1328" s="188">
        <v>4298</v>
      </c>
      <c r="I1328" s="110" t="str">
        <f>VLOOKUP(H1328, 'RM &amp; SF'!B:H, 2, 0)</f>
        <v>اكياس ساندويش ورقية مطبوع 22 سم*42 سم 1*100 حبة*****</v>
      </c>
      <c r="J1328" s="184" t="str">
        <f>VLOOKUP(H1328, 'RM &amp; SF'!B:E, 4, 0)</f>
        <v>قطعة</v>
      </c>
      <c r="K1328" s="12">
        <v>1</v>
      </c>
      <c r="L1328" s="13">
        <f>VLOOKUP(H1328, 'RM &amp; SF'!B:H, 7, 0)</f>
        <v>2.3699999999999999E-2</v>
      </c>
      <c r="M1328" s="7">
        <f t="shared" si="76"/>
        <v>2.3699999999999999E-2</v>
      </c>
      <c r="N1328" s="4" t="s">
        <v>825</v>
      </c>
      <c r="O1328" s="4">
        <f>VLOOKUP(B1328, 'All Menu'!B:L, 6, 0)</f>
        <v>1.0775862068965518</v>
      </c>
      <c r="P1328" s="6">
        <f>VLOOKUP(B1328, 'All Menu'!B:L, 9, 0)</f>
        <v>0.39583829194343534</v>
      </c>
      <c r="Q1328" s="14">
        <f>VLOOKUP(B1328, 'All Menu'!B:M, 12, 0)</f>
        <v>0.63266206507649203</v>
      </c>
      <c r="R1328" s="173">
        <f t="shared" si="77"/>
        <v>0</v>
      </c>
    </row>
    <row r="1329" spans="1:18" ht="14" hidden="1">
      <c r="A1329" s="78" t="s">
        <v>2672</v>
      </c>
      <c r="B1329" s="220" t="s">
        <v>930</v>
      </c>
      <c r="C1329" s="185"/>
      <c r="D1329" s="103" t="str">
        <f>VLOOKUP(B1329, 'All Menu'!B:M, 4, 0)</f>
        <v>محمرة بقشقوان</v>
      </c>
      <c r="E1329" s="30" t="str">
        <f>VLOOKUP(B1329, 'All Menu'!B:M, 2, 0)</f>
        <v>قسم الفرن</v>
      </c>
      <c r="F1329" s="103" t="str">
        <f>VLOOKUP(B1329, 'All Menu'!B:M, 3, 0)</f>
        <v>عجين سفري</v>
      </c>
      <c r="G1329" s="90" t="s">
        <v>3058</v>
      </c>
      <c r="H1329" s="188">
        <v>4311</v>
      </c>
      <c r="I1329" s="110" t="str">
        <f>VLOOKUP(H1329, 'RM &amp; SF'!B:H, 2, 0)</f>
        <v>ورق بلاستيك (شرحات نايلون)*****</v>
      </c>
      <c r="J1329" s="184" t="str">
        <f>VLOOKUP(H1329, 'RM &amp; SF'!B:E, 4, 0)</f>
        <v>قطعة</v>
      </c>
      <c r="K1329" s="12">
        <v>1</v>
      </c>
      <c r="L1329" s="13">
        <f>VLOOKUP(H1329, 'RM &amp; SF'!B:H, 7, 0)</f>
        <v>1.75E-3</v>
      </c>
      <c r="M1329" s="7">
        <f t="shared" si="76"/>
        <v>1.75E-3</v>
      </c>
      <c r="N1329" s="4" t="s">
        <v>825</v>
      </c>
      <c r="O1329" s="4">
        <f>VLOOKUP(B1329, 'All Menu'!B:L, 6, 0)</f>
        <v>1.0775862068965518</v>
      </c>
      <c r="P1329" s="6">
        <f>VLOOKUP(B1329, 'All Menu'!B:L, 9, 0)</f>
        <v>0.39583829194343534</v>
      </c>
      <c r="Q1329" s="14">
        <f>VLOOKUP(B1329, 'All Menu'!B:M, 12, 0)</f>
        <v>0.63266206507649203</v>
      </c>
      <c r="R1329" s="173">
        <f t="shared" si="77"/>
        <v>0</v>
      </c>
    </row>
    <row r="1330" spans="1:18" ht="14" hidden="1">
      <c r="A1330" s="78" t="s">
        <v>2673</v>
      </c>
      <c r="B1330" s="220" t="s">
        <v>931</v>
      </c>
      <c r="C1330" s="185"/>
      <c r="D1330" s="103" t="str">
        <f>VLOOKUP(B1330, 'All Menu'!B:M, 4, 0)</f>
        <v>سلامي قشقوان</v>
      </c>
      <c r="E1330" s="30" t="str">
        <f>VLOOKUP(B1330, 'All Menu'!B:M, 2, 0)</f>
        <v>قسم الفرن</v>
      </c>
      <c r="F1330" s="103" t="str">
        <f>VLOOKUP(B1330, 'All Menu'!B:M, 3, 0)</f>
        <v>عجين سفري</v>
      </c>
      <c r="G1330" s="90" t="s">
        <v>2333</v>
      </c>
      <c r="H1330" s="219" t="s">
        <v>498</v>
      </c>
      <c r="I1330" s="110" t="str">
        <f>VLOOKUP(H1330, 'RM &amp; SF'!B:H, 2, 0)</f>
        <v>عجين الصفيحة والمناقيش</v>
      </c>
      <c r="J1330" s="184" t="str">
        <f>VLOOKUP(H1330, 'RM &amp; SF'!B:E, 4, 0)</f>
        <v>غم</v>
      </c>
      <c r="K1330" s="16">
        <v>140</v>
      </c>
      <c r="L1330" s="13">
        <f>VLOOKUP(H1330, 'RM &amp; SF'!B:H, 7, 0)</f>
        <v>4.659980972150147E-4</v>
      </c>
      <c r="M1330" s="7">
        <f t="shared" si="76"/>
        <v>6.523973361010206E-2</v>
      </c>
      <c r="N1330" s="4" t="s">
        <v>825</v>
      </c>
      <c r="O1330" s="4">
        <f>VLOOKUP(B1330, 'All Menu'!B:L, 6, 0)</f>
        <v>1.0775862068965518</v>
      </c>
      <c r="P1330" s="6">
        <f>VLOOKUP(B1330, 'All Menu'!B:L, 9, 0)</f>
        <v>0.407476733610102</v>
      </c>
      <c r="Q1330" s="14">
        <f>VLOOKUP(B1330, 'All Menu'!B:M, 12, 0)</f>
        <v>0.62186159120982543</v>
      </c>
      <c r="R1330" s="173">
        <f t="shared" si="77"/>
        <v>0</v>
      </c>
    </row>
    <row r="1331" spans="1:18" ht="14" hidden="1">
      <c r="A1331" s="78" t="s">
        <v>2673</v>
      </c>
      <c r="B1331" s="220" t="s">
        <v>931</v>
      </c>
      <c r="C1331" s="185"/>
      <c r="D1331" s="103" t="str">
        <f>VLOOKUP(B1331, 'All Menu'!B:M, 4, 0)</f>
        <v>سلامي قشقوان</v>
      </c>
      <c r="E1331" s="30" t="str">
        <f>VLOOKUP(B1331, 'All Menu'!B:M, 2, 0)</f>
        <v>قسم الفرن</v>
      </c>
      <c r="F1331" s="103" t="str">
        <f>VLOOKUP(B1331, 'All Menu'!B:M, 3, 0)</f>
        <v>عجين سفري</v>
      </c>
      <c r="G1331" s="90" t="s">
        <v>3058</v>
      </c>
      <c r="H1331" s="188">
        <v>4634</v>
      </c>
      <c r="I1331" s="110" t="str">
        <f>VLOOKUP(H1331, 'RM &amp; SF'!B:H, 2, 0)</f>
        <v>سلامي بقري 1 كغ*****</v>
      </c>
      <c r="J1331" s="184" t="str">
        <f>VLOOKUP(H1331, 'RM &amp; SF'!B:E, 4, 0)</f>
        <v>غم</v>
      </c>
      <c r="K1331" s="16">
        <v>26</v>
      </c>
      <c r="L1331" s="13">
        <f>VLOOKUP(H1331, 'RM &amp; SF'!B:H, 7, 0)</f>
        <v>2.0670000000000003E-3</v>
      </c>
      <c r="M1331" s="7">
        <f t="shared" si="76"/>
        <v>5.3742000000000005E-2</v>
      </c>
      <c r="N1331" s="4" t="s">
        <v>825</v>
      </c>
      <c r="O1331" s="4">
        <f>VLOOKUP(B1331, 'All Menu'!B:L, 6, 0)</f>
        <v>1.0775862068965518</v>
      </c>
      <c r="P1331" s="6">
        <f>VLOOKUP(B1331, 'All Menu'!B:L, 9, 0)</f>
        <v>0.407476733610102</v>
      </c>
      <c r="Q1331" s="14">
        <f>VLOOKUP(B1331, 'All Menu'!B:M, 12, 0)</f>
        <v>0.62186159120982543</v>
      </c>
      <c r="R1331" s="173">
        <f t="shared" si="77"/>
        <v>0</v>
      </c>
    </row>
    <row r="1332" spans="1:18" ht="14" hidden="1">
      <c r="A1332" s="78" t="s">
        <v>2673</v>
      </c>
      <c r="B1332" s="220" t="s">
        <v>931</v>
      </c>
      <c r="C1332" s="185"/>
      <c r="D1332" s="103" t="str">
        <f>VLOOKUP(B1332, 'All Menu'!B:M, 4, 0)</f>
        <v>سلامي قشقوان</v>
      </c>
      <c r="E1332" s="30" t="str">
        <f>VLOOKUP(B1332, 'All Menu'!B:M, 2, 0)</f>
        <v>قسم الفرن</v>
      </c>
      <c r="F1332" s="103" t="str">
        <f>VLOOKUP(B1332, 'All Menu'!B:M, 3, 0)</f>
        <v>عجين سفري</v>
      </c>
      <c r="G1332" s="90" t="s">
        <v>2173</v>
      </c>
      <c r="H1332" s="188">
        <v>4624</v>
      </c>
      <c r="I1332" s="110" t="str">
        <f>VLOOKUP(H1332, 'RM &amp; SF'!B:H, 2, 0)</f>
        <v>جبنة موزريلا قالب 2.380 كغ*****</v>
      </c>
      <c r="J1332" s="184" t="str">
        <f>VLOOKUP(H1332, 'RM &amp; SF'!B:E, 4, 0)</f>
        <v>غم</v>
      </c>
      <c r="K1332" s="16">
        <v>45</v>
      </c>
      <c r="L1332" s="13">
        <f>VLOOKUP(H1332, 'RM &amp; SF'!B:H, 7, 0)</f>
        <v>5.1749999999999999E-3</v>
      </c>
      <c r="M1332" s="7">
        <f t="shared" si="76"/>
        <v>0.232875</v>
      </c>
      <c r="N1332" s="4" t="s">
        <v>825</v>
      </c>
      <c r="O1332" s="4">
        <f>VLOOKUP(B1332, 'All Menu'!B:L, 6, 0)</f>
        <v>1.0775862068965518</v>
      </c>
      <c r="P1332" s="6">
        <f>VLOOKUP(B1332, 'All Menu'!B:L, 9, 0)</f>
        <v>0.407476733610102</v>
      </c>
      <c r="Q1332" s="14">
        <f>VLOOKUP(B1332, 'All Menu'!B:M, 12, 0)</f>
        <v>0.62186159120982543</v>
      </c>
      <c r="R1332" s="173">
        <f t="shared" si="77"/>
        <v>0</v>
      </c>
    </row>
    <row r="1333" spans="1:18" ht="14" hidden="1">
      <c r="A1333" s="78" t="s">
        <v>2673</v>
      </c>
      <c r="B1333" s="220" t="s">
        <v>931</v>
      </c>
      <c r="C1333" s="185"/>
      <c r="D1333" s="103" t="str">
        <f>VLOOKUP(B1333, 'All Menu'!B:M, 4, 0)</f>
        <v>سلامي قشقوان</v>
      </c>
      <c r="E1333" s="30" t="str">
        <f>VLOOKUP(B1333, 'All Menu'!B:M, 2, 0)</f>
        <v>قسم الفرن</v>
      </c>
      <c r="F1333" s="103" t="str">
        <f>VLOOKUP(B1333, 'All Menu'!B:M, 3, 0)</f>
        <v>عجين سفري</v>
      </c>
      <c r="G1333" s="90" t="s">
        <v>2199</v>
      </c>
      <c r="H1333" s="188">
        <v>4350</v>
      </c>
      <c r="I1333" s="110" t="str">
        <f>VLOOKUP(H1333, 'RM &amp; SF'!B:H, 2, 0)</f>
        <v>صحن كرتون مستطيل مسلفر 1/2 كغ (رقم 1)*****</v>
      </c>
      <c r="J1333" s="184" t="str">
        <f>VLOOKUP(H1333, 'RM &amp; SF'!B:E, 4, 0)</f>
        <v>قطعة</v>
      </c>
      <c r="K1333" s="16">
        <v>1</v>
      </c>
      <c r="L1333" s="13">
        <f>VLOOKUP(H1333, 'RM &amp; SF'!B:H, 7, 0)</f>
        <v>3.0169999999999999E-2</v>
      </c>
      <c r="M1333" s="7">
        <f t="shared" si="76"/>
        <v>3.0169999999999999E-2</v>
      </c>
      <c r="N1333" s="4" t="s">
        <v>825</v>
      </c>
      <c r="O1333" s="4">
        <f>VLOOKUP(B1333, 'All Menu'!B:L, 6, 0)</f>
        <v>1.0775862068965518</v>
      </c>
      <c r="P1333" s="6">
        <f>VLOOKUP(B1333, 'All Menu'!B:L, 9, 0)</f>
        <v>0.407476733610102</v>
      </c>
      <c r="Q1333" s="14">
        <f>VLOOKUP(B1333, 'All Menu'!B:M, 12, 0)</f>
        <v>0.62186159120982543</v>
      </c>
      <c r="R1333" s="173">
        <f t="shared" si="77"/>
        <v>0</v>
      </c>
    </row>
    <row r="1334" spans="1:18" ht="14" hidden="1">
      <c r="A1334" s="78" t="s">
        <v>2673</v>
      </c>
      <c r="B1334" s="220" t="s">
        <v>931</v>
      </c>
      <c r="C1334" s="185"/>
      <c r="D1334" s="103" t="str">
        <f>VLOOKUP(B1334, 'All Menu'!B:M, 4, 0)</f>
        <v>سلامي قشقوان</v>
      </c>
      <c r="E1334" s="30" t="str">
        <f>VLOOKUP(B1334, 'All Menu'!B:M, 2, 0)</f>
        <v>قسم الفرن</v>
      </c>
      <c r="F1334" s="103" t="str">
        <f>VLOOKUP(B1334, 'All Menu'!B:M, 3, 0)</f>
        <v>عجين سفري</v>
      </c>
      <c r="G1334" s="90" t="s">
        <v>2192</v>
      </c>
      <c r="H1334" s="188">
        <v>4298</v>
      </c>
      <c r="I1334" s="110" t="str">
        <f>VLOOKUP(H1334, 'RM &amp; SF'!B:H, 2, 0)</f>
        <v>اكياس ساندويش ورقية مطبوع 22 سم*42 سم 1*100 حبة*****</v>
      </c>
      <c r="J1334" s="184" t="str">
        <f>VLOOKUP(H1334, 'RM &amp; SF'!B:E, 4, 0)</f>
        <v>قطعة</v>
      </c>
      <c r="K1334" s="16">
        <v>1</v>
      </c>
      <c r="L1334" s="13">
        <f>VLOOKUP(H1334, 'RM &amp; SF'!B:H, 7, 0)</f>
        <v>2.3699999999999999E-2</v>
      </c>
      <c r="M1334" s="7">
        <f t="shared" si="76"/>
        <v>2.3699999999999999E-2</v>
      </c>
      <c r="N1334" s="4" t="s">
        <v>825</v>
      </c>
      <c r="O1334" s="4">
        <f>VLOOKUP(B1334, 'All Menu'!B:L, 6, 0)</f>
        <v>1.0775862068965518</v>
      </c>
      <c r="P1334" s="6">
        <f>VLOOKUP(B1334, 'All Menu'!B:L, 9, 0)</f>
        <v>0.407476733610102</v>
      </c>
      <c r="Q1334" s="14">
        <f>VLOOKUP(B1334, 'All Menu'!B:M, 12, 0)</f>
        <v>0.62186159120982543</v>
      </c>
      <c r="R1334" s="173">
        <f t="shared" si="77"/>
        <v>0</v>
      </c>
    </row>
    <row r="1335" spans="1:18" ht="14" hidden="1">
      <c r="A1335" s="78" t="s">
        <v>2673</v>
      </c>
      <c r="B1335" s="220" t="s">
        <v>931</v>
      </c>
      <c r="C1335" s="185"/>
      <c r="D1335" s="103" t="str">
        <f>VLOOKUP(B1335, 'All Menu'!B:M, 4, 0)</f>
        <v>سلامي قشقوان</v>
      </c>
      <c r="E1335" s="30" t="str">
        <f>VLOOKUP(B1335, 'All Menu'!B:M, 2, 0)</f>
        <v>قسم الفرن</v>
      </c>
      <c r="F1335" s="103" t="str">
        <f>VLOOKUP(B1335, 'All Menu'!B:M, 3, 0)</f>
        <v>عجين سفري</v>
      </c>
      <c r="G1335" s="90" t="s">
        <v>3058</v>
      </c>
      <c r="H1335" s="188">
        <v>4311</v>
      </c>
      <c r="I1335" s="110" t="str">
        <f>VLOOKUP(H1335, 'RM &amp; SF'!B:H, 2, 0)</f>
        <v>ورق بلاستيك (شرحات نايلون)*****</v>
      </c>
      <c r="J1335" s="184" t="str">
        <f>VLOOKUP(H1335, 'RM &amp; SF'!B:E, 4, 0)</f>
        <v>قطعة</v>
      </c>
      <c r="K1335" s="16">
        <v>1</v>
      </c>
      <c r="L1335" s="13">
        <f>VLOOKUP(H1335, 'RM &amp; SF'!B:H, 7, 0)</f>
        <v>1.75E-3</v>
      </c>
      <c r="M1335" s="7">
        <f t="shared" si="76"/>
        <v>1.75E-3</v>
      </c>
      <c r="N1335" s="4" t="s">
        <v>825</v>
      </c>
      <c r="O1335" s="4">
        <f>VLOOKUP(B1335, 'All Menu'!B:L, 6, 0)</f>
        <v>1.0775862068965518</v>
      </c>
      <c r="P1335" s="6">
        <f>VLOOKUP(B1335, 'All Menu'!B:L, 9, 0)</f>
        <v>0.407476733610102</v>
      </c>
      <c r="Q1335" s="14">
        <f>VLOOKUP(B1335, 'All Menu'!B:M, 12, 0)</f>
        <v>0.62186159120982543</v>
      </c>
      <c r="R1335" s="173">
        <f t="shared" si="77"/>
        <v>0</v>
      </c>
    </row>
    <row r="1336" spans="1:18" ht="14" hidden="1">
      <c r="A1336" s="78" t="s">
        <v>2678</v>
      </c>
      <c r="B1336" s="220" t="s">
        <v>932</v>
      </c>
      <c r="C1336" s="185"/>
      <c r="D1336" s="103" t="str">
        <f>VLOOKUP(B1336, 'All Menu'!B:M, 4, 0)</f>
        <v>شيش وقشقوان</v>
      </c>
      <c r="E1336" s="30" t="str">
        <f>VLOOKUP(B1336, 'All Menu'!B:M, 2, 0)</f>
        <v>قسم الفرن</v>
      </c>
      <c r="F1336" s="103" t="str">
        <f>VLOOKUP(B1336, 'All Menu'!B:M, 3, 0)</f>
        <v>عجين سفري</v>
      </c>
      <c r="G1336" s="90" t="s">
        <v>2333</v>
      </c>
      <c r="H1336" s="219" t="s">
        <v>498</v>
      </c>
      <c r="I1336" s="110" t="str">
        <f>VLOOKUP(H1336, 'RM &amp; SF'!B:H, 2, 0)</f>
        <v>عجين الصفيحة والمناقيش</v>
      </c>
      <c r="J1336" s="184" t="str">
        <f>VLOOKUP(H1336, 'RM &amp; SF'!B:E, 4, 0)</f>
        <v>غم</v>
      </c>
      <c r="K1336" s="16">
        <v>140</v>
      </c>
      <c r="L1336" s="13">
        <f>VLOOKUP(H1336, 'RM &amp; SF'!B:H, 7, 0)</f>
        <v>4.659980972150147E-4</v>
      </c>
      <c r="M1336" s="7">
        <f t="shared" si="76"/>
        <v>6.523973361010206E-2</v>
      </c>
      <c r="N1336" s="4" t="s">
        <v>825</v>
      </c>
      <c r="O1336" s="4">
        <f>VLOOKUP(B1336, 'All Menu'!B:L, 6, 0)</f>
        <v>1.5086206896551726</v>
      </c>
      <c r="P1336" s="6">
        <f>VLOOKUP(B1336, 'All Menu'!B:L, 9, 0)</f>
        <v>0.82094686391928506</v>
      </c>
      <c r="Q1336" s="14">
        <f>VLOOKUP(B1336, 'All Menu'!B:M, 12, 0)</f>
        <v>0.45582950734493111</v>
      </c>
      <c r="R1336" s="173">
        <f t="shared" si="77"/>
        <v>0</v>
      </c>
    </row>
    <row r="1337" spans="1:18" ht="14" hidden="1">
      <c r="A1337" s="78" t="s">
        <v>2678</v>
      </c>
      <c r="B1337" s="220" t="s">
        <v>932</v>
      </c>
      <c r="C1337" s="185"/>
      <c r="D1337" s="103" t="str">
        <f>VLOOKUP(B1337, 'All Menu'!B:M, 4, 0)</f>
        <v>شيش وقشقوان</v>
      </c>
      <c r="E1337" s="30" t="str">
        <f>VLOOKUP(B1337, 'All Menu'!B:M, 2, 0)</f>
        <v>قسم الفرن</v>
      </c>
      <c r="F1337" s="103" t="str">
        <f>VLOOKUP(B1337, 'All Menu'!B:M, 3, 0)</f>
        <v>عجين سفري</v>
      </c>
      <c r="G1337" s="90" t="s">
        <v>2456</v>
      </c>
      <c r="H1337" s="219" t="s">
        <v>506</v>
      </c>
      <c r="I1337" s="110" t="str">
        <f>VLOOKUP(H1337, 'RM &amp; SF'!B:H, 2, 0)</f>
        <v>شيش</v>
      </c>
      <c r="J1337" s="184" t="str">
        <f>VLOOKUP(H1337, 'RM &amp; SF'!B:E, 4, 0)</f>
        <v>غم</v>
      </c>
      <c r="K1337" s="16">
        <v>100</v>
      </c>
      <c r="L1337" s="13">
        <f>VLOOKUP(H1337, 'RM &amp; SF'!B:H, 7, 0)</f>
        <v>4.6721213030918281E-3</v>
      </c>
      <c r="M1337" s="7">
        <f t="shared" si="76"/>
        <v>0.46721213030918279</v>
      </c>
      <c r="N1337" s="4" t="s">
        <v>825</v>
      </c>
      <c r="O1337" s="4">
        <f>VLOOKUP(B1337, 'All Menu'!B:L, 6, 0)</f>
        <v>1.5086206896551726</v>
      </c>
      <c r="P1337" s="6">
        <f>VLOOKUP(B1337, 'All Menu'!B:L, 9, 0)</f>
        <v>0.82094686391928506</v>
      </c>
      <c r="Q1337" s="14">
        <f>VLOOKUP(B1337, 'All Menu'!B:M, 12, 0)</f>
        <v>0.45582950734493111</v>
      </c>
      <c r="R1337" s="173">
        <f t="shared" si="77"/>
        <v>0</v>
      </c>
    </row>
    <row r="1338" spans="1:18" ht="14" hidden="1">
      <c r="A1338" s="78" t="s">
        <v>2678</v>
      </c>
      <c r="B1338" s="220" t="s">
        <v>932</v>
      </c>
      <c r="C1338" s="185"/>
      <c r="D1338" s="103" t="str">
        <f>VLOOKUP(B1338, 'All Menu'!B:M, 4, 0)</f>
        <v>شيش وقشقوان</v>
      </c>
      <c r="E1338" s="30" t="str">
        <f>VLOOKUP(B1338, 'All Menu'!B:M, 2, 0)</f>
        <v>قسم الفرن</v>
      </c>
      <c r="F1338" s="103" t="str">
        <f>VLOOKUP(B1338, 'All Menu'!B:M, 3, 0)</f>
        <v>عجين سفري</v>
      </c>
      <c r="G1338" s="90" t="s">
        <v>2173</v>
      </c>
      <c r="H1338" s="188">
        <v>4624</v>
      </c>
      <c r="I1338" s="110" t="str">
        <f>VLOOKUP(H1338, 'RM &amp; SF'!B:H, 2, 0)</f>
        <v>جبنة موزريلا قالب 2.380 كغ*****</v>
      </c>
      <c r="J1338" s="184" t="str">
        <f>VLOOKUP(H1338, 'RM &amp; SF'!B:E, 4, 0)</f>
        <v>غم</v>
      </c>
      <c r="K1338" s="16">
        <v>45</v>
      </c>
      <c r="L1338" s="13">
        <f>VLOOKUP(H1338, 'RM &amp; SF'!B:H, 7, 0)</f>
        <v>5.1749999999999999E-3</v>
      </c>
      <c r="M1338" s="7">
        <f t="shared" si="76"/>
        <v>0.232875</v>
      </c>
      <c r="N1338" s="4" t="s">
        <v>825</v>
      </c>
      <c r="O1338" s="4">
        <f>VLOOKUP(B1338, 'All Menu'!B:L, 6, 0)</f>
        <v>1.5086206896551726</v>
      </c>
      <c r="P1338" s="6">
        <f>VLOOKUP(B1338, 'All Menu'!B:L, 9, 0)</f>
        <v>0.82094686391928506</v>
      </c>
      <c r="Q1338" s="14">
        <f>VLOOKUP(B1338, 'All Menu'!B:M, 12, 0)</f>
        <v>0.45582950734493111</v>
      </c>
      <c r="R1338" s="173">
        <f t="shared" si="77"/>
        <v>0</v>
      </c>
    </row>
    <row r="1339" spans="1:18" ht="14" hidden="1">
      <c r="A1339" s="78" t="s">
        <v>2678</v>
      </c>
      <c r="B1339" s="220" t="s">
        <v>932</v>
      </c>
      <c r="C1339" s="185"/>
      <c r="D1339" s="103" t="str">
        <f>VLOOKUP(B1339, 'All Menu'!B:M, 4, 0)</f>
        <v>شيش وقشقوان</v>
      </c>
      <c r="E1339" s="30" t="str">
        <f>VLOOKUP(B1339, 'All Menu'!B:M, 2, 0)</f>
        <v>قسم الفرن</v>
      </c>
      <c r="F1339" s="103" t="str">
        <f>VLOOKUP(B1339, 'All Menu'!B:M, 3, 0)</f>
        <v>عجين سفري</v>
      </c>
      <c r="G1339" s="90" t="s">
        <v>2199</v>
      </c>
      <c r="H1339" s="188">
        <v>4350</v>
      </c>
      <c r="I1339" s="110" t="str">
        <f>VLOOKUP(H1339, 'RM &amp; SF'!B:H, 2, 0)</f>
        <v>صحن كرتون مستطيل مسلفر 1/2 كغ (رقم 1)*****</v>
      </c>
      <c r="J1339" s="184" t="str">
        <f>VLOOKUP(H1339, 'RM &amp; SF'!B:E, 4, 0)</f>
        <v>قطعة</v>
      </c>
      <c r="K1339" s="16">
        <v>1</v>
      </c>
      <c r="L1339" s="13">
        <f>VLOOKUP(H1339, 'RM &amp; SF'!B:H, 7, 0)</f>
        <v>3.0169999999999999E-2</v>
      </c>
      <c r="M1339" s="7">
        <f t="shared" si="76"/>
        <v>3.0169999999999999E-2</v>
      </c>
      <c r="N1339" s="4" t="s">
        <v>825</v>
      </c>
      <c r="O1339" s="4">
        <f>VLOOKUP(B1339, 'All Menu'!B:L, 6, 0)</f>
        <v>1.5086206896551726</v>
      </c>
      <c r="P1339" s="6">
        <f>VLOOKUP(B1339, 'All Menu'!B:L, 9, 0)</f>
        <v>0.82094686391928506</v>
      </c>
      <c r="Q1339" s="14">
        <f>VLOOKUP(B1339, 'All Menu'!B:M, 12, 0)</f>
        <v>0.45582950734493111</v>
      </c>
      <c r="R1339" s="173">
        <f t="shared" si="77"/>
        <v>0</v>
      </c>
    </row>
    <row r="1340" spans="1:18" ht="14" hidden="1">
      <c r="A1340" s="78" t="s">
        <v>2678</v>
      </c>
      <c r="B1340" s="220" t="s">
        <v>932</v>
      </c>
      <c r="C1340" s="185"/>
      <c r="D1340" s="103" t="str">
        <f>VLOOKUP(B1340, 'All Menu'!B:M, 4, 0)</f>
        <v>شيش وقشقوان</v>
      </c>
      <c r="E1340" s="30" t="str">
        <f>VLOOKUP(B1340, 'All Menu'!B:M, 2, 0)</f>
        <v>قسم الفرن</v>
      </c>
      <c r="F1340" s="103" t="str">
        <f>VLOOKUP(B1340, 'All Menu'!B:M, 3, 0)</f>
        <v>عجين سفري</v>
      </c>
      <c r="G1340" s="90" t="s">
        <v>2192</v>
      </c>
      <c r="H1340" s="188">
        <v>4298</v>
      </c>
      <c r="I1340" s="110" t="str">
        <f>VLOOKUP(H1340, 'RM &amp; SF'!B:H, 2, 0)</f>
        <v>اكياس ساندويش ورقية مطبوع 22 سم*42 سم 1*100 حبة*****</v>
      </c>
      <c r="J1340" s="184" t="str">
        <f>VLOOKUP(H1340, 'RM &amp; SF'!B:E, 4, 0)</f>
        <v>قطعة</v>
      </c>
      <c r="K1340" s="16">
        <v>1</v>
      </c>
      <c r="L1340" s="13">
        <f>VLOOKUP(H1340, 'RM &amp; SF'!B:H, 7, 0)</f>
        <v>2.3699999999999999E-2</v>
      </c>
      <c r="M1340" s="7">
        <f t="shared" si="76"/>
        <v>2.3699999999999999E-2</v>
      </c>
      <c r="N1340" s="4" t="s">
        <v>825</v>
      </c>
      <c r="O1340" s="4">
        <f>VLOOKUP(B1340, 'All Menu'!B:L, 6, 0)</f>
        <v>1.5086206896551726</v>
      </c>
      <c r="P1340" s="6">
        <f>VLOOKUP(B1340, 'All Menu'!B:L, 9, 0)</f>
        <v>0.82094686391928506</v>
      </c>
      <c r="Q1340" s="14">
        <f>VLOOKUP(B1340, 'All Menu'!B:M, 12, 0)</f>
        <v>0.45582950734493111</v>
      </c>
      <c r="R1340" s="173">
        <f t="shared" si="77"/>
        <v>0</v>
      </c>
    </row>
    <row r="1341" spans="1:18" ht="14" hidden="1">
      <c r="A1341" s="78" t="s">
        <v>2678</v>
      </c>
      <c r="B1341" s="220" t="s">
        <v>932</v>
      </c>
      <c r="C1341" s="185"/>
      <c r="D1341" s="103" t="str">
        <f>VLOOKUP(B1341, 'All Menu'!B:M, 4, 0)</f>
        <v>شيش وقشقوان</v>
      </c>
      <c r="E1341" s="30" t="str">
        <f>VLOOKUP(B1341, 'All Menu'!B:M, 2, 0)</f>
        <v>قسم الفرن</v>
      </c>
      <c r="F1341" s="103" t="str">
        <f>VLOOKUP(B1341, 'All Menu'!B:M, 3, 0)</f>
        <v>عجين سفري</v>
      </c>
      <c r="G1341" s="90" t="s">
        <v>3058</v>
      </c>
      <c r="H1341" s="188">
        <v>4311</v>
      </c>
      <c r="I1341" s="110" t="str">
        <f>VLOOKUP(H1341, 'RM &amp; SF'!B:H, 2, 0)</f>
        <v>ورق بلاستيك (شرحات نايلون)*****</v>
      </c>
      <c r="J1341" s="184" t="str">
        <f>VLOOKUP(H1341, 'RM &amp; SF'!B:E, 4, 0)</f>
        <v>قطعة</v>
      </c>
      <c r="K1341" s="16">
        <v>1</v>
      </c>
      <c r="L1341" s="13">
        <f>VLOOKUP(H1341, 'RM &amp; SF'!B:H, 7, 0)</f>
        <v>1.75E-3</v>
      </c>
      <c r="M1341" s="7">
        <f t="shared" si="76"/>
        <v>1.75E-3</v>
      </c>
      <c r="N1341" s="4" t="s">
        <v>825</v>
      </c>
      <c r="O1341" s="4">
        <f>VLOOKUP(B1341, 'All Menu'!B:L, 6, 0)</f>
        <v>1.5086206896551726</v>
      </c>
      <c r="P1341" s="6">
        <f>VLOOKUP(B1341, 'All Menu'!B:L, 9, 0)</f>
        <v>0.82094686391928506</v>
      </c>
      <c r="Q1341" s="14">
        <f>VLOOKUP(B1341, 'All Menu'!B:M, 12, 0)</f>
        <v>0.45582950734493111</v>
      </c>
      <c r="R1341" s="173">
        <f t="shared" si="77"/>
        <v>0</v>
      </c>
    </row>
    <row r="1342" spans="1:18" ht="14" hidden="1">
      <c r="A1342" s="78" t="s">
        <v>2670</v>
      </c>
      <c r="B1342" s="220" t="s">
        <v>933</v>
      </c>
      <c r="C1342" s="185"/>
      <c r="D1342" s="103" t="str">
        <f>VLOOKUP(B1342, 'All Menu'!B:M, 4, 0)</f>
        <v>مكس اجبان</v>
      </c>
      <c r="E1342" s="30" t="str">
        <f>VLOOKUP(B1342, 'All Menu'!B:M, 2, 0)</f>
        <v>قسم الفرن</v>
      </c>
      <c r="F1342" s="103" t="str">
        <f>VLOOKUP(B1342, 'All Menu'!B:M, 3, 0)</f>
        <v>عجين سفري</v>
      </c>
      <c r="G1342" s="90" t="s">
        <v>2333</v>
      </c>
      <c r="H1342" s="219" t="s">
        <v>498</v>
      </c>
      <c r="I1342" s="110" t="str">
        <f>VLOOKUP(H1342, 'RM &amp; SF'!B:H, 2, 0)</f>
        <v>عجين الصفيحة والمناقيش</v>
      </c>
      <c r="J1342" s="184" t="str">
        <f>VLOOKUP(H1342, 'RM &amp; SF'!B:E, 4, 0)</f>
        <v>غم</v>
      </c>
      <c r="K1342" s="12">
        <v>140</v>
      </c>
      <c r="L1342" s="13">
        <f>VLOOKUP(H1342, 'RM &amp; SF'!B:H, 7, 0)</f>
        <v>4.659980972150147E-4</v>
      </c>
      <c r="M1342" s="7">
        <f t="shared" si="76"/>
        <v>6.523973361010206E-2</v>
      </c>
      <c r="N1342" s="4" t="s">
        <v>825</v>
      </c>
      <c r="O1342" s="4">
        <f>VLOOKUP(B1342, 'All Menu'!B:L, 6, 0)</f>
        <v>1.0775862068965518</v>
      </c>
      <c r="P1342" s="6">
        <f>VLOOKUP(B1342, 'All Menu'!B:L, 9, 0)</f>
        <v>0.41229306694343532</v>
      </c>
      <c r="Q1342" s="14">
        <f>VLOOKUP(B1342, 'All Menu'!B:M, 12, 0)</f>
        <v>0.61739203387649211</v>
      </c>
      <c r="R1342" s="173">
        <f t="shared" si="77"/>
        <v>0</v>
      </c>
    </row>
    <row r="1343" spans="1:18" ht="14" hidden="1">
      <c r="A1343" s="78" t="s">
        <v>2670</v>
      </c>
      <c r="B1343" s="220" t="s">
        <v>933</v>
      </c>
      <c r="C1343" s="185"/>
      <c r="D1343" s="103" t="str">
        <f>VLOOKUP(B1343, 'All Menu'!B:M, 4, 0)</f>
        <v>مكس اجبان</v>
      </c>
      <c r="E1343" s="30" t="str">
        <f>VLOOKUP(B1343, 'All Menu'!B:M, 2, 0)</f>
        <v>قسم الفرن</v>
      </c>
      <c r="F1343" s="103" t="str">
        <f>VLOOKUP(B1343, 'All Menu'!B:M, 3, 0)</f>
        <v>عجين سفري</v>
      </c>
      <c r="G1343" s="90" t="s">
        <v>2172</v>
      </c>
      <c r="H1343" s="188">
        <v>4559</v>
      </c>
      <c r="I1343" s="110" t="str">
        <f>VLOOKUP(H1343, 'RM &amp; SF'!B:H, 2, 0)</f>
        <v>جبنة عكاوي 5 كغ*****</v>
      </c>
      <c r="J1343" s="184" t="str">
        <f>VLOOKUP(H1343, 'RM &amp; SF'!B:E, 4, 0)</f>
        <v>غم</v>
      </c>
      <c r="K1343" s="16">
        <v>50</v>
      </c>
      <c r="L1343" s="13">
        <f>VLOOKUP(H1343, 'RM &amp; SF'!B:H, 7, 0)</f>
        <v>4.7619999999999997E-3</v>
      </c>
      <c r="M1343" s="7">
        <f t="shared" si="76"/>
        <v>0.23809999999999998</v>
      </c>
      <c r="N1343" s="4" t="s">
        <v>825</v>
      </c>
      <c r="O1343" s="4">
        <f>VLOOKUP(B1343, 'All Menu'!B:L, 6, 0)</f>
        <v>1.0775862068965518</v>
      </c>
      <c r="P1343" s="6">
        <f>VLOOKUP(B1343, 'All Menu'!B:L, 9, 0)</f>
        <v>0.41229306694343532</v>
      </c>
      <c r="Q1343" s="14">
        <f>VLOOKUP(B1343, 'All Menu'!B:M, 12, 0)</f>
        <v>0.61739203387649211</v>
      </c>
      <c r="R1343" s="173">
        <f t="shared" si="77"/>
        <v>0</v>
      </c>
    </row>
    <row r="1344" spans="1:18" ht="14" hidden="1">
      <c r="A1344" s="78" t="s">
        <v>2670</v>
      </c>
      <c r="B1344" s="220" t="s">
        <v>933</v>
      </c>
      <c r="C1344" s="185"/>
      <c r="D1344" s="103" t="str">
        <f>VLOOKUP(B1344, 'All Menu'!B:M, 4, 0)</f>
        <v>مكس اجبان</v>
      </c>
      <c r="E1344" s="30" t="str">
        <f>VLOOKUP(B1344, 'All Menu'!B:M, 2, 0)</f>
        <v>قسم الفرن</v>
      </c>
      <c r="F1344" s="103" t="str">
        <f>VLOOKUP(B1344, 'All Menu'!B:M, 3, 0)</f>
        <v>عجين سفري</v>
      </c>
      <c r="G1344" s="90" t="s">
        <v>2174</v>
      </c>
      <c r="H1344" s="188">
        <v>4561</v>
      </c>
      <c r="I1344" s="110" t="str">
        <f>VLOOKUP(H1344, 'RM &amp; SF'!B:H, 2, 0)</f>
        <v>جبنة صفراء 950 غم*****</v>
      </c>
      <c r="J1344" s="184" t="str">
        <f>VLOOKUP(H1344, 'RM &amp; SF'!B:E, 4, 0)</f>
        <v>غم</v>
      </c>
      <c r="K1344" s="16">
        <v>20</v>
      </c>
      <c r="L1344" s="13">
        <f>VLOOKUP(H1344, 'RM &amp; SF'!B:H, 7, 0)</f>
        <v>2.6666666666666666E-3</v>
      </c>
      <c r="M1344" s="7">
        <f t="shared" si="76"/>
        <v>5.333333333333333E-2</v>
      </c>
      <c r="N1344" s="4" t="s">
        <v>825</v>
      </c>
      <c r="O1344" s="4">
        <f>VLOOKUP(B1344, 'All Menu'!B:L, 6, 0)</f>
        <v>1.0775862068965518</v>
      </c>
      <c r="P1344" s="6">
        <f>VLOOKUP(B1344, 'All Menu'!B:L, 9, 0)</f>
        <v>0.41229306694343532</v>
      </c>
      <c r="Q1344" s="14">
        <f>VLOOKUP(B1344, 'All Menu'!B:M, 12, 0)</f>
        <v>0.61739203387649211</v>
      </c>
      <c r="R1344" s="173">
        <f t="shared" si="77"/>
        <v>0</v>
      </c>
    </row>
    <row r="1345" spans="1:18" ht="14" hidden="1">
      <c r="A1345" s="78" t="s">
        <v>2670</v>
      </c>
      <c r="B1345" s="220" t="s">
        <v>933</v>
      </c>
      <c r="C1345" s="185"/>
      <c r="D1345" s="103" t="str">
        <f>VLOOKUP(B1345, 'All Menu'!B:M, 4, 0)</f>
        <v>مكس اجبان</v>
      </c>
      <c r="E1345" s="30" t="str">
        <f>VLOOKUP(B1345, 'All Menu'!B:M, 2, 0)</f>
        <v>قسم الفرن</v>
      </c>
      <c r="F1345" s="103" t="str">
        <f>VLOOKUP(B1345, 'All Menu'!B:M, 3, 0)</f>
        <v>عجين سفري</v>
      </c>
      <c r="G1345" s="90" t="s">
        <v>2199</v>
      </c>
      <c r="H1345" s="188">
        <v>4350</v>
      </c>
      <c r="I1345" s="110" t="str">
        <f>VLOOKUP(H1345, 'RM &amp; SF'!B:H, 2, 0)</f>
        <v>صحن كرتون مستطيل مسلفر 1/2 كغ (رقم 1)*****</v>
      </c>
      <c r="J1345" s="184" t="str">
        <f>VLOOKUP(H1345, 'RM &amp; SF'!B:E, 4, 0)</f>
        <v>قطعة</v>
      </c>
      <c r="K1345" s="16">
        <v>1</v>
      </c>
      <c r="L1345" s="13">
        <f>VLOOKUP(H1345, 'RM &amp; SF'!B:H, 7, 0)</f>
        <v>3.0169999999999999E-2</v>
      </c>
      <c r="M1345" s="7">
        <f t="shared" si="76"/>
        <v>3.0169999999999999E-2</v>
      </c>
      <c r="N1345" s="4" t="s">
        <v>825</v>
      </c>
      <c r="O1345" s="4">
        <f>VLOOKUP(B1345, 'All Menu'!B:L, 6, 0)</f>
        <v>1.0775862068965518</v>
      </c>
      <c r="P1345" s="6">
        <f>VLOOKUP(B1345, 'All Menu'!B:L, 9, 0)</f>
        <v>0.41229306694343532</v>
      </c>
      <c r="Q1345" s="14">
        <f>VLOOKUP(B1345, 'All Menu'!B:M, 12, 0)</f>
        <v>0.61739203387649211</v>
      </c>
      <c r="R1345" s="173">
        <f t="shared" si="77"/>
        <v>0</v>
      </c>
    </row>
    <row r="1346" spans="1:18" ht="14" hidden="1">
      <c r="A1346" s="78" t="s">
        <v>2670</v>
      </c>
      <c r="B1346" s="220" t="s">
        <v>933</v>
      </c>
      <c r="C1346" s="185"/>
      <c r="D1346" s="103" t="str">
        <f>VLOOKUP(B1346, 'All Menu'!B:M, 4, 0)</f>
        <v>مكس اجبان</v>
      </c>
      <c r="E1346" s="30" t="str">
        <f>VLOOKUP(B1346, 'All Menu'!B:M, 2, 0)</f>
        <v>قسم الفرن</v>
      </c>
      <c r="F1346" s="103" t="str">
        <f>VLOOKUP(B1346, 'All Menu'!B:M, 3, 0)</f>
        <v>عجين سفري</v>
      </c>
      <c r="G1346" s="90" t="s">
        <v>2192</v>
      </c>
      <c r="H1346" s="188">
        <v>4298</v>
      </c>
      <c r="I1346" s="110" t="str">
        <f>VLOOKUP(H1346, 'RM &amp; SF'!B:H, 2, 0)</f>
        <v>اكياس ساندويش ورقية مطبوع 22 سم*42 سم 1*100 حبة*****</v>
      </c>
      <c r="J1346" s="184" t="str">
        <f>VLOOKUP(H1346, 'RM &amp; SF'!B:E, 4, 0)</f>
        <v>قطعة</v>
      </c>
      <c r="K1346" s="16">
        <v>1</v>
      </c>
      <c r="L1346" s="13">
        <f>VLOOKUP(H1346, 'RM &amp; SF'!B:H, 7, 0)</f>
        <v>2.3699999999999999E-2</v>
      </c>
      <c r="M1346" s="7">
        <f t="shared" si="76"/>
        <v>2.3699999999999999E-2</v>
      </c>
      <c r="N1346" s="4" t="s">
        <v>825</v>
      </c>
      <c r="O1346" s="4">
        <f>VLOOKUP(B1346, 'All Menu'!B:L, 6, 0)</f>
        <v>1.0775862068965518</v>
      </c>
      <c r="P1346" s="6">
        <f>VLOOKUP(B1346, 'All Menu'!B:L, 9, 0)</f>
        <v>0.41229306694343532</v>
      </c>
      <c r="Q1346" s="14">
        <f>VLOOKUP(B1346, 'All Menu'!B:M, 12, 0)</f>
        <v>0.61739203387649211</v>
      </c>
      <c r="R1346" s="173">
        <f t="shared" si="77"/>
        <v>0</v>
      </c>
    </row>
    <row r="1347" spans="1:18" ht="14" hidden="1">
      <c r="A1347" s="78" t="s">
        <v>2670</v>
      </c>
      <c r="B1347" s="220" t="s">
        <v>933</v>
      </c>
      <c r="C1347" s="185"/>
      <c r="D1347" s="103" t="str">
        <f>VLOOKUP(B1347, 'All Menu'!B:M, 4, 0)</f>
        <v>مكس اجبان</v>
      </c>
      <c r="E1347" s="30" t="str">
        <f>VLOOKUP(B1347, 'All Menu'!B:M, 2, 0)</f>
        <v>قسم الفرن</v>
      </c>
      <c r="F1347" s="103" t="str">
        <f>VLOOKUP(B1347, 'All Menu'!B:M, 3, 0)</f>
        <v>عجين سفري</v>
      </c>
      <c r="G1347" s="90" t="s">
        <v>3058</v>
      </c>
      <c r="H1347" s="188">
        <v>4311</v>
      </c>
      <c r="I1347" s="110" t="str">
        <f>VLOOKUP(H1347, 'RM &amp; SF'!B:H, 2, 0)</f>
        <v>ورق بلاستيك (شرحات نايلون)*****</v>
      </c>
      <c r="J1347" s="184" t="str">
        <f>VLOOKUP(H1347, 'RM &amp; SF'!B:E, 4, 0)</f>
        <v>قطعة</v>
      </c>
      <c r="K1347" s="16">
        <v>1</v>
      </c>
      <c r="L1347" s="13">
        <f>VLOOKUP(H1347, 'RM &amp; SF'!B:H, 7, 0)</f>
        <v>1.75E-3</v>
      </c>
      <c r="M1347" s="7">
        <f t="shared" si="76"/>
        <v>1.75E-3</v>
      </c>
      <c r="N1347" s="4" t="s">
        <v>825</v>
      </c>
      <c r="O1347" s="4">
        <f>VLOOKUP(B1347, 'All Menu'!B:L, 6, 0)</f>
        <v>1.0775862068965518</v>
      </c>
      <c r="P1347" s="6">
        <f>VLOOKUP(B1347, 'All Menu'!B:L, 9, 0)</f>
        <v>0.41229306694343532</v>
      </c>
      <c r="Q1347" s="14">
        <f>VLOOKUP(B1347, 'All Menu'!B:M, 12, 0)</f>
        <v>0.61739203387649211</v>
      </c>
      <c r="R1347" s="173">
        <f t="shared" si="77"/>
        <v>0</v>
      </c>
    </row>
    <row r="1348" spans="1:18" ht="14" hidden="1">
      <c r="A1348" s="78" t="s">
        <v>2675</v>
      </c>
      <c r="B1348" s="220" t="s">
        <v>934</v>
      </c>
      <c r="C1348" s="185"/>
      <c r="D1348" s="103" t="str">
        <f>VLOOKUP(B1348, 'All Menu'!B:M, 4, 0)</f>
        <v>بيض</v>
      </c>
      <c r="E1348" s="30" t="str">
        <f>VLOOKUP(B1348, 'All Menu'!B:M, 2, 0)</f>
        <v>قسم الفرن</v>
      </c>
      <c r="F1348" s="103" t="str">
        <f>VLOOKUP(B1348, 'All Menu'!B:M, 3, 0)</f>
        <v>عجين سفري</v>
      </c>
      <c r="G1348" s="90" t="s">
        <v>2333</v>
      </c>
      <c r="H1348" s="219" t="s">
        <v>498</v>
      </c>
      <c r="I1348" s="110" t="str">
        <f>VLOOKUP(H1348, 'RM &amp; SF'!B:H, 2, 0)</f>
        <v>عجين الصفيحة والمناقيش</v>
      </c>
      <c r="J1348" s="184" t="str">
        <f>VLOOKUP(H1348, 'RM &amp; SF'!B:E, 4, 0)</f>
        <v>غم</v>
      </c>
      <c r="K1348" s="16">
        <v>140</v>
      </c>
      <c r="L1348" s="13">
        <f>VLOOKUP(H1348, 'RM &amp; SF'!B:H, 7, 0)</f>
        <v>4.659980972150147E-4</v>
      </c>
      <c r="M1348" s="7">
        <f t="shared" si="76"/>
        <v>6.523973361010206E-2</v>
      </c>
      <c r="N1348" s="4" t="s">
        <v>825</v>
      </c>
      <c r="O1348" s="4">
        <f>VLOOKUP(B1348, 'All Menu'!B:L, 6, 0)</f>
        <v>0.60344827586206895</v>
      </c>
      <c r="P1348" s="6">
        <f>VLOOKUP(B1348, 'All Menu'!B:L, 9, 0)</f>
        <v>0.296879733610102</v>
      </c>
      <c r="Q1348" s="14">
        <f>VLOOKUP(B1348, 'All Menu'!B:M, 12, 0)</f>
        <v>0.50802787001754524</v>
      </c>
      <c r="R1348" s="173">
        <f t="shared" si="77"/>
        <v>0</v>
      </c>
    </row>
    <row r="1349" spans="1:18" ht="14" hidden="1">
      <c r="A1349" s="78" t="s">
        <v>2675</v>
      </c>
      <c r="B1349" s="220" t="s">
        <v>934</v>
      </c>
      <c r="C1349" s="185"/>
      <c r="D1349" s="103" t="str">
        <f>VLOOKUP(B1349, 'All Menu'!B:M, 4, 0)</f>
        <v>بيض</v>
      </c>
      <c r="E1349" s="30" t="str">
        <f>VLOOKUP(B1349, 'All Menu'!B:M, 2, 0)</f>
        <v>قسم الفرن</v>
      </c>
      <c r="F1349" s="103" t="str">
        <f>VLOOKUP(B1349, 'All Menu'!B:M, 3, 0)</f>
        <v>عجين سفري</v>
      </c>
      <c r="G1349" s="90" t="s">
        <v>3058</v>
      </c>
      <c r="H1349" s="188">
        <v>4567</v>
      </c>
      <c r="I1349" s="110" t="str">
        <f>VLOOKUP(H1349, 'RM &amp; SF'!B:H, 2, 0)</f>
        <v>بيض طازج 1*30 حبة*****</v>
      </c>
      <c r="J1349" s="184" t="str">
        <f>VLOOKUP(H1349, 'RM &amp; SF'!B:E, 4, 0)</f>
        <v>قطعة</v>
      </c>
      <c r="K1349" s="16">
        <v>2</v>
      </c>
      <c r="L1349" s="13">
        <f>VLOOKUP(H1349, 'RM &amp; SF'!B:H, 7, 0)</f>
        <v>8.8010000000000005E-2</v>
      </c>
      <c r="M1349" s="7">
        <f t="shared" si="76"/>
        <v>0.17602000000000001</v>
      </c>
      <c r="N1349" s="4" t="s">
        <v>825</v>
      </c>
      <c r="O1349" s="4">
        <f>VLOOKUP(B1349, 'All Menu'!B:L, 6, 0)</f>
        <v>0.60344827586206895</v>
      </c>
      <c r="P1349" s="6">
        <f>VLOOKUP(B1349, 'All Menu'!B:L, 9, 0)</f>
        <v>0.296879733610102</v>
      </c>
      <c r="Q1349" s="14">
        <f>VLOOKUP(B1349, 'All Menu'!B:M, 12, 0)</f>
        <v>0.50802787001754524</v>
      </c>
      <c r="R1349" s="173">
        <f t="shared" si="77"/>
        <v>0</v>
      </c>
    </row>
    <row r="1350" spans="1:18" ht="14" hidden="1">
      <c r="A1350" s="78" t="s">
        <v>2675</v>
      </c>
      <c r="B1350" s="220" t="s">
        <v>934</v>
      </c>
      <c r="C1350" s="185"/>
      <c r="D1350" s="103" t="str">
        <f>VLOOKUP(B1350, 'All Menu'!B:M, 4, 0)</f>
        <v>بيض</v>
      </c>
      <c r="E1350" s="30" t="str">
        <f>VLOOKUP(B1350, 'All Menu'!B:M, 2, 0)</f>
        <v>قسم الفرن</v>
      </c>
      <c r="F1350" s="103" t="str">
        <f>VLOOKUP(B1350, 'All Menu'!B:M, 3, 0)</f>
        <v>عجين سفري</v>
      </c>
      <c r="G1350" s="90" t="s">
        <v>2199</v>
      </c>
      <c r="H1350" s="188">
        <v>4350</v>
      </c>
      <c r="I1350" s="110" t="str">
        <f>VLOOKUP(H1350, 'RM &amp; SF'!B:H, 2, 0)</f>
        <v>صحن كرتون مستطيل مسلفر 1/2 كغ (رقم 1)*****</v>
      </c>
      <c r="J1350" s="184" t="str">
        <f>VLOOKUP(H1350, 'RM &amp; SF'!B:E, 4, 0)</f>
        <v>قطعة</v>
      </c>
      <c r="K1350" s="16">
        <v>1</v>
      </c>
      <c r="L1350" s="13">
        <f>VLOOKUP(H1350, 'RM &amp; SF'!B:H, 7, 0)</f>
        <v>3.0169999999999999E-2</v>
      </c>
      <c r="M1350" s="7">
        <f t="shared" si="76"/>
        <v>3.0169999999999999E-2</v>
      </c>
      <c r="N1350" s="4" t="s">
        <v>825</v>
      </c>
      <c r="O1350" s="4">
        <f>VLOOKUP(B1350, 'All Menu'!B:L, 6, 0)</f>
        <v>0.60344827586206895</v>
      </c>
      <c r="P1350" s="6">
        <f>VLOOKUP(B1350, 'All Menu'!B:L, 9, 0)</f>
        <v>0.296879733610102</v>
      </c>
      <c r="Q1350" s="14">
        <f>VLOOKUP(B1350, 'All Menu'!B:M, 12, 0)</f>
        <v>0.50802787001754524</v>
      </c>
      <c r="R1350" s="173">
        <f t="shared" si="77"/>
        <v>0</v>
      </c>
    </row>
    <row r="1351" spans="1:18" ht="14" hidden="1">
      <c r="A1351" s="78" t="s">
        <v>2675</v>
      </c>
      <c r="B1351" s="220" t="s">
        <v>934</v>
      </c>
      <c r="C1351" s="185"/>
      <c r="D1351" s="103" t="str">
        <f>VLOOKUP(B1351, 'All Menu'!B:M, 4, 0)</f>
        <v>بيض</v>
      </c>
      <c r="E1351" s="30" t="str">
        <f>VLOOKUP(B1351, 'All Menu'!B:M, 2, 0)</f>
        <v>قسم الفرن</v>
      </c>
      <c r="F1351" s="103" t="str">
        <f>VLOOKUP(B1351, 'All Menu'!B:M, 3, 0)</f>
        <v>عجين سفري</v>
      </c>
      <c r="G1351" s="90" t="s">
        <v>2192</v>
      </c>
      <c r="H1351" s="188">
        <v>4298</v>
      </c>
      <c r="I1351" s="110" t="str">
        <f>VLOOKUP(H1351, 'RM &amp; SF'!B:H, 2, 0)</f>
        <v>اكياس ساندويش ورقية مطبوع 22 سم*42 سم 1*100 حبة*****</v>
      </c>
      <c r="J1351" s="184" t="str">
        <f>VLOOKUP(H1351, 'RM &amp; SF'!B:E, 4, 0)</f>
        <v>قطعة</v>
      </c>
      <c r="K1351" s="16">
        <v>1</v>
      </c>
      <c r="L1351" s="13">
        <f>VLOOKUP(H1351, 'RM &amp; SF'!B:H, 7, 0)</f>
        <v>2.3699999999999999E-2</v>
      </c>
      <c r="M1351" s="7">
        <f t="shared" si="76"/>
        <v>2.3699999999999999E-2</v>
      </c>
      <c r="N1351" s="4" t="s">
        <v>825</v>
      </c>
      <c r="O1351" s="4">
        <f>VLOOKUP(B1351, 'All Menu'!B:L, 6, 0)</f>
        <v>0.60344827586206895</v>
      </c>
      <c r="P1351" s="6">
        <f>VLOOKUP(B1351, 'All Menu'!B:L, 9, 0)</f>
        <v>0.296879733610102</v>
      </c>
      <c r="Q1351" s="14">
        <f>VLOOKUP(B1351, 'All Menu'!B:M, 12, 0)</f>
        <v>0.50802787001754524</v>
      </c>
      <c r="R1351" s="173">
        <f t="shared" si="77"/>
        <v>0</v>
      </c>
    </row>
    <row r="1352" spans="1:18" ht="14" hidden="1">
      <c r="A1352" s="78" t="s">
        <v>2675</v>
      </c>
      <c r="B1352" s="220" t="s">
        <v>934</v>
      </c>
      <c r="C1352" s="185"/>
      <c r="D1352" s="103" t="str">
        <f>VLOOKUP(B1352, 'All Menu'!B:M, 4, 0)</f>
        <v>بيض</v>
      </c>
      <c r="E1352" s="30" t="str">
        <f>VLOOKUP(B1352, 'All Menu'!B:M, 2, 0)</f>
        <v>قسم الفرن</v>
      </c>
      <c r="F1352" s="103" t="str">
        <f>VLOOKUP(B1352, 'All Menu'!B:M, 3, 0)</f>
        <v>عجين سفري</v>
      </c>
      <c r="G1352" s="90" t="s">
        <v>3058</v>
      </c>
      <c r="H1352" s="188">
        <v>4311</v>
      </c>
      <c r="I1352" s="110" t="str">
        <f>VLOOKUP(H1352, 'RM &amp; SF'!B:H, 2, 0)</f>
        <v>ورق بلاستيك (شرحات نايلون)*****</v>
      </c>
      <c r="J1352" s="184" t="str">
        <f>VLOOKUP(H1352, 'RM &amp; SF'!B:E, 4, 0)</f>
        <v>قطعة</v>
      </c>
      <c r="K1352" s="16">
        <v>1</v>
      </c>
      <c r="L1352" s="13">
        <f>VLOOKUP(H1352, 'RM &amp; SF'!B:H, 7, 0)</f>
        <v>1.75E-3</v>
      </c>
      <c r="M1352" s="7">
        <f t="shared" si="76"/>
        <v>1.75E-3</v>
      </c>
      <c r="N1352" s="4" t="s">
        <v>825</v>
      </c>
      <c r="O1352" s="4">
        <f>VLOOKUP(B1352, 'All Menu'!B:L, 6, 0)</f>
        <v>0.60344827586206895</v>
      </c>
      <c r="P1352" s="6">
        <f>VLOOKUP(B1352, 'All Menu'!B:L, 9, 0)</f>
        <v>0.296879733610102</v>
      </c>
      <c r="Q1352" s="14">
        <f>VLOOKUP(B1352, 'All Menu'!B:M, 12, 0)</f>
        <v>0.50802787001754524</v>
      </c>
      <c r="R1352" s="173">
        <f t="shared" si="77"/>
        <v>0</v>
      </c>
    </row>
    <row r="1353" spans="1:18" ht="14" hidden="1">
      <c r="A1353" s="78" t="s">
        <v>2674</v>
      </c>
      <c r="B1353" s="220" t="s">
        <v>935</v>
      </c>
      <c r="C1353" s="185"/>
      <c r="D1353" s="103" t="str">
        <f>VLOOKUP(B1353, 'All Menu'!B:M, 4, 0)</f>
        <v>بيض وجبنة</v>
      </c>
      <c r="E1353" s="30" t="str">
        <f>VLOOKUP(B1353, 'All Menu'!B:M, 2, 0)</f>
        <v>قسم الفرن</v>
      </c>
      <c r="F1353" s="103" t="str">
        <f>VLOOKUP(B1353, 'All Menu'!B:M, 3, 0)</f>
        <v>عجين سفري</v>
      </c>
      <c r="G1353" s="90" t="s">
        <v>2333</v>
      </c>
      <c r="H1353" s="219" t="s">
        <v>498</v>
      </c>
      <c r="I1353" s="110" t="str">
        <f>VLOOKUP(H1353, 'RM &amp; SF'!B:H, 2, 0)</f>
        <v>عجين الصفيحة والمناقيش</v>
      </c>
      <c r="J1353" s="184" t="str">
        <f>VLOOKUP(H1353, 'RM &amp; SF'!B:E, 4, 0)</f>
        <v>غم</v>
      </c>
      <c r="K1353" s="12">
        <v>140</v>
      </c>
      <c r="L1353" s="13">
        <f>VLOOKUP(H1353, 'RM &amp; SF'!B:H, 7, 0)</f>
        <v>4.659980972150147E-4</v>
      </c>
      <c r="M1353" s="7">
        <f t="shared" si="76"/>
        <v>6.523973361010206E-2</v>
      </c>
      <c r="N1353" s="4" t="s">
        <v>825</v>
      </c>
      <c r="O1353" s="4">
        <f>VLOOKUP(B1353, 'All Menu'!B:L, 6, 0)</f>
        <v>1.0775862068965518</v>
      </c>
      <c r="P1353" s="6">
        <f>VLOOKUP(B1353, 'All Menu'!B:L, 9, 0)</f>
        <v>0.43973973361010199</v>
      </c>
      <c r="Q1353" s="14">
        <f>VLOOKUP(B1353, 'All Menu'!B:M, 12, 0)</f>
        <v>0.59192152720982538</v>
      </c>
      <c r="R1353" s="173">
        <f t="shared" si="77"/>
        <v>0</v>
      </c>
    </row>
    <row r="1354" spans="1:18" ht="14" hidden="1">
      <c r="A1354" s="78" t="s">
        <v>2674</v>
      </c>
      <c r="B1354" s="220" t="s">
        <v>935</v>
      </c>
      <c r="C1354" s="185"/>
      <c r="D1354" s="103" t="str">
        <f>VLOOKUP(B1354, 'All Menu'!B:M, 4, 0)</f>
        <v>بيض وجبنة</v>
      </c>
      <c r="E1354" s="30" t="str">
        <f>VLOOKUP(B1354, 'All Menu'!B:M, 2, 0)</f>
        <v>قسم الفرن</v>
      </c>
      <c r="F1354" s="103" t="str">
        <f>VLOOKUP(B1354, 'All Menu'!B:M, 3, 0)</f>
        <v>عجين سفري</v>
      </c>
      <c r="G1354" s="90" t="s">
        <v>3058</v>
      </c>
      <c r="H1354" s="188">
        <v>4567</v>
      </c>
      <c r="I1354" s="110" t="str">
        <f>VLOOKUP(H1354, 'RM &amp; SF'!B:H, 2, 0)</f>
        <v>بيض طازج 1*30 حبة*****</v>
      </c>
      <c r="J1354" s="184" t="str">
        <f>VLOOKUP(H1354, 'RM &amp; SF'!B:E, 4, 0)</f>
        <v>قطعة</v>
      </c>
      <c r="K1354" s="12">
        <v>2</v>
      </c>
      <c r="L1354" s="13">
        <f>VLOOKUP(H1354, 'RM &amp; SF'!B:H, 7, 0)</f>
        <v>8.8010000000000005E-2</v>
      </c>
      <c r="M1354" s="7">
        <f t="shared" si="76"/>
        <v>0.17602000000000001</v>
      </c>
      <c r="N1354" s="4" t="s">
        <v>825</v>
      </c>
      <c r="O1354" s="4">
        <f>VLOOKUP(B1354, 'All Menu'!B:L, 6, 0)</f>
        <v>1.0775862068965518</v>
      </c>
      <c r="P1354" s="6">
        <f>VLOOKUP(B1354, 'All Menu'!B:L, 9, 0)</f>
        <v>0.43973973361010199</v>
      </c>
      <c r="Q1354" s="14">
        <f>VLOOKUP(B1354, 'All Menu'!B:M, 12, 0)</f>
        <v>0.59192152720982538</v>
      </c>
      <c r="R1354" s="173">
        <f t="shared" si="77"/>
        <v>0</v>
      </c>
    </row>
    <row r="1355" spans="1:18" ht="14" hidden="1">
      <c r="A1355" s="78" t="s">
        <v>2674</v>
      </c>
      <c r="B1355" s="220" t="s">
        <v>935</v>
      </c>
      <c r="C1355" s="185"/>
      <c r="D1355" s="103" t="str">
        <f>VLOOKUP(B1355, 'All Menu'!B:M, 4, 0)</f>
        <v>بيض وجبنة</v>
      </c>
      <c r="E1355" s="30" t="str">
        <f>VLOOKUP(B1355, 'All Menu'!B:M, 2, 0)</f>
        <v>قسم الفرن</v>
      </c>
      <c r="F1355" s="103" t="str">
        <f>VLOOKUP(B1355, 'All Menu'!B:M, 3, 0)</f>
        <v>عجين سفري</v>
      </c>
      <c r="G1355" s="90" t="s">
        <v>2172</v>
      </c>
      <c r="H1355" s="188">
        <v>4559</v>
      </c>
      <c r="I1355" s="110" t="str">
        <f>VLOOKUP(H1355, 'RM &amp; SF'!B:H, 2, 0)</f>
        <v>جبنة عكاوي 5 كغ*****</v>
      </c>
      <c r="J1355" s="184" t="str">
        <f>VLOOKUP(H1355, 'RM &amp; SF'!B:E, 4, 0)</f>
        <v>غم</v>
      </c>
      <c r="K1355" s="12">
        <v>30</v>
      </c>
      <c r="L1355" s="13">
        <f>VLOOKUP(H1355, 'RM &amp; SF'!B:H, 7, 0)</f>
        <v>4.7619999999999997E-3</v>
      </c>
      <c r="M1355" s="7">
        <f t="shared" si="76"/>
        <v>0.14285999999999999</v>
      </c>
      <c r="N1355" s="4" t="s">
        <v>825</v>
      </c>
      <c r="O1355" s="4">
        <f>VLOOKUP(B1355, 'All Menu'!B:L, 6, 0)</f>
        <v>1.0775862068965518</v>
      </c>
      <c r="P1355" s="6">
        <f>VLOOKUP(B1355, 'All Menu'!B:L, 9, 0)</f>
        <v>0.43973973361010199</v>
      </c>
      <c r="Q1355" s="14">
        <f>VLOOKUP(B1355, 'All Menu'!B:M, 12, 0)</f>
        <v>0.59192152720982538</v>
      </c>
      <c r="R1355" s="173">
        <f t="shared" si="77"/>
        <v>0</v>
      </c>
    </row>
    <row r="1356" spans="1:18" ht="14" hidden="1">
      <c r="A1356" s="78" t="s">
        <v>2674</v>
      </c>
      <c r="B1356" s="220" t="s">
        <v>935</v>
      </c>
      <c r="C1356" s="185"/>
      <c r="D1356" s="103" t="str">
        <f>VLOOKUP(B1356, 'All Menu'!B:M, 4, 0)</f>
        <v>بيض وجبنة</v>
      </c>
      <c r="E1356" s="30" t="str">
        <f>VLOOKUP(B1356, 'All Menu'!B:M, 2, 0)</f>
        <v>قسم الفرن</v>
      </c>
      <c r="F1356" s="103" t="str">
        <f>VLOOKUP(B1356, 'All Menu'!B:M, 3, 0)</f>
        <v>عجين سفري</v>
      </c>
      <c r="G1356" s="90" t="s">
        <v>2199</v>
      </c>
      <c r="H1356" s="188">
        <v>4350</v>
      </c>
      <c r="I1356" s="110" t="str">
        <f>VLOOKUP(H1356, 'RM &amp; SF'!B:H, 2, 0)</f>
        <v>صحن كرتون مستطيل مسلفر 1/2 كغ (رقم 1)*****</v>
      </c>
      <c r="J1356" s="184" t="str">
        <f>VLOOKUP(H1356, 'RM &amp; SF'!B:E, 4, 0)</f>
        <v>قطعة</v>
      </c>
      <c r="K1356" s="12">
        <v>1</v>
      </c>
      <c r="L1356" s="13">
        <f>VLOOKUP(H1356, 'RM &amp; SF'!B:H, 7, 0)</f>
        <v>3.0169999999999999E-2</v>
      </c>
      <c r="M1356" s="7">
        <f t="shared" si="76"/>
        <v>3.0169999999999999E-2</v>
      </c>
      <c r="N1356" s="4" t="s">
        <v>825</v>
      </c>
      <c r="O1356" s="4">
        <f>VLOOKUP(B1356, 'All Menu'!B:L, 6, 0)</f>
        <v>1.0775862068965518</v>
      </c>
      <c r="P1356" s="6">
        <f>VLOOKUP(B1356, 'All Menu'!B:L, 9, 0)</f>
        <v>0.43973973361010199</v>
      </c>
      <c r="Q1356" s="14">
        <f>VLOOKUP(B1356, 'All Menu'!B:M, 12, 0)</f>
        <v>0.59192152720982538</v>
      </c>
      <c r="R1356" s="173">
        <f t="shared" si="77"/>
        <v>0</v>
      </c>
    </row>
    <row r="1357" spans="1:18" ht="14" hidden="1">
      <c r="A1357" s="78" t="s">
        <v>2674</v>
      </c>
      <c r="B1357" s="220" t="s">
        <v>935</v>
      </c>
      <c r="C1357" s="185"/>
      <c r="D1357" s="103" t="str">
        <f>VLOOKUP(B1357, 'All Menu'!B:M, 4, 0)</f>
        <v>بيض وجبنة</v>
      </c>
      <c r="E1357" s="30" t="str">
        <f>VLOOKUP(B1357, 'All Menu'!B:M, 2, 0)</f>
        <v>قسم الفرن</v>
      </c>
      <c r="F1357" s="103" t="str">
        <f>VLOOKUP(B1357, 'All Menu'!B:M, 3, 0)</f>
        <v>عجين سفري</v>
      </c>
      <c r="G1357" s="90" t="s">
        <v>2192</v>
      </c>
      <c r="H1357" s="188">
        <v>4298</v>
      </c>
      <c r="I1357" s="110" t="str">
        <f>VLOOKUP(H1357, 'RM &amp; SF'!B:H, 2, 0)</f>
        <v>اكياس ساندويش ورقية مطبوع 22 سم*42 سم 1*100 حبة*****</v>
      </c>
      <c r="J1357" s="184" t="str">
        <f>VLOOKUP(H1357, 'RM &amp; SF'!B:E, 4, 0)</f>
        <v>قطعة</v>
      </c>
      <c r="K1357" s="12">
        <v>1</v>
      </c>
      <c r="L1357" s="13">
        <f>VLOOKUP(H1357, 'RM &amp; SF'!B:H, 7, 0)</f>
        <v>2.3699999999999999E-2</v>
      </c>
      <c r="M1357" s="7">
        <f t="shared" si="76"/>
        <v>2.3699999999999999E-2</v>
      </c>
      <c r="N1357" s="4" t="s">
        <v>825</v>
      </c>
      <c r="O1357" s="4">
        <f>VLOOKUP(B1357, 'All Menu'!B:L, 6, 0)</f>
        <v>1.0775862068965518</v>
      </c>
      <c r="P1357" s="6">
        <f>VLOOKUP(B1357, 'All Menu'!B:L, 9, 0)</f>
        <v>0.43973973361010199</v>
      </c>
      <c r="Q1357" s="14">
        <f>VLOOKUP(B1357, 'All Menu'!B:M, 12, 0)</f>
        <v>0.59192152720982538</v>
      </c>
      <c r="R1357" s="173">
        <f t="shared" si="77"/>
        <v>0</v>
      </c>
    </row>
    <row r="1358" spans="1:18" ht="14" hidden="1">
      <c r="A1358" s="78" t="s">
        <v>2674</v>
      </c>
      <c r="B1358" s="220" t="s">
        <v>935</v>
      </c>
      <c r="C1358" s="185"/>
      <c r="D1358" s="103" t="str">
        <f>VLOOKUP(B1358, 'All Menu'!B:M, 4, 0)</f>
        <v>بيض وجبنة</v>
      </c>
      <c r="E1358" s="30" t="str">
        <f>VLOOKUP(B1358, 'All Menu'!B:M, 2, 0)</f>
        <v>قسم الفرن</v>
      </c>
      <c r="F1358" s="103" t="str">
        <f>VLOOKUP(B1358, 'All Menu'!B:M, 3, 0)</f>
        <v>عجين سفري</v>
      </c>
      <c r="G1358" s="90" t="s">
        <v>3058</v>
      </c>
      <c r="H1358" s="188">
        <v>4311</v>
      </c>
      <c r="I1358" s="110" t="str">
        <f>VLOOKUP(H1358, 'RM &amp; SF'!B:H, 2, 0)</f>
        <v>ورق بلاستيك (شرحات نايلون)*****</v>
      </c>
      <c r="J1358" s="184" t="str">
        <f>VLOOKUP(H1358, 'RM &amp; SF'!B:E, 4, 0)</f>
        <v>قطعة</v>
      </c>
      <c r="K1358" s="12">
        <v>1</v>
      </c>
      <c r="L1358" s="13">
        <f>VLOOKUP(H1358, 'RM &amp; SF'!B:H, 7, 0)</f>
        <v>1.75E-3</v>
      </c>
      <c r="M1358" s="7">
        <f t="shared" si="76"/>
        <v>1.75E-3</v>
      </c>
      <c r="N1358" s="4" t="s">
        <v>825</v>
      </c>
      <c r="O1358" s="4">
        <f>VLOOKUP(B1358, 'All Menu'!B:L, 6, 0)</f>
        <v>1.0775862068965518</v>
      </c>
      <c r="P1358" s="6">
        <f>VLOOKUP(B1358, 'All Menu'!B:L, 9, 0)</f>
        <v>0.43973973361010199</v>
      </c>
      <c r="Q1358" s="14">
        <f>VLOOKUP(B1358, 'All Menu'!B:M, 12, 0)</f>
        <v>0.59192152720982538</v>
      </c>
      <c r="R1358" s="173">
        <f t="shared" si="77"/>
        <v>0</v>
      </c>
    </row>
    <row r="1359" spans="1:18" ht="14" hidden="1">
      <c r="A1359" s="78" t="s">
        <v>2679</v>
      </c>
      <c r="B1359" s="220" t="s">
        <v>936</v>
      </c>
      <c r="C1359" s="185"/>
      <c r="D1359" s="103" t="str">
        <f>VLOOKUP(B1359, 'All Menu'!B:M, 4, 0)</f>
        <v>تيركي وقشقوان</v>
      </c>
      <c r="E1359" s="30" t="str">
        <f>VLOOKUP(B1359, 'All Menu'!B:M, 2, 0)</f>
        <v>قسم الفرن</v>
      </c>
      <c r="F1359" s="103" t="str">
        <f>VLOOKUP(B1359, 'All Menu'!B:M, 3, 0)</f>
        <v>عجين سفري</v>
      </c>
      <c r="G1359" s="90" t="s">
        <v>2333</v>
      </c>
      <c r="H1359" s="219" t="s">
        <v>498</v>
      </c>
      <c r="I1359" s="110" t="str">
        <f>VLOOKUP(H1359, 'RM &amp; SF'!B:H, 2, 0)</f>
        <v>عجين الصفيحة والمناقيش</v>
      </c>
      <c r="J1359" s="184" t="str">
        <f>VLOOKUP(H1359, 'RM &amp; SF'!B:E, 4, 0)</f>
        <v>غم</v>
      </c>
      <c r="K1359" s="12">
        <v>140</v>
      </c>
      <c r="L1359" s="13">
        <f>VLOOKUP(H1359, 'RM &amp; SF'!B:H, 7, 0)</f>
        <v>4.659980972150147E-4</v>
      </c>
      <c r="M1359" s="7">
        <f t="shared" si="76"/>
        <v>6.523973361010206E-2</v>
      </c>
      <c r="N1359" s="4" t="s">
        <v>825</v>
      </c>
      <c r="O1359" s="4">
        <f>VLOOKUP(B1359, 'All Menu'!B:L, 6, 0)</f>
        <v>1.0775862068965518</v>
      </c>
      <c r="P1359" s="6">
        <f>VLOOKUP(B1359, 'All Menu'!B:L, 9, 0)</f>
        <v>0.51911934899471734</v>
      </c>
      <c r="Q1359" s="14">
        <f>VLOOKUP(B1359, 'All Menu'!B:M, 12, 0)</f>
        <v>0.51825724413290231</v>
      </c>
      <c r="R1359" s="173">
        <f t="shared" si="77"/>
        <v>0</v>
      </c>
    </row>
    <row r="1360" spans="1:18" ht="14" hidden="1">
      <c r="A1360" s="78" t="s">
        <v>2679</v>
      </c>
      <c r="B1360" s="220" t="s">
        <v>936</v>
      </c>
      <c r="C1360" s="185"/>
      <c r="D1360" s="103" t="str">
        <f>VLOOKUP(B1360, 'All Menu'!B:M, 4, 0)</f>
        <v>تيركي وقشقوان</v>
      </c>
      <c r="E1360" s="30" t="str">
        <f>VLOOKUP(B1360, 'All Menu'!B:M, 2, 0)</f>
        <v>قسم الفرن</v>
      </c>
      <c r="F1360" s="103" t="str">
        <f>VLOOKUP(B1360, 'All Menu'!B:M, 3, 0)</f>
        <v>عجين سفري</v>
      </c>
      <c r="G1360" s="90" t="s">
        <v>2262</v>
      </c>
      <c r="H1360" s="188">
        <v>4633</v>
      </c>
      <c r="I1360" s="110" t="str">
        <f>VLOOKUP(H1360, 'RM &amp; SF'!B:H, 2, 0)</f>
        <v>تيركي 500 غم*****</v>
      </c>
      <c r="J1360" s="184" t="str">
        <f>VLOOKUP(H1360, 'RM &amp; SF'!B:E, 4, 0)</f>
        <v>غم</v>
      </c>
      <c r="K1360" s="12">
        <v>40</v>
      </c>
      <c r="L1360" s="13">
        <f>VLOOKUP(H1360, 'RM &amp; SF'!B:H, 7, 0)</f>
        <v>4.1346153846153842E-3</v>
      </c>
      <c r="M1360" s="7">
        <f t="shared" si="76"/>
        <v>0.16538461538461535</v>
      </c>
      <c r="N1360" s="4" t="s">
        <v>825</v>
      </c>
      <c r="O1360" s="4">
        <f>VLOOKUP(B1360, 'All Menu'!B:L, 6, 0)</f>
        <v>1.0775862068965518</v>
      </c>
      <c r="P1360" s="6">
        <f>VLOOKUP(B1360, 'All Menu'!B:L, 9, 0)</f>
        <v>0.51911934899471734</v>
      </c>
      <c r="Q1360" s="14">
        <f>VLOOKUP(B1360, 'All Menu'!B:M, 12, 0)</f>
        <v>0.51825724413290231</v>
      </c>
      <c r="R1360" s="173">
        <f t="shared" si="77"/>
        <v>0</v>
      </c>
    </row>
    <row r="1361" spans="1:18" ht="14" hidden="1">
      <c r="A1361" s="78" t="s">
        <v>2679</v>
      </c>
      <c r="B1361" s="220" t="s">
        <v>936</v>
      </c>
      <c r="C1361" s="185"/>
      <c r="D1361" s="103" t="str">
        <f>VLOOKUP(B1361, 'All Menu'!B:M, 4, 0)</f>
        <v>تيركي وقشقوان</v>
      </c>
      <c r="E1361" s="30" t="str">
        <f>VLOOKUP(B1361, 'All Menu'!B:M, 2, 0)</f>
        <v>قسم الفرن</v>
      </c>
      <c r="F1361" s="103" t="str">
        <f>VLOOKUP(B1361, 'All Menu'!B:M, 3, 0)</f>
        <v>عجين سفري</v>
      </c>
      <c r="G1361" s="90" t="s">
        <v>2173</v>
      </c>
      <c r="H1361" s="188">
        <v>4624</v>
      </c>
      <c r="I1361" s="110" t="str">
        <f>VLOOKUP(H1361, 'RM &amp; SF'!B:H, 2, 0)</f>
        <v>جبنة موزريلا قالب 2.380 كغ*****</v>
      </c>
      <c r="J1361" s="184" t="str">
        <f>VLOOKUP(H1361, 'RM &amp; SF'!B:E, 4, 0)</f>
        <v>غم</v>
      </c>
      <c r="K1361" s="12">
        <v>45</v>
      </c>
      <c r="L1361" s="13">
        <f>VLOOKUP(H1361, 'RM &amp; SF'!B:H, 7, 0)</f>
        <v>5.1749999999999999E-3</v>
      </c>
      <c r="M1361" s="7">
        <f t="shared" si="76"/>
        <v>0.232875</v>
      </c>
      <c r="N1361" s="4" t="s">
        <v>825</v>
      </c>
      <c r="O1361" s="4">
        <f>VLOOKUP(B1361, 'All Menu'!B:L, 6, 0)</f>
        <v>1.0775862068965518</v>
      </c>
      <c r="P1361" s="6">
        <f>VLOOKUP(B1361, 'All Menu'!B:L, 9, 0)</f>
        <v>0.51911934899471734</v>
      </c>
      <c r="Q1361" s="14">
        <f>VLOOKUP(B1361, 'All Menu'!B:M, 12, 0)</f>
        <v>0.51825724413290231</v>
      </c>
      <c r="R1361" s="173">
        <f t="shared" si="77"/>
        <v>0</v>
      </c>
    </row>
    <row r="1362" spans="1:18" ht="14" hidden="1">
      <c r="A1362" s="78" t="s">
        <v>2679</v>
      </c>
      <c r="B1362" s="220" t="s">
        <v>936</v>
      </c>
      <c r="C1362" s="185"/>
      <c r="D1362" s="103" t="str">
        <f>VLOOKUP(B1362, 'All Menu'!B:M, 4, 0)</f>
        <v>تيركي وقشقوان</v>
      </c>
      <c r="E1362" s="30" t="str">
        <f>VLOOKUP(B1362, 'All Menu'!B:M, 2, 0)</f>
        <v>قسم الفرن</v>
      </c>
      <c r="F1362" s="103" t="str">
        <f>VLOOKUP(B1362, 'All Menu'!B:M, 3, 0)</f>
        <v>عجين سفري</v>
      </c>
      <c r="G1362" s="90" t="s">
        <v>2199</v>
      </c>
      <c r="H1362" s="188">
        <v>4350</v>
      </c>
      <c r="I1362" s="110" t="str">
        <f>VLOOKUP(H1362, 'RM &amp; SF'!B:H, 2, 0)</f>
        <v>صحن كرتون مستطيل مسلفر 1/2 كغ (رقم 1)*****</v>
      </c>
      <c r="J1362" s="184" t="str">
        <f>VLOOKUP(H1362, 'RM &amp; SF'!B:E, 4, 0)</f>
        <v>قطعة</v>
      </c>
      <c r="K1362" s="12">
        <v>1</v>
      </c>
      <c r="L1362" s="13">
        <f>VLOOKUP(H1362, 'RM &amp; SF'!B:H, 7, 0)</f>
        <v>3.0169999999999999E-2</v>
      </c>
      <c r="M1362" s="7">
        <f t="shared" si="76"/>
        <v>3.0169999999999999E-2</v>
      </c>
      <c r="N1362" s="4" t="s">
        <v>825</v>
      </c>
      <c r="O1362" s="4">
        <f>VLOOKUP(B1362, 'All Menu'!B:L, 6, 0)</f>
        <v>1.0775862068965518</v>
      </c>
      <c r="P1362" s="6">
        <f>VLOOKUP(B1362, 'All Menu'!B:L, 9, 0)</f>
        <v>0.51911934899471734</v>
      </c>
      <c r="Q1362" s="14">
        <f>VLOOKUP(B1362, 'All Menu'!B:M, 12, 0)</f>
        <v>0.51825724413290231</v>
      </c>
      <c r="R1362" s="173">
        <f t="shared" si="77"/>
        <v>0</v>
      </c>
    </row>
    <row r="1363" spans="1:18" ht="14" hidden="1">
      <c r="A1363" s="78" t="s">
        <v>2679</v>
      </c>
      <c r="B1363" s="220" t="s">
        <v>936</v>
      </c>
      <c r="C1363" s="185"/>
      <c r="D1363" s="103" t="str">
        <f>VLOOKUP(B1363, 'All Menu'!B:M, 4, 0)</f>
        <v>تيركي وقشقوان</v>
      </c>
      <c r="E1363" s="30" t="str">
        <f>VLOOKUP(B1363, 'All Menu'!B:M, 2, 0)</f>
        <v>قسم الفرن</v>
      </c>
      <c r="F1363" s="103" t="str">
        <f>VLOOKUP(B1363, 'All Menu'!B:M, 3, 0)</f>
        <v>عجين سفري</v>
      </c>
      <c r="G1363" s="90" t="s">
        <v>2192</v>
      </c>
      <c r="H1363" s="188">
        <v>4298</v>
      </c>
      <c r="I1363" s="110" t="str">
        <f>VLOOKUP(H1363, 'RM &amp; SF'!B:H, 2, 0)</f>
        <v>اكياس ساندويش ورقية مطبوع 22 سم*42 سم 1*100 حبة*****</v>
      </c>
      <c r="J1363" s="184" t="str">
        <f>VLOOKUP(H1363, 'RM &amp; SF'!B:E, 4, 0)</f>
        <v>قطعة</v>
      </c>
      <c r="K1363" s="12">
        <v>1</v>
      </c>
      <c r="L1363" s="13">
        <f>VLOOKUP(H1363, 'RM &amp; SF'!B:H, 7, 0)</f>
        <v>2.3699999999999999E-2</v>
      </c>
      <c r="M1363" s="7">
        <f t="shared" si="76"/>
        <v>2.3699999999999999E-2</v>
      </c>
      <c r="N1363" s="4" t="s">
        <v>825</v>
      </c>
      <c r="O1363" s="4">
        <f>VLOOKUP(B1363, 'All Menu'!B:L, 6, 0)</f>
        <v>1.0775862068965518</v>
      </c>
      <c r="P1363" s="6">
        <f>VLOOKUP(B1363, 'All Menu'!B:L, 9, 0)</f>
        <v>0.51911934899471734</v>
      </c>
      <c r="Q1363" s="14">
        <f>VLOOKUP(B1363, 'All Menu'!B:M, 12, 0)</f>
        <v>0.51825724413290231</v>
      </c>
      <c r="R1363" s="173">
        <f t="shared" si="77"/>
        <v>0</v>
      </c>
    </row>
    <row r="1364" spans="1:18" ht="14" hidden="1">
      <c r="A1364" s="78" t="s">
        <v>2679</v>
      </c>
      <c r="B1364" s="220" t="s">
        <v>936</v>
      </c>
      <c r="C1364" s="185"/>
      <c r="D1364" s="103" t="str">
        <f>VLOOKUP(B1364, 'All Menu'!B:M, 4, 0)</f>
        <v>تيركي وقشقوان</v>
      </c>
      <c r="E1364" s="30" t="str">
        <f>VLOOKUP(B1364, 'All Menu'!B:M, 2, 0)</f>
        <v>قسم الفرن</v>
      </c>
      <c r="F1364" s="103" t="str">
        <f>VLOOKUP(B1364, 'All Menu'!B:M, 3, 0)</f>
        <v>عجين سفري</v>
      </c>
      <c r="G1364" s="90" t="s">
        <v>3058</v>
      </c>
      <c r="H1364" s="188">
        <v>4311</v>
      </c>
      <c r="I1364" s="110" t="str">
        <f>VLOOKUP(H1364, 'RM &amp; SF'!B:H, 2, 0)</f>
        <v>ورق بلاستيك (شرحات نايلون)*****</v>
      </c>
      <c r="J1364" s="184" t="str">
        <f>VLOOKUP(H1364, 'RM &amp; SF'!B:E, 4, 0)</f>
        <v>قطعة</v>
      </c>
      <c r="K1364" s="12">
        <v>1</v>
      </c>
      <c r="L1364" s="13">
        <f>VLOOKUP(H1364, 'RM &amp; SF'!B:H, 7, 0)</f>
        <v>1.75E-3</v>
      </c>
      <c r="M1364" s="7">
        <f t="shared" si="76"/>
        <v>1.75E-3</v>
      </c>
      <c r="N1364" s="4" t="s">
        <v>825</v>
      </c>
      <c r="O1364" s="4">
        <f>VLOOKUP(B1364, 'All Menu'!B:L, 6, 0)</f>
        <v>1.0775862068965518</v>
      </c>
      <c r="P1364" s="6">
        <f>VLOOKUP(B1364, 'All Menu'!B:L, 9, 0)</f>
        <v>0.51911934899471734</v>
      </c>
      <c r="Q1364" s="14">
        <f>VLOOKUP(B1364, 'All Menu'!B:M, 12, 0)</f>
        <v>0.51825724413290231</v>
      </c>
      <c r="R1364" s="173">
        <f t="shared" si="77"/>
        <v>0</v>
      </c>
    </row>
    <row r="1365" spans="1:18" ht="14" hidden="1">
      <c r="A1365" s="78" t="s">
        <v>2688</v>
      </c>
      <c r="B1365" s="220" t="s">
        <v>939</v>
      </c>
      <c r="C1365" s="185"/>
      <c r="D1365" s="103" t="str">
        <f>VLOOKUP(B1365, 'All Menu'!B:M, 4, 0)</f>
        <v>بيتزا مارغريتا</v>
      </c>
      <c r="E1365" s="30" t="str">
        <f>VLOOKUP(B1365, 'All Menu'!B:M, 2, 0)</f>
        <v>قسم الفرن</v>
      </c>
      <c r="F1365" s="103" t="str">
        <f>VLOOKUP(B1365, 'All Menu'!B:M, 3, 0)</f>
        <v>عجين سفري</v>
      </c>
      <c r="G1365" s="90" t="s">
        <v>2333</v>
      </c>
      <c r="H1365" s="219" t="s">
        <v>498</v>
      </c>
      <c r="I1365" s="110" t="str">
        <f>VLOOKUP(H1365, 'RM &amp; SF'!B:H, 2, 0)</f>
        <v>عجين الصفيحة والمناقيش</v>
      </c>
      <c r="J1365" s="184" t="str">
        <f>VLOOKUP(H1365, 'RM &amp; SF'!B:E, 4, 0)</f>
        <v>غم</v>
      </c>
      <c r="K1365" s="12">
        <v>450</v>
      </c>
      <c r="L1365" s="13">
        <f>VLOOKUP(H1365, 'RM &amp; SF'!B:H, 7, 0)</f>
        <v>4.659980972150147E-4</v>
      </c>
      <c r="M1365" s="7">
        <f t="shared" si="76"/>
        <v>0.20969914374675661</v>
      </c>
      <c r="N1365" s="4" t="s">
        <v>825</v>
      </c>
      <c r="O1365" s="4">
        <f>VLOOKUP(B1365, 'All Menu'!B:L, 6, 0)</f>
        <v>3.8793103448275863</v>
      </c>
      <c r="P1365" s="6">
        <f>VLOOKUP(B1365, 'All Menu'!B:L, 9, 0)</f>
        <v>1.2558207047223662</v>
      </c>
      <c r="Q1365" s="14">
        <f>VLOOKUP(B1365, 'All Menu'!B:M, 12, 0)</f>
        <v>0.6762773294493456</v>
      </c>
      <c r="R1365" s="173">
        <f t="shared" si="77"/>
        <v>0</v>
      </c>
    </row>
    <row r="1366" spans="1:18" ht="14" hidden="1">
      <c r="A1366" s="78" t="s">
        <v>2688</v>
      </c>
      <c r="B1366" s="220" t="s">
        <v>939</v>
      </c>
      <c r="C1366" s="185"/>
      <c r="D1366" s="103" t="str">
        <f>VLOOKUP(B1366, 'All Menu'!B:M, 4, 0)</f>
        <v>بيتزا مارغريتا</v>
      </c>
      <c r="E1366" s="30" t="str">
        <f>VLOOKUP(B1366, 'All Menu'!B:M, 2, 0)</f>
        <v>قسم الفرن</v>
      </c>
      <c r="F1366" s="103" t="str">
        <f>VLOOKUP(B1366, 'All Menu'!B:M, 3, 0)</f>
        <v>عجين سفري</v>
      </c>
      <c r="G1366" s="90" t="s">
        <v>3058</v>
      </c>
      <c r="H1366" s="188">
        <v>4079</v>
      </c>
      <c r="I1366" s="110" t="str">
        <f>VLOOKUP(H1366, 'RM &amp; SF'!B:H, 2, 0)</f>
        <v>بيتزا صوص 4.100 كغ*****</v>
      </c>
      <c r="J1366" s="184" t="str">
        <f>VLOOKUP(H1366, 'RM &amp; SF'!B:E, 4, 0)</f>
        <v>غم</v>
      </c>
      <c r="K1366" s="12">
        <v>70</v>
      </c>
      <c r="L1366" s="13">
        <f>VLOOKUP(H1366, 'RM &amp; SF'!B:H, 7, 0)</f>
        <v>1.4017365853658537E-3</v>
      </c>
      <c r="M1366" s="7">
        <f t="shared" si="76"/>
        <v>9.8121560975609756E-2</v>
      </c>
      <c r="N1366" s="4" t="s">
        <v>825</v>
      </c>
      <c r="O1366" s="4">
        <f>VLOOKUP(B1366, 'All Menu'!B:L, 6, 0)</f>
        <v>3.8793103448275863</v>
      </c>
      <c r="P1366" s="6">
        <f>VLOOKUP(B1366, 'All Menu'!B:L, 9, 0)</f>
        <v>1.2558207047223662</v>
      </c>
      <c r="Q1366" s="14">
        <f>VLOOKUP(B1366, 'All Menu'!B:M, 12, 0)</f>
        <v>0.6762773294493456</v>
      </c>
      <c r="R1366" s="173">
        <f t="shared" si="77"/>
        <v>0</v>
      </c>
    </row>
    <row r="1367" spans="1:18" ht="14" hidden="1">
      <c r="A1367" s="78" t="s">
        <v>2688</v>
      </c>
      <c r="B1367" s="220" t="s">
        <v>939</v>
      </c>
      <c r="C1367" s="185"/>
      <c r="D1367" s="103" t="str">
        <f>VLOOKUP(B1367, 'All Menu'!B:M, 4, 0)</f>
        <v>بيتزا مارغريتا</v>
      </c>
      <c r="E1367" s="30" t="str">
        <f>VLOOKUP(B1367, 'All Menu'!B:M, 2, 0)</f>
        <v>قسم الفرن</v>
      </c>
      <c r="F1367" s="103" t="str">
        <f>VLOOKUP(B1367, 'All Menu'!B:M, 3, 0)</f>
        <v>عجين سفري</v>
      </c>
      <c r="G1367" s="90" t="s">
        <v>2173</v>
      </c>
      <c r="H1367" s="188">
        <v>4624</v>
      </c>
      <c r="I1367" s="110" t="str">
        <f>VLOOKUP(H1367, 'RM &amp; SF'!B:H, 2, 0)</f>
        <v>جبنة موزريلا قالب 2.380 كغ*****</v>
      </c>
      <c r="J1367" s="184" t="str">
        <f>VLOOKUP(H1367, 'RM &amp; SF'!B:E, 4, 0)</f>
        <v>غم</v>
      </c>
      <c r="K1367" s="12">
        <v>160</v>
      </c>
      <c r="L1367" s="13">
        <f>VLOOKUP(H1367, 'RM &amp; SF'!B:H, 7, 0)</f>
        <v>5.1749999999999999E-3</v>
      </c>
      <c r="M1367" s="7">
        <f t="shared" si="76"/>
        <v>0.82799999999999996</v>
      </c>
      <c r="N1367" s="4" t="s">
        <v>825</v>
      </c>
      <c r="O1367" s="4">
        <f>VLOOKUP(B1367, 'All Menu'!B:L, 6, 0)</f>
        <v>3.8793103448275863</v>
      </c>
      <c r="P1367" s="6">
        <f>VLOOKUP(B1367, 'All Menu'!B:L, 9, 0)</f>
        <v>1.2558207047223662</v>
      </c>
      <c r="Q1367" s="14">
        <f>VLOOKUP(B1367, 'All Menu'!B:M, 12, 0)</f>
        <v>0.6762773294493456</v>
      </c>
      <c r="R1367" s="173">
        <f t="shared" si="77"/>
        <v>0</v>
      </c>
    </row>
    <row r="1368" spans="1:18" ht="14" hidden="1">
      <c r="A1368" s="78" t="s">
        <v>2688</v>
      </c>
      <c r="B1368" s="220" t="s">
        <v>939</v>
      </c>
      <c r="C1368" s="185"/>
      <c r="D1368" s="103" t="str">
        <f>VLOOKUP(B1368, 'All Menu'!B:M, 4, 0)</f>
        <v>بيتزا مارغريتا</v>
      </c>
      <c r="E1368" s="30" t="str">
        <f>VLOOKUP(B1368, 'All Menu'!B:M, 2, 0)</f>
        <v>قسم الفرن</v>
      </c>
      <c r="F1368" s="103" t="str">
        <f>VLOOKUP(B1368, 'All Menu'!B:M, 3, 0)</f>
        <v>عجين سفري</v>
      </c>
      <c r="G1368" s="90" t="s">
        <v>2189</v>
      </c>
      <c r="H1368" s="188">
        <v>4277</v>
      </c>
      <c r="I1368" s="110" t="str">
        <f>VLOOKUP(H1368, 'RM &amp; SF'!B:H, 2, 0)</f>
        <v>علب بيتزا كرتون الطبعة العامة رقم 4 1*50 حبة*****</v>
      </c>
      <c r="J1368" s="184" t="str">
        <f>VLOOKUP(H1368, 'RM &amp; SF'!B:E, 4, 0)</f>
        <v>قطعة</v>
      </c>
      <c r="K1368" s="12">
        <v>1</v>
      </c>
      <c r="L1368" s="13">
        <f>VLOOKUP(H1368, 'RM &amp; SF'!B:H, 7, 0)</f>
        <v>0.12</v>
      </c>
      <c r="M1368" s="7">
        <f t="shared" si="76"/>
        <v>0.12</v>
      </c>
      <c r="N1368" s="4" t="s">
        <v>825</v>
      </c>
      <c r="O1368" s="4">
        <f>VLOOKUP(B1368, 'All Menu'!B:L, 6, 0)</f>
        <v>3.8793103448275863</v>
      </c>
      <c r="P1368" s="6">
        <f>VLOOKUP(B1368, 'All Menu'!B:L, 9, 0)</f>
        <v>1.2558207047223662</v>
      </c>
      <c r="Q1368" s="14">
        <f>VLOOKUP(B1368, 'All Menu'!B:M, 12, 0)</f>
        <v>0.6762773294493456</v>
      </c>
      <c r="R1368" s="173">
        <f t="shared" si="77"/>
        <v>0</v>
      </c>
    </row>
    <row r="1369" spans="1:18" ht="14" hidden="1">
      <c r="A1369" s="78" t="s">
        <v>2691</v>
      </c>
      <c r="B1369" s="220" t="s">
        <v>940</v>
      </c>
      <c r="C1369" s="185"/>
      <c r="D1369" s="103" t="str">
        <f>VLOOKUP(B1369, 'All Menu'!B:M, 4, 0)</f>
        <v>بيتزا بابروني</v>
      </c>
      <c r="E1369" s="30" t="str">
        <f>VLOOKUP(B1369, 'All Menu'!B:M, 2, 0)</f>
        <v>قسم الفرن</v>
      </c>
      <c r="F1369" s="103" t="str">
        <f>VLOOKUP(B1369, 'All Menu'!B:M, 3, 0)</f>
        <v>عجين سفري</v>
      </c>
      <c r="G1369" s="90" t="s">
        <v>2333</v>
      </c>
      <c r="H1369" s="219" t="s">
        <v>498</v>
      </c>
      <c r="I1369" s="110" t="str">
        <f>VLOOKUP(H1369, 'RM &amp; SF'!B:H, 2, 0)</f>
        <v>عجين الصفيحة والمناقيش</v>
      </c>
      <c r="J1369" s="184" t="str">
        <f>VLOOKUP(H1369, 'RM &amp; SF'!B:E, 4, 0)</f>
        <v>غم</v>
      </c>
      <c r="K1369" s="12">
        <v>450</v>
      </c>
      <c r="L1369" s="13">
        <f>VLOOKUP(H1369, 'RM &amp; SF'!B:H, 7, 0)</f>
        <v>4.659980972150147E-4</v>
      </c>
      <c r="M1369" s="7">
        <f t="shared" si="76"/>
        <v>0.20969914374675661</v>
      </c>
      <c r="N1369" s="4" t="s">
        <v>825</v>
      </c>
      <c r="O1369" s="4">
        <f>VLOOKUP(B1369, 'All Menu'!B:L, 6, 0)</f>
        <v>4.3103448275862073</v>
      </c>
      <c r="P1369" s="6">
        <f>VLOOKUP(B1369, 'All Menu'!B:L, 9, 0)</f>
        <v>1.3095627047223664</v>
      </c>
      <c r="Q1369" s="14">
        <f>VLOOKUP(B1369, 'All Menu'!B:M, 12, 0)</f>
        <v>0.69618145250441099</v>
      </c>
      <c r="R1369" s="173">
        <f t="shared" si="77"/>
        <v>0</v>
      </c>
    </row>
    <row r="1370" spans="1:18" ht="14" hidden="1">
      <c r="A1370" s="78" t="s">
        <v>2691</v>
      </c>
      <c r="B1370" s="220" t="s">
        <v>940</v>
      </c>
      <c r="C1370" s="185"/>
      <c r="D1370" s="103" t="str">
        <f>VLOOKUP(B1370, 'All Menu'!B:M, 4, 0)</f>
        <v>بيتزا بابروني</v>
      </c>
      <c r="E1370" s="30" t="str">
        <f>VLOOKUP(B1370, 'All Menu'!B:M, 2, 0)</f>
        <v>قسم الفرن</v>
      </c>
      <c r="F1370" s="103" t="str">
        <f>VLOOKUP(B1370, 'All Menu'!B:M, 3, 0)</f>
        <v>عجين سفري</v>
      </c>
      <c r="G1370" s="90" t="s">
        <v>3058</v>
      </c>
      <c r="H1370" s="188">
        <v>4079</v>
      </c>
      <c r="I1370" s="110" t="str">
        <f>VLOOKUP(H1370, 'RM &amp; SF'!B:H, 2, 0)</f>
        <v>بيتزا صوص 4.100 كغ*****</v>
      </c>
      <c r="J1370" s="184" t="str">
        <f>VLOOKUP(H1370, 'RM &amp; SF'!B:E, 4, 0)</f>
        <v>غم</v>
      </c>
      <c r="K1370" s="12">
        <v>70</v>
      </c>
      <c r="L1370" s="13">
        <f>VLOOKUP(H1370, 'RM &amp; SF'!B:H, 7, 0)</f>
        <v>1.4017365853658537E-3</v>
      </c>
      <c r="M1370" s="7">
        <f t="shared" si="76"/>
        <v>9.8121560975609756E-2</v>
      </c>
      <c r="N1370" s="4" t="s">
        <v>825</v>
      </c>
      <c r="O1370" s="4">
        <f>VLOOKUP(B1370, 'All Menu'!B:L, 6, 0)</f>
        <v>4.3103448275862073</v>
      </c>
      <c r="P1370" s="6">
        <f>VLOOKUP(B1370, 'All Menu'!B:L, 9, 0)</f>
        <v>1.3095627047223664</v>
      </c>
      <c r="Q1370" s="14">
        <f>VLOOKUP(B1370, 'All Menu'!B:M, 12, 0)</f>
        <v>0.69618145250441099</v>
      </c>
      <c r="R1370" s="173">
        <f t="shared" si="77"/>
        <v>0</v>
      </c>
    </row>
    <row r="1371" spans="1:18" ht="14" hidden="1">
      <c r="A1371" s="78" t="s">
        <v>2691</v>
      </c>
      <c r="B1371" s="220" t="s">
        <v>940</v>
      </c>
      <c r="C1371" s="185"/>
      <c r="D1371" s="103" t="str">
        <f>VLOOKUP(B1371, 'All Menu'!B:M, 4, 0)</f>
        <v>بيتزا بابروني</v>
      </c>
      <c r="E1371" s="30" t="str">
        <f>VLOOKUP(B1371, 'All Menu'!B:M, 2, 0)</f>
        <v>قسم الفرن</v>
      </c>
      <c r="F1371" s="103" t="str">
        <f>VLOOKUP(B1371, 'All Menu'!B:M, 3, 0)</f>
        <v>عجين سفري</v>
      </c>
      <c r="G1371" s="90" t="s">
        <v>2173</v>
      </c>
      <c r="H1371" s="188">
        <v>4624</v>
      </c>
      <c r="I1371" s="110" t="str">
        <f>VLOOKUP(H1371, 'RM &amp; SF'!B:H, 2, 0)</f>
        <v>جبنة موزريلا قالب 2.380 كغ*****</v>
      </c>
      <c r="J1371" s="184" t="str">
        <f>VLOOKUP(H1371, 'RM &amp; SF'!B:E, 4, 0)</f>
        <v>غم</v>
      </c>
      <c r="K1371" s="12">
        <v>160</v>
      </c>
      <c r="L1371" s="13">
        <f>VLOOKUP(H1371, 'RM &amp; SF'!B:H, 7, 0)</f>
        <v>5.1749999999999999E-3</v>
      </c>
      <c r="M1371" s="7">
        <f t="shared" si="76"/>
        <v>0.82799999999999996</v>
      </c>
      <c r="N1371" s="4" t="s">
        <v>825</v>
      </c>
      <c r="O1371" s="4">
        <f>VLOOKUP(B1371, 'All Menu'!B:L, 6, 0)</f>
        <v>4.3103448275862073</v>
      </c>
      <c r="P1371" s="6">
        <f>VLOOKUP(B1371, 'All Menu'!B:L, 9, 0)</f>
        <v>1.3095627047223664</v>
      </c>
      <c r="Q1371" s="14">
        <f>VLOOKUP(B1371, 'All Menu'!B:M, 12, 0)</f>
        <v>0.69618145250441099</v>
      </c>
      <c r="R1371" s="173">
        <f t="shared" si="77"/>
        <v>0</v>
      </c>
    </row>
    <row r="1372" spans="1:18" ht="14" hidden="1">
      <c r="A1372" s="78" t="s">
        <v>2691</v>
      </c>
      <c r="B1372" s="220" t="s">
        <v>940</v>
      </c>
      <c r="C1372" s="185"/>
      <c r="D1372" s="103" t="str">
        <f>VLOOKUP(B1372, 'All Menu'!B:M, 4, 0)</f>
        <v>بيتزا بابروني</v>
      </c>
      <c r="E1372" s="30" t="str">
        <f>VLOOKUP(B1372, 'All Menu'!B:M, 2, 0)</f>
        <v>قسم الفرن</v>
      </c>
      <c r="F1372" s="103" t="str">
        <f>VLOOKUP(B1372, 'All Menu'!B:M, 3, 0)</f>
        <v>عجين سفري</v>
      </c>
      <c r="G1372" s="90" t="s">
        <v>3058</v>
      </c>
      <c r="H1372" s="188">
        <v>4634</v>
      </c>
      <c r="I1372" s="110" t="str">
        <f>VLOOKUP(H1372, 'RM &amp; SF'!B:H, 2, 0)</f>
        <v>سلامي بقري 1 كغ*****</v>
      </c>
      <c r="J1372" s="184" t="str">
        <f>VLOOKUP(H1372, 'RM &amp; SF'!B:E, 4, 0)</f>
        <v>غم</v>
      </c>
      <c r="K1372" s="12">
        <v>26</v>
      </c>
      <c r="L1372" s="13">
        <f>VLOOKUP(H1372, 'RM &amp; SF'!B:H, 7, 0)</f>
        <v>2.0670000000000003E-3</v>
      </c>
      <c r="M1372" s="7">
        <f t="shared" si="76"/>
        <v>5.3742000000000005E-2</v>
      </c>
      <c r="N1372" s="4" t="s">
        <v>825</v>
      </c>
      <c r="O1372" s="4">
        <f>VLOOKUP(B1372, 'All Menu'!B:L, 6, 0)</f>
        <v>4.3103448275862073</v>
      </c>
      <c r="P1372" s="6">
        <f>VLOOKUP(B1372, 'All Menu'!B:L, 9, 0)</f>
        <v>1.3095627047223664</v>
      </c>
      <c r="Q1372" s="14">
        <f>VLOOKUP(B1372, 'All Menu'!B:M, 12, 0)</f>
        <v>0.69618145250441099</v>
      </c>
      <c r="R1372" s="173">
        <f t="shared" si="77"/>
        <v>0</v>
      </c>
    </row>
    <row r="1373" spans="1:18" ht="14" hidden="1">
      <c r="A1373" s="78" t="s">
        <v>2691</v>
      </c>
      <c r="B1373" s="220" t="s">
        <v>940</v>
      </c>
      <c r="C1373" s="185"/>
      <c r="D1373" s="103" t="str">
        <f>VLOOKUP(B1373, 'All Menu'!B:M, 4, 0)</f>
        <v>بيتزا بابروني</v>
      </c>
      <c r="E1373" s="30" t="str">
        <f>VLOOKUP(B1373, 'All Menu'!B:M, 2, 0)</f>
        <v>قسم الفرن</v>
      </c>
      <c r="F1373" s="103" t="str">
        <f>VLOOKUP(B1373, 'All Menu'!B:M, 3, 0)</f>
        <v>عجين سفري</v>
      </c>
      <c r="G1373" s="90" t="s">
        <v>2189</v>
      </c>
      <c r="H1373" s="188">
        <v>4277</v>
      </c>
      <c r="I1373" s="110" t="str">
        <f>VLOOKUP(H1373, 'RM &amp; SF'!B:H, 2, 0)</f>
        <v>علب بيتزا كرتون الطبعة العامة رقم 4 1*50 حبة*****</v>
      </c>
      <c r="J1373" s="184" t="str">
        <f>VLOOKUP(H1373, 'RM &amp; SF'!B:E, 4, 0)</f>
        <v>قطعة</v>
      </c>
      <c r="K1373" s="12">
        <v>1</v>
      </c>
      <c r="L1373" s="13">
        <f>VLOOKUP(H1373, 'RM &amp; SF'!B:H, 7, 0)</f>
        <v>0.12</v>
      </c>
      <c r="M1373" s="7">
        <f t="shared" si="76"/>
        <v>0.12</v>
      </c>
      <c r="N1373" s="4" t="s">
        <v>825</v>
      </c>
      <c r="O1373" s="4">
        <f>VLOOKUP(B1373, 'All Menu'!B:L, 6, 0)</f>
        <v>4.3103448275862073</v>
      </c>
      <c r="P1373" s="6">
        <f>VLOOKUP(B1373, 'All Menu'!B:L, 9, 0)</f>
        <v>1.3095627047223664</v>
      </c>
      <c r="Q1373" s="14">
        <f>VLOOKUP(B1373, 'All Menu'!B:M, 12, 0)</f>
        <v>0.69618145250441099</v>
      </c>
      <c r="R1373" s="173">
        <f t="shared" si="77"/>
        <v>0</v>
      </c>
    </row>
    <row r="1374" spans="1:18" ht="14" hidden="1">
      <c r="A1374" s="78" t="s">
        <v>2690</v>
      </c>
      <c r="B1374" s="220" t="s">
        <v>941</v>
      </c>
      <c r="C1374" s="185"/>
      <c r="D1374" s="103" t="str">
        <f>VLOOKUP(B1374, 'All Menu'!B:M, 4, 0)</f>
        <v>بيتزا خضار</v>
      </c>
      <c r="E1374" s="30" t="str">
        <f>VLOOKUP(B1374, 'All Menu'!B:M, 2, 0)</f>
        <v>قسم الفرن</v>
      </c>
      <c r="F1374" s="103" t="str">
        <f>VLOOKUP(B1374, 'All Menu'!B:M, 3, 0)</f>
        <v>عجين سفري</v>
      </c>
      <c r="G1374" s="90" t="s">
        <v>2333</v>
      </c>
      <c r="H1374" s="219" t="s">
        <v>498</v>
      </c>
      <c r="I1374" s="110" t="str">
        <f>VLOOKUP(H1374, 'RM &amp; SF'!B:H, 2, 0)</f>
        <v>عجين الصفيحة والمناقيش</v>
      </c>
      <c r="J1374" s="184" t="str">
        <f>VLOOKUP(H1374, 'RM &amp; SF'!B:E, 4, 0)</f>
        <v>غم</v>
      </c>
      <c r="K1374" s="12">
        <v>450</v>
      </c>
      <c r="L1374" s="13">
        <f>VLOOKUP(H1374, 'RM &amp; SF'!B:H, 7, 0)</f>
        <v>4.659980972150147E-4</v>
      </c>
      <c r="M1374" s="7">
        <f t="shared" si="76"/>
        <v>0.20969914374675661</v>
      </c>
      <c r="N1374" s="4" t="s">
        <v>825</v>
      </c>
      <c r="O1374" s="4">
        <f>VLOOKUP(B1374, 'All Menu'!B:L, 6, 0)</f>
        <v>4.3103448275862073</v>
      </c>
      <c r="P1374" s="6">
        <f>VLOOKUP(B1374, 'All Menu'!B:L, 9, 0)</f>
        <v>1.3464207047223664</v>
      </c>
      <c r="Q1374" s="14">
        <f>VLOOKUP(B1374, 'All Menu'!B:M, 12, 0)</f>
        <v>0.68763039650441105</v>
      </c>
      <c r="R1374" s="173">
        <f t="shared" si="77"/>
        <v>0</v>
      </c>
    </row>
    <row r="1375" spans="1:18" ht="14" hidden="1">
      <c r="A1375" s="78" t="s">
        <v>2690</v>
      </c>
      <c r="B1375" s="220" t="s">
        <v>941</v>
      </c>
      <c r="C1375" s="185"/>
      <c r="D1375" s="103" t="str">
        <f>VLOOKUP(B1375, 'All Menu'!B:M, 4, 0)</f>
        <v>بيتزا خضار</v>
      </c>
      <c r="E1375" s="30" t="str">
        <f>VLOOKUP(B1375, 'All Menu'!B:M, 2, 0)</f>
        <v>قسم الفرن</v>
      </c>
      <c r="F1375" s="103" t="str">
        <f>VLOOKUP(B1375, 'All Menu'!B:M, 3, 0)</f>
        <v>عجين سفري</v>
      </c>
      <c r="G1375" s="90" t="s">
        <v>3058</v>
      </c>
      <c r="H1375" s="188">
        <v>4079</v>
      </c>
      <c r="I1375" s="110" t="str">
        <f>VLOOKUP(H1375, 'RM &amp; SF'!B:H, 2, 0)</f>
        <v>بيتزا صوص 4.100 كغ*****</v>
      </c>
      <c r="J1375" s="184" t="str">
        <f>VLOOKUP(H1375, 'RM &amp; SF'!B:E, 4, 0)</f>
        <v>غم</v>
      </c>
      <c r="K1375" s="12">
        <v>70</v>
      </c>
      <c r="L1375" s="13">
        <f>VLOOKUP(H1375, 'RM &amp; SF'!B:H, 7, 0)</f>
        <v>1.4017365853658537E-3</v>
      </c>
      <c r="M1375" s="7">
        <f t="shared" si="76"/>
        <v>9.8121560975609756E-2</v>
      </c>
      <c r="N1375" s="4" t="s">
        <v>825</v>
      </c>
      <c r="O1375" s="4">
        <f>VLOOKUP(B1375, 'All Menu'!B:L, 6, 0)</f>
        <v>4.3103448275862073</v>
      </c>
      <c r="P1375" s="6">
        <f>VLOOKUP(B1375, 'All Menu'!B:L, 9, 0)</f>
        <v>1.3464207047223664</v>
      </c>
      <c r="Q1375" s="14">
        <f>VLOOKUP(B1375, 'All Menu'!B:M, 12, 0)</f>
        <v>0.68763039650441105</v>
      </c>
      <c r="R1375" s="173">
        <f t="shared" si="77"/>
        <v>0</v>
      </c>
    </row>
    <row r="1376" spans="1:18" ht="14" hidden="1">
      <c r="A1376" s="78" t="s">
        <v>2690</v>
      </c>
      <c r="B1376" s="220" t="s">
        <v>941</v>
      </c>
      <c r="C1376" s="185"/>
      <c r="D1376" s="103" t="str">
        <f>VLOOKUP(B1376, 'All Menu'!B:M, 4, 0)</f>
        <v>بيتزا خضار</v>
      </c>
      <c r="E1376" s="30" t="str">
        <f>VLOOKUP(B1376, 'All Menu'!B:M, 2, 0)</f>
        <v>قسم الفرن</v>
      </c>
      <c r="F1376" s="103" t="str">
        <f>VLOOKUP(B1376, 'All Menu'!B:M, 3, 0)</f>
        <v>عجين سفري</v>
      </c>
      <c r="G1376" s="90" t="s">
        <v>2173</v>
      </c>
      <c r="H1376" s="188">
        <v>4624</v>
      </c>
      <c r="I1376" s="110" t="str">
        <f>VLOOKUP(H1376, 'RM &amp; SF'!B:H, 2, 0)</f>
        <v>جبنة موزريلا قالب 2.380 كغ*****</v>
      </c>
      <c r="J1376" s="184" t="str">
        <f>VLOOKUP(H1376, 'RM &amp; SF'!B:E, 4, 0)</f>
        <v>غم</v>
      </c>
      <c r="K1376" s="12">
        <v>160</v>
      </c>
      <c r="L1376" s="13">
        <f>VLOOKUP(H1376, 'RM &amp; SF'!B:H, 7, 0)</f>
        <v>5.1749999999999999E-3</v>
      </c>
      <c r="M1376" s="7">
        <f t="shared" si="76"/>
        <v>0.82799999999999996</v>
      </c>
      <c r="N1376" s="4" t="s">
        <v>825</v>
      </c>
      <c r="O1376" s="4">
        <f>VLOOKUP(B1376, 'All Menu'!B:L, 6, 0)</f>
        <v>4.3103448275862073</v>
      </c>
      <c r="P1376" s="6">
        <f>VLOOKUP(B1376, 'All Menu'!B:L, 9, 0)</f>
        <v>1.3464207047223664</v>
      </c>
      <c r="Q1376" s="14">
        <f>VLOOKUP(B1376, 'All Menu'!B:M, 12, 0)</f>
        <v>0.68763039650441105</v>
      </c>
      <c r="R1376" s="173">
        <f t="shared" si="77"/>
        <v>0</v>
      </c>
    </row>
    <row r="1377" spans="1:18" ht="14" hidden="1">
      <c r="A1377" s="78" t="s">
        <v>2690</v>
      </c>
      <c r="B1377" s="220" t="s">
        <v>941</v>
      </c>
      <c r="C1377" s="185"/>
      <c r="D1377" s="103" t="str">
        <f>VLOOKUP(B1377, 'All Menu'!B:M, 4, 0)</f>
        <v>بيتزا خضار</v>
      </c>
      <c r="E1377" s="30" t="str">
        <f>VLOOKUP(B1377, 'All Menu'!B:M, 2, 0)</f>
        <v>قسم الفرن</v>
      </c>
      <c r="F1377" s="103" t="str">
        <f>VLOOKUP(B1377, 'All Menu'!B:M, 3, 0)</f>
        <v>عجين سفري</v>
      </c>
      <c r="G1377" s="90" t="s">
        <v>2270</v>
      </c>
      <c r="H1377" s="188">
        <v>4030</v>
      </c>
      <c r="I1377" s="110" t="str">
        <f>VLOOKUP(H1377, 'RM &amp; SF'!B:H, 2, 0)</f>
        <v>*****فطر مقطع 400غم</v>
      </c>
      <c r="J1377" s="184" t="str">
        <f>VLOOKUP(H1377, 'RM &amp; SF'!B:E, 4, 0)</f>
        <v>غم</v>
      </c>
      <c r="K1377" s="12">
        <v>25</v>
      </c>
      <c r="L1377" s="13">
        <f>VLOOKUP(H1377, 'RM &amp; SF'!B:H, 7, 0)</f>
        <v>3.0000000000000001E-3</v>
      </c>
      <c r="M1377" s="7">
        <f t="shared" ref="M1377:M1440" si="78">L1377*K1377</f>
        <v>7.4999999999999997E-2</v>
      </c>
      <c r="N1377" s="4" t="s">
        <v>825</v>
      </c>
      <c r="O1377" s="4">
        <f>VLOOKUP(B1377, 'All Menu'!B:L, 6, 0)</f>
        <v>4.3103448275862073</v>
      </c>
      <c r="P1377" s="6">
        <f>VLOOKUP(B1377, 'All Menu'!B:L, 9, 0)</f>
        <v>1.3464207047223664</v>
      </c>
      <c r="Q1377" s="14">
        <f>VLOOKUP(B1377, 'All Menu'!B:M, 12, 0)</f>
        <v>0.68763039650441105</v>
      </c>
      <c r="R1377" s="173">
        <f t="shared" si="77"/>
        <v>0</v>
      </c>
    </row>
    <row r="1378" spans="1:18" ht="14" hidden="1">
      <c r="A1378" s="78" t="s">
        <v>2690</v>
      </c>
      <c r="B1378" s="220" t="s">
        <v>941</v>
      </c>
      <c r="C1378" s="185"/>
      <c r="D1378" s="103" t="str">
        <f>VLOOKUP(B1378, 'All Menu'!B:M, 4, 0)</f>
        <v>بيتزا خضار</v>
      </c>
      <c r="E1378" s="30" t="str">
        <f>VLOOKUP(B1378, 'All Menu'!B:M, 2, 0)</f>
        <v>قسم الفرن</v>
      </c>
      <c r="F1378" s="103" t="str">
        <f>VLOOKUP(B1378, 'All Menu'!B:M, 3, 0)</f>
        <v>عجين سفري</v>
      </c>
      <c r="G1378" s="90" t="s">
        <v>2232</v>
      </c>
      <c r="H1378" s="188">
        <v>4500</v>
      </c>
      <c r="I1378" s="110" t="str">
        <f>VLOOKUP(H1378, 'RM &amp; SF'!B:H, 2, 0)</f>
        <v>فلفل حلو اخضر*****</v>
      </c>
      <c r="J1378" s="184" t="str">
        <f>VLOOKUP(H1378, 'RM &amp; SF'!B:E, 4, 0)</f>
        <v>غم</v>
      </c>
      <c r="K1378" s="12">
        <v>20</v>
      </c>
      <c r="L1378" s="13">
        <f>VLOOKUP(H1378, 'RM &amp; SF'!B:H, 7, 0)</f>
        <v>7.7999999999999999E-4</v>
      </c>
      <c r="M1378" s="7">
        <f t="shared" si="78"/>
        <v>1.5599999999999999E-2</v>
      </c>
      <c r="N1378" s="4" t="s">
        <v>825</v>
      </c>
      <c r="O1378" s="4">
        <f>VLOOKUP(B1378, 'All Menu'!B:L, 6, 0)</f>
        <v>4.3103448275862073</v>
      </c>
      <c r="P1378" s="6">
        <f>VLOOKUP(B1378, 'All Menu'!B:L, 9, 0)</f>
        <v>1.3464207047223664</v>
      </c>
      <c r="Q1378" s="14">
        <f>VLOOKUP(B1378, 'All Menu'!B:M, 12, 0)</f>
        <v>0.68763039650441105</v>
      </c>
      <c r="R1378" s="173">
        <f t="shared" si="77"/>
        <v>0</v>
      </c>
    </row>
    <row r="1379" spans="1:18" ht="14" hidden="1">
      <c r="A1379" s="78" t="s">
        <v>2690</v>
      </c>
      <c r="B1379" s="220" t="s">
        <v>941</v>
      </c>
      <c r="C1379" s="185"/>
      <c r="D1379" s="103" t="str">
        <f>VLOOKUP(B1379, 'All Menu'!B:M, 4, 0)</f>
        <v>بيتزا خضار</v>
      </c>
      <c r="E1379" s="30" t="str">
        <f>VLOOKUP(B1379, 'All Menu'!B:M, 2, 0)</f>
        <v>قسم الفرن</v>
      </c>
      <c r="F1379" s="103" t="str">
        <f>VLOOKUP(B1379, 'All Menu'!B:M, 3, 0)</f>
        <v>عجين سفري</v>
      </c>
      <c r="G1379" s="90" t="s">
        <v>2189</v>
      </c>
      <c r="H1379" s="188">
        <v>4277</v>
      </c>
      <c r="I1379" s="110" t="str">
        <f>VLOOKUP(H1379, 'RM &amp; SF'!B:H, 2, 0)</f>
        <v>علب بيتزا كرتون الطبعة العامة رقم 4 1*50 حبة*****</v>
      </c>
      <c r="J1379" s="184" t="str">
        <f>VLOOKUP(H1379, 'RM &amp; SF'!B:E, 4, 0)</f>
        <v>قطعة</v>
      </c>
      <c r="K1379" s="12">
        <v>1</v>
      </c>
      <c r="L1379" s="13">
        <f>VLOOKUP(H1379, 'RM &amp; SF'!B:H, 7, 0)</f>
        <v>0.12</v>
      </c>
      <c r="M1379" s="7">
        <f t="shared" si="78"/>
        <v>0.12</v>
      </c>
      <c r="N1379" s="4" t="s">
        <v>825</v>
      </c>
      <c r="O1379" s="4">
        <f>VLOOKUP(B1379, 'All Menu'!B:L, 6, 0)</f>
        <v>4.3103448275862073</v>
      </c>
      <c r="P1379" s="6">
        <f>VLOOKUP(B1379, 'All Menu'!B:L, 9, 0)</f>
        <v>1.3464207047223664</v>
      </c>
      <c r="Q1379" s="14">
        <f>VLOOKUP(B1379, 'All Menu'!B:M, 12, 0)</f>
        <v>0.68763039650441105</v>
      </c>
      <c r="R1379" s="173">
        <f t="shared" si="77"/>
        <v>0</v>
      </c>
    </row>
    <row r="1380" spans="1:18" ht="14" hidden="1">
      <c r="A1380" s="78" t="s">
        <v>2685</v>
      </c>
      <c r="B1380" s="220" t="s">
        <v>942</v>
      </c>
      <c r="C1380" s="185"/>
      <c r="D1380" s="103" t="str">
        <f>VLOOKUP(B1380, 'All Menu'!B:M, 4, 0)</f>
        <v>عرايس</v>
      </c>
      <c r="E1380" s="30" t="str">
        <f>VLOOKUP(B1380, 'All Menu'!B:M, 2, 0)</f>
        <v>قسم الفرن</v>
      </c>
      <c r="F1380" s="103" t="str">
        <f>VLOOKUP(B1380, 'All Menu'!B:M, 3, 0)</f>
        <v>عجين سفري</v>
      </c>
      <c r="G1380" s="90" t="s">
        <v>2225</v>
      </c>
      <c r="H1380" s="188">
        <v>4991</v>
      </c>
      <c r="I1380" s="110" t="str">
        <f>VLOOKUP(H1380, 'RM &amp; SF'!B:H, 2, 0)</f>
        <v>خبز عربي (خبز لبناني) صغير*****</v>
      </c>
      <c r="J1380" s="184" t="str">
        <f>VLOOKUP(H1380, 'RM &amp; SF'!B:E, 4, 0)</f>
        <v>غم</v>
      </c>
      <c r="K1380" s="12">
        <v>100</v>
      </c>
      <c r="L1380" s="13">
        <f>VLOOKUP(H1380, 'RM &amp; SF'!B:H, 7, 0)</f>
        <v>3.2000000000000003E-4</v>
      </c>
      <c r="M1380" s="7">
        <f t="shared" si="78"/>
        <v>3.2000000000000001E-2</v>
      </c>
      <c r="N1380" s="4" t="s">
        <v>825</v>
      </c>
      <c r="O1380" s="4">
        <f>VLOOKUP(B1380, 'All Menu'!B:L, 6, 0)</f>
        <v>0.86206896551724144</v>
      </c>
      <c r="P1380" s="6">
        <f>VLOOKUP(B1380, 'All Menu'!B:L, 9, 0)</f>
        <v>0.40754341772151892</v>
      </c>
      <c r="Q1380" s="14">
        <f>VLOOKUP(B1380, 'All Menu'!B:M, 12, 0)</f>
        <v>0.52724963544303804</v>
      </c>
      <c r="R1380" s="173">
        <f t="shared" si="77"/>
        <v>0</v>
      </c>
    </row>
    <row r="1381" spans="1:18" ht="14" hidden="1">
      <c r="A1381" s="78" t="s">
        <v>2685</v>
      </c>
      <c r="B1381" s="220" t="s">
        <v>942</v>
      </c>
      <c r="C1381" s="185"/>
      <c r="D1381" s="103" t="str">
        <f>VLOOKUP(B1381, 'All Menu'!B:M, 4, 0)</f>
        <v>عرايس</v>
      </c>
      <c r="E1381" s="30" t="str">
        <f>VLOOKUP(B1381, 'All Menu'!B:M, 2, 0)</f>
        <v>قسم الفرن</v>
      </c>
      <c r="F1381" s="103" t="str">
        <f>VLOOKUP(B1381, 'All Menu'!B:M, 3, 0)</f>
        <v>عجين سفري</v>
      </c>
      <c r="G1381" s="90" t="s">
        <v>2336</v>
      </c>
      <c r="H1381" s="219" t="s">
        <v>496</v>
      </c>
      <c r="I1381" s="110" t="str">
        <f>VLOOKUP(H1381, 'RM &amp; SF'!B:H, 2, 0)</f>
        <v>لحمة عرايس</v>
      </c>
      <c r="J1381" s="184" t="str">
        <f>VLOOKUP(H1381, 'RM &amp; SF'!B:E, 4, 0)</f>
        <v>غم</v>
      </c>
      <c r="K1381" s="12">
        <v>100</v>
      </c>
      <c r="L1381" s="13">
        <f>VLOOKUP(H1381, 'RM &amp; SF'!B:H, 7, 0)</f>
        <v>2.7137341772151898E-3</v>
      </c>
      <c r="M1381" s="7">
        <f t="shared" si="78"/>
        <v>0.27137341772151896</v>
      </c>
      <c r="N1381" s="4" t="s">
        <v>825</v>
      </c>
      <c r="O1381" s="4">
        <f>VLOOKUP(B1381, 'All Menu'!B:L, 6, 0)</f>
        <v>0.86206896551724144</v>
      </c>
      <c r="P1381" s="6">
        <f>VLOOKUP(B1381, 'All Menu'!B:L, 9, 0)</f>
        <v>0.40754341772151892</v>
      </c>
      <c r="Q1381" s="14">
        <f>VLOOKUP(B1381, 'All Menu'!B:M, 12, 0)</f>
        <v>0.52724963544303804</v>
      </c>
      <c r="R1381" s="173">
        <f t="shared" si="77"/>
        <v>0</v>
      </c>
    </row>
    <row r="1382" spans="1:18" ht="14" hidden="1">
      <c r="A1382" s="78" t="s">
        <v>2685</v>
      </c>
      <c r="B1382" s="220" t="s">
        <v>942</v>
      </c>
      <c r="C1382" s="185"/>
      <c r="D1382" s="103" t="str">
        <f>VLOOKUP(B1382, 'All Menu'!B:M, 4, 0)</f>
        <v>عرايس</v>
      </c>
      <c r="E1382" s="30" t="str">
        <f>VLOOKUP(B1382, 'All Menu'!B:M, 2, 0)</f>
        <v>قسم الفرن</v>
      </c>
      <c r="F1382" s="103" t="str">
        <f>VLOOKUP(B1382, 'All Menu'!B:M, 3, 0)</f>
        <v>عجين سفري</v>
      </c>
      <c r="G1382" s="90" t="s">
        <v>2199</v>
      </c>
      <c r="H1382" s="188">
        <v>4350</v>
      </c>
      <c r="I1382" s="110" t="str">
        <f>VLOOKUP(H1382, 'RM &amp; SF'!B:H, 2, 0)</f>
        <v>صحن كرتون مستطيل مسلفر 1/2 كغ (رقم 1)*****</v>
      </c>
      <c r="J1382" s="184" t="str">
        <f>VLOOKUP(H1382, 'RM &amp; SF'!B:E, 4, 0)</f>
        <v>قطعة</v>
      </c>
      <c r="K1382" s="12">
        <v>1</v>
      </c>
      <c r="L1382" s="13">
        <f>VLOOKUP(H1382, 'RM &amp; SF'!B:H, 7, 0)</f>
        <v>3.0169999999999999E-2</v>
      </c>
      <c r="M1382" s="7">
        <f t="shared" si="78"/>
        <v>3.0169999999999999E-2</v>
      </c>
      <c r="N1382" s="4" t="s">
        <v>825</v>
      </c>
      <c r="O1382" s="4">
        <f>VLOOKUP(B1382, 'All Menu'!B:L, 6, 0)</f>
        <v>0.86206896551724144</v>
      </c>
      <c r="P1382" s="6">
        <f>VLOOKUP(B1382, 'All Menu'!B:L, 9, 0)</f>
        <v>0.40754341772151892</v>
      </c>
      <c r="Q1382" s="14">
        <f>VLOOKUP(B1382, 'All Menu'!B:M, 12, 0)</f>
        <v>0.52724963544303804</v>
      </c>
      <c r="R1382" s="173">
        <f t="shared" si="77"/>
        <v>0</v>
      </c>
    </row>
    <row r="1383" spans="1:18" ht="14" hidden="1">
      <c r="A1383" s="78" t="s">
        <v>2685</v>
      </c>
      <c r="B1383" s="220" t="s">
        <v>942</v>
      </c>
      <c r="C1383" s="185"/>
      <c r="D1383" s="103" t="str">
        <f>VLOOKUP(B1383, 'All Menu'!B:M, 4, 0)</f>
        <v>عرايس</v>
      </c>
      <c r="E1383" s="30" t="str">
        <f>VLOOKUP(B1383, 'All Menu'!B:M, 2, 0)</f>
        <v>قسم الفرن</v>
      </c>
      <c r="F1383" s="103" t="str">
        <f>VLOOKUP(B1383, 'All Menu'!B:M, 3, 0)</f>
        <v>عجين سفري</v>
      </c>
      <c r="G1383" s="90" t="s">
        <v>3058</v>
      </c>
      <c r="H1383" s="188">
        <v>4311</v>
      </c>
      <c r="I1383" s="110" t="str">
        <f>VLOOKUP(H1383, 'RM &amp; SF'!B:H, 2, 0)</f>
        <v>ورق بلاستيك (شرحات نايلون)*****</v>
      </c>
      <c r="J1383" s="184" t="str">
        <f>VLOOKUP(H1383, 'RM &amp; SF'!B:E, 4, 0)</f>
        <v>قطعة</v>
      </c>
      <c r="K1383" s="12">
        <v>1</v>
      </c>
      <c r="L1383" s="13">
        <f>VLOOKUP(H1383, 'RM &amp; SF'!B:H, 7, 0)</f>
        <v>1.75E-3</v>
      </c>
      <c r="M1383" s="7">
        <f t="shared" si="78"/>
        <v>1.75E-3</v>
      </c>
      <c r="N1383" s="4" t="s">
        <v>825</v>
      </c>
      <c r="O1383" s="4">
        <f>VLOOKUP(B1383, 'All Menu'!B:L, 6, 0)</f>
        <v>0.86206896551724144</v>
      </c>
      <c r="P1383" s="6">
        <f>VLOOKUP(B1383, 'All Menu'!B:L, 9, 0)</f>
        <v>0.40754341772151892</v>
      </c>
      <c r="Q1383" s="14">
        <f>VLOOKUP(B1383, 'All Menu'!B:M, 12, 0)</f>
        <v>0.52724963544303804</v>
      </c>
      <c r="R1383" s="173">
        <f t="shared" si="77"/>
        <v>0</v>
      </c>
    </row>
    <row r="1384" spans="1:18" ht="14" hidden="1">
      <c r="A1384" s="78" t="s">
        <v>2685</v>
      </c>
      <c r="B1384" s="220" t="s">
        <v>942</v>
      </c>
      <c r="C1384" s="185"/>
      <c r="D1384" s="103" t="str">
        <f>VLOOKUP(B1384, 'All Menu'!B:M, 4, 0)</f>
        <v>عرايس</v>
      </c>
      <c r="E1384" s="30" t="str">
        <f>VLOOKUP(B1384, 'All Menu'!B:M, 2, 0)</f>
        <v>قسم الفرن</v>
      </c>
      <c r="F1384" s="103" t="str">
        <f>VLOOKUP(B1384, 'All Menu'!B:M, 3, 0)</f>
        <v>عجين سفري</v>
      </c>
      <c r="G1384" s="90" t="s">
        <v>2231</v>
      </c>
      <c r="H1384" s="188">
        <v>4499</v>
      </c>
      <c r="I1384" s="110" t="str">
        <f>VLOOKUP(H1384, 'RM &amp; SF'!B:H, 2, 0)</f>
        <v>فلفل حار اخضر*****</v>
      </c>
      <c r="J1384" s="184" t="str">
        <f>VLOOKUP(H1384, 'RM &amp; SF'!B:E, 4, 0)</f>
        <v>غم</v>
      </c>
      <c r="K1384" s="12">
        <v>22</v>
      </c>
      <c r="L1384" s="13">
        <f>VLOOKUP(H1384, 'RM &amp; SF'!B:H, 7, 0)</f>
        <v>5.0000000000000001E-4</v>
      </c>
      <c r="M1384" s="7">
        <f t="shared" si="78"/>
        <v>1.0999999999999999E-2</v>
      </c>
      <c r="N1384" s="4" t="s">
        <v>825</v>
      </c>
      <c r="O1384" s="4">
        <f>VLOOKUP(B1384, 'All Menu'!B:L, 6, 0)</f>
        <v>0.86206896551724144</v>
      </c>
      <c r="P1384" s="6">
        <f>VLOOKUP(B1384, 'All Menu'!B:L, 9, 0)</f>
        <v>0.40754341772151892</v>
      </c>
      <c r="Q1384" s="14">
        <f>VLOOKUP(B1384, 'All Menu'!B:M, 12, 0)</f>
        <v>0.52724963544303804</v>
      </c>
      <c r="R1384" s="173">
        <f t="shared" si="77"/>
        <v>0</v>
      </c>
    </row>
    <row r="1385" spans="1:18" ht="14" hidden="1">
      <c r="A1385" s="78" t="s">
        <v>2685</v>
      </c>
      <c r="B1385" s="220" t="s">
        <v>942</v>
      </c>
      <c r="C1385" s="185"/>
      <c r="D1385" s="103" t="str">
        <f>VLOOKUP(B1385, 'All Menu'!B:M, 4, 0)</f>
        <v>عرايس</v>
      </c>
      <c r="E1385" s="30" t="str">
        <f>VLOOKUP(B1385, 'All Menu'!B:M, 2, 0)</f>
        <v>قسم الفرن</v>
      </c>
      <c r="F1385" s="103" t="str">
        <f>VLOOKUP(B1385, 'All Menu'!B:M, 3, 0)</f>
        <v>عجين سفري</v>
      </c>
      <c r="G1385" s="90" t="s">
        <v>2239</v>
      </c>
      <c r="H1385" s="188">
        <v>4513</v>
      </c>
      <c r="I1385" s="110" t="str">
        <f>VLOOKUP(H1385, 'RM &amp; SF'!B:H, 2, 0)</f>
        <v>ليمون اصفر*****</v>
      </c>
      <c r="J1385" s="184" t="str">
        <f>VLOOKUP(H1385, 'RM &amp; SF'!B:E, 4, 0)</f>
        <v>غم</v>
      </c>
      <c r="K1385" s="12">
        <v>35</v>
      </c>
      <c r="L1385" s="13">
        <f>VLOOKUP(H1385, 'RM &amp; SF'!B:H, 7, 0)</f>
        <v>1.75E-3</v>
      </c>
      <c r="M1385" s="7">
        <f t="shared" si="78"/>
        <v>6.1249999999999999E-2</v>
      </c>
      <c r="N1385" s="4" t="s">
        <v>825</v>
      </c>
      <c r="O1385" s="4">
        <f>VLOOKUP(B1385, 'All Menu'!B:L, 6, 0)</f>
        <v>0.86206896551724144</v>
      </c>
      <c r="P1385" s="6">
        <f>VLOOKUP(B1385, 'All Menu'!B:L, 9, 0)</f>
        <v>0.40754341772151892</v>
      </c>
      <c r="Q1385" s="14">
        <f>VLOOKUP(B1385, 'All Menu'!B:M, 12, 0)</f>
        <v>0.52724963544303804</v>
      </c>
      <c r="R1385" s="173">
        <f t="shared" si="77"/>
        <v>0</v>
      </c>
    </row>
    <row r="1386" spans="1:18" ht="14" hidden="1">
      <c r="A1386" s="78" t="s">
        <v>2692</v>
      </c>
      <c r="B1386" s="220" t="s">
        <v>943</v>
      </c>
      <c r="C1386" s="185"/>
      <c r="D1386" s="103" t="str">
        <f>VLOOKUP(B1386, 'All Menu'!B:M, 4, 0)</f>
        <v>بيتزا تيركي</v>
      </c>
      <c r="E1386" s="30" t="str">
        <f>VLOOKUP(B1386, 'All Menu'!B:M, 2, 0)</f>
        <v>قسم الفرن</v>
      </c>
      <c r="F1386" s="103" t="str">
        <f>VLOOKUP(B1386, 'All Menu'!B:M, 3, 0)</f>
        <v>عجين سفري</v>
      </c>
      <c r="G1386" s="90" t="s">
        <v>2333</v>
      </c>
      <c r="H1386" s="219" t="s">
        <v>498</v>
      </c>
      <c r="I1386" s="110" t="str">
        <f>VLOOKUP(H1386, 'RM &amp; SF'!B:H, 2, 0)</f>
        <v>عجين الصفيحة والمناقيش</v>
      </c>
      <c r="J1386" s="184" t="str">
        <f>VLOOKUP(H1386, 'RM &amp; SF'!B:E, 4, 0)</f>
        <v>غم</v>
      </c>
      <c r="K1386" s="12">
        <v>450</v>
      </c>
      <c r="L1386" s="13">
        <f>VLOOKUP(H1386, 'RM &amp; SF'!B:H, 7, 0)</f>
        <v>4.659980972150147E-4</v>
      </c>
      <c r="M1386" s="7">
        <f t="shared" si="78"/>
        <v>0.20969914374675661</v>
      </c>
      <c r="N1386" s="4" t="s">
        <v>825</v>
      </c>
      <c r="O1386" s="4">
        <f>VLOOKUP(B1386, 'All Menu'!B:L, 6, 0)</f>
        <v>4.3103448275862073</v>
      </c>
      <c r="P1386" s="6">
        <f>VLOOKUP(B1386, 'All Menu'!B:L, 9, 0)</f>
        <v>1.5038976277992893</v>
      </c>
      <c r="Q1386" s="14">
        <f>VLOOKUP(B1386, 'All Menu'!B:M, 12, 0)</f>
        <v>0.65109575035056488</v>
      </c>
      <c r="R1386" s="173">
        <f t="shared" si="77"/>
        <v>0</v>
      </c>
    </row>
    <row r="1387" spans="1:18" ht="14" hidden="1">
      <c r="A1387" s="78" t="s">
        <v>2692</v>
      </c>
      <c r="B1387" s="220" t="s">
        <v>943</v>
      </c>
      <c r="C1387" s="185"/>
      <c r="D1387" s="103" t="str">
        <f>VLOOKUP(B1387, 'All Menu'!B:M, 4, 0)</f>
        <v>بيتزا تيركي</v>
      </c>
      <c r="E1387" s="30" t="str">
        <f>VLOOKUP(B1387, 'All Menu'!B:M, 2, 0)</f>
        <v>قسم الفرن</v>
      </c>
      <c r="F1387" s="103" t="str">
        <f>VLOOKUP(B1387, 'All Menu'!B:M, 3, 0)</f>
        <v>عجين سفري</v>
      </c>
      <c r="G1387" s="90" t="s">
        <v>3058</v>
      </c>
      <c r="H1387" s="188">
        <v>4079</v>
      </c>
      <c r="I1387" s="110" t="str">
        <f>VLOOKUP(H1387, 'RM &amp; SF'!B:H, 2, 0)</f>
        <v>بيتزا صوص 4.100 كغ*****</v>
      </c>
      <c r="J1387" s="184" t="str">
        <f>VLOOKUP(H1387, 'RM &amp; SF'!B:E, 4, 0)</f>
        <v>غم</v>
      </c>
      <c r="K1387" s="12">
        <v>70</v>
      </c>
      <c r="L1387" s="13">
        <f>VLOOKUP(H1387, 'RM &amp; SF'!B:H, 7, 0)</f>
        <v>1.4017365853658537E-3</v>
      </c>
      <c r="M1387" s="7">
        <f t="shared" si="78"/>
        <v>9.8121560975609756E-2</v>
      </c>
      <c r="N1387" s="4" t="s">
        <v>825</v>
      </c>
      <c r="O1387" s="4">
        <f>VLOOKUP(B1387, 'All Menu'!B:L, 6, 0)</f>
        <v>4.3103448275862073</v>
      </c>
      <c r="P1387" s="6">
        <f>VLOOKUP(B1387, 'All Menu'!B:L, 9, 0)</f>
        <v>1.5038976277992893</v>
      </c>
      <c r="Q1387" s="14">
        <f>VLOOKUP(B1387, 'All Menu'!B:M, 12, 0)</f>
        <v>0.65109575035056488</v>
      </c>
      <c r="R1387" s="173">
        <f t="shared" ref="R1387:R1450" si="79">C1387*K1387</f>
        <v>0</v>
      </c>
    </row>
    <row r="1388" spans="1:18" ht="14" hidden="1">
      <c r="A1388" s="78" t="s">
        <v>2692</v>
      </c>
      <c r="B1388" s="220" t="s">
        <v>943</v>
      </c>
      <c r="C1388" s="185"/>
      <c r="D1388" s="103" t="str">
        <f>VLOOKUP(B1388, 'All Menu'!B:M, 4, 0)</f>
        <v>بيتزا تيركي</v>
      </c>
      <c r="E1388" s="30" t="str">
        <f>VLOOKUP(B1388, 'All Menu'!B:M, 2, 0)</f>
        <v>قسم الفرن</v>
      </c>
      <c r="F1388" s="103" t="str">
        <f>VLOOKUP(B1388, 'All Menu'!B:M, 3, 0)</f>
        <v>عجين سفري</v>
      </c>
      <c r="G1388" s="90" t="s">
        <v>2173</v>
      </c>
      <c r="H1388" s="188">
        <v>4624</v>
      </c>
      <c r="I1388" s="110" t="str">
        <f>VLOOKUP(H1388, 'RM &amp; SF'!B:H, 2, 0)</f>
        <v>جبنة موزريلا قالب 2.380 كغ*****</v>
      </c>
      <c r="J1388" s="184" t="str">
        <f>VLOOKUP(H1388, 'RM &amp; SF'!B:E, 4, 0)</f>
        <v>غم</v>
      </c>
      <c r="K1388" s="12">
        <v>160</v>
      </c>
      <c r="L1388" s="13">
        <f>VLOOKUP(H1388, 'RM &amp; SF'!B:H, 7, 0)</f>
        <v>5.1749999999999999E-3</v>
      </c>
      <c r="M1388" s="7">
        <f t="shared" si="78"/>
        <v>0.82799999999999996</v>
      </c>
      <c r="N1388" s="4" t="s">
        <v>825</v>
      </c>
      <c r="O1388" s="4">
        <f>VLOOKUP(B1388, 'All Menu'!B:L, 6, 0)</f>
        <v>4.3103448275862073</v>
      </c>
      <c r="P1388" s="6">
        <f>VLOOKUP(B1388, 'All Menu'!B:L, 9, 0)</f>
        <v>1.5038976277992893</v>
      </c>
      <c r="Q1388" s="14">
        <f>VLOOKUP(B1388, 'All Menu'!B:M, 12, 0)</f>
        <v>0.65109575035056488</v>
      </c>
      <c r="R1388" s="173">
        <f t="shared" si="79"/>
        <v>0</v>
      </c>
    </row>
    <row r="1389" spans="1:18" ht="14" hidden="1">
      <c r="A1389" s="78" t="s">
        <v>2692</v>
      </c>
      <c r="B1389" s="220" t="s">
        <v>943</v>
      </c>
      <c r="C1389" s="185"/>
      <c r="D1389" s="103" t="str">
        <f>VLOOKUP(B1389, 'All Menu'!B:M, 4, 0)</f>
        <v>بيتزا تيركي</v>
      </c>
      <c r="E1389" s="30" t="str">
        <f>VLOOKUP(B1389, 'All Menu'!B:M, 2, 0)</f>
        <v>قسم الفرن</v>
      </c>
      <c r="F1389" s="103" t="str">
        <f>VLOOKUP(B1389, 'All Menu'!B:M, 3, 0)</f>
        <v>عجين سفري</v>
      </c>
      <c r="G1389" s="90" t="s">
        <v>2262</v>
      </c>
      <c r="H1389" s="188">
        <v>4633</v>
      </c>
      <c r="I1389" s="110" t="str">
        <f>VLOOKUP(H1389, 'RM &amp; SF'!B:H, 2, 0)</f>
        <v>تيركي 500 غم*****</v>
      </c>
      <c r="J1389" s="184" t="str">
        <f>VLOOKUP(H1389, 'RM &amp; SF'!B:E, 4, 0)</f>
        <v>غم</v>
      </c>
      <c r="K1389" s="12">
        <v>60</v>
      </c>
      <c r="L1389" s="13">
        <f>VLOOKUP(H1389, 'RM &amp; SF'!B:H, 7, 0)</f>
        <v>4.1346153846153842E-3</v>
      </c>
      <c r="M1389" s="7">
        <f t="shared" si="78"/>
        <v>0.24807692307692306</v>
      </c>
      <c r="N1389" s="4" t="s">
        <v>825</v>
      </c>
      <c r="O1389" s="4">
        <f>VLOOKUP(B1389, 'All Menu'!B:L, 6, 0)</f>
        <v>4.3103448275862073</v>
      </c>
      <c r="P1389" s="6">
        <f>VLOOKUP(B1389, 'All Menu'!B:L, 9, 0)</f>
        <v>1.5038976277992893</v>
      </c>
      <c r="Q1389" s="14">
        <f>VLOOKUP(B1389, 'All Menu'!B:M, 12, 0)</f>
        <v>0.65109575035056488</v>
      </c>
      <c r="R1389" s="173">
        <f t="shared" si="79"/>
        <v>0</v>
      </c>
    </row>
    <row r="1390" spans="1:18" ht="14" hidden="1">
      <c r="A1390" s="78" t="s">
        <v>2692</v>
      </c>
      <c r="B1390" s="220" t="s">
        <v>943</v>
      </c>
      <c r="C1390" s="185"/>
      <c r="D1390" s="103" t="str">
        <f>VLOOKUP(B1390, 'All Menu'!B:M, 4, 0)</f>
        <v>بيتزا تيركي</v>
      </c>
      <c r="E1390" s="30" t="str">
        <f>VLOOKUP(B1390, 'All Menu'!B:M, 2, 0)</f>
        <v>قسم الفرن</v>
      </c>
      <c r="F1390" s="103" t="str">
        <f>VLOOKUP(B1390, 'All Menu'!B:M, 3, 0)</f>
        <v>عجين سفري</v>
      </c>
      <c r="G1390" s="90" t="s">
        <v>2189</v>
      </c>
      <c r="H1390" s="188">
        <v>4277</v>
      </c>
      <c r="I1390" s="110" t="str">
        <f>VLOOKUP(H1390, 'RM &amp; SF'!B:H, 2, 0)</f>
        <v>علب بيتزا كرتون الطبعة العامة رقم 4 1*50 حبة*****</v>
      </c>
      <c r="J1390" s="184" t="str">
        <f>VLOOKUP(H1390, 'RM &amp; SF'!B:E, 4, 0)</f>
        <v>قطعة</v>
      </c>
      <c r="K1390" s="12">
        <v>1</v>
      </c>
      <c r="L1390" s="13">
        <f>VLOOKUP(H1390, 'RM &amp; SF'!B:H, 7, 0)</f>
        <v>0.12</v>
      </c>
      <c r="M1390" s="7">
        <f t="shared" si="78"/>
        <v>0.12</v>
      </c>
      <c r="N1390" s="4" t="s">
        <v>825</v>
      </c>
      <c r="O1390" s="4">
        <f>VLOOKUP(B1390, 'All Menu'!B:L, 6, 0)</f>
        <v>4.3103448275862073</v>
      </c>
      <c r="P1390" s="6">
        <f>VLOOKUP(B1390, 'All Menu'!B:L, 9, 0)</f>
        <v>1.5038976277992893</v>
      </c>
      <c r="Q1390" s="14">
        <f>VLOOKUP(B1390, 'All Menu'!B:M, 12, 0)</f>
        <v>0.65109575035056488</v>
      </c>
      <c r="R1390" s="173">
        <f t="shared" si="79"/>
        <v>0</v>
      </c>
    </row>
    <row r="1391" spans="1:18" ht="14" hidden="1">
      <c r="A1391" s="78" t="s">
        <v>2693</v>
      </c>
      <c r="B1391" s="220" t="s">
        <v>944</v>
      </c>
      <c r="C1391" s="185"/>
      <c r="D1391" s="103" t="str">
        <f>VLOOKUP(B1391, 'All Menu'!B:M, 4, 0)</f>
        <v>بيتزا باربكيو</v>
      </c>
      <c r="E1391" s="30" t="str">
        <f>VLOOKUP(B1391, 'All Menu'!B:M, 2, 0)</f>
        <v>قسم الفرن</v>
      </c>
      <c r="F1391" s="103" t="str">
        <f>VLOOKUP(B1391, 'All Menu'!B:M, 3, 0)</f>
        <v>عجين سفري</v>
      </c>
      <c r="G1391" s="90" t="s">
        <v>2333</v>
      </c>
      <c r="H1391" s="219" t="s">
        <v>498</v>
      </c>
      <c r="I1391" s="110" t="str">
        <f>VLOOKUP(H1391, 'RM &amp; SF'!B:H, 2, 0)</f>
        <v>عجين الصفيحة والمناقيش</v>
      </c>
      <c r="J1391" s="184" t="str">
        <f>VLOOKUP(H1391, 'RM &amp; SF'!B:E, 4, 0)</f>
        <v>غم</v>
      </c>
      <c r="K1391" s="12">
        <v>450</v>
      </c>
      <c r="L1391" s="13">
        <f>VLOOKUP(H1391, 'RM &amp; SF'!B:H, 7, 0)</f>
        <v>4.659980972150147E-4</v>
      </c>
      <c r="M1391" s="7">
        <f t="shared" si="78"/>
        <v>0.20969914374675661</v>
      </c>
      <c r="N1391" s="4" t="s">
        <v>825</v>
      </c>
      <c r="O1391" s="4">
        <f>VLOOKUP(B1391, 'All Menu'!B:L, 6, 0)</f>
        <v>4.7413793103448283</v>
      </c>
      <c r="P1391" s="6">
        <f>VLOOKUP(B1391, 'All Menu'!B:L, 9, 0)</f>
        <v>1.808327835031549</v>
      </c>
      <c r="Q1391" s="14">
        <f>VLOOKUP(B1391, 'All Menu'!B:M, 12, 0)</f>
        <v>0.6186072202478915</v>
      </c>
      <c r="R1391" s="173">
        <f t="shared" si="79"/>
        <v>0</v>
      </c>
    </row>
    <row r="1392" spans="1:18" ht="14" hidden="1">
      <c r="A1392" s="78" t="s">
        <v>2693</v>
      </c>
      <c r="B1392" s="220" t="s">
        <v>944</v>
      </c>
      <c r="C1392" s="185"/>
      <c r="D1392" s="103" t="str">
        <f>VLOOKUP(B1392, 'All Menu'!B:M, 4, 0)</f>
        <v>بيتزا باربكيو</v>
      </c>
      <c r="E1392" s="30" t="str">
        <f>VLOOKUP(B1392, 'All Menu'!B:M, 2, 0)</f>
        <v>قسم الفرن</v>
      </c>
      <c r="F1392" s="103" t="str">
        <f>VLOOKUP(B1392, 'All Menu'!B:M, 3, 0)</f>
        <v>عجين سفري</v>
      </c>
      <c r="G1392" s="90" t="s">
        <v>3058</v>
      </c>
      <c r="H1392" s="188">
        <v>4079</v>
      </c>
      <c r="I1392" s="110" t="str">
        <f>VLOOKUP(H1392, 'RM &amp; SF'!B:H, 2, 0)</f>
        <v>بيتزا صوص 4.100 كغ*****</v>
      </c>
      <c r="J1392" s="184" t="str">
        <f>VLOOKUP(H1392, 'RM &amp; SF'!B:E, 4, 0)</f>
        <v>غم</v>
      </c>
      <c r="K1392" s="12">
        <v>70</v>
      </c>
      <c r="L1392" s="13">
        <f>VLOOKUP(H1392, 'RM &amp; SF'!B:H, 7, 0)</f>
        <v>1.4017365853658537E-3</v>
      </c>
      <c r="M1392" s="7">
        <f t="shared" si="78"/>
        <v>9.8121560975609756E-2</v>
      </c>
      <c r="N1392" s="4" t="s">
        <v>825</v>
      </c>
      <c r="O1392" s="4">
        <f>VLOOKUP(B1392, 'All Menu'!B:L, 6, 0)</f>
        <v>4.7413793103448283</v>
      </c>
      <c r="P1392" s="6">
        <f>VLOOKUP(B1392, 'All Menu'!B:L, 9, 0)</f>
        <v>1.808327835031549</v>
      </c>
      <c r="Q1392" s="14">
        <f>VLOOKUP(B1392, 'All Menu'!B:M, 12, 0)</f>
        <v>0.6186072202478915</v>
      </c>
      <c r="R1392" s="173">
        <f t="shared" si="79"/>
        <v>0</v>
      </c>
    </row>
    <row r="1393" spans="1:18" ht="14" hidden="1">
      <c r="A1393" s="78" t="s">
        <v>2693</v>
      </c>
      <c r="B1393" s="220" t="s">
        <v>944</v>
      </c>
      <c r="C1393" s="185"/>
      <c r="D1393" s="103" t="str">
        <f>VLOOKUP(B1393, 'All Menu'!B:M, 4, 0)</f>
        <v>بيتزا باربكيو</v>
      </c>
      <c r="E1393" s="30" t="str">
        <f>VLOOKUP(B1393, 'All Menu'!B:M, 2, 0)</f>
        <v>قسم الفرن</v>
      </c>
      <c r="F1393" s="103" t="str">
        <f>VLOOKUP(B1393, 'All Menu'!B:M, 3, 0)</f>
        <v>عجين سفري</v>
      </c>
      <c r="G1393" s="90" t="s">
        <v>2173</v>
      </c>
      <c r="H1393" s="188">
        <v>4624</v>
      </c>
      <c r="I1393" s="110" t="str">
        <f>VLOOKUP(H1393, 'RM &amp; SF'!B:H, 2, 0)</f>
        <v>جبنة موزريلا قالب 2.380 كغ*****</v>
      </c>
      <c r="J1393" s="184" t="str">
        <f>VLOOKUP(H1393, 'RM &amp; SF'!B:E, 4, 0)</f>
        <v>غم</v>
      </c>
      <c r="K1393" s="12">
        <v>160</v>
      </c>
      <c r="L1393" s="13">
        <f>VLOOKUP(H1393, 'RM &amp; SF'!B:H, 7, 0)</f>
        <v>5.1749999999999999E-3</v>
      </c>
      <c r="M1393" s="7">
        <f t="shared" si="78"/>
        <v>0.82799999999999996</v>
      </c>
      <c r="N1393" s="4" t="s">
        <v>825</v>
      </c>
      <c r="O1393" s="4">
        <f>VLOOKUP(B1393, 'All Menu'!B:L, 6, 0)</f>
        <v>4.7413793103448283</v>
      </c>
      <c r="P1393" s="6">
        <f>VLOOKUP(B1393, 'All Menu'!B:L, 9, 0)</f>
        <v>1.808327835031549</v>
      </c>
      <c r="Q1393" s="14">
        <f>VLOOKUP(B1393, 'All Menu'!B:M, 12, 0)</f>
        <v>0.6186072202478915</v>
      </c>
      <c r="R1393" s="173">
        <f t="shared" si="79"/>
        <v>0</v>
      </c>
    </row>
    <row r="1394" spans="1:18" ht="14" hidden="1">
      <c r="A1394" s="78" t="s">
        <v>2693</v>
      </c>
      <c r="B1394" s="220" t="s">
        <v>944</v>
      </c>
      <c r="C1394" s="185"/>
      <c r="D1394" s="103" t="str">
        <f>VLOOKUP(B1394, 'All Menu'!B:M, 4, 0)</f>
        <v>بيتزا باربكيو</v>
      </c>
      <c r="E1394" s="30" t="str">
        <f>VLOOKUP(B1394, 'All Menu'!B:M, 2, 0)</f>
        <v>قسم الفرن</v>
      </c>
      <c r="F1394" s="103" t="str">
        <f>VLOOKUP(B1394, 'All Menu'!B:M, 3, 0)</f>
        <v>عجين سفري</v>
      </c>
      <c r="G1394" s="90" t="s">
        <v>2456</v>
      </c>
      <c r="H1394" s="219" t="s">
        <v>506</v>
      </c>
      <c r="I1394" s="110" t="str">
        <f>VLOOKUP(H1394, 'RM &amp; SF'!B:H, 2, 0)</f>
        <v>شيش</v>
      </c>
      <c r="J1394" s="184" t="str">
        <f>VLOOKUP(H1394, 'RM &amp; SF'!B:E, 4, 0)</f>
        <v>غم</v>
      </c>
      <c r="K1394" s="12">
        <v>100</v>
      </c>
      <c r="L1394" s="13">
        <f>VLOOKUP(H1394, 'RM &amp; SF'!B:H, 7, 0)</f>
        <v>4.6721213030918281E-3</v>
      </c>
      <c r="M1394" s="7">
        <f t="shared" si="78"/>
        <v>0.46721213030918279</v>
      </c>
      <c r="N1394" s="4" t="s">
        <v>825</v>
      </c>
      <c r="O1394" s="4">
        <f>VLOOKUP(B1394, 'All Menu'!B:L, 6, 0)</f>
        <v>4.7413793103448283</v>
      </c>
      <c r="P1394" s="6">
        <f>VLOOKUP(B1394, 'All Menu'!B:L, 9, 0)</f>
        <v>1.808327835031549</v>
      </c>
      <c r="Q1394" s="14">
        <f>VLOOKUP(B1394, 'All Menu'!B:M, 12, 0)</f>
        <v>0.6186072202478915</v>
      </c>
      <c r="R1394" s="173">
        <f t="shared" si="79"/>
        <v>0</v>
      </c>
    </row>
    <row r="1395" spans="1:18" ht="14" hidden="1">
      <c r="A1395" s="78" t="s">
        <v>2693</v>
      </c>
      <c r="B1395" s="220" t="s">
        <v>944</v>
      </c>
      <c r="C1395" s="185"/>
      <c r="D1395" s="103" t="str">
        <f>VLOOKUP(B1395, 'All Menu'!B:M, 4, 0)</f>
        <v>بيتزا باربكيو</v>
      </c>
      <c r="E1395" s="30" t="str">
        <f>VLOOKUP(B1395, 'All Menu'!B:M, 2, 0)</f>
        <v>قسم الفرن</v>
      </c>
      <c r="F1395" s="103" t="str">
        <f>VLOOKUP(B1395, 'All Menu'!B:M, 3, 0)</f>
        <v>عجين سفري</v>
      </c>
      <c r="G1395" s="90" t="s">
        <v>2267</v>
      </c>
      <c r="H1395" s="188">
        <v>4009</v>
      </c>
      <c r="I1395" s="110" t="str">
        <f>VLOOKUP(H1395, 'RM &amp; SF'!B:H, 2, 0)</f>
        <v>باربكيو صوص 3.79 لتر*****</v>
      </c>
      <c r="J1395" s="184" t="str">
        <f>VLOOKUP(H1395, 'RM &amp; SF'!B:E, 4, 0)</f>
        <v>غم</v>
      </c>
      <c r="K1395" s="12">
        <v>25</v>
      </c>
      <c r="L1395" s="13">
        <f>VLOOKUP(H1395, 'RM &amp; SF'!B:H, 7, 0)</f>
        <v>3.4118E-3</v>
      </c>
      <c r="M1395" s="7">
        <f t="shared" si="78"/>
        <v>8.5294999999999996E-2</v>
      </c>
      <c r="N1395" s="4" t="s">
        <v>825</v>
      </c>
      <c r="O1395" s="4">
        <f>VLOOKUP(B1395, 'All Menu'!B:L, 6, 0)</f>
        <v>4.7413793103448283</v>
      </c>
      <c r="P1395" s="6">
        <f>VLOOKUP(B1395, 'All Menu'!B:L, 9, 0)</f>
        <v>1.808327835031549</v>
      </c>
      <c r="Q1395" s="14">
        <f>VLOOKUP(B1395, 'All Menu'!B:M, 12, 0)</f>
        <v>0.6186072202478915</v>
      </c>
      <c r="R1395" s="173">
        <f t="shared" si="79"/>
        <v>0</v>
      </c>
    </row>
    <row r="1396" spans="1:18" ht="14" hidden="1">
      <c r="A1396" s="78" t="s">
        <v>2693</v>
      </c>
      <c r="B1396" s="220" t="s">
        <v>944</v>
      </c>
      <c r="C1396" s="185"/>
      <c r="D1396" s="103" t="str">
        <f>VLOOKUP(B1396, 'All Menu'!B:M, 4, 0)</f>
        <v>بيتزا باربكيو</v>
      </c>
      <c r="E1396" s="30" t="str">
        <f>VLOOKUP(B1396, 'All Menu'!B:M, 2, 0)</f>
        <v>قسم الفرن</v>
      </c>
      <c r="F1396" s="103" t="str">
        <f>VLOOKUP(B1396, 'All Menu'!B:M, 3, 0)</f>
        <v>عجين سفري</v>
      </c>
      <c r="G1396" s="90" t="s">
        <v>2189</v>
      </c>
      <c r="H1396" s="188">
        <v>4277</v>
      </c>
      <c r="I1396" s="110" t="str">
        <f>VLOOKUP(H1396, 'RM &amp; SF'!B:H, 2, 0)</f>
        <v>علب بيتزا كرتون الطبعة العامة رقم 4 1*50 حبة*****</v>
      </c>
      <c r="J1396" s="184" t="str">
        <f>VLOOKUP(H1396, 'RM &amp; SF'!B:E, 4, 0)</f>
        <v>قطعة</v>
      </c>
      <c r="K1396" s="12">
        <v>1</v>
      </c>
      <c r="L1396" s="13">
        <f>VLOOKUP(H1396, 'RM &amp; SF'!B:H, 7, 0)</f>
        <v>0.12</v>
      </c>
      <c r="M1396" s="7">
        <f t="shared" si="78"/>
        <v>0.12</v>
      </c>
      <c r="N1396" s="4" t="s">
        <v>825</v>
      </c>
      <c r="O1396" s="4">
        <f>VLOOKUP(B1396, 'All Menu'!B:L, 6, 0)</f>
        <v>4.7413793103448283</v>
      </c>
      <c r="P1396" s="6">
        <f>VLOOKUP(B1396, 'All Menu'!B:L, 9, 0)</f>
        <v>1.808327835031549</v>
      </c>
      <c r="Q1396" s="14">
        <f>VLOOKUP(B1396, 'All Menu'!B:M, 12, 0)</f>
        <v>0.6186072202478915</v>
      </c>
      <c r="R1396" s="173">
        <f t="shared" si="79"/>
        <v>0</v>
      </c>
    </row>
    <row r="1397" spans="1:18" ht="14" hidden="1">
      <c r="A1397" s="78" t="s">
        <v>2681</v>
      </c>
      <c r="B1397" s="220" t="s">
        <v>945</v>
      </c>
      <c r="C1397" s="185"/>
      <c r="D1397" s="103" t="str">
        <f>VLOOKUP(B1397, 'All Menu'!B:M, 4, 0)</f>
        <v>شرحات على العجين / الحبة</v>
      </c>
      <c r="E1397" s="30" t="str">
        <f>VLOOKUP(B1397, 'All Menu'!B:M, 2, 0)</f>
        <v>قسم الفرن</v>
      </c>
      <c r="F1397" s="103" t="str">
        <f>VLOOKUP(B1397, 'All Menu'!B:M, 3, 0)</f>
        <v>عجين سفري</v>
      </c>
      <c r="G1397" s="90" t="s">
        <v>2333</v>
      </c>
      <c r="H1397" s="219" t="s">
        <v>498</v>
      </c>
      <c r="I1397" s="110" t="str">
        <f>VLOOKUP(H1397, 'RM &amp; SF'!B:H, 2, 0)</f>
        <v>عجين الصفيحة والمناقيش</v>
      </c>
      <c r="J1397" s="184" t="str">
        <f>VLOOKUP(H1397, 'RM &amp; SF'!B:E, 4, 0)</f>
        <v>غم</v>
      </c>
      <c r="K1397" s="12">
        <v>200</v>
      </c>
      <c r="L1397" s="13">
        <f>VLOOKUP(H1397, 'RM &amp; SF'!B:H, 7, 0)</f>
        <v>4.659980972150147E-4</v>
      </c>
      <c r="M1397" s="7">
        <f t="shared" si="78"/>
        <v>9.3199619443002937E-2</v>
      </c>
      <c r="N1397" s="4" t="s">
        <v>825</v>
      </c>
      <c r="O1397" s="4">
        <f>VLOOKUP(B1397, 'All Menu'!B:L, 6, 0)</f>
        <v>3.2327586206896552</v>
      </c>
      <c r="P1397" s="6">
        <f>VLOOKUP(B1397, 'All Menu'!B:L, 9, 0)</f>
        <v>1.4740713491210082</v>
      </c>
      <c r="Q1397" s="14">
        <f>VLOOKUP(B1397, 'All Menu'!B:M, 12, 0)</f>
        <v>0.54402059600523478</v>
      </c>
      <c r="R1397" s="173">
        <f t="shared" si="79"/>
        <v>0</v>
      </c>
    </row>
    <row r="1398" spans="1:18" ht="14" hidden="1">
      <c r="A1398" s="78" t="s">
        <v>2681</v>
      </c>
      <c r="B1398" s="220" t="s">
        <v>945</v>
      </c>
      <c r="C1398" s="185"/>
      <c r="D1398" s="103" t="str">
        <f>VLOOKUP(B1398, 'All Menu'!B:M, 4, 0)</f>
        <v>شرحات على العجين / الحبة</v>
      </c>
      <c r="E1398" s="30" t="str">
        <f>VLOOKUP(B1398, 'All Menu'!B:M, 2, 0)</f>
        <v>قسم الفرن</v>
      </c>
      <c r="F1398" s="103" t="str">
        <f>VLOOKUP(B1398, 'All Menu'!B:M, 3, 0)</f>
        <v>عجين سفري</v>
      </c>
      <c r="G1398" s="90" t="s">
        <v>2337</v>
      </c>
      <c r="H1398" s="219" t="s">
        <v>694</v>
      </c>
      <c r="I1398" s="110" t="str">
        <f>VLOOKUP(H1398, 'RM &amp; SF'!B:H, 2, 0)</f>
        <v>شرحات خاروف بلدي</v>
      </c>
      <c r="J1398" s="184" t="str">
        <f>VLOOKUP(H1398, 'RM &amp; SF'!B:E, 4, 0)</f>
        <v>غم</v>
      </c>
      <c r="K1398" s="12">
        <v>100</v>
      </c>
      <c r="L1398" s="13">
        <f>VLOOKUP(H1398, 'RM &amp; SF'!B:H, 7, 0)</f>
        <v>1.1615493158849017E-2</v>
      </c>
      <c r="M1398" s="7">
        <f t="shared" si="78"/>
        <v>1.1615493158849017</v>
      </c>
      <c r="N1398" s="4" t="s">
        <v>825</v>
      </c>
      <c r="O1398" s="4">
        <f>VLOOKUP(B1398, 'All Menu'!B:L, 6, 0)</f>
        <v>3.2327586206896552</v>
      </c>
      <c r="P1398" s="6">
        <f>VLOOKUP(B1398, 'All Menu'!B:L, 9, 0)</f>
        <v>1.4740713491210082</v>
      </c>
      <c r="Q1398" s="14">
        <f>VLOOKUP(B1398, 'All Menu'!B:M, 12, 0)</f>
        <v>0.54402059600523478</v>
      </c>
      <c r="R1398" s="173">
        <f t="shared" si="79"/>
        <v>0</v>
      </c>
    </row>
    <row r="1399" spans="1:18" ht="14" hidden="1">
      <c r="A1399" s="78" t="s">
        <v>2681</v>
      </c>
      <c r="B1399" s="220" t="s">
        <v>945</v>
      </c>
      <c r="C1399" s="185"/>
      <c r="D1399" s="103" t="str">
        <f>VLOOKUP(B1399, 'All Menu'!B:M, 4, 0)</f>
        <v>شرحات على العجين / الحبة</v>
      </c>
      <c r="E1399" s="30" t="str">
        <f>VLOOKUP(B1399, 'All Menu'!B:M, 2, 0)</f>
        <v>قسم الفرن</v>
      </c>
      <c r="F1399" s="103" t="str">
        <f>VLOOKUP(B1399, 'All Menu'!B:M, 3, 0)</f>
        <v>عجين سفري</v>
      </c>
      <c r="G1399" s="90" t="s">
        <v>3058</v>
      </c>
      <c r="H1399" s="188">
        <v>4598</v>
      </c>
      <c r="I1399" s="110" t="str">
        <f>VLOOKUP(H1399, 'RM &amp; SF'!B:H, 2, 0)</f>
        <v>لية خروف نية*****</v>
      </c>
      <c r="J1399" s="184" t="str">
        <f>VLOOKUP(H1399, 'RM &amp; SF'!B:E, 4, 0)</f>
        <v>غم</v>
      </c>
      <c r="K1399" s="12">
        <v>20</v>
      </c>
      <c r="L1399" s="13">
        <f>VLOOKUP(H1399, 'RM &amp; SF'!B:H, 7, 0)</f>
        <v>5.0000000000000001E-3</v>
      </c>
      <c r="M1399" s="7">
        <f t="shared" si="78"/>
        <v>0.1</v>
      </c>
      <c r="N1399" s="4" t="s">
        <v>825</v>
      </c>
      <c r="O1399" s="4">
        <f>VLOOKUP(B1399, 'All Menu'!B:L, 6, 0)</f>
        <v>3.2327586206896552</v>
      </c>
      <c r="P1399" s="6">
        <f>VLOOKUP(B1399, 'All Menu'!B:L, 9, 0)</f>
        <v>1.4740713491210082</v>
      </c>
      <c r="Q1399" s="14">
        <f>VLOOKUP(B1399, 'All Menu'!B:M, 12, 0)</f>
        <v>0.54402059600523478</v>
      </c>
      <c r="R1399" s="173">
        <f t="shared" si="79"/>
        <v>0</v>
      </c>
    </row>
    <row r="1400" spans="1:18" ht="14" hidden="1">
      <c r="A1400" s="78" t="s">
        <v>2681</v>
      </c>
      <c r="B1400" s="220" t="s">
        <v>945</v>
      </c>
      <c r="C1400" s="185"/>
      <c r="D1400" s="103" t="str">
        <f>VLOOKUP(B1400, 'All Menu'!B:M, 4, 0)</f>
        <v>شرحات على العجين / الحبة</v>
      </c>
      <c r="E1400" s="30" t="str">
        <f>VLOOKUP(B1400, 'All Menu'!B:M, 2, 0)</f>
        <v>قسم الفرن</v>
      </c>
      <c r="F1400" s="103" t="str">
        <f>VLOOKUP(B1400, 'All Menu'!B:M, 3, 0)</f>
        <v>عجين سفري</v>
      </c>
      <c r="G1400" s="90" t="s">
        <v>2200</v>
      </c>
      <c r="H1400" s="188">
        <v>4351</v>
      </c>
      <c r="I1400" s="110" t="str">
        <f>VLOOKUP(H1400, 'RM &amp; SF'!B:H, 2, 0)</f>
        <v>صحن كرتون مستطيل مسلفر 1 كغ (رقم 2)*****</v>
      </c>
      <c r="J1400" s="184" t="str">
        <f>VLOOKUP(H1400, 'RM &amp; SF'!B:E, 4, 0)</f>
        <v>قطعة</v>
      </c>
      <c r="K1400" s="12">
        <v>1</v>
      </c>
      <c r="L1400" s="13">
        <f>VLOOKUP(H1400, 'RM &amp; SF'!B:H, 7, 0)</f>
        <v>3.8699999999999998E-2</v>
      </c>
      <c r="M1400" s="7">
        <f t="shared" si="78"/>
        <v>3.8699999999999998E-2</v>
      </c>
      <c r="N1400" s="4" t="s">
        <v>825</v>
      </c>
      <c r="O1400" s="4">
        <f>VLOOKUP(B1400, 'All Menu'!B:L, 6, 0)</f>
        <v>3.2327586206896552</v>
      </c>
      <c r="P1400" s="6">
        <f>VLOOKUP(B1400, 'All Menu'!B:L, 9, 0)</f>
        <v>1.4740713491210082</v>
      </c>
      <c r="Q1400" s="14">
        <f>VLOOKUP(B1400, 'All Menu'!B:M, 12, 0)</f>
        <v>0.54402059600523478</v>
      </c>
      <c r="R1400" s="173">
        <f t="shared" si="79"/>
        <v>0</v>
      </c>
    </row>
    <row r="1401" spans="1:18" ht="14" hidden="1">
      <c r="A1401" s="78" t="s">
        <v>2681</v>
      </c>
      <c r="B1401" s="220" t="s">
        <v>945</v>
      </c>
      <c r="C1401" s="185"/>
      <c r="D1401" s="103" t="str">
        <f>VLOOKUP(B1401, 'All Menu'!B:M, 4, 0)</f>
        <v>شرحات على العجين / الحبة</v>
      </c>
      <c r="E1401" s="30" t="str">
        <f>VLOOKUP(B1401, 'All Menu'!B:M, 2, 0)</f>
        <v>قسم الفرن</v>
      </c>
      <c r="F1401" s="103" t="str">
        <f>VLOOKUP(B1401, 'All Menu'!B:M, 3, 0)</f>
        <v>عجين سفري</v>
      </c>
      <c r="G1401" s="90" t="s">
        <v>2192</v>
      </c>
      <c r="H1401" s="188">
        <v>4298</v>
      </c>
      <c r="I1401" s="110" t="str">
        <f>VLOOKUP(H1401, 'RM &amp; SF'!B:H, 2, 0)</f>
        <v>اكياس ساندويش ورقية مطبوع 22 سم*42 سم 1*100 حبة*****</v>
      </c>
      <c r="J1401" s="184" t="str">
        <f>VLOOKUP(H1401, 'RM &amp; SF'!B:E, 4, 0)</f>
        <v>قطعة</v>
      </c>
      <c r="K1401" s="12">
        <v>1</v>
      </c>
      <c r="L1401" s="13">
        <f>VLOOKUP(H1401, 'RM &amp; SF'!B:H, 7, 0)</f>
        <v>2.3699999999999999E-2</v>
      </c>
      <c r="M1401" s="7">
        <f t="shared" si="78"/>
        <v>2.3699999999999999E-2</v>
      </c>
      <c r="N1401" s="4" t="s">
        <v>825</v>
      </c>
      <c r="O1401" s="4">
        <f>VLOOKUP(B1401, 'All Menu'!B:L, 6, 0)</f>
        <v>3.2327586206896552</v>
      </c>
      <c r="P1401" s="6">
        <f>VLOOKUP(B1401, 'All Menu'!B:L, 9, 0)</f>
        <v>1.4740713491210082</v>
      </c>
      <c r="Q1401" s="14">
        <f>VLOOKUP(B1401, 'All Menu'!B:M, 12, 0)</f>
        <v>0.54402059600523478</v>
      </c>
      <c r="R1401" s="173">
        <f t="shared" si="79"/>
        <v>0</v>
      </c>
    </row>
    <row r="1402" spans="1:18" ht="14" hidden="1">
      <c r="A1402" s="78" t="s">
        <v>2681</v>
      </c>
      <c r="B1402" s="220" t="s">
        <v>945</v>
      </c>
      <c r="C1402" s="185"/>
      <c r="D1402" s="103" t="str">
        <f>VLOOKUP(B1402, 'All Menu'!B:M, 4, 0)</f>
        <v>شرحات على العجين / الحبة</v>
      </c>
      <c r="E1402" s="30" t="str">
        <f>VLOOKUP(B1402, 'All Menu'!B:M, 2, 0)</f>
        <v>قسم الفرن</v>
      </c>
      <c r="F1402" s="103" t="str">
        <f>VLOOKUP(B1402, 'All Menu'!B:M, 3, 0)</f>
        <v>عجين سفري</v>
      </c>
      <c r="G1402" s="90" t="s">
        <v>3058</v>
      </c>
      <c r="H1402" s="188">
        <v>4311</v>
      </c>
      <c r="I1402" s="110" t="str">
        <f>VLOOKUP(H1402, 'RM &amp; SF'!B:H, 2, 0)</f>
        <v>ورق بلاستيك (شرحات نايلون)*****</v>
      </c>
      <c r="J1402" s="184" t="str">
        <f>VLOOKUP(H1402, 'RM &amp; SF'!B:E, 4, 0)</f>
        <v>قطعة</v>
      </c>
      <c r="K1402" s="12">
        <v>1</v>
      </c>
      <c r="L1402" s="13">
        <f>VLOOKUP(H1402, 'RM &amp; SF'!B:H, 7, 0)</f>
        <v>1.75E-3</v>
      </c>
      <c r="M1402" s="7">
        <f t="shared" si="78"/>
        <v>1.75E-3</v>
      </c>
      <c r="N1402" s="4" t="s">
        <v>825</v>
      </c>
      <c r="O1402" s="4">
        <f>VLOOKUP(B1402, 'All Menu'!B:L, 6, 0)</f>
        <v>3.2327586206896552</v>
      </c>
      <c r="P1402" s="6">
        <f>VLOOKUP(B1402, 'All Menu'!B:L, 9, 0)</f>
        <v>1.4740713491210082</v>
      </c>
      <c r="Q1402" s="14">
        <f>VLOOKUP(B1402, 'All Menu'!B:M, 12, 0)</f>
        <v>0.54402059600523478</v>
      </c>
      <c r="R1402" s="173">
        <f t="shared" si="79"/>
        <v>0</v>
      </c>
    </row>
    <row r="1403" spans="1:18" ht="14" hidden="1">
      <c r="A1403" s="78" t="s">
        <v>2681</v>
      </c>
      <c r="B1403" s="220" t="s">
        <v>945</v>
      </c>
      <c r="C1403" s="185"/>
      <c r="D1403" s="103" t="str">
        <f>VLOOKUP(B1403, 'All Menu'!B:M, 4, 0)</f>
        <v>شرحات على العجين / الحبة</v>
      </c>
      <c r="E1403" s="30" t="str">
        <f>VLOOKUP(B1403, 'All Menu'!B:M, 2, 0)</f>
        <v>قسم الفرن</v>
      </c>
      <c r="F1403" s="103" t="str">
        <f>VLOOKUP(B1403, 'All Menu'!B:M, 3, 0)</f>
        <v>عجين سفري</v>
      </c>
      <c r="G1403" s="90" t="s">
        <v>2193</v>
      </c>
      <c r="H1403" s="188">
        <v>4309</v>
      </c>
      <c r="I1403" s="110" t="str">
        <f>VLOOKUP(H1403, 'RM &amp; SF'!B:H, 2, 0)</f>
        <v>اكياس بلاستيك مطبوع 55 سم*****</v>
      </c>
      <c r="J1403" s="184" t="str">
        <f>VLOOKUP(H1403, 'RM &amp; SF'!B:E, 4, 0)</f>
        <v>قطعة</v>
      </c>
      <c r="K1403" s="12">
        <v>1</v>
      </c>
      <c r="L1403" s="13">
        <f>VLOOKUP(H1403, 'RM &amp; SF'!B:H, 7, 0)</f>
        <v>5.5172413793103454E-2</v>
      </c>
      <c r="M1403" s="7">
        <f t="shared" si="78"/>
        <v>5.5172413793103454E-2</v>
      </c>
      <c r="N1403" s="4" t="s">
        <v>825</v>
      </c>
      <c r="O1403" s="4">
        <f>VLOOKUP(B1403, 'All Menu'!B:L, 6, 0)</f>
        <v>3.2327586206896552</v>
      </c>
      <c r="P1403" s="6">
        <f>VLOOKUP(B1403, 'All Menu'!B:L, 9, 0)</f>
        <v>1.4740713491210082</v>
      </c>
      <c r="Q1403" s="14">
        <f>VLOOKUP(B1403, 'All Menu'!B:M, 12, 0)</f>
        <v>0.54402059600523478</v>
      </c>
      <c r="R1403" s="173">
        <f t="shared" si="79"/>
        <v>0</v>
      </c>
    </row>
    <row r="1404" spans="1:18" ht="14" hidden="1">
      <c r="A1404" s="78" t="s">
        <v>2682</v>
      </c>
      <c r="B1404" s="220" t="s">
        <v>946</v>
      </c>
      <c r="C1404" s="185"/>
      <c r="D1404" s="103" t="str">
        <f>VLOOKUP(B1404, 'All Menu'!B:M, 4, 0)</f>
        <v>مجرمشة / الحبة</v>
      </c>
      <c r="E1404" s="30" t="str">
        <f>VLOOKUP(B1404, 'All Menu'!B:M, 2, 0)</f>
        <v>قسم الفرن</v>
      </c>
      <c r="F1404" s="103" t="str">
        <f>VLOOKUP(B1404, 'All Menu'!B:M, 3, 0)</f>
        <v>عجين سفري</v>
      </c>
      <c r="G1404" s="90" t="s">
        <v>2333</v>
      </c>
      <c r="H1404" s="219" t="s">
        <v>498</v>
      </c>
      <c r="I1404" s="110" t="str">
        <f>VLOOKUP(H1404, 'RM &amp; SF'!B:H, 2, 0)</f>
        <v>عجين الصفيحة والمناقيش</v>
      </c>
      <c r="J1404" s="184" t="str">
        <f>VLOOKUP(H1404, 'RM &amp; SF'!B:E, 4, 0)</f>
        <v>غم</v>
      </c>
      <c r="K1404" s="12">
        <v>150</v>
      </c>
      <c r="L1404" s="13">
        <f>VLOOKUP(H1404, 'RM &amp; SF'!B:H, 7, 0)</f>
        <v>4.659980972150147E-4</v>
      </c>
      <c r="M1404" s="7">
        <f t="shared" si="78"/>
        <v>6.9899714582252206E-2</v>
      </c>
      <c r="N1404" s="4" t="s">
        <v>825</v>
      </c>
      <c r="O1404" s="4">
        <f>VLOOKUP(B1404, 'All Menu'!B:L, 6, 0)</f>
        <v>1.5086206896551726</v>
      </c>
      <c r="P1404" s="6">
        <f>VLOOKUP(B1404, 'All Menu'!B:L, 9, 0)</f>
        <v>1.2469414581719958</v>
      </c>
      <c r="Q1404" s="14">
        <f>VLOOKUP(B1404, 'All Menu'!B:M, 12, 0)</f>
        <v>0.17345594772599149</v>
      </c>
      <c r="R1404" s="173">
        <f t="shared" si="79"/>
        <v>0</v>
      </c>
    </row>
    <row r="1405" spans="1:18" ht="14" hidden="1">
      <c r="A1405" s="78" t="s">
        <v>2682</v>
      </c>
      <c r="B1405" s="220" t="s">
        <v>946</v>
      </c>
      <c r="C1405" s="185"/>
      <c r="D1405" s="103" t="str">
        <f>VLOOKUP(B1405, 'All Menu'!B:M, 4, 0)</f>
        <v>مجرمشة / الحبة</v>
      </c>
      <c r="E1405" s="30" t="str">
        <f>VLOOKUP(B1405, 'All Menu'!B:M, 2, 0)</f>
        <v>قسم الفرن</v>
      </c>
      <c r="F1405" s="103" t="str">
        <f>VLOOKUP(B1405, 'All Menu'!B:M, 3, 0)</f>
        <v>عجين سفري</v>
      </c>
      <c r="G1405" s="90" t="s">
        <v>2335</v>
      </c>
      <c r="H1405" s="219" t="s">
        <v>500</v>
      </c>
      <c r="I1405" s="110" t="str">
        <f>VLOOKUP(H1405, 'RM &amp; SF'!B:H, 2, 0)</f>
        <v>لحمة مجرمشة</v>
      </c>
      <c r="J1405" s="184" t="str">
        <f>VLOOKUP(H1405, 'RM &amp; SF'!B:E, 4, 0)</f>
        <v>غم</v>
      </c>
      <c r="K1405" s="12">
        <v>200</v>
      </c>
      <c r="L1405" s="13">
        <f>VLOOKUP(H1405, 'RM &amp; SF'!B:H, 7, 0)</f>
        <v>5.5644587179487183E-3</v>
      </c>
      <c r="M1405" s="7">
        <f t="shared" si="78"/>
        <v>1.1128917435897436</v>
      </c>
      <c r="N1405" s="4" t="s">
        <v>825</v>
      </c>
      <c r="O1405" s="4">
        <f>VLOOKUP(B1405, 'All Menu'!B:L, 6, 0)</f>
        <v>1.5086206896551726</v>
      </c>
      <c r="P1405" s="6">
        <f>VLOOKUP(B1405, 'All Menu'!B:L, 9, 0)</f>
        <v>1.2469414581719958</v>
      </c>
      <c r="Q1405" s="14">
        <f>VLOOKUP(B1405, 'All Menu'!B:M, 12, 0)</f>
        <v>0.17345594772599149</v>
      </c>
      <c r="R1405" s="173">
        <f t="shared" si="79"/>
        <v>0</v>
      </c>
    </row>
    <row r="1406" spans="1:18" ht="14" hidden="1">
      <c r="A1406" s="78" t="s">
        <v>2682</v>
      </c>
      <c r="B1406" s="220" t="s">
        <v>946</v>
      </c>
      <c r="C1406" s="185"/>
      <c r="D1406" s="103" t="str">
        <f>VLOOKUP(B1406, 'All Menu'!B:M, 4, 0)</f>
        <v>مجرمشة / الحبة</v>
      </c>
      <c r="E1406" s="30" t="str">
        <f>VLOOKUP(B1406, 'All Menu'!B:M, 2, 0)</f>
        <v>قسم الفرن</v>
      </c>
      <c r="F1406" s="103" t="str">
        <f>VLOOKUP(B1406, 'All Menu'!B:M, 3, 0)</f>
        <v>عجين سفري</v>
      </c>
      <c r="G1406" s="90" t="s">
        <v>2200</v>
      </c>
      <c r="H1406" s="188">
        <v>4351</v>
      </c>
      <c r="I1406" s="110" t="str">
        <f>VLOOKUP(H1406, 'RM &amp; SF'!B:H, 2, 0)</f>
        <v>صحن كرتون مستطيل مسلفر 1 كغ (رقم 2)*****</v>
      </c>
      <c r="J1406" s="184" t="str">
        <f>VLOOKUP(H1406, 'RM &amp; SF'!B:E, 4, 0)</f>
        <v>قطعة</v>
      </c>
      <c r="K1406" s="12">
        <v>1</v>
      </c>
      <c r="L1406" s="13">
        <f>VLOOKUP(H1406, 'RM &amp; SF'!B:H, 7, 0)</f>
        <v>3.8699999999999998E-2</v>
      </c>
      <c r="M1406" s="7">
        <f t="shared" si="78"/>
        <v>3.8699999999999998E-2</v>
      </c>
      <c r="N1406" s="4" t="s">
        <v>825</v>
      </c>
      <c r="O1406" s="4">
        <f>VLOOKUP(B1406, 'All Menu'!B:L, 6, 0)</f>
        <v>1.5086206896551726</v>
      </c>
      <c r="P1406" s="6">
        <f>VLOOKUP(B1406, 'All Menu'!B:L, 9, 0)</f>
        <v>1.2469414581719958</v>
      </c>
      <c r="Q1406" s="14">
        <f>VLOOKUP(B1406, 'All Menu'!B:M, 12, 0)</f>
        <v>0.17345594772599149</v>
      </c>
      <c r="R1406" s="173">
        <f t="shared" si="79"/>
        <v>0</v>
      </c>
    </row>
    <row r="1407" spans="1:18" ht="14" hidden="1">
      <c r="A1407" s="78" t="s">
        <v>2682</v>
      </c>
      <c r="B1407" s="220" t="s">
        <v>946</v>
      </c>
      <c r="C1407" s="185"/>
      <c r="D1407" s="103" t="str">
        <f>VLOOKUP(B1407, 'All Menu'!B:M, 4, 0)</f>
        <v>مجرمشة / الحبة</v>
      </c>
      <c r="E1407" s="30" t="str">
        <f>VLOOKUP(B1407, 'All Menu'!B:M, 2, 0)</f>
        <v>قسم الفرن</v>
      </c>
      <c r="F1407" s="103" t="str">
        <f>VLOOKUP(B1407, 'All Menu'!B:M, 3, 0)</f>
        <v>عجين سفري</v>
      </c>
      <c r="G1407" s="90" t="s">
        <v>2192</v>
      </c>
      <c r="H1407" s="188">
        <v>4298</v>
      </c>
      <c r="I1407" s="110" t="str">
        <f>VLOOKUP(H1407, 'RM &amp; SF'!B:H, 2, 0)</f>
        <v>اكياس ساندويش ورقية مطبوع 22 سم*42 سم 1*100 حبة*****</v>
      </c>
      <c r="J1407" s="184" t="str">
        <f>VLOOKUP(H1407, 'RM &amp; SF'!B:E, 4, 0)</f>
        <v>قطعة</v>
      </c>
      <c r="K1407" s="12">
        <v>1</v>
      </c>
      <c r="L1407" s="13">
        <f>VLOOKUP(H1407, 'RM &amp; SF'!B:H, 7, 0)</f>
        <v>2.3699999999999999E-2</v>
      </c>
      <c r="M1407" s="7">
        <f t="shared" si="78"/>
        <v>2.3699999999999999E-2</v>
      </c>
      <c r="N1407" s="4" t="s">
        <v>825</v>
      </c>
      <c r="O1407" s="4">
        <f>VLOOKUP(B1407, 'All Menu'!B:L, 6, 0)</f>
        <v>1.5086206896551726</v>
      </c>
      <c r="P1407" s="6">
        <f>VLOOKUP(B1407, 'All Menu'!B:L, 9, 0)</f>
        <v>1.2469414581719958</v>
      </c>
      <c r="Q1407" s="14">
        <f>VLOOKUP(B1407, 'All Menu'!B:M, 12, 0)</f>
        <v>0.17345594772599149</v>
      </c>
      <c r="R1407" s="173">
        <f t="shared" si="79"/>
        <v>0</v>
      </c>
    </row>
    <row r="1408" spans="1:18" ht="14" hidden="1">
      <c r="A1408" s="78" t="s">
        <v>2682</v>
      </c>
      <c r="B1408" s="220" t="s">
        <v>946</v>
      </c>
      <c r="C1408" s="185"/>
      <c r="D1408" s="103" t="str">
        <f>VLOOKUP(B1408, 'All Menu'!B:M, 4, 0)</f>
        <v>مجرمشة / الحبة</v>
      </c>
      <c r="E1408" s="30" t="str">
        <f>VLOOKUP(B1408, 'All Menu'!B:M, 2, 0)</f>
        <v>قسم الفرن</v>
      </c>
      <c r="F1408" s="103" t="str">
        <f>VLOOKUP(B1408, 'All Menu'!B:M, 3, 0)</f>
        <v>عجين سفري</v>
      </c>
      <c r="G1408" s="90" t="s">
        <v>3058</v>
      </c>
      <c r="H1408" s="188">
        <v>4311</v>
      </c>
      <c r="I1408" s="110" t="str">
        <f>VLOOKUP(H1408, 'RM &amp; SF'!B:H, 2, 0)</f>
        <v>ورق بلاستيك (شرحات نايلون)*****</v>
      </c>
      <c r="J1408" s="184" t="str">
        <f>VLOOKUP(H1408, 'RM &amp; SF'!B:E, 4, 0)</f>
        <v>قطعة</v>
      </c>
      <c r="K1408" s="12">
        <v>1</v>
      </c>
      <c r="L1408" s="13">
        <f>VLOOKUP(H1408, 'RM &amp; SF'!B:H, 7, 0)</f>
        <v>1.75E-3</v>
      </c>
      <c r="M1408" s="7">
        <f t="shared" si="78"/>
        <v>1.75E-3</v>
      </c>
      <c r="N1408" s="4" t="s">
        <v>825</v>
      </c>
      <c r="O1408" s="4">
        <f>VLOOKUP(B1408, 'All Menu'!B:L, 6, 0)</f>
        <v>1.5086206896551726</v>
      </c>
      <c r="P1408" s="6">
        <f>VLOOKUP(B1408, 'All Menu'!B:L, 9, 0)</f>
        <v>1.2469414581719958</v>
      </c>
      <c r="Q1408" s="14">
        <f>VLOOKUP(B1408, 'All Menu'!B:M, 12, 0)</f>
        <v>0.17345594772599149</v>
      </c>
      <c r="R1408" s="173">
        <f t="shared" si="79"/>
        <v>0</v>
      </c>
    </row>
    <row r="1409" spans="1:18" ht="14" hidden="1">
      <c r="A1409" s="78" t="s">
        <v>2689</v>
      </c>
      <c r="B1409" s="220" t="s">
        <v>948</v>
      </c>
      <c r="C1409" s="185"/>
      <c r="D1409" s="103" t="str">
        <f>VLOOKUP(B1409, 'All Menu'!B:M, 4, 0)</f>
        <v>بيتزا الفريدو</v>
      </c>
      <c r="E1409" s="30" t="str">
        <f>VLOOKUP(B1409, 'All Menu'!B:M, 2, 0)</f>
        <v>قسم الفرن</v>
      </c>
      <c r="F1409" s="103" t="str">
        <f>VLOOKUP(B1409, 'All Menu'!B:M, 3, 0)</f>
        <v>عجين سفري</v>
      </c>
      <c r="G1409" s="90" t="s">
        <v>2333</v>
      </c>
      <c r="H1409" s="219" t="s">
        <v>498</v>
      </c>
      <c r="I1409" s="110" t="str">
        <f>VLOOKUP(H1409, 'RM &amp; SF'!B:H, 2, 0)</f>
        <v>عجين الصفيحة والمناقيش</v>
      </c>
      <c r="J1409" s="184" t="str">
        <f>VLOOKUP(H1409, 'RM &amp; SF'!B:E, 4, 0)</f>
        <v>غم</v>
      </c>
      <c r="K1409" s="12">
        <v>450</v>
      </c>
      <c r="L1409" s="13">
        <f>VLOOKUP(H1409, 'RM &amp; SF'!B:H, 7, 0)</f>
        <v>4.659980972150147E-4</v>
      </c>
      <c r="M1409" s="7">
        <f t="shared" si="78"/>
        <v>0.20969914374675661</v>
      </c>
      <c r="N1409" s="4" t="s">
        <v>825</v>
      </c>
      <c r="O1409" s="4">
        <f>VLOOKUP(B1409, 'All Menu'!B:L, 6, 0)</f>
        <v>4.7413793103448283</v>
      </c>
      <c r="P1409" s="6">
        <f>VLOOKUP(B1409, 'All Menu'!B:L, 9, 0)</f>
        <v>1.8743774591589428</v>
      </c>
      <c r="Q1409" s="14">
        <f>VLOOKUP(B1409, 'All Menu'!B:M, 12, 0)</f>
        <v>0.6046767540682958</v>
      </c>
      <c r="R1409" s="173">
        <f t="shared" si="79"/>
        <v>0</v>
      </c>
    </row>
    <row r="1410" spans="1:18" ht="14" hidden="1">
      <c r="A1410" s="78" t="s">
        <v>2689</v>
      </c>
      <c r="B1410" s="220" t="s">
        <v>948</v>
      </c>
      <c r="C1410" s="185"/>
      <c r="D1410" s="103" t="str">
        <f>VLOOKUP(B1410, 'All Menu'!B:M, 4, 0)</f>
        <v>بيتزا الفريدو</v>
      </c>
      <c r="E1410" s="30" t="str">
        <f>VLOOKUP(B1410, 'All Menu'!B:M, 2, 0)</f>
        <v>قسم الفرن</v>
      </c>
      <c r="F1410" s="103" t="str">
        <f>VLOOKUP(B1410, 'All Menu'!B:M, 3, 0)</f>
        <v>عجين سفري</v>
      </c>
      <c r="G1410" s="90" t="s">
        <v>2173</v>
      </c>
      <c r="H1410" s="188">
        <v>4624</v>
      </c>
      <c r="I1410" s="110" t="str">
        <f>VLOOKUP(H1410, 'RM &amp; SF'!B:H, 2, 0)</f>
        <v>جبنة موزريلا قالب 2.380 كغ*****</v>
      </c>
      <c r="J1410" s="184" t="str">
        <f>VLOOKUP(H1410, 'RM &amp; SF'!B:E, 4, 0)</f>
        <v>غم</v>
      </c>
      <c r="K1410" s="12">
        <v>150</v>
      </c>
      <c r="L1410" s="13">
        <f>VLOOKUP(H1410, 'RM &amp; SF'!B:H, 7, 0)</f>
        <v>5.1749999999999999E-3</v>
      </c>
      <c r="M1410" s="7">
        <f t="shared" si="78"/>
        <v>0.77625</v>
      </c>
      <c r="N1410" s="4" t="s">
        <v>825</v>
      </c>
      <c r="O1410" s="4">
        <f>VLOOKUP(B1410, 'All Menu'!B:L, 6, 0)</f>
        <v>4.7413793103448283</v>
      </c>
      <c r="P1410" s="6">
        <f>VLOOKUP(B1410, 'All Menu'!B:L, 9, 0)</f>
        <v>1.8743774591589428</v>
      </c>
      <c r="Q1410" s="14">
        <f>VLOOKUP(B1410, 'All Menu'!B:M, 12, 0)</f>
        <v>0.6046767540682958</v>
      </c>
      <c r="R1410" s="173">
        <f t="shared" si="79"/>
        <v>0</v>
      </c>
    </row>
    <row r="1411" spans="1:18" ht="14" hidden="1">
      <c r="A1411" s="78" t="s">
        <v>2689</v>
      </c>
      <c r="B1411" s="220" t="s">
        <v>948</v>
      </c>
      <c r="C1411" s="185"/>
      <c r="D1411" s="103" t="str">
        <f>VLOOKUP(B1411, 'All Menu'!B:M, 4, 0)</f>
        <v>بيتزا الفريدو</v>
      </c>
      <c r="E1411" s="30" t="str">
        <f>VLOOKUP(B1411, 'All Menu'!B:M, 2, 0)</f>
        <v>قسم الفرن</v>
      </c>
      <c r="F1411" s="103" t="str">
        <f>VLOOKUP(B1411, 'All Menu'!B:M, 3, 0)</f>
        <v>عجين سفري</v>
      </c>
      <c r="G1411" s="90" t="s">
        <v>2419</v>
      </c>
      <c r="H1411" s="219" t="s">
        <v>618</v>
      </c>
      <c r="I1411" s="110" t="str">
        <f>VLOOKUP(H1411, 'RM &amp; SF'!B:H, 2, 0)</f>
        <v>صوص الفريدو</v>
      </c>
      <c r="J1411" s="184" t="str">
        <f>VLOOKUP(H1411, 'RM &amp; SF'!B:E, 4, 0)</f>
        <v>غم</v>
      </c>
      <c r="K1411" s="12">
        <v>200</v>
      </c>
      <c r="L1411" s="13">
        <f>VLOOKUP(H1411, 'RM &amp; SF'!B:H, 7, 0)</f>
        <v>3.8421415770609315E-3</v>
      </c>
      <c r="M1411" s="7">
        <f t="shared" si="78"/>
        <v>0.76842831541218626</v>
      </c>
      <c r="N1411" s="4" t="s">
        <v>825</v>
      </c>
      <c r="O1411" s="4">
        <f>VLOOKUP(B1411, 'All Menu'!B:L, 6, 0)</f>
        <v>4.7413793103448283</v>
      </c>
      <c r="P1411" s="6">
        <f>VLOOKUP(B1411, 'All Menu'!B:L, 9, 0)</f>
        <v>1.8743774591589428</v>
      </c>
      <c r="Q1411" s="14">
        <f>VLOOKUP(B1411, 'All Menu'!B:M, 12, 0)</f>
        <v>0.6046767540682958</v>
      </c>
      <c r="R1411" s="173">
        <f t="shared" si="79"/>
        <v>0</v>
      </c>
    </row>
    <row r="1412" spans="1:18" ht="14" hidden="1">
      <c r="A1412" s="78" t="s">
        <v>2689</v>
      </c>
      <c r="B1412" s="220" t="s">
        <v>948</v>
      </c>
      <c r="C1412" s="185"/>
      <c r="D1412" s="103" t="str">
        <f>VLOOKUP(B1412, 'All Menu'!B:M, 4, 0)</f>
        <v>بيتزا الفريدو</v>
      </c>
      <c r="E1412" s="30" t="str">
        <f>VLOOKUP(B1412, 'All Menu'!B:M, 2, 0)</f>
        <v>قسم الفرن</v>
      </c>
      <c r="F1412" s="103" t="str">
        <f>VLOOKUP(B1412, 'All Menu'!B:M, 3, 0)</f>
        <v>عجين سفري</v>
      </c>
      <c r="G1412" s="90" t="s">
        <v>2189</v>
      </c>
      <c r="H1412" s="188">
        <v>4277</v>
      </c>
      <c r="I1412" s="110" t="str">
        <f>VLOOKUP(H1412, 'RM &amp; SF'!B:H, 2, 0)</f>
        <v>علب بيتزا كرتون الطبعة العامة رقم 4 1*50 حبة*****</v>
      </c>
      <c r="J1412" s="184" t="str">
        <f>VLOOKUP(H1412, 'RM &amp; SF'!B:E, 4, 0)</f>
        <v>قطعة</v>
      </c>
      <c r="K1412" s="12">
        <v>1</v>
      </c>
      <c r="L1412" s="13">
        <f>VLOOKUP(H1412, 'RM &amp; SF'!B:H, 7, 0)</f>
        <v>0.12</v>
      </c>
      <c r="M1412" s="7">
        <f t="shared" si="78"/>
        <v>0.12</v>
      </c>
      <c r="N1412" s="4" t="s">
        <v>825</v>
      </c>
      <c r="O1412" s="4">
        <f>VLOOKUP(B1412, 'All Menu'!B:L, 6, 0)</f>
        <v>4.7413793103448283</v>
      </c>
      <c r="P1412" s="6">
        <f>VLOOKUP(B1412, 'All Menu'!B:L, 9, 0)</f>
        <v>1.8743774591589428</v>
      </c>
      <c r="Q1412" s="14">
        <f>VLOOKUP(B1412, 'All Menu'!B:M, 12, 0)</f>
        <v>0.6046767540682958</v>
      </c>
      <c r="R1412" s="173">
        <f t="shared" si="79"/>
        <v>0</v>
      </c>
    </row>
    <row r="1413" spans="1:18" ht="14" hidden="1">
      <c r="A1413" s="78" t="s">
        <v>2694</v>
      </c>
      <c r="B1413" s="220" t="s">
        <v>949</v>
      </c>
      <c r="C1413" s="185"/>
      <c r="D1413" s="103" t="str">
        <f>VLOOKUP(B1413, 'All Menu'!B:M, 4, 0)</f>
        <v>بيتزا الفصول الاربعه</v>
      </c>
      <c r="E1413" s="30" t="str">
        <f>VLOOKUP(B1413, 'All Menu'!B:M, 2, 0)</f>
        <v>قسم الفرن</v>
      </c>
      <c r="F1413" s="103" t="str">
        <f>VLOOKUP(B1413, 'All Menu'!B:M, 3, 0)</f>
        <v>عجين سفري</v>
      </c>
      <c r="G1413" s="90" t="s">
        <v>2333</v>
      </c>
      <c r="H1413" s="219" t="s">
        <v>498</v>
      </c>
      <c r="I1413" s="110" t="str">
        <f>VLOOKUP(H1413, 'RM &amp; SF'!B:H, 2, 0)</f>
        <v>عجين الصفيحة والمناقيش</v>
      </c>
      <c r="J1413" s="184" t="str">
        <f>VLOOKUP(H1413, 'RM &amp; SF'!B:E, 4, 0)</f>
        <v>غم</v>
      </c>
      <c r="K1413" s="12">
        <v>450</v>
      </c>
      <c r="L1413" s="13">
        <f>VLOOKUP(H1413, 'RM &amp; SF'!B:H, 7, 0)</f>
        <v>4.659980972150147E-4</v>
      </c>
      <c r="M1413" s="7">
        <f t="shared" si="78"/>
        <v>0.20969914374675661</v>
      </c>
      <c r="N1413" s="4" t="s">
        <v>825</v>
      </c>
      <c r="O1413" s="4">
        <f>VLOOKUP(B1413, 'All Menu'!B:L, 6, 0)</f>
        <v>5.1724137931034484</v>
      </c>
      <c r="P1413" s="6">
        <f>VLOOKUP(B1413, 'All Menu'!B:L, 9, 0)</f>
        <v>1.4892997767614382</v>
      </c>
      <c r="Q1413" s="14">
        <f>VLOOKUP(B1413, 'All Menu'!B:M, 12, 0)</f>
        <v>0.71206870982612192</v>
      </c>
      <c r="R1413" s="173">
        <f t="shared" si="79"/>
        <v>0</v>
      </c>
    </row>
    <row r="1414" spans="1:18" ht="14" hidden="1">
      <c r="A1414" s="78" t="s">
        <v>2694</v>
      </c>
      <c r="B1414" s="220" t="s">
        <v>949</v>
      </c>
      <c r="C1414" s="185"/>
      <c r="D1414" s="103" t="str">
        <f>VLOOKUP(B1414, 'All Menu'!B:M, 4, 0)</f>
        <v>بيتزا الفصول الاربعه</v>
      </c>
      <c r="E1414" s="30" t="str">
        <f>VLOOKUP(B1414, 'All Menu'!B:M, 2, 0)</f>
        <v>قسم الفرن</v>
      </c>
      <c r="F1414" s="103" t="str">
        <f>VLOOKUP(B1414, 'All Menu'!B:M, 3, 0)</f>
        <v>عجين سفري</v>
      </c>
      <c r="G1414" s="90" t="s">
        <v>3058</v>
      </c>
      <c r="H1414" s="188">
        <v>4079</v>
      </c>
      <c r="I1414" s="110" t="str">
        <f>VLOOKUP(H1414, 'RM &amp; SF'!B:H, 2, 0)</f>
        <v>بيتزا صوص 4.100 كغ*****</v>
      </c>
      <c r="J1414" s="184" t="str">
        <f>VLOOKUP(H1414, 'RM &amp; SF'!B:E, 4, 0)</f>
        <v>غم</v>
      </c>
      <c r="K1414" s="12">
        <v>70</v>
      </c>
      <c r="L1414" s="13">
        <f>VLOOKUP(H1414, 'RM &amp; SF'!B:H, 7, 0)</f>
        <v>1.4017365853658537E-3</v>
      </c>
      <c r="M1414" s="7">
        <f t="shared" si="78"/>
        <v>9.8121560975609756E-2</v>
      </c>
      <c r="N1414" s="4" t="s">
        <v>825</v>
      </c>
      <c r="O1414" s="4">
        <f>VLOOKUP(B1414, 'All Menu'!B:L, 6, 0)</f>
        <v>5.1724137931034484</v>
      </c>
      <c r="P1414" s="6">
        <f>VLOOKUP(B1414, 'All Menu'!B:L, 9, 0)</f>
        <v>1.4892997767614382</v>
      </c>
      <c r="Q1414" s="14">
        <f>VLOOKUP(B1414, 'All Menu'!B:M, 12, 0)</f>
        <v>0.71206870982612192</v>
      </c>
      <c r="R1414" s="173">
        <f t="shared" si="79"/>
        <v>0</v>
      </c>
    </row>
    <row r="1415" spans="1:18" ht="14" hidden="1">
      <c r="A1415" s="78" t="s">
        <v>2694</v>
      </c>
      <c r="B1415" s="220" t="s">
        <v>949</v>
      </c>
      <c r="C1415" s="185"/>
      <c r="D1415" s="103" t="str">
        <f>VLOOKUP(B1415, 'All Menu'!B:M, 4, 0)</f>
        <v>بيتزا الفصول الاربعه</v>
      </c>
      <c r="E1415" s="30" t="str">
        <f>VLOOKUP(B1415, 'All Menu'!B:M, 2, 0)</f>
        <v>قسم الفرن</v>
      </c>
      <c r="F1415" s="103" t="str">
        <f>VLOOKUP(B1415, 'All Menu'!B:M, 3, 0)</f>
        <v>عجين سفري</v>
      </c>
      <c r="G1415" s="90" t="s">
        <v>2173</v>
      </c>
      <c r="H1415" s="188">
        <v>4624</v>
      </c>
      <c r="I1415" s="110" t="str">
        <f>VLOOKUP(H1415, 'RM &amp; SF'!B:H, 2, 0)</f>
        <v>جبنة موزريلا قالب 2.380 كغ*****</v>
      </c>
      <c r="J1415" s="184" t="str">
        <f>VLOOKUP(H1415, 'RM &amp; SF'!B:E, 4, 0)</f>
        <v>غم</v>
      </c>
      <c r="K1415" s="12">
        <v>150</v>
      </c>
      <c r="L1415" s="13">
        <f>VLOOKUP(H1415, 'RM &amp; SF'!B:H, 7, 0)</f>
        <v>5.1749999999999999E-3</v>
      </c>
      <c r="M1415" s="7">
        <f t="shared" si="78"/>
        <v>0.77625</v>
      </c>
      <c r="N1415" s="4" t="s">
        <v>825</v>
      </c>
      <c r="O1415" s="4">
        <f>VLOOKUP(B1415, 'All Menu'!B:L, 6, 0)</f>
        <v>5.1724137931034484</v>
      </c>
      <c r="P1415" s="6">
        <f>VLOOKUP(B1415, 'All Menu'!B:L, 9, 0)</f>
        <v>1.4892997767614382</v>
      </c>
      <c r="Q1415" s="14">
        <f>VLOOKUP(B1415, 'All Menu'!B:M, 12, 0)</f>
        <v>0.71206870982612192</v>
      </c>
      <c r="R1415" s="173">
        <f t="shared" si="79"/>
        <v>0</v>
      </c>
    </row>
    <row r="1416" spans="1:18" ht="14" hidden="1">
      <c r="A1416" s="78" t="s">
        <v>2694</v>
      </c>
      <c r="B1416" s="220" t="s">
        <v>949</v>
      </c>
      <c r="C1416" s="185"/>
      <c r="D1416" s="103" t="str">
        <f>VLOOKUP(B1416, 'All Menu'!B:M, 4, 0)</f>
        <v>بيتزا الفصول الاربعه</v>
      </c>
      <c r="E1416" s="30" t="str">
        <f>VLOOKUP(B1416, 'All Menu'!B:M, 2, 0)</f>
        <v>قسم الفرن</v>
      </c>
      <c r="F1416" s="103" t="str">
        <f>VLOOKUP(B1416, 'All Menu'!B:M, 3, 0)</f>
        <v>عجين سفري</v>
      </c>
      <c r="G1416" s="90" t="s">
        <v>2270</v>
      </c>
      <c r="H1416" s="188">
        <v>4030</v>
      </c>
      <c r="I1416" s="110" t="str">
        <f>VLOOKUP(H1416, 'RM &amp; SF'!B:H, 2, 0)</f>
        <v>*****فطر مقطع 400غم</v>
      </c>
      <c r="J1416" s="184" t="str">
        <f>VLOOKUP(H1416, 'RM &amp; SF'!B:E, 4, 0)</f>
        <v>غم</v>
      </c>
      <c r="K1416" s="12">
        <v>25</v>
      </c>
      <c r="L1416" s="13">
        <f>VLOOKUP(H1416, 'RM &amp; SF'!B:H, 7, 0)</f>
        <v>3.0000000000000001E-3</v>
      </c>
      <c r="M1416" s="7">
        <f t="shared" si="78"/>
        <v>7.4999999999999997E-2</v>
      </c>
      <c r="N1416" s="4" t="s">
        <v>825</v>
      </c>
      <c r="O1416" s="4">
        <f>VLOOKUP(B1416, 'All Menu'!B:L, 6, 0)</f>
        <v>5.1724137931034484</v>
      </c>
      <c r="P1416" s="6">
        <f>VLOOKUP(B1416, 'All Menu'!B:L, 9, 0)</f>
        <v>1.4892997767614382</v>
      </c>
      <c r="Q1416" s="14">
        <f>VLOOKUP(B1416, 'All Menu'!B:M, 12, 0)</f>
        <v>0.71206870982612192</v>
      </c>
      <c r="R1416" s="173">
        <f t="shared" si="79"/>
        <v>0</v>
      </c>
    </row>
    <row r="1417" spans="1:18" ht="14" hidden="1">
      <c r="A1417" s="78" t="s">
        <v>2694</v>
      </c>
      <c r="B1417" s="220" t="s">
        <v>949</v>
      </c>
      <c r="C1417" s="185"/>
      <c r="D1417" s="103" t="str">
        <f>VLOOKUP(B1417, 'All Menu'!B:M, 4, 0)</f>
        <v>بيتزا الفصول الاربعه</v>
      </c>
      <c r="E1417" s="30" t="str">
        <f>VLOOKUP(B1417, 'All Menu'!B:M, 2, 0)</f>
        <v>قسم الفرن</v>
      </c>
      <c r="F1417" s="103" t="str">
        <f>VLOOKUP(B1417, 'All Menu'!B:M, 3, 0)</f>
        <v>عجين سفري</v>
      </c>
      <c r="G1417" s="90" t="s">
        <v>3058</v>
      </c>
      <c r="H1417" s="188">
        <v>4074</v>
      </c>
      <c r="I1417" s="110" t="str">
        <f>VLOOKUP(H1417, 'RM &amp; SF'!B:H, 2, 0)</f>
        <v>زيتون اسود شرائح 4.200 كغ*****</v>
      </c>
      <c r="J1417" s="184" t="str">
        <f>VLOOKUP(H1417, 'RM &amp; SF'!B:E, 4, 0)</f>
        <v>غم</v>
      </c>
      <c r="K1417" s="12">
        <v>60</v>
      </c>
      <c r="L1417" s="13">
        <f>VLOOKUP(H1417, 'RM &amp; SF'!B:H, 7, 0)</f>
        <v>1.5211640211640213E-3</v>
      </c>
      <c r="M1417" s="7">
        <f t="shared" si="78"/>
        <v>9.1269841269841279E-2</v>
      </c>
      <c r="N1417" s="4" t="s">
        <v>825</v>
      </c>
      <c r="O1417" s="4">
        <f>VLOOKUP(B1417, 'All Menu'!B:L, 6, 0)</f>
        <v>5.1724137931034484</v>
      </c>
      <c r="P1417" s="6">
        <f>VLOOKUP(B1417, 'All Menu'!B:L, 9, 0)</f>
        <v>1.4892997767614382</v>
      </c>
      <c r="Q1417" s="14">
        <f>VLOOKUP(B1417, 'All Menu'!B:M, 12, 0)</f>
        <v>0.71206870982612192</v>
      </c>
      <c r="R1417" s="173">
        <f t="shared" si="79"/>
        <v>0</v>
      </c>
    </row>
    <row r="1418" spans="1:18" ht="14" hidden="1">
      <c r="A1418" s="78" t="s">
        <v>2694</v>
      </c>
      <c r="B1418" s="220" t="s">
        <v>949</v>
      </c>
      <c r="C1418" s="185"/>
      <c r="D1418" s="103" t="str">
        <f>VLOOKUP(B1418, 'All Menu'!B:M, 4, 0)</f>
        <v>بيتزا الفصول الاربعه</v>
      </c>
      <c r="E1418" s="30" t="str">
        <f>VLOOKUP(B1418, 'All Menu'!B:M, 2, 0)</f>
        <v>قسم الفرن</v>
      </c>
      <c r="F1418" s="103" t="str">
        <f>VLOOKUP(B1418, 'All Menu'!B:M, 3, 0)</f>
        <v>عجين سفري</v>
      </c>
      <c r="G1418" s="90" t="s">
        <v>3058</v>
      </c>
      <c r="H1418" s="188">
        <v>4634</v>
      </c>
      <c r="I1418" s="110" t="str">
        <f>VLOOKUP(H1418, 'RM &amp; SF'!B:H, 2, 0)</f>
        <v>سلامي بقري 1 كغ*****</v>
      </c>
      <c r="J1418" s="184" t="str">
        <f>VLOOKUP(H1418, 'RM &amp; SF'!B:E, 4, 0)</f>
        <v>غم</v>
      </c>
      <c r="K1418" s="12">
        <v>20</v>
      </c>
      <c r="L1418" s="13">
        <f>VLOOKUP(H1418, 'RM &amp; SF'!B:H, 7, 0)</f>
        <v>2.0670000000000003E-3</v>
      </c>
      <c r="M1418" s="7">
        <f t="shared" si="78"/>
        <v>4.1340000000000002E-2</v>
      </c>
      <c r="N1418" s="4" t="s">
        <v>825</v>
      </c>
      <c r="O1418" s="4">
        <f>VLOOKUP(B1418, 'All Menu'!B:L, 6, 0)</f>
        <v>5.1724137931034484</v>
      </c>
      <c r="P1418" s="6">
        <f>VLOOKUP(B1418, 'All Menu'!B:L, 9, 0)</f>
        <v>1.4892997767614382</v>
      </c>
      <c r="Q1418" s="14">
        <f>VLOOKUP(B1418, 'All Menu'!B:M, 12, 0)</f>
        <v>0.71206870982612192</v>
      </c>
      <c r="R1418" s="173">
        <f t="shared" si="79"/>
        <v>0</v>
      </c>
    </row>
    <row r="1419" spans="1:18" ht="14" hidden="1">
      <c r="A1419" s="78" t="s">
        <v>2694</v>
      </c>
      <c r="B1419" s="220" t="s">
        <v>949</v>
      </c>
      <c r="C1419" s="185"/>
      <c r="D1419" s="103" t="str">
        <f>VLOOKUP(B1419, 'All Menu'!B:M, 4, 0)</f>
        <v>بيتزا الفصول الاربعه</v>
      </c>
      <c r="E1419" s="30" t="str">
        <f>VLOOKUP(B1419, 'All Menu'!B:M, 2, 0)</f>
        <v>قسم الفرن</v>
      </c>
      <c r="F1419" s="103" t="str">
        <f>VLOOKUP(B1419, 'All Menu'!B:M, 3, 0)</f>
        <v>عجين سفري</v>
      </c>
      <c r="G1419" s="90" t="s">
        <v>2262</v>
      </c>
      <c r="H1419" s="188">
        <v>4633</v>
      </c>
      <c r="I1419" s="110" t="str">
        <f>VLOOKUP(H1419, 'RM &amp; SF'!B:H, 2, 0)</f>
        <v>تيركي 500 غم*****</v>
      </c>
      <c r="J1419" s="184" t="str">
        <f>VLOOKUP(H1419, 'RM &amp; SF'!B:E, 4, 0)</f>
        <v>غم</v>
      </c>
      <c r="K1419" s="12">
        <v>15</v>
      </c>
      <c r="L1419" s="13">
        <f>VLOOKUP(H1419, 'RM &amp; SF'!B:H, 7, 0)</f>
        <v>4.1346153846153842E-3</v>
      </c>
      <c r="M1419" s="7">
        <f t="shared" si="78"/>
        <v>6.2019230769230764E-2</v>
      </c>
      <c r="N1419" s="4" t="s">
        <v>825</v>
      </c>
      <c r="O1419" s="4">
        <f>VLOOKUP(B1419, 'All Menu'!B:L, 6, 0)</f>
        <v>5.1724137931034484</v>
      </c>
      <c r="P1419" s="6">
        <f>VLOOKUP(B1419, 'All Menu'!B:L, 9, 0)</f>
        <v>1.4892997767614382</v>
      </c>
      <c r="Q1419" s="14">
        <f>VLOOKUP(B1419, 'All Menu'!B:M, 12, 0)</f>
        <v>0.71206870982612192</v>
      </c>
      <c r="R1419" s="173">
        <f t="shared" si="79"/>
        <v>0</v>
      </c>
    </row>
    <row r="1420" spans="1:18" ht="14" hidden="1">
      <c r="A1420" s="78" t="s">
        <v>2694</v>
      </c>
      <c r="B1420" s="220" t="s">
        <v>949</v>
      </c>
      <c r="C1420" s="185"/>
      <c r="D1420" s="103" t="str">
        <f>VLOOKUP(B1420, 'All Menu'!B:M, 4, 0)</f>
        <v>بيتزا الفصول الاربعه</v>
      </c>
      <c r="E1420" s="30" t="str">
        <f>VLOOKUP(B1420, 'All Menu'!B:M, 2, 0)</f>
        <v>قسم الفرن</v>
      </c>
      <c r="F1420" s="103" t="str">
        <f>VLOOKUP(B1420, 'All Menu'!B:M, 3, 0)</f>
        <v>عجين سفري</v>
      </c>
      <c r="G1420" s="90" t="s">
        <v>2189</v>
      </c>
      <c r="H1420" s="188">
        <v>4277</v>
      </c>
      <c r="I1420" s="110" t="str">
        <f>VLOOKUP(H1420, 'RM &amp; SF'!B:H, 2, 0)</f>
        <v>علب بيتزا كرتون الطبعة العامة رقم 4 1*50 حبة*****</v>
      </c>
      <c r="J1420" s="184" t="str">
        <f>VLOOKUP(H1420, 'RM &amp; SF'!B:E, 4, 0)</f>
        <v>قطعة</v>
      </c>
      <c r="K1420" s="12">
        <v>1</v>
      </c>
      <c r="L1420" s="13">
        <f>VLOOKUP(H1420, 'RM &amp; SF'!B:H, 7, 0)</f>
        <v>0.12</v>
      </c>
      <c r="M1420" s="7">
        <f t="shared" si="78"/>
        <v>0.12</v>
      </c>
      <c r="N1420" s="4" t="s">
        <v>825</v>
      </c>
      <c r="O1420" s="4">
        <f>VLOOKUP(B1420, 'All Menu'!B:L, 6, 0)</f>
        <v>5.1724137931034484</v>
      </c>
      <c r="P1420" s="6">
        <f>VLOOKUP(B1420, 'All Menu'!B:L, 9, 0)</f>
        <v>1.4892997767614382</v>
      </c>
      <c r="Q1420" s="14">
        <f>VLOOKUP(B1420, 'All Menu'!B:M, 12, 0)</f>
        <v>0.71206870982612192</v>
      </c>
      <c r="R1420" s="173">
        <f t="shared" si="79"/>
        <v>0</v>
      </c>
    </row>
    <row r="1421" spans="1:18" ht="14" hidden="1">
      <c r="A1421" s="78" t="s">
        <v>2694</v>
      </c>
      <c r="B1421" s="220" t="s">
        <v>949</v>
      </c>
      <c r="C1421" s="185"/>
      <c r="D1421" s="103" t="str">
        <f>VLOOKUP(B1421, 'All Menu'!B:M, 4, 0)</f>
        <v>بيتزا الفصول الاربعه</v>
      </c>
      <c r="E1421" s="30" t="str">
        <f>VLOOKUP(B1421, 'All Menu'!B:M, 2, 0)</f>
        <v>قسم الفرن</v>
      </c>
      <c r="F1421" s="103" t="str">
        <f>VLOOKUP(B1421, 'All Menu'!B:M, 3, 0)</f>
        <v>عجين سفري</v>
      </c>
      <c r="G1421" s="90" t="s">
        <v>2232</v>
      </c>
      <c r="H1421" s="188">
        <v>4500</v>
      </c>
      <c r="I1421" s="110" t="str">
        <f>VLOOKUP(H1421, 'RM &amp; SF'!B:H, 2, 0)</f>
        <v>فلفل حلو اخضر*****</v>
      </c>
      <c r="J1421" s="184" t="str">
        <f>VLOOKUP(H1421, 'RM &amp; SF'!B:E, 4, 0)</f>
        <v>غم</v>
      </c>
      <c r="K1421" s="12">
        <v>20</v>
      </c>
      <c r="L1421" s="13">
        <f>VLOOKUP(H1421, 'RM &amp; SF'!B:H, 7, 0)</f>
        <v>7.7999999999999999E-4</v>
      </c>
      <c r="M1421" s="7">
        <f t="shared" si="78"/>
        <v>1.5599999999999999E-2</v>
      </c>
      <c r="N1421" s="4" t="s">
        <v>825</v>
      </c>
      <c r="O1421" s="4">
        <f>VLOOKUP(B1421, 'All Menu'!B:L, 6, 0)</f>
        <v>5.1724137931034484</v>
      </c>
      <c r="P1421" s="6">
        <f>VLOOKUP(B1421, 'All Menu'!B:L, 9, 0)</f>
        <v>1.4892997767614382</v>
      </c>
      <c r="Q1421" s="14">
        <f>VLOOKUP(B1421, 'All Menu'!B:M, 12, 0)</f>
        <v>0.71206870982612192</v>
      </c>
      <c r="R1421" s="173">
        <f t="shared" si="79"/>
        <v>0</v>
      </c>
    </row>
    <row r="1422" spans="1:18" ht="14" hidden="1">
      <c r="A1422" s="78" t="s">
        <v>2683</v>
      </c>
      <c r="B1422" s="220" t="s">
        <v>1010</v>
      </c>
      <c r="C1422" s="185"/>
      <c r="D1422" s="103" t="str">
        <f>VLOOKUP(B1422, 'All Menu'!B:M, 4, 0)</f>
        <v>صفيحة بلبن/ الحبة</v>
      </c>
      <c r="E1422" s="30" t="str">
        <f>VLOOKUP(B1422, 'All Menu'!B:M, 2, 0)</f>
        <v>قسم الفرن</v>
      </c>
      <c r="F1422" s="103" t="str">
        <f>VLOOKUP(B1422, 'All Menu'!B:M, 3, 0)</f>
        <v>عجين سفري</v>
      </c>
      <c r="G1422" s="90" t="s">
        <v>2454</v>
      </c>
      <c r="H1422" s="219" t="s">
        <v>504</v>
      </c>
      <c r="I1422" s="110" t="str">
        <f>VLOOKUP(H1422, 'RM &amp; SF'!B:H, 2, 0)</f>
        <v>لحمة الصفيحة بلبن المشغل</v>
      </c>
      <c r="J1422" s="184" t="str">
        <f>VLOOKUP(H1422, 'RM &amp; SF'!B:E, 4, 0)</f>
        <v>غم</v>
      </c>
      <c r="K1422" s="12">
        <v>55</v>
      </c>
      <c r="L1422" s="13">
        <f>VLOOKUP(H1422, 'RM &amp; SF'!B:H, 7, 0)</f>
        <v>5.666775058438712E-3</v>
      </c>
      <c r="M1422" s="7">
        <f t="shared" si="78"/>
        <v>0.31167262821412917</v>
      </c>
      <c r="N1422" s="4" t="s">
        <v>825</v>
      </c>
      <c r="O1422" s="4">
        <f>VLOOKUP(B1422, 'All Menu'!B:L, 6, 0)</f>
        <v>0.56034482758620696</v>
      </c>
      <c r="P1422" s="6">
        <f>VLOOKUP(B1422, 'All Menu'!B:L, 9, 0)</f>
        <v>0.41952498492368306</v>
      </c>
      <c r="Q1422" s="14">
        <f>VLOOKUP(B1422, 'All Menu'!B:M, 12, 0)</f>
        <v>0.251309257674658</v>
      </c>
      <c r="R1422" s="173">
        <f t="shared" si="79"/>
        <v>0</v>
      </c>
    </row>
    <row r="1423" spans="1:18" ht="14" hidden="1">
      <c r="A1423" s="78" t="s">
        <v>2683</v>
      </c>
      <c r="B1423" s="220" t="s">
        <v>1010</v>
      </c>
      <c r="C1423" s="185"/>
      <c r="D1423" s="103" t="str">
        <f>VLOOKUP(B1423, 'All Menu'!B:M, 4, 0)</f>
        <v>صفيحة بلبن/ الحبة</v>
      </c>
      <c r="E1423" s="30" t="str">
        <f>VLOOKUP(B1423, 'All Menu'!B:M, 2, 0)</f>
        <v>قسم الفرن</v>
      </c>
      <c r="F1423" s="103" t="str">
        <f>VLOOKUP(B1423, 'All Menu'!B:M, 3, 0)</f>
        <v>عجين سفري</v>
      </c>
      <c r="G1423" s="90" t="s">
        <v>2333</v>
      </c>
      <c r="H1423" s="219" t="s">
        <v>498</v>
      </c>
      <c r="I1423" s="110" t="str">
        <f>VLOOKUP(H1423, 'RM &amp; SF'!B:H, 2, 0)</f>
        <v>عجين الصفيحة والمناقيش</v>
      </c>
      <c r="J1423" s="184" t="str">
        <f>VLOOKUP(H1423, 'RM &amp; SF'!B:E, 4, 0)</f>
        <v>غم</v>
      </c>
      <c r="K1423" s="12">
        <v>30</v>
      </c>
      <c r="L1423" s="13">
        <f>VLOOKUP(H1423, 'RM &amp; SF'!B:H, 7, 0)</f>
        <v>4.659980972150147E-4</v>
      </c>
      <c r="M1423" s="7">
        <f t="shared" si="78"/>
        <v>1.3979942916450442E-2</v>
      </c>
      <c r="N1423" s="4" t="s">
        <v>825</v>
      </c>
      <c r="O1423" s="4">
        <f>VLOOKUP(B1423, 'All Menu'!B:L, 6, 0)</f>
        <v>0.56034482758620696</v>
      </c>
      <c r="P1423" s="6">
        <f>VLOOKUP(B1423, 'All Menu'!B:L, 9, 0)</f>
        <v>0.41952498492368306</v>
      </c>
      <c r="Q1423" s="14">
        <f>VLOOKUP(B1423, 'All Menu'!B:M, 12, 0)</f>
        <v>0.251309257674658</v>
      </c>
      <c r="R1423" s="173">
        <f t="shared" si="79"/>
        <v>0</v>
      </c>
    </row>
    <row r="1424" spans="1:18" ht="14" hidden="1">
      <c r="A1424" s="78" t="s">
        <v>2683</v>
      </c>
      <c r="B1424" s="220" t="s">
        <v>1010</v>
      </c>
      <c r="C1424" s="185"/>
      <c r="D1424" s="103" t="str">
        <f>VLOOKUP(B1424, 'All Menu'!B:M, 4, 0)</f>
        <v>صفيحة بلبن/ الحبة</v>
      </c>
      <c r="E1424" s="30" t="str">
        <f>VLOOKUP(B1424, 'All Menu'!B:M, 2, 0)</f>
        <v>قسم الفرن</v>
      </c>
      <c r="F1424" s="103" t="str">
        <f>VLOOKUP(B1424, 'All Menu'!B:M, 3, 0)</f>
        <v>عجين سفري</v>
      </c>
      <c r="G1424" s="90" t="s">
        <v>2200</v>
      </c>
      <c r="H1424" s="188">
        <v>4351</v>
      </c>
      <c r="I1424" s="110" t="str">
        <f>VLOOKUP(H1424, 'RM &amp; SF'!B:H, 2, 0)</f>
        <v>صحن كرتون مستطيل مسلفر 1 كغ (رقم 2)*****</v>
      </c>
      <c r="J1424" s="184" t="str">
        <f>VLOOKUP(H1424, 'RM &amp; SF'!B:E, 4, 0)</f>
        <v>قطعة</v>
      </c>
      <c r="K1424" s="12">
        <v>1</v>
      </c>
      <c r="L1424" s="13">
        <f>VLOOKUP(H1424, 'RM &amp; SF'!B:H, 7, 0)</f>
        <v>3.8699999999999998E-2</v>
      </c>
      <c r="M1424" s="7">
        <f t="shared" si="78"/>
        <v>3.8699999999999998E-2</v>
      </c>
      <c r="N1424" s="4" t="s">
        <v>825</v>
      </c>
      <c r="O1424" s="4">
        <f>VLOOKUP(B1424, 'All Menu'!B:L, 6, 0)</f>
        <v>0.56034482758620696</v>
      </c>
      <c r="P1424" s="6">
        <f>VLOOKUP(B1424, 'All Menu'!B:L, 9, 0)</f>
        <v>0.41952498492368306</v>
      </c>
      <c r="Q1424" s="14">
        <f>VLOOKUP(B1424, 'All Menu'!B:M, 12, 0)</f>
        <v>0.251309257674658</v>
      </c>
      <c r="R1424" s="173">
        <f t="shared" si="79"/>
        <v>0</v>
      </c>
    </row>
    <row r="1425" spans="1:18" ht="14" hidden="1">
      <c r="A1425" s="78" t="s">
        <v>2683</v>
      </c>
      <c r="B1425" s="220" t="s">
        <v>1010</v>
      </c>
      <c r="C1425" s="185"/>
      <c r="D1425" s="103" t="str">
        <f>VLOOKUP(B1425, 'All Menu'!B:M, 4, 0)</f>
        <v>صفيحة بلبن/ الحبة</v>
      </c>
      <c r="E1425" s="30" t="str">
        <f>VLOOKUP(B1425, 'All Menu'!B:M, 2, 0)</f>
        <v>قسم الفرن</v>
      </c>
      <c r="F1425" s="103" t="str">
        <f>VLOOKUP(B1425, 'All Menu'!B:M, 3, 0)</f>
        <v>عجين سفري</v>
      </c>
      <c r="G1425" s="90" t="s">
        <v>2193</v>
      </c>
      <c r="H1425" s="188">
        <v>4309</v>
      </c>
      <c r="I1425" s="110" t="str">
        <f>VLOOKUP(H1425, 'RM &amp; SF'!B:H, 2, 0)</f>
        <v>اكياس بلاستيك مطبوع 55 سم*****</v>
      </c>
      <c r="J1425" s="184" t="str">
        <f>VLOOKUP(H1425, 'RM &amp; SF'!B:E, 4, 0)</f>
        <v>قطعة</v>
      </c>
      <c r="K1425" s="12">
        <v>1</v>
      </c>
      <c r="L1425" s="13">
        <f>VLOOKUP(H1425, 'RM &amp; SF'!B:H, 7, 0)</f>
        <v>5.5172413793103454E-2</v>
      </c>
      <c r="M1425" s="7">
        <f t="shared" si="78"/>
        <v>5.5172413793103454E-2</v>
      </c>
      <c r="N1425" s="4" t="s">
        <v>825</v>
      </c>
      <c r="O1425" s="4">
        <f>VLOOKUP(B1425, 'All Menu'!B:L, 6, 0)</f>
        <v>0.56034482758620696</v>
      </c>
      <c r="P1425" s="6">
        <f>VLOOKUP(B1425, 'All Menu'!B:L, 9, 0)</f>
        <v>0.41952498492368306</v>
      </c>
      <c r="Q1425" s="14">
        <f>VLOOKUP(B1425, 'All Menu'!B:M, 12, 0)</f>
        <v>0.251309257674658</v>
      </c>
      <c r="R1425" s="173">
        <f t="shared" si="79"/>
        <v>0</v>
      </c>
    </row>
    <row r="1426" spans="1:18" ht="14" hidden="1">
      <c r="A1426" s="78" t="s">
        <v>2684</v>
      </c>
      <c r="B1426" s="220" t="s">
        <v>1011</v>
      </c>
      <c r="C1426" s="185"/>
      <c r="D1426" s="103" t="str">
        <f>VLOOKUP(B1426, 'All Menu'!B:M, 4, 0)</f>
        <v>صفيحة ببندورة/حبة</v>
      </c>
      <c r="E1426" s="30" t="str">
        <f>VLOOKUP(B1426, 'All Menu'!B:M, 2, 0)</f>
        <v>قسم الفرن</v>
      </c>
      <c r="F1426" s="103" t="str">
        <f>VLOOKUP(B1426, 'All Menu'!B:M, 3, 0)</f>
        <v>عجين سفري</v>
      </c>
      <c r="G1426" s="90" t="s">
        <v>2455</v>
      </c>
      <c r="H1426" s="219" t="s">
        <v>604</v>
      </c>
      <c r="I1426" s="110" t="str">
        <f>VLOOKUP(H1426, 'RM &amp; SF'!B:H, 2, 0)</f>
        <v xml:space="preserve">لحمة صفيحة ببندورة </v>
      </c>
      <c r="J1426" s="184" t="str">
        <f>VLOOKUP(H1426, 'RM &amp; SF'!B:E, 4, 0)</f>
        <v>غم</v>
      </c>
      <c r="K1426" s="12">
        <v>55</v>
      </c>
      <c r="L1426" s="13">
        <f>VLOOKUP(H1426, 'RM &amp; SF'!B:H, 7, 0)</f>
        <v>2.7389557329462995E-3</v>
      </c>
      <c r="M1426" s="7">
        <f t="shared" si="78"/>
        <v>0.15064256531204648</v>
      </c>
      <c r="N1426" s="4" t="s">
        <v>825</v>
      </c>
      <c r="O1426" s="4">
        <f>VLOOKUP(B1426, 'All Menu'!B:L, 6, 0)</f>
        <v>0.43103448275862072</v>
      </c>
      <c r="P1426" s="6">
        <f>VLOOKUP(B1426, 'All Menu'!B:L, 9, 0)</f>
        <v>0.22935249871457197</v>
      </c>
      <c r="Q1426" s="14">
        <f>VLOOKUP(B1426, 'All Menu'!B:M, 12, 0)</f>
        <v>0.46790220298219304</v>
      </c>
      <c r="R1426" s="173">
        <f t="shared" si="79"/>
        <v>0</v>
      </c>
    </row>
    <row r="1427" spans="1:18" ht="14" hidden="1">
      <c r="A1427" s="78" t="s">
        <v>2684</v>
      </c>
      <c r="B1427" s="220" t="s">
        <v>1011</v>
      </c>
      <c r="C1427" s="185"/>
      <c r="D1427" s="103" t="str">
        <f>VLOOKUP(B1427, 'All Menu'!B:M, 4, 0)</f>
        <v>صفيحة ببندورة/حبة</v>
      </c>
      <c r="E1427" s="30" t="str">
        <f>VLOOKUP(B1427, 'All Menu'!B:M, 2, 0)</f>
        <v>قسم الفرن</v>
      </c>
      <c r="F1427" s="103" t="str">
        <f>VLOOKUP(B1427, 'All Menu'!B:M, 3, 0)</f>
        <v>عجين سفري</v>
      </c>
      <c r="G1427" s="90" t="s">
        <v>2333</v>
      </c>
      <c r="H1427" s="219" t="s">
        <v>498</v>
      </c>
      <c r="I1427" s="110" t="str">
        <f>VLOOKUP(H1427, 'RM &amp; SF'!B:H, 2, 0)</f>
        <v>عجين الصفيحة والمناقيش</v>
      </c>
      <c r="J1427" s="184" t="str">
        <f>VLOOKUP(H1427, 'RM &amp; SF'!B:E, 4, 0)</f>
        <v>غم</v>
      </c>
      <c r="K1427" s="12">
        <v>35</v>
      </c>
      <c r="L1427" s="13">
        <f>VLOOKUP(H1427, 'RM &amp; SF'!B:H, 7, 0)</f>
        <v>4.659980972150147E-4</v>
      </c>
      <c r="M1427" s="7">
        <f t="shared" si="78"/>
        <v>1.6309933402525515E-2</v>
      </c>
      <c r="N1427" s="4" t="s">
        <v>825</v>
      </c>
      <c r="O1427" s="4">
        <f>VLOOKUP(B1427, 'All Menu'!B:L, 6, 0)</f>
        <v>0.43103448275862072</v>
      </c>
      <c r="P1427" s="6">
        <f>VLOOKUP(B1427, 'All Menu'!B:L, 9, 0)</f>
        <v>0.22935249871457197</v>
      </c>
      <c r="Q1427" s="14">
        <f>VLOOKUP(B1427, 'All Menu'!B:M, 12, 0)</f>
        <v>0.46790220298219304</v>
      </c>
      <c r="R1427" s="173">
        <f t="shared" si="79"/>
        <v>0</v>
      </c>
    </row>
    <row r="1428" spans="1:18" ht="14" hidden="1">
      <c r="A1428" s="78" t="s">
        <v>2684</v>
      </c>
      <c r="B1428" s="220" t="s">
        <v>1011</v>
      </c>
      <c r="C1428" s="185"/>
      <c r="D1428" s="103" t="str">
        <f>VLOOKUP(B1428, 'All Menu'!B:M, 4, 0)</f>
        <v>صفيحة ببندورة/حبة</v>
      </c>
      <c r="E1428" s="30" t="str">
        <f>VLOOKUP(B1428, 'All Menu'!B:M, 2, 0)</f>
        <v>قسم الفرن</v>
      </c>
      <c r="F1428" s="103" t="str">
        <f>VLOOKUP(B1428, 'All Menu'!B:M, 3, 0)</f>
        <v>عجين سفري</v>
      </c>
      <c r="G1428" s="90" t="s">
        <v>2200</v>
      </c>
      <c r="H1428" s="188">
        <v>4351</v>
      </c>
      <c r="I1428" s="110" t="str">
        <f>VLOOKUP(H1428, 'RM &amp; SF'!B:H, 2, 0)</f>
        <v>صحن كرتون مستطيل مسلفر 1 كغ (رقم 2)*****</v>
      </c>
      <c r="J1428" s="184" t="str">
        <f>VLOOKUP(H1428, 'RM &amp; SF'!B:E, 4, 0)</f>
        <v>قطعة</v>
      </c>
      <c r="K1428" s="12">
        <v>1</v>
      </c>
      <c r="L1428" s="13">
        <f>VLOOKUP(H1428, 'RM &amp; SF'!B:H, 7, 0)</f>
        <v>3.8699999999999998E-2</v>
      </c>
      <c r="M1428" s="7">
        <f t="shared" si="78"/>
        <v>3.8699999999999998E-2</v>
      </c>
      <c r="N1428" s="4" t="s">
        <v>825</v>
      </c>
      <c r="O1428" s="4">
        <f>VLOOKUP(B1428, 'All Menu'!B:L, 6, 0)</f>
        <v>0.43103448275862072</v>
      </c>
      <c r="P1428" s="6">
        <f>VLOOKUP(B1428, 'All Menu'!B:L, 9, 0)</f>
        <v>0.22935249871457197</v>
      </c>
      <c r="Q1428" s="14">
        <f>VLOOKUP(B1428, 'All Menu'!B:M, 12, 0)</f>
        <v>0.46790220298219304</v>
      </c>
      <c r="R1428" s="173">
        <f t="shared" si="79"/>
        <v>0</v>
      </c>
    </row>
    <row r="1429" spans="1:18" ht="14" hidden="1">
      <c r="A1429" s="78" t="s">
        <v>2684</v>
      </c>
      <c r="B1429" s="220" t="s">
        <v>1011</v>
      </c>
      <c r="C1429" s="185"/>
      <c r="D1429" s="103" t="str">
        <f>VLOOKUP(B1429, 'All Menu'!B:M, 4, 0)</f>
        <v>صفيحة ببندورة/حبة</v>
      </c>
      <c r="E1429" s="30" t="str">
        <f>VLOOKUP(B1429, 'All Menu'!B:M, 2, 0)</f>
        <v>قسم الفرن</v>
      </c>
      <c r="F1429" s="103" t="str">
        <f>VLOOKUP(B1429, 'All Menu'!B:M, 3, 0)</f>
        <v>عجين سفري</v>
      </c>
      <c r="G1429" s="90" t="s">
        <v>2192</v>
      </c>
      <c r="H1429" s="188">
        <v>4298</v>
      </c>
      <c r="I1429" s="110" t="str">
        <f>VLOOKUP(H1429, 'RM &amp; SF'!B:H, 2, 0)</f>
        <v>اكياس ساندويش ورقية مطبوع 22 سم*42 سم 1*100 حبة*****</v>
      </c>
      <c r="J1429" s="184" t="str">
        <f>VLOOKUP(H1429, 'RM &amp; SF'!B:E, 4, 0)</f>
        <v>قطعة</v>
      </c>
      <c r="K1429" s="12">
        <v>1</v>
      </c>
      <c r="L1429" s="13">
        <f>VLOOKUP(H1429, 'RM &amp; SF'!B:H, 7, 0)</f>
        <v>2.3699999999999999E-2</v>
      </c>
      <c r="M1429" s="7">
        <f t="shared" si="78"/>
        <v>2.3699999999999999E-2</v>
      </c>
      <c r="N1429" s="4" t="s">
        <v>825</v>
      </c>
      <c r="O1429" s="4">
        <f>VLOOKUP(B1429, 'All Menu'!B:L, 6, 0)</f>
        <v>0.43103448275862072</v>
      </c>
      <c r="P1429" s="6">
        <f>VLOOKUP(B1429, 'All Menu'!B:L, 9, 0)</f>
        <v>0.22935249871457197</v>
      </c>
      <c r="Q1429" s="14">
        <f>VLOOKUP(B1429, 'All Menu'!B:M, 12, 0)</f>
        <v>0.46790220298219304</v>
      </c>
      <c r="R1429" s="173">
        <f t="shared" si="79"/>
        <v>0</v>
      </c>
    </row>
    <row r="1430" spans="1:18" ht="14" hidden="1">
      <c r="A1430" s="78" t="s">
        <v>2687</v>
      </c>
      <c r="B1430" s="220" t="s">
        <v>1020</v>
      </c>
      <c r="C1430" s="185"/>
      <c r="D1430" s="103" t="str">
        <f>VLOOKUP(B1430, 'All Menu'!B:M, 4, 0)</f>
        <v>صفيحة بلبن \ كيلو</v>
      </c>
      <c r="E1430" s="30" t="str">
        <f>VLOOKUP(B1430, 'All Menu'!B:M, 2, 0)</f>
        <v>قسم الفرن</v>
      </c>
      <c r="F1430" s="103" t="str">
        <f>VLOOKUP(B1430, 'All Menu'!B:M, 3, 0)</f>
        <v>عجين سفري</v>
      </c>
      <c r="G1430" s="90" t="s">
        <v>2454</v>
      </c>
      <c r="H1430" s="219" t="s">
        <v>504</v>
      </c>
      <c r="I1430" s="110" t="str">
        <f>VLOOKUP(H1430, 'RM &amp; SF'!B:H, 2, 0)</f>
        <v>لحمة الصفيحة بلبن المشغل</v>
      </c>
      <c r="J1430" s="184" t="str">
        <f>VLOOKUP(H1430, 'RM &amp; SF'!B:E, 4, 0)</f>
        <v>غم</v>
      </c>
      <c r="K1430" s="12">
        <v>2600</v>
      </c>
      <c r="L1430" s="13">
        <f>VLOOKUP(H1430, 'RM &amp; SF'!B:H, 7, 0)</f>
        <v>5.666775058438712E-3</v>
      </c>
      <c r="M1430" s="7">
        <f t="shared" si="78"/>
        <v>14.733615151940651</v>
      </c>
      <c r="N1430" s="4" t="s">
        <v>825</v>
      </c>
      <c r="O1430" s="4">
        <f>VLOOKUP(B1430, 'All Menu'!B:L, 6, 0)</f>
        <v>17.241379310344829</v>
      </c>
      <c r="P1430" s="6">
        <f>VLOOKUP(B1430, 'All Menu'!B:L, 9, 0)</f>
        <v>15.826002523771082</v>
      </c>
      <c r="Q1430" s="14">
        <f>VLOOKUP(B1430, 'All Menu'!B:M, 12, 0)</f>
        <v>8.20918536212773E-2</v>
      </c>
      <c r="R1430" s="173">
        <f t="shared" si="79"/>
        <v>0</v>
      </c>
    </row>
    <row r="1431" spans="1:18" ht="14" hidden="1">
      <c r="A1431" s="78" t="s">
        <v>2687</v>
      </c>
      <c r="B1431" s="220" t="s">
        <v>1020</v>
      </c>
      <c r="C1431" s="185"/>
      <c r="D1431" s="103" t="str">
        <f>VLOOKUP(B1431, 'All Menu'!B:M, 4, 0)</f>
        <v>صفيحة بلبن \ كيلو</v>
      </c>
      <c r="E1431" s="30" t="str">
        <f>VLOOKUP(B1431, 'All Menu'!B:M, 2, 0)</f>
        <v>قسم الفرن</v>
      </c>
      <c r="F1431" s="103" t="str">
        <f>VLOOKUP(B1431, 'All Menu'!B:M, 3, 0)</f>
        <v>عجين سفري</v>
      </c>
      <c r="G1431" s="90" t="s">
        <v>2333</v>
      </c>
      <c r="H1431" s="219" t="s">
        <v>498</v>
      </c>
      <c r="I1431" s="110" t="str">
        <f>VLOOKUP(H1431, 'RM &amp; SF'!B:H, 2, 0)</f>
        <v>عجين الصفيحة والمناقيش</v>
      </c>
      <c r="J1431" s="184" t="str">
        <f>VLOOKUP(H1431, 'RM &amp; SF'!B:E, 4, 0)</f>
        <v>غم</v>
      </c>
      <c r="K1431" s="12">
        <v>1200</v>
      </c>
      <c r="L1431" s="13">
        <f>VLOOKUP(H1431, 'RM &amp; SF'!B:H, 7, 0)</f>
        <v>4.659980972150147E-4</v>
      </c>
      <c r="M1431" s="7">
        <f t="shared" si="78"/>
        <v>0.55919771665801765</v>
      </c>
      <c r="N1431" s="4" t="s">
        <v>825</v>
      </c>
      <c r="O1431" s="4">
        <f>VLOOKUP(B1431, 'All Menu'!B:L, 6, 0)</f>
        <v>17.241379310344829</v>
      </c>
      <c r="P1431" s="6">
        <f>VLOOKUP(B1431, 'All Menu'!B:L, 9, 0)</f>
        <v>15.826002523771082</v>
      </c>
      <c r="Q1431" s="14">
        <f>VLOOKUP(B1431, 'All Menu'!B:M, 12, 0)</f>
        <v>8.20918536212773E-2</v>
      </c>
      <c r="R1431" s="173">
        <f t="shared" si="79"/>
        <v>0</v>
      </c>
    </row>
    <row r="1432" spans="1:18" ht="14" hidden="1">
      <c r="A1432" s="78" t="s">
        <v>2687</v>
      </c>
      <c r="B1432" s="220" t="s">
        <v>1020</v>
      </c>
      <c r="C1432" s="185"/>
      <c r="D1432" s="103" t="str">
        <f>VLOOKUP(B1432, 'All Menu'!B:M, 4, 0)</f>
        <v>صفيحة بلبن \ كيلو</v>
      </c>
      <c r="E1432" s="30" t="str">
        <f>VLOOKUP(B1432, 'All Menu'!B:M, 2, 0)</f>
        <v>قسم الفرن</v>
      </c>
      <c r="F1432" s="103" t="str">
        <f>VLOOKUP(B1432, 'All Menu'!B:M, 3, 0)</f>
        <v>عجين سفري</v>
      </c>
      <c r="G1432" s="90" t="s">
        <v>3058</v>
      </c>
      <c r="H1432" s="188">
        <v>4269</v>
      </c>
      <c r="I1432" s="110" t="str">
        <f>VLOOKUP(H1432, 'RM &amp; SF'!B:H, 2, 0)</f>
        <v>بكجات مشاوي مطبوع رقم 3 1*50 حبة*****</v>
      </c>
      <c r="J1432" s="184" t="str">
        <f>VLOOKUP(H1432, 'RM &amp; SF'!B:E, 4, 0)</f>
        <v>قطعة</v>
      </c>
      <c r="K1432" s="12">
        <v>1</v>
      </c>
      <c r="L1432" s="13">
        <f>VLOOKUP(H1432, 'RM &amp; SF'!B:H, 7, 0)</f>
        <v>0.37068965517241381</v>
      </c>
      <c r="M1432" s="7">
        <f t="shared" si="78"/>
        <v>0.37068965517241381</v>
      </c>
      <c r="N1432" s="4" t="s">
        <v>825</v>
      </c>
      <c r="O1432" s="4">
        <f>VLOOKUP(B1432, 'All Menu'!B:L, 6, 0)</f>
        <v>17.241379310344829</v>
      </c>
      <c r="P1432" s="6">
        <f>VLOOKUP(B1432, 'All Menu'!B:L, 9, 0)</f>
        <v>15.826002523771082</v>
      </c>
      <c r="Q1432" s="14">
        <f>VLOOKUP(B1432, 'All Menu'!B:M, 12, 0)</f>
        <v>8.20918536212773E-2</v>
      </c>
      <c r="R1432" s="173">
        <f t="shared" si="79"/>
        <v>0</v>
      </c>
    </row>
    <row r="1433" spans="1:18" ht="14" hidden="1">
      <c r="A1433" s="78" t="s">
        <v>2687</v>
      </c>
      <c r="B1433" s="220" t="s">
        <v>1020</v>
      </c>
      <c r="C1433" s="185"/>
      <c r="D1433" s="103" t="str">
        <f>VLOOKUP(B1433, 'All Menu'!B:M, 4, 0)</f>
        <v>صفيحة بلبن \ كيلو</v>
      </c>
      <c r="E1433" s="30" t="str">
        <f>VLOOKUP(B1433, 'All Menu'!B:M, 2, 0)</f>
        <v>قسم الفرن</v>
      </c>
      <c r="F1433" s="103" t="str">
        <f>VLOOKUP(B1433, 'All Menu'!B:M, 3, 0)</f>
        <v>عجين سفري</v>
      </c>
      <c r="G1433" s="90" t="s">
        <v>3058</v>
      </c>
      <c r="H1433" s="188">
        <v>4156</v>
      </c>
      <c r="I1433" s="110" t="str">
        <f>VLOOKUP(H1433, 'RM &amp; SF'!B:H, 2, 0)</f>
        <v>دبس رمان ساشيه 1*1000 حبة*****</v>
      </c>
      <c r="J1433" s="184" t="str">
        <f>VLOOKUP(H1433, 'RM &amp; SF'!B:E, 4, 0)</f>
        <v>قطعة</v>
      </c>
      <c r="K1433" s="12">
        <v>5</v>
      </c>
      <c r="L1433" s="13">
        <f>VLOOKUP(H1433, 'RM &amp; SF'!B:H, 7, 0)</f>
        <v>3.2500000000000001E-2</v>
      </c>
      <c r="M1433" s="7">
        <f t="shared" si="78"/>
        <v>0.16250000000000001</v>
      </c>
      <c r="N1433" s="4" t="s">
        <v>825</v>
      </c>
      <c r="O1433" s="4">
        <f>VLOOKUP(B1433, 'All Menu'!B:L, 6, 0)</f>
        <v>17.241379310344829</v>
      </c>
      <c r="P1433" s="6">
        <f>VLOOKUP(B1433, 'All Menu'!B:L, 9, 0)</f>
        <v>15.826002523771082</v>
      </c>
      <c r="Q1433" s="14">
        <f>VLOOKUP(B1433, 'All Menu'!B:M, 12, 0)</f>
        <v>8.20918536212773E-2</v>
      </c>
      <c r="R1433" s="173">
        <f t="shared" si="79"/>
        <v>0</v>
      </c>
    </row>
    <row r="1434" spans="1:18" ht="14" hidden="1">
      <c r="A1434" s="78" t="s">
        <v>2686</v>
      </c>
      <c r="B1434" s="220" t="s">
        <v>1021</v>
      </c>
      <c r="C1434" s="185"/>
      <c r="D1434" s="103" t="str">
        <f>VLOOKUP(B1434, 'All Menu'!B:M, 4, 0)</f>
        <v>صفيحة ببندورة/ الكيلو</v>
      </c>
      <c r="E1434" s="30" t="str">
        <f>VLOOKUP(B1434, 'All Menu'!B:M, 2, 0)</f>
        <v>قسم الفرن</v>
      </c>
      <c r="F1434" s="103" t="str">
        <f>VLOOKUP(B1434, 'All Menu'!B:M, 3, 0)</f>
        <v>عجين سفري</v>
      </c>
      <c r="G1434" s="90" t="s">
        <v>2455</v>
      </c>
      <c r="H1434" s="219" t="s">
        <v>604</v>
      </c>
      <c r="I1434" s="110" t="str">
        <f>VLOOKUP(H1434, 'RM &amp; SF'!B:H, 2, 0)</f>
        <v xml:space="preserve">لحمة صفيحة ببندورة </v>
      </c>
      <c r="J1434" s="184" t="str">
        <f>VLOOKUP(H1434, 'RM &amp; SF'!B:E, 4, 0)</f>
        <v>غم</v>
      </c>
      <c r="K1434" s="12">
        <v>2600</v>
      </c>
      <c r="L1434" s="13">
        <f>VLOOKUP(H1434, 'RM &amp; SF'!B:H, 7, 0)</f>
        <v>2.7389557329462995E-3</v>
      </c>
      <c r="M1434" s="7">
        <f t="shared" si="78"/>
        <v>7.1212849056603789</v>
      </c>
      <c r="N1434" s="4" t="s">
        <v>825</v>
      </c>
      <c r="O1434" s="4">
        <f>VLOOKUP(B1434, 'All Menu'!B:L, 6, 0)</f>
        <v>15.517241379310345</v>
      </c>
      <c r="P1434" s="6">
        <f>VLOOKUP(B1434, 'All Menu'!B:L, 9, 0)</f>
        <v>8.2136722774908097</v>
      </c>
      <c r="Q1434" s="14">
        <f>VLOOKUP(B1434, 'All Menu'!B:M, 12, 0)</f>
        <v>0.47067445322837004</v>
      </c>
      <c r="R1434" s="173">
        <f t="shared" si="79"/>
        <v>0</v>
      </c>
    </row>
    <row r="1435" spans="1:18" ht="14" hidden="1">
      <c r="A1435" s="78" t="s">
        <v>2686</v>
      </c>
      <c r="B1435" s="220" t="s">
        <v>1021</v>
      </c>
      <c r="C1435" s="185"/>
      <c r="D1435" s="103" t="str">
        <f>VLOOKUP(B1435, 'All Menu'!B:M, 4, 0)</f>
        <v>صفيحة ببندورة/ الكيلو</v>
      </c>
      <c r="E1435" s="30" t="str">
        <f>VLOOKUP(B1435, 'All Menu'!B:M, 2, 0)</f>
        <v>قسم الفرن</v>
      </c>
      <c r="F1435" s="103" t="str">
        <f>VLOOKUP(B1435, 'All Menu'!B:M, 3, 0)</f>
        <v>عجين سفري</v>
      </c>
      <c r="G1435" s="90" t="s">
        <v>2333</v>
      </c>
      <c r="H1435" s="219" t="s">
        <v>498</v>
      </c>
      <c r="I1435" s="110" t="str">
        <f>VLOOKUP(H1435, 'RM &amp; SF'!B:H, 2, 0)</f>
        <v>عجين الصفيحة والمناقيش</v>
      </c>
      <c r="J1435" s="184" t="str">
        <f>VLOOKUP(H1435, 'RM &amp; SF'!B:E, 4, 0)</f>
        <v>غم</v>
      </c>
      <c r="K1435" s="12">
        <v>1200</v>
      </c>
      <c r="L1435" s="13">
        <f>VLOOKUP(H1435, 'RM &amp; SF'!B:H, 7, 0)</f>
        <v>4.659980972150147E-4</v>
      </c>
      <c r="M1435" s="7">
        <f t="shared" si="78"/>
        <v>0.55919771665801765</v>
      </c>
      <c r="N1435" s="4" t="s">
        <v>825</v>
      </c>
      <c r="O1435" s="4">
        <f>VLOOKUP(B1435, 'All Menu'!B:L, 6, 0)</f>
        <v>15.517241379310345</v>
      </c>
      <c r="P1435" s="6">
        <f>VLOOKUP(B1435, 'All Menu'!B:L, 9, 0)</f>
        <v>8.2136722774908097</v>
      </c>
      <c r="Q1435" s="14">
        <f>VLOOKUP(B1435, 'All Menu'!B:M, 12, 0)</f>
        <v>0.47067445322837004</v>
      </c>
      <c r="R1435" s="173">
        <f t="shared" si="79"/>
        <v>0</v>
      </c>
    </row>
    <row r="1436" spans="1:18" ht="14" hidden="1">
      <c r="A1436" s="78" t="s">
        <v>2686</v>
      </c>
      <c r="B1436" s="220" t="s">
        <v>1021</v>
      </c>
      <c r="C1436" s="185"/>
      <c r="D1436" s="103" t="str">
        <f>VLOOKUP(B1436, 'All Menu'!B:M, 4, 0)</f>
        <v>صفيحة ببندورة/ الكيلو</v>
      </c>
      <c r="E1436" s="30" t="str">
        <f>VLOOKUP(B1436, 'All Menu'!B:M, 2, 0)</f>
        <v>قسم الفرن</v>
      </c>
      <c r="F1436" s="103" t="str">
        <f>VLOOKUP(B1436, 'All Menu'!B:M, 3, 0)</f>
        <v>عجين سفري</v>
      </c>
      <c r="G1436" s="90" t="s">
        <v>3058</v>
      </c>
      <c r="H1436" s="188">
        <v>4269</v>
      </c>
      <c r="I1436" s="110" t="str">
        <f>VLOOKUP(H1436, 'RM &amp; SF'!B:H, 2, 0)</f>
        <v>بكجات مشاوي مطبوع رقم 3 1*50 حبة*****</v>
      </c>
      <c r="J1436" s="184" t="str">
        <f>VLOOKUP(H1436, 'RM &amp; SF'!B:E, 4, 0)</f>
        <v>قطعة</v>
      </c>
      <c r="K1436" s="12">
        <v>1</v>
      </c>
      <c r="L1436" s="13">
        <f>VLOOKUP(H1436, 'RM &amp; SF'!B:H, 7, 0)</f>
        <v>0.37068965517241381</v>
      </c>
      <c r="M1436" s="7">
        <f t="shared" si="78"/>
        <v>0.37068965517241381</v>
      </c>
      <c r="N1436" s="4" t="s">
        <v>825</v>
      </c>
      <c r="O1436" s="4">
        <f>VLOOKUP(B1436, 'All Menu'!B:L, 6, 0)</f>
        <v>15.517241379310345</v>
      </c>
      <c r="P1436" s="6">
        <f>VLOOKUP(B1436, 'All Menu'!B:L, 9, 0)</f>
        <v>8.2136722774908097</v>
      </c>
      <c r="Q1436" s="14">
        <f>VLOOKUP(B1436, 'All Menu'!B:M, 12, 0)</f>
        <v>0.47067445322837004</v>
      </c>
      <c r="R1436" s="173">
        <f t="shared" si="79"/>
        <v>0</v>
      </c>
    </row>
    <row r="1437" spans="1:18" ht="14" hidden="1">
      <c r="A1437" s="78" t="s">
        <v>2686</v>
      </c>
      <c r="B1437" s="220" t="s">
        <v>1021</v>
      </c>
      <c r="C1437" s="185"/>
      <c r="D1437" s="103" t="str">
        <f>VLOOKUP(B1437, 'All Menu'!B:M, 4, 0)</f>
        <v>صفيحة ببندورة/ الكيلو</v>
      </c>
      <c r="E1437" s="30" t="str">
        <f>VLOOKUP(B1437, 'All Menu'!B:M, 2, 0)</f>
        <v>قسم الفرن</v>
      </c>
      <c r="F1437" s="103" t="str">
        <f>VLOOKUP(B1437, 'All Menu'!B:M, 3, 0)</f>
        <v>عجين سفري</v>
      </c>
      <c r="G1437" s="90" t="s">
        <v>3058</v>
      </c>
      <c r="H1437" s="188">
        <v>4156</v>
      </c>
      <c r="I1437" s="110" t="str">
        <f>VLOOKUP(H1437, 'RM &amp; SF'!B:H, 2, 0)</f>
        <v>دبس رمان ساشيه 1*1000 حبة*****</v>
      </c>
      <c r="J1437" s="184" t="str">
        <f>VLOOKUP(H1437, 'RM &amp; SF'!B:E, 4, 0)</f>
        <v>قطعة</v>
      </c>
      <c r="K1437" s="12">
        <v>5</v>
      </c>
      <c r="L1437" s="13">
        <f>VLOOKUP(H1437, 'RM &amp; SF'!B:H, 7, 0)</f>
        <v>3.2500000000000001E-2</v>
      </c>
      <c r="M1437" s="7">
        <f t="shared" si="78"/>
        <v>0.16250000000000001</v>
      </c>
      <c r="N1437" s="4" t="s">
        <v>825</v>
      </c>
      <c r="O1437" s="4">
        <f>VLOOKUP(B1437, 'All Menu'!B:L, 6, 0)</f>
        <v>15.517241379310345</v>
      </c>
      <c r="P1437" s="6">
        <f>VLOOKUP(B1437, 'All Menu'!B:L, 9, 0)</f>
        <v>8.2136722774908097</v>
      </c>
      <c r="Q1437" s="14">
        <f>VLOOKUP(B1437, 'All Menu'!B:M, 12, 0)</f>
        <v>0.47067445322837004</v>
      </c>
      <c r="R1437" s="173">
        <f t="shared" si="79"/>
        <v>0</v>
      </c>
    </row>
    <row r="1438" spans="1:18" ht="14" hidden="1">
      <c r="A1438" s="78" t="s">
        <v>2695</v>
      </c>
      <c r="B1438" s="220" t="s">
        <v>1191</v>
      </c>
      <c r="C1438" s="185"/>
      <c r="D1438" s="103" t="str">
        <f>VLOOKUP(B1438, 'All Menu'!B:M, 4, 0)</f>
        <v>خبز تنور عدد 5</v>
      </c>
      <c r="E1438" s="30" t="str">
        <f>VLOOKUP(B1438, 'All Menu'!B:M, 2, 0)</f>
        <v>قسم الفرن</v>
      </c>
      <c r="F1438" s="103" t="str">
        <f>VLOOKUP(B1438, 'All Menu'!B:M, 3, 0)</f>
        <v>عجين سفري</v>
      </c>
      <c r="G1438" s="90" t="s">
        <v>2425</v>
      </c>
      <c r="H1438" s="219" t="s">
        <v>648</v>
      </c>
      <c r="I1438" s="110" t="str">
        <f>VLOOKUP(H1438, 'RM &amp; SF'!B:H, 2, 0)</f>
        <v xml:space="preserve">خبز تنور </v>
      </c>
      <c r="J1438" s="184" t="str">
        <f>VLOOKUP(H1438, 'RM &amp; SF'!B:E, 4, 0)</f>
        <v>غم</v>
      </c>
      <c r="K1438" s="12">
        <v>450</v>
      </c>
      <c r="L1438" s="13">
        <f>VLOOKUP(H1438, 'RM &amp; SF'!B:H, 7, 0)</f>
        <v>1.5104950793650793E-4</v>
      </c>
      <c r="M1438" s="7">
        <f t="shared" si="78"/>
        <v>6.7972278571428568E-2</v>
      </c>
      <c r="N1438" s="4" t="s">
        <v>825</v>
      </c>
      <c r="O1438" s="4">
        <f>VLOOKUP(B1438, 'All Menu'!B:L, 6, 0)</f>
        <v>0.86206896551724144</v>
      </c>
      <c r="P1438" s="6">
        <f>VLOOKUP(B1438, 'All Menu'!B:L, 9, 0)</f>
        <v>6.7972278571428568E-2</v>
      </c>
      <c r="Q1438" s="14">
        <f>VLOOKUP(B1438, 'All Menu'!B:M, 12, 0)</f>
        <v>0.9211521568571428</v>
      </c>
      <c r="R1438" s="173">
        <f t="shared" si="79"/>
        <v>0</v>
      </c>
    </row>
    <row r="1439" spans="1:18" ht="14" hidden="1">
      <c r="A1439" s="78" t="s">
        <v>2696</v>
      </c>
      <c r="B1439" s="220" t="s">
        <v>1236</v>
      </c>
      <c r="C1439" s="185"/>
      <c r="D1439" s="103" t="str">
        <f>VLOOKUP(B1439, 'All Menu'!B:M, 4, 0)</f>
        <v>صفيحة ببندورة / نص كيلو</v>
      </c>
      <c r="E1439" s="30" t="str">
        <f>VLOOKUP(B1439, 'All Menu'!B:M, 2, 0)</f>
        <v>قسم الفرن</v>
      </c>
      <c r="F1439" s="103" t="str">
        <f>VLOOKUP(B1439, 'All Menu'!B:M, 3, 0)</f>
        <v>عجين سفري</v>
      </c>
      <c r="G1439" s="90" t="s">
        <v>2333</v>
      </c>
      <c r="H1439" s="219" t="s">
        <v>498</v>
      </c>
      <c r="I1439" s="110" t="str">
        <f>VLOOKUP(H1439, 'RM &amp; SF'!B:H, 2, 0)</f>
        <v>عجين الصفيحة والمناقيش</v>
      </c>
      <c r="J1439" s="184" t="str">
        <f>VLOOKUP(H1439, 'RM &amp; SF'!B:E, 4, 0)</f>
        <v>غم</v>
      </c>
      <c r="K1439" s="12">
        <v>600</v>
      </c>
      <c r="L1439" s="13">
        <f>VLOOKUP(H1439, 'RM &amp; SF'!B:H, 7, 0)</f>
        <v>4.659980972150147E-4</v>
      </c>
      <c r="M1439" s="7">
        <f t="shared" si="78"/>
        <v>0.27959885832900883</v>
      </c>
      <c r="N1439" s="4" t="s">
        <v>825</v>
      </c>
      <c r="O1439" s="4">
        <f>VLOOKUP(B1439, 'All Menu'!B:L, 6, 0)</f>
        <v>7.7586206896551726</v>
      </c>
      <c r="P1439" s="6">
        <f>VLOOKUP(B1439, 'All Menu'!B:L, 9, 0)</f>
        <v>4.373430966331612</v>
      </c>
      <c r="Q1439" s="14">
        <f>VLOOKUP(B1439, 'All Menu'!B:M, 12, 0)</f>
        <v>0.43631334211725892</v>
      </c>
      <c r="R1439" s="173">
        <f t="shared" si="79"/>
        <v>0</v>
      </c>
    </row>
    <row r="1440" spans="1:18" ht="14" hidden="1">
      <c r="A1440" s="78" t="s">
        <v>2696</v>
      </c>
      <c r="B1440" s="220" t="s">
        <v>1236</v>
      </c>
      <c r="C1440" s="185"/>
      <c r="D1440" s="103" t="str">
        <f>VLOOKUP(B1440, 'All Menu'!B:M, 4, 0)</f>
        <v>صفيحة ببندورة / نص كيلو</v>
      </c>
      <c r="E1440" s="30" t="str">
        <f>VLOOKUP(B1440, 'All Menu'!B:M, 2, 0)</f>
        <v>قسم الفرن</v>
      </c>
      <c r="F1440" s="103" t="str">
        <f>VLOOKUP(B1440, 'All Menu'!B:M, 3, 0)</f>
        <v>عجين سفري</v>
      </c>
      <c r="G1440" s="90" t="s">
        <v>2455</v>
      </c>
      <c r="H1440" s="219" t="s">
        <v>604</v>
      </c>
      <c r="I1440" s="110" t="str">
        <f>VLOOKUP(H1440, 'RM &amp; SF'!B:H, 2, 0)</f>
        <v xml:space="preserve">لحمة صفيحة ببندورة </v>
      </c>
      <c r="J1440" s="184" t="str">
        <f>VLOOKUP(H1440, 'RM &amp; SF'!B:E, 4, 0)</f>
        <v>غم</v>
      </c>
      <c r="K1440" s="12">
        <v>1300</v>
      </c>
      <c r="L1440" s="13">
        <f>VLOOKUP(H1440, 'RM &amp; SF'!B:H, 7, 0)</f>
        <v>2.7389557329462995E-3</v>
      </c>
      <c r="M1440" s="7">
        <f t="shared" si="78"/>
        <v>3.5606424528301894</v>
      </c>
      <c r="N1440" s="4" t="s">
        <v>825</v>
      </c>
      <c r="O1440" s="4">
        <f>VLOOKUP(B1440, 'All Menu'!B:L, 6, 0)</f>
        <v>7.7586206896551726</v>
      </c>
      <c r="P1440" s="6">
        <f>VLOOKUP(B1440, 'All Menu'!B:L, 9, 0)</f>
        <v>4.373430966331612</v>
      </c>
      <c r="Q1440" s="14">
        <f>VLOOKUP(B1440, 'All Menu'!B:M, 12, 0)</f>
        <v>0.43631334211725892</v>
      </c>
      <c r="R1440" s="173">
        <f t="shared" si="79"/>
        <v>0</v>
      </c>
    </row>
    <row r="1441" spans="1:18" ht="14" hidden="1">
      <c r="A1441" s="78" t="s">
        <v>2696</v>
      </c>
      <c r="B1441" s="220" t="s">
        <v>1236</v>
      </c>
      <c r="C1441" s="185"/>
      <c r="D1441" s="103" t="str">
        <f>VLOOKUP(B1441, 'All Menu'!B:M, 4, 0)</f>
        <v>صفيحة ببندورة / نص كيلو</v>
      </c>
      <c r="E1441" s="30" t="str">
        <f>VLOOKUP(B1441, 'All Menu'!B:M, 2, 0)</f>
        <v>قسم الفرن</v>
      </c>
      <c r="F1441" s="103" t="str">
        <f>VLOOKUP(B1441, 'All Menu'!B:M, 3, 0)</f>
        <v>عجين سفري</v>
      </c>
      <c r="G1441" s="90" t="s">
        <v>3058</v>
      </c>
      <c r="H1441" s="188">
        <v>4269</v>
      </c>
      <c r="I1441" s="110" t="str">
        <f>VLOOKUP(H1441, 'RM &amp; SF'!B:H, 2, 0)</f>
        <v>بكجات مشاوي مطبوع رقم 3 1*50 حبة*****</v>
      </c>
      <c r="J1441" s="184" t="str">
        <f>VLOOKUP(H1441, 'RM &amp; SF'!B:E, 4, 0)</f>
        <v>قطعة</v>
      </c>
      <c r="K1441" s="12">
        <v>1</v>
      </c>
      <c r="L1441" s="13">
        <f>VLOOKUP(H1441, 'RM &amp; SF'!B:H, 7, 0)</f>
        <v>0.37068965517241381</v>
      </c>
      <c r="M1441" s="7">
        <f t="shared" ref="M1441:M1502" si="80">L1441*K1441</f>
        <v>0.37068965517241381</v>
      </c>
      <c r="N1441" s="4" t="s">
        <v>825</v>
      </c>
      <c r="O1441" s="4">
        <f>VLOOKUP(B1441, 'All Menu'!B:L, 6, 0)</f>
        <v>7.7586206896551726</v>
      </c>
      <c r="P1441" s="6">
        <f>VLOOKUP(B1441, 'All Menu'!B:L, 9, 0)</f>
        <v>4.373430966331612</v>
      </c>
      <c r="Q1441" s="14">
        <f>VLOOKUP(B1441, 'All Menu'!B:M, 12, 0)</f>
        <v>0.43631334211725892</v>
      </c>
      <c r="R1441" s="173">
        <f t="shared" si="79"/>
        <v>0</v>
      </c>
    </row>
    <row r="1442" spans="1:18" ht="14" hidden="1">
      <c r="A1442" s="78" t="s">
        <v>2696</v>
      </c>
      <c r="B1442" s="220" t="s">
        <v>1236</v>
      </c>
      <c r="C1442" s="185"/>
      <c r="D1442" s="103" t="str">
        <f>VLOOKUP(B1442, 'All Menu'!B:M, 4, 0)</f>
        <v>صفيحة ببندورة / نص كيلو</v>
      </c>
      <c r="E1442" s="30" t="str">
        <f>VLOOKUP(B1442, 'All Menu'!B:M, 2, 0)</f>
        <v>قسم الفرن</v>
      </c>
      <c r="F1442" s="103" t="str">
        <f>VLOOKUP(B1442, 'All Menu'!B:M, 3, 0)</f>
        <v>عجين سفري</v>
      </c>
      <c r="G1442" s="90" t="s">
        <v>3058</v>
      </c>
      <c r="H1442" s="188">
        <v>4156</v>
      </c>
      <c r="I1442" s="110" t="str">
        <f>VLOOKUP(H1442, 'RM &amp; SF'!B:H, 2, 0)</f>
        <v>دبس رمان ساشيه 1*1000 حبة*****</v>
      </c>
      <c r="J1442" s="184" t="str">
        <f>VLOOKUP(H1442, 'RM &amp; SF'!B:E, 4, 0)</f>
        <v>قطعة</v>
      </c>
      <c r="K1442" s="12">
        <v>5</v>
      </c>
      <c r="L1442" s="13">
        <f>VLOOKUP(H1442, 'RM &amp; SF'!B:H, 7, 0)</f>
        <v>3.2500000000000001E-2</v>
      </c>
      <c r="M1442" s="7">
        <f t="shared" si="80"/>
        <v>0.16250000000000001</v>
      </c>
      <c r="N1442" s="4" t="s">
        <v>825</v>
      </c>
      <c r="O1442" s="4">
        <f>VLOOKUP(B1442, 'All Menu'!B:L, 6, 0)</f>
        <v>7.7586206896551726</v>
      </c>
      <c r="P1442" s="6">
        <f>VLOOKUP(B1442, 'All Menu'!B:L, 9, 0)</f>
        <v>4.373430966331612</v>
      </c>
      <c r="Q1442" s="14">
        <f>VLOOKUP(B1442, 'All Menu'!B:M, 12, 0)</f>
        <v>0.43631334211725892</v>
      </c>
      <c r="R1442" s="173">
        <f t="shared" si="79"/>
        <v>0</v>
      </c>
    </row>
    <row r="1443" spans="1:18" ht="14" hidden="1">
      <c r="A1443" s="78" t="s">
        <v>2697</v>
      </c>
      <c r="B1443" s="220" t="s">
        <v>1237</v>
      </c>
      <c r="C1443" s="185"/>
      <c r="D1443" s="103" t="str">
        <f>VLOOKUP(B1443, 'All Menu'!B:M, 4, 0)</f>
        <v>صفيحة بلبن / نص كيلو</v>
      </c>
      <c r="E1443" s="30" t="str">
        <f>VLOOKUP(B1443, 'All Menu'!B:M, 2, 0)</f>
        <v>قسم الفرن</v>
      </c>
      <c r="F1443" s="103" t="str">
        <f>VLOOKUP(B1443, 'All Menu'!B:M, 3, 0)</f>
        <v>عجين سفري</v>
      </c>
      <c r="G1443" s="90" t="s">
        <v>2333</v>
      </c>
      <c r="H1443" s="219" t="s">
        <v>498</v>
      </c>
      <c r="I1443" s="110" t="str">
        <f>VLOOKUP(H1443, 'RM &amp; SF'!B:H, 2, 0)</f>
        <v>عجين الصفيحة والمناقيش</v>
      </c>
      <c r="J1443" s="184" t="str">
        <f>VLOOKUP(H1443, 'RM &amp; SF'!B:E, 4, 0)</f>
        <v>غم</v>
      </c>
      <c r="K1443" s="12">
        <v>600</v>
      </c>
      <c r="L1443" s="13">
        <f>VLOOKUP(H1443, 'RM &amp; SF'!B:H, 7, 0)</f>
        <v>4.659980972150147E-4</v>
      </c>
      <c r="M1443" s="7">
        <f t="shared" si="80"/>
        <v>0.27959885832900883</v>
      </c>
      <c r="N1443" s="4" t="s">
        <v>825</v>
      </c>
      <c r="O1443" s="4">
        <f>VLOOKUP(B1443, 'All Menu'!B:L, 6, 0)</f>
        <v>9.4827586206896566</v>
      </c>
      <c r="P1443" s="6">
        <f>VLOOKUP(B1443, 'All Menu'!B:L, 9, 0)</f>
        <v>8.1795960894717474</v>
      </c>
      <c r="Q1443" s="14">
        <f>VLOOKUP(B1443, 'All Menu'!B:M, 12, 0)</f>
        <v>0.13742441238297948</v>
      </c>
      <c r="R1443" s="173">
        <f t="shared" si="79"/>
        <v>0</v>
      </c>
    </row>
    <row r="1444" spans="1:18" ht="14" hidden="1">
      <c r="A1444" s="78" t="s">
        <v>2697</v>
      </c>
      <c r="B1444" s="220" t="s">
        <v>1237</v>
      </c>
      <c r="C1444" s="185"/>
      <c r="D1444" s="103" t="str">
        <f>VLOOKUP(B1444, 'All Menu'!B:M, 4, 0)</f>
        <v>صفيحة بلبن / نص كيلو</v>
      </c>
      <c r="E1444" s="30" t="str">
        <f>VLOOKUP(B1444, 'All Menu'!B:M, 2, 0)</f>
        <v>قسم الفرن</v>
      </c>
      <c r="F1444" s="103" t="str">
        <f>VLOOKUP(B1444, 'All Menu'!B:M, 3, 0)</f>
        <v>عجين سفري</v>
      </c>
      <c r="G1444" s="90" t="s">
        <v>2454</v>
      </c>
      <c r="H1444" s="219" t="s">
        <v>504</v>
      </c>
      <c r="I1444" s="110" t="str">
        <f>VLOOKUP(H1444, 'RM &amp; SF'!B:H, 2, 0)</f>
        <v>لحمة الصفيحة بلبن المشغل</v>
      </c>
      <c r="J1444" s="184" t="str">
        <f>VLOOKUP(H1444, 'RM &amp; SF'!B:E, 4, 0)</f>
        <v>غم</v>
      </c>
      <c r="K1444" s="12">
        <v>1300</v>
      </c>
      <c r="L1444" s="13">
        <f>VLOOKUP(H1444, 'RM &amp; SF'!B:H, 7, 0)</f>
        <v>5.666775058438712E-3</v>
      </c>
      <c r="M1444" s="7">
        <f t="shared" si="80"/>
        <v>7.3668075759703253</v>
      </c>
      <c r="N1444" s="4" t="s">
        <v>825</v>
      </c>
      <c r="O1444" s="4">
        <f>VLOOKUP(B1444, 'All Menu'!B:L, 6, 0)</f>
        <v>9.4827586206896566</v>
      </c>
      <c r="P1444" s="6">
        <f>VLOOKUP(B1444, 'All Menu'!B:L, 9, 0)</f>
        <v>8.1795960894717474</v>
      </c>
      <c r="Q1444" s="14">
        <f>VLOOKUP(B1444, 'All Menu'!B:M, 12, 0)</f>
        <v>0.13742441238297948</v>
      </c>
      <c r="R1444" s="173">
        <f t="shared" si="79"/>
        <v>0</v>
      </c>
    </row>
    <row r="1445" spans="1:18" ht="14" hidden="1">
      <c r="A1445" s="78" t="s">
        <v>2697</v>
      </c>
      <c r="B1445" s="220" t="s">
        <v>1237</v>
      </c>
      <c r="C1445" s="185"/>
      <c r="D1445" s="103" t="str">
        <f>VLOOKUP(B1445, 'All Menu'!B:M, 4, 0)</f>
        <v>صفيحة بلبن / نص كيلو</v>
      </c>
      <c r="E1445" s="30" t="str">
        <f>VLOOKUP(B1445, 'All Menu'!B:M, 2, 0)</f>
        <v>قسم الفرن</v>
      </c>
      <c r="F1445" s="103" t="str">
        <f>VLOOKUP(B1445, 'All Menu'!B:M, 3, 0)</f>
        <v>عجين سفري</v>
      </c>
      <c r="G1445" s="90" t="s">
        <v>3058</v>
      </c>
      <c r="H1445" s="188">
        <v>4269</v>
      </c>
      <c r="I1445" s="110" t="str">
        <f>VLOOKUP(H1445, 'RM &amp; SF'!B:H, 2, 0)</f>
        <v>بكجات مشاوي مطبوع رقم 3 1*50 حبة*****</v>
      </c>
      <c r="J1445" s="184" t="str">
        <f>VLOOKUP(H1445, 'RM &amp; SF'!B:E, 4, 0)</f>
        <v>قطعة</v>
      </c>
      <c r="K1445" s="12">
        <v>1</v>
      </c>
      <c r="L1445" s="13">
        <f>VLOOKUP(H1445, 'RM &amp; SF'!B:H, 7, 0)</f>
        <v>0.37068965517241381</v>
      </c>
      <c r="M1445" s="7">
        <f t="shared" si="80"/>
        <v>0.37068965517241381</v>
      </c>
      <c r="N1445" s="4" t="s">
        <v>825</v>
      </c>
      <c r="O1445" s="4">
        <f>VLOOKUP(B1445, 'All Menu'!B:L, 6, 0)</f>
        <v>9.4827586206896566</v>
      </c>
      <c r="P1445" s="6">
        <f>VLOOKUP(B1445, 'All Menu'!B:L, 9, 0)</f>
        <v>8.1795960894717474</v>
      </c>
      <c r="Q1445" s="14">
        <f>VLOOKUP(B1445, 'All Menu'!B:M, 12, 0)</f>
        <v>0.13742441238297948</v>
      </c>
      <c r="R1445" s="173">
        <f t="shared" si="79"/>
        <v>0</v>
      </c>
    </row>
    <row r="1446" spans="1:18" ht="14" hidden="1">
      <c r="A1446" s="78" t="s">
        <v>2697</v>
      </c>
      <c r="B1446" s="220" t="s">
        <v>1237</v>
      </c>
      <c r="C1446" s="185"/>
      <c r="D1446" s="103" t="str">
        <f>VLOOKUP(B1446, 'All Menu'!B:M, 4, 0)</f>
        <v>صفيحة بلبن / نص كيلو</v>
      </c>
      <c r="E1446" s="30" t="str">
        <f>VLOOKUP(B1446, 'All Menu'!B:M, 2, 0)</f>
        <v>قسم الفرن</v>
      </c>
      <c r="F1446" s="103" t="str">
        <f>VLOOKUP(B1446, 'All Menu'!B:M, 3, 0)</f>
        <v>عجين سفري</v>
      </c>
      <c r="G1446" s="90" t="s">
        <v>3058</v>
      </c>
      <c r="H1446" s="188">
        <v>4156</v>
      </c>
      <c r="I1446" s="110" t="str">
        <f>VLOOKUP(H1446, 'RM &amp; SF'!B:H, 2, 0)</f>
        <v>دبس رمان ساشيه 1*1000 حبة*****</v>
      </c>
      <c r="J1446" s="184" t="str">
        <f>VLOOKUP(H1446, 'RM &amp; SF'!B:E, 4, 0)</f>
        <v>قطعة</v>
      </c>
      <c r="K1446" s="12">
        <v>5</v>
      </c>
      <c r="L1446" s="13">
        <f>VLOOKUP(H1446, 'RM &amp; SF'!B:H, 7, 0)</f>
        <v>3.2500000000000001E-2</v>
      </c>
      <c r="M1446" s="7">
        <f t="shared" si="80"/>
        <v>0.16250000000000001</v>
      </c>
      <c r="N1446" s="4" t="s">
        <v>825</v>
      </c>
      <c r="O1446" s="4">
        <f>VLOOKUP(B1446, 'All Menu'!B:L, 6, 0)</f>
        <v>9.4827586206896566</v>
      </c>
      <c r="P1446" s="6">
        <f>VLOOKUP(B1446, 'All Menu'!B:L, 9, 0)</f>
        <v>8.1795960894717474</v>
      </c>
      <c r="Q1446" s="14">
        <f>VLOOKUP(B1446, 'All Menu'!B:M, 12, 0)</f>
        <v>0.13742441238297948</v>
      </c>
      <c r="R1446" s="173">
        <f t="shared" si="79"/>
        <v>0</v>
      </c>
    </row>
    <row r="1447" spans="1:18" ht="14" hidden="1">
      <c r="A1447" s="78" t="s">
        <v>2702</v>
      </c>
      <c r="B1447" s="220" t="s">
        <v>987</v>
      </c>
      <c r="C1447" s="185"/>
      <c r="D1447" s="103" t="str">
        <f>VLOOKUP(B1447, 'All Menu'!B:M, 4, 0)</f>
        <v>كبسة</v>
      </c>
      <c r="E1447" s="30" t="str">
        <f>VLOOKUP(B1447, 'All Menu'!B:M, 2, 0)</f>
        <v>قسم اللاين</v>
      </c>
      <c r="F1447" s="103" t="str">
        <f>VLOOKUP(B1447, 'All Menu'!B:M, 3, 0)</f>
        <v>الوجبات اليومية سفري</v>
      </c>
      <c r="G1447" s="90" t="s">
        <v>2388</v>
      </c>
      <c r="H1447" s="219" t="s">
        <v>558</v>
      </c>
      <c r="I1447" s="110" t="str">
        <f>VLOOKUP(H1447, 'RM &amp; SF'!B:H, 2, 0)</f>
        <v xml:space="preserve">كبسة </v>
      </c>
      <c r="J1447" s="184" t="str">
        <f>VLOOKUP(H1447, 'RM &amp; SF'!B:E, 4, 0)</f>
        <v>غم</v>
      </c>
      <c r="K1447" s="12">
        <v>500</v>
      </c>
      <c r="L1447" s="13">
        <f>VLOOKUP(H1447, 'RM &amp; SF'!B:H, 7, 0)</f>
        <v>6.3725786356821576E-4</v>
      </c>
      <c r="M1447" s="7">
        <f t="shared" si="80"/>
        <v>0.31862893178410789</v>
      </c>
      <c r="N1447" s="4" t="s">
        <v>825</v>
      </c>
      <c r="O1447" s="4">
        <f>VLOOKUP(B1447, 'All Menu'!B:L, 6, 0)</f>
        <v>2.5862068965517242</v>
      </c>
      <c r="P1447" s="6">
        <f>VLOOKUP(B1447, 'All Menu'!B:L, 9, 0)</f>
        <v>1.54633723868066</v>
      </c>
      <c r="Q1447" s="14">
        <f>VLOOKUP(B1447, 'All Menu'!B:M, 12, 0)</f>
        <v>0.40208293437681147</v>
      </c>
      <c r="R1447" s="173">
        <f t="shared" si="79"/>
        <v>0</v>
      </c>
    </row>
    <row r="1448" spans="1:18" ht="14" hidden="1">
      <c r="A1448" s="78" t="s">
        <v>2702</v>
      </c>
      <c r="B1448" s="220" t="s">
        <v>987</v>
      </c>
      <c r="C1448" s="185"/>
      <c r="D1448" s="103" t="str">
        <f>VLOOKUP(B1448, 'All Menu'!B:M, 4, 0)</f>
        <v>كبسة</v>
      </c>
      <c r="E1448" s="30" t="str">
        <f>VLOOKUP(B1448, 'All Menu'!B:M, 2, 0)</f>
        <v>قسم اللاين</v>
      </c>
      <c r="F1448" s="103" t="str">
        <f>VLOOKUP(B1448, 'All Menu'!B:M, 3, 0)</f>
        <v>الوجبات اليومية سفري</v>
      </c>
      <c r="G1448" s="90" t="s">
        <v>2417</v>
      </c>
      <c r="H1448" s="219" t="s">
        <v>544</v>
      </c>
      <c r="I1448" s="110" t="str">
        <f>VLOOKUP(H1448, 'RM &amp; SF'!B:H, 2, 0)</f>
        <v>دجاجة متبلة</v>
      </c>
      <c r="J1448" s="184" t="str">
        <f>VLOOKUP(H1448, 'RM &amp; SF'!B:E, 4, 0)</f>
        <v>قطعة</v>
      </c>
      <c r="K1448" s="12">
        <v>0.25</v>
      </c>
      <c r="L1448" s="13">
        <f>VLOOKUP(H1448, 'RM &amp; SF'!B:H, 7, 0)</f>
        <v>3.0853324000000004</v>
      </c>
      <c r="M1448" s="7">
        <f t="shared" si="80"/>
        <v>0.7713331000000001</v>
      </c>
      <c r="N1448" s="4" t="s">
        <v>825</v>
      </c>
      <c r="O1448" s="4">
        <f>VLOOKUP(B1448, 'All Menu'!B:L, 6, 0)</f>
        <v>2.5862068965517242</v>
      </c>
      <c r="P1448" s="6">
        <f>VLOOKUP(B1448, 'All Menu'!B:L, 9, 0)</f>
        <v>1.54633723868066</v>
      </c>
      <c r="Q1448" s="14">
        <f>VLOOKUP(B1448, 'All Menu'!B:M, 12, 0)</f>
        <v>0.40208293437681147</v>
      </c>
      <c r="R1448" s="173">
        <f t="shared" si="79"/>
        <v>0</v>
      </c>
    </row>
    <row r="1449" spans="1:18" ht="14" hidden="1">
      <c r="A1449" s="78" t="s">
        <v>2702</v>
      </c>
      <c r="B1449" s="220" t="s">
        <v>987</v>
      </c>
      <c r="C1449" s="185"/>
      <c r="D1449" s="103" t="str">
        <f>VLOOKUP(B1449, 'All Menu'!B:M, 4, 0)</f>
        <v>كبسة</v>
      </c>
      <c r="E1449" s="30" t="str">
        <f>VLOOKUP(B1449, 'All Menu'!B:M, 2, 0)</f>
        <v>قسم اللاين</v>
      </c>
      <c r="F1449" s="103" t="str">
        <f>VLOOKUP(B1449, 'All Menu'!B:M, 3, 0)</f>
        <v>الوجبات اليومية سفري</v>
      </c>
      <c r="G1449" s="90" t="s">
        <v>2341</v>
      </c>
      <c r="H1449" s="219" t="s">
        <v>706</v>
      </c>
      <c r="I1449" s="110" t="str">
        <f>VLOOKUP(H1449, 'RM &amp; SF'!B:H, 2, 0)</f>
        <v>لوز مقلي</v>
      </c>
      <c r="J1449" s="184" t="str">
        <f>VLOOKUP(H1449, 'RM &amp; SF'!B:E, 4, 0)</f>
        <v>غم</v>
      </c>
      <c r="K1449" s="12">
        <v>20</v>
      </c>
      <c r="L1449" s="13">
        <f>VLOOKUP(H1449, 'RM &amp; SF'!B:H, 7, 0)</f>
        <v>4.1352327586206888E-3</v>
      </c>
      <c r="M1449" s="7">
        <f t="shared" si="80"/>
        <v>8.270465517241378E-2</v>
      </c>
      <c r="N1449" s="4" t="s">
        <v>825</v>
      </c>
      <c r="O1449" s="4">
        <f>VLOOKUP(B1449, 'All Menu'!B:L, 6, 0)</f>
        <v>2.5862068965517242</v>
      </c>
      <c r="P1449" s="6">
        <f>VLOOKUP(B1449, 'All Menu'!B:L, 9, 0)</f>
        <v>1.54633723868066</v>
      </c>
      <c r="Q1449" s="14">
        <f>VLOOKUP(B1449, 'All Menu'!B:M, 12, 0)</f>
        <v>0.40208293437681147</v>
      </c>
      <c r="R1449" s="173">
        <f t="shared" si="79"/>
        <v>0</v>
      </c>
    </row>
    <row r="1450" spans="1:18" ht="14" hidden="1">
      <c r="A1450" s="78" t="s">
        <v>2702</v>
      </c>
      <c r="B1450" s="220" t="s">
        <v>987</v>
      </c>
      <c r="C1450" s="185"/>
      <c r="D1450" s="103" t="str">
        <f>VLOOKUP(B1450, 'All Menu'!B:M, 4, 0)</f>
        <v>كبسة</v>
      </c>
      <c r="E1450" s="30" t="str">
        <f>VLOOKUP(B1450, 'All Menu'!B:M, 2, 0)</f>
        <v>قسم اللاين</v>
      </c>
      <c r="F1450" s="103" t="str">
        <f>VLOOKUP(B1450, 'All Menu'!B:M, 3, 0)</f>
        <v>الوجبات اليومية سفري</v>
      </c>
      <c r="G1450" s="90" t="s">
        <v>2190</v>
      </c>
      <c r="H1450" s="188">
        <v>4279</v>
      </c>
      <c r="I1450" s="110" t="str">
        <f>VLOOKUP(H1450, 'RM &amp; SF'!B:H, 2, 0)</f>
        <v>علب ميكرويف مستطيل اسود مفرغة (احادي)*****</v>
      </c>
      <c r="J1450" s="184" t="str">
        <f>VLOOKUP(H1450, 'RM &amp; SF'!B:E, 4, 0)</f>
        <v>قطعة</v>
      </c>
      <c r="K1450" s="12">
        <v>1</v>
      </c>
      <c r="L1450" s="13">
        <f>VLOOKUP(H1450, 'RM &amp; SF'!B:H, 7, 0)</f>
        <v>9.4799999999999995E-2</v>
      </c>
      <c r="M1450" s="7">
        <f t="shared" si="80"/>
        <v>9.4799999999999995E-2</v>
      </c>
      <c r="N1450" s="4" t="s">
        <v>825</v>
      </c>
      <c r="O1450" s="4">
        <f>VLOOKUP(B1450, 'All Menu'!B:L, 6, 0)</f>
        <v>2.5862068965517242</v>
      </c>
      <c r="P1450" s="6">
        <f>VLOOKUP(B1450, 'All Menu'!B:L, 9, 0)</f>
        <v>1.54633723868066</v>
      </c>
      <c r="Q1450" s="14">
        <f>VLOOKUP(B1450, 'All Menu'!B:M, 12, 0)</f>
        <v>0.40208293437681147</v>
      </c>
      <c r="R1450" s="173">
        <f t="shared" si="79"/>
        <v>0</v>
      </c>
    </row>
    <row r="1451" spans="1:18" ht="14" hidden="1">
      <c r="A1451" s="78" t="s">
        <v>2702</v>
      </c>
      <c r="B1451" s="220" t="s">
        <v>987</v>
      </c>
      <c r="C1451" s="185"/>
      <c r="D1451" s="103" t="str">
        <f>VLOOKUP(B1451, 'All Menu'!B:M, 4, 0)</f>
        <v>كبسة</v>
      </c>
      <c r="E1451" s="30" t="str">
        <f>VLOOKUP(B1451, 'All Menu'!B:M, 2, 0)</f>
        <v>قسم اللاين</v>
      </c>
      <c r="F1451" s="103" t="str">
        <f>VLOOKUP(B1451, 'All Menu'!B:M, 3, 0)</f>
        <v>الوجبات اليومية سفري</v>
      </c>
      <c r="G1451" s="90" t="s">
        <v>3058</v>
      </c>
      <c r="H1451" s="188">
        <v>4266</v>
      </c>
      <c r="I1451" s="110" t="str">
        <f>VLOOKUP(H1451, 'RM &amp; SF'!B:H, 2, 0)</f>
        <v>اساور علب وجبات مطبوع 1*50 حبة*****</v>
      </c>
      <c r="J1451" s="184" t="str">
        <f>VLOOKUP(H1451, 'RM &amp; SF'!B:E, 4, 0)</f>
        <v>قطعة</v>
      </c>
      <c r="K1451" s="12">
        <v>1</v>
      </c>
      <c r="L1451" s="13">
        <f>VLOOKUP(H1451, 'RM &amp; SF'!B:H, 7, 0)</f>
        <v>6.3224137931034485E-2</v>
      </c>
      <c r="M1451" s="7">
        <f t="shared" si="80"/>
        <v>6.3224137931034485E-2</v>
      </c>
      <c r="N1451" s="4" t="s">
        <v>825</v>
      </c>
      <c r="O1451" s="4">
        <f>VLOOKUP(B1451, 'All Menu'!B:L, 6, 0)</f>
        <v>2.5862068965517242</v>
      </c>
      <c r="P1451" s="6">
        <f>VLOOKUP(B1451, 'All Menu'!B:L, 9, 0)</f>
        <v>1.54633723868066</v>
      </c>
      <c r="Q1451" s="14">
        <f>VLOOKUP(B1451, 'All Menu'!B:M, 12, 0)</f>
        <v>0.40208293437681147</v>
      </c>
      <c r="R1451" s="173">
        <f t="shared" ref="R1451:R1513" si="81">C1451*K1451</f>
        <v>0</v>
      </c>
    </row>
    <row r="1452" spans="1:18" ht="14" hidden="1">
      <c r="A1452" s="78" t="s">
        <v>2702</v>
      </c>
      <c r="B1452" s="220" t="s">
        <v>987</v>
      </c>
      <c r="C1452" s="185"/>
      <c r="D1452" s="103" t="str">
        <f>VLOOKUP(B1452, 'All Menu'!B:M, 4, 0)</f>
        <v>كبسة</v>
      </c>
      <c r="E1452" s="30" t="str">
        <f>VLOOKUP(B1452, 'All Menu'!B:M, 2, 0)</f>
        <v>قسم اللاين</v>
      </c>
      <c r="F1452" s="103" t="str">
        <f>VLOOKUP(B1452, 'All Menu'!B:M, 3, 0)</f>
        <v>الوجبات اليومية سفري</v>
      </c>
      <c r="G1452" s="90" t="s">
        <v>2195</v>
      </c>
      <c r="H1452" s="188">
        <v>4329</v>
      </c>
      <c r="I1452" s="110" t="str">
        <f>VLOOKUP(H1452, 'RM &amp; SF'!B:H, 2, 0)</f>
        <v>ملاعق بلاستيك مع معقم مطبوع 1*500 حبة*****</v>
      </c>
      <c r="J1452" s="184" t="str">
        <f>VLOOKUP(H1452, 'RM &amp; SF'!B:E, 4, 0)</f>
        <v>قطعة</v>
      </c>
      <c r="K1452" s="12">
        <v>1</v>
      </c>
      <c r="L1452" s="13">
        <f>VLOOKUP(H1452, 'RM &amp; SF'!B:H, 7, 0)</f>
        <v>4.7399999999999997E-4</v>
      </c>
      <c r="M1452" s="7">
        <f t="shared" si="80"/>
        <v>4.7399999999999997E-4</v>
      </c>
      <c r="N1452" s="4" t="s">
        <v>825</v>
      </c>
      <c r="O1452" s="4">
        <f>VLOOKUP(B1452, 'All Menu'!B:L, 6, 0)</f>
        <v>2.5862068965517242</v>
      </c>
      <c r="P1452" s="6">
        <f>VLOOKUP(B1452, 'All Menu'!B:L, 9, 0)</f>
        <v>1.54633723868066</v>
      </c>
      <c r="Q1452" s="14">
        <f>VLOOKUP(B1452, 'All Menu'!B:M, 12, 0)</f>
        <v>0.40208293437681147</v>
      </c>
      <c r="R1452" s="173">
        <f t="shared" si="81"/>
        <v>0</v>
      </c>
    </row>
    <row r="1453" spans="1:18" ht="14" hidden="1">
      <c r="A1453" s="78" t="s">
        <v>2702</v>
      </c>
      <c r="B1453" s="220" t="s">
        <v>987</v>
      </c>
      <c r="C1453" s="185"/>
      <c r="D1453" s="103" t="str">
        <f>VLOOKUP(B1453, 'All Menu'!B:M, 4, 0)</f>
        <v>كبسة</v>
      </c>
      <c r="E1453" s="30" t="str">
        <f>VLOOKUP(B1453, 'All Menu'!B:M, 2, 0)</f>
        <v>قسم اللاين</v>
      </c>
      <c r="F1453" s="103" t="str">
        <f>VLOOKUP(B1453, 'All Menu'!B:M, 3, 0)</f>
        <v>الوجبات اليومية سفري</v>
      </c>
      <c r="G1453" s="90" t="s">
        <v>2193</v>
      </c>
      <c r="H1453" s="188">
        <v>4309</v>
      </c>
      <c r="I1453" s="110" t="str">
        <f>VLOOKUP(H1453, 'RM &amp; SF'!B:H, 2, 0)</f>
        <v>اكياس بلاستيك مطبوع 55 سم*****</v>
      </c>
      <c r="J1453" s="184" t="str">
        <f>VLOOKUP(H1453, 'RM &amp; SF'!B:E, 4, 0)</f>
        <v>قطعة</v>
      </c>
      <c r="K1453" s="12">
        <v>1</v>
      </c>
      <c r="L1453" s="13">
        <f>VLOOKUP(H1453, 'RM &amp; SF'!B:H, 7, 0)</f>
        <v>5.5172413793103454E-2</v>
      </c>
      <c r="M1453" s="7">
        <f t="shared" si="80"/>
        <v>5.5172413793103454E-2</v>
      </c>
      <c r="N1453" s="4" t="s">
        <v>825</v>
      </c>
      <c r="O1453" s="4">
        <f>VLOOKUP(B1453, 'All Menu'!B:L, 6, 0)</f>
        <v>2.5862068965517242</v>
      </c>
      <c r="P1453" s="6">
        <f>VLOOKUP(B1453, 'All Menu'!B:L, 9, 0)</f>
        <v>1.54633723868066</v>
      </c>
      <c r="Q1453" s="14">
        <f>VLOOKUP(B1453, 'All Menu'!B:M, 12, 0)</f>
        <v>0.40208293437681147</v>
      </c>
      <c r="R1453" s="173">
        <f t="shared" si="81"/>
        <v>0</v>
      </c>
    </row>
    <row r="1454" spans="1:18" ht="14" hidden="1">
      <c r="A1454" s="78" t="s">
        <v>2702</v>
      </c>
      <c r="B1454" s="220" t="s">
        <v>987</v>
      </c>
      <c r="C1454" s="185"/>
      <c r="D1454" s="103" t="str">
        <f>VLOOKUP(B1454, 'All Menu'!B:M, 4, 0)</f>
        <v>كبسة</v>
      </c>
      <c r="E1454" s="30" t="str">
        <f>VLOOKUP(B1454, 'All Menu'!B:M, 2, 0)</f>
        <v>قسم اللاين</v>
      </c>
      <c r="F1454" s="103" t="str">
        <f>VLOOKUP(B1454, 'All Menu'!B:M, 3, 0)</f>
        <v>الوجبات اليومية سفري</v>
      </c>
      <c r="G1454" s="90" t="s">
        <v>2185</v>
      </c>
      <c r="H1454" s="188">
        <v>4550</v>
      </c>
      <c r="I1454" s="110" t="str">
        <f>VLOOKUP(H1454, 'RM &amp; SF'!B:H, 2, 0)</f>
        <v>*****لبن زبادي 150 غم</v>
      </c>
      <c r="J1454" s="184" t="str">
        <f>VLOOKUP(H1454, 'RM &amp; SF'!B:E, 4, 0)</f>
        <v>قطعة</v>
      </c>
      <c r="K1454" s="12">
        <v>1</v>
      </c>
      <c r="L1454" s="13">
        <f>VLOOKUP(H1454, 'RM &amp; SF'!B:H, 7, 0)</f>
        <v>0.16</v>
      </c>
      <c r="M1454" s="7">
        <f t="shared" si="80"/>
        <v>0.16</v>
      </c>
      <c r="N1454" s="4" t="s">
        <v>825</v>
      </c>
      <c r="O1454" s="4">
        <f>VLOOKUP(B1454, 'All Menu'!B:L, 6, 0)</f>
        <v>2.5862068965517242</v>
      </c>
      <c r="P1454" s="6">
        <f>VLOOKUP(B1454, 'All Menu'!B:L, 9, 0)</f>
        <v>1.54633723868066</v>
      </c>
      <c r="Q1454" s="14">
        <f>VLOOKUP(B1454, 'All Menu'!B:M, 12, 0)</f>
        <v>0.40208293437681147</v>
      </c>
      <c r="R1454" s="173">
        <f t="shared" si="81"/>
        <v>0</v>
      </c>
    </row>
    <row r="1455" spans="1:18" ht="14" hidden="1">
      <c r="A1455" s="78" t="s">
        <v>2703</v>
      </c>
      <c r="B1455" s="220" t="s">
        <v>988</v>
      </c>
      <c r="C1455" s="185"/>
      <c r="D1455" s="103" t="str">
        <f>VLOOKUP(B1455, 'All Menu'!B:M, 4, 0)</f>
        <v>مندي</v>
      </c>
      <c r="E1455" s="30" t="str">
        <f>VLOOKUP(B1455, 'All Menu'!B:M, 2, 0)</f>
        <v>قسم اللاين</v>
      </c>
      <c r="F1455" s="103" t="str">
        <f>VLOOKUP(B1455, 'All Menu'!B:M, 3, 0)</f>
        <v>الوجبات اليومية سفري</v>
      </c>
      <c r="G1455" s="90" t="s">
        <v>2387</v>
      </c>
      <c r="H1455" s="219" t="s">
        <v>554</v>
      </c>
      <c r="I1455" s="110" t="str">
        <f>VLOOKUP(H1455, 'RM &amp; SF'!B:H, 2, 0)</f>
        <v>مندي</v>
      </c>
      <c r="J1455" s="184" t="str">
        <f>VLOOKUP(H1455, 'RM &amp; SF'!B:E, 4, 0)</f>
        <v>غم</v>
      </c>
      <c r="K1455" s="12">
        <v>450</v>
      </c>
      <c r="L1455" s="13">
        <f>VLOOKUP(H1455, 'RM &amp; SF'!B:H, 7, 0)</f>
        <v>4.9271573151695748E-4</v>
      </c>
      <c r="M1455" s="7">
        <f t="shared" si="80"/>
        <v>0.22172207918263087</v>
      </c>
      <c r="N1455" s="4" t="s">
        <v>825</v>
      </c>
      <c r="O1455" s="4">
        <f>VLOOKUP(B1455, 'All Menu'!B:L, 6, 0)</f>
        <v>2.5862068965517242</v>
      </c>
      <c r="P1455" s="6">
        <f>VLOOKUP(B1455, 'All Menu'!B:L, 9, 0)</f>
        <v>1.7098010721424013</v>
      </c>
      <c r="Q1455" s="14">
        <f>VLOOKUP(B1455, 'All Menu'!B:M, 12, 0)</f>
        <v>0.33887691877160486</v>
      </c>
      <c r="R1455" s="173">
        <f t="shared" si="81"/>
        <v>0</v>
      </c>
    </row>
    <row r="1456" spans="1:18" ht="14" hidden="1">
      <c r="A1456" s="78" t="s">
        <v>2703</v>
      </c>
      <c r="B1456" s="220" t="s">
        <v>988</v>
      </c>
      <c r="C1456" s="185"/>
      <c r="D1456" s="103" t="str">
        <f>VLOOKUP(B1456, 'All Menu'!B:M, 4, 0)</f>
        <v>مندي</v>
      </c>
      <c r="E1456" s="30" t="str">
        <f>VLOOKUP(B1456, 'All Menu'!B:M, 2, 0)</f>
        <v>قسم اللاين</v>
      </c>
      <c r="F1456" s="103" t="str">
        <f>VLOOKUP(B1456, 'All Menu'!B:M, 3, 0)</f>
        <v>الوجبات اليومية سفري</v>
      </c>
      <c r="G1456" s="90" t="s">
        <v>2417</v>
      </c>
      <c r="H1456" s="219" t="s">
        <v>544</v>
      </c>
      <c r="I1456" s="110" t="str">
        <f>VLOOKUP(H1456, 'RM &amp; SF'!B:H, 2, 0)</f>
        <v>دجاجة متبلة</v>
      </c>
      <c r="J1456" s="184" t="str">
        <f>VLOOKUP(H1456, 'RM &amp; SF'!B:E, 4, 0)</f>
        <v>قطعة</v>
      </c>
      <c r="K1456" s="12">
        <v>0.25</v>
      </c>
      <c r="L1456" s="13">
        <f>VLOOKUP(H1456, 'RM &amp; SF'!B:H, 7, 0)</f>
        <v>3.0853324000000004</v>
      </c>
      <c r="M1456" s="7">
        <f t="shared" si="80"/>
        <v>0.7713331000000001</v>
      </c>
      <c r="N1456" s="4" t="s">
        <v>825</v>
      </c>
      <c r="O1456" s="4">
        <f>VLOOKUP(B1456, 'All Menu'!B:L, 6, 0)</f>
        <v>2.5862068965517242</v>
      </c>
      <c r="P1456" s="6">
        <f>VLOOKUP(B1456, 'All Menu'!B:L, 9, 0)</f>
        <v>1.7098010721424013</v>
      </c>
      <c r="Q1456" s="14">
        <f>VLOOKUP(B1456, 'All Menu'!B:M, 12, 0)</f>
        <v>0.33887691877160486</v>
      </c>
      <c r="R1456" s="173">
        <f t="shared" si="81"/>
        <v>0</v>
      </c>
    </row>
    <row r="1457" spans="1:18" ht="14" hidden="1">
      <c r="A1457" s="78" t="s">
        <v>2703</v>
      </c>
      <c r="B1457" s="220" t="s">
        <v>988</v>
      </c>
      <c r="C1457" s="185"/>
      <c r="D1457" s="103" t="str">
        <f>VLOOKUP(B1457, 'All Menu'!B:M, 4, 0)</f>
        <v>مندي</v>
      </c>
      <c r="E1457" s="30" t="str">
        <f>VLOOKUP(B1457, 'All Menu'!B:M, 2, 0)</f>
        <v>قسم اللاين</v>
      </c>
      <c r="F1457" s="103" t="str">
        <f>VLOOKUP(B1457, 'All Menu'!B:M, 3, 0)</f>
        <v>الوجبات اليومية سفري</v>
      </c>
      <c r="G1457" s="90" t="s">
        <v>3058</v>
      </c>
      <c r="H1457" s="219" t="s">
        <v>3043</v>
      </c>
      <c r="I1457" s="110" t="str">
        <f>VLOOKUP(H1457, 'RM &amp; SF'!B:H, 2, 0)</f>
        <v>علبة لوز مقلي 25 غرام</v>
      </c>
      <c r="J1457" s="184" t="str">
        <f>VLOOKUP(H1457, 'RM &amp; SF'!B:E, 4, 0)</f>
        <v>قطعة</v>
      </c>
      <c r="K1457" s="12">
        <v>25</v>
      </c>
      <c r="L1457" s="13">
        <f>VLOOKUP(H1457, 'RM &amp; SF'!B:H, 7, 0)</f>
        <v>1.3723013649425287E-2</v>
      </c>
      <c r="M1457" s="7">
        <f t="shared" si="80"/>
        <v>0.34307534123563216</v>
      </c>
      <c r="N1457" s="4" t="s">
        <v>825</v>
      </c>
      <c r="O1457" s="4">
        <f>VLOOKUP(B1457, 'All Menu'!B:L, 6, 0)</f>
        <v>2.5862068965517242</v>
      </c>
      <c r="P1457" s="6">
        <f>VLOOKUP(B1457, 'All Menu'!B:L, 9, 0)</f>
        <v>1.7098010721424013</v>
      </c>
      <c r="Q1457" s="14">
        <f>VLOOKUP(B1457, 'All Menu'!B:M, 12, 0)</f>
        <v>0.33887691877160486</v>
      </c>
      <c r="R1457" s="173">
        <f t="shared" si="81"/>
        <v>0</v>
      </c>
    </row>
    <row r="1458" spans="1:18" ht="14" hidden="1">
      <c r="A1458" s="78" t="s">
        <v>2703</v>
      </c>
      <c r="B1458" s="220" t="s">
        <v>988</v>
      </c>
      <c r="C1458" s="185"/>
      <c r="D1458" s="103" t="str">
        <f>VLOOKUP(B1458, 'All Menu'!B:M, 4, 0)</f>
        <v>مندي</v>
      </c>
      <c r="E1458" s="30" t="str">
        <f>VLOOKUP(B1458, 'All Menu'!B:M, 2, 0)</f>
        <v>قسم اللاين</v>
      </c>
      <c r="F1458" s="103" t="str">
        <f>VLOOKUP(B1458, 'All Menu'!B:M, 3, 0)</f>
        <v>الوجبات اليومية سفري</v>
      </c>
      <c r="G1458" s="90" t="s">
        <v>2190</v>
      </c>
      <c r="H1458" s="188">
        <v>4279</v>
      </c>
      <c r="I1458" s="110" t="str">
        <f>VLOOKUP(H1458, 'RM &amp; SF'!B:H, 2, 0)</f>
        <v>علب ميكرويف مستطيل اسود مفرغة (احادي)*****</v>
      </c>
      <c r="J1458" s="184" t="str">
        <f>VLOOKUP(H1458, 'RM &amp; SF'!B:E, 4, 0)</f>
        <v>قطعة</v>
      </c>
      <c r="K1458" s="12">
        <v>1</v>
      </c>
      <c r="L1458" s="13">
        <f>VLOOKUP(H1458, 'RM &amp; SF'!B:H, 7, 0)</f>
        <v>9.4799999999999995E-2</v>
      </c>
      <c r="M1458" s="7">
        <f t="shared" si="80"/>
        <v>9.4799999999999995E-2</v>
      </c>
      <c r="N1458" s="4" t="s">
        <v>825</v>
      </c>
      <c r="O1458" s="4">
        <f>VLOOKUP(B1458, 'All Menu'!B:L, 6, 0)</f>
        <v>2.5862068965517242</v>
      </c>
      <c r="P1458" s="6">
        <f>VLOOKUP(B1458, 'All Menu'!B:L, 9, 0)</f>
        <v>1.7098010721424013</v>
      </c>
      <c r="Q1458" s="14">
        <f>VLOOKUP(B1458, 'All Menu'!B:M, 12, 0)</f>
        <v>0.33887691877160486</v>
      </c>
      <c r="R1458" s="173">
        <f t="shared" si="81"/>
        <v>0</v>
      </c>
    </row>
    <row r="1459" spans="1:18" ht="14" hidden="1">
      <c r="A1459" s="78" t="s">
        <v>2703</v>
      </c>
      <c r="B1459" s="220" t="s">
        <v>988</v>
      </c>
      <c r="C1459" s="185"/>
      <c r="D1459" s="103" t="str">
        <f>VLOOKUP(B1459, 'All Menu'!B:M, 4, 0)</f>
        <v>مندي</v>
      </c>
      <c r="E1459" s="30" t="str">
        <f>VLOOKUP(B1459, 'All Menu'!B:M, 2, 0)</f>
        <v>قسم اللاين</v>
      </c>
      <c r="F1459" s="103" t="str">
        <f>VLOOKUP(B1459, 'All Menu'!B:M, 3, 0)</f>
        <v>الوجبات اليومية سفري</v>
      </c>
      <c r="G1459" s="90" t="s">
        <v>3058</v>
      </c>
      <c r="H1459" s="188">
        <v>4266</v>
      </c>
      <c r="I1459" s="110" t="str">
        <f>VLOOKUP(H1459, 'RM &amp; SF'!B:H, 2, 0)</f>
        <v>اساور علب وجبات مطبوع 1*50 حبة*****</v>
      </c>
      <c r="J1459" s="184" t="str">
        <f>VLOOKUP(H1459, 'RM &amp; SF'!B:E, 4, 0)</f>
        <v>قطعة</v>
      </c>
      <c r="K1459" s="12">
        <v>1</v>
      </c>
      <c r="L1459" s="13">
        <f>VLOOKUP(H1459, 'RM &amp; SF'!B:H, 7, 0)</f>
        <v>6.3224137931034485E-2</v>
      </c>
      <c r="M1459" s="7">
        <f t="shared" si="80"/>
        <v>6.3224137931034485E-2</v>
      </c>
      <c r="N1459" s="4" t="s">
        <v>825</v>
      </c>
      <c r="O1459" s="4">
        <f>VLOOKUP(B1459, 'All Menu'!B:L, 6, 0)</f>
        <v>2.5862068965517242</v>
      </c>
      <c r="P1459" s="6">
        <f>VLOOKUP(B1459, 'All Menu'!B:L, 9, 0)</f>
        <v>1.7098010721424013</v>
      </c>
      <c r="Q1459" s="14">
        <f>VLOOKUP(B1459, 'All Menu'!B:M, 12, 0)</f>
        <v>0.33887691877160486</v>
      </c>
      <c r="R1459" s="173">
        <f t="shared" si="81"/>
        <v>0</v>
      </c>
    </row>
    <row r="1460" spans="1:18" ht="14" hidden="1">
      <c r="A1460" s="78" t="s">
        <v>2703</v>
      </c>
      <c r="B1460" s="220" t="s">
        <v>988</v>
      </c>
      <c r="C1460" s="185"/>
      <c r="D1460" s="103" t="str">
        <f>VLOOKUP(B1460, 'All Menu'!B:M, 4, 0)</f>
        <v>مندي</v>
      </c>
      <c r="E1460" s="30" t="str">
        <f>VLOOKUP(B1460, 'All Menu'!B:M, 2, 0)</f>
        <v>قسم اللاين</v>
      </c>
      <c r="F1460" s="103" t="str">
        <f>VLOOKUP(B1460, 'All Menu'!B:M, 3, 0)</f>
        <v>الوجبات اليومية سفري</v>
      </c>
      <c r="G1460" s="90" t="s">
        <v>2195</v>
      </c>
      <c r="H1460" s="188">
        <v>4329</v>
      </c>
      <c r="I1460" s="110" t="str">
        <f>VLOOKUP(H1460, 'RM &amp; SF'!B:H, 2, 0)</f>
        <v>ملاعق بلاستيك مع معقم مطبوع 1*500 حبة*****</v>
      </c>
      <c r="J1460" s="184" t="str">
        <f>VLOOKUP(H1460, 'RM &amp; SF'!B:E, 4, 0)</f>
        <v>قطعة</v>
      </c>
      <c r="K1460" s="12">
        <v>1</v>
      </c>
      <c r="L1460" s="13">
        <f>VLOOKUP(H1460, 'RM &amp; SF'!B:H, 7, 0)</f>
        <v>4.7399999999999997E-4</v>
      </c>
      <c r="M1460" s="7">
        <f t="shared" si="80"/>
        <v>4.7399999999999997E-4</v>
      </c>
      <c r="N1460" s="4" t="s">
        <v>825</v>
      </c>
      <c r="O1460" s="4">
        <f>VLOOKUP(B1460, 'All Menu'!B:L, 6, 0)</f>
        <v>2.5862068965517242</v>
      </c>
      <c r="P1460" s="6">
        <f>VLOOKUP(B1460, 'All Menu'!B:L, 9, 0)</f>
        <v>1.7098010721424013</v>
      </c>
      <c r="Q1460" s="14">
        <f>VLOOKUP(B1460, 'All Menu'!B:M, 12, 0)</f>
        <v>0.33887691877160486</v>
      </c>
      <c r="R1460" s="173">
        <f t="shared" si="81"/>
        <v>0</v>
      </c>
    </row>
    <row r="1461" spans="1:18" ht="14" hidden="1">
      <c r="A1461" s="78" t="s">
        <v>2703</v>
      </c>
      <c r="B1461" s="220" t="s">
        <v>988</v>
      </c>
      <c r="C1461" s="185"/>
      <c r="D1461" s="103" t="str">
        <f>VLOOKUP(B1461, 'All Menu'!B:M, 4, 0)</f>
        <v>مندي</v>
      </c>
      <c r="E1461" s="30" t="str">
        <f>VLOOKUP(B1461, 'All Menu'!B:M, 2, 0)</f>
        <v>قسم اللاين</v>
      </c>
      <c r="F1461" s="103" t="str">
        <f>VLOOKUP(B1461, 'All Menu'!B:M, 3, 0)</f>
        <v>الوجبات اليومية سفري</v>
      </c>
      <c r="G1461" s="90" t="s">
        <v>2193</v>
      </c>
      <c r="H1461" s="188">
        <v>4309</v>
      </c>
      <c r="I1461" s="110" t="str">
        <f>VLOOKUP(H1461, 'RM &amp; SF'!B:H, 2, 0)</f>
        <v>اكياس بلاستيك مطبوع 55 سم*****</v>
      </c>
      <c r="J1461" s="184" t="str">
        <f>VLOOKUP(H1461, 'RM &amp; SF'!B:E, 4, 0)</f>
        <v>قطعة</v>
      </c>
      <c r="K1461" s="12">
        <v>1</v>
      </c>
      <c r="L1461" s="13">
        <f>VLOOKUP(H1461, 'RM &amp; SF'!B:H, 7, 0)</f>
        <v>5.5172413793103454E-2</v>
      </c>
      <c r="M1461" s="7">
        <f t="shared" si="80"/>
        <v>5.5172413793103454E-2</v>
      </c>
      <c r="N1461" s="4" t="s">
        <v>825</v>
      </c>
      <c r="O1461" s="4">
        <f>VLOOKUP(B1461, 'All Menu'!B:L, 6, 0)</f>
        <v>2.5862068965517242</v>
      </c>
      <c r="P1461" s="6">
        <f>VLOOKUP(B1461, 'All Menu'!B:L, 9, 0)</f>
        <v>1.7098010721424013</v>
      </c>
      <c r="Q1461" s="14">
        <f>VLOOKUP(B1461, 'All Menu'!B:M, 12, 0)</f>
        <v>0.33887691877160486</v>
      </c>
      <c r="R1461" s="173">
        <f t="shared" si="81"/>
        <v>0</v>
      </c>
    </row>
    <row r="1462" spans="1:18" ht="14" hidden="1">
      <c r="A1462" s="78" t="s">
        <v>2703</v>
      </c>
      <c r="B1462" s="220" t="s">
        <v>988</v>
      </c>
      <c r="C1462" s="185"/>
      <c r="D1462" s="103" t="str">
        <f>VLOOKUP(B1462, 'All Menu'!B:M, 4, 0)</f>
        <v>مندي</v>
      </c>
      <c r="E1462" s="30" t="str">
        <f>VLOOKUP(B1462, 'All Menu'!B:M, 2, 0)</f>
        <v>قسم اللاين</v>
      </c>
      <c r="F1462" s="103" t="str">
        <f>VLOOKUP(B1462, 'All Menu'!B:M, 3, 0)</f>
        <v>الوجبات اليومية سفري</v>
      </c>
      <c r="G1462" s="90" t="s">
        <v>2185</v>
      </c>
      <c r="H1462" s="188">
        <v>4550</v>
      </c>
      <c r="I1462" s="110" t="str">
        <f>VLOOKUP(H1462, 'RM &amp; SF'!B:H, 2, 0)</f>
        <v>*****لبن زبادي 150 غم</v>
      </c>
      <c r="J1462" s="184" t="str">
        <f>VLOOKUP(H1462, 'RM &amp; SF'!B:E, 4, 0)</f>
        <v>قطعة</v>
      </c>
      <c r="K1462" s="12">
        <v>1</v>
      </c>
      <c r="L1462" s="13">
        <f>VLOOKUP(H1462, 'RM &amp; SF'!B:H, 7, 0)</f>
        <v>0.16</v>
      </c>
      <c r="M1462" s="7">
        <f t="shared" si="80"/>
        <v>0.16</v>
      </c>
      <c r="N1462" s="4" t="s">
        <v>825</v>
      </c>
      <c r="O1462" s="4">
        <f>VLOOKUP(B1462, 'All Menu'!B:L, 6, 0)</f>
        <v>2.5862068965517242</v>
      </c>
      <c r="P1462" s="6">
        <f>VLOOKUP(B1462, 'All Menu'!B:L, 9, 0)</f>
        <v>1.7098010721424013</v>
      </c>
      <c r="Q1462" s="14">
        <f>VLOOKUP(B1462, 'All Menu'!B:M, 12, 0)</f>
        <v>0.33887691877160486</v>
      </c>
      <c r="R1462" s="173">
        <f t="shared" si="81"/>
        <v>0</v>
      </c>
    </row>
    <row r="1463" spans="1:18" ht="14" hidden="1">
      <c r="A1463" s="78" t="s">
        <v>2709</v>
      </c>
      <c r="B1463" s="220" t="s">
        <v>989</v>
      </c>
      <c r="C1463" s="185"/>
      <c r="D1463" s="103" t="str">
        <f>VLOOKUP(B1463, 'All Menu'!B:M, 4, 0)</f>
        <v>زربيان</v>
      </c>
      <c r="E1463" s="30" t="str">
        <f>VLOOKUP(B1463, 'All Menu'!B:M, 2, 0)</f>
        <v>قسم اللاين</v>
      </c>
      <c r="F1463" s="103" t="str">
        <f>VLOOKUP(B1463, 'All Menu'!B:M, 3, 0)</f>
        <v>الوجبات اليومية سفري</v>
      </c>
      <c r="G1463" s="90" t="s">
        <v>2393</v>
      </c>
      <c r="H1463" s="219" t="s">
        <v>542</v>
      </c>
      <c r="I1463" s="110" t="str">
        <f>VLOOKUP(H1463, 'RM &amp; SF'!B:H, 2, 0)</f>
        <v>رز زربيان</v>
      </c>
      <c r="J1463" s="184" t="str">
        <f>VLOOKUP(H1463, 'RM &amp; SF'!B:E, 4, 0)</f>
        <v>غم</v>
      </c>
      <c r="K1463" s="12">
        <v>500</v>
      </c>
      <c r="L1463" s="13">
        <f>VLOOKUP(H1463, 'RM &amp; SF'!B:H, 7, 0)</f>
        <v>5.2538680076628355E-4</v>
      </c>
      <c r="M1463" s="7">
        <f t="shared" si="80"/>
        <v>0.26269340038314176</v>
      </c>
      <c r="N1463" s="4" t="s">
        <v>825</v>
      </c>
      <c r="O1463" s="4">
        <f>VLOOKUP(B1463, 'All Menu'!B:L, 6, 0)</f>
        <v>2.5862068965517242</v>
      </c>
      <c r="P1463" s="6">
        <f>VLOOKUP(B1463, 'All Menu'!B:L, 9, 0)</f>
        <v>1.4352292934865902</v>
      </c>
      <c r="Q1463" s="14">
        <f>VLOOKUP(B1463, 'All Menu'!B:M, 12, 0)</f>
        <v>0.44504467318518515</v>
      </c>
      <c r="R1463" s="173">
        <f t="shared" si="81"/>
        <v>0</v>
      </c>
    </row>
    <row r="1464" spans="1:18" ht="14" hidden="1">
      <c r="A1464" s="78" t="s">
        <v>2709</v>
      </c>
      <c r="B1464" s="220" t="s">
        <v>989</v>
      </c>
      <c r="C1464" s="185"/>
      <c r="D1464" s="103" t="str">
        <f>VLOOKUP(B1464, 'All Menu'!B:M, 4, 0)</f>
        <v>زربيان</v>
      </c>
      <c r="E1464" s="30" t="str">
        <f>VLOOKUP(B1464, 'All Menu'!B:M, 2, 0)</f>
        <v>قسم اللاين</v>
      </c>
      <c r="F1464" s="103" t="str">
        <f>VLOOKUP(B1464, 'All Menu'!B:M, 3, 0)</f>
        <v>الوجبات اليومية سفري</v>
      </c>
      <c r="G1464" s="90" t="s">
        <v>2417</v>
      </c>
      <c r="H1464" s="219" t="s">
        <v>544</v>
      </c>
      <c r="I1464" s="110" t="str">
        <f>VLOOKUP(H1464, 'RM &amp; SF'!B:H, 2, 0)</f>
        <v>دجاجة متبلة</v>
      </c>
      <c r="J1464" s="184" t="str">
        <f>VLOOKUP(H1464, 'RM &amp; SF'!B:E, 4, 0)</f>
        <v>قطعة</v>
      </c>
      <c r="K1464" s="12">
        <v>0.25</v>
      </c>
      <c r="L1464" s="13">
        <f>VLOOKUP(H1464, 'RM &amp; SF'!B:H, 7, 0)</f>
        <v>3.0853324000000004</v>
      </c>
      <c r="M1464" s="7">
        <f t="shared" si="80"/>
        <v>0.7713331000000001</v>
      </c>
      <c r="N1464" s="4" t="s">
        <v>825</v>
      </c>
      <c r="O1464" s="4">
        <f>VLOOKUP(B1464, 'All Menu'!B:L, 6, 0)</f>
        <v>2.5862068965517242</v>
      </c>
      <c r="P1464" s="6">
        <f>VLOOKUP(B1464, 'All Menu'!B:L, 9, 0)</f>
        <v>1.4352292934865902</v>
      </c>
      <c r="Q1464" s="14">
        <f>VLOOKUP(B1464, 'All Menu'!B:M, 12, 0)</f>
        <v>0.44504467318518515</v>
      </c>
      <c r="R1464" s="173">
        <f t="shared" si="81"/>
        <v>0</v>
      </c>
    </row>
    <row r="1465" spans="1:18" ht="14" hidden="1">
      <c r="A1465" s="78" t="s">
        <v>2709</v>
      </c>
      <c r="B1465" s="220" t="s">
        <v>989</v>
      </c>
      <c r="C1465" s="185"/>
      <c r="D1465" s="103" t="str">
        <f>VLOOKUP(B1465, 'All Menu'!B:M, 4, 0)</f>
        <v>زربيان</v>
      </c>
      <c r="E1465" s="30" t="str">
        <f>VLOOKUP(B1465, 'All Menu'!B:M, 2, 0)</f>
        <v>قسم اللاين</v>
      </c>
      <c r="F1465" s="103" t="str">
        <f>VLOOKUP(B1465, 'All Menu'!B:M, 3, 0)</f>
        <v>الوجبات اليومية سفري</v>
      </c>
      <c r="G1465" s="90" t="s">
        <v>2341</v>
      </c>
      <c r="H1465" s="219" t="s">
        <v>706</v>
      </c>
      <c r="I1465" s="110" t="str">
        <f>VLOOKUP(H1465, 'RM &amp; SF'!B:H, 2, 0)</f>
        <v>لوز مقلي</v>
      </c>
      <c r="J1465" s="184" t="str">
        <f>VLOOKUP(H1465, 'RM &amp; SF'!B:E, 4, 0)</f>
        <v>غم</v>
      </c>
      <c r="K1465" s="12">
        <v>20</v>
      </c>
      <c r="L1465" s="13">
        <f>VLOOKUP(H1465, 'RM &amp; SF'!B:H, 7, 0)</f>
        <v>4.1352327586206888E-3</v>
      </c>
      <c r="M1465" s="7">
        <f t="shared" si="80"/>
        <v>8.270465517241378E-2</v>
      </c>
      <c r="N1465" s="4" t="s">
        <v>825</v>
      </c>
      <c r="O1465" s="4">
        <f>VLOOKUP(B1465, 'All Menu'!B:L, 6, 0)</f>
        <v>2.5862068965517242</v>
      </c>
      <c r="P1465" s="6">
        <f>VLOOKUP(B1465, 'All Menu'!B:L, 9, 0)</f>
        <v>1.4352292934865902</v>
      </c>
      <c r="Q1465" s="14">
        <f>VLOOKUP(B1465, 'All Menu'!B:M, 12, 0)</f>
        <v>0.44504467318518515</v>
      </c>
      <c r="R1465" s="173">
        <f t="shared" si="81"/>
        <v>0</v>
      </c>
    </row>
    <row r="1466" spans="1:18" ht="14" hidden="1">
      <c r="A1466" s="78" t="s">
        <v>2709</v>
      </c>
      <c r="B1466" s="220" t="s">
        <v>989</v>
      </c>
      <c r="C1466" s="185"/>
      <c r="D1466" s="103" t="str">
        <f>VLOOKUP(B1466, 'All Menu'!B:M, 4, 0)</f>
        <v>زربيان</v>
      </c>
      <c r="E1466" s="30" t="str">
        <f>VLOOKUP(B1466, 'All Menu'!B:M, 2, 0)</f>
        <v>قسم اللاين</v>
      </c>
      <c r="F1466" s="103" t="str">
        <f>VLOOKUP(B1466, 'All Menu'!B:M, 3, 0)</f>
        <v>الوجبات اليومية سفري</v>
      </c>
      <c r="G1466" s="90" t="s">
        <v>2190</v>
      </c>
      <c r="H1466" s="188">
        <v>4279</v>
      </c>
      <c r="I1466" s="110" t="str">
        <f>VLOOKUP(H1466, 'RM &amp; SF'!B:H, 2, 0)</f>
        <v>علب ميكرويف مستطيل اسود مفرغة (احادي)*****</v>
      </c>
      <c r="J1466" s="184" t="str">
        <f>VLOOKUP(H1466, 'RM &amp; SF'!B:E, 4, 0)</f>
        <v>قطعة</v>
      </c>
      <c r="K1466" s="12">
        <v>1</v>
      </c>
      <c r="L1466" s="13">
        <f>VLOOKUP(H1466, 'RM &amp; SF'!B:H, 7, 0)</f>
        <v>9.4799999999999995E-2</v>
      </c>
      <c r="M1466" s="7">
        <f t="shared" si="80"/>
        <v>9.4799999999999995E-2</v>
      </c>
      <c r="N1466" s="4" t="s">
        <v>825</v>
      </c>
      <c r="O1466" s="4">
        <f>VLOOKUP(B1466, 'All Menu'!B:L, 6, 0)</f>
        <v>2.5862068965517242</v>
      </c>
      <c r="P1466" s="6">
        <f>VLOOKUP(B1466, 'All Menu'!B:L, 9, 0)</f>
        <v>1.4352292934865902</v>
      </c>
      <c r="Q1466" s="14">
        <f>VLOOKUP(B1466, 'All Menu'!B:M, 12, 0)</f>
        <v>0.44504467318518515</v>
      </c>
      <c r="R1466" s="173">
        <f t="shared" si="81"/>
        <v>0</v>
      </c>
    </row>
    <row r="1467" spans="1:18" ht="14" hidden="1">
      <c r="A1467" s="78" t="s">
        <v>2709</v>
      </c>
      <c r="B1467" s="220" t="s">
        <v>989</v>
      </c>
      <c r="C1467" s="185"/>
      <c r="D1467" s="103" t="str">
        <f>VLOOKUP(B1467, 'All Menu'!B:M, 4, 0)</f>
        <v>زربيان</v>
      </c>
      <c r="E1467" s="30" t="str">
        <f>VLOOKUP(B1467, 'All Menu'!B:M, 2, 0)</f>
        <v>قسم اللاين</v>
      </c>
      <c r="F1467" s="103" t="str">
        <f>VLOOKUP(B1467, 'All Menu'!B:M, 3, 0)</f>
        <v>الوجبات اليومية سفري</v>
      </c>
      <c r="G1467" s="90" t="s">
        <v>3058</v>
      </c>
      <c r="H1467" s="188">
        <v>4266</v>
      </c>
      <c r="I1467" s="110" t="str">
        <f>VLOOKUP(H1467, 'RM &amp; SF'!B:H, 2, 0)</f>
        <v>اساور علب وجبات مطبوع 1*50 حبة*****</v>
      </c>
      <c r="J1467" s="184" t="str">
        <f>VLOOKUP(H1467, 'RM &amp; SF'!B:E, 4, 0)</f>
        <v>قطعة</v>
      </c>
      <c r="K1467" s="12">
        <v>1</v>
      </c>
      <c r="L1467" s="13">
        <f>VLOOKUP(H1467, 'RM &amp; SF'!B:H, 7, 0)</f>
        <v>6.3224137931034485E-2</v>
      </c>
      <c r="M1467" s="7">
        <f t="shared" si="80"/>
        <v>6.3224137931034485E-2</v>
      </c>
      <c r="N1467" s="4" t="s">
        <v>825</v>
      </c>
      <c r="O1467" s="4">
        <f>VLOOKUP(B1467, 'All Menu'!B:L, 6, 0)</f>
        <v>2.5862068965517242</v>
      </c>
      <c r="P1467" s="6">
        <f>VLOOKUP(B1467, 'All Menu'!B:L, 9, 0)</f>
        <v>1.4352292934865902</v>
      </c>
      <c r="Q1467" s="14">
        <f>VLOOKUP(B1467, 'All Menu'!B:M, 12, 0)</f>
        <v>0.44504467318518515</v>
      </c>
      <c r="R1467" s="173">
        <f t="shared" si="81"/>
        <v>0</v>
      </c>
    </row>
    <row r="1468" spans="1:18" ht="14" hidden="1">
      <c r="A1468" s="78" t="s">
        <v>2709</v>
      </c>
      <c r="B1468" s="220" t="s">
        <v>989</v>
      </c>
      <c r="C1468" s="185"/>
      <c r="D1468" s="103" t="str">
        <f>VLOOKUP(B1468, 'All Menu'!B:M, 4, 0)</f>
        <v>زربيان</v>
      </c>
      <c r="E1468" s="30" t="str">
        <f>VLOOKUP(B1468, 'All Menu'!B:M, 2, 0)</f>
        <v>قسم اللاين</v>
      </c>
      <c r="F1468" s="103" t="str">
        <f>VLOOKUP(B1468, 'All Menu'!B:M, 3, 0)</f>
        <v>الوجبات اليومية سفري</v>
      </c>
      <c r="G1468" s="90" t="s">
        <v>2195</v>
      </c>
      <c r="H1468" s="188">
        <v>4329</v>
      </c>
      <c r="I1468" s="110" t="str">
        <f>VLOOKUP(H1468, 'RM &amp; SF'!B:H, 2, 0)</f>
        <v>ملاعق بلاستيك مع معقم مطبوع 1*500 حبة*****</v>
      </c>
      <c r="J1468" s="184" t="str">
        <f>VLOOKUP(H1468, 'RM &amp; SF'!B:E, 4, 0)</f>
        <v>قطعة</v>
      </c>
      <c r="K1468" s="12">
        <v>1</v>
      </c>
      <c r="L1468" s="13">
        <f>VLOOKUP(H1468, 'RM &amp; SF'!B:H, 7, 0)</f>
        <v>4.7399999999999997E-4</v>
      </c>
      <c r="M1468" s="7">
        <f t="shared" si="80"/>
        <v>4.7399999999999997E-4</v>
      </c>
      <c r="N1468" s="4" t="s">
        <v>825</v>
      </c>
      <c r="O1468" s="4">
        <f>VLOOKUP(B1468, 'All Menu'!B:L, 6, 0)</f>
        <v>2.5862068965517242</v>
      </c>
      <c r="P1468" s="6">
        <f>VLOOKUP(B1468, 'All Menu'!B:L, 9, 0)</f>
        <v>1.4352292934865902</v>
      </c>
      <c r="Q1468" s="14">
        <f>VLOOKUP(B1468, 'All Menu'!B:M, 12, 0)</f>
        <v>0.44504467318518515</v>
      </c>
      <c r="R1468" s="173">
        <f t="shared" si="81"/>
        <v>0</v>
      </c>
    </row>
    <row r="1469" spans="1:18" ht="14" hidden="1">
      <c r="A1469" s="78" t="s">
        <v>2709</v>
      </c>
      <c r="B1469" s="220" t="s">
        <v>989</v>
      </c>
      <c r="C1469" s="185"/>
      <c r="D1469" s="103" t="str">
        <f>VLOOKUP(B1469, 'All Menu'!B:M, 4, 0)</f>
        <v>زربيان</v>
      </c>
      <c r="E1469" s="30" t="str">
        <f>VLOOKUP(B1469, 'All Menu'!B:M, 2, 0)</f>
        <v>قسم اللاين</v>
      </c>
      <c r="F1469" s="103" t="str">
        <f>VLOOKUP(B1469, 'All Menu'!B:M, 3, 0)</f>
        <v>الوجبات اليومية سفري</v>
      </c>
      <c r="G1469" s="90" t="s">
        <v>2185</v>
      </c>
      <c r="H1469" s="188">
        <v>4550</v>
      </c>
      <c r="I1469" s="110" t="str">
        <f>VLOOKUP(H1469, 'RM &amp; SF'!B:H, 2, 0)</f>
        <v>*****لبن زبادي 150 غم</v>
      </c>
      <c r="J1469" s="184" t="str">
        <f>VLOOKUP(H1469, 'RM &amp; SF'!B:E, 4, 0)</f>
        <v>قطعة</v>
      </c>
      <c r="K1469" s="12">
        <v>1</v>
      </c>
      <c r="L1469" s="13">
        <f>VLOOKUP(H1469, 'RM &amp; SF'!B:H, 7, 0)</f>
        <v>0.16</v>
      </c>
      <c r="M1469" s="7">
        <f t="shared" si="80"/>
        <v>0.16</v>
      </c>
      <c r="N1469" s="4" t="s">
        <v>825</v>
      </c>
      <c r="O1469" s="4">
        <f>VLOOKUP(B1469, 'All Menu'!B:L, 6, 0)</f>
        <v>2.5862068965517242</v>
      </c>
      <c r="P1469" s="6">
        <f>VLOOKUP(B1469, 'All Menu'!B:L, 9, 0)</f>
        <v>1.4352292934865902</v>
      </c>
      <c r="Q1469" s="14">
        <f>VLOOKUP(B1469, 'All Menu'!B:M, 12, 0)</f>
        <v>0.44504467318518515</v>
      </c>
      <c r="R1469" s="173">
        <f t="shared" si="81"/>
        <v>0</v>
      </c>
    </row>
    <row r="1470" spans="1:18" ht="14" hidden="1">
      <c r="A1470" s="78" t="s">
        <v>2701</v>
      </c>
      <c r="B1470" s="220" t="s">
        <v>990</v>
      </c>
      <c r="C1470" s="185"/>
      <c r="D1470" s="103" t="str">
        <f>VLOOKUP(B1470, 'All Menu'!B:M, 4, 0)</f>
        <v>كباب هندي</v>
      </c>
      <c r="E1470" s="30" t="str">
        <f>VLOOKUP(B1470, 'All Menu'!B:M, 2, 0)</f>
        <v>قسم اللاين</v>
      </c>
      <c r="F1470" s="103" t="str">
        <f>VLOOKUP(B1470, 'All Menu'!B:M, 3, 0)</f>
        <v>الوجبات اليومية سفري</v>
      </c>
      <c r="G1470" s="90" t="s">
        <v>2399</v>
      </c>
      <c r="H1470" s="219" t="s">
        <v>546</v>
      </c>
      <c r="I1470" s="110" t="str">
        <f>VLOOKUP(H1470, 'RM &amp; SF'!B:H, 2, 0)</f>
        <v>كباب هندي</v>
      </c>
      <c r="J1470" s="184" t="str">
        <f>VLOOKUP(H1470, 'RM &amp; SF'!B:E, 4, 0)</f>
        <v>غم</v>
      </c>
      <c r="K1470" s="12">
        <v>390</v>
      </c>
      <c r="L1470" s="13">
        <f>VLOOKUP(H1470, 'RM &amp; SF'!B:H, 7, 0)</f>
        <v>2.5579763748357965E-3</v>
      </c>
      <c r="M1470" s="7">
        <f t="shared" si="80"/>
        <v>0.99761078618596066</v>
      </c>
      <c r="N1470" s="4" t="s">
        <v>825</v>
      </c>
      <c r="O1470" s="4">
        <f>VLOOKUP(B1470, 'All Menu'!B:L, 6, 0)</f>
        <v>3.4482758620689657</v>
      </c>
      <c r="P1470" s="6">
        <f>VLOOKUP(B1470, 'All Menu'!B:L, 9, 0)</f>
        <v>1.5853340738905934</v>
      </c>
      <c r="Q1470" s="14">
        <f>VLOOKUP(B1470, 'All Menu'!B:M, 12, 0)</f>
        <v>0.54025311857172797</v>
      </c>
      <c r="R1470" s="173">
        <f t="shared" si="81"/>
        <v>0</v>
      </c>
    </row>
    <row r="1471" spans="1:18" ht="14" hidden="1">
      <c r="A1471" s="78" t="s">
        <v>2701</v>
      </c>
      <c r="B1471" s="220" t="s">
        <v>990</v>
      </c>
      <c r="C1471" s="185"/>
      <c r="D1471" s="103" t="str">
        <f>VLOOKUP(B1471, 'All Menu'!B:M, 4, 0)</f>
        <v>كباب هندي</v>
      </c>
      <c r="E1471" s="30" t="str">
        <f>VLOOKUP(B1471, 'All Menu'!B:M, 2, 0)</f>
        <v>قسم اللاين</v>
      </c>
      <c r="F1471" s="103" t="str">
        <f>VLOOKUP(B1471, 'All Menu'!B:M, 3, 0)</f>
        <v>الوجبات اليومية سفري</v>
      </c>
      <c r="G1471" s="90" t="s">
        <v>2342</v>
      </c>
      <c r="H1471" s="219" t="s">
        <v>708</v>
      </c>
      <c r="I1471" s="110" t="str">
        <f>VLOOKUP(H1471, 'RM &amp; SF'!B:H, 2, 0)</f>
        <v>ارز بشعيرية</v>
      </c>
      <c r="J1471" s="184" t="str">
        <f>VLOOKUP(H1471, 'RM &amp; SF'!B:E, 4, 0)</f>
        <v>غم</v>
      </c>
      <c r="K1471" s="12">
        <v>500</v>
      </c>
      <c r="L1471" s="13">
        <f>VLOOKUP(H1471, 'RM &amp; SF'!B:H, 7, 0)</f>
        <v>3.3269616161616159E-4</v>
      </c>
      <c r="M1471" s="7">
        <f t="shared" si="80"/>
        <v>0.16634808080808081</v>
      </c>
      <c r="N1471" s="4" t="s">
        <v>825</v>
      </c>
      <c r="O1471" s="4">
        <f>VLOOKUP(B1471, 'All Menu'!B:L, 6, 0)</f>
        <v>3.4482758620689657</v>
      </c>
      <c r="P1471" s="6">
        <f>VLOOKUP(B1471, 'All Menu'!B:L, 9, 0)</f>
        <v>1.5853340738905934</v>
      </c>
      <c r="Q1471" s="14">
        <f>VLOOKUP(B1471, 'All Menu'!B:M, 12, 0)</f>
        <v>0.54025311857172797</v>
      </c>
      <c r="R1471" s="173">
        <f t="shared" si="81"/>
        <v>0</v>
      </c>
    </row>
    <row r="1472" spans="1:18" ht="14" hidden="1">
      <c r="A1472" s="78" t="s">
        <v>2701</v>
      </c>
      <c r="B1472" s="220" t="s">
        <v>990</v>
      </c>
      <c r="C1472" s="185"/>
      <c r="D1472" s="103" t="str">
        <f>VLOOKUP(B1472, 'All Menu'!B:M, 4, 0)</f>
        <v>كباب هندي</v>
      </c>
      <c r="E1472" s="30" t="str">
        <f>VLOOKUP(B1472, 'All Menu'!B:M, 2, 0)</f>
        <v>قسم اللاين</v>
      </c>
      <c r="F1472" s="103" t="str">
        <f>VLOOKUP(B1472, 'All Menu'!B:M, 3, 0)</f>
        <v>الوجبات اليومية سفري</v>
      </c>
      <c r="G1472" s="90" t="s">
        <v>2341</v>
      </c>
      <c r="H1472" s="219" t="s">
        <v>706</v>
      </c>
      <c r="I1472" s="110" t="str">
        <f>VLOOKUP(H1472, 'RM &amp; SF'!B:H, 2, 0)</f>
        <v>لوز مقلي</v>
      </c>
      <c r="J1472" s="184" t="str">
        <f>VLOOKUP(H1472, 'RM &amp; SF'!B:E, 4, 0)</f>
        <v>غم</v>
      </c>
      <c r="K1472" s="12">
        <v>20</v>
      </c>
      <c r="L1472" s="13">
        <f>VLOOKUP(H1472, 'RM &amp; SF'!B:H, 7, 0)</f>
        <v>4.1352327586206888E-3</v>
      </c>
      <c r="M1472" s="7">
        <f t="shared" si="80"/>
        <v>8.270465517241378E-2</v>
      </c>
      <c r="N1472" s="4" t="s">
        <v>825</v>
      </c>
      <c r="O1472" s="4">
        <f>VLOOKUP(B1472, 'All Menu'!B:L, 6, 0)</f>
        <v>3.4482758620689657</v>
      </c>
      <c r="P1472" s="6">
        <f>VLOOKUP(B1472, 'All Menu'!B:L, 9, 0)</f>
        <v>1.5853340738905934</v>
      </c>
      <c r="Q1472" s="14">
        <f>VLOOKUP(B1472, 'All Menu'!B:M, 12, 0)</f>
        <v>0.54025311857172797</v>
      </c>
      <c r="R1472" s="173">
        <f t="shared" si="81"/>
        <v>0</v>
      </c>
    </row>
    <row r="1473" spans="1:18" ht="14" hidden="1">
      <c r="A1473" s="78" t="s">
        <v>2701</v>
      </c>
      <c r="B1473" s="220" t="s">
        <v>990</v>
      </c>
      <c r="C1473" s="185"/>
      <c r="D1473" s="103" t="str">
        <f>VLOOKUP(B1473, 'All Menu'!B:M, 4, 0)</f>
        <v>كباب هندي</v>
      </c>
      <c r="E1473" s="30" t="str">
        <f>VLOOKUP(B1473, 'All Menu'!B:M, 2, 0)</f>
        <v>قسم اللاين</v>
      </c>
      <c r="F1473" s="103" t="str">
        <f>VLOOKUP(B1473, 'All Menu'!B:M, 3, 0)</f>
        <v>الوجبات اليومية سفري</v>
      </c>
      <c r="G1473" s="90" t="s">
        <v>2190</v>
      </c>
      <c r="H1473" s="188">
        <v>4279</v>
      </c>
      <c r="I1473" s="110" t="str">
        <f>VLOOKUP(H1473, 'RM &amp; SF'!B:H, 2, 0)</f>
        <v>علب ميكرويف مستطيل اسود مفرغة (احادي)*****</v>
      </c>
      <c r="J1473" s="184" t="str">
        <f>VLOOKUP(H1473, 'RM &amp; SF'!B:E, 4, 0)</f>
        <v>قطعة</v>
      </c>
      <c r="K1473" s="12">
        <v>1</v>
      </c>
      <c r="L1473" s="13">
        <f>VLOOKUP(H1473, 'RM &amp; SF'!B:H, 7, 0)</f>
        <v>9.4799999999999995E-2</v>
      </c>
      <c r="M1473" s="7">
        <f t="shared" si="80"/>
        <v>9.4799999999999995E-2</v>
      </c>
      <c r="N1473" s="4" t="s">
        <v>825</v>
      </c>
      <c r="O1473" s="4">
        <f>VLOOKUP(B1473, 'All Menu'!B:L, 6, 0)</f>
        <v>3.4482758620689657</v>
      </c>
      <c r="P1473" s="6">
        <f>VLOOKUP(B1473, 'All Menu'!B:L, 9, 0)</f>
        <v>1.5853340738905934</v>
      </c>
      <c r="Q1473" s="14">
        <f>VLOOKUP(B1473, 'All Menu'!B:M, 12, 0)</f>
        <v>0.54025311857172797</v>
      </c>
      <c r="R1473" s="173">
        <f t="shared" si="81"/>
        <v>0</v>
      </c>
    </row>
    <row r="1474" spans="1:18" ht="14" hidden="1">
      <c r="A1474" s="78" t="s">
        <v>2701</v>
      </c>
      <c r="B1474" s="220" t="s">
        <v>990</v>
      </c>
      <c r="C1474" s="185"/>
      <c r="D1474" s="103" t="str">
        <f>VLOOKUP(B1474, 'All Menu'!B:M, 4, 0)</f>
        <v>كباب هندي</v>
      </c>
      <c r="E1474" s="30" t="str">
        <f>VLOOKUP(B1474, 'All Menu'!B:M, 2, 0)</f>
        <v>قسم اللاين</v>
      </c>
      <c r="F1474" s="103" t="str">
        <f>VLOOKUP(B1474, 'All Menu'!B:M, 3, 0)</f>
        <v>الوجبات اليومية سفري</v>
      </c>
      <c r="G1474" s="90" t="s">
        <v>3058</v>
      </c>
      <c r="H1474" s="188">
        <v>4266</v>
      </c>
      <c r="I1474" s="110" t="str">
        <f>VLOOKUP(H1474, 'RM &amp; SF'!B:H, 2, 0)</f>
        <v>اساور علب وجبات مطبوع 1*50 حبة*****</v>
      </c>
      <c r="J1474" s="184" t="str">
        <f>VLOOKUP(H1474, 'RM &amp; SF'!B:E, 4, 0)</f>
        <v>قطعة</v>
      </c>
      <c r="K1474" s="12">
        <v>1</v>
      </c>
      <c r="L1474" s="13">
        <f>VLOOKUP(H1474, 'RM &amp; SF'!B:H, 7, 0)</f>
        <v>6.3224137931034485E-2</v>
      </c>
      <c r="M1474" s="7">
        <f t="shared" si="80"/>
        <v>6.3224137931034485E-2</v>
      </c>
      <c r="N1474" s="4" t="s">
        <v>825</v>
      </c>
      <c r="O1474" s="4">
        <f>VLOOKUP(B1474, 'All Menu'!B:L, 6, 0)</f>
        <v>3.4482758620689657</v>
      </c>
      <c r="P1474" s="6">
        <f>VLOOKUP(B1474, 'All Menu'!B:L, 9, 0)</f>
        <v>1.5853340738905934</v>
      </c>
      <c r="Q1474" s="14">
        <f>VLOOKUP(B1474, 'All Menu'!B:M, 12, 0)</f>
        <v>0.54025311857172797</v>
      </c>
      <c r="R1474" s="173">
        <f t="shared" si="81"/>
        <v>0</v>
      </c>
    </row>
    <row r="1475" spans="1:18" ht="14" hidden="1">
      <c r="A1475" s="78" t="s">
        <v>2701</v>
      </c>
      <c r="B1475" s="220" t="s">
        <v>990</v>
      </c>
      <c r="C1475" s="185"/>
      <c r="D1475" s="103" t="str">
        <f>VLOOKUP(B1475, 'All Menu'!B:M, 4, 0)</f>
        <v>كباب هندي</v>
      </c>
      <c r="E1475" s="30" t="str">
        <f>VLOOKUP(B1475, 'All Menu'!B:M, 2, 0)</f>
        <v>قسم اللاين</v>
      </c>
      <c r="F1475" s="103" t="str">
        <f>VLOOKUP(B1475, 'All Menu'!B:M, 3, 0)</f>
        <v>الوجبات اليومية سفري</v>
      </c>
      <c r="G1475" s="90" t="s">
        <v>3058</v>
      </c>
      <c r="H1475" s="188">
        <v>4280</v>
      </c>
      <c r="I1475" s="110" t="str">
        <f>VLOOKUP(H1475, 'RM &amp; SF'!B:H, 2, 0)</f>
        <v>علب ميكرويف مدورة اسود 500 مل RC2*****</v>
      </c>
      <c r="J1475" s="184" t="str">
        <f>VLOOKUP(H1475, 'RM &amp; SF'!B:E, 4, 0)</f>
        <v>قطعة</v>
      </c>
      <c r="K1475" s="12">
        <v>1</v>
      </c>
      <c r="L1475" s="13">
        <f>VLOOKUP(H1475, 'RM &amp; SF'!B:H, 7, 0)</f>
        <v>0.125</v>
      </c>
      <c r="M1475" s="7">
        <f t="shared" si="80"/>
        <v>0.125</v>
      </c>
      <c r="N1475" s="4" t="s">
        <v>825</v>
      </c>
      <c r="O1475" s="4">
        <f>VLOOKUP(B1475, 'All Menu'!B:L, 6, 0)</f>
        <v>3.4482758620689657</v>
      </c>
      <c r="P1475" s="6">
        <f>VLOOKUP(B1475, 'All Menu'!B:L, 9, 0)</f>
        <v>1.5853340738905934</v>
      </c>
      <c r="Q1475" s="14">
        <f>VLOOKUP(B1475, 'All Menu'!B:M, 12, 0)</f>
        <v>0.54025311857172797</v>
      </c>
      <c r="R1475" s="173">
        <f t="shared" si="81"/>
        <v>0</v>
      </c>
    </row>
    <row r="1476" spans="1:18" ht="14" hidden="1">
      <c r="A1476" s="78" t="s">
        <v>2701</v>
      </c>
      <c r="B1476" s="220" t="s">
        <v>990</v>
      </c>
      <c r="C1476" s="185"/>
      <c r="D1476" s="103" t="str">
        <f>VLOOKUP(B1476, 'All Menu'!B:M, 4, 0)</f>
        <v>كباب هندي</v>
      </c>
      <c r="E1476" s="30" t="str">
        <f>VLOOKUP(B1476, 'All Menu'!B:M, 2, 0)</f>
        <v>قسم اللاين</v>
      </c>
      <c r="F1476" s="103" t="str">
        <f>VLOOKUP(B1476, 'All Menu'!B:M, 3, 0)</f>
        <v>الوجبات اليومية سفري</v>
      </c>
      <c r="G1476" s="90" t="s">
        <v>2195</v>
      </c>
      <c r="H1476" s="188">
        <v>4329</v>
      </c>
      <c r="I1476" s="110" t="str">
        <f>VLOOKUP(H1476, 'RM &amp; SF'!B:H, 2, 0)</f>
        <v>ملاعق بلاستيك مع معقم مطبوع 1*500 حبة*****</v>
      </c>
      <c r="J1476" s="184" t="str">
        <f>VLOOKUP(H1476, 'RM &amp; SF'!B:E, 4, 0)</f>
        <v>قطعة</v>
      </c>
      <c r="K1476" s="12">
        <v>1</v>
      </c>
      <c r="L1476" s="13">
        <f>VLOOKUP(H1476, 'RM &amp; SF'!B:H, 7, 0)</f>
        <v>4.7399999999999997E-4</v>
      </c>
      <c r="M1476" s="7">
        <f t="shared" si="80"/>
        <v>4.7399999999999997E-4</v>
      </c>
      <c r="N1476" s="4" t="s">
        <v>825</v>
      </c>
      <c r="O1476" s="4">
        <f>VLOOKUP(B1476, 'All Menu'!B:L, 6, 0)</f>
        <v>3.4482758620689657</v>
      </c>
      <c r="P1476" s="6">
        <f>VLOOKUP(B1476, 'All Menu'!B:L, 9, 0)</f>
        <v>1.5853340738905934</v>
      </c>
      <c r="Q1476" s="14">
        <f>VLOOKUP(B1476, 'All Menu'!B:M, 12, 0)</f>
        <v>0.54025311857172797</v>
      </c>
      <c r="R1476" s="173">
        <f t="shared" si="81"/>
        <v>0</v>
      </c>
    </row>
    <row r="1477" spans="1:18" ht="14" hidden="1">
      <c r="A1477" s="78" t="s">
        <v>2701</v>
      </c>
      <c r="B1477" s="220" t="s">
        <v>990</v>
      </c>
      <c r="C1477" s="185"/>
      <c r="D1477" s="103" t="str">
        <f>VLOOKUP(B1477, 'All Menu'!B:M, 4, 0)</f>
        <v>كباب هندي</v>
      </c>
      <c r="E1477" s="30" t="str">
        <f>VLOOKUP(B1477, 'All Menu'!B:M, 2, 0)</f>
        <v>قسم اللاين</v>
      </c>
      <c r="F1477" s="103" t="str">
        <f>VLOOKUP(B1477, 'All Menu'!B:M, 3, 0)</f>
        <v>الوجبات اليومية سفري</v>
      </c>
      <c r="G1477" s="90" t="s">
        <v>2193</v>
      </c>
      <c r="H1477" s="188">
        <v>4309</v>
      </c>
      <c r="I1477" s="110" t="str">
        <f>VLOOKUP(H1477, 'RM &amp; SF'!B:H, 2, 0)</f>
        <v>اكياس بلاستيك مطبوع 55 سم*****</v>
      </c>
      <c r="J1477" s="184" t="str">
        <f>VLOOKUP(H1477, 'RM &amp; SF'!B:E, 4, 0)</f>
        <v>قطعة</v>
      </c>
      <c r="K1477" s="12">
        <v>1</v>
      </c>
      <c r="L1477" s="13">
        <f>VLOOKUP(H1477, 'RM &amp; SF'!B:H, 7, 0)</f>
        <v>5.5172413793103454E-2</v>
      </c>
      <c r="M1477" s="7">
        <f t="shared" si="80"/>
        <v>5.5172413793103454E-2</v>
      </c>
      <c r="N1477" s="4" t="s">
        <v>825</v>
      </c>
      <c r="O1477" s="4">
        <f>VLOOKUP(B1477, 'All Menu'!B:L, 6, 0)</f>
        <v>3.4482758620689657</v>
      </c>
      <c r="P1477" s="6">
        <f>VLOOKUP(B1477, 'All Menu'!B:L, 9, 0)</f>
        <v>1.5853340738905934</v>
      </c>
      <c r="Q1477" s="14">
        <f>VLOOKUP(B1477, 'All Menu'!B:M, 12, 0)</f>
        <v>0.54025311857172797</v>
      </c>
      <c r="R1477" s="173">
        <f t="shared" si="81"/>
        <v>0</v>
      </c>
    </row>
    <row r="1478" spans="1:18" ht="14">
      <c r="A1478" s="78" t="s">
        <v>2698</v>
      </c>
      <c r="B1478" s="220" t="s">
        <v>991</v>
      </c>
      <c r="C1478" s="185"/>
      <c r="D1478" s="103" t="str">
        <f>VLOOKUP(B1478, 'All Menu'!B:M, 4, 0)</f>
        <v>منسف لحمة</v>
      </c>
      <c r="E1478" s="30" t="str">
        <f>VLOOKUP(B1478, 'All Menu'!B:M, 2, 0)</f>
        <v>قسم اللاين</v>
      </c>
      <c r="F1478" s="103" t="str">
        <f>VLOOKUP(B1478, 'All Menu'!B:M, 3, 0)</f>
        <v>الوجبات اليومية سفري</v>
      </c>
      <c r="G1478" s="90" t="s">
        <v>2389</v>
      </c>
      <c r="H1478" s="219" t="s">
        <v>550</v>
      </c>
      <c r="I1478" s="110" t="str">
        <f>VLOOKUP(H1478, 'RM &amp; SF'!B:H, 2, 0)</f>
        <v>ارز منسف</v>
      </c>
      <c r="J1478" s="184" t="str">
        <f>VLOOKUP(H1478, 'RM &amp; SF'!B:E, 4, 0)</f>
        <v>غم</v>
      </c>
      <c r="K1478" s="12">
        <v>500</v>
      </c>
      <c r="L1478" s="13">
        <f>VLOOKUP(H1478, 'RM &amp; SF'!B:H, 7, 0)</f>
        <v>4.9216375000000004E-4</v>
      </c>
      <c r="M1478" s="7">
        <f t="shared" si="80"/>
        <v>0.24608187500000001</v>
      </c>
      <c r="N1478" s="4" t="s">
        <v>825</v>
      </c>
      <c r="O1478" s="4">
        <f>VLOOKUP(B1478, 'All Menu'!B:L, 6, 0)</f>
        <v>7.7586206896551726</v>
      </c>
      <c r="P1478" s="6">
        <f>VLOOKUP(B1478, 'All Menu'!B:L, 9, 0)</f>
        <v>5.2935268537167888</v>
      </c>
      <c r="Q1478" s="14">
        <f>VLOOKUP(B1478, 'All Menu'!B:M, 12, 0)</f>
        <v>0.31772320552094724</v>
      </c>
      <c r="R1478" s="173">
        <f t="shared" si="81"/>
        <v>0</v>
      </c>
    </row>
    <row r="1479" spans="1:18" ht="14" hidden="1">
      <c r="A1479" s="78" t="s">
        <v>2698</v>
      </c>
      <c r="B1479" s="220" t="s">
        <v>991</v>
      </c>
      <c r="C1479" s="185"/>
      <c r="D1479" s="103" t="str">
        <f>VLOOKUP(B1479, 'All Menu'!B:M, 4, 0)</f>
        <v>منسف لحمة</v>
      </c>
      <c r="E1479" s="30" t="str">
        <f>VLOOKUP(B1479, 'All Menu'!B:M, 2, 0)</f>
        <v>قسم اللاين</v>
      </c>
      <c r="F1479" s="103" t="str">
        <f>VLOOKUP(B1479, 'All Menu'!B:M, 3, 0)</f>
        <v>الوجبات اليومية سفري</v>
      </c>
      <c r="G1479" s="90" t="s">
        <v>3058</v>
      </c>
      <c r="H1479" s="188">
        <v>4608</v>
      </c>
      <c r="I1479" s="110" t="str">
        <f>VLOOKUP(H1479, 'RM &amp; SF'!B:H, 2, 0)</f>
        <v>لحمة قطع نية بالكيلو*****</v>
      </c>
      <c r="J1479" s="184" t="str">
        <f>VLOOKUP(H1479, 'RM &amp; SF'!B:E, 4, 0)</f>
        <v>غم</v>
      </c>
      <c r="K1479" s="12">
        <v>350</v>
      </c>
      <c r="L1479" s="13">
        <f>VLOOKUP(H1479, 'RM &amp; SF'!B:H, 7, 0)</f>
        <v>1.1615493158849017E-2</v>
      </c>
      <c r="M1479" s="7">
        <f t="shared" si="80"/>
        <v>4.0654226055971554</v>
      </c>
      <c r="N1479" s="4" t="s">
        <v>825</v>
      </c>
      <c r="O1479" s="4">
        <f>VLOOKUP(B1479, 'All Menu'!B:L, 6, 0)</f>
        <v>7.7586206896551726</v>
      </c>
      <c r="P1479" s="6">
        <f>VLOOKUP(B1479, 'All Menu'!B:L, 9, 0)</f>
        <v>5.2935268537167888</v>
      </c>
      <c r="Q1479" s="14">
        <f>VLOOKUP(B1479, 'All Menu'!B:M, 12, 0)</f>
        <v>0.31772320552094724</v>
      </c>
      <c r="R1479" s="173">
        <f t="shared" si="81"/>
        <v>0</v>
      </c>
    </row>
    <row r="1480" spans="1:18" ht="14" hidden="1">
      <c r="A1480" s="78" t="s">
        <v>2698</v>
      </c>
      <c r="B1480" s="220" t="s">
        <v>991</v>
      </c>
      <c r="C1480" s="185"/>
      <c r="D1480" s="103" t="str">
        <f>VLOOKUP(B1480, 'All Menu'!B:M, 4, 0)</f>
        <v>منسف لحمة</v>
      </c>
      <c r="E1480" s="30" t="str">
        <f>VLOOKUP(B1480, 'All Menu'!B:M, 2, 0)</f>
        <v>قسم اللاين</v>
      </c>
      <c r="F1480" s="103" t="str">
        <f>VLOOKUP(B1480, 'All Menu'!B:M, 3, 0)</f>
        <v>الوجبات اليومية سفري</v>
      </c>
      <c r="G1480" s="90" t="s">
        <v>2431</v>
      </c>
      <c r="H1480" s="219" t="s">
        <v>552</v>
      </c>
      <c r="I1480" s="110" t="str">
        <f>VLOOKUP(H1480, 'RM &amp; SF'!B:H, 2, 0)</f>
        <v xml:space="preserve">لبن </v>
      </c>
      <c r="J1480" s="184" t="str">
        <f>VLOOKUP(H1480, 'RM &amp; SF'!B:E, 4, 0)</f>
        <v>غم</v>
      </c>
      <c r="K1480" s="12">
        <v>500</v>
      </c>
      <c r="L1480" s="13">
        <f>VLOOKUP(H1480, 'RM &amp; SF'!B:H, 7, 0)</f>
        <v>5.9114973451327433E-4</v>
      </c>
      <c r="M1480" s="7">
        <f t="shared" si="80"/>
        <v>0.29557486725663717</v>
      </c>
      <c r="N1480" s="4" t="s">
        <v>825</v>
      </c>
      <c r="O1480" s="4">
        <f>VLOOKUP(B1480, 'All Menu'!B:L, 6, 0)</f>
        <v>7.7586206896551726</v>
      </c>
      <c r="P1480" s="6">
        <f>VLOOKUP(B1480, 'All Menu'!B:L, 9, 0)</f>
        <v>5.2935268537167888</v>
      </c>
      <c r="Q1480" s="14">
        <f>VLOOKUP(B1480, 'All Menu'!B:M, 12, 0)</f>
        <v>0.31772320552094724</v>
      </c>
      <c r="R1480" s="173">
        <f t="shared" si="81"/>
        <v>0</v>
      </c>
    </row>
    <row r="1481" spans="1:18" ht="14" hidden="1">
      <c r="A1481" s="78" t="s">
        <v>2698</v>
      </c>
      <c r="B1481" s="220" t="s">
        <v>991</v>
      </c>
      <c r="C1481" s="185"/>
      <c r="D1481" s="103" t="str">
        <f>VLOOKUP(B1481, 'All Menu'!B:M, 4, 0)</f>
        <v>منسف لحمة</v>
      </c>
      <c r="E1481" s="30" t="str">
        <f>VLOOKUP(B1481, 'All Menu'!B:M, 2, 0)</f>
        <v>قسم اللاين</v>
      </c>
      <c r="F1481" s="103" t="str">
        <f>VLOOKUP(B1481, 'All Menu'!B:M, 3, 0)</f>
        <v>الوجبات اليومية سفري</v>
      </c>
      <c r="G1481" s="90" t="s">
        <v>3058</v>
      </c>
      <c r="H1481" s="219" t="s">
        <v>3043</v>
      </c>
      <c r="I1481" s="110" t="str">
        <f>VLOOKUP(H1481, 'RM &amp; SF'!B:H, 2, 0)</f>
        <v>علبة لوز مقلي 25 غرام</v>
      </c>
      <c r="J1481" s="184" t="str">
        <f>VLOOKUP(H1481, 'RM &amp; SF'!B:E, 4, 0)</f>
        <v>قطعة</v>
      </c>
      <c r="K1481" s="12">
        <v>25</v>
      </c>
      <c r="L1481" s="13">
        <f>VLOOKUP(H1481, 'RM &amp; SF'!B:H, 7, 0)</f>
        <v>1.3723013649425287E-2</v>
      </c>
      <c r="M1481" s="7">
        <f t="shared" si="80"/>
        <v>0.34307534123563216</v>
      </c>
      <c r="N1481" s="4" t="s">
        <v>825</v>
      </c>
      <c r="O1481" s="4">
        <f>VLOOKUP(B1481, 'All Menu'!B:L, 6, 0)</f>
        <v>7.7586206896551726</v>
      </c>
      <c r="P1481" s="6">
        <f>VLOOKUP(B1481, 'All Menu'!B:L, 9, 0)</f>
        <v>5.2935268537167888</v>
      </c>
      <c r="Q1481" s="14">
        <f>VLOOKUP(B1481, 'All Menu'!B:M, 12, 0)</f>
        <v>0.31772320552094724</v>
      </c>
      <c r="R1481" s="173">
        <f t="shared" si="81"/>
        <v>0</v>
      </c>
    </row>
    <row r="1482" spans="1:18" ht="14" hidden="1">
      <c r="A1482" s="78" t="s">
        <v>2698</v>
      </c>
      <c r="B1482" s="220" t="s">
        <v>991</v>
      </c>
      <c r="C1482" s="185"/>
      <c r="D1482" s="103" t="str">
        <f>VLOOKUP(B1482, 'All Menu'!B:M, 4, 0)</f>
        <v>منسف لحمة</v>
      </c>
      <c r="E1482" s="30" t="str">
        <f>VLOOKUP(B1482, 'All Menu'!B:M, 2, 0)</f>
        <v>قسم اللاين</v>
      </c>
      <c r="F1482" s="103" t="str">
        <f>VLOOKUP(B1482, 'All Menu'!B:M, 3, 0)</f>
        <v>الوجبات اليومية سفري</v>
      </c>
      <c r="G1482" s="90" t="s">
        <v>2331</v>
      </c>
      <c r="H1482" s="219" t="s">
        <v>530</v>
      </c>
      <c r="I1482" s="110" t="str">
        <f>VLOOKUP(H1482, 'RM &amp; SF'!B:H, 2, 0)</f>
        <v>خبز صاج</v>
      </c>
      <c r="J1482" s="184" t="str">
        <f>VLOOKUP(H1482, 'RM &amp; SF'!B:E, 4, 0)</f>
        <v>غم</v>
      </c>
      <c r="K1482" s="12">
        <v>25</v>
      </c>
      <c r="L1482" s="13">
        <f>VLOOKUP(H1482, 'RM &amp; SF'!B:H, 7, 0)</f>
        <v>1.8806451612903227E-4</v>
      </c>
      <c r="M1482" s="7">
        <f t="shared" si="80"/>
        <v>4.7016129032258066E-3</v>
      </c>
      <c r="N1482" s="4" t="s">
        <v>825</v>
      </c>
      <c r="O1482" s="4">
        <f>VLOOKUP(B1482, 'All Menu'!B:L, 6, 0)</f>
        <v>7.7586206896551726</v>
      </c>
      <c r="P1482" s="6">
        <f>VLOOKUP(B1482, 'All Menu'!B:L, 9, 0)</f>
        <v>5.2935268537167888</v>
      </c>
      <c r="Q1482" s="14">
        <f>VLOOKUP(B1482, 'All Menu'!B:M, 12, 0)</f>
        <v>0.31772320552094724</v>
      </c>
      <c r="R1482" s="173">
        <f t="shared" si="81"/>
        <v>0</v>
      </c>
    </row>
    <row r="1483" spans="1:18" ht="14" hidden="1">
      <c r="A1483" s="78" t="s">
        <v>2698</v>
      </c>
      <c r="B1483" s="220" t="s">
        <v>991</v>
      </c>
      <c r="C1483" s="185"/>
      <c r="D1483" s="103" t="str">
        <f>VLOOKUP(B1483, 'All Menu'!B:M, 4, 0)</f>
        <v>منسف لحمة</v>
      </c>
      <c r="E1483" s="30" t="str">
        <f>VLOOKUP(B1483, 'All Menu'!B:M, 2, 0)</f>
        <v>قسم اللاين</v>
      </c>
      <c r="F1483" s="103" t="str">
        <f>VLOOKUP(B1483, 'All Menu'!B:M, 3, 0)</f>
        <v>الوجبات اليومية سفري</v>
      </c>
      <c r="G1483" s="90" t="s">
        <v>2190</v>
      </c>
      <c r="H1483" s="188">
        <v>4279</v>
      </c>
      <c r="I1483" s="110" t="str">
        <f>VLOOKUP(H1483, 'RM &amp; SF'!B:H, 2, 0)</f>
        <v>علب ميكرويف مستطيل اسود مفرغة (احادي)*****</v>
      </c>
      <c r="J1483" s="184" t="str">
        <f>VLOOKUP(H1483, 'RM &amp; SF'!B:E, 4, 0)</f>
        <v>قطعة</v>
      </c>
      <c r="K1483" s="12">
        <v>1</v>
      </c>
      <c r="L1483" s="13">
        <f>VLOOKUP(H1483, 'RM &amp; SF'!B:H, 7, 0)</f>
        <v>9.4799999999999995E-2</v>
      </c>
      <c r="M1483" s="7">
        <f t="shared" si="80"/>
        <v>9.4799999999999995E-2</v>
      </c>
      <c r="N1483" s="4" t="s">
        <v>825</v>
      </c>
      <c r="O1483" s="4">
        <f>VLOOKUP(B1483, 'All Menu'!B:L, 6, 0)</f>
        <v>7.7586206896551726</v>
      </c>
      <c r="P1483" s="6">
        <f>VLOOKUP(B1483, 'All Menu'!B:L, 9, 0)</f>
        <v>5.2935268537167888</v>
      </c>
      <c r="Q1483" s="14">
        <f>VLOOKUP(B1483, 'All Menu'!B:M, 12, 0)</f>
        <v>0.31772320552094724</v>
      </c>
      <c r="R1483" s="173">
        <f t="shared" si="81"/>
        <v>0</v>
      </c>
    </row>
    <row r="1484" spans="1:18" ht="14" hidden="1">
      <c r="A1484" s="78" t="s">
        <v>2698</v>
      </c>
      <c r="B1484" s="220" t="s">
        <v>991</v>
      </c>
      <c r="C1484" s="185"/>
      <c r="D1484" s="103" t="str">
        <f>VLOOKUP(B1484, 'All Menu'!B:M, 4, 0)</f>
        <v>منسف لحمة</v>
      </c>
      <c r="E1484" s="30" t="str">
        <f>VLOOKUP(B1484, 'All Menu'!B:M, 2, 0)</f>
        <v>قسم اللاين</v>
      </c>
      <c r="F1484" s="103" t="str">
        <f>VLOOKUP(B1484, 'All Menu'!B:M, 3, 0)</f>
        <v>الوجبات اليومية سفري</v>
      </c>
      <c r="G1484" s="90" t="s">
        <v>3058</v>
      </c>
      <c r="H1484" s="188">
        <v>4266</v>
      </c>
      <c r="I1484" s="110" t="str">
        <f>VLOOKUP(H1484, 'RM &amp; SF'!B:H, 2, 0)</f>
        <v>اساور علب وجبات مطبوع 1*50 حبة*****</v>
      </c>
      <c r="J1484" s="184" t="str">
        <f>VLOOKUP(H1484, 'RM &amp; SF'!B:E, 4, 0)</f>
        <v>قطعة</v>
      </c>
      <c r="K1484" s="12">
        <v>1</v>
      </c>
      <c r="L1484" s="13">
        <f>VLOOKUP(H1484, 'RM &amp; SF'!B:H, 7, 0)</f>
        <v>6.3224137931034485E-2</v>
      </c>
      <c r="M1484" s="7">
        <f t="shared" si="80"/>
        <v>6.3224137931034485E-2</v>
      </c>
      <c r="N1484" s="4" t="s">
        <v>825</v>
      </c>
      <c r="O1484" s="4">
        <f>VLOOKUP(B1484, 'All Menu'!B:L, 6, 0)</f>
        <v>7.7586206896551726</v>
      </c>
      <c r="P1484" s="6">
        <f>VLOOKUP(B1484, 'All Menu'!B:L, 9, 0)</f>
        <v>5.2935268537167888</v>
      </c>
      <c r="Q1484" s="14">
        <f>VLOOKUP(B1484, 'All Menu'!B:M, 12, 0)</f>
        <v>0.31772320552094724</v>
      </c>
      <c r="R1484" s="173">
        <f t="shared" si="81"/>
        <v>0</v>
      </c>
    </row>
    <row r="1485" spans="1:18" ht="14" hidden="1">
      <c r="A1485" s="78" t="s">
        <v>2698</v>
      </c>
      <c r="B1485" s="220" t="s">
        <v>991</v>
      </c>
      <c r="C1485" s="185"/>
      <c r="D1485" s="103" t="str">
        <f>VLOOKUP(B1485, 'All Menu'!B:M, 4, 0)</f>
        <v>منسف لحمة</v>
      </c>
      <c r="E1485" s="30" t="str">
        <f>VLOOKUP(B1485, 'All Menu'!B:M, 2, 0)</f>
        <v>قسم اللاين</v>
      </c>
      <c r="F1485" s="103" t="str">
        <f>VLOOKUP(B1485, 'All Menu'!B:M, 3, 0)</f>
        <v>الوجبات اليومية سفري</v>
      </c>
      <c r="G1485" s="90" t="s">
        <v>3058</v>
      </c>
      <c r="H1485" s="188">
        <v>4280</v>
      </c>
      <c r="I1485" s="110" t="str">
        <f>VLOOKUP(H1485, 'RM &amp; SF'!B:H, 2, 0)</f>
        <v>علب ميكرويف مدورة اسود 500 مل RC2*****</v>
      </c>
      <c r="J1485" s="184" t="str">
        <f>VLOOKUP(H1485, 'RM &amp; SF'!B:E, 4, 0)</f>
        <v>قطعة</v>
      </c>
      <c r="K1485" s="12">
        <v>1</v>
      </c>
      <c r="L1485" s="13">
        <f>VLOOKUP(H1485, 'RM &amp; SF'!B:H, 7, 0)</f>
        <v>0.125</v>
      </c>
      <c r="M1485" s="7">
        <f t="shared" si="80"/>
        <v>0.125</v>
      </c>
      <c r="N1485" s="4" t="s">
        <v>825</v>
      </c>
      <c r="O1485" s="4">
        <f>VLOOKUP(B1485, 'All Menu'!B:L, 6, 0)</f>
        <v>7.7586206896551726</v>
      </c>
      <c r="P1485" s="6">
        <f>VLOOKUP(B1485, 'All Menu'!B:L, 9, 0)</f>
        <v>5.2935268537167888</v>
      </c>
      <c r="Q1485" s="14">
        <f>VLOOKUP(B1485, 'All Menu'!B:M, 12, 0)</f>
        <v>0.31772320552094724</v>
      </c>
      <c r="R1485" s="173">
        <f t="shared" si="81"/>
        <v>0</v>
      </c>
    </row>
    <row r="1486" spans="1:18" ht="14" hidden="1">
      <c r="A1486" s="78" t="s">
        <v>2698</v>
      </c>
      <c r="B1486" s="220" t="s">
        <v>991</v>
      </c>
      <c r="C1486" s="185"/>
      <c r="D1486" s="103" t="str">
        <f>VLOOKUP(B1486, 'All Menu'!B:M, 4, 0)</f>
        <v>منسف لحمة</v>
      </c>
      <c r="E1486" s="30" t="str">
        <f>VLOOKUP(B1486, 'All Menu'!B:M, 2, 0)</f>
        <v>قسم اللاين</v>
      </c>
      <c r="F1486" s="103" t="str">
        <f>VLOOKUP(B1486, 'All Menu'!B:M, 3, 0)</f>
        <v>الوجبات اليومية سفري</v>
      </c>
      <c r="G1486" s="90" t="s">
        <v>2195</v>
      </c>
      <c r="H1486" s="188">
        <v>4329</v>
      </c>
      <c r="I1486" s="110" t="str">
        <f>VLOOKUP(H1486, 'RM &amp; SF'!B:H, 2, 0)</f>
        <v>ملاعق بلاستيك مع معقم مطبوع 1*500 حبة*****</v>
      </c>
      <c r="J1486" s="184" t="str">
        <f>VLOOKUP(H1486, 'RM &amp; SF'!B:E, 4, 0)</f>
        <v>قطعة</v>
      </c>
      <c r="K1486" s="12">
        <v>1</v>
      </c>
      <c r="L1486" s="13">
        <f>VLOOKUP(H1486, 'RM &amp; SF'!B:H, 7, 0)</f>
        <v>4.7399999999999997E-4</v>
      </c>
      <c r="M1486" s="7">
        <f t="shared" si="80"/>
        <v>4.7399999999999997E-4</v>
      </c>
      <c r="N1486" s="4" t="s">
        <v>825</v>
      </c>
      <c r="O1486" s="4">
        <f>VLOOKUP(B1486, 'All Menu'!B:L, 6, 0)</f>
        <v>7.7586206896551726</v>
      </c>
      <c r="P1486" s="6">
        <f>VLOOKUP(B1486, 'All Menu'!B:L, 9, 0)</f>
        <v>5.2935268537167888</v>
      </c>
      <c r="Q1486" s="14">
        <f>VLOOKUP(B1486, 'All Menu'!B:M, 12, 0)</f>
        <v>0.31772320552094724</v>
      </c>
      <c r="R1486" s="173">
        <f t="shared" si="81"/>
        <v>0</v>
      </c>
    </row>
    <row r="1487" spans="1:18" ht="14" hidden="1">
      <c r="A1487" s="78" t="s">
        <v>2698</v>
      </c>
      <c r="B1487" s="220" t="s">
        <v>991</v>
      </c>
      <c r="C1487" s="185"/>
      <c r="D1487" s="103" t="str">
        <f>VLOOKUP(B1487, 'All Menu'!B:M, 4, 0)</f>
        <v>منسف لحمة</v>
      </c>
      <c r="E1487" s="30" t="str">
        <f>VLOOKUP(B1487, 'All Menu'!B:M, 2, 0)</f>
        <v>قسم اللاين</v>
      </c>
      <c r="F1487" s="103" t="str">
        <f>VLOOKUP(B1487, 'All Menu'!B:M, 3, 0)</f>
        <v>الوجبات اليومية سفري</v>
      </c>
      <c r="G1487" s="90" t="s">
        <v>2193</v>
      </c>
      <c r="H1487" s="188">
        <v>4309</v>
      </c>
      <c r="I1487" s="110" t="str">
        <f>VLOOKUP(H1487, 'RM &amp; SF'!B:H, 2, 0)</f>
        <v>اكياس بلاستيك مطبوع 55 سم*****</v>
      </c>
      <c r="J1487" s="184" t="str">
        <f>VLOOKUP(H1487, 'RM &amp; SF'!B:E, 4, 0)</f>
        <v>قطعة</v>
      </c>
      <c r="K1487" s="12">
        <v>1</v>
      </c>
      <c r="L1487" s="13">
        <f>VLOOKUP(H1487, 'RM &amp; SF'!B:H, 7, 0)</f>
        <v>5.5172413793103454E-2</v>
      </c>
      <c r="M1487" s="7">
        <f t="shared" si="80"/>
        <v>5.5172413793103454E-2</v>
      </c>
      <c r="N1487" s="4" t="s">
        <v>825</v>
      </c>
      <c r="O1487" s="4">
        <f>VLOOKUP(B1487, 'All Menu'!B:L, 6, 0)</f>
        <v>7.7586206896551726</v>
      </c>
      <c r="P1487" s="6">
        <f>VLOOKUP(B1487, 'All Menu'!B:L, 9, 0)</f>
        <v>5.2935268537167888</v>
      </c>
      <c r="Q1487" s="14">
        <f>VLOOKUP(B1487, 'All Menu'!B:M, 12, 0)</f>
        <v>0.31772320552094724</v>
      </c>
      <c r="R1487" s="173">
        <f t="shared" si="81"/>
        <v>0</v>
      </c>
    </row>
    <row r="1488" spans="1:18" ht="14">
      <c r="A1488" s="78" t="s">
        <v>2721</v>
      </c>
      <c r="B1488" s="220" t="s">
        <v>992</v>
      </c>
      <c r="C1488" s="185"/>
      <c r="D1488" s="103" t="str">
        <f>VLOOKUP(B1488, 'All Menu'!B:M, 4, 0)</f>
        <v>منسف دجاج</v>
      </c>
      <c r="E1488" s="30" t="str">
        <f>VLOOKUP(B1488, 'All Menu'!B:M, 2, 0)</f>
        <v>قسم اللاين</v>
      </c>
      <c r="F1488" s="103" t="str">
        <f>VLOOKUP(B1488, 'All Menu'!B:M, 3, 0)</f>
        <v>الوجبات اليومية سفري</v>
      </c>
      <c r="G1488" s="90" t="s">
        <v>2389</v>
      </c>
      <c r="H1488" s="219" t="s">
        <v>550</v>
      </c>
      <c r="I1488" s="110" t="str">
        <f>VLOOKUP(H1488, 'RM &amp; SF'!B:H, 2, 0)</f>
        <v>ارز منسف</v>
      </c>
      <c r="J1488" s="184" t="str">
        <f>VLOOKUP(H1488, 'RM &amp; SF'!B:E, 4, 0)</f>
        <v>غم</v>
      </c>
      <c r="K1488" s="12">
        <v>500</v>
      </c>
      <c r="L1488" s="13">
        <f>VLOOKUP(H1488, 'RM &amp; SF'!B:H, 7, 0)</f>
        <v>4.9216375000000004E-4</v>
      </c>
      <c r="M1488" s="7">
        <f t="shared" si="80"/>
        <v>0.24608187500000001</v>
      </c>
      <c r="N1488" s="4" t="s">
        <v>825</v>
      </c>
      <c r="O1488" s="4">
        <f>VLOOKUP(B1488, 'All Menu'!B:L, 6, 0)</f>
        <v>3.0172413793103452</v>
      </c>
      <c r="P1488" s="6">
        <f>VLOOKUP(B1488, 'All Menu'!B:L, 9, 0)</f>
        <v>1.9395633214233041</v>
      </c>
      <c r="Q1488" s="14">
        <f>VLOOKUP(B1488, 'All Menu'!B:M, 12, 0)</f>
        <v>0.35717329918541929</v>
      </c>
      <c r="R1488" s="173">
        <f t="shared" si="81"/>
        <v>0</v>
      </c>
    </row>
    <row r="1489" spans="1:18" ht="14" hidden="1">
      <c r="A1489" s="78" t="s">
        <v>2721</v>
      </c>
      <c r="B1489" s="220" t="s">
        <v>992</v>
      </c>
      <c r="C1489" s="185"/>
      <c r="D1489" s="103" t="str">
        <f>VLOOKUP(B1489, 'All Menu'!B:M, 4, 0)</f>
        <v>منسف دجاج</v>
      </c>
      <c r="E1489" s="30" t="str">
        <f>VLOOKUP(B1489, 'All Menu'!B:M, 2, 0)</f>
        <v>قسم اللاين</v>
      </c>
      <c r="F1489" s="103" t="str">
        <f>VLOOKUP(B1489, 'All Menu'!B:M, 3, 0)</f>
        <v>الوجبات اليومية سفري</v>
      </c>
      <c r="G1489" s="90" t="s">
        <v>2417</v>
      </c>
      <c r="H1489" s="219" t="s">
        <v>544</v>
      </c>
      <c r="I1489" s="110" t="str">
        <f>VLOOKUP(H1489, 'RM &amp; SF'!B:H, 2, 0)</f>
        <v>دجاجة متبلة</v>
      </c>
      <c r="J1489" s="184" t="str">
        <f>VLOOKUP(H1489, 'RM &amp; SF'!B:E, 4, 0)</f>
        <v>قطعة</v>
      </c>
      <c r="K1489" s="12">
        <v>0.25</v>
      </c>
      <c r="L1489" s="13">
        <f>VLOOKUP(H1489, 'RM &amp; SF'!B:H, 7, 0)</f>
        <v>3.0853324000000004</v>
      </c>
      <c r="M1489" s="7">
        <f t="shared" si="80"/>
        <v>0.7713331000000001</v>
      </c>
      <c r="N1489" s="4" t="s">
        <v>825</v>
      </c>
      <c r="O1489" s="4">
        <f>VLOOKUP(B1489, 'All Menu'!B:L, 6, 0)</f>
        <v>3.0172413793103452</v>
      </c>
      <c r="P1489" s="6">
        <f>VLOOKUP(B1489, 'All Menu'!B:L, 9, 0)</f>
        <v>1.9395633214233041</v>
      </c>
      <c r="Q1489" s="14">
        <f>VLOOKUP(B1489, 'All Menu'!B:M, 12, 0)</f>
        <v>0.35717329918541929</v>
      </c>
      <c r="R1489" s="173">
        <f t="shared" si="81"/>
        <v>0</v>
      </c>
    </row>
    <row r="1490" spans="1:18" ht="14" hidden="1">
      <c r="A1490" s="78" t="s">
        <v>2721</v>
      </c>
      <c r="B1490" s="220" t="s">
        <v>992</v>
      </c>
      <c r="C1490" s="185"/>
      <c r="D1490" s="103" t="str">
        <f>VLOOKUP(B1490, 'All Menu'!B:M, 4, 0)</f>
        <v>منسف دجاج</v>
      </c>
      <c r="E1490" s="30" t="str">
        <f>VLOOKUP(B1490, 'All Menu'!B:M, 2, 0)</f>
        <v>قسم اللاين</v>
      </c>
      <c r="F1490" s="103" t="str">
        <f>VLOOKUP(B1490, 'All Menu'!B:M, 3, 0)</f>
        <v>الوجبات اليومية سفري</v>
      </c>
      <c r="G1490" s="90" t="s">
        <v>2431</v>
      </c>
      <c r="H1490" s="219" t="s">
        <v>552</v>
      </c>
      <c r="I1490" s="110" t="str">
        <f>VLOOKUP(H1490, 'RM &amp; SF'!B:H, 2, 0)</f>
        <v xml:space="preserve">لبن </v>
      </c>
      <c r="J1490" s="184" t="str">
        <f>VLOOKUP(H1490, 'RM &amp; SF'!B:E, 4, 0)</f>
        <v>غم</v>
      </c>
      <c r="K1490" s="12">
        <v>500</v>
      </c>
      <c r="L1490" s="13">
        <f>VLOOKUP(H1490, 'RM &amp; SF'!B:H, 7, 0)</f>
        <v>5.9114973451327433E-4</v>
      </c>
      <c r="M1490" s="7">
        <f t="shared" si="80"/>
        <v>0.29557486725663717</v>
      </c>
      <c r="N1490" s="4" t="s">
        <v>825</v>
      </c>
      <c r="O1490" s="4">
        <f>VLOOKUP(B1490, 'All Menu'!B:L, 6, 0)</f>
        <v>3.0172413793103452</v>
      </c>
      <c r="P1490" s="6">
        <f>VLOOKUP(B1490, 'All Menu'!B:L, 9, 0)</f>
        <v>1.9395633214233041</v>
      </c>
      <c r="Q1490" s="14">
        <f>VLOOKUP(B1490, 'All Menu'!B:M, 12, 0)</f>
        <v>0.35717329918541929</v>
      </c>
      <c r="R1490" s="173">
        <f t="shared" si="81"/>
        <v>0</v>
      </c>
    </row>
    <row r="1491" spans="1:18" ht="14" hidden="1">
      <c r="A1491" s="78" t="s">
        <v>2721</v>
      </c>
      <c r="B1491" s="220" t="s">
        <v>992</v>
      </c>
      <c r="C1491" s="185"/>
      <c r="D1491" s="103" t="str">
        <f>VLOOKUP(B1491, 'All Menu'!B:M, 4, 0)</f>
        <v>منسف دجاج</v>
      </c>
      <c r="E1491" s="30" t="str">
        <f>VLOOKUP(B1491, 'All Menu'!B:M, 2, 0)</f>
        <v>قسم اللاين</v>
      </c>
      <c r="F1491" s="103" t="str">
        <f>VLOOKUP(B1491, 'All Menu'!B:M, 3, 0)</f>
        <v>الوجبات اليومية سفري</v>
      </c>
      <c r="G1491" s="90" t="s">
        <v>3058</v>
      </c>
      <c r="H1491" s="219" t="s">
        <v>3043</v>
      </c>
      <c r="I1491" s="110" t="str">
        <f>VLOOKUP(H1491, 'RM &amp; SF'!B:H, 2, 0)</f>
        <v>علبة لوز مقلي 25 غرام</v>
      </c>
      <c r="J1491" s="184" t="str">
        <f>VLOOKUP(H1491, 'RM &amp; SF'!B:E, 4, 0)</f>
        <v>قطعة</v>
      </c>
      <c r="K1491" s="12">
        <v>25</v>
      </c>
      <c r="L1491" s="13">
        <f>VLOOKUP(H1491, 'RM &amp; SF'!B:H, 7, 0)</f>
        <v>1.3723013649425287E-2</v>
      </c>
      <c r="M1491" s="7">
        <f t="shared" si="80"/>
        <v>0.34307534123563216</v>
      </c>
      <c r="N1491" s="4" t="s">
        <v>825</v>
      </c>
      <c r="O1491" s="4">
        <f>VLOOKUP(B1491, 'All Menu'!B:L, 6, 0)</f>
        <v>3.0172413793103452</v>
      </c>
      <c r="P1491" s="6">
        <f>VLOOKUP(B1491, 'All Menu'!B:L, 9, 0)</f>
        <v>1.9395633214233041</v>
      </c>
      <c r="Q1491" s="14">
        <f>VLOOKUP(B1491, 'All Menu'!B:M, 12, 0)</f>
        <v>0.35717329918541929</v>
      </c>
      <c r="R1491" s="173">
        <f t="shared" si="81"/>
        <v>0</v>
      </c>
    </row>
    <row r="1492" spans="1:18" ht="14" hidden="1">
      <c r="A1492" s="78" t="s">
        <v>2721</v>
      </c>
      <c r="B1492" s="220" t="s">
        <v>992</v>
      </c>
      <c r="C1492" s="185"/>
      <c r="D1492" s="103" t="str">
        <f>VLOOKUP(B1492, 'All Menu'!B:M, 4, 0)</f>
        <v>منسف دجاج</v>
      </c>
      <c r="E1492" s="30" t="str">
        <f>VLOOKUP(B1492, 'All Menu'!B:M, 2, 0)</f>
        <v>قسم اللاين</v>
      </c>
      <c r="F1492" s="103" t="str">
        <f>VLOOKUP(B1492, 'All Menu'!B:M, 3, 0)</f>
        <v>الوجبات اليومية سفري</v>
      </c>
      <c r="G1492" s="90" t="s">
        <v>2190</v>
      </c>
      <c r="H1492" s="188">
        <v>4279</v>
      </c>
      <c r="I1492" s="110" t="str">
        <f>VLOOKUP(H1492, 'RM &amp; SF'!B:H, 2, 0)</f>
        <v>علب ميكرويف مستطيل اسود مفرغة (احادي)*****</v>
      </c>
      <c r="J1492" s="184" t="str">
        <f>VLOOKUP(H1492, 'RM &amp; SF'!B:E, 4, 0)</f>
        <v>قطعة</v>
      </c>
      <c r="K1492" s="12">
        <v>1</v>
      </c>
      <c r="L1492" s="13">
        <f>VLOOKUP(H1492, 'RM &amp; SF'!B:H, 7, 0)</f>
        <v>9.4799999999999995E-2</v>
      </c>
      <c r="M1492" s="7">
        <f t="shared" si="80"/>
        <v>9.4799999999999995E-2</v>
      </c>
      <c r="N1492" s="4" t="s">
        <v>825</v>
      </c>
      <c r="O1492" s="4">
        <f>VLOOKUP(B1492, 'All Menu'!B:L, 6, 0)</f>
        <v>3.0172413793103452</v>
      </c>
      <c r="P1492" s="6">
        <f>VLOOKUP(B1492, 'All Menu'!B:L, 9, 0)</f>
        <v>1.9395633214233041</v>
      </c>
      <c r="Q1492" s="14">
        <f>VLOOKUP(B1492, 'All Menu'!B:M, 12, 0)</f>
        <v>0.35717329918541929</v>
      </c>
      <c r="R1492" s="173">
        <f t="shared" si="81"/>
        <v>0</v>
      </c>
    </row>
    <row r="1493" spans="1:18" ht="14" hidden="1">
      <c r="A1493" s="78" t="s">
        <v>2721</v>
      </c>
      <c r="B1493" s="220" t="s">
        <v>992</v>
      </c>
      <c r="C1493" s="185"/>
      <c r="D1493" s="103" t="str">
        <f>VLOOKUP(B1493, 'All Menu'!B:M, 4, 0)</f>
        <v>منسف دجاج</v>
      </c>
      <c r="E1493" s="30" t="str">
        <f>VLOOKUP(B1493, 'All Menu'!B:M, 2, 0)</f>
        <v>قسم اللاين</v>
      </c>
      <c r="F1493" s="103" t="str">
        <f>VLOOKUP(B1493, 'All Menu'!B:M, 3, 0)</f>
        <v>الوجبات اليومية سفري</v>
      </c>
      <c r="G1493" s="90" t="s">
        <v>3058</v>
      </c>
      <c r="H1493" s="188">
        <v>4266</v>
      </c>
      <c r="I1493" s="110" t="str">
        <f>VLOOKUP(H1493, 'RM &amp; SF'!B:H, 2, 0)</f>
        <v>اساور علب وجبات مطبوع 1*50 حبة*****</v>
      </c>
      <c r="J1493" s="184" t="str">
        <f>VLOOKUP(H1493, 'RM &amp; SF'!B:E, 4, 0)</f>
        <v>قطعة</v>
      </c>
      <c r="K1493" s="12">
        <v>1</v>
      </c>
      <c r="L1493" s="13">
        <f>VLOOKUP(H1493, 'RM &amp; SF'!B:H, 7, 0)</f>
        <v>6.3224137931034485E-2</v>
      </c>
      <c r="M1493" s="7">
        <f t="shared" si="80"/>
        <v>6.3224137931034485E-2</v>
      </c>
      <c r="N1493" s="4" t="s">
        <v>825</v>
      </c>
      <c r="O1493" s="4">
        <f>VLOOKUP(B1493, 'All Menu'!B:L, 6, 0)</f>
        <v>3.0172413793103452</v>
      </c>
      <c r="P1493" s="6">
        <f>VLOOKUP(B1493, 'All Menu'!B:L, 9, 0)</f>
        <v>1.9395633214233041</v>
      </c>
      <c r="Q1493" s="14">
        <f>VLOOKUP(B1493, 'All Menu'!B:M, 12, 0)</f>
        <v>0.35717329918541929</v>
      </c>
      <c r="R1493" s="173">
        <f t="shared" si="81"/>
        <v>0</v>
      </c>
    </row>
    <row r="1494" spans="1:18" ht="14" hidden="1">
      <c r="A1494" s="78" t="s">
        <v>2721</v>
      </c>
      <c r="B1494" s="220" t="s">
        <v>992</v>
      </c>
      <c r="C1494" s="185"/>
      <c r="D1494" s="103" t="str">
        <f>VLOOKUP(B1494, 'All Menu'!B:M, 4, 0)</f>
        <v>منسف دجاج</v>
      </c>
      <c r="E1494" s="30" t="str">
        <f>VLOOKUP(B1494, 'All Menu'!B:M, 2, 0)</f>
        <v>قسم اللاين</v>
      </c>
      <c r="F1494" s="103" t="str">
        <f>VLOOKUP(B1494, 'All Menu'!B:M, 3, 0)</f>
        <v>الوجبات اليومية سفري</v>
      </c>
      <c r="G1494" s="90" t="s">
        <v>3058</v>
      </c>
      <c r="H1494" s="188">
        <v>4280</v>
      </c>
      <c r="I1494" s="110" t="str">
        <f>VLOOKUP(H1494, 'RM &amp; SF'!B:H, 2, 0)</f>
        <v>علب ميكرويف مدورة اسود 500 مل RC2*****</v>
      </c>
      <c r="J1494" s="184" t="str">
        <f>VLOOKUP(H1494, 'RM &amp; SF'!B:E, 4, 0)</f>
        <v>قطعة</v>
      </c>
      <c r="K1494" s="12">
        <v>1</v>
      </c>
      <c r="L1494" s="13">
        <f>VLOOKUP(H1494, 'RM &amp; SF'!B:H, 7, 0)</f>
        <v>0.125</v>
      </c>
      <c r="M1494" s="7">
        <f t="shared" si="80"/>
        <v>0.125</v>
      </c>
      <c r="N1494" s="4" t="s">
        <v>825</v>
      </c>
      <c r="O1494" s="4">
        <f>VLOOKUP(B1494, 'All Menu'!B:L, 6, 0)</f>
        <v>3.0172413793103452</v>
      </c>
      <c r="P1494" s="6">
        <f>VLOOKUP(B1494, 'All Menu'!B:L, 9, 0)</f>
        <v>1.9395633214233041</v>
      </c>
      <c r="Q1494" s="14">
        <f>VLOOKUP(B1494, 'All Menu'!B:M, 12, 0)</f>
        <v>0.35717329918541929</v>
      </c>
      <c r="R1494" s="173">
        <f t="shared" si="81"/>
        <v>0</v>
      </c>
    </row>
    <row r="1495" spans="1:18" ht="14" hidden="1">
      <c r="A1495" s="78" t="s">
        <v>2721</v>
      </c>
      <c r="B1495" s="220" t="s">
        <v>992</v>
      </c>
      <c r="C1495" s="185"/>
      <c r="D1495" s="103" t="str">
        <f>VLOOKUP(B1495, 'All Menu'!B:M, 4, 0)</f>
        <v>منسف دجاج</v>
      </c>
      <c r="E1495" s="30" t="str">
        <f>VLOOKUP(B1495, 'All Menu'!B:M, 2, 0)</f>
        <v>قسم اللاين</v>
      </c>
      <c r="F1495" s="103" t="str">
        <f>VLOOKUP(B1495, 'All Menu'!B:M, 3, 0)</f>
        <v>الوجبات اليومية سفري</v>
      </c>
      <c r="G1495" s="90" t="s">
        <v>2195</v>
      </c>
      <c r="H1495" s="188">
        <v>4329</v>
      </c>
      <c r="I1495" s="110" t="str">
        <f>VLOOKUP(H1495, 'RM &amp; SF'!B:H, 2, 0)</f>
        <v>ملاعق بلاستيك مع معقم مطبوع 1*500 حبة*****</v>
      </c>
      <c r="J1495" s="184" t="str">
        <f>VLOOKUP(H1495, 'RM &amp; SF'!B:E, 4, 0)</f>
        <v>قطعة</v>
      </c>
      <c r="K1495" s="12">
        <v>1</v>
      </c>
      <c r="L1495" s="13">
        <f>VLOOKUP(H1495, 'RM &amp; SF'!B:H, 7, 0)</f>
        <v>4.7399999999999997E-4</v>
      </c>
      <c r="M1495" s="7">
        <f t="shared" si="80"/>
        <v>4.7399999999999997E-4</v>
      </c>
      <c r="N1495" s="4" t="s">
        <v>825</v>
      </c>
      <c r="O1495" s="4">
        <f>VLOOKUP(B1495, 'All Menu'!B:L, 6, 0)</f>
        <v>3.0172413793103452</v>
      </c>
      <c r="P1495" s="6">
        <f>VLOOKUP(B1495, 'All Menu'!B:L, 9, 0)</f>
        <v>1.9395633214233041</v>
      </c>
      <c r="Q1495" s="14">
        <f>VLOOKUP(B1495, 'All Menu'!B:M, 12, 0)</f>
        <v>0.35717329918541929</v>
      </c>
      <c r="R1495" s="173">
        <f t="shared" si="81"/>
        <v>0</v>
      </c>
    </row>
    <row r="1496" spans="1:18" ht="14" hidden="1">
      <c r="A1496" s="78" t="s">
        <v>2704</v>
      </c>
      <c r="B1496" s="220" t="s">
        <v>994</v>
      </c>
      <c r="C1496" s="185"/>
      <c r="D1496" s="103" t="str">
        <f>VLOOKUP(B1496, 'All Menu'!B:M, 4, 0)</f>
        <v>قدرة</v>
      </c>
      <c r="E1496" s="30" t="str">
        <f>VLOOKUP(B1496, 'All Menu'!B:M, 2, 0)</f>
        <v>قسم اللاين</v>
      </c>
      <c r="F1496" s="103" t="str">
        <f>VLOOKUP(B1496, 'All Menu'!B:M, 3, 0)</f>
        <v>الوجبات اليومية سفري</v>
      </c>
      <c r="G1496" s="90" t="s">
        <v>2386</v>
      </c>
      <c r="H1496" s="219" t="s">
        <v>584</v>
      </c>
      <c r="I1496" s="110" t="str">
        <f>VLOOKUP(H1496, 'RM &amp; SF'!B:H, 2, 0)</f>
        <v>رز قدرة</v>
      </c>
      <c r="J1496" s="184" t="str">
        <f>VLOOKUP(H1496, 'RM &amp; SF'!B:E, 4, 0)</f>
        <v>غم</v>
      </c>
      <c r="K1496" s="12">
        <v>500</v>
      </c>
      <c r="L1496" s="13">
        <f>VLOOKUP(H1496, 'RM &amp; SF'!B:H, 7, 0)</f>
        <v>4.9428737588652486E-4</v>
      </c>
      <c r="M1496" s="7">
        <f t="shared" si="80"/>
        <v>0.24714368794326244</v>
      </c>
      <c r="N1496" s="4" t="s">
        <v>825</v>
      </c>
      <c r="O1496" s="4">
        <f>VLOOKUP(B1496, 'All Menu'!B:L, 6, 0)</f>
        <v>2.5862068965517242</v>
      </c>
      <c r="P1496" s="6">
        <f>VLOOKUP(B1496, 'All Menu'!B:L, 9, 0)</f>
        <v>1.4196795810467109</v>
      </c>
      <c r="Q1496" s="14">
        <f>VLOOKUP(B1496, 'All Menu'!B:M, 12, 0)</f>
        <v>0.45105722866193848</v>
      </c>
      <c r="R1496" s="173">
        <f t="shared" si="81"/>
        <v>0</v>
      </c>
    </row>
    <row r="1497" spans="1:18" ht="14" hidden="1">
      <c r="A1497" s="78" t="s">
        <v>2704</v>
      </c>
      <c r="B1497" s="220" t="s">
        <v>994</v>
      </c>
      <c r="C1497" s="185"/>
      <c r="D1497" s="103" t="str">
        <f>VLOOKUP(B1497, 'All Menu'!B:M, 4, 0)</f>
        <v>قدرة</v>
      </c>
      <c r="E1497" s="30" t="str">
        <f>VLOOKUP(B1497, 'All Menu'!B:M, 2, 0)</f>
        <v>قسم اللاين</v>
      </c>
      <c r="F1497" s="103" t="str">
        <f>VLOOKUP(B1497, 'All Menu'!B:M, 3, 0)</f>
        <v>الوجبات اليومية سفري</v>
      </c>
      <c r="G1497" s="90" t="s">
        <v>2417</v>
      </c>
      <c r="H1497" s="219" t="s">
        <v>544</v>
      </c>
      <c r="I1497" s="110" t="str">
        <f>VLOOKUP(H1497, 'RM &amp; SF'!B:H, 2, 0)</f>
        <v>دجاجة متبلة</v>
      </c>
      <c r="J1497" s="184" t="str">
        <f>VLOOKUP(H1497, 'RM &amp; SF'!B:E, 4, 0)</f>
        <v>قطعة</v>
      </c>
      <c r="K1497" s="12">
        <v>0.25</v>
      </c>
      <c r="L1497" s="13">
        <f>VLOOKUP(H1497, 'RM &amp; SF'!B:H, 7, 0)</f>
        <v>3.0853324000000004</v>
      </c>
      <c r="M1497" s="7">
        <f t="shared" si="80"/>
        <v>0.7713331000000001</v>
      </c>
      <c r="N1497" s="4" t="s">
        <v>825</v>
      </c>
      <c r="O1497" s="4">
        <f>VLOOKUP(B1497, 'All Menu'!B:L, 6, 0)</f>
        <v>2.5862068965517242</v>
      </c>
      <c r="P1497" s="6">
        <f>VLOOKUP(B1497, 'All Menu'!B:L, 9, 0)</f>
        <v>1.4196795810467109</v>
      </c>
      <c r="Q1497" s="14">
        <f>VLOOKUP(B1497, 'All Menu'!B:M, 12, 0)</f>
        <v>0.45105722866193848</v>
      </c>
      <c r="R1497" s="173">
        <f t="shared" si="81"/>
        <v>0</v>
      </c>
    </row>
    <row r="1498" spans="1:18" ht="14" hidden="1">
      <c r="A1498" s="78" t="s">
        <v>2704</v>
      </c>
      <c r="B1498" s="220" t="s">
        <v>994</v>
      </c>
      <c r="C1498" s="185"/>
      <c r="D1498" s="103" t="str">
        <f>VLOOKUP(B1498, 'All Menu'!B:M, 4, 0)</f>
        <v>قدرة</v>
      </c>
      <c r="E1498" s="30" t="str">
        <f>VLOOKUP(B1498, 'All Menu'!B:M, 2, 0)</f>
        <v>قسم اللاين</v>
      </c>
      <c r="F1498" s="103" t="str">
        <f>VLOOKUP(B1498, 'All Menu'!B:M, 3, 0)</f>
        <v>الوجبات اليومية سفري</v>
      </c>
      <c r="G1498" s="90" t="s">
        <v>2341</v>
      </c>
      <c r="H1498" s="219" t="s">
        <v>706</v>
      </c>
      <c r="I1498" s="110" t="str">
        <f>VLOOKUP(H1498, 'RM &amp; SF'!B:H, 2, 0)</f>
        <v>لوز مقلي</v>
      </c>
      <c r="J1498" s="184" t="str">
        <f>VLOOKUP(H1498, 'RM &amp; SF'!B:E, 4, 0)</f>
        <v>غم</v>
      </c>
      <c r="K1498" s="12">
        <v>20</v>
      </c>
      <c r="L1498" s="13">
        <f>VLOOKUP(H1498, 'RM &amp; SF'!B:H, 7, 0)</f>
        <v>4.1352327586206888E-3</v>
      </c>
      <c r="M1498" s="7">
        <f t="shared" si="80"/>
        <v>8.270465517241378E-2</v>
      </c>
      <c r="N1498" s="4" t="s">
        <v>825</v>
      </c>
      <c r="O1498" s="4">
        <f>VLOOKUP(B1498, 'All Menu'!B:L, 6, 0)</f>
        <v>2.5862068965517242</v>
      </c>
      <c r="P1498" s="6">
        <f>VLOOKUP(B1498, 'All Menu'!B:L, 9, 0)</f>
        <v>1.4196795810467109</v>
      </c>
      <c r="Q1498" s="14">
        <f>VLOOKUP(B1498, 'All Menu'!B:M, 12, 0)</f>
        <v>0.45105722866193848</v>
      </c>
      <c r="R1498" s="173">
        <f t="shared" si="81"/>
        <v>0</v>
      </c>
    </row>
    <row r="1499" spans="1:18" ht="14" hidden="1">
      <c r="A1499" s="78" t="s">
        <v>2704</v>
      </c>
      <c r="B1499" s="220" t="s">
        <v>994</v>
      </c>
      <c r="C1499" s="185"/>
      <c r="D1499" s="103" t="str">
        <f>VLOOKUP(B1499, 'All Menu'!B:M, 4, 0)</f>
        <v>قدرة</v>
      </c>
      <c r="E1499" s="30" t="str">
        <f>VLOOKUP(B1499, 'All Menu'!B:M, 2, 0)</f>
        <v>قسم اللاين</v>
      </c>
      <c r="F1499" s="103" t="str">
        <f>VLOOKUP(B1499, 'All Menu'!B:M, 3, 0)</f>
        <v>الوجبات اليومية سفري</v>
      </c>
      <c r="G1499" s="90" t="s">
        <v>2190</v>
      </c>
      <c r="H1499" s="188">
        <v>4279</v>
      </c>
      <c r="I1499" s="110" t="str">
        <f>VLOOKUP(H1499, 'RM &amp; SF'!B:H, 2, 0)</f>
        <v>علب ميكرويف مستطيل اسود مفرغة (احادي)*****</v>
      </c>
      <c r="J1499" s="184" t="str">
        <f>VLOOKUP(H1499, 'RM &amp; SF'!B:E, 4, 0)</f>
        <v>قطعة</v>
      </c>
      <c r="K1499" s="12">
        <v>1</v>
      </c>
      <c r="L1499" s="13">
        <f>VLOOKUP(H1499, 'RM &amp; SF'!B:H, 7, 0)</f>
        <v>9.4799999999999995E-2</v>
      </c>
      <c r="M1499" s="7">
        <f t="shared" si="80"/>
        <v>9.4799999999999995E-2</v>
      </c>
      <c r="N1499" s="4" t="s">
        <v>825</v>
      </c>
      <c r="O1499" s="4">
        <f>VLOOKUP(B1499, 'All Menu'!B:L, 6, 0)</f>
        <v>2.5862068965517242</v>
      </c>
      <c r="P1499" s="6">
        <f>VLOOKUP(B1499, 'All Menu'!B:L, 9, 0)</f>
        <v>1.4196795810467109</v>
      </c>
      <c r="Q1499" s="14">
        <f>VLOOKUP(B1499, 'All Menu'!B:M, 12, 0)</f>
        <v>0.45105722866193848</v>
      </c>
      <c r="R1499" s="173">
        <f t="shared" si="81"/>
        <v>0</v>
      </c>
    </row>
    <row r="1500" spans="1:18" ht="14" hidden="1">
      <c r="A1500" s="78" t="s">
        <v>2704</v>
      </c>
      <c r="B1500" s="220" t="s">
        <v>994</v>
      </c>
      <c r="C1500" s="185"/>
      <c r="D1500" s="103" t="str">
        <f>VLOOKUP(B1500, 'All Menu'!B:M, 4, 0)</f>
        <v>قدرة</v>
      </c>
      <c r="E1500" s="30" t="str">
        <f>VLOOKUP(B1500, 'All Menu'!B:M, 2, 0)</f>
        <v>قسم اللاين</v>
      </c>
      <c r="F1500" s="103" t="str">
        <f>VLOOKUP(B1500, 'All Menu'!B:M, 3, 0)</f>
        <v>الوجبات اليومية سفري</v>
      </c>
      <c r="G1500" s="90" t="s">
        <v>3058</v>
      </c>
      <c r="H1500" s="188">
        <v>4266</v>
      </c>
      <c r="I1500" s="110" t="str">
        <f>VLOOKUP(H1500, 'RM &amp; SF'!B:H, 2, 0)</f>
        <v>اساور علب وجبات مطبوع 1*50 حبة*****</v>
      </c>
      <c r="J1500" s="184" t="str">
        <f>VLOOKUP(H1500, 'RM &amp; SF'!B:E, 4, 0)</f>
        <v>قطعة</v>
      </c>
      <c r="K1500" s="12">
        <v>1</v>
      </c>
      <c r="L1500" s="13">
        <f>VLOOKUP(H1500, 'RM &amp; SF'!B:H, 7, 0)</f>
        <v>6.3224137931034485E-2</v>
      </c>
      <c r="M1500" s="7">
        <f t="shared" si="80"/>
        <v>6.3224137931034485E-2</v>
      </c>
      <c r="N1500" s="4" t="s">
        <v>825</v>
      </c>
      <c r="O1500" s="4">
        <f>VLOOKUP(B1500, 'All Menu'!B:L, 6, 0)</f>
        <v>2.5862068965517242</v>
      </c>
      <c r="P1500" s="6">
        <f>VLOOKUP(B1500, 'All Menu'!B:L, 9, 0)</f>
        <v>1.4196795810467109</v>
      </c>
      <c r="Q1500" s="14">
        <f>VLOOKUP(B1500, 'All Menu'!B:M, 12, 0)</f>
        <v>0.45105722866193848</v>
      </c>
      <c r="R1500" s="173">
        <f t="shared" si="81"/>
        <v>0</v>
      </c>
    </row>
    <row r="1501" spans="1:18" ht="14" hidden="1">
      <c r="A1501" s="78" t="s">
        <v>2704</v>
      </c>
      <c r="B1501" s="220" t="s">
        <v>994</v>
      </c>
      <c r="C1501" s="185"/>
      <c r="D1501" s="103" t="str">
        <f>VLOOKUP(B1501, 'All Menu'!B:M, 4, 0)</f>
        <v>قدرة</v>
      </c>
      <c r="E1501" s="30" t="str">
        <f>VLOOKUP(B1501, 'All Menu'!B:M, 2, 0)</f>
        <v>قسم اللاين</v>
      </c>
      <c r="F1501" s="103" t="str">
        <f>VLOOKUP(B1501, 'All Menu'!B:M, 3, 0)</f>
        <v>الوجبات اليومية سفري</v>
      </c>
      <c r="G1501" s="90" t="s">
        <v>2195</v>
      </c>
      <c r="H1501" s="188">
        <v>4329</v>
      </c>
      <c r="I1501" s="110" t="str">
        <f>VLOOKUP(H1501, 'RM &amp; SF'!B:H, 2, 0)</f>
        <v>ملاعق بلاستيك مع معقم مطبوع 1*500 حبة*****</v>
      </c>
      <c r="J1501" s="184" t="str">
        <f>VLOOKUP(H1501, 'RM &amp; SF'!B:E, 4, 0)</f>
        <v>قطعة</v>
      </c>
      <c r="K1501" s="12">
        <v>1</v>
      </c>
      <c r="L1501" s="13">
        <f>VLOOKUP(H1501, 'RM &amp; SF'!B:H, 7, 0)</f>
        <v>4.7399999999999997E-4</v>
      </c>
      <c r="M1501" s="7">
        <f t="shared" si="80"/>
        <v>4.7399999999999997E-4</v>
      </c>
      <c r="N1501" s="4" t="s">
        <v>825</v>
      </c>
      <c r="O1501" s="4">
        <f>VLOOKUP(B1501, 'All Menu'!B:L, 6, 0)</f>
        <v>2.5862068965517242</v>
      </c>
      <c r="P1501" s="6">
        <f>VLOOKUP(B1501, 'All Menu'!B:L, 9, 0)</f>
        <v>1.4196795810467109</v>
      </c>
      <c r="Q1501" s="14">
        <f>VLOOKUP(B1501, 'All Menu'!B:M, 12, 0)</f>
        <v>0.45105722866193848</v>
      </c>
      <c r="R1501" s="173">
        <f t="shared" si="81"/>
        <v>0</v>
      </c>
    </row>
    <row r="1502" spans="1:18" ht="14" hidden="1">
      <c r="A1502" s="78" t="s">
        <v>2704</v>
      </c>
      <c r="B1502" s="220" t="s">
        <v>994</v>
      </c>
      <c r="C1502" s="185"/>
      <c r="D1502" s="103" t="str">
        <f>VLOOKUP(B1502, 'All Menu'!B:M, 4, 0)</f>
        <v>قدرة</v>
      </c>
      <c r="E1502" s="30" t="str">
        <f>VLOOKUP(B1502, 'All Menu'!B:M, 2, 0)</f>
        <v>قسم اللاين</v>
      </c>
      <c r="F1502" s="103" t="str">
        <f>VLOOKUP(B1502, 'All Menu'!B:M, 3, 0)</f>
        <v>الوجبات اليومية سفري</v>
      </c>
      <c r="G1502" s="90" t="s">
        <v>2185</v>
      </c>
      <c r="H1502" s="188">
        <v>4550</v>
      </c>
      <c r="I1502" s="110" t="str">
        <f>VLOOKUP(H1502, 'RM &amp; SF'!B:H, 2, 0)</f>
        <v>*****لبن زبادي 150 غم</v>
      </c>
      <c r="J1502" s="184" t="str">
        <f>VLOOKUP(H1502, 'RM &amp; SF'!B:E, 4, 0)</f>
        <v>قطعة</v>
      </c>
      <c r="K1502" s="12">
        <v>1</v>
      </c>
      <c r="L1502" s="13">
        <f>VLOOKUP(H1502, 'RM &amp; SF'!B:H, 7, 0)</f>
        <v>0.16</v>
      </c>
      <c r="M1502" s="7">
        <f t="shared" si="80"/>
        <v>0.16</v>
      </c>
      <c r="N1502" s="4" t="s">
        <v>825</v>
      </c>
      <c r="O1502" s="4">
        <f>VLOOKUP(B1502, 'All Menu'!B:L, 6, 0)</f>
        <v>2.5862068965517242</v>
      </c>
      <c r="P1502" s="6">
        <f>VLOOKUP(B1502, 'All Menu'!B:L, 9, 0)</f>
        <v>1.4196795810467109</v>
      </c>
      <c r="Q1502" s="14">
        <f>VLOOKUP(B1502, 'All Menu'!B:M, 12, 0)</f>
        <v>0.45105722866193848</v>
      </c>
      <c r="R1502" s="173">
        <f t="shared" si="81"/>
        <v>0</v>
      </c>
    </row>
    <row r="1503" spans="1:18" ht="14" hidden="1">
      <c r="A1503" s="78" t="s">
        <v>2700</v>
      </c>
      <c r="B1503" s="220" t="s">
        <v>996</v>
      </c>
      <c r="C1503" s="185"/>
      <c r="D1503" s="103" t="str">
        <f>VLOOKUP(B1503, 'All Menu'!B:M, 4, 0)</f>
        <v>كبة لبنية</v>
      </c>
      <c r="E1503" s="30" t="str">
        <f>VLOOKUP(B1503, 'All Menu'!B:M, 2, 0)</f>
        <v>قسم اللاين</v>
      </c>
      <c r="F1503" s="103" t="str">
        <f>VLOOKUP(B1503, 'All Menu'!B:M, 3, 0)</f>
        <v>الوجبات اليومية سفري</v>
      </c>
      <c r="G1503" s="90" t="s">
        <v>2342</v>
      </c>
      <c r="H1503" s="219" t="s">
        <v>708</v>
      </c>
      <c r="I1503" s="110" t="str">
        <f>VLOOKUP(H1503, 'RM &amp; SF'!B:H, 2, 0)</f>
        <v>ارز بشعيرية</v>
      </c>
      <c r="J1503" s="184" t="str">
        <f>VLOOKUP(H1503, 'RM &amp; SF'!B:E, 4, 0)</f>
        <v>غم</v>
      </c>
      <c r="K1503" s="12">
        <v>500</v>
      </c>
      <c r="L1503" s="13">
        <f>VLOOKUP(H1503, 'RM &amp; SF'!B:H, 7, 0)</f>
        <v>3.3269616161616159E-4</v>
      </c>
      <c r="M1503" s="7">
        <f t="shared" ref="M1503:M1567" si="82">L1503*K1503</f>
        <v>0.16634808080808081</v>
      </c>
      <c r="N1503" s="4" t="s">
        <v>825</v>
      </c>
      <c r="O1503" s="4">
        <f>VLOOKUP(B1503, 'All Menu'!B:L, 6, 0)</f>
        <v>3.4482758620689657</v>
      </c>
      <c r="P1503" s="6">
        <f>VLOOKUP(B1503, 'All Menu'!B:L, 9, 0)</f>
        <v>2.3936093603117103</v>
      </c>
      <c r="Q1503" s="14">
        <f>VLOOKUP(B1503, 'All Menu'!B:M, 12, 0)</f>
        <v>0.30585328550960406</v>
      </c>
      <c r="R1503" s="173">
        <f t="shared" si="81"/>
        <v>0</v>
      </c>
    </row>
    <row r="1504" spans="1:18" ht="14" hidden="1">
      <c r="A1504" s="78" t="s">
        <v>2700</v>
      </c>
      <c r="B1504" s="220" t="s">
        <v>996</v>
      </c>
      <c r="C1504" s="185"/>
      <c r="D1504" s="103" t="str">
        <f>VLOOKUP(B1504, 'All Menu'!B:M, 4, 0)</f>
        <v>كبة لبنية</v>
      </c>
      <c r="E1504" s="30" t="str">
        <f>VLOOKUP(B1504, 'All Menu'!B:M, 2, 0)</f>
        <v>قسم اللاين</v>
      </c>
      <c r="F1504" s="103" t="str">
        <f>VLOOKUP(B1504, 'All Menu'!B:M, 3, 0)</f>
        <v>الوجبات اليومية سفري</v>
      </c>
      <c r="G1504" s="90" t="s">
        <v>2407</v>
      </c>
      <c r="H1504" s="219" t="s">
        <v>586</v>
      </c>
      <c r="I1504" s="110" t="str">
        <f>VLOOKUP(H1504, 'RM &amp; SF'!B:H, 2, 0)</f>
        <v xml:space="preserve">كبة لبنية   </v>
      </c>
      <c r="J1504" s="184" t="str">
        <f>VLOOKUP(H1504, 'RM &amp; SF'!B:E, 4, 0)</f>
        <v>قطعة</v>
      </c>
      <c r="K1504" s="12">
        <v>4</v>
      </c>
      <c r="L1504" s="13">
        <f>VLOOKUP(H1504, 'RM &amp; SF'!B:H, 7, 0)</f>
        <v>0.32143523705263155</v>
      </c>
      <c r="M1504" s="7">
        <f t="shared" si="82"/>
        <v>1.2857409482105262</v>
      </c>
      <c r="N1504" s="4" t="s">
        <v>825</v>
      </c>
      <c r="O1504" s="4">
        <f>VLOOKUP(B1504, 'All Menu'!B:L, 6, 0)</f>
        <v>3.4482758620689657</v>
      </c>
      <c r="P1504" s="6">
        <f>VLOOKUP(B1504, 'All Menu'!B:L, 9, 0)</f>
        <v>2.3936093603117103</v>
      </c>
      <c r="Q1504" s="14">
        <f>VLOOKUP(B1504, 'All Menu'!B:M, 12, 0)</f>
        <v>0.30585328550960406</v>
      </c>
      <c r="R1504" s="173">
        <f t="shared" si="81"/>
        <v>0</v>
      </c>
    </row>
    <row r="1505" spans="1:18" ht="14" hidden="1">
      <c r="A1505" s="78" t="s">
        <v>2700</v>
      </c>
      <c r="B1505" s="220" t="s">
        <v>996</v>
      </c>
      <c r="C1505" s="185"/>
      <c r="D1505" s="103" t="str">
        <f>VLOOKUP(B1505, 'All Menu'!B:M, 4, 0)</f>
        <v>كبة لبنية</v>
      </c>
      <c r="E1505" s="30" t="str">
        <f>VLOOKUP(B1505, 'All Menu'!B:M, 2, 0)</f>
        <v>قسم اللاين</v>
      </c>
      <c r="F1505" s="103" t="str">
        <f>VLOOKUP(B1505, 'All Menu'!B:M, 3, 0)</f>
        <v>الوجبات اليومية سفري</v>
      </c>
      <c r="G1505" s="90" t="s">
        <v>2394</v>
      </c>
      <c r="H1505" s="219" t="s">
        <v>588</v>
      </c>
      <c r="I1505" s="110" t="str">
        <f>VLOOKUP(H1505, 'RM &amp; SF'!B:H, 2, 0)</f>
        <v xml:space="preserve">لبن الكبة </v>
      </c>
      <c r="J1505" s="184" t="str">
        <f>VLOOKUP(H1505, 'RM &amp; SF'!B:E, 4, 0)</f>
        <v>غم</v>
      </c>
      <c r="K1505" s="12">
        <v>300</v>
      </c>
      <c r="L1505" s="13">
        <f>VLOOKUP(H1505, 'RM &amp; SF'!B:H, 7, 0)</f>
        <v>7.294197944444444E-4</v>
      </c>
      <c r="M1505" s="7">
        <f t="shared" si="82"/>
        <v>0.21882593833333333</v>
      </c>
      <c r="N1505" s="4" t="s">
        <v>825</v>
      </c>
      <c r="O1505" s="4">
        <f>VLOOKUP(B1505, 'All Menu'!B:L, 6, 0)</f>
        <v>3.4482758620689657</v>
      </c>
      <c r="P1505" s="6">
        <f>VLOOKUP(B1505, 'All Menu'!B:L, 9, 0)</f>
        <v>2.3936093603117103</v>
      </c>
      <c r="Q1505" s="14">
        <f>VLOOKUP(B1505, 'All Menu'!B:M, 12, 0)</f>
        <v>0.30585328550960406</v>
      </c>
      <c r="R1505" s="173">
        <f t="shared" si="81"/>
        <v>0</v>
      </c>
    </row>
    <row r="1506" spans="1:18" ht="14" hidden="1">
      <c r="A1506" s="78" t="s">
        <v>2700</v>
      </c>
      <c r="B1506" s="220" t="s">
        <v>996</v>
      </c>
      <c r="C1506" s="185"/>
      <c r="D1506" s="103" t="str">
        <f>VLOOKUP(B1506, 'All Menu'!B:M, 4, 0)</f>
        <v>كبة لبنية</v>
      </c>
      <c r="E1506" s="30" t="str">
        <f>VLOOKUP(B1506, 'All Menu'!B:M, 2, 0)</f>
        <v>قسم اللاين</v>
      </c>
      <c r="F1506" s="103" t="str">
        <f>VLOOKUP(B1506, 'All Menu'!B:M, 3, 0)</f>
        <v>الوجبات اليومية سفري</v>
      </c>
      <c r="G1506" s="90" t="s">
        <v>3058</v>
      </c>
      <c r="H1506" s="219" t="s">
        <v>3043</v>
      </c>
      <c r="I1506" s="110" t="str">
        <f>VLOOKUP(H1506, 'RM &amp; SF'!B:H, 2, 0)</f>
        <v>علبة لوز مقلي 25 غرام</v>
      </c>
      <c r="J1506" s="184" t="str">
        <f>VLOOKUP(H1506, 'RM &amp; SF'!B:E, 4, 0)</f>
        <v>قطعة</v>
      </c>
      <c r="K1506" s="12">
        <v>25</v>
      </c>
      <c r="L1506" s="13">
        <f>VLOOKUP(H1506, 'RM &amp; SF'!B:H, 7, 0)</f>
        <v>1.3723013649425287E-2</v>
      </c>
      <c r="M1506" s="7">
        <f t="shared" si="82"/>
        <v>0.34307534123563216</v>
      </c>
      <c r="N1506" s="4" t="s">
        <v>825</v>
      </c>
      <c r="O1506" s="4">
        <f>VLOOKUP(B1506, 'All Menu'!B:L, 6, 0)</f>
        <v>3.4482758620689657</v>
      </c>
      <c r="P1506" s="6">
        <f>VLOOKUP(B1506, 'All Menu'!B:L, 9, 0)</f>
        <v>2.3936093603117103</v>
      </c>
      <c r="Q1506" s="14">
        <f>VLOOKUP(B1506, 'All Menu'!B:M, 12, 0)</f>
        <v>0.30585328550960406</v>
      </c>
      <c r="R1506" s="173">
        <f t="shared" si="81"/>
        <v>0</v>
      </c>
    </row>
    <row r="1507" spans="1:18" ht="14" hidden="1">
      <c r="A1507" s="78" t="s">
        <v>2700</v>
      </c>
      <c r="B1507" s="220" t="s">
        <v>996</v>
      </c>
      <c r="C1507" s="185"/>
      <c r="D1507" s="103" t="str">
        <f>VLOOKUP(B1507, 'All Menu'!B:M, 4, 0)</f>
        <v>كبة لبنية</v>
      </c>
      <c r="E1507" s="30" t="str">
        <f>VLOOKUP(B1507, 'All Menu'!B:M, 2, 0)</f>
        <v>قسم اللاين</v>
      </c>
      <c r="F1507" s="103" t="str">
        <f>VLOOKUP(B1507, 'All Menu'!B:M, 3, 0)</f>
        <v>الوجبات اليومية سفري</v>
      </c>
      <c r="G1507" s="90" t="s">
        <v>2190</v>
      </c>
      <c r="H1507" s="188">
        <v>4279</v>
      </c>
      <c r="I1507" s="110" t="str">
        <f>VLOOKUP(H1507, 'RM &amp; SF'!B:H, 2, 0)</f>
        <v>علب ميكرويف مستطيل اسود مفرغة (احادي)*****</v>
      </c>
      <c r="J1507" s="184" t="str">
        <f>VLOOKUP(H1507, 'RM &amp; SF'!B:E, 4, 0)</f>
        <v>قطعة</v>
      </c>
      <c r="K1507" s="12">
        <v>1</v>
      </c>
      <c r="L1507" s="13">
        <f>VLOOKUP(H1507, 'RM &amp; SF'!B:H, 7, 0)</f>
        <v>9.4799999999999995E-2</v>
      </c>
      <c r="M1507" s="7">
        <f t="shared" si="82"/>
        <v>9.4799999999999995E-2</v>
      </c>
      <c r="N1507" s="4" t="s">
        <v>825</v>
      </c>
      <c r="O1507" s="4">
        <f>VLOOKUP(B1507, 'All Menu'!B:L, 6, 0)</f>
        <v>3.4482758620689657</v>
      </c>
      <c r="P1507" s="6">
        <f>VLOOKUP(B1507, 'All Menu'!B:L, 9, 0)</f>
        <v>2.3936093603117103</v>
      </c>
      <c r="Q1507" s="14">
        <f>VLOOKUP(B1507, 'All Menu'!B:M, 12, 0)</f>
        <v>0.30585328550960406</v>
      </c>
      <c r="R1507" s="173">
        <f t="shared" si="81"/>
        <v>0</v>
      </c>
    </row>
    <row r="1508" spans="1:18" ht="14" hidden="1">
      <c r="A1508" s="78" t="s">
        <v>2700</v>
      </c>
      <c r="B1508" s="220" t="s">
        <v>996</v>
      </c>
      <c r="C1508" s="185"/>
      <c r="D1508" s="103" t="str">
        <f>VLOOKUP(B1508, 'All Menu'!B:M, 4, 0)</f>
        <v>كبة لبنية</v>
      </c>
      <c r="E1508" s="30" t="str">
        <f>VLOOKUP(B1508, 'All Menu'!B:M, 2, 0)</f>
        <v>قسم اللاين</v>
      </c>
      <c r="F1508" s="103" t="str">
        <f>VLOOKUP(B1508, 'All Menu'!B:M, 3, 0)</f>
        <v>الوجبات اليومية سفري</v>
      </c>
      <c r="G1508" s="90" t="s">
        <v>3058</v>
      </c>
      <c r="H1508" s="188">
        <v>4266</v>
      </c>
      <c r="I1508" s="110" t="str">
        <f>VLOOKUP(H1508, 'RM &amp; SF'!B:H, 2, 0)</f>
        <v>اساور علب وجبات مطبوع 1*50 حبة*****</v>
      </c>
      <c r="J1508" s="184" t="str">
        <f>VLOOKUP(H1508, 'RM &amp; SF'!B:E, 4, 0)</f>
        <v>قطعة</v>
      </c>
      <c r="K1508" s="12">
        <v>1</v>
      </c>
      <c r="L1508" s="13">
        <f>VLOOKUP(H1508, 'RM &amp; SF'!B:H, 7, 0)</f>
        <v>6.3224137931034485E-2</v>
      </c>
      <c r="M1508" s="7">
        <f t="shared" si="82"/>
        <v>6.3224137931034485E-2</v>
      </c>
      <c r="N1508" s="4" t="s">
        <v>825</v>
      </c>
      <c r="O1508" s="4">
        <f>VLOOKUP(B1508, 'All Menu'!B:L, 6, 0)</f>
        <v>3.4482758620689657</v>
      </c>
      <c r="P1508" s="6">
        <f>VLOOKUP(B1508, 'All Menu'!B:L, 9, 0)</f>
        <v>2.3936093603117103</v>
      </c>
      <c r="Q1508" s="14">
        <f>VLOOKUP(B1508, 'All Menu'!B:M, 12, 0)</f>
        <v>0.30585328550960406</v>
      </c>
      <c r="R1508" s="173">
        <f t="shared" si="81"/>
        <v>0</v>
      </c>
    </row>
    <row r="1509" spans="1:18" ht="14" hidden="1">
      <c r="A1509" s="78" t="s">
        <v>2700</v>
      </c>
      <c r="B1509" s="220" t="s">
        <v>996</v>
      </c>
      <c r="C1509" s="185"/>
      <c r="D1509" s="103" t="str">
        <f>VLOOKUP(B1509, 'All Menu'!B:M, 4, 0)</f>
        <v>كبة لبنية</v>
      </c>
      <c r="E1509" s="30" t="str">
        <f>VLOOKUP(B1509, 'All Menu'!B:M, 2, 0)</f>
        <v>قسم اللاين</v>
      </c>
      <c r="F1509" s="103" t="str">
        <f>VLOOKUP(B1509, 'All Menu'!B:M, 3, 0)</f>
        <v>الوجبات اليومية سفري</v>
      </c>
      <c r="G1509" s="90" t="s">
        <v>3058</v>
      </c>
      <c r="H1509" s="188">
        <v>4280</v>
      </c>
      <c r="I1509" s="110" t="str">
        <f>VLOOKUP(H1509, 'RM &amp; SF'!B:H, 2, 0)</f>
        <v>علب ميكرويف مدورة اسود 500 مل RC2*****</v>
      </c>
      <c r="J1509" s="184" t="str">
        <f>VLOOKUP(H1509, 'RM &amp; SF'!B:E, 4, 0)</f>
        <v>قطعة</v>
      </c>
      <c r="K1509" s="12">
        <v>1</v>
      </c>
      <c r="L1509" s="13">
        <f>VLOOKUP(H1509, 'RM &amp; SF'!B:H, 7, 0)</f>
        <v>0.125</v>
      </c>
      <c r="M1509" s="7">
        <f t="shared" si="82"/>
        <v>0.125</v>
      </c>
      <c r="N1509" s="4" t="s">
        <v>825</v>
      </c>
      <c r="O1509" s="4">
        <f>VLOOKUP(B1509, 'All Menu'!B:L, 6, 0)</f>
        <v>3.4482758620689657</v>
      </c>
      <c r="P1509" s="6">
        <f>VLOOKUP(B1509, 'All Menu'!B:L, 9, 0)</f>
        <v>2.3936093603117103</v>
      </c>
      <c r="Q1509" s="14">
        <f>VLOOKUP(B1509, 'All Menu'!B:M, 12, 0)</f>
        <v>0.30585328550960406</v>
      </c>
      <c r="R1509" s="173">
        <f t="shared" si="81"/>
        <v>0</v>
      </c>
    </row>
    <row r="1510" spans="1:18" ht="14" hidden="1">
      <c r="A1510" s="78" t="s">
        <v>2700</v>
      </c>
      <c r="B1510" s="220" t="s">
        <v>996</v>
      </c>
      <c r="C1510" s="185"/>
      <c r="D1510" s="103" t="str">
        <f>VLOOKUP(B1510, 'All Menu'!B:M, 4, 0)</f>
        <v>كبة لبنية</v>
      </c>
      <c r="E1510" s="30" t="str">
        <f>VLOOKUP(B1510, 'All Menu'!B:M, 2, 0)</f>
        <v>قسم اللاين</v>
      </c>
      <c r="F1510" s="103" t="str">
        <f>VLOOKUP(B1510, 'All Menu'!B:M, 3, 0)</f>
        <v>الوجبات اليومية سفري</v>
      </c>
      <c r="G1510" s="90" t="s">
        <v>3058</v>
      </c>
      <c r="H1510" s="188">
        <v>5274</v>
      </c>
      <c r="I1510" s="110" t="str">
        <f>VLOOKUP(H1510, 'RM &amp; SF'!B:H, 2, 0)</f>
        <v>نايلون للتغليف رول (رول جيلاتين) 45 سم*4 كغ*****</v>
      </c>
      <c r="J1510" s="184" t="str">
        <f>VLOOKUP(H1510, 'RM &amp; SF'!B:E, 4, 0)</f>
        <v>غم</v>
      </c>
      <c r="K1510" s="12">
        <v>20</v>
      </c>
      <c r="L1510" s="13">
        <f>VLOOKUP(H1510, 'RM &amp; SF'!B:H, 7, 0)</f>
        <v>2.0474249999999999E-3</v>
      </c>
      <c r="M1510" s="7">
        <f t="shared" ref="M1510" si="83">L1510*K1510</f>
        <v>4.0948499999999999E-2</v>
      </c>
      <c r="N1510" s="4" t="s">
        <v>825</v>
      </c>
      <c r="O1510" s="4">
        <f>VLOOKUP(B1510, 'All Menu'!B:L, 6, 0)</f>
        <v>3.4482758620689657</v>
      </c>
      <c r="P1510" s="6">
        <f>VLOOKUP(B1510, 'All Menu'!B:L, 9, 0)</f>
        <v>2.3936093603117103</v>
      </c>
      <c r="Q1510" s="14">
        <f>VLOOKUP(B1510, 'All Menu'!B:M, 12, 0)</f>
        <v>0.30585328550960406</v>
      </c>
      <c r="R1510" s="173">
        <f t="shared" si="81"/>
        <v>0</v>
      </c>
    </row>
    <row r="1511" spans="1:18" ht="14" hidden="1">
      <c r="A1511" s="78" t="s">
        <v>2700</v>
      </c>
      <c r="B1511" s="220" t="s">
        <v>996</v>
      </c>
      <c r="C1511" s="185"/>
      <c r="D1511" s="103" t="str">
        <f>VLOOKUP(B1511, 'All Menu'!B:M, 4, 0)</f>
        <v>كبة لبنية</v>
      </c>
      <c r="E1511" s="30" t="str">
        <f>VLOOKUP(B1511, 'All Menu'!B:M, 2, 0)</f>
        <v>قسم اللاين</v>
      </c>
      <c r="F1511" s="103" t="str">
        <f>VLOOKUP(B1511, 'All Menu'!B:M, 3, 0)</f>
        <v>الوجبات اليومية سفري</v>
      </c>
      <c r="G1511" s="90" t="s">
        <v>2195</v>
      </c>
      <c r="H1511" s="188">
        <v>4329</v>
      </c>
      <c r="I1511" s="110" t="str">
        <f>VLOOKUP(H1511, 'RM &amp; SF'!B:H, 2, 0)</f>
        <v>ملاعق بلاستيك مع معقم مطبوع 1*500 حبة*****</v>
      </c>
      <c r="J1511" s="184" t="str">
        <f>VLOOKUP(H1511, 'RM &amp; SF'!B:E, 4, 0)</f>
        <v>قطعة</v>
      </c>
      <c r="K1511" s="12">
        <v>1</v>
      </c>
      <c r="L1511" s="13">
        <f>VLOOKUP(H1511, 'RM &amp; SF'!B:H, 7, 0)</f>
        <v>4.7399999999999997E-4</v>
      </c>
      <c r="M1511" s="7">
        <f t="shared" si="82"/>
        <v>4.7399999999999997E-4</v>
      </c>
      <c r="N1511" s="4" t="s">
        <v>825</v>
      </c>
      <c r="O1511" s="4">
        <f>VLOOKUP(B1511, 'All Menu'!B:L, 6, 0)</f>
        <v>3.4482758620689657</v>
      </c>
      <c r="P1511" s="6">
        <f>VLOOKUP(B1511, 'All Menu'!B:L, 9, 0)</f>
        <v>2.3936093603117103</v>
      </c>
      <c r="Q1511" s="14">
        <f>VLOOKUP(B1511, 'All Menu'!B:M, 12, 0)</f>
        <v>0.30585328550960406</v>
      </c>
      <c r="R1511" s="173">
        <f t="shared" si="81"/>
        <v>0</v>
      </c>
    </row>
    <row r="1512" spans="1:18" ht="14" hidden="1">
      <c r="A1512" s="78" t="s">
        <v>2700</v>
      </c>
      <c r="B1512" s="220" t="s">
        <v>996</v>
      </c>
      <c r="C1512" s="185"/>
      <c r="D1512" s="103" t="str">
        <f>VLOOKUP(B1512, 'All Menu'!B:M, 4, 0)</f>
        <v>كبة لبنية</v>
      </c>
      <c r="E1512" s="30" t="str">
        <f>VLOOKUP(B1512, 'All Menu'!B:M, 2, 0)</f>
        <v>قسم اللاين</v>
      </c>
      <c r="F1512" s="103" t="str">
        <f>VLOOKUP(B1512, 'All Menu'!B:M, 3, 0)</f>
        <v>الوجبات اليومية سفري</v>
      </c>
      <c r="G1512" s="90" t="s">
        <v>2193</v>
      </c>
      <c r="H1512" s="188">
        <v>4309</v>
      </c>
      <c r="I1512" s="110" t="str">
        <f>VLOOKUP(H1512, 'RM &amp; SF'!B:H, 2, 0)</f>
        <v>اكياس بلاستيك مطبوع 55 سم*****</v>
      </c>
      <c r="J1512" s="184" t="str">
        <f>VLOOKUP(H1512, 'RM &amp; SF'!B:E, 4, 0)</f>
        <v>قطعة</v>
      </c>
      <c r="K1512" s="12">
        <v>1</v>
      </c>
      <c r="L1512" s="13">
        <f>VLOOKUP(H1512, 'RM &amp; SF'!B:H, 7, 0)</f>
        <v>5.5172413793103454E-2</v>
      </c>
      <c r="M1512" s="7">
        <f t="shared" si="82"/>
        <v>5.5172413793103454E-2</v>
      </c>
      <c r="N1512" s="4" t="s">
        <v>825</v>
      </c>
      <c r="O1512" s="4">
        <f>VLOOKUP(B1512, 'All Menu'!B:L, 6, 0)</f>
        <v>3.4482758620689657</v>
      </c>
      <c r="P1512" s="6">
        <f>VLOOKUP(B1512, 'All Menu'!B:L, 9, 0)</f>
        <v>2.3936093603117103</v>
      </c>
      <c r="Q1512" s="14">
        <f>VLOOKUP(B1512, 'All Menu'!B:M, 12, 0)</f>
        <v>0.30585328550960406</v>
      </c>
      <c r="R1512" s="173">
        <f t="shared" si="81"/>
        <v>0</v>
      </c>
    </row>
    <row r="1513" spans="1:18" ht="14" hidden="1">
      <c r="A1513" s="78" t="s">
        <v>2714</v>
      </c>
      <c r="B1513" s="220" t="s">
        <v>998</v>
      </c>
      <c r="C1513" s="185"/>
      <c r="D1513" s="103" t="str">
        <f>VLOOKUP(B1513, 'All Menu'!B:M, 4, 0)</f>
        <v>زرب دجاج</v>
      </c>
      <c r="E1513" s="30" t="str">
        <f>VLOOKUP(B1513, 'All Menu'!B:M, 2, 0)</f>
        <v>قسم اللاين</v>
      </c>
      <c r="F1513" s="103" t="str">
        <f>VLOOKUP(B1513, 'All Menu'!B:M, 3, 0)</f>
        <v>الوجبات اليومية سفري</v>
      </c>
      <c r="G1513" s="90" t="s">
        <v>2392</v>
      </c>
      <c r="H1513" s="219" t="s">
        <v>590</v>
      </c>
      <c r="I1513" s="110" t="str">
        <f>VLOOKUP(H1513, 'RM &amp; SF'!B:H, 2, 0)</f>
        <v>ارز زرب</v>
      </c>
      <c r="J1513" s="184" t="str">
        <f>VLOOKUP(H1513, 'RM &amp; SF'!B:E, 4, 0)</f>
        <v>غم</v>
      </c>
      <c r="K1513" s="12">
        <v>500</v>
      </c>
      <c r="L1513" s="13">
        <f>VLOOKUP(H1513, 'RM &amp; SF'!B:H, 7, 0)</f>
        <v>5.1539514056513406E-4</v>
      </c>
      <c r="M1513" s="7">
        <f t="shared" si="82"/>
        <v>0.25769757028256701</v>
      </c>
      <c r="N1513" s="4" t="s">
        <v>825</v>
      </c>
      <c r="O1513" s="4">
        <f>VLOOKUP(B1513, 'All Menu'!B:L, 6, 0)</f>
        <v>2.5862068965517242</v>
      </c>
      <c r="P1513" s="6">
        <f>VLOOKUP(B1513, 'All Menu'!B:L, 9, 0)</f>
        <v>1.4302334633860154</v>
      </c>
      <c r="Q1513" s="14">
        <f>VLOOKUP(B1513, 'All Menu'!B:M, 12, 0)</f>
        <v>0.44697639415740736</v>
      </c>
      <c r="R1513" s="173">
        <f t="shared" si="81"/>
        <v>0</v>
      </c>
    </row>
    <row r="1514" spans="1:18" ht="14" hidden="1">
      <c r="A1514" s="78" t="s">
        <v>2714</v>
      </c>
      <c r="B1514" s="220" t="s">
        <v>998</v>
      </c>
      <c r="C1514" s="185"/>
      <c r="D1514" s="103" t="str">
        <f>VLOOKUP(B1514, 'All Menu'!B:M, 4, 0)</f>
        <v>زرب دجاج</v>
      </c>
      <c r="E1514" s="30" t="str">
        <f>VLOOKUP(B1514, 'All Menu'!B:M, 2, 0)</f>
        <v>قسم اللاين</v>
      </c>
      <c r="F1514" s="103" t="str">
        <f>VLOOKUP(B1514, 'All Menu'!B:M, 3, 0)</f>
        <v>الوجبات اليومية سفري</v>
      </c>
      <c r="G1514" s="90" t="s">
        <v>2417</v>
      </c>
      <c r="H1514" s="219" t="s">
        <v>544</v>
      </c>
      <c r="I1514" s="110" t="str">
        <f>VLOOKUP(H1514, 'RM &amp; SF'!B:H, 2, 0)</f>
        <v>دجاجة متبلة</v>
      </c>
      <c r="J1514" s="184" t="str">
        <f>VLOOKUP(H1514, 'RM &amp; SF'!B:E, 4, 0)</f>
        <v>قطعة</v>
      </c>
      <c r="K1514" s="12">
        <v>0.25</v>
      </c>
      <c r="L1514" s="13">
        <f>VLOOKUP(H1514, 'RM &amp; SF'!B:H, 7, 0)</f>
        <v>3.0853324000000004</v>
      </c>
      <c r="M1514" s="7">
        <f t="shared" si="82"/>
        <v>0.7713331000000001</v>
      </c>
      <c r="N1514" s="4" t="s">
        <v>825</v>
      </c>
      <c r="O1514" s="4">
        <f>VLOOKUP(B1514, 'All Menu'!B:L, 6, 0)</f>
        <v>2.5862068965517242</v>
      </c>
      <c r="P1514" s="6">
        <f>VLOOKUP(B1514, 'All Menu'!B:L, 9, 0)</f>
        <v>1.4302334633860154</v>
      </c>
      <c r="Q1514" s="14">
        <f>VLOOKUP(B1514, 'All Menu'!B:M, 12, 0)</f>
        <v>0.44697639415740736</v>
      </c>
      <c r="R1514" s="173">
        <f t="shared" ref="R1514:R1577" si="84">C1514*K1514</f>
        <v>0</v>
      </c>
    </row>
    <row r="1515" spans="1:18" ht="14" hidden="1">
      <c r="A1515" s="78" t="s">
        <v>2714</v>
      </c>
      <c r="B1515" s="220" t="s">
        <v>998</v>
      </c>
      <c r="C1515" s="185"/>
      <c r="D1515" s="103" t="str">
        <f>VLOOKUP(B1515, 'All Menu'!B:M, 4, 0)</f>
        <v>زرب دجاج</v>
      </c>
      <c r="E1515" s="30" t="str">
        <f>VLOOKUP(B1515, 'All Menu'!B:M, 2, 0)</f>
        <v>قسم اللاين</v>
      </c>
      <c r="F1515" s="103" t="str">
        <f>VLOOKUP(B1515, 'All Menu'!B:M, 3, 0)</f>
        <v>الوجبات اليومية سفري</v>
      </c>
      <c r="G1515" s="90" t="s">
        <v>2341</v>
      </c>
      <c r="H1515" s="219" t="s">
        <v>706</v>
      </c>
      <c r="I1515" s="110" t="str">
        <f>VLOOKUP(H1515, 'RM &amp; SF'!B:H, 2, 0)</f>
        <v>لوز مقلي</v>
      </c>
      <c r="J1515" s="184" t="str">
        <f>VLOOKUP(H1515, 'RM &amp; SF'!B:E, 4, 0)</f>
        <v>غم</v>
      </c>
      <c r="K1515" s="12">
        <v>20</v>
      </c>
      <c r="L1515" s="13">
        <f>VLOOKUP(H1515, 'RM &amp; SF'!B:H, 7, 0)</f>
        <v>4.1352327586206888E-3</v>
      </c>
      <c r="M1515" s="7">
        <f t="shared" si="82"/>
        <v>8.270465517241378E-2</v>
      </c>
      <c r="N1515" s="4" t="s">
        <v>825</v>
      </c>
      <c r="O1515" s="4">
        <f>VLOOKUP(B1515, 'All Menu'!B:L, 6, 0)</f>
        <v>2.5862068965517242</v>
      </c>
      <c r="P1515" s="6">
        <f>VLOOKUP(B1515, 'All Menu'!B:L, 9, 0)</f>
        <v>1.4302334633860154</v>
      </c>
      <c r="Q1515" s="14">
        <f>VLOOKUP(B1515, 'All Menu'!B:M, 12, 0)</f>
        <v>0.44697639415740736</v>
      </c>
      <c r="R1515" s="173">
        <f t="shared" si="84"/>
        <v>0</v>
      </c>
    </row>
    <row r="1516" spans="1:18" ht="14" hidden="1">
      <c r="A1516" s="78" t="s">
        <v>2714</v>
      </c>
      <c r="B1516" s="220" t="s">
        <v>998</v>
      </c>
      <c r="C1516" s="185"/>
      <c r="D1516" s="103" t="str">
        <f>VLOOKUP(B1516, 'All Menu'!B:M, 4, 0)</f>
        <v>زرب دجاج</v>
      </c>
      <c r="E1516" s="30" t="str">
        <f>VLOOKUP(B1516, 'All Menu'!B:M, 2, 0)</f>
        <v>قسم اللاين</v>
      </c>
      <c r="F1516" s="103" t="str">
        <f>VLOOKUP(B1516, 'All Menu'!B:M, 3, 0)</f>
        <v>الوجبات اليومية سفري</v>
      </c>
      <c r="G1516" s="90" t="s">
        <v>2190</v>
      </c>
      <c r="H1516" s="188">
        <v>4279</v>
      </c>
      <c r="I1516" s="110" t="str">
        <f>VLOOKUP(H1516, 'RM &amp; SF'!B:H, 2, 0)</f>
        <v>علب ميكرويف مستطيل اسود مفرغة (احادي)*****</v>
      </c>
      <c r="J1516" s="184" t="str">
        <f>VLOOKUP(H1516, 'RM &amp; SF'!B:E, 4, 0)</f>
        <v>قطعة</v>
      </c>
      <c r="K1516" s="12">
        <v>1</v>
      </c>
      <c r="L1516" s="13">
        <f>VLOOKUP(H1516, 'RM &amp; SF'!B:H, 7, 0)</f>
        <v>9.4799999999999995E-2</v>
      </c>
      <c r="M1516" s="7">
        <f t="shared" si="82"/>
        <v>9.4799999999999995E-2</v>
      </c>
      <c r="N1516" s="4" t="s">
        <v>825</v>
      </c>
      <c r="O1516" s="4">
        <f>VLOOKUP(B1516, 'All Menu'!B:L, 6, 0)</f>
        <v>2.5862068965517242</v>
      </c>
      <c r="P1516" s="6">
        <f>VLOOKUP(B1516, 'All Menu'!B:L, 9, 0)</f>
        <v>1.4302334633860154</v>
      </c>
      <c r="Q1516" s="14">
        <f>VLOOKUP(B1516, 'All Menu'!B:M, 12, 0)</f>
        <v>0.44697639415740736</v>
      </c>
      <c r="R1516" s="173">
        <f t="shared" si="84"/>
        <v>0</v>
      </c>
    </row>
    <row r="1517" spans="1:18" ht="14" hidden="1">
      <c r="A1517" s="78" t="s">
        <v>2714</v>
      </c>
      <c r="B1517" s="220" t="s">
        <v>998</v>
      </c>
      <c r="C1517" s="185"/>
      <c r="D1517" s="103" t="str">
        <f>VLOOKUP(B1517, 'All Menu'!B:M, 4, 0)</f>
        <v>زرب دجاج</v>
      </c>
      <c r="E1517" s="30" t="str">
        <f>VLOOKUP(B1517, 'All Menu'!B:M, 2, 0)</f>
        <v>قسم اللاين</v>
      </c>
      <c r="F1517" s="103" t="str">
        <f>VLOOKUP(B1517, 'All Menu'!B:M, 3, 0)</f>
        <v>الوجبات اليومية سفري</v>
      </c>
      <c r="G1517" s="90" t="s">
        <v>3058</v>
      </c>
      <c r="H1517" s="188">
        <v>4266</v>
      </c>
      <c r="I1517" s="110" t="str">
        <f>VLOOKUP(H1517, 'RM &amp; SF'!B:H, 2, 0)</f>
        <v>اساور علب وجبات مطبوع 1*50 حبة*****</v>
      </c>
      <c r="J1517" s="184" t="str">
        <f>VLOOKUP(H1517, 'RM &amp; SF'!B:E, 4, 0)</f>
        <v>قطعة</v>
      </c>
      <c r="K1517" s="12">
        <v>1</v>
      </c>
      <c r="L1517" s="13">
        <f>VLOOKUP(H1517, 'RM &amp; SF'!B:H, 7, 0)</f>
        <v>6.3224137931034485E-2</v>
      </c>
      <c r="M1517" s="7">
        <f t="shared" si="82"/>
        <v>6.3224137931034485E-2</v>
      </c>
      <c r="N1517" s="4" t="s">
        <v>825</v>
      </c>
      <c r="O1517" s="4">
        <f>VLOOKUP(B1517, 'All Menu'!B:L, 6, 0)</f>
        <v>2.5862068965517242</v>
      </c>
      <c r="P1517" s="6">
        <f>VLOOKUP(B1517, 'All Menu'!B:L, 9, 0)</f>
        <v>1.4302334633860154</v>
      </c>
      <c r="Q1517" s="14">
        <f>VLOOKUP(B1517, 'All Menu'!B:M, 12, 0)</f>
        <v>0.44697639415740736</v>
      </c>
      <c r="R1517" s="173">
        <f t="shared" si="84"/>
        <v>0</v>
      </c>
    </row>
    <row r="1518" spans="1:18" ht="14" hidden="1">
      <c r="A1518" s="78" t="s">
        <v>2714</v>
      </c>
      <c r="B1518" s="220" t="s">
        <v>998</v>
      </c>
      <c r="C1518" s="185"/>
      <c r="D1518" s="103" t="str">
        <f>VLOOKUP(B1518, 'All Menu'!B:M, 4, 0)</f>
        <v>زرب دجاج</v>
      </c>
      <c r="E1518" s="30" t="str">
        <f>VLOOKUP(B1518, 'All Menu'!B:M, 2, 0)</f>
        <v>قسم اللاين</v>
      </c>
      <c r="F1518" s="103" t="str">
        <f>VLOOKUP(B1518, 'All Menu'!B:M, 3, 0)</f>
        <v>الوجبات اليومية سفري</v>
      </c>
      <c r="G1518" s="90" t="s">
        <v>2195</v>
      </c>
      <c r="H1518" s="188">
        <v>4329</v>
      </c>
      <c r="I1518" s="110" t="str">
        <f>VLOOKUP(H1518, 'RM &amp; SF'!B:H, 2, 0)</f>
        <v>ملاعق بلاستيك مع معقم مطبوع 1*500 حبة*****</v>
      </c>
      <c r="J1518" s="184" t="str">
        <f>VLOOKUP(H1518, 'RM &amp; SF'!B:E, 4, 0)</f>
        <v>قطعة</v>
      </c>
      <c r="K1518" s="12">
        <v>1</v>
      </c>
      <c r="L1518" s="13">
        <f>VLOOKUP(H1518, 'RM &amp; SF'!B:H, 7, 0)</f>
        <v>4.7399999999999997E-4</v>
      </c>
      <c r="M1518" s="7">
        <f t="shared" si="82"/>
        <v>4.7399999999999997E-4</v>
      </c>
      <c r="N1518" s="4" t="s">
        <v>825</v>
      </c>
      <c r="O1518" s="4">
        <f>VLOOKUP(B1518, 'All Menu'!B:L, 6, 0)</f>
        <v>2.5862068965517242</v>
      </c>
      <c r="P1518" s="6">
        <f>VLOOKUP(B1518, 'All Menu'!B:L, 9, 0)</f>
        <v>1.4302334633860154</v>
      </c>
      <c r="Q1518" s="14">
        <f>VLOOKUP(B1518, 'All Menu'!B:M, 12, 0)</f>
        <v>0.44697639415740736</v>
      </c>
      <c r="R1518" s="173">
        <f t="shared" si="84"/>
        <v>0</v>
      </c>
    </row>
    <row r="1519" spans="1:18" ht="14" hidden="1">
      <c r="A1519" s="78" t="s">
        <v>2714</v>
      </c>
      <c r="B1519" s="220" t="s">
        <v>998</v>
      </c>
      <c r="C1519" s="185"/>
      <c r="D1519" s="103" t="str">
        <f>VLOOKUP(B1519, 'All Menu'!B:M, 4, 0)</f>
        <v>زرب دجاج</v>
      </c>
      <c r="E1519" s="30" t="str">
        <f>VLOOKUP(B1519, 'All Menu'!B:M, 2, 0)</f>
        <v>قسم اللاين</v>
      </c>
      <c r="F1519" s="103" t="str">
        <f>VLOOKUP(B1519, 'All Menu'!B:M, 3, 0)</f>
        <v>الوجبات اليومية سفري</v>
      </c>
      <c r="G1519" s="90" t="s">
        <v>2185</v>
      </c>
      <c r="H1519" s="188">
        <v>4550</v>
      </c>
      <c r="I1519" s="110" t="str">
        <f>VLOOKUP(H1519, 'RM &amp; SF'!B:H, 2, 0)</f>
        <v>*****لبن زبادي 150 غم</v>
      </c>
      <c r="J1519" s="184" t="str">
        <f>VLOOKUP(H1519, 'RM &amp; SF'!B:E, 4, 0)</f>
        <v>قطعة</v>
      </c>
      <c r="K1519" s="12">
        <v>1</v>
      </c>
      <c r="L1519" s="13">
        <f>VLOOKUP(H1519, 'RM &amp; SF'!B:H, 7, 0)</f>
        <v>0.16</v>
      </c>
      <c r="M1519" s="7">
        <f t="shared" si="82"/>
        <v>0.16</v>
      </c>
      <c r="N1519" s="4" t="s">
        <v>825</v>
      </c>
      <c r="O1519" s="4">
        <f>VLOOKUP(B1519, 'All Menu'!B:L, 6, 0)</f>
        <v>2.5862068965517242</v>
      </c>
      <c r="P1519" s="6">
        <f>VLOOKUP(B1519, 'All Menu'!B:L, 9, 0)</f>
        <v>1.4302334633860154</v>
      </c>
      <c r="Q1519" s="14">
        <f>VLOOKUP(B1519, 'All Menu'!B:M, 12, 0)</f>
        <v>0.44697639415740736</v>
      </c>
      <c r="R1519" s="173">
        <f t="shared" si="84"/>
        <v>0</v>
      </c>
    </row>
    <row r="1520" spans="1:18" ht="14" hidden="1">
      <c r="A1520" s="78" t="s">
        <v>2715</v>
      </c>
      <c r="B1520" s="220" t="s">
        <v>1000</v>
      </c>
      <c r="C1520" s="185"/>
      <c r="D1520" s="103" t="str">
        <f>VLOOKUP(B1520, 'All Menu'!B:M, 4, 0)</f>
        <v>فاصولياء خضرا</v>
      </c>
      <c r="E1520" s="30" t="str">
        <f>VLOOKUP(B1520, 'All Menu'!B:M, 2, 0)</f>
        <v>قسم اللاين</v>
      </c>
      <c r="F1520" s="103" t="str">
        <f>VLOOKUP(B1520, 'All Menu'!B:M, 3, 0)</f>
        <v>الوجبات اليومية سفري</v>
      </c>
      <c r="G1520" s="90" t="s">
        <v>2342</v>
      </c>
      <c r="H1520" s="219" t="s">
        <v>708</v>
      </c>
      <c r="I1520" s="110" t="str">
        <f>VLOOKUP(H1520, 'RM &amp; SF'!B:H, 2, 0)</f>
        <v>ارز بشعيرية</v>
      </c>
      <c r="J1520" s="184" t="str">
        <f>VLOOKUP(H1520, 'RM &amp; SF'!B:E, 4, 0)</f>
        <v>غم</v>
      </c>
      <c r="K1520" s="12">
        <v>500</v>
      </c>
      <c r="L1520" s="13">
        <f>VLOOKUP(H1520, 'RM &amp; SF'!B:H, 7, 0)</f>
        <v>3.3269616161616159E-4</v>
      </c>
      <c r="M1520" s="7">
        <f t="shared" si="82"/>
        <v>0.16634808080808081</v>
      </c>
      <c r="N1520" s="4" t="s">
        <v>825</v>
      </c>
      <c r="O1520" s="4">
        <f>VLOOKUP(B1520, 'All Menu'!B:L, 6, 0)</f>
        <v>3.4482758620689657</v>
      </c>
      <c r="P1520" s="6">
        <f>VLOOKUP(B1520, 'All Menu'!B:L, 9, 0)</f>
        <v>1.6513425658655527</v>
      </c>
      <c r="Q1520" s="14">
        <f>VLOOKUP(B1520, 'All Menu'!B:M, 12, 0)</f>
        <v>0.52111065589898975</v>
      </c>
      <c r="R1520" s="173">
        <f t="shared" si="84"/>
        <v>0</v>
      </c>
    </row>
    <row r="1521" spans="1:18" ht="14" hidden="1">
      <c r="A1521" s="78" t="s">
        <v>2715</v>
      </c>
      <c r="B1521" s="220" t="s">
        <v>1000</v>
      </c>
      <c r="C1521" s="185"/>
      <c r="D1521" s="103" t="str">
        <f>VLOOKUP(B1521, 'All Menu'!B:M, 4, 0)</f>
        <v>فاصولياء خضرا</v>
      </c>
      <c r="E1521" s="30" t="str">
        <f>VLOOKUP(B1521, 'All Menu'!B:M, 2, 0)</f>
        <v>قسم اللاين</v>
      </c>
      <c r="F1521" s="103" t="str">
        <f>VLOOKUP(B1521, 'All Menu'!B:M, 3, 0)</f>
        <v>الوجبات اليومية سفري</v>
      </c>
      <c r="G1521" s="90" t="s">
        <v>2398</v>
      </c>
      <c r="H1521" s="219" t="s">
        <v>592</v>
      </c>
      <c r="I1521" s="110" t="str">
        <f>VLOOKUP(H1521, 'RM &amp; SF'!B:H, 2, 0)</f>
        <v>فاصوليا خضراء</v>
      </c>
      <c r="J1521" s="184" t="str">
        <f>VLOOKUP(H1521, 'RM &amp; SF'!B:E, 4, 0)</f>
        <v>غم</v>
      </c>
      <c r="K1521" s="12">
        <v>500</v>
      </c>
      <c r="L1521" s="13">
        <f>VLOOKUP(H1521, 'RM &amp; SF'!B:H, 7, 0)</f>
        <v>2.2926478666666673E-3</v>
      </c>
      <c r="M1521" s="7">
        <f t="shared" si="82"/>
        <v>1.1463239333333337</v>
      </c>
      <c r="N1521" s="4" t="s">
        <v>825</v>
      </c>
      <c r="O1521" s="4">
        <f>VLOOKUP(B1521, 'All Menu'!B:L, 6, 0)</f>
        <v>3.4482758620689657</v>
      </c>
      <c r="P1521" s="6">
        <f>VLOOKUP(B1521, 'All Menu'!B:L, 9, 0)</f>
        <v>1.6513425658655527</v>
      </c>
      <c r="Q1521" s="14">
        <f>VLOOKUP(B1521, 'All Menu'!B:M, 12, 0)</f>
        <v>0.52111065589898975</v>
      </c>
      <c r="R1521" s="173">
        <f t="shared" si="84"/>
        <v>0</v>
      </c>
    </row>
    <row r="1522" spans="1:18" ht="14" hidden="1">
      <c r="A1522" s="78" t="s">
        <v>2715</v>
      </c>
      <c r="B1522" s="220" t="s">
        <v>1000</v>
      </c>
      <c r="C1522" s="185"/>
      <c r="D1522" s="103" t="str">
        <f>VLOOKUP(B1522, 'All Menu'!B:M, 4, 0)</f>
        <v>فاصولياء خضرا</v>
      </c>
      <c r="E1522" s="30" t="str">
        <f>VLOOKUP(B1522, 'All Menu'!B:M, 2, 0)</f>
        <v>قسم اللاين</v>
      </c>
      <c r="F1522" s="103" t="str">
        <f>VLOOKUP(B1522, 'All Menu'!B:M, 3, 0)</f>
        <v>الوجبات اليومية سفري</v>
      </c>
      <c r="G1522" s="90" t="s">
        <v>2190</v>
      </c>
      <c r="H1522" s="188">
        <v>4279</v>
      </c>
      <c r="I1522" s="110" t="str">
        <f>VLOOKUP(H1522, 'RM &amp; SF'!B:H, 2, 0)</f>
        <v>علب ميكرويف مستطيل اسود مفرغة (احادي)*****</v>
      </c>
      <c r="J1522" s="184" t="str">
        <f>VLOOKUP(H1522, 'RM &amp; SF'!B:E, 4, 0)</f>
        <v>قطعة</v>
      </c>
      <c r="K1522" s="12">
        <v>1</v>
      </c>
      <c r="L1522" s="13">
        <f>VLOOKUP(H1522, 'RM &amp; SF'!B:H, 7, 0)</f>
        <v>9.4799999999999995E-2</v>
      </c>
      <c r="M1522" s="7">
        <f t="shared" si="82"/>
        <v>9.4799999999999995E-2</v>
      </c>
      <c r="N1522" s="4" t="s">
        <v>825</v>
      </c>
      <c r="O1522" s="4">
        <f>VLOOKUP(B1522, 'All Menu'!B:L, 6, 0)</f>
        <v>3.4482758620689657</v>
      </c>
      <c r="P1522" s="6">
        <f>VLOOKUP(B1522, 'All Menu'!B:L, 9, 0)</f>
        <v>1.6513425658655527</v>
      </c>
      <c r="Q1522" s="14">
        <f>VLOOKUP(B1522, 'All Menu'!B:M, 12, 0)</f>
        <v>0.52111065589898975</v>
      </c>
      <c r="R1522" s="173">
        <f t="shared" si="84"/>
        <v>0</v>
      </c>
    </row>
    <row r="1523" spans="1:18" ht="14" hidden="1">
      <c r="A1523" s="78" t="s">
        <v>2715</v>
      </c>
      <c r="B1523" s="220" t="s">
        <v>1000</v>
      </c>
      <c r="C1523" s="185"/>
      <c r="D1523" s="103" t="str">
        <f>VLOOKUP(B1523, 'All Menu'!B:M, 4, 0)</f>
        <v>فاصولياء خضرا</v>
      </c>
      <c r="E1523" s="30" t="str">
        <f>VLOOKUP(B1523, 'All Menu'!B:M, 2, 0)</f>
        <v>قسم اللاين</v>
      </c>
      <c r="F1523" s="103" t="str">
        <f>VLOOKUP(B1523, 'All Menu'!B:M, 3, 0)</f>
        <v>الوجبات اليومية سفري</v>
      </c>
      <c r="G1523" s="90" t="s">
        <v>3058</v>
      </c>
      <c r="H1523" s="188">
        <v>4266</v>
      </c>
      <c r="I1523" s="110" t="str">
        <f>VLOOKUP(H1523, 'RM &amp; SF'!B:H, 2, 0)</f>
        <v>اساور علب وجبات مطبوع 1*50 حبة*****</v>
      </c>
      <c r="J1523" s="184" t="str">
        <f>VLOOKUP(H1523, 'RM &amp; SF'!B:E, 4, 0)</f>
        <v>قطعة</v>
      </c>
      <c r="K1523" s="12">
        <v>1</v>
      </c>
      <c r="L1523" s="13">
        <f>VLOOKUP(H1523, 'RM &amp; SF'!B:H, 7, 0)</f>
        <v>6.3224137931034485E-2</v>
      </c>
      <c r="M1523" s="7">
        <f t="shared" si="82"/>
        <v>6.3224137931034485E-2</v>
      </c>
      <c r="N1523" s="4" t="s">
        <v>825</v>
      </c>
      <c r="O1523" s="4">
        <f>VLOOKUP(B1523, 'All Menu'!B:L, 6, 0)</f>
        <v>3.4482758620689657</v>
      </c>
      <c r="P1523" s="6">
        <f>VLOOKUP(B1523, 'All Menu'!B:L, 9, 0)</f>
        <v>1.6513425658655527</v>
      </c>
      <c r="Q1523" s="14">
        <f>VLOOKUP(B1523, 'All Menu'!B:M, 12, 0)</f>
        <v>0.52111065589898975</v>
      </c>
      <c r="R1523" s="173">
        <f t="shared" si="84"/>
        <v>0</v>
      </c>
    </row>
    <row r="1524" spans="1:18" ht="14" hidden="1">
      <c r="A1524" s="78" t="s">
        <v>2715</v>
      </c>
      <c r="B1524" s="220" t="s">
        <v>1000</v>
      </c>
      <c r="C1524" s="185"/>
      <c r="D1524" s="103" t="str">
        <f>VLOOKUP(B1524, 'All Menu'!B:M, 4, 0)</f>
        <v>فاصولياء خضرا</v>
      </c>
      <c r="E1524" s="30" t="str">
        <f>VLOOKUP(B1524, 'All Menu'!B:M, 2, 0)</f>
        <v>قسم اللاين</v>
      </c>
      <c r="F1524" s="103" t="str">
        <f>VLOOKUP(B1524, 'All Menu'!B:M, 3, 0)</f>
        <v>الوجبات اليومية سفري</v>
      </c>
      <c r="G1524" s="90" t="s">
        <v>3058</v>
      </c>
      <c r="H1524" s="188">
        <v>4280</v>
      </c>
      <c r="I1524" s="110" t="str">
        <f>VLOOKUP(H1524, 'RM &amp; SF'!B:H, 2, 0)</f>
        <v>علب ميكرويف مدورة اسود 500 مل RC2*****</v>
      </c>
      <c r="J1524" s="184" t="str">
        <f>VLOOKUP(H1524, 'RM &amp; SF'!B:E, 4, 0)</f>
        <v>قطعة</v>
      </c>
      <c r="K1524" s="12">
        <v>1</v>
      </c>
      <c r="L1524" s="13">
        <f>VLOOKUP(H1524, 'RM &amp; SF'!B:H, 7, 0)</f>
        <v>0.125</v>
      </c>
      <c r="M1524" s="7">
        <f t="shared" si="82"/>
        <v>0.125</v>
      </c>
      <c r="N1524" s="4" t="s">
        <v>825</v>
      </c>
      <c r="O1524" s="4">
        <f>VLOOKUP(B1524, 'All Menu'!B:L, 6, 0)</f>
        <v>3.4482758620689657</v>
      </c>
      <c r="P1524" s="6">
        <f>VLOOKUP(B1524, 'All Menu'!B:L, 9, 0)</f>
        <v>1.6513425658655527</v>
      </c>
      <c r="Q1524" s="14">
        <f>VLOOKUP(B1524, 'All Menu'!B:M, 12, 0)</f>
        <v>0.52111065589898975</v>
      </c>
      <c r="R1524" s="173">
        <f t="shared" si="84"/>
        <v>0</v>
      </c>
    </row>
    <row r="1525" spans="1:18" ht="14" hidden="1">
      <c r="A1525" s="78" t="s">
        <v>2715</v>
      </c>
      <c r="B1525" s="220" t="s">
        <v>1000</v>
      </c>
      <c r="C1525" s="185"/>
      <c r="D1525" s="103" t="str">
        <f>VLOOKUP(B1525, 'All Menu'!B:M, 4, 0)</f>
        <v>فاصولياء خضرا</v>
      </c>
      <c r="E1525" s="30" t="str">
        <f>VLOOKUP(B1525, 'All Menu'!B:M, 2, 0)</f>
        <v>قسم اللاين</v>
      </c>
      <c r="F1525" s="103" t="str">
        <f>VLOOKUP(B1525, 'All Menu'!B:M, 3, 0)</f>
        <v>الوجبات اليومية سفري</v>
      </c>
      <c r="G1525" s="90" t="s">
        <v>2195</v>
      </c>
      <c r="H1525" s="188">
        <v>4329</v>
      </c>
      <c r="I1525" s="110" t="str">
        <f>VLOOKUP(H1525, 'RM &amp; SF'!B:H, 2, 0)</f>
        <v>ملاعق بلاستيك مع معقم مطبوع 1*500 حبة*****</v>
      </c>
      <c r="J1525" s="184" t="str">
        <f>VLOOKUP(H1525, 'RM &amp; SF'!B:E, 4, 0)</f>
        <v>قطعة</v>
      </c>
      <c r="K1525" s="12">
        <v>1</v>
      </c>
      <c r="L1525" s="13">
        <f>VLOOKUP(H1525, 'RM &amp; SF'!B:H, 7, 0)</f>
        <v>4.7399999999999997E-4</v>
      </c>
      <c r="M1525" s="7">
        <f t="shared" si="82"/>
        <v>4.7399999999999997E-4</v>
      </c>
      <c r="N1525" s="4" t="s">
        <v>825</v>
      </c>
      <c r="O1525" s="4">
        <f>VLOOKUP(B1525, 'All Menu'!B:L, 6, 0)</f>
        <v>3.4482758620689657</v>
      </c>
      <c r="P1525" s="6">
        <f>VLOOKUP(B1525, 'All Menu'!B:L, 9, 0)</f>
        <v>1.6513425658655527</v>
      </c>
      <c r="Q1525" s="14">
        <f>VLOOKUP(B1525, 'All Menu'!B:M, 12, 0)</f>
        <v>0.52111065589898975</v>
      </c>
      <c r="R1525" s="173">
        <f t="shared" si="84"/>
        <v>0</v>
      </c>
    </row>
    <row r="1526" spans="1:18" ht="14" hidden="1">
      <c r="A1526" s="78" t="s">
        <v>2715</v>
      </c>
      <c r="B1526" s="220" t="s">
        <v>1000</v>
      </c>
      <c r="C1526" s="185"/>
      <c r="D1526" s="103" t="str">
        <f>VLOOKUP(B1526, 'All Menu'!B:M, 4, 0)</f>
        <v>فاصولياء خضرا</v>
      </c>
      <c r="E1526" s="30" t="str">
        <f>VLOOKUP(B1526, 'All Menu'!B:M, 2, 0)</f>
        <v>قسم اللاين</v>
      </c>
      <c r="F1526" s="103" t="str">
        <f>VLOOKUP(B1526, 'All Menu'!B:M, 3, 0)</f>
        <v>الوجبات اليومية سفري</v>
      </c>
      <c r="G1526" s="90" t="s">
        <v>2193</v>
      </c>
      <c r="H1526" s="188">
        <v>4309</v>
      </c>
      <c r="I1526" s="110" t="str">
        <f>VLOOKUP(H1526, 'RM &amp; SF'!B:H, 2, 0)</f>
        <v>اكياس بلاستيك مطبوع 55 سم*****</v>
      </c>
      <c r="J1526" s="184" t="str">
        <f>VLOOKUP(H1526, 'RM &amp; SF'!B:E, 4, 0)</f>
        <v>قطعة</v>
      </c>
      <c r="K1526" s="12">
        <v>1</v>
      </c>
      <c r="L1526" s="13">
        <f>VLOOKUP(H1526, 'RM &amp; SF'!B:H, 7, 0)</f>
        <v>5.5172413793103454E-2</v>
      </c>
      <c r="M1526" s="7">
        <f t="shared" si="82"/>
        <v>5.5172413793103454E-2</v>
      </c>
      <c r="N1526" s="4" t="s">
        <v>825</v>
      </c>
      <c r="O1526" s="4">
        <f>VLOOKUP(B1526, 'All Menu'!B:L, 6, 0)</f>
        <v>3.4482758620689657</v>
      </c>
      <c r="P1526" s="6">
        <f>VLOOKUP(B1526, 'All Menu'!B:L, 9, 0)</f>
        <v>1.6513425658655527</v>
      </c>
      <c r="Q1526" s="14">
        <f>VLOOKUP(B1526, 'All Menu'!B:M, 12, 0)</f>
        <v>0.52111065589898975</v>
      </c>
      <c r="R1526" s="173">
        <f t="shared" si="84"/>
        <v>0</v>
      </c>
    </row>
    <row r="1527" spans="1:18" ht="14" hidden="1">
      <c r="A1527" s="78" t="s">
        <v>2705</v>
      </c>
      <c r="B1527" s="220" t="s">
        <v>1002</v>
      </c>
      <c r="C1527" s="185"/>
      <c r="D1527" s="103" t="str">
        <f>VLOOKUP(B1527, 'All Menu'!B:M, 4, 0)</f>
        <v>بيف استرغنوف</v>
      </c>
      <c r="E1527" s="30" t="str">
        <f>VLOOKUP(B1527, 'All Menu'!B:M, 2, 0)</f>
        <v>قسم اللاين</v>
      </c>
      <c r="F1527" s="103" t="str">
        <f>VLOOKUP(B1527, 'All Menu'!B:M, 3, 0)</f>
        <v>الوجبات اليومية سفري</v>
      </c>
      <c r="G1527" s="90" t="s">
        <v>2390</v>
      </c>
      <c r="H1527" s="219" t="s">
        <v>548</v>
      </c>
      <c r="I1527" s="110" t="str">
        <f>VLOOKUP(H1527, 'RM &amp; SF'!B:H, 2, 0)</f>
        <v>رز ابيض</v>
      </c>
      <c r="J1527" s="184" t="str">
        <f>VLOOKUP(H1527, 'RM &amp; SF'!B:E, 4, 0)</f>
        <v>غم</v>
      </c>
      <c r="K1527" s="12">
        <v>500</v>
      </c>
      <c r="L1527" s="13">
        <f>VLOOKUP(H1527, 'RM &amp; SF'!B:H, 7, 0)</f>
        <v>4.1596433333333332E-4</v>
      </c>
      <c r="M1527" s="7">
        <f t="shared" si="82"/>
        <v>0.20798216666666666</v>
      </c>
      <c r="N1527" s="4" t="s">
        <v>825</v>
      </c>
      <c r="O1527" s="4">
        <f>VLOOKUP(B1527, 'All Menu'!B:L, 6, 0)</f>
        <v>3.4482758620689657</v>
      </c>
      <c r="P1527" s="6">
        <f>VLOOKUP(B1527, 'All Menu'!B:L, 9, 0)</f>
        <v>2.6462827183908053</v>
      </c>
      <c r="Q1527" s="14">
        <f>VLOOKUP(B1527, 'All Menu'!B:M, 12, 0)</f>
        <v>0.2325780116666665</v>
      </c>
      <c r="R1527" s="173">
        <f t="shared" si="84"/>
        <v>0</v>
      </c>
    </row>
    <row r="1528" spans="1:18" ht="15.5" hidden="1">
      <c r="A1528" s="78" t="s">
        <v>2705</v>
      </c>
      <c r="B1528" s="220" t="s">
        <v>1002</v>
      </c>
      <c r="C1528" s="185"/>
      <c r="D1528" s="103" t="str">
        <f>VLOOKUP(B1528, 'All Menu'!B:M, 4, 0)</f>
        <v>بيف استرغنوف</v>
      </c>
      <c r="E1528" s="30" t="str">
        <f>VLOOKUP(B1528, 'All Menu'!B:M, 2, 0)</f>
        <v>قسم اللاين</v>
      </c>
      <c r="F1528" s="103" t="str">
        <f>VLOOKUP(B1528, 'All Menu'!B:M, 3, 0)</f>
        <v>الوجبات اليومية سفري</v>
      </c>
      <c r="G1528" s="90" t="s">
        <v>3058</v>
      </c>
      <c r="H1528" s="112">
        <v>5401</v>
      </c>
      <c r="I1528" s="110" t="str">
        <f>VLOOKUP(H1528, 'RM &amp; SF'!B:H, 2, 0)</f>
        <v xml:space="preserve">روز بيف  </v>
      </c>
      <c r="J1528" s="184" t="str">
        <f>VLOOKUP(H1528, 'RM &amp; SF'!B:E, 4, 0)</f>
        <v>غم</v>
      </c>
      <c r="K1528" s="12">
        <v>100</v>
      </c>
      <c r="L1528" s="13">
        <f>VLOOKUP(H1528, 'RM &amp; SF'!B:H, 7, 0)</f>
        <v>1.2580000000000001E-2</v>
      </c>
      <c r="M1528" s="7">
        <f t="shared" si="82"/>
        <v>1.258</v>
      </c>
      <c r="N1528" s="4" t="s">
        <v>825</v>
      </c>
      <c r="O1528" s="4">
        <f>VLOOKUP(B1528, 'All Menu'!B:L, 6, 0)</f>
        <v>3.4482758620689657</v>
      </c>
      <c r="P1528" s="6">
        <f>VLOOKUP(B1528, 'All Menu'!B:L, 9, 0)</f>
        <v>2.6462827183908053</v>
      </c>
      <c r="Q1528" s="14">
        <f>VLOOKUP(B1528, 'All Menu'!B:M, 12, 0)</f>
        <v>0.2325780116666665</v>
      </c>
      <c r="R1528" s="173">
        <f t="shared" si="84"/>
        <v>0</v>
      </c>
    </row>
    <row r="1529" spans="1:18" ht="14" hidden="1">
      <c r="A1529" s="78" t="s">
        <v>2705</v>
      </c>
      <c r="B1529" s="220" t="s">
        <v>1002</v>
      </c>
      <c r="C1529" s="185"/>
      <c r="D1529" s="103" t="str">
        <f>VLOOKUP(B1529, 'All Menu'!B:M, 4, 0)</f>
        <v>بيف استرغنوف</v>
      </c>
      <c r="E1529" s="30" t="str">
        <f>VLOOKUP(B1529, 'All Menu'!B:M, 2, 0)</f>
        <v>قسم اللاين</v>
      </c>
      <c r="F1529" s="103" t="str">
        <f>VLOOKUP(B1529, 'All Menu'!B:M, 3, 0)</f>
        <v>الوجبات اليومية سفري</v>
      </c>
      <c r="G1529" s="90" t="s">
        <v>2177</v>
      </c>
      <c r="H1529" s="188">
        <v>4566</v>
      </c>
      <c r="I1529" s="110" t="str">
        <f>VLOOKUP(H1529, 'RM &amp; SF'!B:H, 2, 0)</f>
        <v>زبدة صفائح 5*2 كغ*****</v>
      </c>
      <c r="J1529" s="184" t="str">
        <f>VLOOKUP(H1529, 'RM &amp; SF'!B:E, 4, 0)</f>
        <v>غم</v>
      </c>
      <c r="K1529" s="12">
        <v>30</v>
      </c>
      <c r="L1529" s="13">
        <f>VLOOKUP(H1529, 'RM &amp; SF'!B:H, 7, 0)</f>
        <v>2E-3</v>
      </c>
      <c r="M1529" s="7">
        <f t="shared" si="82"/>
        <v>0.06</v>
      </c>
      <c r="N1529" s="4" t="s">
        <v>825</v>
      </c>
      <c r="O1529" s="4">
        <f>VLOOKUP(B1529, 'All Menu'!B:L, 6, 0)</f>
        <v>3.4482758620689657</v>
      </c>
      <c r="P1529" s="6">
        <f>VLOOKUP(B1529, 'All Menu'!B:L, 9, 0)</f>
        <v>2.6462827183908053</v>
      </c>
      <c r="Q1529" s="14">
        <f>VLOOKUP(B1529, 'All Menu'!B:M, 12, 0)</f>
        <v>0.2325780116666665</v>
      </c>
      <c r="R1529" s="173">
        <f t="shared" si="84"/>
        <v>0</v>
      </c>
    </row>
    <row r="1530" spans="1:18" ht="14" hidden="1">
      <c r="A1530" s="78" t="s">
        <v>2705</v>
      </c>
      <c r="B1530" s="220" t="s">
        <v>1002</v>
      </c>
      <c r="C1530" s="185"/>
      <c r="D1530" s="103" t="str">
        <f>VLOOKUP(B1530, 'All Menu'!B:M, 4, 0)</f>
        <v>بيف استرغنوف</v>
      </c>
      <c r="E1530" s="30" t="str">
        <f>VLOOKUP(B1530, 'All Menu'!B:M, 2, 0)</f>
        <v>قسم اللاين</v>
      </c>
      <c r="F1530" s="103" t="str">
        <f>VLOOKUP(B1530, 'All Menu'!B:M, 3, 0)</f>
        <v>الوجبات اليومية سفري</v>
      </c>
      <c r="G1530" s="90" t="s">
        <v>2291</v>
      </c>
      <c r="H1530" s="188">
        <v>4556</v>
      </c>
      <c r="I1530" s="110" t="str">
        <f>VLOOKUP(H1530, 'RM &amp; SF'!B:H, 2, 0)</f>
        <v>كريما طبخ 1 لتر*****</v>
      </c>
      <c r="J1530" s="184" t="str">
        <f>VLOOKUP(H1530, 'RM &amp; SF'!B:E, 4, 0)</f>
        <v>مل</v>
      </c>
      <c r="K1530" s="12">
        <v>15</v>
      </c>
      <c r="L1530" s="13">
        <f>VLOOKUP(H1530, 'RM &amp; SF'!B:H, 7, 0)</f>
        <v>2.2269999999999998E-3</v>
      </c>
      <c r="M1530" s="7">
        <f t="shared" si="82"/>
        <v>3.3404999999999997E-2</v>
      </c>
      <c r="N1530" s="4" t="s">
        <v>825</v>
      </c>
      <c r="O1530" s="4">
        <f>VLOOKUP(B1530, 'All Menu'!B:L, 6, 0)</f>
        <v>3.4482758620689657</v>
      </c>
      <c r="P1530" s="6">
        <f>VLOOKUP(B1530, 'All Menu'!B:L, 9, 0)</f>
        <v>2.6462827183908053</v>
      </c>
      <c r="Q1530" s="14">
        <f>VLOOKUP(B1530, 'All Menu'!B:M, 12, 0)</f>
        <v>0.2325780116666665</v>
      </c>
      <c r="R1530" s="173">
        <f t="shared" si="84"/>
        <v>0</v>
      </c>
    </row>
    <row r="1531" spans="1:18" ht="14" hidden="1">
      <c r="A1531" s="78" t="s">
        <v>2705</v>
      </c>
      <c r="B1531" s="220" t="s">
        <v>1002</v>
      </c>
      <c r="C1531" s="185"/>
      <c r="D1531" s="103" t="str">
        <f>VLOOKUP(B1531, 'All Menu'!B:M, 4, 0)</f>
        <v>بيف استرغنوف</v>
      </c>
      <c r="E1531" s="30" t="str">
        <f>VLOOKUP(B1531, 'All Menu'!B:M, 2, 0)</f>
        <v>قسم اللاين</v>
      </c>
      <c r="F1531" s="103" t="str">
        <f>VLOOKUP(B1531, 'All Menu'!B:M, 3, 0)</f>
        <v>الوجبات اليومية سفري</v>
      </c>
      <c r="G1531" s="90" t="s">
        <v>3058</v>
      </c>
      <c r="H1531" s="188">
        <v>4019</v>
      </c>
      <c r="I1531" s="110" t="str">
        <f>VLOOKUP(H1531, 'RM &amp; SF'!B:H, 2, 0)</f>
        <v>صوص ديمي جلاس 1 كغ*****</v>
      </c>
      <c r="J1531" s="184" t="str">
        <f>VLOOKUP(H1531, 'RM &amp; SF'!B:E, 4, 0)</f>
        <v>غم</v>
      </c>
      <c r="K1531" s="12">
        <v>140</v>
      </c>
      <c r="L1531" s="13">
        <f>VLOOKUP(H1531, 'RM &amp; SF'!B:H, 7, 0)</f>
        <v>4.7409999999999996E-3</v>
      </c>
      <c r="M1531" s="7">
        <f t="shared" si="82"/>
        <v>0.66373999999999989</v>
      </c>
      <c r="N1531" s="4" t="s">
        <v>825</v>
      </c>
      <c r="O1531" s="4">
        <f>VLOOKUP(B1531, 'All Menu'!B:L, 6, 0)</f>
        <v>3.4482758620689657</v>
      </c>
      <c r="P1531" s="6">
        <f>VLOOKUP(B1531, 'All Menu'!B:L, 9, 0)</f>
        <v>2.6462827183908053</v>
      </c>
      <c r="Q1531" s="14">
        <f>VLOOKUP(B1531, 'All Menu'!B:M, 12, 0)</f>
        <v>0.2325780116666665</v>
      </c>
      <c r="R1531" s="173">
        <f t="shared" si="84"/>
        <v>0</v>
      </c>
    </row>
    <row r="1532" spans="1:18" ht="14" hidden="1">
      <c r="A1532" s="78" t="s">
        <v>2705</v>
      </c>
      <c r="B1532" s="220" t="s">
        <v>1002</v>
      </c>
      <c r="C1532" s="185"/>
      <c r="D1532" s="103" t="str">
        <f>VLOOKUP(B1532, 'All Menu'!B:M, 4, 0)</f>
        <v>بيف استرغنوف</v>
      </c>
      <c r="E1532" s="30" t="str">
        <f>VLOOKUP(B1532, 'All Menu'!B:M, 2, 0)</f>
        <v>قسم اللاين</v>
      </c>
      <c r="F1532" s="103" t="str">
        <f>VLOOKUP(B1532, 'All Menu'!B:M, 3, 0)</f>
        <v>الوجبات اليومية سفري</v>
      </c>
      <c r="G1532" s="90" t="s">
        <v>2206</v>
      </c>
      <c r="H1532" s="188">
        <v>4204</v>
      </c>
      <c r="I1532" s="110" t="str">
        <f>VLOOKUP(H1532, 'RM &amp; SF'!B:H, 2, 0)</f>
        <v>فلفل اسود ناعم*****</v>
      </c>
      <c r="J1532" s="184" t="str">
        <f>VLOOKUP(H1532, 'RM &amp; SF'!B:E, 4, 0)</f>
        <v>غم</v>
      </c>
      <c r="K1532" s="12">
        <v>5</v>
      </c>
      <c r="L1532" s="13">
        <f>VLOOKUP(H1532, 'RM &amp; SF'!B:H, 7, 0)</f>
        <v>6.8970000000000004E-3</v>
      </c>
      <c r="M1532" s="7">
        <f t="shared" si="82"/>
        <v>3.4485000000000002E-2</v>
      </c>
      <c r="N1532" s="4" t="s">
        <v>825</v>
      </c>
      <c r="O1532" s="4">
        <f>VLOOKUP(B1532, 'All Menu'!B:L, 6, 0)</f>
        <v>3.4482758620689657</v>
      </c>
      <c r="P1532" s="6">
        <f>VLOOKUP(B1532, 'All Menu'!B:L, 9, 0)</f>
        <v>2.6462827183908053</v>
      </c>
      <c r="Q1532" s="14">
        <f>VLOOKUP(B1532, 'All Menu'!B:M, 12, 0)</f>
        <v>0.2325780116666665</v>
      </c>
      <c r="R1532" s="173">
        <f t="shared" si="84"/>
        <v>0</v>
      </c>
    </row>
    <row r="1533" spans="1:18" ht="14" hidden="1">
      <c r="A1533" s="78" t="s">
        <v>2705</v>
      </c>
      <c r="B1533" s="220" t="s">
        <v>1002</v>
      </c>
      <c r="C1533" s="185"/>
      <c r="D1533" s="103" t="str">
        <f>VLOOKUP(B1533, 'All Menu'!B:M, 4, 0)</f>
        <v>بيف استرغنوف</v>
      </c>
      <c r="E1533" s="30" t="str">
        <f>VLOOKUP(B1533, 'All Menu'!B:M, 2, 0)</f>
        <v>قسم اللاين</v>
      </c>
      <c r="F1533" s="103" t="str">
        <f>VLOOKUP(B1533, 'All Menu'!B:M, 3, 0)</f>
        <v>الوجبات اليومية سفري</v>
      </c>
      <c r="G1533" s="90" t="s">
        <v>2234</v>
      </c>
      <c r="H1533" s="188">
        <v>4503</v>
      </c>
      <c r="I1533" s="110" t="str">
        <f>VLOOKUP(H1533, 'RM &amp; SF'!B:H, 2, 0)</f>
        <v>بصل ناشف دفش*****</v>
      </c>
      <c r="J1533" s="184" t="str">
        <f>VLOOKUP(H1533, 'RM &amp; SF'!B:E, 4, 0)</f>
        <v>غم</v>
      </c>
      <c r="K1533" s="12">
        <v>50</v>
      </c>
      <c r="L1533" s="13">
        <f>VLOOKUP(H1533, 'RM &amp; SF'!B:H, 7, 0)</f>
        <v>2.5000000000000001E-4</v>
      </c>
      <c r="M1533" s="7">
        <f t="shared" si="82"/>
        <v>1.2500000000000001E-2</v>
      </c>
      <c r="N1533" s="4" t="s">
        <v>825</v>
      </c>
      <c r="O1533" s="4">
        <f>VLOOKUP(B1533, 'All Menu'!B:L, 6, 0)</f>
        <v>3.4482758620689657</v>
      </c>
      <c r="P1533" s="6">
        <f>VLOOKUP(B1533, 'All Menu'!B:L, 9, 0)</f>
        <v>2.6462827183908053</v>
      </c>
      <c r="Q1533" s="14">
        <f>VLOOKUP(B1533, 'All Menu'!B:M, 12, 0)</f>
        <v>0.2325780116666665</v>
      </c>
      <c r="R1533" s="173">
        <f t="shared" si="84"/>
        <v>0</v>
      </c>
    </row>
    <row r="1534" spans="1:18" ht="14" hidden="1">
      <c r="A1534" s="78" t="s">
        <v>2705</v>
      </c>
      <c r="B1534" s="220" t="s">
        <v>1002</v>
      </c>
      <c r="C1534" s="185"/>
      <c r="D1534" s="103" t="str">
        <f>VLOOKUP(B1534, 'All Menu'!B:M, 4, 0)</f>
        <v>بيف استرغنوف</v>
      </c>
      <c r="E1534" s="30" t="str">
        <f>VLOOKUP(B1534, 'All Menu'!B:M, 2, 0)</f>
        <v>قسم اللاين</v>
      </c>
      <c r="F1534" s="103" t="str">
        <f>VLOOKUP(B1534, 'All Menu'!B:M, 3, 0)</f>
        <v>الوجبات اليومية سفري</v>
      </c>
      <c r="G1534" s="90" t="s">
        <v>2233</v>
      </c>
      <c r="H1534" s="188">
        <v>4501</v>
      </c>
      <c r="I1534" s="110" t="str">
        <f>VLOOKUP(H1534, 'RM &amp; SF'!B:H, 2, 0)</f>
        <v>فلفل حلو احمر*****</v>
      </c>
      <c r="J1534" s="184" t="str">
        <f>VLOOKUP(H1534, 'RM &amp; SF'!B:E, 4, 0)</f>
        <v>غم</v>
      </c>
      <c r="K1534" s="12">
        <v>50</v>
      </c>
      <c r="L1534" s="13">
        <f>VLOOKUP(H1534, 'RM &amp; SF'!B:H, 7, 0)</f>
        <v>7.5000000000000002E-4</v>
      </c>
      <c r="M1534" s="7">
        <f t="shared" si="82"/>
        <v>3.7499999999999999E-2</v>
      </c>
      <c r="N1534" s="4" t="s">
        <v>825</v>
      </c>
      <c r="O1534" s="4">
        <f>VLOOKUP(B1534, 'All Menu'!B:L, 6, 0)</f>
        <v>3.4482758620689657</v>
      </c>
      <c r="P1534" s="6">
        <f>VLOOKUP(B1534, 'All Menu'!B:L, 9, 0)</f>
        <v>2.6462827183908053</v>
      </c>
      <c r="Q1534" s="14">
        <f>VLOOKUP(B1534, 'All Menu'!B:M, 12, 0)</f>
        <v>0.2325780116666665</v>
      </c>
      <c r="R1534" s="173">
        <f t="shared" si="84"/>
        <v>0</v>
      </c>
    </row>
    <row r="1535" spans="1:18" ht="14" hidden="1">
      <c r="A1535" s="78" t="s">
        <v>2705</v>
      </c>
      <c r="B1535" s="220" t="s">
        <v>1002</v>
      </c>
      <c r="C1535" s="185"/>
      <c r="D1535" s="103" t="str">
        <f>VLOOKUP(B1535, 'All Menu'!B:M, 4, 0)</f>
        <v>بيف استرغنوف</v>
      </c>
      <c r="E1535" s="30" t="str">
        <f>VLOOKUP(B1535, 'All Menu'!B:M, 2, 0)</f>
        <v>قسم اللاين</v>
      </c>
      <c r="F1535" s="103" t="str">
        <f>VLOOKUP(B1535, 'All Menu'!B:M, 3, 0)</f>
        <v>الوجبات اليومية سفري</v>
      </c>
      <c r="G1535" s="90" t="s">
        <v>2190</v>
      </c>
      <c r="H1535" s="188">
        <v>4279</v>
      </c>
      <c r="I1535" s="110" t="str">
        <f>VLOOKUP(H1535, 'RM &amp; SF'!B:H, 2, 0)</f>
        <v>علب ميكرويف مستطيل اسود مفرغة (احادي)*****</v>
      </c>
      <c r="J1535" s="184" t="str">
        <f>VLOOKUP(H1535, 'RM &amp; SF'!B:E, 4, 0)</f>
        <v>قطعة</v>
      </c>
      <c r="K1535" s="12">
        <v>1</v>
      </c>
      <c r="L1535" s="13">
        <f>VLOOKUP(H1535, 'RM &amp; SF'!B:H, 7, 0)</f>
        <v>9.4799999999999995E-2</v>
      </c>
      <c r="M1535" s="7">
        <f t="shared" si="82"/>
        <v>9.4799999999999995E-2</v>
      </c>
      <c r="N1535" s="4" t="s">
        <v>825</v>
      </c>
      <c r="O1535" s="4">
        <f>VLOOKUP(B1535, 'All Menu'!B:L, 6, 0)</f>
        <v>3.4482758620689657</v>
      </c>
      <c r="P1535" s="6">
        <f>VLOOKUP(B1535, 'All Menu'!B:L, 9, 0)</f>
        <v>2.6462827183908053</v>
      </c>
      <c r="Q1535" s="14">
        <f>VLOOKUP(B1535, 'All Menu'!B:M, 12, 0)</f>
        <v>0.2325780116666665</v>
      </c>
      <c r="R1535" s="173">
        <f t="shared" si="84"/>
        <v>0</v>
      </c>
    </row>
    <row r="1536" spans="1:18" ht="14" hidden="1">
      <c r="A1536" s="78" t="s">
        <v>2705</v>
      </c>
      <c r="B1536" s="220" t="s">
        <v>1002</v>
      </c>
      <c r="C1536" s="185"/>
      <c r="D1536" s="103" t="str">
        <f>VLOOKUP(B1536, 'All Menu'!B:M, 4, 0)</f>
        <v>بيف استرغنوف</v>
      </c>
      <c r="E1536" s="30" t="str">
        <f>VLOOKUP(B1536, 'All Menu'!B:M, 2, 0)</f>
        <v>قسم اللاين</v>
      </c>
      <c r="F1536" s="103" t="str">
        <f>VLOOKUP(B1536, 'All Menu'!B:M, 3, 0)</f>
        <v>الوجبات اليومية سفري</v>
      </c>
      <c r="G1536" s="90" t="s">
        <v>3058</v>
      </c>
      <c r="H1536" s="188">
        <v>4266</v>
      </c>
      <c r="I1536" s="110" t="str">
        <f>VLOOKUP(H1536, 'RM &amp; SF'!B:H, 2, 0)</f>
        <v>اساور علب وجبات مطبوع 1*50 حبة*****</v>
      </c>
      <c r="J1536" s="184" t="str">
        <f>VLOOKUP(H1536, 'RM &amp; SF'!B:E, 4, 0)</f>
        <v>قطعة</v>
      </c>
      <c r="K1536" s="12">
        <v>1</v>
      </c>
      <c r="L1536" s="13">
        <f>VLOOKUP(H1536, 'RM &amp; SF'!B:H, 7, 0)</f>
        <v>6.3224137931034485E-2</v>
      </c>
      <c r="M1536" s="7">
        <f t="shared" si="82"/>
        <v>6.3224137931034485E-2</v>
      </c>
      <c r="N1536" s="4" t="s">
        <v>825</v>
      </c>
      <c r="O1536" s="4">
        <f>VLOOKUP(B1536, 'All Menu'!B:L, 6, 0)</f>
        <v>3.4482758620689657</v>
      </c>
      <c r="P1536" s="6">
        <f>VLOOKUP(B1536, 'All Menu'!B:L, 9, 0)</f>
        <v>2.6462827183908053</v>
      </c>
      <c r="Q1536" s="14">
        <f>VLOOKUP(B1536, 'All Menu'!B:M, 12, 0)</f>
        <v>0.2325780116666665</v>
      </c>
      <c r="R1536" s="173">
        <f t="shared" si="84"/>
        <v>0</v>
      </c>
    </row>
    <row r="1537" spans="1:18" ht="14" hidden="1">
      <c r="A1537" s="78" t="s">
        <v>2705</v>
      </c>
      <c r="B1537" s="220" t="s">
        <v>1002</v>
      </c>
      <c r="C1537" s="185"/>
      <c r="D1537" s="103" t="str">
        <f>VLOOKUP(B1537, 'All Menu'!B:M, 4, 0)</f>
        <v>بيف استرغنوف</v>
      </c>
      <c r="E1537" s="30" t="str">
        <f>VLOOKUP(B1537, 'All Menu'!B:M, 2, 0)</f>
        <v>قسم اللاين</v>
      </c>
      <c r="F1537" s="103" t="str">
        <f>VLOOKUP(B1537, 'All Menu'!B:M, 3, 0)</f>
        <v>الوجبات اليومية سفري</v>
      </c>
      <c r="G1537" s="90" t="s">
        <v>3058</v>
      </c>
      <c r="H1537" s="188">
        <v>4280</v>
      </c>
      <c r="I1537" s="110" t="str">
        <f>VLOOKUP(H1537, 'RM &amp; SF'!B:H, 2, 0)</f>
        <v>علب ميكرويف مدورة اسود 500 مل RC2*****</v>
      </c>
      <c r="J1537" s="184" t="str">
        <f>VLOOKUP(H1537, 'RM &amp; SF'!B:E, 4, 0)</f>
        <v>قطعة</v>
      </c>
      <c r="K1537" s="12">
        <v>1</v>
      </c>
      <c r="L1537" s="13">
        <f>VLOOKUP(H1537, 'RM &amp; SF'!B:H, 7, 0)</f>
        <v>0.125</v>
      </c>
      <c r="M1537" s="7">
        <f t="shared" si="82"/>
        <v>0.125</v>
      </c>
      <c r="N1537" s="4" t="s">
        <v>825</v>
      </c>
      <c r="O1537" s="4">
        <f>VLOOKUP(B1537, 'All Menu'!B:L, 6, 0)</f>
        <v>3.4482758620689657</v>
      </c>
      <c r="P1537" s="6">
        <f>VLOOKUP(B1537, 'All Menu'!B:L, 9, 0)</f>
        <v>2.6462827183908053</v>
      </c>
      <c r="Q1537" s="14">
        <f>VLOOKUP(B1537, 'All Menu'!B:M, 12, 0)</f>
        <v>0.2325780116666665</v>
      </c>
      <c r="R1537" s="173">
        <f t="shared" si="84"/>
        <v>0</v>
      </c>
    </row>
    <row r="1538" spans="1:18" ht="14" hidden="1">
      <c r="A1538" s="78" t="s">
        <v>2705</v>
      </c>
      <c r="B1538" s="220" t="s">
        <v>1002</v>
      </c>
      <c r="C1538" s="185"/>
      <c r="D1538" s="103" t="str">
        <f>VLOOKUP(B1538, 'All Menu'!B:M, 4, 0)</f>
        <v>بيف استرغنوف</v>
      </c>
      <c r="E1538" s="30" t="str">
        <f>VLOOKUP(B1538, 'All Menu'!B:M, 2, 0)</f>
        <v>قسم اللاين</v>
      </c>
      <c r="F1538" s="103" t="str">
        <f>VLOOKUP(B1538, 'All Menu'!B:M, 3, 0)</f>
        <v>الوجبات اليومية سفري</v>
      </c>
      <c r="G1538" s="90" t="s">
        <v>2195</v>
      </c>
      <c r="H1538" s="188">
        <v>4329</v>
      </c>
      <c r="I1538" s="110" t="str">
        <f>VLOOKUP(H1538, 'RM &amp; SF'!B:H, 2, 0)</f>
        <v>ملاعق بلاستيك مع معقم مطبوع 1*500 حبة*****</v>
      </c>
      <c r="J1538" s="184" t="str">
        <f>VLOOKUP(H1538, 'RM &amp; SF'!B:E, 4, 0)</f>
        <v>قطعة</v>
      </c>
      <c r="K1538" s="12">
        <v>1</v>
      </c>
      <c r="L1538" s="13">
        <f>VLOOKUP(H1538, 'RM &amp; SF'!B:H, 7, 0)</f>
        <v>4.7399999999999997E-4</v>
      </c>
      <c r="M1538" s="7">
        <f t="shared" si="82"/>
        <v>4.7399999999999997E-4</v>
      </c>
      <c r="N1538" s="4" t="s">
        <v>825</v>
      </c>
      <c r="O1538" s="4">
        <f>VLOOKUP(B1538, 'All Menu'!B:L, 6, 0)</f>
        <v>3.4482758620689657</v>
      </c>
      <c r="P1538" s="6">
        <f>VLOOKUP(B1538, 'All Menu'!B:L, 9, 0)</f>
        <v>2.6462827183908053</v>
      </c>
      <c r="Q1538" s="14">
        <f>VLOOKUP(B1538, 'All Menu'!B:M, 12, 0)</f>
        <v>0.2325780116666665</v>
      </c>
      <c r="R1538" s="173">
        <f t="shared" si="84"/>
        <v>0</v>
      </c>
    </row>
    <row r="1539" spans="1:18" ht="14" hidden="1">
      <c r="A1539" s="78" t="s">
        <v>2705</v>
      </c>
      <c r="B1539" s="220" t="s">
        <v>1002</v>
      </c>
      <c r="C1539" s="185"/>
      <c r="D1539" s="103" t="str">
        <f>VLOOKUP(B1539, 'All Menu'!B:M, 4, 0)</f>
        <v>بيف استرغنوف</v>
      </c>
      <c r="E1539" s="30" t="str">
        <f>VLOOKUP(B1539, 'All Menu'!B:M, 2, 0)</f>
        <v>قسم اللاين</v>
      </c>
      <c r="F1539" s="103" t="str">
        <f>VLOOKUP(B1539, 'All Menu'!B:M, 3, 0)</f>
        <v>الوجبات اليومية سفري</v>
      </c>
      <c r="G1539" s="90" t="s">
        <v>2193</v>
      </c>
      <c r="H1539" s="188">
        <v>4309</v>
      </c>
      <c r="I1539" s="110" t="str">
        <f>VLOOKUP(H1539, 'RM &amp; SF'!B:H, 2, 0)</f>
        <v>اكياس بلاستيك مطبوع 55 سم*****</v>
      </c>
      <c r="J1539" s="184" t="str">
        <f>VLOOKUP(H1539, 'RM &amp; SF'!B:E, 4, 0)</f>
        <v>قطعة</v>
      </c>
      <c r="K1539" s="12">
        <v>1</v>
      </c>
      <c r="L1539" s="13">
        <f>VLOOKUP(H1539, 'RM &amp; SF'!B:H, 7, 0)</f>
        <v>5.5172413793103454E-2</v>
      </c>
      <c r="M1539" s="7">
        <f t="shared" si="82"/>
        <v>5.5172413793103454E-2</v>
      </c>
      <c r="N1539" s="4" t="s">
        <v>825</v>
      </c>
      <c r="O1539" s="4">
        <f>VLOOKUP(B1539, 'All Menu'!B:L, 6, 0)</f>
        <v>3.4482758620689657</v>
      </c>
      <c r="P1539" s="6">
        <f>VLOOKUP(B1539, 'All Menu'!B:L, 9, 0)</f>
        <v>2.6462827183908053</v>
      </c>
      <c r="Q1539" s="14">
        <f>VLOOKUP(B1539, 'All Menu'!B:M, 12, 0)</f>
        <v>0.2325780116666665</v>
      </c>
      <c r="R1539" s="173">
        <f t="shared" si="84"/>
        <v>0</v>
      </c>
    </row>
    <row r="1540" spans="1:18" ht="14" hidden="1">
      <c r="A1540" s="78" t="s">
        <v>2710</v>
      </c>
      <c r="B1540" s="220" t="s">
        <v>1004</v>
      </c>
      <c r="C1540" s="185"/>
      <c r="D1540" s="103" t="str">
        <f>VLOOKUP(B1540, 'All Menu'!B:M, 4, 0)</f>
        <v>بازيلا وجزر</v>
      </c>
      <c r="E1540" s="30" t="str">
        <f>VLOOKUP(B1540, 'All Menu'!B:M, 2, 0)</f>
        <v>قسم اللاين</v>
      </c>
      <c r="F1540" s="103" t="str">
        <f>VLOOKUP(B1540, 'All Menu'!B:M, 3, 0)</f>
        <v>الوجبات اليومية سفري</v>
      </c>
      <c r="G1540" s="90" t="s">
        <v>2342</v>
      </c>
      <c r="H1540" s="219" t="s">
        <v>708</v>
      </c>
      <c r="I1540" s="110" t="str">
        <f>VLOOKUP(H1540, 'RM &amp; SF'!B:H, 2, 0)</f>
        <v>ارز بشعيرية</v>
      </c>
      <c r="J1540" s="184" t="str">
        <f>VLOOKUP(H1540, 'RM &amp; SF'!B:E, 4, 0)</f>
        <v>غم</v>
      </c>
      <c r="K1540" s="12">
        <v>500</v>
      </c>
      <c r="L1540" s="13">
        <f>VLOOKUP(H1540, 'RM &amp; SF'!B:H, 7, 0)</f>
        <v>3.3269616161616159E-4</v>
      </c>
      <c r="M1540" s="7">
        <f t="shared" si="82"/>
        <v>0.16634808080808081</v>
      </c>
      <c r="N1540" s="4" t="s">
        <v>825</v>
      </c>
      <c r="O1540" s="4">
        <f>VLOOKUP(B1540, 'All Menu'!B:L, 6, 0)</f>
        <v>3.4482758620689657</v>
      </c>
      <c r="P1540" s="6">
        <f>VLOOKUP(B1540, 'All Menu'!B:L, 9, 0)</f>
        <v>1.7860472019766636</v>
      </c>
      <c r="Q1540" s="14">
        <f>VLOOKUP(B1540, 'All Menu'!B:M, 12, 0)</f>
        <v>0.48204631142676763</v>
      </c>
      <c r="R1540" s="173">
        <f t="shared" si="84"/>
        <v>0</v>
      </c>
    </row>
    <row r="1541" spans="1:18" ht="14" hidden="1">
      <c r="A1541" s="78" t="s">
        <v>2710</v>
      </c>
      <c r="B1541" s="220" t="s">
        <v>1004</v>
      </c>
      <c r="C1541" s="185"/>
      <c r="D1541" s="103" t="str">
        <f>VLOOKUP(B1541, 'All Menu'!B:M, 4, 0)</f>
        <v>بازيلا وجزر</v>
      </c>
      <c r="E1541" s="30" t="str">
        <f>VLOOKUP(B1541, 'All Menu'!B:M, 2, 0)</f>
        <v>قسم اللاين</v>
      </c>
      <c r="F1541" s="103" t="str">
        <f>VLOOKUP(B1541, 'All Menu'!B:M, 3, 0)</f>
        <v>الوجبات اليومية سفري</v>
      </c>
      <c r="G1541" s="90" t="s">
        <v>2432</v>
      </c>
      <c r="H1541" s="219" t="s">
        <v>650</v>
      </c>
      <c r="I1541" s="110" t="str">
        <f>VLOOKUP(H1541, 'RM &amp; SF'!B:H, 2, 0)</f>
        <v>بازيلا وجزر</v>
      </c>
      <c r="J1541" s="184" t="str">
        <f>VLOOKUP(H1541, 'RM &amp; SF'!B:E, 4, 0)</f>
        <v>غم</v>
      </c>
      <c r="K1541" s="12">
        <v>500</v>
      </c>
      <c r="L1541" s="13">
        <f>VLOOKUP(H1541, 'RM &amp; SF'!B:H, 7, 0)</f>
        <v>2.5620571388888891E-3</v>
      </c>
      <c r="M1541" s="7">
        <f t="shared" si="82"/>
        <v>1.2810285694444445</v>
      </c>
      <c r="N1541" s="4" t="s">
        <v>825</v>
      </c>
      <c r="O1541" s="4">
        <f>VLOOKUP(B1541, 'All Menu'!B:L, 6, 0)</f>
        <v>3.4482758620689657</v>
      </c>
      <c r="P1541" s="6">
        <f>VLOOKUP(B1541, 'All Menu'!B:L, 9, 0)</f>
        <v>1.7860472019766636</v>
      </c>
      <c r="Q1541" s="14">
        <f>VLOOKUP(B1541, 'All Menu'!B:M, 12, 0)</f>
        <v>0.48204631142676763</v>
      </c>
      <c r="R1541" s="173">
        <f t="shared" si="84"/>
        <v>0</v>
      </c>
    </row>
    <row r="1542" spans="1:18" ht="14" hidden="1">
      <c r="A1542" s="78" t="s">
        <v>2710</v>
      </c>
      <c r="B1542" s="220" t="s">
        <v>1004</v>
      </c>
      <c r="C1542" s="185"/>
      <c r="D1542" s="103" t="str">
        <f>VLOOKUP(B1542, 'All Menu'!B:M, 4, 0)</f>
        <v>بازيلا وجزر</v>
      </c>
      <c r="E1542" s="30" t="str">
        <f>VLOOKUP(B1542, 'All Menu'!B:M, 2, 0)</f>
        <v>قسم اللاين</v>
      </c>
      <c r="F1542" s="103" t="str">
        <f>VLOOKUP(B1542, 'All Menu'!B:M, 3, 0)</f>
        <v>الوجبات اليومية سفري</v>
      </c>
      <c r="G1542" s="90" t="s">
        <v>2190</v>
      </c>
      <c r="H1542" s="188">
        <v>4279</v>
      </c>
      <c r="I1542" s="110" t="str">
        <f>VLOOKUP(H1542, 'RM &amp; SF'!B:H, 2, 0)</f>
        <v>علب ميكرويف مستطيل اسود مفرغة (احادي)*****</v>
      </c>
      <c r="J1542" s="184" t="str">
        <f>VLOOKUP(H1542, 'RM &amp; SF'!B:E, 4, 0)</f>
        <v>قطعة</v>
      </c>
      <c r="K1542" s="12">
        <v>1</v>
      </c>
      <c r="L1542" s="13">
        <f>VLOOKUP(H1542, 'RM &amp; SF'!B:H, 7, 0)</f>
        <v>9.4799999999999995E-2</v>
      </c>
      <c r="M1542" s="7">
        <f t="shared" si="82"/>
        <v>9.4799999999999995E-2</v>
      </c>
      <c r="N1542" s="4" t="s">
        <v>825</v>
      </c>
      <c r="O1542" s="4">
        <f>VLOOKUP(B1542, 'All Menu'!B:L, 6, 0)</f>
        <v>3.4482758620689657</v>
      </c>
      <c r="P1542" s="6">
        <f>VLOOKUP(B1542, 'All Menu'!B:L, 9, 0)</f>
        <v>1.7860472019766636</v>
      </c>
      <c r="Q1542" s="14">
        <f>VLOOKUP(B1542, 'All Menu'!B:M, 12, 0)</f>
        <v>0.48204631142676763</v>
      </c>
      <c r="R1542" s="173">
        <f t="shared" si="84"/>
        <v>0</v>
      </c>
    </row>
    <row r="1543" spans="1:18" ht="14" hidden="1">
      <c r="A1543" s="78" t="s">
        <v>2710</v>
      </c>
      <c r="B1543" s="220" t="s">
        <v>1004</v>
      </c>
      <c r="C1543" s="185"/>
      <c r="D1543" s="103" t="str">
        <f>VLOOKUP(B1543, 'All Menu'!B:M, 4, 0)</f>
        <v>بازيلا وجزر</v>
      </c>
      <c r="E1543" s="30" t="str">
        <f>VLOOKUP(B1543, 'All Menu'!B:M, 2, 0)</f>
        <v>قسم اللاين</v>
      </c>
      <c r="F1543" s="103" t="str">
        <f>VLOOKUP(B1543, 'All Menu'!B:M, 3, 0)</f>
        <v>الوجبات اليومية سفري</v>
      </c>
      <c r="G1543" s="90" t="s">
        <v>3058</v>
      </c>
      <c r="H1543" s="188">
        <v>4266</v>
      </c>
      <c r="I1543" s="110" t="str">
        <f>VLOOKUP(H1543, 'RM &amp; SF'!B:H, 2, 0)</f>
        <v>اساور علب وجبات مطبوع 1*50 حبة*****</v>
      </c>
      <c r="J1543" s="184" t="str">
        <f>VLOOKUP(H1543, 'RM &amp; SF'!B:E, 4, 0)</f>
        <v>قطعة</v>
      </c>
      <c r="K1543" s="12">
        <v>1</v>
      </c>
      <c r="L1543" s="13">
        <f>VLOOKUP(H1543, 'RM &amp; SF'!B:H, 7, 0)</f>
        <v>6.3224137931034485E-2</v>
      </c>
      <c r="M1543" s="7">
        <f t="shared" si="82"/>
        <v>6.3224137931034485E-2</v>
      </c>
      <c r="N1543" s="4" t="s">
        <v>825</v>
      </c>
      <c r="O1543" s="4">
        <f>VLOOKUP(B1543, 'All Menu'!B:L, 6, 0)</f>
        <v>3.4482758620689657</v>
      </c>
      <c r="P1543" s="6">
        <f>VLOOKUP(B1543, 'All Menu'!B:L, 9, 0)</f>
        <v>1.7860472019766636</v>
      </c>
      <c r="Q1543" s="14">
        <f>VLOOKUP(B1543, 'All Menu'!B:M, 12, 0)</f>
        <v>0.48204631142676763</v>
      </c>
      <c r="R1543" s="173">
        <f t="shared" si="84"/>
        <v>0</v>
      </c>
    </row>
    <row r="1544" spans="1:18" ht="14" hidden="1">
      <c r="A1544" s="78" t="s">
        <v>2710</v>
      </c>
      <c r="B1544" s="220" t="s">
        <v>1004</v>
      </c>
      <c r="C1544" s="185"/>
      <c r="D1544" s="103" t="str">
        <f>VLOOKUP(B1544, 'All Menu'!B:M, 4, 0)</f>
        <v>بازيلا وجزر</v>
      </c>
      <c r="E1544" s="30" t="str">
        <f>VLOOKUP(B1544, 'All Menu'!B:M, 2, 0)</f>
        <v>قسم اللاين</v>
      </c>
      <c r="F1544" s="103" t="str">
        <f>VLOOKUP(B1544, 'All Menu'!B:M, 3, 0)</f>
        <v>الوجبات اليومية سفري</v>
      </c>
      <c r="G1544" s="90" t="s">
        <v>3058</v>
      </c>
      <c r="H1544" s="188">
        <v>4280</v>
      </c>
      <c r="I1544" s="110" t="str">
        <f>VLOOKUP(H1544, 'RM &amp; SF'!B:H, 2, 0)</f>
        <v>علب ميكرويف مدورة اسود 500 مل RC2*****</v>
      </c>
      <c r="J1544" s="184" t="str">
        <f>VLOOKUP(H1544, 'RM &amp; SF'!B:E, 4, 0)</f>
        <v>قطعة</v>
      </c>
      <c r="K1544" s="12">
        <v>1</v>
      </c>
      <c r="L1544" s="13">
        <f>VLOOKUP(H1544, 'RM &amp; SF'!B:H, 7, 0)</f>
        <v>0.125</v>
      </c>
      <c r="M1544" s="7">
        <f t="shared" si="82"/>
        <v>0.125</v>
      </c>
      <c r="N1544" s="4" t="s">
        <v>825</v>
      </c>
      <c r="O1544" s="4">
        <f>VLOOKUP(B1544, 'All Menu'!B:L, 6, 0)</f>
        <v>3.4482758620689657</v>
      </c>
      <c r="P1544" s="6">
        <f>VLOOKUP(B1544, 'All Menu'!B:L, 9, 0)</f>
        <v>1.7860472019766636</v>
      </c>
      <c r="Q1544" s="14">
        <f>VLOOKUP(B1544, 'All Menu'!B:M, 12, 0)</f>
        <v>0.48204631142676763</v>
      </c>
      <c r="R1544" s="173">
        <f t="shared" si="84"/>
        <v>0</v>
      </c>
    </row>
    <row r="1545" spans="1:18" ht="14" hidden="1">
      <c r="A1545" s="78" t="s">
        <v>2710</v>
      </c>
      <c r="B1545" s="220" t="s">
        <v>1004</v>
      </c>
      <c r="C1545" s="185"/>
      <c r="D1545" s="103" t="str">
        <f>VLOOKUP(B1545, 'All Menu'!B:M, 4, 0)</f>
        <v>بازيلا وجزر</v>
      </c>
      <c r="E1545" s="30" t="str">
        <f>VLOOKUP(B1545, 'All Menu'!B:M, 2, 0)</f>
        <v>قسم اللاين</v>
      </c>
      <c r="F1545" s="103" t="str">
        <f>VLOOKUP(B1545, 'All Menu'!B:M, 3, 0)</f>
        <v>الوجبات اليومية سفري</v>
      </c>
      <c r="G1545" s="90" t="s">
        <v>2195</v>
      </c>
      <c r="H1545" s="188">
        <v>4329</v>
      </c>
      <c r="I1545" s="110" t="str">
        <f>VLOOKUP(H1545, 'RM &amp; SF'!B:H, 2, 0)</f>
        <v>ملاعق بلاستيك مع معقم مطبوع 1*500 حبة*****</v>
      </c>
      <c r="J1545" s="184" t="str">
        <f>VLOOKUP(H1545, 'RM &amp; SF'!B:E, 4, 0)</f>
        <v>قطعة</v>
      </c>
      <c r="K1545" s="12">
        <v>1</v>
      </c>
      <c r="L1545" s="13">
        <f>VLOOKUP(H1545, 'RM &amp; SF'!B:H, 7, 0)</f>
        <v>4.7399999999999997E-4</v>
      </c>
      <c r="M1545" s="7">
        <f t="shared" si="82"/>
        <v>4.7399999999999997E-4</v>
      </c>
      <c r="N1545" s="4" t="s">
        <v>825</v>
      </c>
      <c r="O1545" s="4">
        <f>VLOOKUP(B1545, 'All Menu'!B:L, 6, 0)</f>
        <v>3.4482758620689657</v>
      </c>
      <c r="P1545" s="6">
        <f>VLOOKUP(B1545, 'All Menu'!B:L, 9, 0)</f>
        <v>1.7860472019766636</v>
      </c>
      <c r="Q1545" s="14">
        <f>VLOOKUP(B1545, 'All Menu'!B:M, 12, 0)</f>
        <v>0.48204631142676763</v>
      </c>
      <c r="R1545" s="173">
        <f t="shared" si="84"/>
        <v>0</v>
      </c>
    </row>
    <row r="1546" spans="1:18" ht="14" hidden="1">
      <c r="A1546" s="78" t="s">
        <v>2710</v>
      </c>
      <c r="B1546" s="220" t="s">
        <v>1004</v>
      </c>
      <c r="C1546" s="185"/>
      <c r="D1546" s="103" t="str">
        <f>VLOOKUP(B1546, 'All Menu'!B:M, 4, 0)</f>
        <v>بازيلا وجزر</v>
      </c>
      <c r="E1546" s="30" t="str">
        <f>VLOOKUP(B1546, 'All Menu'!B:M, 2, 0)</f>
        <v>قسم اللاين</v>
      </c>
      <c r="F1546" s="103" t="str">
        <f>VLOOKUP(B1546, 'All Menu'!B:M, 3, 0)</f>
        <v>الوجبات اليومية سفري</v>
      </c>
      <c r="G1546" s="90" t="s">
        <v>2193</v>
      </c>
      <c r="H1546" s="188">
        <v>4309</v>
      </c>
      <c r="I1546" s="110" t="str">
        <f>VLOOKUP(H1546, 'RM &amp; SF'!B:H, 2, 0)</f>
        <v>اكياس بلاستيك مطبوع 55 سم*****</v>
      </c>
      <c r="J1546" s="184" t="str">
        <f>VLOOKUP(H1546, 'RM &amp; SF'!B:E, 4, 0)</f>
        <v>قطعة</v>
      </c>
      <c r="K1546" s="12">
        <v>1</v>
      </c>
      <c r="L1546" s="13">
        <f>VLOOKUP(H1546, 'RM &amp; SF'!B:H, 7, 0)</f>
        <v>5.5172413793103454E-2</v>
      </c>
      <c r="M1546" s="7">
        <f t="shared" si="82"/>
        <v>5.5172413793103454E-2</v>
      </c>
      <c r="N1546" s="4" t="s">
        <v>825</v>
      </c>
      <c r="O1546" s="4">
        <f>VLOOKUP(B1546, 'All Menu'!B:L, 6, 0)</f>
        <v>3.4482758620689657</v>
      </c>
      <c r="P1546" s="6">
        <f>VLOOKUP(B1546, 'All Menu'!B:L, 9, 0)</f>
        <v>1.7860472019766636</v>
      </c>
      <c r="Q1546" s="14">
        <f>VLOOKUP(B1546, 'All Menu'!B:M, 12, 0)</f>
        <v>0.48204631142676763</v>
      </c>
      <c r="R1546" s="173">
        <f t="shared" si="84"/>
        <v>0</v>
      </c>
    </row>
    <row r="1547" spans="1:18" ht="14" hidden="1">
      <c r="A1547" s="78" t="s">
        <v>2713</v>
      </c>
      <c r="B1547" s="220" t="s">
        <v>1005</v>
      </c>
      <c r="C1547" s="185"/>
      <c r="D1547" s="103" t="str">
        <f>VLOOKUP(B1547, 'All Menu'!B:M, 4, 0)</f>
        <v>ملوخية</v>
      </c>
      <c r="E1547" s="30" t="str">
        <f>VLOOKUP(B1547, 'All Menu'!B:M, 2, 0)</f>
        <v>قسم اللاين</v>
      </c>
      <c r="F1547" s="103" t="str">
        <f>VLOOKUP(B1547, 'All Menu'!B:M, 3, 0)</f>
        <v>الوجبات اليومية سفري</v>
      </c>
      <c r="G1547" s="90" t="s">
        <v>2390</v>
      </c>
      <c r="H1547" s="219" t="s">
        <v>548</v>
      </c>
      <c r="I1547" s="110" t="str">
        <f>VLOOKUP(H1547, 'RM &amp; SF'!B:H, 2, 0)</f>
        <v>رز ابيض</v>
      </c>
      <c r="J1547" s="184" t="str">
        <f>VLOOKUP(H1547, 'RM &amp; SF'!B:E, 4, 0)</f>
        <v>غم</v>
      </c>
      <c r="K1547" s="12">
        <v>500</v>
      </c>
      <c r="L1547" s="13">
        <f>VLOOKUP(H1547, 'RM &amp; SF'!B:H, 7, 0)</f>
        <v>4.1596433333333332E-4</v>
      </c>
      <c r="M1547" s="7">
        <f t="shared" si="82"/>
        <v>0.20798216666666666</v>
      </c>
      <c r="N1547" s="4" t="s">
        <v>825</v>
      </c>
      <c r="O1547" s="4">
        <f>VLOOKUP(B1547, 'All Menu'!B:L, 6, 0)</f>
        <v>3.4482758620689657</v>
      </c>
      <c r="P1547" s="6">
        <f>VLOOKUP(B1547, 'All Menu'!B:L, 9, 0)</f>
        <v>1.6030531260831127</v>
      </c>
      <c r="Q1547" s="14">
        <f>VLOOKUP(B1547, 'All Menu'!B:M, 12, 0)</f>
        <v>0.5351145934358974</v>
      </c>
      <c r="R1547" s="173">
        <f t="shared" si="84"/>
        <v>0</v>
      </c>
    </row>
    <row r="1548" spans="1:18" ht="14" hidden="1">
      <c r="A1548" s="78" t="s">
        <v>2713</v>
      </c>
      <c r="B1548" s="220" t="s">
        <v>1005</v>
      </c>
      <c r="C1548" s="185"/>
      <c r="D1548" s="103" t="str">
        <f>VLOOKUP(B1548, 'All Menu'!B:M, 4, 0)</f>
        <v>ملوخية</v>
      </c>
      <c r="E1548" s="30" t="str">
        <f>VLOOKUP(B1548, 'All Menu'!B:M, 2, 0)</f>
        <v>قسم اللاين</v>
      </c>
      <c r="F1548" s="103" t="str">
        <f>VLOOKUP(B1548, 'All Menu'!B:M, 3, 0)</f>
        <v>الوجبات اليومية سفري</v>
      </c>
      <c r="G1548" s="90" t="s">
        <v>2401</v>
      </c>
      <c r="H1548" s="219" t="s">
        <v>596</v>
      </c>
      <c r="I1548" s="110" t="str">
        <f>VLOOKUP(H1548, 'RM &amp; SF'!B:H, 2, 0)</f>
        <v xml:space="preserve">ملوخية </v>
      </c>
      <c r="J1548" s="184" t="str">
        <f>VLOOKUP(H1548, 'RM &amp; SF'!B:E, 4, 0)</f>
        <v>غم</v>
      </c>
      <c r="K1548" s="12">
        <v>500</v>
      </c>
      <c r="L1548" s="13">
        <f>VLOOKUP(H1548, 'RM &amp; SF'!B:H, 7, 0)</f>
        <v>5.7013461538461547E-4</v>
      </c>
      <c r="M1548" s="7">
        <f t="shared" si="82"/>
        <v>0.28506730769230776</v>
      </c>
      <c r="N1548" s="4" t="s">
        <v>825</v>
      </c>
      <c r="O1548" s="4">
        <f>VLOOKUP(B1548, 'All Menu'!B:L, 6, 0)</f>
        <v>3.4482758620689657</v>
      </c>
      <c r="P1548" s="6">
        <f>VLOOKUP(B1548, 'All Menu'!B:L, 9, 0)</f>
        <v>1.6030531260831127</v>
      </c>
      <c r="Q1548" s="14">
        <f>VLOOKUP(B1548, 'All Menu'!B:M, 12, 0)</f>
        <v>0.5351145934358974</v>
      </c>
      <c r="R1548" s="173">
        <f t="shared" si="84"/>
        <v>0</v>
      </c>
    </row>
    <row r="1549" spans="1:18" ht="14" hidden="1">
      <c r="A1549" s="78" t="s">
        <v>2713</v>
      </c>
      <c r="B1549" s="220" t="s">
        <v>1005</v>
      </c>
      <c r="C1549" s="185"/>
      <c r="D1549" s="103" t="str">
        <f>VLOOKUP(B1549, 'All Menu'!B:M, 4, 0)</f>
        <v>ملوخية</v>
      </c>
      <c r="E1549" s="30" t="str">
        <f>VLOOKUP(B1549, 'All Menu'!B:M, 2, 0)</f>
        <v>قسم اللاين</v>
      </c>
      <c r="F1549" s="103" t="str">
        <f>VLOOKUP(B1549, 'All Menu'!B:M, 3, 0)</f>
        <v>الوجبات اليومية سفري</v>
      </c>
      <c r="G1549" s="90" t="s">
        <v>2417</v>
      </c>
      <c r="H1549" s="219" t="s">
        <v>544</v>
      </c>
      <c r="I1549" s="110" t="str">
        <f>VLOOKUP(H1549, 'RM &amp; SF'!B:H, 2, 0)</f>
        <v>دجاجة متبلة</v>
      </c>
      <c r="J1549" s="184" t="str">
        <f>VLOOKUP(H1549, 'RM &amp; SF'!B:E, 4, 0)</f>
        <v>قطعة</v>
      </c>
      <c r="K1549" s="12">
        <v>0.25</v>
      </c>
      <c r="L1549" s="13">
        <f>VLOOKUP(H1549, 'RM &amp; SF'!B:H, 7, 0)</f>
        <v>3.0853324000000004</v>
      </c>
      <c r="M1549" s="7">
        <f t="shared" si="82"/>
        <v>0.7713331000000001</v>
      </c>
      <c r="N1549" s="4" t="s">
        <v>825</v>
      </c>
      <c r="O1549" s="4">
        <f>VLOOKUP(B1549, 'All Menu'!B:L, 6, 0)</f>
        <v>3.4482758620689657</v>
      </c>
      <c r="P1549" s="6">
        <f>VLOOKUP(B1549, 'All Menu'!B:L, 9, 0)</f>
        <v>1.6030531260831127</v>
      </c>
      <c r="Q1549" s="14">
        <f>VLOOKUP(B1549, 'All Menu'!B:M, 12, 0)</f>
        <v>0.5351145934358974</v>
      </c>
      <c r="R1549" s="173">
        <f t="shared" si="84"/>
        <v>0</v>
      </c>
    </row>
    <row r="1550" spans="1:18" ht="14" hidden="1">
      <c r="A1550" s="78" t="s">
        <v>2713</v>
      </c>
      <c r="B1550" s="220" t="s">
        <v>1005</v>
      </c>
      <c r="C1550" s="185"/>
      <c r="D1550" s="103" t="str">
        <f>VLOOKUP(B1550, 'All Menu'!B:M, 4, 0)</f>
        <v>ملوخية</v>
      </c>
      <c r="E1550" s="30" t="str">
        <f>VLOOKUP(B1550, 'All Menu'!B:M, 2, 0)</f>
        <v>قسم اللاين</v>
      </c>
      <c r="F1550" s="103" t="str">
        <f>VLOOKUP(B1550, 'All Menu'!B:M, 3, 0)</f>
        <v>الوجبات اليومية سفري</v>
      </c>
      <c r="G1550" s="90" t="s">
        <v>2190</v>
      </c>
      <c r="H1550" s="188">
        <v>4279</v>
      </c>
      <c r="I1550" s="110" t="str">
        <f>VLOOKUP(H1550, 'RM &amp; SF'!B:H, 2, 0)</f>
        <v>علب ميكرويف مستطيل اسود مفرغة (احادي)*****</v>
      </c>
      <c r="J1550" s="184" t="str">
        <f>VLOOKUP(H1550, 'RM &amp; SF'!B:E, 4, 0)</f>
        <v>قطعة</v>
      </c>
      <c r="K1550" s="12">
        <v>1</v>
      </c>
      <c r="L1550" s="13">
        <f>VLOOKUP(H1550, 'RM &amp; SF'!B:H, 7, 0)</f>
        <v>9.4799999999999995E-2</v>
      </c>
      <c r="M1550" s="7">
        <f t="shared" si="82"/>
        <v>9.4799999999999995E-2</v>
      </c>
      <c r="N1550" s="4" t="s">
        <v>825</v>
      </c>
      <c r="O1550" s="4">
        <f>VLOOKUP(B1550, 'All Menu'!B:L, 6, 0)</f>
        <v>3.4482758620689657</v>
      </c>
      <c r="P1550" s="6">
        <f>VLOOKUP(B1550, 'All Menu'!B:L, 9, 0)</f>
        <v>1.6030531260831127</v>
      </c>
      <c r="Q1550" s="14">
        <f>VLOOKUP(B1550, 'All Menu'!B:M, 12, 0)</f>
        <v>0.5351145934358974</v>
      </c>
      <c r="R1550" s="173">
        <f t="shared" si="84"/>
        <v>0</v>
      </c>
    </row>
    <row r="1551" spans="1:18" ht="14" hidden="1">
      <c r="A1551" s="78" t="s">
        <v>2713</v>
      </c>
      <c r="B1551" s="220" t="s">
        <v>1005</v>
      </c>
      <c r="C1551" s="185"/>
      <c r="D1551" s="103" t="str">
        <f>VLOOKUP(B1551, 'All Menu'!B:M, 4, 0)</f>
        <v>ملوخية</v>
      </c>
      <c r="E1551" s="30" t="str">
        <f>VLOOKUP(B1551, 'All Menu'!B:M, 2, 0)</f>
        <v>قسم اللاين</v>
      </c>
      <c r="F1551" s="103" t="str">
        <f>VLOOKUP(B1551, 'All Menu'!B:M, 3, 0)</f>
        <v>الوجبات اليومية سفري</v>
      </c>
      <c r="G1551" s="90" t="s">
        <v>3058</v>
      </c>
      <c r="H1551" s="188">
        <v>4266</v>
      </c>
      <c r="I1551" s="110" t="str">
        <f>VLOOKUP(H1551, 'RM &amp; SF'!B:H, 2, 0)</f>
        <v>اساور علب وجبات مطبوع 1*50 حبة*****</v>
      </c>
      <c r="J1551" s="184" t="str">
        <f>VLOOKUP(H1551, 'RM &amp; SF'!B:E, 4, 0)</f>
        <v>قطعة</v>
      </c>
      <c r="K1551" s="12">
        <v>1</v>
      </c>
      <c r="L1551" s="13">
        <f>VLOOKUP(H1551, 'RM &amp; SF'!B:H, 7, 0)</f>
        <v>6.3224137931034485E-2</v>
      </c>
      <c r="M1551" s="7">
        <f t="shared" si="82"/>
        <v>6.3224137931034485E-2</v>
      </c>
      <c r="N1551" s="4" t="s">
        <v>825</v>
      </c>
      <c r="O1551" s="4">
        <f>VLOOKUP(B1551, 'All Menu'!B:L, 6, 0)</f>
        <v>3.4482758620689657</v>
      </c>
      <c r="P1551" s="6">
        <f>VLOOKUP(B1551, 'All Menu'!B:L, 9, 0)</f>
        <v>1.6030531260831127</v>
      </c>
      <c r="Q1551" s="14">
        <f>VLOOKUP(B1551, 'All Menu'!B:M, 12, 0)</f>
        <v>0.5351145934358974</v>
      </c>
      <c r="R1551" s="173">
        <f t="shared" si="84"/>
        <v>0</v>
      </c>
    </row>
    <row r="1552" spans="1:18" ht="14" hidden="1">
      <c r="A1552" s="78" t="s">
        <v>2713</v>
      </c>
      <c r="B1552" s="220" t="s">
        <v>1005</v>
      </c>
      <c r="C1552" s="185"/>
      <c r="D1552" s="103" t="str">
        <f>VLOOKUP(B1552, 'All Menu'!B:M, 4, 0)</f>
        <v>ملوخية</v>
      </c>
      <c r="E1552" s="30" t="str">
        <f>VLOOKUP(B1552, 'All Menu'!B:M, 2, 0)</f>
        <v>قسم اللاين</v>
      </c>
      <c r="F1552" s="103" t="str">
        <f>VLOOKUP(B1552, 'All Menu'!B:M, 3, 0)</f>
        <v>الوجبات اليومية سفري</v>
      </c>
      <c r="G1552" s="90" t="s">
        <v>3058</v>
      </c>
      <c r="H1552" s="188">
        <v>4280</v>
      </c>
      <c r="I1552" s="110" t="str">
        <f>VLOOKUP(H1552, 'RM &amp; SF'!B:H, 2, 0)</f>
        <v>علب ميكرويف مدورة اسود 500 مل RC2*****</v>
      </c>
      <c r="J1552" s="184" t="str">
        <f>VLOOKUP(H1552, 'RM &amp; SF'!B:E, 4, 0)</f>
        <v>قطعة</v>
      </c>
      <c r="K1552" s="12">
        <v>1</v>
      </c>
      <c r="L1552" s="13">
        <f>VLOOKUP(H1552, 'RM &amp; SF'!B:H, 7, 0)</f>
        <v>0.125</v>
      </c>
      <c r="M1552" s="7">
        <f t="shared" si="82"/>
        <v>0.125</v>
      </c>
      <c r="N1552" s="4" t="s">
        <v>825</v>
      </c>
      <c r="O1552" s="4">
        <f>VLOOKUP(B1552, 'All Menu'!B:L, 6, 0)</f>
        <v>3.4482758620689657</v>
      </c>
      <c r="P1552" s="6">
        <f>VLOOKUP(B1552, 'All Menu'!B:L, 9, 0)</f>
        <v>1.6030531260831127</v>
      </c>
      <c r="Q1552" s="14">
        <f>VLOOKUP(B1552, 'All Menu'!B:M, 12, 0)</f>
        <v>0.5351145934358974</v>
      </c>
      <c r="R1552" s="173">
        <f t="shared" si="84"/>
        <v>0</v>
      </c>
    </row>
    <row r="1553" spans="1:18" ht="14" hidden="1">
      <c r="A1553" s="78" t="s">
        <v>2713</v>
      </c>
      <c r="B1553" s="220" t="s">
        <v>1005</v>
      </c>
      <c r="C1553" s="185"/>
      <c r="D1553" s="103" t="str">
        <f>VLOOKUP(B1553, 'All Menu'!B:M, 4, 0)</f>
        <v>ملوخية</v>
      </c>
      <c r="E1553" s="30" t="str">
        <f>VLOOKUP(B1553, 'All Menu'!B:M, 2, 0)</f>
        <v>قسم اللاين</v>
      </c>
      <c r="F1553" s="103" t="str">
        <f>VLOOKUP(B1553, 'All Menu'!B:M, 3, 0)</f>
        <v>الوجبات اليومية سفري</v>
      </c>
      <c r="G1553" s="90" t="s">
        <v>2195</v>
      </c>
      <c r="H1553" s="188">
        <v>4329</v>
      </c>
      <c r="I1553" s="110" t="str">
        <f>VLOOKUP(H1553, 'RM &amp; SF'!B:H, 2, 0)</f>
        <v>ملاعق بلاستيك مع معقم مطبوع 1*500 حبة*****</v>
      </c>
      <c r="J1553" s="184" t="str">
        <f>VLOOKUP(H1553, 'RM &amp; SF'!B:E, 4, 0)</f>
        <v>قطعة</v>
      </c>
      <c r="K1553" s="12">
        <v>1</v>
      </c>
      <c r="L1553" s="13">
        <f>VLOOKUP(H1553, 'RM &amp; SF'!B:H, 7, 0)</f>
        <v>4.7399999999999997E-4</v>
      </c>
      <c r="M1553" s="7">
        <f t="shared" si="82"/>
        <v>4.7399999999999997E-4</v>
      </c>
      <c r="N1553" s="4" t="s">
        <v>825</v>
      </c>
      <c r="O1553" s="4">
        <f>VLOOKUP(B1553, 'All Menu'!B:L, 6, 0)</f>
        <v>3.4482758620689657</v>
      </c>
      <c r="P1553" s="6">
        <f>VLOOKUP(B1553, 'All Menu'!B:L, 9, 0)</f>
        <v>1.6030531260831127</v>
      </c>
      <c r="Q1553" s="14">
        <f>VLOOKUP(B1553, 'All Menu'!B:M, 12, 0)</f>
        <v>0.5351145934358974</v>
      </c>
      <c r="R1553" s="173">
        <f t="shared" si="84"/>
        <v>0</v>
      </c>
    </row>
    <row r="1554" spans="1:18" ht="14" hidden="1">
      <c r="A1554" s="78" t="s">
        <v>2713</v>
      </c>
      <c r="B1554" s="220" t="s">
        <v>1005</v>
      </c>
      <c r="C1554" s="185"/>
      <c r="D1554" s="103" t="str">
        <f>VLOOKUP(B1554, 'All Menu'!B:M, 4, 0)</f>
        <v>ملوخية</v>
      </c>
      <c r="E1554" s="30" t="str">
        <f>VLOOKUP(B1554, 'All Menu'!B:M, 2, 0)</f>
        <v>قسم اللاين</v>
      </c>
      <c r="F1554" s="103" t="str">
        <f>VLOOKUP(B1554, 'All Menu'!B:M, 3, 0)</f>
        <v>الوجبات اليومية سفري</v>
      </c>
      <c r="G1554" s="90" t="s">
        <v>2193</v>
      </c>
      <c r="H1554" s="188">
        <v>4309</v>
      </c>
      <c r="I1554" s="110" t="str">
        <f>VLOOKUP(H1554, 'RM &amp; SF'!B:H, 2, 0)</f>
        <v>اكياس بلاستيك مطبوع 55 سم*****</v>
      </c>
      <c r="J1554" s="184" t="str">
        <f>VLOOKUP(H1554, 'RM &amp; SF'!B:E, 4, 0)</f>
        <v>قطعة</v>
      </c>
      <c r="K1554" s="12">
        <v>1</v>
      </c>
      <c r="L1554" s="13">
        <f>VLOOKUP(H1554, 'RM &amp; SF'!B:H, 7, 0)</f>
        <v>5.5172413793103454E-2</v>
      </c>
      <c r="M1554" s="7">
        <f t="shared" si="82"/>
        <v>5.5172413793103454E-2</v>
      </c>
      <c r="N1554" s="4" t="s">
        <v>825</v>
      </c>
      <c r="O1554" s="4">
        <f>VLOOKUP(B1554, 'All Menu'!B:L, 6, 0)</f>
        <v>3.4482758620689657</v>
      </c>
      <c r="P1554" s="6">
        <f>VLOOKUP(B1554, 'All Menu'!B:L, 9, 0)</f>
        <v>1.6030531260831127</v>
      </c>
      <c r="Q1554" s="14">
        <f>VLOOKUP(B1554, 'All Menu'!B:M, 12, 0)</f>
        <v>0.5351145934358974</v>
      </c>
      <c r="R1554" s="173">
        <f t="shared" si="84"/>
        <v>0</v>
      </c>
    </row>
    <row r="1555" spans="1:18" ht="14" hidden="1">
      <c r="A1555" s="78" t="s">
        <v>2706</v>
      </c>
      <c r="B1555" s="220" t="s">
        <v>1008</v>
      </c>
      <c r="C1555" s="185"/>
      <c r="D1555" s="103" t="str">
        <f>VLOOKUP(B1555, 'All Menu'!B:M, 4, 0)</f>
        <v>أوزي دجاج</v>
      </c>
      <c r="E1555" s="30" t="str">
        <f>VLOOKUP(B1555, 'All Menu'!B:M, 2, 0)</f>
        <v>قسم اللاين</v>
      </c>
      <c r="F1555" s="103" t="str">
        <f>VLOOKUP(B1555, 'All Menu'!B:M, 3, 0)</f>
        <v>الوجبات اليومية سفري</v>
      </c>
      <c r="G1555" s="90" t="s">
        <v>2412</v>
      </c>
      <c r="H1555" s="219" t="s">
        <v>598</v>
      </c>
      <c r="I1555" s="110" t="str">
        <f>VLOOKUP(H1555, 'RM &amp; SF'!B:H, 2, 0)</f>
        <v>رز اوزي</v>
      </c>
      <c r="J1555" s="184" t="str">
        <f>VLOOKUP(H1555, 'RM &amp; SF'!B:E, 4, 0)</f>
        <v>غم</v>
      </c>
      <c r="K1555" s="12">
        <v>500</v>
      </c>
      <c r="L1555" s="13">
        <f>VLOOKUP(H1555, 'RM &amp; SF'!B:H, 7, 0)</f>
        <v>1.1675619256756756E-3</v>
      </c>
      <c r="M1555" s="7">
        <f t="shared" si="82"/>
        <v>0.58378096283783776</v>
      </c>
      <c r="N1555" s="4" t="s">
        <v>825</v>
      </c>
      <c r="O1555" s="4">
        <f>VLOOKUP(B1555, 'All Menu'!B:L, 6, 0)</f>
        <v>2.5862068965517242</v>
      </c>
      <c r="P1555" s="6">
        <f>VLOOKUP(B1555, 'All Menu'!B:L, 9, 0)</f>
        <v>1.8114892697343898</v>
      </c>
      <c r="Q1555" s="14">
        <f>VLOOKUP(B1555, 'All Menu'!B:M, 12, 0)</f>
        <v>0.2995574823693693</v>
      </c>
      <c r="R1555" s="173">
        <f t="shared" si="84"/>
        <v>0</v>
      </c>
    </row>
    <row r="1556" spans="1:18" ht="14" hidden="1">
      <c r="A1556" s="78" t="s">
        <v>2706</v>
      </c>
      <c r="B1556" s="220" t="s">
        <v>1008</v>
      </c>
      <c r="C1556" s="185"/>
      <c r="D1556" s="103" t="str">
        <f>VLOOKUP(B1556, 'All Menu'!B:M, 4, 0)</f>
        <v>أوزي دجاج</v>
      </c>
      <c r="E1556" s="30" t="str">
        <f>VLOOKUP(B1556, 'All Menu'!B:M, 2, 0)</f>
        <v>قسم اللاين</v>
      </c>
      <c r="F1556" s="103" t="str">
        <f>VLOOKUP(B1556, 'All Menu'!B:M, 3, 0)</f>
        <v>الوجبات اليومية سفري</v>
      </c>
      <c r="G1556" s="90" t="s">
        <v>2417</v>
      </c>
      <c r="H1556" s="219" t="s">
        <v>544</v>
      </c>
      <c r="I1556" s="110" t="str">
        <f>VLOOKUP(H1556, 'RM &amp; SF'!B:H, 2, 0)</f>
        <v>دجاجة متبلة</v>
      </c>
      <c r="J1556" s="184" t="str">
        <f>VLOOKUP(H1556, 'RM &amp; SF'!B:E, 4, 0)</f>
        <v>قطعة</v>
      </c>
      <c r="K1556" s="12">
        <v>0.25</v>
      </c>
      <c r="L1556" s="13">
        <f>VLOOKUP(H1556, 'RM &amp; SF'!B:H, 7, 0)</f>
        <v>3.0853324000000004</v>
      </c>
      <c r="M1556" s="7">
        <f t="shared" si="82"/>
        <v>0.7713331000000001</v>
      </c>
      <c r="N1556" s="4" t="s">
        <v>825</v>
      </c>
      <c r="O1556" s="4">
        <f>VLOOKUP(B1556, 'All Menu'!B:L, 6, 0)</f>
        <v>2.5862068965517242</v>
      </c>
      <c r="P1556" s="6">
        <f>VLOOKUP(B1556, 'All Menu'!B:L, 9, 0)</f>
        <v>1.8114892697343898</v>
      </c>
      <c r="Q1556" s="14">
        <f>VLOOKUP(B1556, 'All Menu'!B:M, 12, 0)</f>
        <v>0.2995574823693693</v>
      </c>
      <c r="R1556" s="173">
        <f t="shared" si="84"/>
        <v>0</v>
      </c>
    </row>
    <row r="1557" spans="1:18" ht="14" hidden="1">
      <c r="A1557" s="78" t="s">
        <v>2706</v>
      </c>
      <c r="B1557" s="220" t="s">
        <v>1008</v>
      </c>
      <c r="C1557" s="185"/>
      <c r="D1557" s="103" t="str">
        <f>VLOOKUP(B1557, 'All Menu'!B:M, 4, 0)</f>
        <v>أوزي دجاج</v>
      </c>
      <c r="E1557" s="30" t="str">
        <f>VLOOKUP(B1557, 'All Menu'!B:M, 2, 0)</f>
        <v>قسم اللاين</v>
      </c>
      <c r="F1557" s="103" t="str">
        <f>VLOOKUP(B1557, 'All Menu'!B:M, 3, 0)</f>
        <v>الوجبات اليومية سفري</v>
      </c>
      <c r="G1557" s="90" t="s">
        <v>2341</v>
      </c>
      <c r="H1557" s="219" t="s">
        <v>706</v>
      </c>
      <c r="I1557" s="110" t="str">
        <f>VLOOKUP(H1557, 'RM &amp; SF'!B:H, 2, 0)</f>
        <v>لوز مقلي</v>
      </c>
      <c r="J1557" s="184" t="str">
        <f>VLOOKUP(H1557, 'RM &amp; SF'!B:E, 4, 0)</f>
        <v>غم</v>
      </c>
      <c r="K1557" s="12">
        <v>20</v>
      </c>
      <c r="L1557" s="13">
        <f>VLOOKUP(H1557, 'RM &amp; SF'!B:H, 7, 0)</f>
        <v>4.1352327586206888E-3</v>
      </c>
      <c r="M1557" s="7">
        <f t="shared" si="82"/>
        <v>8.270465517241378E-2</v>
      </c>
      <c r="N1557" s="4" t="s">
        <v>825</v>
      </c>
      <c r="O1557" s="4">
        <f>VLOOKUP(B1557, 'All Menu'!B:L, 6, 0)</f>
        <v>2.5862068965517242</v>
      </c>
      <c r="P1557" s="6">
        <f>VLOOKUP(B1557, 'All Menu'!B:L, 9, 0)</f>
        <v>1.8114892697343898</v>
      </c>
      <c r="Q1557" s="14">
        <f>VLOOKUP(B1557, 'All Menu'!B:M, 12, 0)</f>
        <v>0.2995574823693693</v>
      </c>
      <c r="R1557" s="173">
        <f t="shared" si="84"/>
        <v>0</v>
      </c>
    </row>
    <row r="1558" spans="1:18" ht="14" hidden="1">
      <c r="A1558" s="78" t="s">
        <v>2706</v>
      </c>
      <c r="B1558" s="220" t="s">
        <v>1008</v>
      </c>
      <c r="C1558" s="185"/>
      <c r="D1558" s="103" t="str">
        <f>VLOOKUP(B1558, 'All Menu'!B:M, 4, 0)</f>
        <v>أوزي دجاج</v>
      </c>
      <c r="E1558" s="30" t="str">
        <f>VLOOKUP(B1558, 'All Menu'!B:M, 2, 0)</f>
        <v>قسم اللاين</v>
      </c>
      <c r="F1558" s="103" t="str">
        <f>VLOOKUP(B1558, 'All Menu'!B:M, 3, 0)</f>
        <v>الوجبات اليومية سفري</v>
      </c>
      <c r="G1558" s="90" t="s">
        <v>2190</v>
      </c>
      <c r="H1558" s="188">
        <v>4279</v>
      </c>
      <c r="I1558" s="110" t="str">
        <f>VLOOKUP(H1558, 'RM &amp; SF'!B:H, 2, 0)</f>
        <v>علب ميكرويف مستطيل اسود مفرغة (احادي)*****</v>
      </c>
      <c r="J1558" s="184" t="str">
        <f>VLOOKUP(H1558, 'RM &amp; SF'!B:E, 4, 0)</f>
        <v>قطعة</v>
      </c>
      <c r="K1558" s="12">
        <v>1</v>
      </c>
      <c r="L1558" s="13">
        <f>VLOOKUP(H1558, 'RM &amp; SF'!B:H, 7, 0)</f>
        <v>9.4799999999999995E-2</v>
      </c>
      <c r="M1558" s="7">
        <f t="shared" si="82"/>
        <v>9.4799999999999995E-2</v>
      </c>
      <c r="N1558" s="4" t="s">
        <v>825</v>
      </c>
      <c r="O1558" s="4">
        <f>VLOOKUP(B1558, 'All Menu'!B:L, 6, 0)</f>
        <v>2.5862068965517242</v>
      </c>
      <c r="P1558" s="6">
        <f>VLOOKUP(B1558, 'All Menu'!B:L, 9, 0)</f>
        <v>1.8114892697343898</v>
      </c>
      <c r="Q1558" s="14">
        <f>VLOOKUP(B1558, 'All Menu'!B:M, 12, 0)</f>
        <v>0.2995574823693693</v>
      </c>
      <c r="R1558" s="173">
        <f t="shared" si="84"/>
        <v>0</v>
      </c>
    </row>
    <row r="1559" spans="1:18" ht="14" hidden="1">
      <c r="A1559" s="78" t="s">
        <v>2706</v>
      </c>
      <c r="B1559" s="220" t="s">
        <v>1008</v>
      </c>
      <c r="C1559" s="185"/>
      <c r="D1559" s="103" t="str">
        <f>VLOOKUP(B1559, 'All Menu'!B:M, 4, 0)</f>
        <v>أوزي دجاج</v>
      </c>
      <c r="E1559" s="30" t="str">
        <f>VLOOKUP(B1559, 'All Menu'!B:M, 2, 0)</f>
        <v>قسم اللاين</v>
      </c>
      <c r="F1559" s="103" t="str">
        <f>VLOOKUP(B1559, 'All Menu'!B:M, 3, 0)</f>
        <v>الوجبات اليومية سفري</v>
      </c>
      <c r="G1559" s="90" t="s">
        <v>3058</v>
      </c>
      <c r="H1559" s="188">
        <v>4266</v>
      </c>
      <c r="I1559" s="110" t="str">
        <f>VLOOKUP(H1559, 'RM &amp; SF'!B:H, 2, 0)</f>
        <v>اساور علب وجبات مطبوع 1*50 حبة*****</v>
      </c>
      <c r="J1559" s="184" t="str">
        <f>VLOOKUP(H1559, 'RM &amp; SF'!B:E, 4, 0)</f>
        <v>قطعة</v>
      </c>
      <c r="K1559" s="12">
        <v>1</v>
      </c>
      <c r="L1559" s="13">
        <f>VLOOKUP(H1559, 'RM &amp; SF'!B:H, 7, 0)</f>
        <v>6.3224137931034485E-2</v>
      </c>
      <c r="M1559" s="7">
        <f t="shared" si="82"/>
        <v>6.3224137931034485E-2</v>
      </c>
      <c r="N1559" s="4" t="s">
        <v>825</v>
      </c>
      <c r="O1559" s="4">
        <f>VLOOKUP(B1559, 'All Menu'!B:L, 6, 0)</f>
        <v>2.5862068965517242</v>
      </c>
      <c r="P1559" s="6">
        <f>VLOOKUP(B1559, 'All Menu'!B:L, 9, 0)</f>
        <v>1.8114892697343898</v>
      </c>
      <c r="Q1559" s="14">
        <f>VLOOKUP(B1559, 'All Menu'!B:M, 12, 0)</f>
        <v>0.2995574823693693</v>
      </c>
      <c r="R1559" s="173">
        <f t="shared" si="84"/>
        <v>0</v>
      </c>
    </row>
    <row r="1560" spans="1:18" ht="14" hidden="1">
      <c r="A1560" s="78" t="s">
        <v>2706</v>
      </c>
      <c r="B1560" s="220" t="s">
        <v>1008</v>
      </c>
      <c r="C1560" s="185"/>
      <c r="D1560" s="103" t="str">
        <f>VLOOKUP(B1560, 'All Menu'!B:M, 4, 0)</f>
        <v>أوزي دجاج</v>
      </c>
      <c r="E1560" s="30" t="str">
        <f>VLOOKUP(B1560, 'All Menu'!B:M, 2, 0)</f>
        <v>قسم اللاين</v>
      </c>
      <c r="F1560" s="103" t="str">
        <f>VLOOKUP(B1560, 'All Menu'!B:M, 3, 0)</f>
        <v>الوجبات اليومية سفري</v>
      </c>
      <c r="G1560" s="90" t="s">
        <v>2195</v>
      </c>
      <c r="H1560" s="188">
        <v>4329</v>
      </c>
      <c r="I1560" s="110" t="str">
        <f>VLOOKUP(H1560, 'RM &amp; SF'!B:H, 2, 0)</f>
        <v>ملاعق بلاستيك مع معقم مطبوع 1*500 حبة*****</v>
      </c>
      <c r="J1560" s="184" t="str">
        <f>VLOOKUP(H1560, 'RM &amp; SF'!B:E, 4, 0)</f>
        <v>قطعة</v>
      </c>
      <c r="K1560" s="12">
        <v>1</v>
      </c>
      <c r="L1560" s="13">
        <f>VLOOKUP(H1560, 'RM &amp; SF'!B:H, 7, 0)</f>
        <v>4.7399999999999997E-4</v>
      </c>
      <c r="M1560" s="7">
        <f t="shared" si="82"/>
        <v>4.7399999999999997E-4</v>
      </c>
      <c r="N1560" s="4" t="s">
        <v>825</v>
      </c>
      <c r="O1560" s="4">
        <f>VLOOKUP(B1560, 'All Menu'!B:L, 6, 0)</f>
        <v>2.5862068965517242</v>
      </c>
      <c r="P1560" s="6">
        <f>VLOOKUP(B1560, 'All Menu'!B:L, 9, 0)</f>
        <v>1.8114892697343898</v>
      </c>
      <c r="Q1560" s="14">
        <f>VLOOKUP(B1560, 'All Menu'!B:M, 12, 0)</f>
        <v>0.2995574823693693</v>
      </c>
      <c r="R1560" s="173">
        <f t="shared" si="84"/>
        <v>0</v>
      </c>
    </row>
    <row r="1561" spans="1:18" ht="14" hidden="1">
      <c r="A1561" s="78" t="s">
        <v>2706</v>
      </c>
      <c r="B1561" s="220" t="s">
        <v>1008</v>
      </c>
      <c r="C1561" s="185"/>
      <c r="D1561" s="103" t="str">
        <f>VLOOKUP(B1561, 'All Menu'!B:M, 4, 0)</f>
        <v>أوزي دجاج</v>
      </c>
      <c r="E1561" s="30" t="str">
        <f>VLOOKUP(B1561, 'All Menu'!B:M, 2, 0)</f>
        <v>قسم اللاين</v>
      </c>
      <c r="F1561" s="103" t="str">
        <f>VLOOKUP(B1561, 'All Menu'!B:M, 3, 0)</f>
        <v>الوجبات اليومية سفري</v>
      </c>
      <c r="G1561" s="90" t="s">
        <v>2193</v>
      </c>
      <c r="H1561" s="188">
        <v>4309</v>
      </c>
      <c r="I1561" s="110" t="str">
        <f>VLOOKUP(H1561, 'RM &amp; SF'!B:H, 2, 0)</f>
        <v>اكياس بلاستيك مطبوع 55 سم*****</v>
      </c>
      <c r="J1561" s="184" t="str">
        <f>VLOOKUP(H1561, 'RM &amp; SF'!B:E, 4, 0)</f>
        <v>قطعة</v>
      </c>
      <c r="K1561" s="12">
        <v>1</v>
      </c>
      <c r="L1561" s="13">
        <f>VLOOKUP(H1561, 'RM &amp; SF'!B:H, 7, 0)</f>
        <v>5.5172413793103454E-2</v>
      </c>
      <c r="M1561" s="7">
        <f t="shared" si="82"/>
        <v>5.5172413793103454E-2</v>
      </c>
      <c r="N1561" s="4" t="s">
        <v>825</v>
      </c>
      <c r="O1561" s="4">
        <f>VLOOKUP(B1561, 'All Menu'!B:L, 6, 0)</f>
        <v>2.5862068965517242</v>
      </c>
      <c r="P1561" s="6">
        <f>VLOOKUP(B1561, 'All Menu'!B:L, 9, 0)</f>
        <v>1.8114892697343898</v>
      </c>
      <c r="Q1561" s="14">
        <f>VLOOKUP(B1561, 'All Menu'!B:M, 12, 0)</f>
        <v>0.2995574823693693</v>
      </c>
      <c r="R1561" s="173">
        <f t="shared" si="84"/>
        <v>0</v>
      </c>
    </row>
    <row r="1562" spans="1:18" ht="14" hidden="1">
      <c r="A1562" s="78" t="s">
        <v>2706</v>
      </c>
      <c r="B1562" s="220" t="s">
        <v>1008</v>
      </c>
      <c r="C1562" s="185"/>
      <c r="D1562" s="103" t="str">
        <f>VLOOKUP(B1562, 'All Menu'!B:M, 4, 0)</f>
        <v>أوزي دجاج</v>
      </c>
      <c r="E1562" s="30" t="str">
        <f>VLOOKUP(B1562, 'All Menu'!B:M, 2, 0)</f>
        <v>قسم اللاين</v>
      </c>
      <c r="F1562" s="103" t="str">
        <f>VLOOKUP(B1562, 'All Menu'!B:M, 3, 0)</f>
        <v>الوجبات اليومية سفري</v>
      </c>
      <c r="G1562" s="90" t="s">
        <v>2185</v>
      </c>
      <c r="H1562" s="188">
        <v>4550</v>
      </c>
      <c r="I1562" s="110" t="str">
        <f>VLOOKUP(H1562, 'RM &amp; SF'!B:H, 2, 0)</f>
        <v>*****لبن زبادي 150 غم</v>
      </c>
      <c r="J1562" s="184" t="str">
        <f>VLOOKUP(H1562, 'RM &amp; SF'!B:E, 4, 0)</f>
        <v>قطعة</v>
      </c>
      <c r="K1562" s="12">
        <v>1</v>
      </c>
      <c r="L1562" s="13">
        <f>VLOOKUP(H1562, 'RM &amp; SF'!B:H, 7, 0)</f>
        <v>0.16</v>
      </c>
      <c r="M1562" s="7">
        <f t="shared" si="82"/>
        <v>0.16</v>
      </c>
      <c r="N1562" s="4" t="s">
        <v>825</v>
      </c>
      <c r="O1562" s="4">
        <f>VLOOKUP(B1562, 'All Menu'!B:L, 6, 0)</f>
        <v>2.5862068965517242</v>
      </c>
      <c r="P1562" s="6">
        <f>VLOOKUP(B1562, 'All Menu'!B:L, 9, 0)</f>
        <v>1.8114892697343898</v>
      </c>
      <c r="Q1562" s="14">
        <f>VLOOKUP(B1562, 'All Menu'!B:M, 12, 0)</f>
        <v>0.2995574823693693</v>
      </c>
      <c r="R1562" s="173">
        <f t="shared" si="84"/>
        <v>0</v>
      </c>
    </row>
    <row r="1563" spans="1:18" ht="14" hidden="1">
      <c r="A1563" s="78" t="s">
        <v>2711</v>
      </c>
      <c r="B1563" s="220" t="s">
        <v>1009</v>
      </c>
      <c r="C1563" s="185"/>
      <c r="D1563" s="103" t="str">
        <f>VLOOKUP(B1563, 'All Menu'!B:M, 4, 0)</f>
        <v>بامية</v>
      </c>
      <c r="E1563" s="30" t="str">
        <f>VLOOKUP(B1563, 'All Menu'!B:M, 2, 0)</f>
        <v>قسم اللاين</v>
      </c>
      <c r="F1563" s="103" t="str">
        <f>VLOOKUP(B1563, 'All Menu'!B:M, 3, 0)</f>
        <v>الوجبات اليومية سفري</v>
      </c>
      <c r="G1563" s="90" t="s">
        <v>2342</v>
      </c>
      <c r="H1563" s="219" t="s">
        <v>708</v>
      </c>
      <c r="I1563" s="110" t="str">
        <f>VLOOKUP(H1563, 'RM &amp; SF'!B:H, 2, 0)</f>
        <v>ارز بشعيرية</v>
      </c>
      <c r="J1563" s="184" t="str">
        <f>VLOOKUP(H1563, 'RM &amp; SF'!B:E, 4, 0)</f>
        <v>غم</v>
      </c>
      <c r="K1563" s="12">
        <v>500</v>
      </c>
      <c r="L1563" s="13">
        <f>VLOOKUP(H1563, 'RM &amp; SF'!B:H, 7, 0)</f>
        <v>3.3269616161616159E-4</v>
      </c>
      <c r="M1563" s="7">
        <f t="shared" si="82"/>
        <v>0.16634808080808081</v>
      </c>
      <c r="N1563" s="4" t="s">
        <v>825</v>
      </c>
      <c r="O1563" s="4">
        <f>VLOOKUP(B1563, 'All Menu'!B:L, 6, 0)</f>
        <v>3.4482758620689657</v>
      </c>
      <c r="P1563" s="6">
        <f>VLOOKUP(B1563, 'All Menu'!B:L, 9, 0)</f>
        <v>1.8122227068343535</v>
      </c>
      <c r="Q1563" s="14">
        <f>VLOOKUP(B1563, 'All Menu'!B:M, 12, 0)</f>
        <v>0.47445541501803751</v>
      </c>
      <c r="R1563" s="173">
        <f t="shared" si="84"/>
        <v>0</v>
      </c>
    </row>
    <row r="1564" spans="1:18" ht="14" hidden="1">
      <c r="A1564" s="78" t="s">
        <v>2711</v>
      </c>
      <c r="B1564" s="220" t="s">
        <v>1009</v>
      </c>
      <c r="C1564" s="185"/>
      <c r="D1564" s="103" t="str">
        <f>VLOOKUP(B1564, 'All Menu'!B:M, 4, 0)</f>
        <v>بامية</v>
      </c>
      <c r="E1564" s="30" t="str">
        <f>VLOOKUP(B1564, 'All Menu'!B:M, 2, 0)</f>
        <v>قسم اللاين</v>
      </c>
      <c r="F1564" s="103" t="str">
        <f>VLOOKUP(B1564, 'All Menu'!B:M, 3, 0)</f>
        <v>الوجبات اليومية سفري</v>
      </c>
      <c r="G1564" s="90" t="s">
        <v>2402</v>
      </c>
      <c r="H1564" s="219" t="s">
        <v>600</v>
      </c>
      <c r="I1564" s="110" t="str">
        <f>VLOOKUP(H1564, 'RM &amp; SF'!B:H, 2, 0)</f>
        <v xml:space="preserve">بامية </v>
      </c>
      <c r="J1564" s="184" t="str">
        <f>VLOOKUP(H1564, 'RM &amp; SF'!B:E, 4, 0)</f>
        <v>غم</v>
      </c>
      <c r="K1564" s="12">
        <v>500</v>
      </c>
      <c r="L1564" s="13">
        <f>VLOOKUP(H1564, 'RM &amp; SF'!B:H, 7, 0)</f>
        <v>2.9747529761904759E-3</v>
      </c>
      <c r="M1564" s="7">
        <f t="shared" si="82"/>
        <v>1.487376488095238</v>
      </c>
      <c r="N1564" s="4" t="s">
        <v>825</v>
      </c>
      <c r="O1564" s="4">
        <f>VLOOKUP(B1564, 'All Menu'!B:L, 6, 0)</f>
        <v>3.4482758620689657</v>
      </c>
      <c r="P1564" s="6">
        <f>VLOOKUP(B1564, 'All Menu'!B:L, 9, 0)</f>
        <v>1.8122227068343535</v>
      </c>
      <c r="Q1564" s="14">
        <f>VLOOKUP(B1564, 'All Menu'!B:M, 12, 0)</f>
        <v>0.47445541501803751</v>
      </c>
      <c r="R1564" s="173">
        <f t="shared" si="84"/>
        <v>0</v>
      </c>
    </row>
    <row r="1565" spans="1:18" ht="14" hidden="1">
      <c r="A1565" s="78" t="s">
        <v>2711</v>
      </c>
      <c r="B1565" s="220" t="s">
        <v>1009</v>
      </c>
      <c r="C1565" s="185"/>
      <c r="D1565" s="103" t="str">
        <f>VLOOKUP(B1565, 'All Menu'!B:M, 4, 0)</f>
        <v>بامية</v>
      </c>
      <c r="E1565" s="30" t="str">
        <f>VLOOKUP(B1565, 'All Menu'!B:M, 2, 0)</f>
        <v>قسم اللاين</v>
      </c>
      <c r="F1565" s="103" t="str">
        <f>VLOOKUP(B1565, 'All Menu'!B:M, 3, 0)</f>
        <v>الوجبات اليومية سفري</v>
      </c>
      <c r="G1565" s="90" t="s">
        <v>2190</v>
      </c>
      <c r="H1565" s="188">
        <v>4279</v>
      </c>
      <c r="I1565" s="110" t="str">
        <f>VLOOKUP(H1565, 'RM &amp; SF'!B:H, 2, 0)</f>
        <v>علب ميكرويف مستطيل اسود مفرغة (احادي)*****</v>
      </c>
      <c r="J1565" s="184" t="str">
        <f>VLOOKUP(H1565, 'RM &amp; SF'!B:E, 4, 0)</f>
        <v>قطعة</v>
      </c>
      <c r="K1565" s="12">
        <v>1</v>
      </c>
      <c r="L1565" s="13">
        <f>VLOOKUP(H1565, 'RM &amp; SF'!B:H, 7, 0)</f>
        <v>9.4799999999999995E-2</v>
      </c>
      <c r="M1565" s="7">
        <f t="shared" si="82"/>
        <v>9.4799999999999995E-2</v>
      </c>
      <c r="N1565" s="4" t="s">
        <v>825</v>
      </c>
      <c r="O1565" s="4">
        <f>VLOOKUP(B1565, 'All Menu'!B:L, 6, 0)</f>
        <v>3.4482758620689657</v>
      </c>
      <c r="P1565" s="6">
        <f>VLOOKUP(B1565, 'All Menu'!B:L, 9, 0)</f>
        <v>1.8122227068343535</v>
      </c>
      <c r="Q1565" s="14">
        <f>VLOOKUP(B1565, 'All Menu'!B:M, 12, 0)</f>
        <v>0.47445541501803751</v>
      </c>
      <c r="R1565" s="173">
        <f t="shared" si="84"/>
        <v>0</v>
      </c>
    </row>
    <row r="1566" spans="1:18" ht="14" hidden="1">
      <c r="A1566" s="78" t="s">
        <v>2711</v>
      </c>
      <c r="B1566" s="220" t="s">
        <v>1009</v>
      </c>
      <c r="C1566" s="185"/>
      <c r="D1566" s="103" t="str">
        <f>VLOOKUP(B1566, 'All Menu'!B:M, 4, 0)</f>
        <v>بامية</v>
      </c>
      <c r="E1566" s="30" t="str">
        <f>VLOOKUP(B1566, 'All Menu'!B:M, 2, 0)</f>
        <v>قسم اللاين</v>
      </c>
      <c r="F1566" s="103" t="str">
        <f>VLOOKUP(B1566, 'All Menu'!B:M, 3, 0)</f>
        <v>الوجبات اليومية سفري</v>
      </c>
      <c r="G1566" s="90" t="s">
        <v>3058</v>
      </c>
      <c r="H1566" s="188">
        <v>4266</v>
      </c>
      <c r="I1566" s="110" t="str">
        <f>VLOOKUP(H1566, 'RM &amp; SF'!B:H, 2, 0)</f>
        <v>اساور علب وجبات مطبوع 1*50 حبة*****</v>
      </c>
      <c r="J1566" s="184" t="str">
        <f>VLOOKUP(H1566, 'RM &amp; SF'!B:E, 4, 0)</f>
        <v>قطعة</v>
      </c>
      <c r="K1566" s="12">
        <v>1</v>
      </c>
      <c r="L1566" s="13">
        <f>VLOOKUP(H1566, 'RM &amp; SF'!B:H, 7, 0)</f>
        <v>6.3224137931034485E-2</v>
      </c>
      <c r="M1566" s="7">
        <f t="shared" si="82"/>
        <v>6.3224137931034485E-2</v>
      </c>
      <c r="N1566" s="4" t="s">
        <v>825</v>
      </c>
      <c r="O1566" s="4">
        <f>VLOOKUP(B1566, 'All Menu'!B:L, 6, 0)</f>
        <v>3.4482758620689657</v>
      </c>
      <c r="P1566" s="6">
        <f>VLOOKUP(B1566, 'All Menu'!B:L, 9, 0)</f>
        <v>1.8122227068343535</v>
      </c>
      <c r="Q1566" s="14">
        <f>VLOOKUP(B1566, 'All Menu'!B:M, 12, 0)</f>
        <v>0.47445541501803751</v>
      </c>
      <c r="R1566" s="173">
        <f t="shared" si="84"/>
        <v>0</v>
      </c>
    </row>
    <row r="1567" spans="1:18" ht="14" hidden="1">
      <c r="A1567" s="78" t="s">
        <v>2711</v>
      </c>
      <c r="B1567" s="220" t="s">
        <v>1009</v>
      </c>
      <c r="C1567" s="185"/>
      <c r="D1567" s="103" t="str">
        <f>VLOOKUP(B1567, 'All Menu'!B:M, 4, 0)</f>
        <v>بامية</v>
      </c>
      <c r="E1567" s="30" t="str">
        <f>VLOOKUP(B1567, 'All Menu'!B:M, 2, 0)</f>
        <v>قسم اللاين</v>
      </c>
      <c r="F1567" s="103" t="str">
        <f>VLOOKUP(B1567, 'All Menu'!B:M, 3, 0)</f>
        <v>الوجبات اليومية سفري</v>
      </c>
      <c r="G1567" s="90" t="s">
        <v>2195</v>
      </c>
      <c r="H1567" s="188">
        <v>4329</v>
      </c>
      <c r="I1567" s="110" t="str">
        <f>VLOOKUP(H1567, 'RM &amp; SF'!B:H, 2, 0)</f>
        <v>ملاعق بلاستيك مع معقم مطبوع 1*500 حبة*****</v>
      </c>
      <c r="J1567" s="184" t="str">
        <f>VLOOKUP(H1567, 'RM &amp; SF'!B:E, 4, 0)</f>
        <v>قطعة</v>
      </c>
      <c r="K1567" s="12">
        <v>1</v>
      </c>
      <c r="L1567" s="13">
        <f>VLOOKUP(H1567, 'RM &amp; SF'!B:H, 7, 0)</f>
        <v>4.7399999999999997E-4</v>
      </c>
      <c r="M1567" s="7">
        <f t="shared" si="82"/>
        <v>4.7399999999999997E-4</v>
      </c>
      <c r="N1567" s="4" t="s">
        <v>825</v>
      </c>
      <c r="O1567" s="4">
        <f>VLOOKUP(B1567, 'All Menu'!B:L, 6, 0)</f>
        <v>3.4482758620689657</v>
      </c>
      <c r="P1567" s="6">
        <f>VLOOKUP(B1567, 'All Menu'!B:L, 9, 0)</f>
        <v>1.8122227068343535</v>
      </c>
      <c r="Q1567" s="14">
        <f>VLOOKUP(B1567, 'All Menu'!B:M, 12, 0)</f>
        <v>0.47445541501803751</v>
      </c>
      <c r="R1567" s="173">
        <f t="shared" si="84"/>
        <v>0</v>
      </c>
    </row>
    <row r="1568" spans="1:18" ht="14" hidden="1">
      <c r="A1568" s="78" t="s">
        <v>2699</v>
      </c>
      <c r="B1568" s="220" t="s">
        <v>1014</v>
      </c>
      <c r="C1568" s="185"/>
      <c r="D1568" s="103" t="str">
        <f>VLOOKUP(B1568, 'All Menu'!B:M, 4, 0)</f>
        <v>كوسا بلبن</v>
      </c>
      <c r="E1568" s="30" t="str">
        <f>VLOOKUP(B1568, 'All Menu'!B:M, 2, 0)</f>
        <v>قسم اللاين</v>
      </c>
      <c r="F1568" s="103" t="str">
        <f>VLOOKUP(B1568, 'All Menu'!B:M, 3, 0)</f>
        <v>الوجبات اليومية سفري</v>
      </c>
      <c r="G1568" s="90" t="s">
        <v>2390</v>
      </c>
      <c r="H1568" s="219" t="s">
        <v>548</v>
      </c>
      <c r="I1568" s="110" t="str">
        <f>VLOOKUP(H1568, 'RM &amp; SF'!B:H, 2, 0)</f>
        <v>رز ابيض</v>
      </c>
      <c r="J1568" s="184" t="str">
        <f>VLOOKUP(H1568, 'RM &amp; SF'!B:E, 4, 0)</f>
        <v>غم</v>
      </c>
      <c r="K1568" s="12">
        <v>500</v>
      </c>
      <c r="L1568" s="13">
        <f>VLOOKUP(H1568, 'RM &amp; SF'!B:H, 7, 0)</f>
        <v>4.1596433333333332E-4</v>
      </c>
      <c r="M1568" s="7">
        <f t="shared" ref="M1568:M1631" si="85">L1568*K1568</f>
        <v>0.20798216666666666</v>
      </c>
      <c r="N1568" s="4" t="s">
        <v>825</v>
      </c>
      <c r="O1568" s="4">
        <f>VLOOKUP(B1568, 'All Menu'!B:L, 6, 0)</f>
        <v>3.4482758620689657</v>
      </c>
      <c r="P1568" s="6">
        <f>VLOOKUP(B1568, 'All Menu'!B:L, 9, 0)</f>
        <v>2.1404005324521074</v>
      </c>
      <c r="Q1568" s="14">
        <f>VLOOKUP(B1568, 'All Menu'!B:M, 12, 0)</f>
        <v>0.37928384558888889</v>
      </c>
      <c r="R1568" s="173">
        <f t="shared" si="84"/>
        <v>0</v>
      </c>
    </row>
    <row r="1569" spans="1:18" ht="14" hidden="1">
      <c r="A1569" s="78" t="s">
        <v>2699</v>
      </c>
      <c r="B1569" s="220" t="s">
        <v>1014</v>
      </c>
      <c r="C1569" s="185"/>
      <c r="D1569" s="103" t="str">
        <f>VLOOKUP(B1569, 'All Menu'!B:M, 4, 0)</f>
        <v>كوسا بلبن</v>
      </c>
      <c r="E1569" s="30" t="str">
        <f>VLOOKUP(B1569, 'All Menu'!B:M, 2, 0)</f>
        <v>قسم اللاين</v>
      </c>
      <c r="F1569" s="103" t="str">
        <f>VLOOKUP(B1569, 'All Menu'!B:M, 3, 0)</f>
        <v>الوجبات اليومية سفري</v>
      </c>
      <c r="G1569" s="90" t="s">
        <v>2411</v>
      </c>
      <c r="H1569" s="219" t="s">
        <v>606</v>
      </c>
      <c r="I1569" s="110" t="str">
        <f>VLOOKUP(H1569, 'RM &amp; SF'!B:H, 2, 0)</f>
        <v>كوسا مخشي</v>
      </c>
      <c r="J1569" s="184" t="str">
        <f>VLOOKUP(H1569, 'RM &amp; SF'!B:E, 4, 0)</f>
        <v>قطعة</v>
      </c>
      <c r="K1569" s="12">
        <v>4</v>
      </c>
      <c r="L1569" s="13">
        <f>VLOOKUP(H1569, 'RM &amp; SF'!B:H, 7, 0)</f>
        <v>0.33828979999999997</v>
      </c>
      <c r="M1569" s="7">
        <f t="shared" si="85"/>
        <v>1.3531591999999999</v>
      </c>
      <c r="N1569" s="4" t="s">
        <v>825</v>
      </c>
      <c r="O1569" s="4">
        <f>VLOOKUP(B1569, 'All Menu'!B:L, 6, 0)</f>
        <v>3.4482758620689657</v>
      </c>
      <c r="P1569" s="6">
        <f>VLOOKUP(B1569, 'All Menu'!B:L, 9, 0)</f>
        <v>2.1404005324521074</v>
      </c>
      <c r="Q1569" s="14">
        <f>VLOOKUP(B1569, 'All Menu'!B:M, 12, 0)</f>
        <v>0.37928384558888889</v>
      </c>
      <c r="R1569" s="173">
        <f t="shared" si="84"/>
        <v>0</v>
      </c>
    </row>
    <row r="1570" spans="1:18" ht="14" hidden="1">
      <c r="A1570" s="78" t="s">
        <v>2699</v>
      </c>
      <c r="B1570" s="220" t="s">
        <v>1014</v>
      </c>
      <c r="C1570" s="185"/>
      <c r="D1570" s="103" t="str">
        <f>VLOOKUP(B1570, 'All Menu'!B:M, 4, 0)</f>
        <v>كوسا بلبن</v>
      </c>
      <c r="E1570" s="30" t="str">
        <f>VLOOKUP(B1570, 'All Menu'!B:M, 2, 0)</f>
        <v>قسم اللاين</v>
      </c>
      <c r="F1570" s="103" t="str">
        <f>VLOOKUP(B1570, 'All Menu'!B:M, 3, 0)</f>
        <v>الوجبات اليومية سفري</v>
      </c>
      <c r="G1570" s="90" t="s">
        <v>2394</v>
      </c>
      <c r="H1570" s="219" t="s">
        <v>588</v>
      </c>
      <c r="I1570" s="110" t="str">
        <f>VLOOKUP(H1570, 'RM &amp; SF'!B:H, 2, 0)</f>
        <v xml:space="preserve">لبن الكبة </v>
      </c>
      <c r="J1570" s="184" t="str">
        <f>VLOOKUP(H1570, 'RM &amp; SF'!B:E, 4, 0)</f>
        <v>غم</v>
      </c>
      <c r="K1570" s="12">
        <v>200</v>
      </c>
      <c r="L1570" s="13">
        <f>VLOOKUP(H1570, 'RM &amp; SF'!B:H, 7, 0)</f>
        <v>7.294197944444444E-4</v>
      </c>
      <c r="M1570" s="7">
        <f t="shared" si="85"/>
        <v>0.14588395888888889</v>
      </c>
      <c r="N1570" s="4" t="s">
        <v>825</v>
      </c>
      <c r="O1570" s="4">
        <f>VLOOKUP(B1570, 'All Menu'!B:L, 6, 0)</f>
        <v>3.4482758620689657</v>
      </c>
      <c r="P1570" s="6">
        <f>VLOOKUP(B1570, 'All Menu'!B:L, 9, 0)</f>
        <v>2.1404005324521074</v>
      </c>
      <c r="Q1570" s="14">
        <f>VLOOKUP(B1570, 'All Menu'!B:M, 12, 0)</f>
        <v>0.37928384558888889</v>
      </c>
      <c r="R1570" s="173">
        <f t="shared" si="84"/>
        <v>0</v>
      </c>
    </row>
    <row r="1571" spans="1:18" ht="14" hidden="1">
      <c r="A1571" s="78" t="s">
        <v>2699</v>
      </c>
      <c r="B1571" s="220" t="s">
        <v>1014</v>
      </c>
      <c r="C1571" s="185"/>
      <c r="D1571" s="103" t="str">
        <f>VLOOKUP(B1571, 'All Menu'!B:M, 4, 0)</f>
        <v>كوسا بلبن</v>
      </c>
      <c r="E1571" s="30" t="str">
        <f>VLOOKUP(B1571, 'All Menu'!B:M, 2, 0)</f>
        <v>قسم اللاين</v>
      </c>
      <c r="F1571" s="103" t="str">
        <f>VLOOKUP(B1571, 'All Menu'!B:M, 3, 0)</f>
        <v>الوجبات اليومية سفري</v>
      </c>
      <c r="G1571" s="90" t="s">
        <v>2341</v>
      </c>
      <c r="H1571" s="219" t="s">
        <v>706</v>
      </c>
      <c r="I1571" s="110" t="str">
        <f>VLOOKUP(H1571, 'RM &amp; SF'!B:H, 2, 0)</f>
        <v>لوز مقلي</v>
      </c>
      <c r="J1571" s="184" t="str">
        <f>VLOOKUP(H1571, 'RM &amp; SF'!B:E, 4, 0)</f>
        <v>غم</v>
      </c>
      <c r="K1571" s="12">
        <v>20</v>
      </c>
      <c r="L1571" s="13">
        <f>VLOOKUP(H1571, 'RM &amp; SF'!B:H, 7, 0)</f>
        <v>4.1352327586206888E-3</v>
      </c>
      <c r="M1571" s="7">
        <f t="shared" si="85"/>
        <v>8.270465517241378E-2</v>
      </c>
      <c r="N1571" s="4" t="s">
        <v>825</v>
      </c>
      <c r="O1571" s="4">
        <f>VLOOKUP(B1571, 'All Menu'!B:L, 6, 0)</f>
        <v>3.4482758620689657</v>
      </c>
      <c r="P1571" s="6">
        <f>VLOOKUP(B1571, 'All Menu'!B:L, 9, 0)</f>
        <v>2.1404005324521074</v>
      </c>
      <c r="Q1571" s="14">
        <f>VLOOKUP(B1571, 'All Menu'!B:M, 12, 0)</f>
        <v>0.37928384558888889</v>
      </c>
      <c r="R1571" s="173">
        <f t="shared" si="84"/>
        <v>0</v>
      </c>
    </row>
    <row r="1572" spans="1:18" ht="14" hidden="1">
      <c r="A1572" s="78" t="s">
        <v>2699</v>
      </c>
      <c r="B1572" s="220" t="s">
        <v>1014</v>
      </c>
      <c r="C1572" s="185"/>
      <c r="D1572" s="103" t="str">
        <f>VLOOKUP(B1572, 'All Menu'!B:M, 4, 0)</f>
        <v>كوسا بلبن</v>
      </c>
      <c r="E1572" s="30" t="str">
        <f>VLOOKUP(B1572, 'All Menu'!B:M, 2, 0)</f>
        <v>قسم اللاين</v>
      </c>
      <c r="F1572" s="103" t="str">
        <f>VLOOKUP(B1572, 'All Menu'!B:M, 3, 0)</f>
        <v>الوجبات اليومية سفري</v>
      </c>
      <c r="G1572" s="90" t="s">
        <v>3058</v>
      </c>
      <c r="H1572" s="188">
        <v>4289</v>
      </c>
      <c r="I1572" s="110" t="str">
        <f>VLOOKUP(H1572, 'RM &amp; SF'!B:H, 2, 0)</f>
        <v>علب صوص دائري منفصل أسود 30 مل 1*100 حبة*****</v>
      </c>
      <c r="J1572" s="184" t="str">
        <f>VLOOKUP(H1572, 'RM &amp; SF'!B:E, 4, 0)</f>
        <v>قطعة</v>
      </c>
      <c r="K1572" s="12">
        <v>1</v>
      </c>
      <c r="L1572" s="13">
        <f>VLOOKUP(H1572, 'RM &amp; SF'!B:H, 7, 0)</f>
        <v>1.2E-2</v>
      </c>
      <c r="M1572" s="7">
        <f t="shared" si="85"/>
        <v>1.2E-2</v>
      </c>
      <c r="N1572" s="4" t="s">
        <v>825</v>
      </c>
      <c r="O1572" s="4">
        <f>VLOOKUP(B1572, 'All Menu'!B:L, 6, 0)</f>
        <v>3.4482758620689657</v>
      </c>
      <c r="P1572" s="6">
        <f>VLOOKUP(B1572, 'All Menu'!B:L, 9, 0)</f>
        <v>2.1404005324521074</v>
      </c>
      <c r="Q1572" s="14">
        <f>VLOOKUP(B1572, 'All Menu'!B:M, 12, 0)</f>
        <v>0.37928384558888889</v>
      </c>
      <c r="R1572" s="173">
        <f t="shared" si="84"/>
        <v>0</v>
      </c>
    </row>
    <row r="1573" spans="1:18" ht="14" hidden="1">
      <c r="A1573" s="78" t="s">
        <v>2699</v>
      </c>
      <c r="B1573" s="220" t="s">
        <v>1014</v>
      </c>
      <c r="C1573" s="185"/>
      <c r="D1573" s="103" t="str">
        <f>VLOOKUP(B1573, 'All Menu'!B:M, 4, 0)</f>
        <v>كوسا بلبن</v>
      </c>
      <c r="E1573" s="30" t="str">
        <f>VLOOKUP(B1573, 'All Menu'!B:M, 2, 0)</f>
        <v>قسم اللاين</v>
      </c>
      <c r="F1573" s="103" t="str">
        <f>VLOOKUP(B1573, 'All Menu'!B:M, 3, 0)</f>
        <v>الوجبات اليومية سفري</v>
      </c>
      <c r="G1573" s="90" t="s">
        <v>2190</v>
      </c>
      <c r="H1573" s="188">
        <v>4279</v>
      </c>
      <c r="I1573" s="110" t="str">
        <f>VLOOKUP(H1573, 'RM &amp; SF'!B:H, 2, 0)</f>
        <v>علب ميكرويف مستطيل اسود مفرغة (احادي)*****</v>
      </c>
      <c r="J1573" s="184" t="str">
        <f>VLOOKUP(H1573, 'RM &amp; SF'!B:E, 4, 0)</f>
        <v>قطعة</v>
      </c>
      <c r="K1573" s="12">
        <v>1</v>
      </c>
      <c r="L1573" s="13">
        <f>VLOOKUP(H1573, 'RM &amp; SF'!B:H, 7, 0)</f>
        <v>9.4799999999999995E-2</v>
      </c>
      <c r="M1573" s="7">
        <f t="shared" si="85"/>
        <v>9.4799999999999995E-2</v>
      </c>
      <c r="N1573" s="4" t="s">
        <v>825</v>
      </c>
      <c r="O1573" s="4">
        <f>VLOOKUP(B1573, 'All Menu'!B:L, 6, 0)</f>
        <v>3.4482758620689657</v>
      </c>
      <c r="P1573" s="6">
        <f>VLOOKUP(B1573, 'All Menu'!B:L, 9, 0)</f>
        <v>2.1404005324521074</v>
      </c>
      <c r="Q1573" s="14">
        <f>VLOOKUP(B1573, 'All Menu'!B:M, 12, 0)</f>
        <v>0.37928384558888889</v>
      </c>
      <c r="R1573" s="173">
        <f t="shared" si="84"/>
        <v>0</v>
      </c>
    </row>
    <row r="1574" spans="1:18" ht="14" hidden="1">
      <c r="A1574" s="78" t="s">
        <v>2699</v>
      </c>
      <c r="B1574" s="220" t="s">
        <v>1014</v>
      </c>
      <c r="C1574" s="185"/>
      <c r="D1574" s="103" t="str">
        <f>VLOOKUP(B1574, 'All Menu'!B:M, 4, 0)</f>
        <v>كوسا بلبن</v>
      </c>
      <c r="E1574" s="30" t="str">
        <f>VLOOKUP(B1574, 'All Menu'!B:M, 2, 0)</f>
        <v>قسم اللاين</v>
      </c>
      <c r="F1574" s="103" t="str">
        <f>VLOOKUP(B1574, 'All Menu'!B:M, 3, 0)</f>
        <v>الوجبات اليومية سفري</v>
      </c>
      <c r="G1574" s="90" t="s">
        <v>3058</v>
      </c>
      <c r="H1574" s="188">
        <v>4266</v>
      </c>
      <c r="I1574" s="110" t="str">
        <f>VLOOKUP(H1574, 'RM &amp; SF'!B:H, 2, 0)</f>
        <v>اساور علب وجبات مطبوع 1*50 حبة*****</v>
      </c>
      <c r="J1574" s="184" t="str">
        <f>VLOOKUP(H1574, 'RM &amp; SF'!B:E, 4, 0)</f>
        <v>قطعة</v>
      </c>
      <c r="K1574" s="12">
        <v>1</v>
      </c>
      <c r="L1574" s="13">
        <f>VLOOKUP(H1574, 'RM &amp; SF'!B:H, 7, 0)</f>
        <v>6.3224137931034485E-2</v>
      </c>
      <c r="M1574" s="7">
        <f t="shared" si="85"/>
        <v>6.3224137931034485E-2</v>
      </c>
      <c r="N1574" s="4" t="s">
        <v>825</v>
      </c>
      <c r="O1574" s="4">
        <f>VLOOKUP(B1574, 'All Menu'!B:L, 6, 0)</f>
        <v>3.4482758620689657</v>
      </c>
      <c r="P1574" s="6">
        <f>VLOOKUP(B1574, 'All Menu'!B:L, 9, 0)</f>
        <v>2.1404005324521074</v>
      </c>
      <c r="Q1574" s="14">
        <f>VLOOKUP(B1574, 'All Menu'!B:M, 12, 0)</f>
        <v>0.37928384558888889</v>
      </c>
      <c r="R1574" s="173">
        <f t="shared" si="84"/>
        <v>0</v>
      </c>
    </row>
    <row r="1575" spans="1:18" ht="14" hidden="1">
      <c r="A1575" s="78" t="s">
        <v>2699</v>
      </c>
      <c r="B1575" s="220" t="s">
        <v>1014</v>
      </c>
      <c r="C1575" s="185"/>
      <c r="D1575" s="103" t="str">
        <f>VLOOKUP(B1575, 'All Menu'!B:M, 4, 0)</f>
        <v>كوسا بلبن</v>
      </c>
      <c r="E1575" s="30" t="str">
        <f>VLOOKUP(B1575, 'All Menu'!B:M, 2, 0)</f>
        <v>قسم اللاين</v>
      </c>
      <c r="F1575" s="103" t="str">
        <f>VLOOKUP(B1575, 'All Menu'!B:M, 3, 0)</f>
        <v>الوجبات اليومية سفري</v>
      </c>
      <c r="G1575" s="90" t="s">
        <v>3058</v>
      </c>
      <c r="H1575" s="188">
        <v>4280</v>
      </c>
      <c r="I1575" s="110" t="str">
        <f>VLOOKUP(H1575, 'RM &amp; SF'!B:H, 2, 0)</f>
        <v>علب ميكرويف مدورة اسود 500 مل RC2*****</v>
      </c>
      <c r="J1575" s="184" t="str">
        <f>VLOOKUP(H1575, 'RM &amp; SF'!B:E, 4, 0)</f>
        <v>قطعة</v>
      </c>
      <c r="K1575" s="12">
        <v>1</v>
      </c>
      <c r="L1575" s="13">
        <f>VLOOKUP(H1575, 'RM &amp; SF'!B:H, 7, 0)</f>
        <v>0.125</v>
      </c>
      <c r="M1575" s="7">
        <f t="shared" si="85"/>
        <v>0.125</v>
      </c>
      <c r="N1575" s="4" t="s">
        <v>825</v>
      </c>
      <c r="O1575" s="4">
        <f>VLOOKUP(B1575, 'All Menu'!B:L, 6, 0)</f>
        <v>3.4482758620689657</v>
      </c>
      <c r="P1575" s="6">
        <f>VLOOKUP(B1575, 'All Menu'!B:L, 9, 0)</f>
        <v>2.1404005324521074</v>
      </c>
      <c r="Q1575" s="14">
        <f>VLOOKUP(B1575, 'All Menu'!B:M, 12, 0)</f>
        <v>0.37928384558888889</v>
      </c>
      <c r="R1575" s="173">
        <f t="shared" si="84"/>
        <v>0</v>
      </c>
    </row>
    <row r="1576" spans="1:18" ht="14" hidden="1">
      <c r="A1576" s="78" t="s">
        <v>2699</v>
      </c>
      <c r="B1576" s="220" t="s">
        <v>1014</v>
      </c>
      <c r="C1576" s="185"/>
      <c r="D1576" s="103" t="str">
        <f>VLOOKUP(B1576, 'All Menu'!B:M, 4, 0)</f>
        <v>كوسا بلبن</v>
      </c>
      <c r="E1576" s="30" t="str">
        <f>VLOOKUP(B1576, 'All Menu'!B:M, 2, 0)</f>
        <v>قسم اللاين</v>
      </c>
      <c r="F1576" s="103" t="str">
        <f>VLOOKUP(B1576, 'All Menu'!B:M, 3, 0)</f>
        <v>الوجبات اليومية سفري</v>
      </c>
      <c r="G1576" s="90" t="s">
        <v>2195</v>
      </c>
      <c r="H1576" s="188">
        <v>4329</v>
      </c>
      <c r="I1576" s="110" t="str">
        <f>VLOOKUP(H1576, 'RM &amp; SF'!B:H, 2, 0)</f>
        <v>ملاعق بلاستيك مع معقم مطبوع 1*500 حبة*****</v>
      </c>
      <c r="J1576" s="184" t="str">
        <f>VLOOKUP(H1576, 'RM &amp; SF'!B:E, 4, 0)</f>
        <v>قطعة</v>
      </c>
      <c r="K1576" s="12">
        <v>1</v>
      </c>
      <c r="L1576" s="13">
        <f>VLOOKUP(H1576, 'RM &amp; SF'!B:H, 7, 0)</f>
        <v>4.7399999999999997E-4</v>
      </c>
      <c r="M1576" s="7">
        <f t="shared" si="85"/>
        <v>4.7399999999999997E-4</v>
      </c>
      <c r="N1576" s="4" t="s">
        <v>825</v>
      </c>
      <c r="O1576" s="4">
        <f>VLOOKUP(B1576, 'All Menu'!B:L, 6, 0)</f>
        <v>3.4482758620689657</v>
      </c>
      <c r="P1576" s="6">
        <f>VLOOKUP(B1576, 'All Menu'!B:L, 9, 0)</f>
        <v>2.1404005324521074</v>
      </c>
      <c r="Q1576" s="14">
        <f>VLOOKUP(B1576, 'All Menu'!B:M, 12, 0)</f>
        <v>0.37928384558888889</v>
      </c>
      <c r="R1576" s="173">
        <f t="shared" si="84"/>
        <v>0</v>
      </c>
    </row>
    <row r="1577" spans="1:18" ht="14" hidden="1">
      <c r="A1577" s="78" t="s">
        <v>2699</v>
      </c>
      <c r="B1577" s="220" t="s">
        <v>1014</v>
      </c>
      <c r="C1577" s="185"/>
      <c r="D1577" s="103" t="str">
        <f>VLOOKUP(B1577, 'All Menu'!B:M, 4, 0)</f>
        <v>كوسا بلبن</v>
      </c>
      <c r="E1577" s="30" t="str">
        <f>VLOOKUP(B1577, 'All Menu'!B:M, 2, 0)</f>
        <v>قسم اللاين</v>
      </c>
      <c r="F1577" s="103" t="str">
        <f>VLOOKUP(B1577, 'All Menu'!B:M, 3, 0)</f>
        <v>الوجبات اليومية سفري</v>
      </c>
      <c r="G1577" s="90" t="s">
        <v>2193</v>
      </c>
      <c r="H1577" s="188">
        <v>4309</v>
      </c>
      <c r="I1577" s="110" t="str">
        <f>VLOOKUP(H1577, 'RM &amp; SF'!B:H, 2, 0)</f>
        <v>اكياس بلاستيك مطبوع 55 سم*****</v>
      </c>
      <c r="J1577" s="184" t="str">
        <f>VLOOKUP(H1577, 'RM &amp; SF'!B:E, 4, 0)</f>
        <v>قطعة</v>
      </c>
      <c r="K1577" s="12">
        <v>1</v>
      </c>
      <c r="L1577" s="13">
        <f>VLOOKUP(H1577, 'RM &amp; SF'!B:H, 7, 0)</f>
        <v>5.5172413793103454E-2</v>
      </c>
      <c r="M1577" s="7">
        <f t="shared" si="85"/>
        <v>5.5172413793103454E-2</v>
      </c>
      <c r="N1577" s="4" t="s">
        <v>825</v>
      </c>
      <c r="O1577" s="4">
        <f>VLOOKUP(B1577, 'All Menu'!B:L, 6, 0)</f>
        <v>3.4482758620689657</v>
      </c>
      <c r="P1577" s="6">
        <f>VLOOKUP(B1577, 'All Menu'!B:L, 9, 0)</f>
        <v>2.1404005324521074</v>
      </c>
      <c r="Q1577" s="14">
        <f>VLOOKUP(B1577, 'All Menu'!B:M, 12, 0)</f>
        <v>0.37928384558888889</v>
      </c>
      <c r="R1577" s="173">
        <f t="shared" si="84"/>
        <v>0</v>
      </c>
    </row>
    <row r="1578" spans="1:18" ht="14" hidden="1">
      <c r="A1578" s="78" t="s">
        <v>2718</v>
      </c>
      <c r="B1578" s="220" t="s">
        <v>1022</v>
      </c>
      <c r="C1578" s="185"/>
      <c r="D1578" s="103" t="str">
        <f>VLOOKUP(B1578, 'All Menu'!B:M, 4, 0)</f>
        <v>صحن رز ابيض</v>
      </c>
      <c r="E1578" s="30" t="str">
        <f>VLOOKUP(B1578, 'All Menu'!B:M, 2, 0)</f>
        <v>قسم اللاين</v>
      </c>
      <c r="F1578" s="103" t="str">
        <f>VLOOKUP(B1578, 'All Menu'!B:M, 3, 0)</f>
        <v>الوجبات اليومية سفري</v>
      </c>
      <c r="G1578" s="90" t="s">
        <v>2390</v>
      </c>
      <c r="H1578" s="219" t="s">
        <v>548</v>
      </c>
      <c r="I1578" s="110" t="str">
        <f>VLOOKUP(H1578, 'RM &amp; SF'!B:H, 2, 0)</f>
        <v>رز ابيض</v>
      </c>
      <c r="J1578" s="184" t="str">
        <f>VLOOKUP(H1578, 'RM &amp; SF'!B:E, 4, 0)</f>
        <v>غم</v>
      </c>
      <c r="K1578" s="12">
        <v>500</v>
      </c>
      <c r="L1578" s="13">
        <f>VLOOKUP(H1578, 'RM &amp; SF'!B:H, 7, 0)</f>
        <v>4.1596433333333332E-4</v>
      </c>
      <c r="M1578" s="7">
        <f t="shared" si="85"/>
        <v>0.20798216666666666</v>
      </c>
      <c r="N1578" s="4" t="s">
        <v>825</v>
      </c>
      <c r="O1578" s="4">
        <f>VLOOKUP(B1578, 'All Menu'!B:L, 6, 0)</f>
        <v>0.86206896551724144</v>
      </c>
      <c r="P1578" s="6">
        <f>VLOOKUP(B1578, 'All Menu'!B:L, 9, 0)</f>
        <v>0.46080630459770117</v>
      </c>
      <c r="Q1578" s="14">
        <f>VLOOKUP(B1578, 'All Menu'!B:M, 12, 0)</f>
        <v>0.46546468666666668</v>
      </c>
      <c r="R1578" s="173">
        <f t="shared" ref="R1578:R1641" si="86">C1578*K1578</f>
        <v>0</v>
      </c>
    </row>
    <row r="1579" spans="1:18" ht="14" hidden="1">
      <c r="A1579" s="78" t="s">
        <v>2718</v>
      </c>
      <c r="B1579" s="220" t="s">
        <v>1022</v>
      </c>
      <c r="C1579" s="185"/>
      <c r="D1579" s="103" t="str">
        <f>VLOOKUP(B1579, 'All Menu'!B:M, 4, 0)</f>
        <v>صحن رز ابيض</v>
      </c>
      <c r="E1579" s="30" t="str">
        <f>VLOOKUP(B1579, 'All Menu'!B:M, 2, 0)</f>
        <v>قسم اللاين</v>
      </c>
      <c r="F1579" s="103" t="str">
        <f>VLOOKUP(B1579, 'All Menu'!B:M, 3, 0)</f>
        <v>الوجبات اليومية سفري</v>
      </c>
      <c r="G1579" s="90" t="s">
        <v>2190</v>
      </c>
      <c r="H1579" s="188">
        <v>4279</v>
      </c>
      <c r="I1579" s="110" t="str">
        <f>VLOOKUP(H1579, 'RM &amp; SF'!B:H, 2, 0)</f>
        <v>علب ميكرويف مستطيل اسود مفرغة (احادي)*****</v>
      </c>
      <c r="J1579" s="184" t="str">
        <f>VLOOKUP(H1579, 'RM &amp; SF'!B:E, 4, 0)</f>
        <v>قطعة</v>
      </c>
      <c r="K1579" s="12">
        <v>1</v>
      </c>
      <c r="L1579" s="13">
        <f>VLOOKUP(H1579, 'RM &amp; SF'!B:H, 7, 0)</f>
        <v>9.4799999999999995E-2</v>
      </c>
      <c r="M1579" s="7">
        <f t="shared" si="85"/>
        <v>9.4799999999999995E-2</v>
      </c>
      <c r="N1579" s="4" t="s">
        <v>825</v>
      </c>
      <c r="O1579" s="4">
        <f>VLOOKUP(B1579, 'All Menu'!B:L, 6, 0)</f>
        <v>0.86206896551724144</v>
      </c>
      <c r="P1579" s="6">
        <f>VLOOKUP(B1579, 'All Menu'!B:L, 9, 0)</f>
        <v>0.46080630459770117</v>
      </c>
      <c r="Q1579" s="14">
        <f>VLOOKUP(B1579, 'All Menu'!B:M, 12, 0)</f>
        <v>0.46546468666666668</v>
      </c>
      <c r="R1579" s="173">
        <f t="shared" si="86"/>
        <v>0</v>
      </c>
    </row>
    <row r="1580" spans="1:18" ht="14" hidden="1">
      <c r="A1580" s="78" t="s">
        <v>2718</v>
      </c>
      <c r="B1580" s="220" t="s">
        <v>1022</v>
      </c>
      <c r="C1580" s="185"/>
      <c r="D1580" s="103" t="str">
        <f>VLOOKUP(B1580, 'All Menu'!B:M, 4, 0)</f>
        <v>صحن رز ابيض</v>
      </c>
      <c r="E1580" s="30" t="str">
        <f>VLOOKUP(B1580, 'All Menu'!B:M, 2, 0)</f>
        <v>قسم اللاين</v>
      </c>
      <c r="F1580" s="103" t="str">
        <f>VLOOKUP(B1580, 'All Menu'!B:M, 3, 0)</f>
        <v>الوجبات اليومية سفري</v>
      </c>
      <c r="G1580" s="90" t="s">
        <v>2190</v>
      </c>
      <c r="H1580" s="188">
        <v>4279</v>
      </c>
      <c r="I1580" s="110" t="str">
        <f>VLOOKUP(H1580, 'RM &amp; SF'!B:H, 2, 0)</f>
        <v>علب ميكرويف مستطيل اسود مفرغة (احادي)*****</v>
      </c>
      <c r="J1580" s="184" t="str">
        <f>VLOOKUP(H1580, 'RM &amp; SF'!B:E, 4, 0)</f>
        <v>قطعة</v>
      </c>
      <c r="K1580" s="12">
        <v>1</v>
      </c>
      <c r="L1580" s="13">
        <f>VLOOKUP(H1580, 'RM &amp; SF'!B:H, 7, 0)</f>
        <v>9.4799999999999995E-2</v>
      </c>
      <c r="M1580" s="7">
        <f t="shared" si="85"/>
        <v>9.4799999999999995E-2</v>
      </c>
      <c r="N1580" s="4" t="s">
        <v>825</v>
      </c>
      <c r="O1580" s="4">
        <f>VLOOKUP(B1580, 'All Menu'!B:L, 6, 0)</f>
        <v>0.86206896551724144</v>
      </c>
      <c r="P1580" s="6">
        <f>VLOOKUP(B1580, 'All Menu'!B:L, 9, 0)</f>
        <v>0.46080630459770117</v>
      </c>
      <c r="Q1580" s="14">
        <f>VLOOKUP(B1580, 'All Menu'!B:M, 12, 0)</f>
        <v>0.46546468666666668</v>
      </c>
      <c r="R1580" s="173">
        <f t="shared" si="86"/>
        <v>0</v>
      </c>
    </row>
    <row r="1581" spans="1:18" ht="14" hidden="1">
      <c r="A1581" s="78" t="s">
        <v>2718</v>
      </c>
      <c r="B1581" s="220" t="s">
        <v>1022</v>
      </c>
      <c r="C1581" s="185"/>
      <c r="D1581" s="103" t="str">
        <f>VLOOKUP(B1581, 'All Menu'!B:M, 4, 0)</f>
        <v>صحن رز ابيض</v>
      </c>
      <c r="E1581" s="30" t="str">
        <f>VLOOKUP(B1581, 'All Menu'!B:M, 2, 0)</f>
        <v>قسم اللاين</v>
      </c>
      <c r="F1581" s="103" t="str">
        <f>VLOOKUP(B1581, 'All Menu'!B:M, 3, 0)</f>
        <v>الوجبات اليومية سفري</v>
      </c>
      <c r="G1581" s="90" t="s">
        <v>3058</v>
      </c>
      <c r="H1581" s="188">
        <v>4266</v>
      </c>
      <c r="I1581" s="110" t="str">
        <f>VLOOKUP(H1581, 'RM &amp; SF'!B:H, 2, 0)</f>
        <v>اساور علب وجبات مطبوع 1*50 حبة*****</v>
      </c>
      <c r="J1581" s="184" t="str">
        <f>VLOOKUP(H1581, 'RM &amp; SF'!B:E, 4, 0)</f>
        <v>قطعة</v>
      </c>
      <c r="K1581" s="12">
        <v>1</v>
      </c>
      <c r="L1581" s="13">
        <f>VLOOKUP(H1581, 'RM &amp; SF'!B:H, 7, 0)</f>
        <v>6.3224137931034485E-2</v>
      </c>
      <c r="M1581" s="7">
        <f t="shared" si="85"/>
        <v>6.3224137931034485E-2</v>
      </c>
      <c r="N1581" s="4" t="s">
        <v>825</v>
      </c>
      <c r="O1581" s="4">
        <f>VLOOKUP(B1581, 'All Menu'!B:L, 6, 0)</f>
        <v>0.86206896551724144</v>
      </c>
      <c r="P1581" s="6">
        <f>VLOOKUP(B1581, 'All Menu'!B:L, 9, 0)</f>
        <v>0.46080630459770117</v>
      </c>
      <c r="Q1581" s="14">
        <f>VLOOKUP(B1581, 'All Menu'!B:M, 12, 0)</f>
        <v>0.46546468666666668</v>
      </c>
      <c r="R1581" s="173">
        <f t="shared" si="86"/>
        <v>0</v>
      </c>
    </row>
    <row r="1582" spans="1:18" ht="14" hidden="1">
      <c r="A1582" s="78" t="s">
        <v>2717</v>
      </c>
      <c r="B1582" s="220" t="s">
        <v>1023</v>
      </c>
      <c r="C1582" s="185"/>
      <c r="D1582" s="103" t="str">
        <f>VLOOKUP(B1582, 'All Menu'!B:M, 4, 0)</f>
        <v>قطعة دجاج</v>
      </c>
      <c r="E1582" s="30" t="str">
        <f>VLOOKUP(B1582, 'All Menu'!B:M, 2, 0)</f>
        <v>قسم اللاين</v>
      </c>
      <c r="F1582" s="103" t="str">
        <f>VLOOKUP(B1582, 'All Menu'!B:M, 3, 0)</f>
        <v>الوجبات اليومية سفري</v>
      </c>
      <c r="G1582" s="90" t="s">
        <v>2417</v>
      </c>
      <c r="H1582" s="219" t="s">
        <v>544</v>
      </c>
      <c r="I1582" s="110" t="str">
        <f>VLOOKUP(H1582, 'RM &amp; SF'!B:H, 2, 0)</f>
        <v>دجاجة متبلة</v>
      </c>
      <c r="J1582" s="184" t="str">
        <f>VLOOKUP(H1582, 'RM &amp; SF'!B:E, 4, 0)</f>
        <v>قطعة</v>
      </c>
      <c r="K1582" s="12">
        <v>0.25</v>
      </c>
      <c r="L1582" s="13">
        <f>VLOOKUP(H1582, 'RM &amp; SF'!B:H, 7, 0)</f>
        <v>3.0853324000000004</v>
      </c>
      <c r="M1582" s="7">
        <f t="shared" si="85"/>
        <v>0.7713331000000001</v>
      </c>
      <c r="N1582" s="4" t="s">
        <v>825</v>
      </c>
      <c r="O1582" s="4">
        <f>VLOOKUP(B1582, 'All Menu'!B:L, 6, 0)</f>
        <v>1.2931034482758621</v>
      </c>
      <c r="P1582" s="6">
        <f>VLOOKUP(B1582, 'All Menu'!B:L, 9, 0)</f>
        <v>0.7713331000000001</v>
      </c>
      <c r="Q1582" s="14">
        <f>VLOOKUP(B1582, 'All Menu'!B:M, 12, 0)</f>
        <v>0.40350240266666659</v>
      </c>
      <c r="R1582" s="173">
        <f t="shared" si="86"/>
        <v>0</v>
      </c>
    </row>
    <row r="1583" spans="1:18" ht="14" hidden="1">
      <c r="A1583" s="78" t="s">
        <v>2722</v>
      </c>
      <c r="B1583" s="220" t="s">
        <v>1025</v>
      </c>
      <c r="C1583" s="185"/>
      <c r="D1583" s="103" t="str">
        <f>VLOOKUP(B1583, 'All Menu'!B:M, 4, 0)</f>
        <v>قطعه لحم</v>
      </c>
      <c r="E1583" s="30" t="str">
        <f>VLOOKUP(B1583, 'All Menu'!B:M, 2, 0)</f>
        <v>قسم اللاين</v>
      </c>
      <c r="F1583" s="103" t="str">
        <f>VLOOKUP(B1583, 'All Menu'!B:M, 3, 0)</f>
        <v>الوجبات اليومية سفري</v>
      </c>
      <c r="G1583" s="90" t="s">
        <v>3058</v>
      </c>
      <c r="H1583" s="188">
        <v>4608</v>
      </c>
      <c r="I1583" s="110" t="str">
        <f>VLOOKUP(H1583, 'RM &amp; SF'!B:H, 2, 0)</f>
        <v>لحمة قطع نية بالكيلو*****</v>
      </c>
      <c r="J1583" s="184" t="str">
        <f>VLOOKUP(H1583, 'RM &amp; SF'!B:E, 4, 0)</f>
        <v>غم</v>
      </c>
      <c r="K1583" s="12">
        <v>350</v>
      </c>
      <c r="L1583" s="13">
        <f>VLOOKUP(H1583, 'RM &amp; SF'!B:H, 7, 0)</f>
        <v>1.1615493158849017E-2</v>
      </c>
      <c r="M1583" s="7">
        <f t="shared" si="85"/>
        <v>4.0654226055971554</v>
      </c>
      <c r="N1583" s="4" t="s">
        <v>825</v>
      </c>
      <c r="O1583" s="4">
        <f>VLOOKUP(B1583, 'All Menu'!B:L, 6, 0)</f>
        <v>5.1724137931034484</v>
      </c>
      <c r="P1583" s="6">
        <f>VLOOKUP(B1583, 'All Menu'!B:L, 9, 0)</f>
        <v>4.0654226055971554</v>
      </c>
      <c r="Q1583" s="14">
        <f>VLOOKUP(B1583, 'All Menu'!B:M, 12, 0)</f>
        <v>0.21401829625121663</v>
      </c>
      <c r="R1583" s="173">
        <f t="shared" si="86"/>
        <v>0</v>
      </c>
    </row>
    <row r="1584" spans="1:18" ht="14" hidden="1">
      <c r="A1584" s="78" t="s">
        <v>2719</v>
      </c>
      <c r="B1584" s="220" t="s">
        <v>1026</v>
      </c>
      <c r="C1584" s="185"/>
      <c r="D1584" s="103" t="str">
        <f>VLOOKUP(B1584, 'All Menu'!B:M, 4, 0)</f>
        <v>لبن منسف</v>
      </c>
      <c r="E1584" s="30" t="str">
        <f>VLOOKUP(B1584, 'All Menu'!B:M, 2, 0)</f>
        <v>قسم اللاين</v>
      </c>
      <c r="F1584" s="103" t="str">
        <f>VLOOKUP(B1584, 'All Menu'!B:M, 3, 0)</f>
        <v>الوجبات اليومية سفري</v>
      </c>
      <c r="G1584" s="90" t="s">
        <v>2431</v>
      </c>
      <c r="H1584" s="219" t="s">
        <v>552</v>
      </c>
      <c r="I1584" s="110" t="str">
        <f>VLOOKUP(H1584, 'RM &amp; SF'!B:H, 2, 0)</f>
        <v xml:space="preserve">لبن </v>
      </c>
      <c r="J1584" s="184" t="str">
        <f>VLOOKUP(H1584, 'RM &amp; SF'!B:E, 4, 0)</f>
        <v>غم</v>
      </c>
      <c r="K1584" s="12">
        <v>500</v>
      </c>
      <c r="L1584" s="13">
        <f>VLOOKUP(H1584, 'RM &amp; SF'!B:H, 7, 0)</f>
        <v>5.9114973451327433E-4</v>
      </c>
      <c r="M1584" s="7">
        <f t="shared" si="85"/>
        <v>0.29557486725663717</v>
      </c>
      <c r="N1584" s="4" t="s">
        <v>825</v>
      </c>
      <c r="O1584" s="4">
        <f>VLOOKUP(B1584, 'All Menu'!B:L, 6, 0)</f>
        <v>1.2931034482758621</v>
      </c>
      <c r="P1584" s="6">
        <f>VLOOKUP(B1584, 'All Menu'!B:L, 9, 0)</f>
        <v>0.42057486725663717</v>
      </c>
      <c r="Q1584" s="14">
        <f>VLOOKUP(B1584, 'All Menu'!B:M, 12, 0)</f>
        <v>0.67475543598820065</v>
      </c>
      <c r="R1584" s="173">
        <f t="shared" si="86"/>
        <v>0</v>
      </c>
    </row>
    <row r="1585" spans="1:18" ht="14" hidden="1">
      <c r="A1585" s="78" t="s">
        <v>2719</v>
      </c>
      <c r="B1585" s="220" t="s">
        <v>1026</v>
      </c>
      <c r="C1585" s="185"/>
      <c r="D1585" s="103" t="str">
        <f>VLOOKUP(B1585, 'All Menu'!B:M, 4, 0)</f>
        <v>لبن منسف</v>
      </c>
      <c r="E1585" s="30" t="str">
        <f>VLOOKUP(B1585, 'All Menu'!B:M, 2, 0)</f>
        <v>قسم اللاين</v>
      </c>
      <c r="F1585" s="103" t="str">
        <f>VLOOKUP(B1585, 'All Menu'!B:M, 3, 0)</f>
        <v>الوجبات اليومية سفري</v>
      </c>
      <c r="G1585" s="90" t="s">
        <v>3058</v>
      </c>
      <c r="H1585" s="188">
        <v>4280</v>
      </c>
      <c r="I1585" s="110" t="str">
        <f>VLOOKUP(H1585, 'RM &amp; SF'!B:H, 2, 0)</f>
        <v>علب ميكرويف مدورة اسود 500 مل RC2*****</v>
      </c>
      <c r="J1585" s="184" t="str">
        <f>VLOOKUP(H1585, 'RM &amp; SF'!B:E, 4, 0)</f>
        <v>قطعة</v>
      </c>
      <c r="K1585" s="12">
        <v>1</v>
      </c>
      <c r="L1585" s="13">
        <f>VLOOKUP(H1585, 'RM &amp; SF'!B:H, 7, 0)</f>
        <v>0.125</v>
      </c>
      <c r="M1585" s="7">
        <f t="shared" si="85"/>
        <v>0.125</v>
      </c>
      <c r="N1585" s="4" t="s">
        <v>825</v>
      </c>
      <c r="O1585" s="4">
        <f>VLOOKUP(B1585, 'All Menu'!B:L, 6, 0)</f>
        <v>1.2931034482758621</v>
      </c>
      <c r="P1585" s="6">
        <f>VLOOKUP(B1585, 'All Menu'!B:L, 9, 0)</f>
        <v>0.42057486725663717</v>
      </c>
      <c r="Q1585" s="14">
        <f>VLOOKUP(B1585, 'All Menu'!B:M, 12, 0)</f>
        <v>0.67475543598820065</v>
      </c>
      <c r="R1585" s="173">
        <f t="shared" si="86"/>
        <v>0</v>
      </c>
    </row>
    <row r="1586" spans="1:18" ht="14" hidden="1">
      <c r="A1586" s="78" t="s">
        <v>2707</v>
      </c>
      <c r="B1586" s="220" t="s">
        <v>1027</v>
      </c>
      <c r="C1586" s="185"/>
      <c r="D1586" s="103" t="str">
        <f>VLOOKUP(B1586, 'All Menu'!B:M, 4, 0)</f>
        <v>فريكة دجاج ملوكي</v>
      </c>
      <c r="E1586" s="30" t="str">
        <f>VLOOKUP(B1586, 'All Menu'!B:M, 2, 0)</f>
        <v>قسم اللاين</v>
      </c>
      <c r="F1586" s="103" t="str">
        <f>VLOOKUP(B1586, 'All Menu'!B:M, 3, 0)</f>
        <v>الوجبات اليومية سفري</v>
      </c>
      <c r="G1586" s="90" t="s">
        <v>2421</v>
      </c>
      <c r="H1586" s="219" t="s">
        <v>622</v>
      </c>
      <c r="I1586" s="110" t="str">
        <f>VLOOKUP(H1586, 'RM &amp; SF'!B:H, 2, 0)</f>
        <v>فريكة مطبوخة</v>
      </c>
      <c r="J1586" s="184" t="str">
        <f>VLOOKUP(H1586, 'RM &amp; SF'!B:E, 4, 0)</f>
        <v>غم</v>
      </c>
      <c r="K1586" s="12">
        <v>500</v>
      </c>
      <c r="L1586" s="13">
        <f>VLOOKUP(H1586, 'RM &amp; SF'!B:H, 7, 0)</f>
        <v>1.2594586666666669E-3</v>
      </c>
      <c r="M1586" s="7">
        <f t="shared" si="85"/>
        <v>0.62972933333333347</v>
      </c>
      <c r="N1586" s="4" t="s">
        <v>825</v>
      </c>
      <c r="O1586" s="4">
        <f>VLOOKUP(B1586, 'All Menu'!B:L, 6, 0)</f>
        <v>4.3103448275862073</v>
      </c>
      <c r="P1586" s="6">
        <f>VLOOKUP(B1586, 'All Menu'!B:L, 9, 0)</f>
        <v>4.4403028079022997</v>
      </c>
      <c r="Q1586" s="14">
        <f>VLOOKUP(B1586, 'All Menu'!B:M, 12, 0)</f>
        <v>-3.0150251433333435E-2</v>
      </c>
      <c r="R1586" s="173">
        <f t="shared" si="86"/>
        <v>0</v>
      </c>
    </row>
    <row r="1587" spans="1:18" ht="14" hidden="1">
      <c r="A1587" s="78" t="s">
        <v>2707</v>
      </c>
      <c r="B1587" s="220" t="s">
        <v>1027</v>
      </c>
      <c r="C1587" s="185"/>
      <c r="D1587" s="103" t="str">
        <f>VLOOKUP(B1587, 'All Menu'!B:M, 4, 0)</f>
        <v>فريكة دجاج ملوكي</v>
      </c>
      <c r="E1587" s="30" t="str">
        <f>VLOOKUP(B1587, 'All Menu'!B:M, 2, 0)</f>
        <v>قسم اللاين</v>
      </c>
      <c r="F1587" s="103" t="str">
        <f>VLOOKUP(B1587, 'All Menu'!B:M, 3, 0)</f>
        <v>الوجبات اليومية سفري</v>
      </c>
      <c r="G1587" s="90" t="s">
        <v>2422</v>
      </c>
      <c r="H1587" s="219" t="s">
        <v>620</v>
      </c>
      <c r="I1587" s="110" t="str">
        <f>VLOOKUP(H1587, 'RM &amp; SF'!B:H, 2, 0)</f>
        <v>دجاج للفريكة الملوكي</v>
      </c>
      <c r="J1587" s="184" t="str">
        <f>VLOOKUP(H1587, 'RM &amp; SF'!B:E, 4, 0)</f>
        <v>قطعة</v>
      </c>
      <c r="K1587" s="12">
        <v>1</v>
      </c>
      <c r="L1587" s="13">
        <f>VLOOKUP(H1587, 'RM &amp; SF'!B:H, 7, 0)</f>
        <v>3.3372241333333337</v>
      </c>
      <c r="M1587" s="7">
        <f t="shared" si="85"/>
        <v>3.3372241333333337</v>
      </c>
      <c r="N1587" s="4" t="s">
        <v>825</v>
      </c>
      <c r="O1587" s="4">
        <f>VLOOKUP(B1587, 'All Menu'!B:L, 6, 0)</f>
        <v>4.3103448275862073</v>
      </c>
      <c r="P1587" s="6">
        <f>VLOOKUP(B1587, 'All Menu'!B:L, 9, 0)</f>
        <v>4.4403028079022997</v>
      </c>
      <c r="Q1587" s="14">
        <f>VLOOKUP(B1587, 'All Menu'!B:M, 12, 0)</f>
        <v>-3.0150251433333435E-2</v>
      </c>
      <c r="R1587" s="173">
        <f t="shared" si="86"/>
        <v>0</v>
      </c>
    </row>
    <row r="1588" spans="1:18" ht="14" hidden="1">
      <c r="A1588" s="78" t="s">
        <v>2707</v>
      </c>
      <c r="B1588" s="220" t="s">
        <v>1027</v>
      </c>
      <c r="C1588" s="185"/>
      <c r="D1588" s="103" t="str">
        <f>VLOOKUP(B1588, 'All Menu'!B:M, 4, 0)</f>
        <v>فريكة دجاج ملوكي</v>
      </c>
      <c r="E1588" s="30" t="str">
        <f>VLOOKUP(B1588, 'All Menu'!B:M, 2, 0)</f>
        <v>قسم اللاين</v>
      </c>
      <c r="F1588" s="103" t="str">
        <f>VLOOKUP(B1588, 'All Menu'!B:M, 3, 0)</f>
        <v>الوجبات اليومية سفري</v>
      </c>
      <c r="G1588" s="90" t="s">
        <v>2239</v>
      </c>
      <c r="H1588" s="188">
        <v>4513</v>
      </c>
      <c r="I1588" s="110" t="str">
        <f>VLOOKUP(H1588, 'RM &amp; SF'!B:H, 2, 0)</f>
        <v>ليمون اصفر*****</v>
      </c>
      <c r="J1588" s="184" t="str">
        <f>VLOOKUP(H1588, 'RM &amp; SF'!B:E, 4, 0)</f>
        <v>غم</v>
      </c>
      <c r="K1588" s="12">
        <v>20</v>
      </c>
      <c r="L1588" s="13">
        <f>VLOOKUP(H1588, 'RM &amp; SF'!B:H, 7, 0)</f>
        <v>1.75E-3</v>
      </c>
      <c r="M1588" s="7">
        <f t="shared" si="85"/>
        <v>3.5000000000000003E-2</v>
      </c>
      <c r="N1588" s="4" t="s">
        <v>825</v>
      </c>
      <c r="O1588" s="4">
        <f>VLOOKUP(B1588, 'All Menu'!B:L, 6, 0)</f>
        <v>4.3103448275862073</v>
      </c>
      <c r="P1588" s="6">
        <f>VLOOKUP(B1588, 'All Menu'!B:L, 9, 0)</f>
        <v>4.4403028079022997</v>
      </c>
      <c r="Q1588" s="14">
        <f>VLOOKUP(B1588, 'All Menu'!B:M, 12, 0)</f>
        <v>-3.0150251433333435E-2</v>
      </c>
      <c r="R1588" s="173">
        <f t="shared" si="86"/>
        <v>0</v>
      </c>
    </row>
    <row r="1589" spans="1:18" ht="14" hidden="1">
      <c r="A1589" s="78" t="s">
        <v>2707</v>
      </c>
      <c r="B1589" s="220" t="s">
        <v>1027</v>
      </c>
      <c r="C1589" s="185"/>
      <c r="D1589" s="103" t="str">
        <f>VLOOKUP(B1589, 'All Menu'!B:M, 4, 0)</f>
        <v>فريكة دجاج ملوكي</v>
      </c>
      <c r="E1589" s="30" t="str">
        <f>VLOOKUP(B1589, 'All Menu'!B:M, 2, 0)</f>
        <v>قسم اللاين</v>
      </c>
      <c r="F1589" s="103" t="str">
        <f>VLOOKUP(B1589, 'All Menu'!B:M, 3, 0)</f>
        <v>الوجبات اليومية سفري</v>
      </c>
      <c r="G1589" s="90" t="s">
        <v>2190</v>
      </c>
      <c r="H1589" s="188">
        <v>4279</v>
      </c>
      <c r="I1589" s="110" t="str">
        <f>VLOOKUP(H1589, 'RM &amp; SF'!B:H, 2, 0)</f>
        <v>علب ميكرويف مستطيل اسود مفرغة (احادي)*****</v>
      </c>
      <c r="J1589" s="184" t="str">
        <f>VLOOKUP(H1589, 'RM &amp; SF'!B:E, 4, 0)</f>
        <v>قطعة</v>
      </c>
      <c r="K1589" s="12">
        <v>1</v>
      </c>
      <c r="L1589" s="13">
        <f>VLOOKUP(H1589, 'RM &amp; SF'!B:H, 7, 0)</f>
        <v>9.4799999999999995E-2</v>
      </c>
      <c r="M1589" s="7">
        <f t="shared" si="85"/>
        <v>9.4799999999999995E-2</v>
      </c>
      <c r="N1589" s="4" t="s">
        <v>825</v>
      </c>
      <c r="O1589" s="4">
        <f>VLOOKUP(B1589, 'All Menu'!B:L, 6, 0)</f>
        <v>4.3103448275862073</v>
      </c>
      <c r="P1589" s="6">
        <f>VLOOKUP(B1589, 'All Menu'!B:L, 9, 0)</f>
        <v>4.4403028079022997</v>
      </c>
      <c r="Q1589" s="14">
        <f>VLOOKUP(B1589, 'All Menu'!B:M, 12, 0)</f>
        <v>-3.0150251433333435E-2</v>
      </c>
      <c r="R1589" s="173">
        <f t="shared" si="86"/>
        <v>0</v>
      </c>
    </row>
    <row r="1590" spans="1:18" ht="14" hidden="1">
      <c r="A1590" s="78" t="s">
        <v>2707</v>
      </c>
      <c r="B1590" s="220" t="s">
        <v>1027</v>
      </c>
      <c r="C1590" s="185"/>
      <c r="D1590" s="103" t="str">
        <f>VLOOKUP(B1590, 'All Menu'!B:M, 4, 0)</f>
        <v>فريكة دجاج ملوكي</v>
      </c>
      <c r="E1590" s="30" t="str">
        <f>VLOOKUP(B1590, 'All Menu'!B:M, 2, 0)</f>
        <v>قسم اللاين</v>
      </c>
      <c r="F1590" s="103" t="str">
        <f>VLOOKUP(B1590, 'All Menu'!B:M, 3, 0)</f>
        <v>الوجبات اليومية سفري</v>
      </c>
      <c r="G1590" s="90" t="s">
        <v>3058</v>
      </c>
      <c r="H1590" s="219" t="s">
        <v>3043</v>
      </c>
      <c r="I1590" s="110" t="str">
        <f>VLOOKUP(H1590, 'RM &amp; SF'!B:H, 2, 0)</f>
        <v>علبة لوز مقلي 25 غرام</v>
      </c>
      <c r="J1590" s="184" t="str">
        <f>VLOOKUP(H1590, 'RM &amp; SF'!B:E, 4, 0)</f>
        <v>قطعة</v>
      </c>
      <c r="K1590" s="12">
        <v>25</v>
      </c>
      <c r="L1590" s="13">
        <f>VLOOKUP(H1590, 'RM &amp; SF'!B:H, 7, 0)</f>
        <v>1.3723013649425287E-2</v>
      </c>
      <c r="M1590" s="7">
        <f t="shared" si="85"/>
        <v>0.34307534123563216</v>
      </c>
      <c r="N1590" s="4" t="s">
        <v>825</v>
      </c>
      <c r="O1590" s="4">
        <f>VLOOKUP(B1590, 'All Menu'!B:L, 6, 0)</f>
        <v>4.3103448275862073</v>
      </c>
      <c r="P1590" s="6">
        <f>VLOOKUP(B1590, 'All Menu'!B:L, 9, 0)</f>
        <v>4.4403028079022997</v>
      </c>
      <c r="Q1590" s="14">
        <f>VLOOKUP(B1590, 'All Menu'!B:M, 12, 0)</f>
        <v>-3.0150251433333435E-2</v>
      </c>
      <c r="R1590" s="173">
        <f t="shared" si="86"/>
        <v>0</v>
      </c>
    </row>
    <row r="1591" spans="1:18" ht="14" hidden="1">
      <c r="A1591" s="78" t="s">
        <v>2707</v>
      </c>
      <c r="B1591" s="220" t="s">
        <v>1027</v>
      </c>
      <c r="C1591" s="185"/>
      <c r="D1591" s="103" t="str">
        <f>VLOOKUP(B1591, 'All Menu'!B:M, 4, 0)</f>
        <v>فريكة دجاج ملوكي</v>
      </c>
      <c r="E1591" s="30" t="str">
        <f>VLOOKUP(B1591, 'All Menu'!B:M, 2, 0)</f>
        <v>قسم اللاين</v>
      </c>
      <c r="F1591" s="103" t="str">
        <f>VLOOKUP(B1591, 'All Menu'!B:M, 3, 0)</f>
        <v>الوجبات اليومية سفري</v>
      </c>
      <c r="G1591" s="90" t="s">
        <v>2195</v>
      </c>
      <c r="H1591" s="188">
        <v>4329</v>
      </c>
      <c r="I1591" s="110" t="str">
        <f>VLOOKUP(H1591, 'RM &amp; SF'!B:H, 2, 0)</f>
        <v>ملاعق بلاستيك مع معقم مطبوع 1*500 حبة*****</v>
      </c>
      <c r="J1591" s="184" t="str">
        <f>VLOOKUP(H1591, 'RM &amp; SF'!B:E, 4, 0)</f>
        <v>قطعة</v>
      </c>
      <c r="K1591" s="12">
        <v>1</v>
      </c>
      <c r="L1591" s="13">
        <f>VLOOKUP(H1591, 'RM &amp; SF'!B:H, 7, 0)</f>
        <v>4.7399999999999997E-4</v>
      </c>
      <c r="M1591" s="7">
        <f t="shared" si="85"/>
        <v>4.7399999999999997E-4</v>
      </c>
      <c r="N1591" s="4" t="s">
        <v>825</v>
      </c>
      <c r="O1591" s="4">
        <f>VLOOKUP(B1591, 'All Menu'!B:L, 6, 0)</f>
        <v>4.3103448275862073</v>
      </c>
      <c r="P1591" s="6">
        <f>VLOOKUP(B1591, 'All Menu'!B:L, 9, 0)</f>
        <v>4.4403028079022997</v>
      </c>
      <c r="Q1591" s="14">
        <f>VLOOKUP(B1591, 'All Menu'!B:M, 12, 0)</f>
        <v>-3.0150251433333435E-2</v>
      </c>
      <c r="R1591" s="173">
        <f t="shared" si="86"/>
        <v>0</v>
      </c>
    </row>
    <row r="1592" spans="1:18" ht="14" hidden="1">
      <c r="A1592" s="78" t="s">
        <v>2724</v>
      </c>
      <c r="B1592" s="220" t="s">
        <v>1028</v>
      </c>
      <c r="C1592" s="185"/>
      <c r="D1592" s="103" t="str">
        <f>VLOOKUP(B1592, 'All Menu'!B:M, 4, 0)</f>
        <v>فريكة دجاج</v>
      </c>
      <c r="E1592" s="30" t="str">
        <f>VLOOKUP(B1592, 'All Menu'!B:M, 2, 0)</f>
        <v>قسم اللاين</v>
      </c>
      <c r="F1592" s="103" t="str">
        <f>VLOOKUP(B1592, 'All Menu'!B:M, 3, 0)</f>
        <v>الوجبات اليومية سفري</v>
      </c>
      <c r="G1592" s="90" t="s">
        <v>2421</v>
      </c>
      <c r="H1592" s="219" t="s">
        <v>622</v>
      </c>
      <c r="I1592" s="110" t="str">
        <f>VLOOKUP(H1592, 'RM &amp; SF'!B:H, 2, 0)</f>
        <v>فريكة مطبوخة</v>
      </c>
      <c r="J1592" s="184" t="str">
        <f>VLOOKUP(H1592, 'RM &amp; SF'!B:E, 4, 0)</f>
        <v>غم</v>
      </c>
      <c r="K1592" s="12">
        <v>500</v>
      </c>
      <c r="L1592" s="13">
        <f>VLOOKUP(H1592, 'RM &amp; SF'!B:H, 7, 0)</f>
        <v>1.2594586666666669E-3</v>
      </c>
      <c r="M1592" s="7">
        <f t="shared" si="85"/>
        <v>0.62972933333333347</v>
      </c>
      <c r="N1592" s="4" t="s">
        <v>825</v>
      </c>
      <c r="O1592" s="4">
        <f>VLOOKUP(B1592, 'All Menu'!B:L, 6, 0)</f>
        <v>2.8017241379310347</v>
      </c>
      <c r="P1592" s="6">
        <f>VLOOKUP(B1592, 'All Menu'!B:L, 9, 0)</f>
        <v>1.6974376402298856</v>
      </c>
      <c r="Q1592" s="14">
        <f>VLOOKUP(B1592, 'All Menu'!B:M, 12, 0)</f>
        <v>0.39414533456410239</v>
      </c>
      <c r="R1592" s="173">
        <f t="shared" si="86"/>
        <v>0</v>
      </c>
    </row>
    <row r="1593" spans="1:18" ht="14" hidden="1">
      <c r="A1593" s="78" t="s">
        <v>2724</v>
      </c>
      <c r="B1593" s="220" t="s">
        <v>1028</v>
      </c>
      <c r="C1593" s="185"/>
      <c r="D1593" s="103" t="str">
        <f>VLOOKUP(B1593, 'All Menu'!B:M, 4, 0)</f>
        <v>فريكة دجاج</v>
      </c>
      <c r="E1593" s="30" t="str">
        <f>VLOOKUP(B1593, 'All Menu'!B:M, 2, 0)</f>
        <v>قسم اللاين</v>
      </c>
      <c r="F1593" s="103" t="str">
        <f>VLOOKUP(B1593, 'All Menu'!B:M, 3, 0)</f>
        <v>الوجبات اليومية سفري</v>
      </c>
      <c r="G1593" s="90" t="s">
        <v>2417</v>
      </c>
      <c r="H1593" s="219" t="s">
        <v>544</v>
      </c>
      <c r="I1593" s="110" t="str">
        <f>VLOOKUP(H1593, 'RM &amp; SF'!B:H, 2, 0)</f>
        <v>دجاجة متبلة</v>
      </c>
      <c r="J1593" s="184" t="str">
        <f>VLOOKUP(H1593, 'RM &amp; SF'!B:E, 4, 0)</f>
        <v>قطعة</v>
      </c>
      <c r="K1593" s="12">
        <v>0.25</v>
      </c>
      <c r="L1593" s="13">
        <f>VLOOKUP(H1593, 'RM &amp; SF'!B:H, 7, 0)</f>
        <v>3.0853324000000004</v>
      </c>
      <c r="M1593" s="7">
        <f t="shared" si="85"/>
        <v>0.7713331000000001</v>
      </c>
      <c r="N1593" s="4" t="s">
        <v>825</v>
      </c>
      <c r="O1593" s="4">
        <f>VLOOKUP(B1593, 'All Menu'!B:L, 6, 0)</f>
        <v>2.8017241379310347</v>
      </c>
      <c r="P1593" s="6">
        <f>VLOOKUP(B1593, 'All Menu'!B:L, 9, 0)</f>
        <v>1.6974376402298856</v>
      </c>
      <c r="Q1593" s="14">
        <f>VLOOKUP(B1593, 'All Menu'!B:M, 12, 0)</f>
        <v>0.39414533456410239</v>
      </c>
      <c r="R1593" s="173">
        <f t="shared" si="86"/>
        <v>0</v>
      </c>
    </row>
    <row r="1594" spans="1:18" ht="14" hidden="1">
      <c r="A1594" s="78" t="s">
        <v>2724</v>
      </c>
      <c r="B1594" s="220" t="s">
        <v>1028</v>
      </c>
      <c r="C1594" s="185"/>
      <c r="D1594" s="103" t="str">
        <f>VLOOKUP(B1594, 'All Menu'!B:M, 4, 0)</f>
        <v>فريكة دجاج</v>
      </c>
      <c r="E1594" s="30" t="str">
        <f>VLOOKUP(B1594, 'All Menu'!B:M, 2, 0)</f>
        <v>قسم اللاين</v>
      </c>
      <c r="F1594" s="103" t="str">
        <f>VLOOKUP(B1594, 'All Menu'!B:M, 3, 0)</f>
        <v>الوجبات اليومية سفري</v>
      </c>
      <c r="G1594" s="90" t="s">
        <v>2190</v>
      </c>
      <c r="H1594" s="188">
        <v>4279</v>
      </c>
      <c r="I1594" s="110" t="str">
        <f>VLOOKUP(H1594, 'RM &amp; SF'!B:H, 2, 0)</f>
        <v>علب ميكرويف مستطيل اسود مفرغة (احادي)*****</v>
      </c>
      <c r="J1594" s="184" t="str">
        <f>VLOOKUP(H1594, 'RM &amp; SF'!B:E, 4, 0)</f>
        <v>قطعة</v>
      </c>
      <c r="K1594" s="12">
        <v>1</v>
      </c>
      <c r="L1594" s="13">
        <f>VLOOKUP(H1594, 'RM &amp; SF'!B:H, 7, 0)</f>
        <v>9.4799999999999995E-2</v>
      </c>
      <c r="M1594" s="7">
        <f t="shared" si="85"/>
        <v>9.4799999999999995E-2</v>
      </c>
      <c r="N1594" s="4" t="s">
        <v>825</v>
      </c>
      <c r="O1594" s="4">
        <f>VLOOKUP(B1594, 'All Menu'!B:L, 6, 0)</f>
        <v>2.8017241379310347</v>
      </c>
      <c r="P1594" s="6">
        <f>VLOOKUP(B1594, 'All Menu'!B:L, 9, 0)</f>
        <v>1.6974376402298856</v>
      </c>
      <c r="Q1594" s="14">
        <f>VLOOKUP(B1594, 'All Menu'!B:M, 12, 0)</f>
        <v>0.39414533456410239</v>
      </c>
      <c r="R1594" s="173">
        <f t="shared" si="86"/>
        <v>0</v>
      </c>
    </row>
    <row r="1595" spans="1:18" ht="14" hidden="1">
      <c r="A1595" s="78" t="s">
        <v>2724</v>
      </c>
      <c r="B1595" s="220" t="s">
        <v>1028</v>
      </c>
      <c r="C1595" s="185"/>
      <c r="D1595" s="103" t="str">
        <f>VLOOKUP(B1595, 'All Menu'!B:M, 4, 0)</f>
        <v>فريكة دجاج</v>
      </c>
      <c r="E1595" s="30" t="str">
        <f>VLOOKUP(B1595, 'All Menu'!B:M, 2, 0)</f>
        <v>قسم اللاين</v>
      </c>
      <c r="F1595" s="103" t="str">
        <f>VLOOKUP(B1595, 'All Menu'!B:M, 3, 0)</f>
        <v>الوجبات اليومية سفري</v>
      </c>
      <c r="G1595" s="90" t="s">
        <v>2341</v>
      </c>
      <c r="H1595" s="219" t="s">
        <v>706</v>
      </c>
      <c r="I1595" s="110" t="str">
        <f>VLOOKUP(H1595, 'RM &amp; SF'!B:H, 2, 0)</f>
        <v>لوز مقلي</v>
      </c>
      <c r="J1595" s="184" t="str">
        <f>VLOOKUP(H1595, 'RM &amp; SF'!B:E, 4, 0)</f>
        <v>غم</v>
      </c>
      <c r="K1595" s="12">
        <v>20</v>
      </c>
      <c r="L1595" s="13">
        <f>VLOOKUP(H1595, 'RM &amp; SF'!B:H, 7, 0)</f>
        <v>4.1352327586206888E-3</v>
      </c>
      <c r="M1595" s="7">
        <f t="shared" si="85"/>
        <v>8.270465517241378E-2</v>
      </c>
      <c r="N1595" s="4" t="s">
        <v>825</v>
      </c>
      <c r="O1595" s="4">
        <f>VLOOKUP(B1595, 'All Menu'!B:L, 6, 0)</f>
        <v>2.8017241379310347</v>
      </c>
      <c r="P1595" s="6">
        <f>VLOOKUP(B1595, 'All Menu'!B:L, 9, 0)</f>
        <v>1.6974376402298856</v>
      </c>
      <c r="Q1595" s="14">
        <f>VLOOKUP(B1595, 'All Menu'!B:M, 12, 0)</f>
        <v>0.39414533456410239</v>
      </c>
      <c r="R1595" s="173">
        <f t="shared" si="86"/>
        <v>0</v>
      </c>
    </row>
    <row r="1596" spans="1:18" ht="14" hidden="1">
      <c r="A1596" s="78" t="s">
        <v>2724</v>
      </c>
      <c r="B1596" s="220" t="s">
        <v>1028</v>
      </c>
      <c r="C1596" s="185"/>
      <c r="D1596" s="103" t="str">
        <f>VLOOKUP(B1596, 'All Menu'!B:M, 4, 0)</f>
        <v>فريكة دجاج</v>
      </c>
      <c r="E1596" s="30" t="str">
        <f>VLOOKUP(B1596, 'All Menu'!B:M, 2, 0)</f>
        <v>قسم اللاين</v>
      </c>
      <c r="F1596" s="103" t="str">
        <f>VLOOKUP(B1596, 'All Menu'!B:M, 3, 0)</f>
        <v>الوجبات اليومية سفري</v>
      </c>
      <c r="G1596" s="90" t="s">
        <v>2195</v>
      </c>
      <c r="H1596" s="188">
        <v>4329</v>
      </c>
      <c r="I1596" s="110" t="str">
        <f>VLOOKUP(H1596, 'RM &amp; SF'!B:H, 2, 0)</f>
        <v>ملاعق بلاستيك مع معقم مطبوع 1*500 حبة*****</v>
      </c>
      <c r="J1596" s="184" t="str">
        <f>VLOOKUP(H1596, 'RM &amp; SF'!B:E, 4, 0)</f>
        <v>قطعة</v>
      </c>
      <c r="K1596" s="12">
        <v>1</v>
      </c>
      <c r="L1596" s="13">
        <f>VLOOKUP(H1596, 'RM &amp; SF'!B:H, 7, 0)</f>
        <v>4.7399999999999997E-4</v>
      </c>
      <c r="M1596" s="7">
        <f t="shared" si="85"/>
        <v>4.7399999999999997E-4</v>
      </c>
      <c r="N1596" s="4" t="s">
        <v>825</v>
      </c>
      <c r="O1596" s="4">
        <f>VLOOKUP(B1596, 'All Menu'!B:L, 6, 0)</f>
        <v>2.8017241379310347</v>
      </c>
      <c r="P1596" s="6">
        <f>VLOOKUP(B1596, 'All Menu'!B:L, 9, 0)</f>
        <v>1.6974376402298856</v>
      </c>
      <c r="Q1596" s="14">
        <f>VLOOKUP(B1596, 'All Menu'!B:M, 12, 0)</f>
        <v>0.39414533456410239</v>
      </c>
      <c r="R1596" s="173">
        <f t="shared" si="86"/>
        <v>0</v>
      </c>
    </row>
    <row r="1597" spans="1:18" ht="14" hidden="1">
      <c r="A1597" s="78" t="s">
        <v>2724</v>
      </c>
      <c r="B1597" s="220" t="s">
        <v>1028</v>
      </c>
      <c r="C1597" s="185"/>
      <c r="D1597" s="103" t="str">
        <f>VLOOKUP(B1597, 'All Menu'!B:M, 4, 0)</f>
        <v>فريكة دجاج</v>
      </c>
      <c r="E1597" s="30" t="str">
        <f>VLOOKUP(B1597, 'All Menu'!B:M, 2, 0)</f>
        <v>قسم اللاين</v>
      </c>
      <c r="F1597" s="103" t="str">
        <f>VLOOKUP(B1597, 'All Menu'!B:M, 3, 0)</f>
        <v>الوجبات اليومية سفري</v>
      </c>
      <c r="G1597" s="90" t="s">
        <v>3058</v>
      </c>
      <c r="H1597" s="188">
        <v>4266</v>
      </c>
      <c r="I1597" s="110" t="str">
        <f>VLOOKUP(H1597, 'RM &amp; SF'!B:H, 2, 0)</f>
        <v>اساور علب وجبات مطبوع 1*50 حبة*****</v>
      </c>
      <c r="J1597" s="184" t="str">
        <f>VLOOKUP(H1597, 'RM &amp; SF'!B:E, 4, 0)</f>
        <v>قطعة</v>
      </c>
      <c r="K1597" s="12">
        <v>1</v>
      </c>
      <c r="L1597" s="13">
        <f>VLOOKUP(H1597, 'RM &amp; SF'!B:H, 7, 0)</f>
        <v>6.3224137931034485E-2</v>
      </c>
      <c r="M1597" s="7">
        <f t="shared" si="85"/>
        <v>6.3224137931034485E-2</v>
      </c>
      <c r="N1597" s="4" t="s">
        <v>825</v>
      </c>
      <c r="O1597" s="4">
        <f>VLOOKUP(B1597, 'All Menu'!B:L, 6, 0)</f>
        <v>2.8017241379310347</v>
      </c>
      <c r="P1597" s="6">
        <f>VLOOKUP(B1597, 'All Menu'!B:L, 9, 0)</f>
        <v>1.6974376402298856</v>
      </c>
      <c r="Q1597" s="14">
        <f>VLOOKUP(B1597, 'All Menu'!B:M, 12, 0)</f>
        <v>0.39414533456410239</v>
      </c>
      <c r="R1597" s="173">
        <f t="shared" si="86"/>
        <v>0</v>
      </c>
    </row>
    <row r="1598" spans="1:18" ht="14" hidden="1">
      <c r="A1598" s="78" t="s">
        <v>2724</v>
      </c>
      <c r="B1598" s="220" t="s">
        <v>1028</v>
      </c>
      <c r="C1598" s="185"/>
      <c r="D1598" s="103" t="str">
        <f>VLOOKUP(B1598, 'All Menu'!B:M, 4, 0)</f>
        <v>فريكة دجاج</v>
      </c>
      <c r="E1598" s="30" t="str">
        <f>VLOOKUP(B1598, 'All Menu'!B:M, 2, 0)</f>
        <v>قسم اللاين</v>
      </c>
      <c r="F1598" s="103" t="str">
        <f>VLOOKUP(B1598, 'All Menu'!B:M, 3, 0)</f>
        <v>الوجبات اليومية سفري</v>
      </c>
      <c r="G1598" s="90" t="s">
        <v>2193</v>
      </c>
      <c r="H1598" s="188">
        <v>4309</v>
      </c>
      <c r="I1598" s="110" t="str">
        <f>VLOOKUP(H1598, 'RM &amp; SF'!B:H, 2, 0)</f>
        <v>اكياس بلاستيك مطبوع 55 سم*****</v>
      </c>
      <c r="J1598" s="184" t="str">
        <f>VLOOKUP(H1598, 'RM &amp; SF'!B:E, 4, 0)</f>
        <v>قطعة</v>
      </c>
      <c r="K1598" s="12">
        <v>1</v>
      </c>
      <c r="L1598" s="13">
        <f>VLOOKUP(H1598, 'RM &amp; SF'!B:H, 7, 0)</f>
        <v>5.5172413793103454E-2</v>
      </c>
      <c r="M1598" s="7">
        <f t="shared" si="85"/>
        <v>5.5172413793103454E-2</v>
      </c>
      <c r="N1598" s="4" t="s">
        <v>825</v>
      </c>
      <c r="O1598" s="4">
        <f>VLOOKUP(B1598, 'All Menu'!B:L, 6, 0)</f>
        <v>2.8017241379310347</v>
      </c>
      <c r="P1598" s="6">
        <f>VLOOKUP(B1598, 'All Menu'!B:L, 9, 0)</f>
        <v>1.6974376402298856</v>
      </c>
      <c r="Q1598" s="14">
        <f>VLOOKUP(B1598, 'All Menu'!B:M, 12, 0)</f>
        <v>0.39414533456410239</v>
      </c>
      <c r="R1598" s="173">
        <f t="shared" si="86"/>
        <v>0</v>
      </c>
    </row>
    <row r="1599" spans="1:18" ht="14" hidden="1">
      <c r="A1599" s="78" t="s">
        <v>2720</v>
      </c>
      <c r="B1599" s="220" t="s">
        <v>1070</v>
      </c>
      <c r="C1599" s="185"/>
      <c r="D1599" s="103" t="str">
        <f>VLOOKUP(B1599, 'All Menu'!B:M, 4, 0)</f>
        <v>رز مبهر</v>
      </c>
      <c r="E1599" s="30" t="str">
        <f>VLOOKUP(B1599, 'All Menu'!B:M, 2, 0)</f>
        <v>قسم اللاين</v>
      </c>
      <c r="F1599" s="103" t="str">
        <f>VLOOKUP(B1599, 'All Menu'!B:M, 3, 0)</f>
        <v>الوجبات اليومية سفري</v>
      </c>
      <c r="G1599" s="90" t="s">
        <v>2377</v>
      </c>
      <c r="H1599" s="219" t="s">
        <v>796</v>
      </c>
      <c r="I1599" s="110" t="str">
        <f>VLOOKUP(H1599, 'RM &amp; SF'!B:H, 2, 0)</f>
        <v>رز مبهر</v>
      </c>
      <c r="J1599" s="184" t="str">
        <f>VLOOKUP(H1599, 'RM &amp; SF'!B:E, 4, 0)</f>
        <v>غم</v>
      </c>
      <c r="K1599" s="12">
        <v>500</v>
      </c>
      <c r="L1599" s="13">
        <f>VLOOKUP(H1599, 'RM &amp; SF'!B:H, 7, 0)</f>
        <v>8.1314491666666653E-4</v>
      </c>
      <c r="M1599" s="7">
        <f t="shared" si="85"/>
        <v>0.40657245833333328</v>
      </c>
      <c r="N1599" s="4" t="s">
        <v>825</v>
      </c>
      <c r="O1599" s="4">
        <f>VLOOKUP(B1599, 'All Menu'!B:L, 6, 0)</f>
        <v>1.2931034482758621</v>
      </c>
      <c r="P1599" s="6">
        <f>VLOOKUP(B1599, 'All Menu'!B:L, 9, 0)</f>
        <v>0.80777525143678153</v>
      </c>
      <c r="Q1599" s="14">
        <f>VLOOKUP(B1599, 'All Menu'!B:M, 12, 0)</f>
        <v>0.37532047222222231</v>
      </c>
      <c r="R1599" s="173">
        <f t="shared" si="86"/>
        <v>0</v>
      </c>
    </row>
    <row r="1600" spans="1:18" ht="14" hidden="1">
      <c r="A1600" s="78" t="s">
        <v>2720</v>
      </c>
      <c r="B1600" s="220" t="s">
        <v>1070</v>
      </c>
      <c r="C1600" s="185"/>
      <c r="D1600" s="103" t="str">
        <f>VLOOKUP(B1600, 'All Menu'!B:M, 4, 0)</f>
        <v>رز مبهر</v>
      </c>
      <c r="E1600" s="30" t="str">
        <f>VLOOKUP(B1600, 'All Menu'!B:M, 2, 0)</f>
        <v>قسم اللاين</v>
      </c>
      <c r="F1600" s="103" t="str">
        <f>VLOOKUP(B1600, 'All Menu'!B:M, 3, 0)</f>
        <v>الوجبات اليومية سفري</v>
      </c>
      <c r="G1600" s="90" t="s">
        <v>2341</v>
      </c>
      <c r="H1600" s="219" t="s">
        <v>706</v>
      </c>
      <c r="I1600" s="110" t="str">
        <f>VLOOKUP(H1600, 'RM &amp; SF'!B:H, 2, 0)</f>
        <v>لوز مقلي</v>
      </c>
      <c r="J1600" s="184" t="str">
        <f>VLOOKUP(H1600, 'RM &amp; SF'!B:E, 4, 0)</f>
        <v>غم</v>
      </c>
      <c r="K1600" s="12">
        <v>20</v>
      </c>
      <c r="L1600" s="13">
        <f>VLOOKUP(H1600, 'RM &amp; SF'!B:H, 7, 0)</f>
        <v>4.1352327586206888E-3</v>
      </c>
      <c r="M1600" s="7">
        <f t="shared" si="85"/>
        <v>8.270465517241378E-2</v>
      </c>
      <c r="N1600" s="4" t="s">
        <v>825</v>
      </c>
      <c r="O1600" s="4">
        <f>VLOOKUP(B1600, 'All Menu'!B:L, 6, 0)</f>
        <v>1.2931034482758621</v>
      </c>
      <c r="P1600" s="6">
        <f>VLOOKUP(B1600, 'All Menu'!B:L, 9, 0)</f>
        <v>0.80777525143678153</v>
      </c>
      <c r="Q1600" s="14">
        <f>VLOOKUP(B1600, 'All Menu'!B:M, 12, 0)</f>
        <v>0.37532047222222231</v>
      </c>
      <c r="R1600" s="173">
        <f t="shared" si="86"/>
        <v>0</v>
      </c>
    </row>
    <row r="1601" spans="1:18" ht="14" hidden="1">
      <c r="A1601" s="78" t="s">
        <v>2720</v>
      </c>
      <c r="B1601" s="220" t="s">
        <v>1070</v>
      </c>
      <c r="C1601" s="185"/>
      <c r="D1601" s="103" t="str">
        <f>VLOOKUP(B1601, 'All Menu'!B:M, 4, 0)</f>
        <v>رز مبهر</v>
      </c>
      <c r="E1601" s="30" t="str">
        <f>VLOOKUP(B1601, 'All Menu'!B:M, 2, 0)</f>
        <v>قسم اللاين</v>
      </c>
      <c r="F1601" s="103" t="str">
        <f>VLOOKUP(B1601, 'All Menu'!B:M, 3, 0)</f>
        <v>الوجبات اليومية سفري</v>
      </c>
      <c r="G1601" s="90" t="s">
        <v>2190</v>
      </c>
      <c r="H1601" s="188">
        <v>4279</v>
      </c>
      <c r="I1601" s="110" t="str">
        <f>VLOOKUP(H1601, 'RM &amp; SF'!B:H, 2, 0)</f>
        <v>علب ميكرويف مستطيل اسود مفرغة (احادي)*****</v>
      </c>
      <c r="J1601" s="184" t="str">
        <f>VLOOKUP(H1601, 'RM &amp; SF'!B:E, 4, 0)</f>
        <v>قطعة</v>
      </c>
      <c r="K1601" s="12">
        <v>1</v>
      </c>
      <c r="L1601" s="13">
        <f>VLOOKUP(H1601, 'RM &amp; SF'!B:H, 7, 0)</f>
        <v>9.4799999999999995E-2</v>
      </c>
      <c r="M1601" s="7">
        <f t="shared" si="85"/>
        <v>9.4799999999999995E-2</v>
      </c>
      <c r="N1601" s="4" t="s">
        <v>825</v>
      </c>
      <c r="O1601" s="4">
        <f>VLOOKUP(B1601, 'All Menu'!B:L, 6, 0)</f>
        <v>1.2931034482758621</v>
      </c>
      <c r="P1601" s="6">
        <f>VLOOKUP(B1601, 'All Menu'!B:L, 9, 0)</f>
        <v>0.80777525143678153</v>
      </c>
      <c r="Q1601" s="14">
        <f>VLOOKUP(B1601, 'All Menu'!B:M, 12, 0)</f>
        <v>0.37532047222222231</v>
      </c>
      <c r="R1601" s="173">
        <f t="shared" si="86"/>
        <v>0</v>
      </c>
    </row>
    <row r="1602" spans="1:18" ht="14" hidden="1">
      <c r="A1602" s="78" t="s">
        <v>2720</v>
      </c>
      <c r="B1602" s="220" t="s">
        <v>1070</v>
      </c>
      <c r="C1602" s="185"/>
      <c r="D1602" s="103" t="str">
        <f>VLOOKUP(B1602, 'All Menu'!B:M, 4, 0)</f>
        <v>رز مبهر</v>
      </c>
      <c r="E1602" s="30" t="str">
        <f>VLOOKUP(B1602, 'All Menu'!B:M, 2, 0)</f>
        <v>قسم اللاين</v>
      </c>
      <c r="F1602" s="103" t="str">
        <f>VLOOKUP(B1602, 'All Menu'!B:M, 3, 0)</f>
        <v>الوجبات اليومية سفري</v>
      </c>
      <c r="G1602" s="90" t="s">
        <v>3058</v>
      </c>
      <c r="H1602" s="188">
        <v>4266</v>
      </c>
      <c r="I1602" s="110" t="str">
        <f>VLOOKUP(H1602, 'RM &amp; SF'!B:H, 2, 0)</f>
        <v>اساور علب وجبات مطبوع 1*50 حبة*****</v>
      </c>
      <c r="J1602" s="184" t="str">
        <f>VLOOKUP(H1602, 'RM &amp; SF'!B:E, 4, 0)</f>
        <v>قطعة</v>
      </c>
      <c r="K1602" s="12">
        <v>1</v>
      </c>
      <c r="L1602" s="13">
        <f>VLOOKUP(H1602, 'RM &amp; SF'!B:H, 7, 0)</f>
        <v>6.3224137931034485E-2</v>
      </c>
      <c r="M1602" s="7">
        <f t="shared" si="85"/>
        <v>6.3224137931034485E-2</v>
      </c>
      <c r="N1602" s="4" t="s">
        <v>825</v>
      </c>
      <c r="O1602" s="4">
        <f>VLOOKUP(B1602, 'All Menu'!B:L, 6, 0)</f>
        <v>1.2931034482758621</v>
      </c>
      <c r="P1602" s="6">
        <f>VLOOKUP(B1602, 'All Menu'!B:L, 9, 0)</f>
        <v>0.80777525143678153</v>
      </c>
      <c r="Q1602" s="14">
        <f>VLOOKUP(B1602, 'All Menu'!B:M, 12, 0)</f>
        <v>0.37532047222222231</v>
      </c>
      <c r="R1602" s="173">
        <f t="shared" si="86"/>
        <v>0</v>
      </c>
    </row>
    <row r="1603" spans="1:18" ht="14" hidden="1">
      <c r="A1603" s="78" t="s">
        <v>2720</v>
      </c>
      <c r="B1603" s="220" t="s">
        <v>1070</v>
      </c>
      <c r="C1603" s="185"/>
      <c r="D1603" s="103" t="str">
        <f>VLOOKUP(B1603, 'All Menu'!B:M, 4, 0)</f>
        <v>رز مبهر</v>
      </c>
      <c r="E1603" s="30" t="str">
        <f>VLOOKUP(B1603, 'All Menu'!B:M, 2, 0)</f>
        <v>قسم اللاين</v>
      </c>
      <c r="F1603" s="103" t="str">
        <f>VLOOKUP(B1603, 'All Menu'!B:M, 3, 0)</f>
        <v>الوجبات اليومية سفري</v>
      </c>
      <c r="G1603" s="90" t="s">
        <v>2195</v>
      </c>
      <c r="H1603" s="188">
        <v>4329</v>
      </c>
      <c r="I1603" s="110" t="str">
        <f>VLOOKUP(H1603, 'RM &amp; SF'!B:H, 2, 0)</f>
        <v>ملاعق بلاستيك مع معقم مطبوع 1*500 حبة*****</v>
      </c>
      <c r="J1603" s="184" t="str">
        <f>VLOOKUP(H1603, 'RM &amp; SF'!B:E, 4, 0)</f>
        <v>قطعة</v>
      </c>
      <c r="K1603" s="12">
        <v>1</v>
      </c>
      <c r="L1603" s="13">
        <f>VLOOKUP(H1603, 'RM &amp; SF'!B:H, 7, 0)</f>
        <v>4.7399999999999997E-4</v>
      </c>
      <c r="M1603" s="7">
        <f t="shared" si="85"/>
        <v>4.7399999999999997E-4</v>
      </c>
      <c r="N1603" s="4" t="s">
        <v>825</v>
      </c>
      <c r="O1603" s="4">
        <f>VLOOKUP(B1603, 'All Menu'!B:L, 6, 0)</f>
        <v>1.2931034482758621</v>
      </c>
      <c r="P1603" s="6">
        <f>VLOOKUP(B1603, 'All Menu'!B:L, 9, 0)</f>
        <v>0.80777525143678153</v>
      </c>
      <c r="Q1603" s="14">
        <f>VLOOKUP(B1603, 'All Menu'!B:M, 12, 0)</f>
        <v>0.37532047222222231</v>
      </c>
      <c r="R1603" s="173">
        <f t="shared" si="86"/>
        <v>0</v>
      </c>
    </row>
    <row r="1604" spans="1:18" ht="14" hidden="1">
      <c r="A1604" s="78" t="s">
        <v>2720</v>
      </c>
      <c r="B1604" s="220" t="s">
        <v>1070</v>
      </c>
      <c r="C1604" s="185"/>
      <c r="D1604" s="103" t="str">
        <f>VLOOKUP(B1604, 'All Menu'!B:M, 4, 0)</f>
        <v>رز مبهر</v>
      </c>
      <c r="E1604" s="30" t="str">
        <f>VLOOKUP(B1604, 'All Menu'!B:M, 2, 0)</f>
        <v>قسم اللاين</v>
      </c>
      <c r="F1604" s="103" t="str">
        <f>VLOOKUP(B1604, 'All Menu'!B:M, 3, 0)</f>
        <v>الوجبات اليومية سفري</v>
      </c>
      <c r="G1604" s="90" t="s">
        <v>2185</v>
      </c>
      <c r="H1604" s="188">
        <v>4550</v>
      </c>
      <c r="I1604" s="110" t="str">
        <f>VLOOKUP(H1604, 'RM &amp; SF'!B:H, 2, 0)</f>
        <v>*****لبن زبادي 150 غم</v>
      </c>
      <c r="J1604" s="184" t="str">
        <f>VLOOKUP(H1604, 'RM &amp; SF'!B:E, 4, 0)</f>
        <v>قطعة</v>
      </c>
      <c r="K1604" s="12">
        <v>1</v>
      </c>
      <c r="L1604" s="13">
        <f>VLOOKUP(H1604, 'RM &amp; SF'!B:H, 7, 0)</f>
        <v>0.16</v>
      </c>
      <c r="M1604" s="7">
        <f t="shared" si="85"/>
        <v>0.16</v>
      </c>
      <c r="N1604" s="4" t="s">
        <v>825</v>
      </c>
      <c r="O1604" s="4">
        <f>VLOOKUP(B1604, 'All Menu'!B:L, 6, 0)</f>
        <v>1.2931034482758621</v>
      </c>
      <c r="P1604" s="6">
        <f>VLOOKUP(B1604, 'All Menu'!B:L, 9, 0)</f>
        <v>0.80777525143678153</v>
      </c>
      <c r="Q1604" s="14">
        <f>VLOOKUP(B1604, 'All Menu'!B:M, 12, 0)</f>
        <v>0.37532047222222231</v>
      </c>
      <c r="R1604" s="173">
        <f t="shared" si="86"/>
        <v>0</v>
      </c>
    </row>
    <row r="1605" spans="1:18" ht="14" hidden="1">
      <c r="A1605" s="78" t="s">
        <v>2712</v>
      </c>
      <c r="B1605" s="220" t="s">
        <v>1071</v>
      </c>
      <c r="C1605" s="185"/>
      <c r="D1605" s="103" t="str">
        <f>VLOOKUP(B1605, 'All Menu'!B:M, 4, 0)</f>
        <v>الباشا وعساكره</v>
      </c>
      <c r="E1605" s="30" t="str">
        <f>VLOOKUP(B1605, 'All Menu'!B:M, 2, 0)</f>
        <v>قسم اللاين</v>
      </c>
      <c r="F1605" s="103" t="str">
        <f>VLOOKUP(B1605, 'All Menu'!B:M, 3, 0)</f>
        <v>الوجبات اليومية سفري</v>
      </c>
      <c r="G1605" s="90" t="s">
        <v>2407</v>
      </c>
      <c r="H1605" s="219" t="s">
        <v>586</v>
      </c>
      <c r="I1605" s="110" t="str">
        <f>VLOOKUP(H1605, 'RM &amp; SF'!B:H, 2, 0)</f>
        <v xml:space="preserve">كبة لبنية   </v>
      </c>
      <c r="J1605" s="184" t="str">
        <f>VLOOKUP(H1605, 'RM &amp; SF'!B:E, 4, 0)</f>
        <v>قطعة</v>
      </c>
      <c r="K1605" s="12">
        <v>2</v>
      </c>
      <c r="L1605" s="13">
        <f>VLOOKUP(H1605, 'RM &amp; SF'!B:H, 7, 0)</f>
        <v>0.32143523705263155</v>
      </c>
      <c r="M1605" s="7">
        <f t="shared" si="85"/>
        <v>0.6428704741052631</v>
      </c>
      <c r="N1605" s="4" t="s">
        <v>825</v>
      </c>
      <c r="O1605" s="4">
        <f>VLOOKUP(B1605, 'All Menu'!B:L, 6, 0)</f>
        <v>3.4482758620689657</v>
      </c>
      <c r="P1605" s="6">
        <f>VLOOKUP(B1605, 'All Menu'!B:L, 9, 0)</f>
        <v>1.873932684539781</v>
      </c>
      <c r="Q1605" s="14">
        <f>VLOOKUP(B1605, 'All Menu'!B:M, 12, 0)</f>
        <v>0.45655952148346352</v>
      </c>
      <c r="R1605" s="173">
        <f t="shared" si="86"/>
        <v>0</v>
      </c>
    </row>
    <row r="1606" spans="1:18" ht="14" hidden="1">
      <c r="A1606" s="78" t="s">
        <v>2712</v>
      </c>
      <c r="B1606" s="220" t="s">
        <v>1071</v>
      </c>
      <c r="C1606" s="185"/>
      <c r="D1606" s="103" t="str">
        <f>VLOOKUP(B1606, 'All Menu'!B:M, 4, 0)</f>
        <v>الباشا وعساكره</v>
      </c>
      <c r="E1606" s="30" t="str">
        <f>VLOOKUP(B1606, 'All Menu'!B:M, 2, 0)</f>
        <v>قسم اللاين</v>
      </c>
      <c r="F1606" s="103" t="str">
        <f>VLOOKUP(B1606, 'All Menu'!B:M, 3, 0)</f>
        <v>الوجبات اليومية سفري</v>
      </c>
      <c r="G1606" s="90" t="s">
        <v>2423</v>
      </c>
      <c r="H1606" s="219" t="s">
        <v>626</v>
      </c>
      <c r="I1606" s="110" t="str">
        <f>VLOOKUP(H1606, 'RM &amp; SF'!B:H, 2, 0)</f>
        <v>تجهيز شيشبرك</v>
      </c>
      <c r="J1606" s="184" t="str">
        <f>VLOOKUP(H1606, 'RM &amp; SF'!B:E, 4, 0)</f>
        <v>قطعة</v>
      </c>
      <c r="K1606" s="12">
        <v>5</v>
      </c>
      <c r="L1606" s="13">
        <f>VLOOKUP(H1606, 'RM &amp; SF'!B:H, 7, 0)</f>
        <v>4.7416855555555561E-2</v>
      </c>
      <c r="M1606" s="7">
        <f t="shared" si="85"/>
        <v>0.2370842777777778</v>
      </c>
      <c r="N1606" s="4" t="s">
        <v>825</v>
      </c>
      <c r="O1606" s="4">
        <f>VLOOKUP(B1606, 'All Menu'!B:L, 6, 0)</f>
        <v>3.4482758620689657</v>
      </c>
      <c r="P1606" s="6">
        <f>VLOOKUP(B1606, 'All Menu'!B:L, 9, 0)</f>
        <v>1.873932684539781</v>
      </c>
      <c r="Q1606" s="14">
        <f>VLOOKUP(B1606, 'All Menu'!B:M, 12, 0)</f>
        <v>0.45655952148346352</v>
      </c>
      <c r="R1606" s="173">
        <f t="shared" si="86"/>
        <v>0</v>
      </c>
    </row>
    <row r="1607" spans="1:18" ht="14" hidden="1">
      <c r="A1607" s="78" t="s">
        <v>2712</v>
      </c>
      <c r="B1607" s="220" t="s">
        <v>1071</v>
      </c>
      <c r="C1607" s="185"/>
      <c r="D1607" s="103" t="str">
        <f>VLOOKUP(B1607, 'All Menu'!B:M, 4, 0)</f>
        <v>الباشا وعساكره</v>
      </c>
      <c r="E1607" s="30" t="str">
        <f>VLOOKUP(B1607, 'All Menu'!B:M, 2, 0)</f>
        <v>قسم اللاين</v>
      </c>
      <c r="F1607" s="103" t="str">
        <f>VLOOKUP(B1607, 'All Menu'!B:M, 3, 0)</f>
        <v>الوجبات اليومية سفري</v>
      </c>
      <c r="G1607" s="90" t="s">
        <v>3058</v>
      </c>
      <c r="H1607" s="219" t="s">
        <v>3043</v>
      </c>
      <c r="I1607" s="110" t="str">
        <f>VLOOKUP(H1607, 'RM &amp; SF'!B:H, 2, 0)</f>
        <v>علبة لوز مقلي 25 غرام</v>
      </c>
      <c r="J1607" s="184" t="str">
        <f>VLOOKUP(H1607, 'RM &amp; SF'!B:E, 4, 0)</f>
        <v>قطعة</v>
      </c>
      <c r="K1607" s="12">
        <v>25</v>
      </c>
      <c r="L1607" s="13">
        <f>VLOOKUP(H1607, 'RM &amp; SF'!B:H, 7, 0)</f>
        <v>1.3723013649425287E-2</v>
      </c>
      <c r="M1607" s="7">
        <f t="shared" si="85"/>
        <v>0.34307534123563216</v>
      </c>
      <c r="N1607" s="4" t="s">
        <v>825</v>
      </c>
      <c r="O1607" s="4">
        <f>VLOOKUP(B1607, 'All Menu'!B:L, 6, 0)</f>
        <v>3.4482758620689657</v>
      </c>
      <c r="P1607" s="6">
        <f>VLOOKUP(B1607, 'All Menu'!B:L, 9, 0)</f>
        <v>1.873932684539781</v>
      </c>
      <c r="Q1607" s="14">
        <f>VLOOKUP(B1607, 'All Menu'!B:M, 12, 0)</f>
        <v>0.45655952148346352</v>
      </c>
      <c r="R1607" s="173">
        <f t="shared" si="86"/>
        <v>0</v>
      </c>
    </row>
    <row r="1608" spans="1:18" ht="14" hidden="1">
      <c r="A1608" s="78" t="s">
        <v>2712</v>
      </c>
      <c r="B1608" s="220" t="s">
        <v>1071</v>
      </c>
      <c r="C1608" s="185"/>
      <c r="D1608" s="103" t="str">
        <f>VLOOKUP(B1608, 'All Menu'!B:M, 4, 0)</f>
        <v>الباشا وعساكره</v>
      </c>
      <c r="E1608" s="30" t="str">
        <f>VLOOKUP(B1608, 'All Menu'!B:M, 2, 0)</f>
        <v>قسم اللاين</v>
      </c>
      <c r="F1608" s="103" t="str">
        <f>VLOOKUP(B1608, 'All Menu'!B:M, 3, 0)</f>
        <v>الوجبات اليومية سفري</v>
      </c>
      <c r="G1608" s="90" t="s">
        <v>2394</v>
      </c>
      <c r="H1608" s="219" t="s">
        <v>588</v>
      </c>
      <c r="I1608" s="110" t="str">
        <f>VLOOKUP(H1608, 'RM &amp; SF'!B:H, 2, 0)</f>
        <v xml:space="preserve">لبن الكبة </v>
      </c>
      <c r="J1608" s="184" t="str">
        <f>VLOOKUP(H1608, 'RM &amp; SF'!B:E, 4, 0)</f>
        <v>غم</v>
      </c>
      <c r="K1608" s="12">
        <v>200</v>
      </c>
      <c r="L1608" s="13">
        <f>VLOOKUP(H1608, 'RM &amp; SF'!B:H, 7, 0)</f>
        <v>7.294197944444444E-4</v>
      </c>
      <c r="M1608" s="7">
        <f t="shared" si="85"/>
        <v>0.14588395888888889</v>
      </c>
      <c r="N1608" s="4" t="s">
        <v>825</v>
      </c>
      <c r="O1608" s="4">
        <f>VLOOKUP(B1608, 'All Menu'!B:L, 6, 0)</f>
        <v>3.4482758620689657</v>
      </c>
      <c r="P1608" s="6">
        <f>VLOOKUP(B1608, 'All Menu'!B:L, 9, 0)</f>
        <v>1.873932684539781</v>
      </c>
      <c r="Q1608" s="14">
        <f>VLOOKUP(B1608, 'All Menu'!B:M, 12, 0)</f>
        <v>0.45655952148346352</v>
      </c>
      <c r="R1608" s="173">
        <f t="shared" si="86"/>
        <v>0</v>
      </c>
    </row>
    <row r="1609" spans="1:18" ht="14" hidden="1">
      <c r="A1609" s="78" t="s">
        <v>2712</v>
      </c>
      <c r="B1609" s="220" t="s">
        <v>1071</v>
      </c>
      <c r="C1609" s="185"/>
      <c r="D1609" s="103" t="str">
        <f>VLOOKUP(B1609, 'All Menu'!B:M, 4, 0)</f>
        <v>الباشا وعساكره</v>
      </c>
      <c r="E1609" s="30" t="str">
        <f>VLOOKUP(B1609, 'All Menu'!B:M, 2, 0)</f>
        <v>قسم اللاين</v>
      </c>
      <c r="F1609" s="103" t="str">
        <f>VLOOKUP(B1609, 'All Menu'!B:M, 3, 0)</f>
        <v>الوجبات اليومية سفري</v>
      </c>
      <c r="G1609" s="90" t="s">
        <v>2342</v>
      </c>
      <c r="H1609" s="219" t="s">
        <v>708</v>
      </c>
      <c r="I1609" s="110" t="str">
        <f>VLOOKUP(H1609, 'RM &amp; SF'!B:H, 2, 0)</f>
        <v>ارز بشعيرية</v>
      </c>
      <c r="J1609" s="184" t="str">
        <f>VLOOKUP(H1609, 'RM &amp; SF'!B:E, 4, 0)</f>
        <v>غم</v>
      </c>
      <c r="K1609" s="12">
        <v>500</v>
      </c>
      <c r="L1609" s="13">
        <f>VLOOKUP(H1609, 'RM &amp; SF'!B:H, 7, 0)</f>
        <v>3.3269616161616159E-4</v>
      </c>
      <c r="M1609" s="7">
        <f t="shared" si="85"/>
        <v>0.16634808080808081</v>
      </c>
      <c r="N1609" s="4" t="s">
        <v>825</v>
      </c>
      <c r="O1609" s="4">
        <f>VLOOKUP(B1609, 'All Menu'!B:L, 6, 0)</f>
        <v>3.4482758620689657</v>
      </c>
      <c r="P1609" s="6">
        <f>VLOOKUP(B1609, 'All Menu'!B:L, 9, 0)</f>
        <v>1.873932684539781</v>
      </c>
      <c r="Q1609" s="14">
        <f>VLOOKUP(B1609, 'All Menu'!B:M, 12, 0)</f>
        <v>0.45655952148346352</v>
      </c>
      <c r="R1609" s="173">
        <f t="shared" si="86"/>
        <v>0</v>
      </c>
    </row>
    <row r="1610" spans="1:18" ht="14" hidden="1">
      <c r="A1610" s="78" t="s">
        <v>2712</v>
      </c>
      <c r="B1610" s="220" t="s">
        <v>1071</v>
      </c>
      <c r="C1610" s="185"/>
      <c r="D1610" s="103" t="str">
        <f>VLOOKUP(B1610, 'All Menu'!B:M, 4, 0)</f>
        <v>الباشا وعساكره</v>
      </c>
      <c r="E1610" s="30" t="str">
        <f>VLOOKUP(B1610, 'All Menu'!B:M, 2, 0)</f>
        <v>قسم اللاين</v>
      </c>
      <c r="F1610" s="103" t="str">
        <f>VLOOKUP(B1610, 'All Menu'!B:M, 3, 0)</f>
        <v>الوجبات اليومية سفري</v>
      </c>
      <c r="G1610" s="90" t="s">
        <v>2190</v>
      </c>
      <c r="H1610" s="188">
        <v>4279</v>
      </c>
      <c r="I1610" s="110" t="str">
        <f>VLOOKUP(H1610, 'RM &amp; SF'!B:H, 2, 0)</f>
        <v>علب ميكرويف مستطيل اسود مفرغة (احادي)*****</v>
      </c>
      <c r="J1610" s="184" t="str">
        <f>VLOOKUP(H1610, 'RM &amp; SF'!B:E, 4, 0)</f>
        <v>قطعة</v>
      </c>
      <c r="K1610" s="12">
        <v>1</v>
      </c>
      <c r="L1610" s="13">
        <f>VLOOKUP(H1610, 'RM &amp; SF'!B:H, 7, 0)</f>
        <v>9.4799999999999995E-2</v>
      </c>
      <c r="M1610" s="7">
        <f t="shared" si="85"/>
        <v>9.4799999999999995E-2</v>
      </c>
      <c r="N1610" s="4" t="s">
        <v>825</v>
      </c>
      <c r="O1610" s="4">
        <f>VLOOKUP(B1610, 'All Menu'!B:L, 6, 0)</f>
        <v>3.4482758620689657</v>
      </c>
      <c r="P1610" s="6">
        <f>VLOOKUP(B1610, 'All Menu'!B:L, 9, 0)</f>
        <v>1.873932684539781</v>
      </c>
      <c r="Q1610" s="14">
        <f>VLOOKUP(B1610, 'All Menu'!B:M, 12, 0)</f>
        <v>0.45655952148346352</v>
      </c>
      <c r="R1610" s="173">
        <f t="shared" si="86"/>
        <v>0</v>
      </c>
    </row>
    <row r="1611" spans="1:18" ht="14" hidden="1">
      <c r="A1611" s="78" t="s">
        <v>2712</v>
      </c>
      <c r="B1611" s="220" t="s">
        <v>1071</v>
      </c>
      <c r="C1611" s="185"/>
      <c r="D1611" s="103" t="str">
        <f>VLOOKUP(B1611, 'All Menu'!B:M, 4, 0)</f>
        <v>الباشا وعساكره</v>
      </c>
      <c r="E1611" s="30" t="str">
        <f>VLOOKUP(B1611, 'All Menu'!B:M, 2, 0)</f>
        <v>قسم اللاين</v>
      </c>
      <c r="F1611" s="103" t="str">
        <f>VLOOKUP(B1611, 'All Menu'!B:M, 3, 0)</f>
        <v>الوجبات اليومية سفري</v>
      </c>
      <c r="G1611" s="90" t="s">
        <v>3058</v>
      </c>
      <c r="H1611" s="188">
        <v>4266</v>
      </c>
      <c r="I1611" s="110" t="str">
        <f>VLOOKUP(H1611, 'RM &amp; SF'!B:H, 2, 0)</f>
        <v>اساور علب وجبات مطبوع 1*50 حبة*****</v>
      </c>
      <c r="J1611" s="184" t="str">
        <f>VLOOKUP(H1611, 'RM &amp; SF'!B:E, 4, 0)</f>
        <v>قطعة</v>
      </c>
      <c r="K1611" s="12">
        <v>1</v>
      </c>
      <c r="L1611" s="13">
        <f>VLOOKUP(H1611, 'RM &amp; SF'!B:H, 7, 0)</f>
        <v>6.3224137931034485E-2</v>
      </c>
      <c r="M1611" s="7">
        <f t="shared" si="85"/>
        <v>6.3224137931034485E-2</v>
      </c>
      <c r="N1611" s="4" t="s">
        <v>825</v>
      </c>
      <c r="O1611" s="4">
        <f>VLOOKUP(B1611, 'All Menu'!B:L, 6, 0)</f>
        <v>3.4482758620689657</v>
      </c>
      <c r="P1611" s="6">
        <f>VLOOKUP(B1611, 'All Menu'!B:L, 9, 0)</f>
        <v>1.873932684539781</v>
      </c>
      <c r="Q1611" s="14">
        <f>VLOOKUP(B1611, 'All Menu'!B:M, 12, 0)</f>
        <v>0.45655952148346352</v>
      </c>
      <c r="R1611" s="173">
        <f t="shared" si="86"/>
        <v>0</v>
      </c>
    </row>
    <row r="1612" spans="1:18" ht="14" hidden="1">
      <c r="A1612" s="78" t="s">
        <v>2712</v>
      </c>
      <c r="B1612" s="220" t="s">
        <v>1071</v>
      </c>
      <c r="C1612" s="185"/>
      <c r="D1612" s="103" t="str">
        <f>VLOOKUP(B1612, 'All Menu'!B:M, 4, 0)</f>
        <v>الباشا وعساكره</v>
      </c>
      <c r="E1612" s="30" t="str">
        <f>VLOOKUP(B1612, 'All Menu'!B:M, 2, 0)</f>
        <v>قسم اللاين</v>
      </c>
      <c r="F1612" s="103" t="str">
        <f>VLOOKUP(B1612, 'All Menu'!B:M, 3, 0)</f>
        <v>الوجبات اليومية سفري</v>
      </c>
      <c r="G1612" s="90" t="s">
        <v>3058</v>
      </c>
      <c r="H1612" s="188">
        <v>4280</v>
      </c>
      <c r="I1612" s="110" t="str">
        <f>VLOOKUP(H1612, 'RM &amp; SF'!B:H, 2, 0)</f>
        <v>علب ميكرويف مدورة اسود 500 مل RC2*****</v>
      </c>
      <c r="J1612" s="184" t="str">
        <f>VLOOKUP(H1612, 'RM &amp; SF'!B:E, 4, 0)</f>
        <v>قطعة</v>
      </c>
      <c r="K1612" s="12">
        <v>1</v>
      </c>
      <c r="L1612" s="13">
        <f>VLOOKUP(H1612, 'RM &amp; SF'!B:H, 7, 0)</f>
        <v>0.125</v>
      </c>
      <c r="M1612" s="7">
        <f t="shared" si="85"/>
        <v>0.125</v>
      </c>
      <c r="N1612" s="4" t="s">
        <v>825</v>
      </c>
      <c r="O1612" s="4">
        <f>VLOOKUP(B1612, 'All Menu'!B:L, 6, 0)</f>
        <v>3.4482758620689657</v>
      </c>
      <c r="P1612" s="6">
        <f>VLOOKUP(B1612, 'All Menu'!B:L, 9, 0)</f>
        <v>1.873932684539781</v>
      </c>
      <c r="Q1612" s="14">
        <f>VLOOKUP(B1612, 'All Menu'!B:M, 12, 0)</f>
        <v>0.45655952148346352</v>
      </c>
      <c r="R1612" s="173">
        <f t="shared" si="86"/>
        <v>0</v>
      </c>
    </row>
    <row r="1613" spans="1:18" ht="14" hidden="1">
      <c r="A1613" s="78" t="s">
        <v>2712</v>
      </c>
      <c r="B1613" s="220" t="s">
        <v>1071</v>
      </c>
      <c r="C1613" s="185"/>
      <c r="D1613" s="103" t="str">
        <f>VLOOKUP(B1613, 'All Menu'!B:M, 4, 0)</f>
        <v>الباشا وعساكره</v>
      </c>
      <c r="E1613" s="30" t="str">
        <f>VLOOKUP(B1613, 'All Menu'!B:M, 2, 0)</f>
        <v>قسم اللاين</v>
      </c>
      <c r="F1613" s="103" t="str">
        <f>VLOOKUP(B1613, 'All Menu'!B:M, 3, 0)</f>
        <v>الوجبات اليومية سفري</v>
      </c>
      <c r="G1613" s="90" t="s">
        <v>2195</v>
      </c>
      <c r="H1613" s="188">
        <v>4329</v>
      </c>
      <c r="I1613" s="110" t="str">
        <f>VLOOKUP(H1613, 'RM &amp; SF'!B:H, 2, 0)</f>
        <v>ملاعق بلاستيك مع معقم مطبوع 1*500 حبة*****</v>
      </c>
      <c r="J1613" s="184" t="str">
        <f>VLOOKUP(H1613, 'RM &amp; SF'!B:E, 4, 0)</f>
        <v>قطعة</v>
      </c>
      <c r="K1613" s="12">
        <v>1</v>
      </c>
      <c r="L1613" s="13">
        <f>VLOOKUP(H1613, 'RM &amp; SF'!B:H, 7, 0)</f>
        <v>4.7399999999999997E-4</v>
      </c>
      <c r="M1613" s="7">
        <f t="shared" si="85"/>
        <v>4.7399999999999997E-4</v>
      </c>
      <c r="N1613" s="4" t="s">
        <v>825</v>
      </c>
      <c r="O1613" s="4">
        <f>VLOOKUP(B1613, 'All Menu'!B:L, 6, 0)</f>
        <v>3.4482758620689657</v>
      </c>
      <c r="P1613" s="6">
        <f>VLOOKUP(B1613, 'All Menu'!B:L, 9, 0)</f>
        <v>1.873932684539781</v>
      </c>
      <c r="Q1613" s="14">
        <f>VLOOKUP(B1613, 'All Menu'!B:M, 12, 0)</f>
        <v>0.45655952148346352</v>
      </c>
      <c r="R1613" s="173">
        <f t="shared" si="86"/>
        <v>0</v>
      </c>
    </row>
    <row r="1614" spans="1:18" ht="14" hidden="1">
      <c r="A1614" s="78" t="s">
        <v>2712</v>
      </c>
      <c r="B1614" s="220" t="s">
        <v>1071</v>
      </c>
      <c r="C1614" s="185"/>
      <c r="D1614" s="103" t="str">
        <f>VLOOKUP(B1614, 'All Menu'!B:M, 4, 0)</f>
        <v>الباشا وعساكره</v>
      </c>
      <c r="E1614" s="30" t="str">
        <f>VLOOKUP(B1614, 'All Menu'!B:M, 2, 0)</f>
        <v>قسم اللاين</v>
      </c>
      <c r="F1614" s="103" t="str">
        <f>VLOOKUP(B1614, 'All Menu'!B:M, 3, 0)</f>
        <v>الوجبات اليومية سفري</v>
      </c>
      <c r="G1614" s="90" t="s">
        <v>2193</v>
      </c>
      <c r="H1614" s="188">
        <v>4309</v>
      </c>
      <c r="I1614" s="110" t="str">
        <f>VLOOKUP(H1614, 'RM &amp; SF'!B:H, 2, 0)</f>
        <v>اكياس بلاستيك مطبوع 55 سم*****</v>
      </c>
      <c r="J1614" s="184" t="str">
        <f>VLOOKUP(H1614, 'RM &amp; SF'!B:E, 4, 0)</f>
        <v>قطعة</v>
      </c>
      <c r="K1614" s="12">
        <v>1</v>
      </c>
      <c r="L1614" s="13">
        <f>VLOOKUP(H1614, 'RM &amp; SF'!B:H, 7, 0)</f>
        <v>5.5172413793103454E-2</v>
      </c>
      <c r="M1614" s="7">
        <f t="shared" si="85"/>
        <v>5.5172413793103454E-2</v>
      </c>
      <c r="N1614" s="4" t="s">
        <v>825</v>
      </c>
      <c r="O1614" s="4">
        <f>VLOOKUP(B1614, 'All Menu'!B:L, 6, 0)</f>
        <v>3.4482758620689657</v>
      </c>
      <c r="P1614" s="6">
        <f>VLOOKUP(B1614, 'All Menu'!B:L, 9, 0)</f>
        <v>1.873932684539781</v>
      </c>
      <c r="Q1614" s="14">
        <f>VLOOKUP(B1614, 'All Menu'!B:M, 12, 0)</f>
        <v>0.45655952148346352</v>
      </c>
      <c r="R1614" s="173">
        <f t="shared" si="86"/>
        <v>0</v>
      </c>
    </row>
    <row r="1615" spans="1:18" ht="14" hidden="1">
      <c r="A1615" s="78" t="s">
        <v>2716</v>
      </c>
      <c r="B1615" s="220" t="s">
        <v>1072</v>
      </c>
      <c r="C1615" s="185"/>
      <c r="D1615" s="103" t="str">
        <f>VLOOKUP(B1615, 'All Menu'!B:M, 4, 0)</f>
        <v>شيشبرك</v>
      </c>
      <c r="E1615" s="30" t="str">
        <f>VLOOKUP(B1615, 'All Menu'!B:M, 2, 0)</f>
        <v>قسم اللاين</v>
      </c>
      <c r="F1615" s="103" t="str">
        <f>VLOOKUP(B1615, 'All Menu'!B:M, 3, 0)</f>
        <v>الوجبات اليومية سفري</v>
      </c>
      <c r="G1615" s="90" t="s">
        <v>2342</v>
      </c>
      <c r="H1615" s="219" t="s">
        <v>708</v>
      </c>
      <c r="I1615" s="110" t="str">
        <f>VLOOKUP(H1615, 'RM &amp; SF'!B:H, 2, 0)</f>
        <v>ارز بشعيرية</v>
      </c>
      <c r="J1615" s="184" t="str">
        <f>VLOOKUP(H1615, 'RM &amp; SF'!B:E, 4, 0)</f>
        <v>غم</v>
      </c>
      <c r="K1615" s="12">
        <v>500</v>
      </c>
      <c r="L1615" s="13">
        <f>VLOOKUP(H1615, 'RM &amp; SF'!B:H, 7, 0)</f>
        <v>3.3269616161616159E-4</v>
      </c>
      <c r="M1615" s="7">
        <f t="shared" si="85"/>
        <v>0.16634808080808081</v>
      </c>
      <c r="N1615" s="4" t="s">
        <v>825</v>
      </c>
      <c r="O1615" s="4">
        <f>VLOOKUP(B1615, 'All Menu'!B:L, 6, 0)</f>
        <v>3.4482758620689657</v>
      </c>
      <c r="P1615" s="6">
        <f>VLOOKUP(B1615, 'All Menu'!B:L, 9, 0)</f>
        <v>1.0812876836433301</v>
      </c>
      <c r="Q1615" s="14">
        <f>VLOOKUP(B1615, 'All Menu'!B:M, 12, 0)</f>
        <v>0.68642657174343435</v>
      </c>
      <c r="R1615" s="173">
        <f t="shared" si="86"/>
        <v>0</v>
      </c>
    </row>
    <row r="1616" spans="1:18" ht="14" hidden="1">
      <c r="A1616" s="78" t="s">
        <v>2716</v>
      </c>
      <c r="B1616" s="220" t="s">
        <v>1072</v>
      </c>
      <c r="C1616" s="185"/>
      <c r="D1616" s="103" t="str">
        <f>VLOOKUP(B1616, 'All Menu'!B:M, 4, 0)</f>
        <v>شيشبرك</v>
      </c>
      <c r="E1616" s="30" t="str">
        <f>VLOOKUP(B1616, 'All Menu'!B:M, 2, 0)</f>
        <v>قسم اللاين</v>
      </c>
      <c r="F1616" s="103" t="str">
        <f>VLOOKUP(B1616, 'All Menu'!B:M, 3, 0)</f>
        <v>الوجبات اليومية سفري</v>
      </c>
      <c r="G1616" s="90" t="s">
        <v>2423</v>
      </c>
      <c r="H1616" s="219" t="s">
        <v>626</v>
      </c>
      <c r="I1616" s="110" t="str">
        <f>VLOOKUP(H1616, 'RM &amp; SF'!B:H, 2, 0)</f>
        <v>تجهيز شيشبرك</v>
      </c>
      <c r="J1616" s="184" t="str">
        <f>VLOOKUP(H1616, 'RM &amp; SF'!B:E, 4, 0)</f>
        <v>قطعة</v>
      </c>
      <c r="K1616" s="12">
        <v>6</v>
      </c>
      <c r="L1616" s="13">
        <f>VLOOKUP(H1616, 'RM &amp; SF'!B:H, 7, 0)</f>
        <v>4.7416855555555561E-2</v>
      </c>
      <c r="M1616" s="7">
        <f t="shared" si="85"/>
        <v>0.28450113333333338</v>
      </c>
      <c r="N1616" s="4" t="s">
        <v>825</v>
      </c>
      <c r="O1616" s="4">
        <f>VLOOKUP(B1616, 'All Menu'!B:L, 6, 0)</f>
        <v>3.4482758620689657</v>
      </c>
      <c r="P1616" s="6">
        <f>VLOOKUP(B1616, 'All Menu'!B:L, 9, 0)</f>
        <v>1.0812876836433301</v>
      </c>
      <c r="Q1616" s="14">
        <f>VLOOKUP(B1616, 'All Menu'!B:M, 12, 0)</f>
        <v>0.68642657174343435</v>
      </c>
      <c r="R1616" s="173">
        <f t="shared" si="86"/>
        <v>0</v>
      </c>
    </row>
    <row r="1617" spans="1:18" ht="14" hidden="1">
      <c r="A1617" s="78" t="s">
        <v>2716</v>
      </c>
      <c r="B1617" s="220" t="s">
        <v>1072</v>
      </c>
      <c r="C1617" s="185"/>
      <c r="D1617" s="103" t="str">
        <f>VLOOKUP(B1617, 'All Menu'!B:M, 4, 0)</f>
        <v>شيشبرك</v>
      </c>
      <c r="E1617" s="30" t="str">
        <f>VLOOKUP(B1617, 'All Menu'!B:M, 2, 0)</f>
        <v>قسم اللاين</v>
      </c>
      <c r="F1617" s="103" t="str">
        <f>VLOOKUP(B1617, 'All Menu'!B:M, 3, 0)</f>
        <v>الوجبات اليومية سفري</v>
      </c>
      <c r="G1617" s="90" t="s">
        <v>2394</v>
      </c>
      <c r="H1617" s="219" t="s">
        <v>588</v>
      </c>
      <c r="I1617" s="110" t="str">
        <f>VLOOKUP(H1617, 'RM &amp; SF'!B:H, 2, 0)</f>
        <v xml:space="preserve">لبن الكبة </v>
      </c>
      <c r="J1617" s="184" t="str">
        <f>VLOOKUP(H1617, 'RM &amp; SF'!B:E, 4, 0)</f>
        <v>غم</v>
      </c>
      <c r="K1617" s="12">
        <v>400</v>
      </c>
      <c r="L1617" s="13">
        <f>VLOOKUP(H1617, 'RM &amp; SF'!B:H, 7, 0)</f>
        <v>7.294197944444444E-4</v>
      </c>
      <c r="M1617" s="7">
        <f t="shared" si="85"/>
        <v>0.29176791777777777</v>
      </c>
      <c r="N1617" s="4" t="s">
        <v>825</v>
      </c>
      <c r="O1617" s="4">
        <f>VLOOKUP(B1617, 'All Menu'!B:L, 6, 0)</f>
        <v>3.4482758620689657</v>
      </c>
      <c r="P1617" s="6">
        <f>VLOOKUP(B1617, 'All Menu'!B:L, 9, 0)</f>
        <v>1.0812876836433301</v>
      </c>
      <c r="Q1617" s="14">
        <f>VLOOKUP(B1617, 'All Menu'!B:M, 12, 0)</f>
        <v>0.68642657174343435</v>
      </c>
      <c r="R1617" s="173">
        <f t="shared" si="86"/>
        <v>0</v>
      </c>
    </row>
    <row r="1618" spans="1:18" ht="14" hidden="1">
      <c r="A1618" s="78" t="s">
        <v>2716</v>
      </c>
      <c r="B1618" s="220" t="s">
        <v>1072</v>
      </c>
      <c r="C1618" s="185"/>
      <c r="D1618" s="103" t="str">
        <f>VLOOKUP(B1618, 'All Menu'!B:M, 4, 0)</f>
        <v>شيشبرك</v>
      </c>
      <c r="E1618" s="30" t="str">
        <f>VLOOKUP(B1618, 'All Menu'!B:M, 2, 0)</f>
        <v>قسم اللاين</v>
      </c>
      <c r="F1618" s="103" t="str">
        <f>VLOOKUP(B1618, 'All Menu'!B:M, 3, 0)</f>
        <v>الوجبات اليومية سفري</v>
      </c>
      <c r="G1618" s="90" t="s">
        <v>2190</v>
      </c>
      <c r="H1618" s="188">
        <v>4279</v>
      </c>
      <c r="I1618" s="110" t="str">
        <f>VLOOKUP(H1618, 'RM &amp; SF'!B:H, 2, 0)</f>
        <v>علب ميكرويف مستطيل اسود مفرغة (احادي)*****</v>
      </c>
      <c r="J1618" s="184" t="str">
        <f>VLOOKUP(H1618, 'RM &amp; SF'!B:E, 4, 0)</f>
        <v>قطعة</v>
      </c>
      <c r="K1618" s="12">
        <v>1</v>
      </c>
      <c r="L1618" s="13">
        <f>VLOOKUP(H1618, 'RM &amp; SF'!B:H, 7, 0)</f>
        <v>9.4799999999999995E-2</v>
      </c>
      <c r="M1618" s="7">
        <f t="shared" si="85"/>
        <v>9.4799999999999995E-2</v>
      </c>
      <c r="N1618" s="4" t="s">
        <v>825</v>
      </c>
      <c r="O1618" s="4">
        <f>VLOOKUP(B1618, 'All Menu'!B:L, 6, 0)</f>
        <v>3.4482758620689657</v>
      </c>
      <c r="P1618" s="6">
        <f>VLOOKUP(B1618, 'All Menu'!B:L, 9, 0)</f>
        <v>1.0812876836433301</v>
      </c>
      <c r="Q1618" s="14">
        <f>VLOOKUP(B1618, 'All Menu'!B:M, 12, 0)</f>
        <v>0.68642657174343435</v>
      </c>
      <c r="R1618" s="173">
        <f t="shared" si="86"/>
        <v>0</v>
      </c>
    </row>
    <row r="1619" spans="1:18" ht="14" hidden="1">
      <c r="A1619" s="78" t="s">
        <v>2716</v>
      </c>
      <c r="B1619" s="220" t="s">
        <v>1072</v>
      </c>
      <c r="C1619" s="185"/>
      <c r="D1619" s="103" t="str">
        <f>VLOOKUP(B1619, 'All Menu'!B:M, 4, 0)</f>
        <v>شيشبرك</v>
      </c>
      <c r="E1619" s="30" t="str">
        <f>VLOOKUP(B1619, 'All Menu'!B:M, 2, 0)</f>
        <v>قسم اللاين</v>
      </c>
      <c r="F1619" s="103" t="str">
        <f>VLOOKUP(B1619, 'All Menu'!B:M, 3, 0)</f>
        <v>الوجبات اليومية سفري</v>
      </c>
      <c r="G1619" s="90" t="s">
        <v>3058</v>
      </c>
      <c r="H1619" s="188">
        <v>4266</v>
      </c>
      <c r="I1619" s="110" t="str">
        <f>VLOOKUP(H1619, 'RM &amp; SF'!B:H, 2, 0)</f>
        <v>اساور علب وجبات مطبوع 1*50 حبة*****</v>
      </c>
      <c r="J1619" s="184" t="str">
        <f>VLOOKUP(H1619, 'RM &amp; SF'!B:E, 4, 0)</f>
        <v>قطعة</v>
      </c>
      <c r="K1619" s="12">
        <v>1</v>
      </c>
      <c r="L1619" s="13">
        <f>VLOOKUP(H1619, 'RM &amp; SF'!B:H, 7, 0)</f>
        <v>6.3224137931034485E-2</v>
      </c>
      <c r="M1619" s="7">
        <f t="shared" si="85"/>
        <v>6.3224137931034485E-2</v>
      </c>
      <c r="N1619" s="4" t="s">
        <v>825</v>
      </c>
      <c r="O1619" s="4">
        <f>VLOOKUP(B1619, 'All Menu'!B:L, 6, 0)</f>
        <v>3.4482758620689657</v>
      </c>
      <c r="P1619" s="6">
        <f>VLOOKUP(B1619, 'All Menu'!B:L, 9, 0)</f>
        <v>1.0812876836433301</v>
      </c>
      <c r="Q1619" s="14">
        <f>VLOOKUP(B1619, 'All Menu'!B:M, 12, 0)</f>
        <v>0.68642657174343435</v>
      </c>
      <c r="R1619" s="173">
        <f t="shared" si="86"/>
        <v>0</v>
      </c>
    </row>
    <row r="1620" spans="1:18" ht="14" hidden="1">
      <c r="A1620" s="78" t="s">
        <v>2716</v>
      </c>
      <c r="B1620" s="220" t="s">
        <v>1072</v>
      </c>
      <c r="C1620" s="185"/>
      <c r="D1620" s="103" t="str">
        <f>VLOOKUP(B1620, 'All Menu'!B:M, 4, 0)</f>
        <v>شيشبرك</v>
      </c>
      <c r="E1620" s="30" t="str">
        <f>VLOOKUP(B1620, 'All Menu'!B:M, 2, 0)</f>
        <v>قسم اللاين</v>
      </c>
      <c r="F1620" s="103" t="str">
        <f>VLOOKUP(B1620, 'All Menu'!B:M, 3, 0)</f>
        <v>الوجبات اليومية سفري</v>
      </c>
      <c r="G1620" s="90" t="s">
        <v>3058</v>
      </c>
      <c r="H1620" s="188">
        <v>4280</v>
      </c>
      <c r="I1620" s="110" t="str">
        <f>VLOOKUP(H1620, 'RM &amp; SF'!B:H, 2, 0)</f>
        <v>علب ميكرويف مدورة اسود 500 مل RC2*****</v>
      </c>
      <c r="J1620" s="184" t="str">
        <f>VLOOKUP(H1620, 'RM &amp; SF'!B:E, 4, 0)</f>
        <v>قطعة</v>
      </c>
      <c r="K1620" s="12">
        <v>1</v>
      </c>
      <c r="L1620" s="13">
        <f>VLOOKUP(H1620, 'RM &amp; SF'!B:H, 7, 0)</f>
        <v>0.125</v>
      </c>
      <c r="M1620" s="7">
        <f t="shared" si="85"/>
        <v>0.125</v>
      </c>
      <c r="N1620" s="4" t="s">
        <v>825</v>
      </c>
      <c r="O1620" s="4">
        <f>VLOOKUP(B1620, 'All Menu'!B:L, 6, 0)</f>
        <v>3.4482758620689657</v>
      </c>
      <c r="P1620" s="6">
        <f>VLOOKUP(B1620, 'All Menu'!B:L, 9, 0)</f>
        <v>1.0812876836433301</v>
      </c>
      <c r="Q1620" s="14">
        <f>VLOOKUP(B1620, 'All Menu'!B:M, 12, 0)</f>
        <v>0.68642657174343435</v>
      </c>
      <c r="R1620" s="173">
        <f t="shared" si="86"/>
        <v>0</v>
      </c>
    </row>
    <row r="1621" spans="1:18" ht="14" hidden="1">
      <c r="A1621" s="78" t="s">
        <v>2716</v>
      </c>
      <c r="B1621" s="220" t="s">
        <v>1072</v>
      </c>
      <c r="C1621" s="185"/>
      <c r="D1621" s="103" t="str">
        <f>VLOOKUP(B1621, 'All Menu'!B:M, 4, 0)</f>
        <v>شيشبرك</v>
      </c>
      <c r="E1621" s="30" t="str">
        <f>VLOOKUP(B1621, 'All Menu'!B:M, 2, 0)</f>
        <v>قسم اللاين</v>
      </c>
      <c r="F1621" s="103" t="str">
        <f>VLOOKUP(B1621, 'All Menu'!B:M, 3, 0)</f>
        <v>الوجبات اليومية سفري</v>
      </c>
      <c r="G1621" s="90" t="s">
        <v>2195</v>
      </c>
      <c r="H1621" s="188">
        <v>4329</v>
      </c>
      <c r="I1621" s="110" t="str">
        <f>VLOOKUP(H1621, 'RM &amp; SF'!B:H, 2, 0)</f>
        <v>ملاعق بلاستيك مع معقم مطبوع 1*500 حبة*****</v>
      </c>
      <c r="J1621" s="184" t="str">
        <f>VLOOKUP(H1621, 'RM &amp; SF'!B:E, 4, 0)</f>
        <v>قطعة</v>
      </c>
      <c r="K1621" s="12">
        <v>1</v>
      </c>
      <c r="L1621" s="13">
        <f>VLOOKUP(H1621, 'RM &amp; SF'!B:H, 7, 0)</f>
        <v>4.7399999999999997E-4</v>
      </c>
      <c r="M1621" s="7">
        <f t="shared" si="85"/>
        <v>4.7399999999999997E-4</v>
      </c>
      <c r="N1621" s="4" t="s">
        <v>825</v>
      </c>
      <c r="O1621" s="4">
        <f>VLOOKUP(B1621, 'All Menu'!B:L, 6, 0)</f>
        <v>3.4482758620689657</v>
      </c>
      <c r="P1621" s="6">
        <f>VLOOKUP(B1621, 'All Menu'!B:L, 9, 0)</f>
        <v>1.0812876836433301</v>
      </c>
      <c r="Q1621" s="14">
        <f>VLOOKUP(B1621, 'All Menu'!B:M, 12, 0)</f>
        <v>0.68642657174343435</v>
      </c>
      <c r="R1621" s="173">
        <f t="shared" si="86"/>
        <v>0</v>
      </c>
    </row>
    <row r="1622" spans="1:18" ht="14" hidden="1">
      <c r="A1622" s="78" t="s">
        <v>2716</v>
      </c>
      <c r="B1622" s="220" t="s">
        <v>1072</v>
      </c>
      <c r="C1622" s="185"/>
      <c r="D1622" s="103" t="str">
        <f>VLOOKUP(B1622, 'All Menu'!B:M, 4, 0)</f>
        <v>شيشبرك</v>
      </c>
      <c r="E1622" s="30" t="str">
        <f>VLOOKUP(B1622, 'All Menu'!B:M, 2, 0)</f>
        <v>قسم اللاين</v>
      </c>
      <c r="F1622" s="103" t="str">
        <f>VLOOKUP(B1622, 'All Menu'!B:M, 3, 0)</f>
        <v>الوجبات اليومية سفري</v>
      </c>
      <c r="G1622" s="90" t="s">
        <v>2193</v>
      </c>
      <c r="H1622" s="188">
        <v>4309</v>
      </c>
      <c r="I1622" s="110" t="str">
        <f>VLOOKUP(H1622, 'RM &amp; SF'!B:H, 2, 0)</f>
        <v>اكياس بلاستيك مطبوع 55 سم*****</v>
      </c>
      <c r="J1622" s="184" t="str">
        <f>VLOOKUP(H1622, 'RM &amp; SF'!B:E, 4, 0)</f>
        <v>قطعة</v>
      </c>
      <c r="K1622" s="12">
        <v>1</v>
      </c>
      <c r="L1622" s="13">
        <f>VLOOKUP(H1622, 'RM &amp; SF'!B:H, 7, 0)</f>
        <v>5.5172413793103454E-2</v>
      </c>
      <c r="M1622" s="7">
        <f t="shared" si="85"/>
        <v>5.5172413793103454E-2</v>
      </c>
      <c r="N1622" s="4" t="s">
        <v>825</v>
      </c>
      <c r="O1622" s="4">
        <f>VLOOKUP(B1622, 'All Menu'!B:L, 6, 0)</f>
        <v>3.4482758620689657</v>
      </c>
      <c r="P1622" s="6">
        <f>VLOOKUP(B1622, 'All Menu'!B:L, 9, 0)</f>
        <v>1.0812876836433301</v>
      </c>
      <c r="Q1622" s="14">
        <f>VLOOKUP(B1622, 'All Menu'!B:M, 12, 0)</f>
        <v>0.68642657174343435</v>
      </c>
      <c r="R1622" s="173">
        <f t="shared" si="86"/>
        <v>0</v>
      </c>
    </row>
    <row r="1623" spans="1:18" ht="14" hidden="1">
      <c r="A1623" s="78" t="s">
        <v>2708</v>
      </c>
      <c r="B1623" s="220" t="s">
        <v>1099</v>
      </c>
      <c r="C1623" s="185"/>
      <c r="D1623" s="103" t="str">
        <f>VLOOKUP(B1623, 'All Menu'!B:M, 4, 0)</f>
        <v>سويت اند سور</v>
      </c>
      <c r="E1623" s="30" t="str">
        <f>VLOOKUP(B1623, 'All Menu'!B:M, 2, 0)</f>
        <v>قسم اللاين</v>
      </c>
      <c r="F1623" s="103" t="str">
        <f>VLOOKUP(B1623, 'All Menu'!B:M, 3, 0)</f>
        <v>الوجبات اليومية سفري</v>
      </c>
      <c r="G1623" s="90" t="s">
        <v>2448</v>
      </c>
      <c r="H1623" s="219" t="s">
        <v>628</v>
      </c>
      <c r="I1623" s="110" t="str">
        <f>VLOOKUP(H1623, 'RM &amp; SF'!B:H, 2, 0)</f>
        <v>سويت اند سور طبخة</v>
      </c>
      <c r="J1623" s="184" t="str">
        <f>VLOOKUP(H1623, 'RM &amp; SF'!B:E, 4, 0)</f>
        <v>غم</v>
      </c>
      <c r="K1623" s="12">
        <v>400</v>
      </c>
      <c r="L1623" s="13">
        <f>VLOOKUP(H1623, 'RM &amp; SF'!B:H, 7, 0)</f>
        <v>9.0929360980239742E-4</v>
      </c>
      <c r="M1623" s="7">
        <f t="shared" si="85"/>
        <v>0.36371744392095895</v>
      </c>
      <c r="N1623" s="4" t="s">
        <v>825</v>
      </c>
      <c r="O1623" s="4">
        <f>VLOOKUP(B1623, 'All Menu'!B:L, 6, 0)</f>
        <v>3.4482758620689657</v>
      </c>
      <c r="P1623" s="6">
        <f>VLOOKUP(B1623, 'All Menu'!B:L, 9, 0)</f>
        <v>1.3523687902456958</v>
      </c>
      <c r="Q1623" s="14">
        <f>VLOOKUP(B1623, 'All Menu'!B:M, 12, 0)</f>
        <v>0.60781305082874826</v>
      </c>
      <c r="R1623" s="173">
        <f t="shared" si="86"/>
        <v>0</v>
      </c>
    </row>
    <row r="1624" spans="1:18" ht="14" hidden="1">
      <c r="A1624" s="78" t="s">
        <v>2708</v>
      </c>
      <c r="B1624" s="220" t="s">
        <v>1099</v>
      </c>
      <c r="C1624" s="185"/>
      <c r="D1624" s="103" t="str">
        <f>VLOOKUP(B1624, 'All Menu'!B:M, 4, 0)</f>
        <v>سويت اند سور</v>
      </c>
      <c r="E1624" s="30" t="str">
        <f>VLOOKUP(B1624, 'All Menu'!B:M, 2, 0)</f>
        <v>قسم اللاين</v>
      </c>
      <c r="F1624" s="103" t="str">
        <f>VLOOKUP(B1624, 'All Menu'!B:M, 3, 0)</f>
        <v>الوجبات اليومية سفري</v>
      </c>
      <c r="G1624" s="90" t="s">
        <v>2390</v>
      </c>
      <c r="H1624" s="219" t="s">
        <v>548</v>
      </c>
      <c r="I1624" s="110" t="str">
        <f>VLOOKUP(H1624, 'RM &amp; SF'!B:H, 2, 0)</f>
        <v>رز ابيض</v>
      </c>
      <c r="J1624" s="184" t="str">
        <f>VLOOKUP(H1624, 'RM &amp; SF'!B:E, 4, 0)</f>
        <v>غم</v>
      </c>
      <c r="K1624" s="12">
        <v>500</v>
      </c>
      <c r="L1624" s="13">
        <f>VLOOKUP(H1624, 'RM &amp; SF'!B:H, 7, 0)</f>
        <v>4.1596433333333332E-4</v>
      </c>
      <c r="M1624" s="7">
        <f t="shared" si="85"/>
        <v>0.20798216666666666</v>
      </c>
      <c r="N1624" s="4" t="s">
        <v>825</v>
      </c>
      <c r="O1624" s="4">
        <f>VLOOKUP(B1624, 'All Menu'!B:L, 6, 0)</f>
        <v>3.4482758620689657</v>
      </c>
      <c r="P1624" s="6">
        <f>VLOOKUP(B1624, 'All Menu'!B:L, 9, 0)</f>
        <v>1.3523687902456958</v>
      </c>
      <c r="Q1624" s="14">
        <f>VLOOKUP(B1624, 'All Menu'!B:M, 12, 0)</f>
        <v>0.60781305082874826</v>
      </c>
      <c r="R1624" s="173">
        <f t="shared" si="86"/>
        <v>0</v>
      </c>
    </row>
    <row r="1625" spans="1:18" ht="14" hidden="1">
      <c r="A1625" s="78" t="s">
        <v>2708</v>
      </c>
      <c r="B1625" s="220" t="s">
        <v>1099</v>
      </c>
      <c r="C1625" s="185"/>
      <c r="D1625" s="103" t="str">
        <f>VLOOKUP(B1625, 'All Menu'!B:M, 4, 0)</f>
        <v>سويت اند سور</v>
      </c>
      <c r="E1625" s="30" t="str">
        <f>VLOOKUP(B1625, 'All Menu'!B:M, 2, 0)</f>
        <v>قسم اللاين</v>
      </c>
      <c r="F1625" s="103" t="str">
        <f>VLOOKUP(B1625, 'All Menu'!B:M, 3, 0)</f>
        <v>الوجبات اليومية سفري</v>
      </c>
      <c r="G1625" s="90" t="s">
        <v>2271</v>
      </c>
      <c r="H1625" s="188">
        <v>4034</v>
      </c>
      <c r="I1625" s="110" t="str">
        <f>VLOOKUP(H1625, 'RM &amp; SF'!B:H, 2, 0)</f>
        <v>اناناس شرائح 565 غم*****</v>
      </c>
      <c r="J1625" s="184" t="str">
        <f>VLOOKUP(H1625, 'RM &amp; SF'!B:E, 4, 0)</f>
        <v>غم</v>
      </c>
      <c r="K1625" s="12">
        <v>20</v>
      </c>
      <c r="L1625" s="13">
        <f>VLOOKUP(H1625, 'RM &amp; SF'!B:H, 7, 0)</f>
        <v>1.5983193277310924E-3</v>
      </c>
      <c r="M1625" s="7">
        <f t="shared" si="85"/>
        <v>3.1966386554621848E-2</v>
      </c>
      <c r="N1625" s="4" t="s">
        <v>825</v>
      </c>
      <c r="O1625" s="4">
        <f>VLOOKUP(B1625, 'All Menu'!B:L, 6, 0)</f>
        <v>3.4482758620689657</v>
      </c>
      <c r="P1625" s="6">
        <f>VLOOKUP(B1625, 'All Menu'!B:L, 9, 0)</f>
        <v>1.3523687902456958</v>
      </c>
      <c r="Q1625" s="14">
        <f>VLOOKUP(B1625, 'All Menu'!B:M, 12, 0)</f>
        <v>0.60781305082874826</v>
      </c>
      <c r="R1625" s="173">
        <f t="shared" si="86"/>
        <v>0</v>
      </c>
    </row>
    <row r="1626" spans="1:18" ht="14" hidden="1">
      <c r="A1626" s="78" t="s">
        <v>2708</v>
      </c>
      <c r="B1626" s="220" t="s">
        <v>1099</v>
      </c>
      <c r="C1626" s="185"/>
      <c r="D1626" s="103" t="str">
        <f>VLOOKUP(B1626, 'All Menu'!B:M, 4, 0)</f>
        <v>سويت اند سور</v>
      </c>
      <c r="E1626" s="30" t="str">
        <f>VLOOKUP(B1626, 'All Menu'!B:M, 2, 0)</f>
        <v>قسم اللاين</v>
      </c>
      <c r="F1626" s="103" t="str">
        <f>VLOOKUP(B1626, 'All Menu'!B:M, 3, 0)</f>
        <v>الوجبات اليومية سفري</v>
      </c>
      <c r="G1626" s="90" t="s">
        <v>2234</v>
      </c>
      <c r="H1626" s="188">
        <v>4503</v>
      </c>
      <c r="I1626" s="110" t="str">
        <f>VLOOKUP(H1626, 'RM &amp; SF'!B:H, 2, 0)</f>
        <v>بصل ناشف دفش*****</v>
      </c>
      <c r="J1626" s="184" t="str">
        <f>VLOOKUP(H1626, 'RM &amp; SF'!B:E, 4, 0)</f>
        <v>غم</v>
      </c>
      <c r="K1626" s="12">
        <v>50</v>
      </c>
      <c r="L1626" s="13">
        <f>VLOOKUP(H1626, 'RM &amp; SF'!B:H, 7, 0)</f>
        <v>2.5000000000000001E-4</v>
      </c>
      <c r="M1626" s="7">
        <f t="shared" si="85"/>
        <v>1.2500000000000001E-2</v>
      </c>
      <c r="N1626" s="4" t="s">
        <v>825</v>
      </c>
      <c r="O1626" s="4">
        <f>VLOOKUP(B1626, 'All Menu'!B:L, 6, 0)</f>
        <v>3.4482758620689657</v>
      </c>
      <c r="P1626" s="6">
        <f>VLOOKUP(B1626, 'All Menu'!B:L, 9, 0)</f>
        <v>1.3523687902456958</v>
      </c>
      <c r="Q1626" s="14">
        <f>VLOOKUP(B1626, 'All Menu'!B:M, 12, 0)</f>
        <v>0.60781305082874826</v>
      </c>
      <c r="R1626" s="173">
        <f t="shared" si="86"/>
        <v>0</v>
      </c>
    </row>
    <row r="1627" spans="1:18" ht="14" hidden="1">
      <c r="A1627" s="78" t="s">
        <v>2708</v>
      </c>
      <c r="B1627" s="220" t="s">
        <v>1099</v>
      </c>
      <c r="C1627" s="185"/>
      <c r="D1627" s="103" t="str">
        <f>VLOOKUP(B1627, 'All Menu'!B:M, 4, 0)</f>
        <v>سويت اند سور</v>
      </c>
      <c r="E1627" s="30" t="str">
        <f>VLOOKUP(B1627, 'All Menu'!B:M, 2, 0)</f>
        <v>قسم اللاين</v>
      </c>
      <c r="F1627" s="103" t="str">
        <f>VLOOKUP(B1627, 'All Menu'!B:M, 3, 0)</f>
        <v>الوجبات اليومية سفري</v>
      </c>
      <c r="G1627" s="90" t="s">
        <v>2233</v>
      </c>
      <c r="H1627" s="188">
        <v>4501</v>
      </c>
      <c r="I1627" s="110" t="str">
        <f>VLOOKUP(H1627, 'RM &amp; SF'!B:H, 2, 0)</f>
        <v>فلفل حلو احمر*****</v>
      </c>
      <c r="J1627" s="184" t="str">
        <f>VLOOKUP(H1627, 'RM &amp; SF'!B:E, 4, 0)</f>
        <v>غم</v>
      </c>
      <c r="K1627" s="12">
        <v>100</v>
      </c>
      <c r="L1627" s="13">
        <f>VLOOKUP(H1627, 'RM &amp; SF'!B:H, 7, 0)</f>
        <v>7.5000000000000002E-4</v>
      </c>
      <c r="M1627" s="7">
        <f t="shared" si="85"/>
        <v>7.4999999999999997E-2</v>
      </c>
      <c r="N1627" s="4" t="s">
        <v>825</v>
      </c>
      <c r="O1627" s="4">
        <f>VLOOKUP(B1627, 'All Menu'!B:L, 6, 0)</f>
        <v>3.4482758620689657</v>
      </c>
      <c r="P1627" s="6">
        <f>VLOOKUP(B1627, 'All Menu'!B:L, 9, 0)</f>
        <v>1.3523687902456958</v>
      </c>
      <c r="Q1627" s="14">
        <f>VLOOKUP(B1627, 'All Menu'!B:M, 12, 0)</f>
        <v>0.60781305082874826</v>
      </c>
      <c r="R1627" s="173">
        <f t="shared" si="86"/>
        <v>0</v>
      </c>
    </row>
    <row r="1628" spans="1:18" ht="14" hidden="1">
      <c r="A1628" s="78" t="s">
        <v>2708</v>
      </c>
      <c r="B1628" s="220" t="s">
        <v>1099</v>
      </c>
      <c r="C1628" s="185"/>
      <c r="D1628" s="103" t="str">
        <f>VLOOKUP(B1628, 'All Menu'!B:M, 4, 0)</f>
        <v>سويت اند سور</v>
      </c>
      <c r="E1628" s="30" t="str">
        <f>VLOOKUP(B1628, 'All Menu'!B:M, 2, 0)</f>
        <v>قسم اللاين</v>
      </c>
      <c r="F1628" s="103" t="str">
        <f>VLOOKUP(B1628, 'All Menu'!B:M, 3, 0)</f>
        <v>الوجبات اليومية سفري</v>
      </c>
      <c r="G1628" s="90" t="s">
        <v>3058</v>
      </c>
      <c r="H1628" s="188">
        <v>5386</v>
      </c>
      <c r="I1628" s="110" t="str">
        <f>VLOOKUP(H1628, 'RM &amp; SF'!B:H, 2, 0)</f>
        <v>مسحب الطاحونة - طلبات مارت</v>
      </c>
      <c r="J1628" s="184" t="str">
        <f>VLOOKUP(H1628, 'RM &amp; SF'!B:E, 4, 0)</f>
        <v>غم</v>
      </c>
      <c r="K1628" s="12">
        <v>100</v>
      </c>
      <c r="L1628" s="13">
        <f>VLOOKUP(H1628, 'RM &amp; SF'!B:H, 7, 0)</f>
        <v>4.2000000000000006E-3</v>
      </c>
      <c r="M1628" s="7">
        <f t="shared" si="85"/>
        <v>0.42000000000000004</v>
      </c>
      <c r="N1628" s="4" t="s">
        <v>825</v>
      </c>
      <c r="O1628" s="4">
        <f>VLOOKUP(B1628, 'All Menu'!B:L, 6, 0)</f>
        <v>3.4482758620689657</v>
      </c>
      <c r="P1628" s="6">
        <f>VLOOKUP(B1628, 'All Menu'!B:L, 9, 0)</f>
        <v>1.3523687902456958</v>
      </c>
      <c r="Q1628" s="14">
        <f>VLOOKUP(B1628, 'All Menu'!B:M, 12, 0)</f>
        <v>0.60781305082874826</v>
      </c>
      <c r="R1628" s="173">
        <f t="shared" si="86"/>
        <v>0</v>
      </c>
    </row>
    <row r="1629" spans="1:18" ht="14" hidden="1">
      <c r="A1629" s="78" t="s">
        <v>2708</v>
      </c>
      <c r="B1629" s="220" t="s">
        <v>1099</v>
      </c>
      <c r="C1629" s="185"/>
      <c r="D1629" s="103" t="str">
        <f>VLOOKUP(B1629, 'All Menu'!B:M, 4, 0)</f>
        <v>سويت اند سور</v>
      </c>
      <c r="E1629" s="30" t="str">
        <f>VLOOKUP(B1629, 'All Menu'!B:M, 2, 0)</f>
        <v>قسم اللاين</v>
      </c>
      <c r="F1629" s="103" t="str">
        <f>VLOOKUP(B1629, 'All Menu'!B:M, 3, 0)</f>
        <v>الوجبات اليومية سفري</v>
      </c>
      <c r="G1629" s="90" t="s">
        <v>2341</v>
      </c>
      <c r="H1629" s="219" t="s">
        <v>706</v>
      </c>
      <c r="I1629" s="110" t="str">
        <f>VLOOKUP(H1629, 'RM &amp; SF'!B:H, 2, 0)</f>
        <v>لوز مقلي</v>
      </c>
      <c r="J1629" s="184" t="str">
        <f>VLOOKUP(H1629, 'RM &amp; SF'!B:E, 4, 0)</f>
        <v>غم</v>
      </c>
      <c r="K1629" s="12">
        <v>20</v>
      </c>
      <c r="L1629" s="13">
        <f>VLOOKUP(H1629, 'RM &amp; SF'!B:H, 7, 0)</f>
        <v>4.1352327586206888E-3</v>
      </c>
      <c r="M1629" s="7">
        <f t="shared" si="85"/>
        <v>8.270465517241378E-2</v>
      </c>
      <c r="N1629" s="4" t="s">
        <v>825</v>
      </c>
      <c r="O1629" s="4">
        <f>VLOOKUP(B1629, 'All Menu'!B:L, 6, 0)</f>
        <v>3.4482758620689657</v>
      </c>
      <c r="P1629" s="6">
        <f>VLOOKUP(B1629, 'All Menu'!B:L, 9, 0)</f>
        <v>1.3523687902456958</v>
      </c>
      <c r="Q1629" s="14">
        <f>VLOOKUP(B1629, 'All Menu'!B:M, 12, 0)</f>
        <v>0.60781305082874826</v>
      </c>
      <c r="R1629" s="173">
        <f t="shared" si="86"/>
        <v>0</v>
      </c>
    </row>
    <row r="1630" spans="1:18" ht="14" hidden="1">
      <c r="A1630" s="78" t="s">
        <v>2708</v>
      </c>
      <c r="B1630" s="220" t="s">
        <v>1099</v>
      </c>
      <c r="C1630" s="185"/>
      <c r="D1630" s="103" t="str">
        <f>VLOOKUP(B1630, 'All Menu'!B:M, 4, 0)</f>
        <v>سويت اند سور</v>
      </c>
      <c r="E1630" s="30" t="str">
        <f>VLOOKUP(B1630, 'All Menu'!B:M, 2, 0)</f>
        <v>قسم اللاين</v>
      </c>
      <c r="F1630" s="103" t="str">
        <f>VLOOKUP(B1630, 'All Menu'!B:M, 3, 0)</f>
        <v>الوجبات اليومية سفري</v>
      </c>
      <c r="G1630" s="90" t="s">
        <v>2190</v>
      </c>
      <c r="H1630" s="188">
        <v>4279</v>
      </c>
      <c r="I1630" s="110" t="str">
        <f>VLOOKUP(H1630, 'RM &amp; SF'!B:H, 2, 0)</f>
        <v>علب ميكرويف مستطيل اسود مفرغة (احادي)*****</v>
      </c>
      <c r="J1630" s="184" t="str">
        <f>VLOOKUP(H1630, 'RM &amp; SF'!B:E, 4, 0)</f>
        <v>قطعة</v>
      </c>
      <c r="K1630" s="12">
        <v>1</v>
      </c>
      <c r="L1630" s="13">
        <f>VLOOKUP(H1630, 'RM &amp; SF'!B:H, 7, 0)</f>
        <v>9.4799999999999995E-2</v>
      </c>
      <c r="M1630" s="7">
        <f t="shared" si="85"/>
        <v>9.4799999999999995E-2</v>
      </c>
      <c r="N1630" s="4" t="s">
        <v>825</v>
      </c>
      <c r="O1630" s="4">
        <f>VLOOKUP(B1630, 'All Menu'!B:L, 6, 0)</f>
        <v>3.4482758620689657</v>
      </c>
      <c r="P1630" s="6">
        <f>VLOOKUP(B1630, 'All Menu'!B:L, 9, 0)</f>
        <v>1.3523687902456958</v>
      </c>
      <c r="Q1630" s="14">
        <f>VLOOKUP(B1630, 'All Menu'!B:M, 12, 0)</f>
        <v>0.60781305082874826</v>
      </c>
      <c r="R1630" s="173">
        <f t="shared" si="86"/>
        <v>0</v>
      </c>
    </row>
    <row r="1631" spans="1:18" ht="14" hidden="1">
      <c r="A1631" s="78" t="s">
        <v>2708</v>
      </c>
      <c r="B1631" s="220" t="s">
        <v>1099</v>
      </c>
      <c r="C1631" s="185"/>
      <c r="D1631" s="103" t="str">
        <f>VLOOKUP(B1631, 'All Menu'!B:M, 4, 0)</f>
        <v>سويت اند سور</v>
      </c>
      <c r="E1631" s="30" t="str">
        <f>VLOOKUP(B1631, 'All Menu'!B:M, 2, 0)</f>
        <v>قسم اللاين</v>
      </c>
      <c r="F1631" s="103" t="str">
        <f>VLOOKUP(B1631, 'All Menu'!B:M, 3, 0)</f>
        <v>الوجبات اليومية سفري</v>
      </c>
      <c r="G1631" s="90" t="s">
        <v>3058</v>
      </c>
      <c r="H1631" s="188">
        <v>4266</v>
      </c>
      <c r="I1631" s="110" t="str">
        <f>VLOOKUP(H1631, 'RM &amp; SF'!B:H, 2, 0)</f>
        <v>اساور علب وجبات مطبوع 1*50 حبة*****</v>
      </c>
      <c r="J1631" s="184" t="str">
        <f>VLOOKUP(H1631, 'RM &amp; SF'!B:E, 4, 0)</f>
        <v>قطعة</v>
      </c>
      <c r="K1631" s="12">
        <v>1</v>
      </c>
      <c r="L1631" s="13">
        <f>VLOOKUP(H1631, 'RM &amp; SF'!B:H, 7, 0)</f>
        <v>6.3224137931034485E-2</v>
      </c>
      <c r="M1631" s="7">
        <f t="shared" si="85"/>
        <v>6.3224137931034485E-2</v>
      </c>
      <c r="N1631" s="4" t="s">
        <v>825</v>
      </c>
      <c r="O1631" s="4">
        <f>VLOOKUP(B1631, 'All Menu'!B:L, 6, 0)</f>
        <v>3.4482758620689657</v>
      </c>
      <c r="P1631" s="6">
        <f>VLOOKUP(B1631, 'All Menu'!B:L, 9, 0)</f>
        <v>1.3523687902456958</v>
      </c>
      <c r="Q1631" s="14">
        <f>VLOOKUP(B1631, 'All Menu'!B:M, 12, 0)</f>
        <v>0.60781305082874826</v>
      </c>
      <c r="R1631" s="173">
        <f t="shared" si="86"/>
        <v>0</v>
      </c>
    </row>
    <row r="1632" spans="1:18" ht="14" hidden="1">
      <c r="A1632" s="78" t="s">
        <v>2708</v>
      </c>
      <c r="B1632" s="220" t="s">
        <v>1099</v>
      </c>
      <c r="C1632" s="185"/>
      <c r="D1632" s="103" t="str">
        <f>VLOOKUP(B1632, 'All Menu'!B:M, 4, 0)</f>
        <v>سويت اند سور</v>
      </c>
      <c r="E1632" s="30" t="str">
        <f>VLOOKUP(B1632, 'All Menu'!B:M, 2, 0)</f>
        <v>قسم اللاين</v>
      </c>
      <c r="F1632" s="103" t="str">
        <f>VLOOKUP(B1632, 'All Menu'!B:M, 3, 0)</f>
        <v>الوجبات اليومية سفري</v>
      </c>
      <c r="G1632" s="90" t="s">
        <v>2195</v>
      </c>
      <c r="H1632" s="188">
        <v>4329</v>
      </c>
      <c r="I1632" s="110" t="str">
        <f>VLOOKUP(H1632, 'RM &amp; SF'!B:H, 2, 0)</f>
        <v>ملاعق بلاستيك مع معقم مطبوع 1*500 حبة*****</v>
      </c>
      <c r="J1632" s="184" t="str">
        <f>VLOOKUP(H1632, 'RM &amp; SF'!B:E, 4, 0)</f>
        <v>قطعة</v>
      </c>
      <c r="K1632" s="12">
        <v>1</v>
      </c>
      <c r="L1632" s="13">
        <f>VLOOKUP(H1632, 'RM &amp; SF'!B:H, 7, 0)</f>
        <v>4.7399999999999997E-4</v>
      </c>
      <c r="M1632" s="7">
        <f t="shared" ref="M1632:M1683" si="87">L1632*K1632</f>
        <v>4.7399999999999997E-4</v>
      </c>
      <c r="N1632" s="4" t="s">
        <v>825</v>
      </c>
      <c r="O1632" s="4">
        <f>VLOOKUP(B1632, 'All Menu'!B:L, 6, 0)</f>
        <v>3.4482758620689657</v>
      </c>
      <c r="P1632" s="6">
        <f>VLOOKUP(B1632, 'All Menu'!B:L, 9, 0)</f>
        <v>1.3523687902456958</v>
      </c>
      <c r="Q1632" s="14">
        <f>VLOOKUP(B1632, 'All Menu'!B:M, 12, 0)</f>
        <v>0.60781305082874826</v>
      </c>
      <c r="R1632" s="173">
        <f t="shared" si="86"/>
        <v>0</v>
      </c>
    </row>
    <row r="1633" spans="1:18" ht="14" hidden="1">
      <c r="A1633" s="78" t="s">
        <v>2736</v>
      </c>
      <c r="B1633" s="220" t="s">
        <v>1125</v>
      </c>
      <c r="C1633" s="185"/>
      <c r="D1633" s="103" t="str">
        <f>VLOOKUP(B1633, 'All Menu'!B:M, 4, 0)</f>
        <v>صرر اوزي</v>
      </c>
      <c r="E1633" s="30" t="str">
        <f>VLOOKUP(B1633, 'All Menu'!B:M, 2, 0)</f>
        <v>قسم اللاين</v>
      </c>
      <c r="F1633" s="103" t="str">
        <f>VLOOKUP(B1633, 'All Menu'!B:M, 3, 0)</f>
        <v>الوجبات اليومية سفري2</v>
      </c>
      <c r="G1633" s="90" t="s">
        <v>2433</v>
      </c>
      <c r="H1633" s="219" t="s">
        <v>642</v>
      </c>
      <c r="I1633" s="110" t="str">
        <f>VLOOKUP(H1633, 'RM &amp; SF'!B:H, 2, 0)</f>
        <v>اوزي صرر</v>
      </c>
      <c r="J1633" s="184" t="str">
        <f>VLOOKUP(H1633, 'RM &amp; SF'!B:E, 4, 0)</f>
        <v>قطعة</v>
      </c>
      <c r="K1633" s="12">
        <v>1</v>
      </c>
      <c r="L1633" s="13">
        <f>VLOOKUP(H1633, 'RM &amp; SF'!B:H, 7, 0)</f>
        <v>1.0772736857971477</v>
      </c>
      <c r="M1633" s="7">
        <f t="shared" si="87"/>
        <v>1.0772736857971477</v>
      </c>
      <c r="N1633" s="4" t="s">
        <v>825</v>
      </c>
      <c r="O1633" s="4">
        <f>VLOOKUP(B1633, 'All Menu'!B:L, 6, 0)</f>
        <v>3.0172413793103452</v>
      </c>
      <c r="P1633" s="6">
        <f>VLOOKUP(B1633, 'All Menu'!B:L, 9, 0)</f>
        <v>1.4509442375212858</v>
      </c>
      <c r="Q1633" s="14">
        <f>VLOOKUP(B1633, 'All Menu'!B:M, 12, 0)</f>
        <v>0.51911562413580248</v>
      </c>
      <c r="R1633" s="173">
        <f t="shared" si="86"/>
        <v>0</v>
      </c>
    </row>
    <row r="1634" spans="1:18" ht="14" hidden="1">
      <c r="A1634" s="78" t="s">
        <v>2736</v>
      </c>
      <c r="B1634" s="220" t="s">
        <v>1125</v>
      </c>
      <c r="C1634" s="185"/>
      <c r="D1634" s="103" t="str">
        <f>VLOOKUP(B1634, 'All Menu'!B:M, 4, 0)</f>
        <v>صرر اوزي</v>
      </c>
      <c r="E1634" s="30" t="str">
        <f>VLOOKUP(B1634, 'All Menu'!B:M, 2, 0)</f>
        <v>قسم اللاين</v>
      </c>
      <c r="F1634" s="103" t="str">
        <f>VLOOKUP(B1634, 'All Menu'!B:M, 3, 0)</f>
        <v>الوجبات اليومية سفري2</v>
      </c>
      <c r="G1634" s="90" t="s">
        <v>2185</v>
      </c>
      <c r="H1634" s="188">
        <v>4550</v>
      </c>
      <c r="I1634" s="110" t="str">
        <f>VLOOKUP(H1634, 'RM &amp; SF'!B:H, 2, 0)</f>
        <v>*****لبن زبادي 150 غم</v>
      </c>
      <c r="J1634" s="184" t="str">
        <f>VLOOKUP(H1634, 'RM &amp; SF'!B:E, 4, 0)</f>
        <v>قطعة</v>
      </c>
      <c r="K1634" s="12">
        <v>1</v>
      </c>
      <c r="L1634" s="13">
        <f>VLOOKUP(H1634, 'RM &amp; SF'!B:H, 7, 0)</f>
        <v>0.16</v>
      </c>
      <c r="M1634" s="7">
        <f t="shared" si="87"/>
        <v>0.16</v>
      </c>
      <c r="N1634" s="4" t="s">
        <v>825</v>
      </c>
      <c r="O1634" s="4">
        <f>VLOOKUP(B1634, 'All Menu'!B:L, 6, 0)</f>
        <v>3.0172413793103452</v>
      </c>
      <c r="P1634" s="6">
        <f>VLOOKUP(B1634, 'All Menu'!B:L, 9, 0)</f>
        <v>1.4509442375212858</v>
      </c>
      <c r="Q1634" s="14">
        <f>VLOOKUP(B1634, 'All Menu'!B:M, 12, 0)</f>
        <v>0.51911562413580248</v>
      </c>
      <c r="R1634" s="173">
        <f t="shared" si="86"/>
        <v>0</v>
      </c>
    </row>
    <row r="1635" spans="1:18" ht="14" hidden="1">
      <c r="A1635" s="78" t="s">
        <v>2736</v>
      </c>
      <c r="B1635" s="220" t="s">
        <v>1125</v>
      </c>
      <c r="C1635" s="185"/>
      <c r="D1635" s="103" t="str">
        <f>VLOOKUP(B1635, 'All Menu'!B:M, 4, 0)</f>
        <v>صرر اوزي</v>
      </c>
      <c r="E1635" s="30" t="str">
        <f>VLOOKUP(B1635, 'All Menu'!B:M, 2, 0)</f>
        <v>قسم اللاين</v>
      </c>
      <c r="F1635" s="103" t="str">
        <f>VLOOKUP(B1635, 'All Menu'!B:M, 3, 0)</f>
        <v>الوجبات اليومية سفري2</v>
      </c>
      <c r="G1635" s="90" t="s">
        <v>2190</v>
      </c>
      <c r="H1635" s="188">
        <v>4279</v>
      </c>
      <c r="I1635" s="110" t="str">
        <f>VLOOKUP(H1635, 'RM &amp; SF'!B:H, 2, 0)</f>
        <v>علب ميكرويف مستطيل اسود مفرغة (احادي)*****</v>
      </c>
      <c r="J1635" s="184" t="str">
        <f>VLOOKUP(H1635, 'RM &amp; SF'!B:E, 4, 0)</f>
        <v>قطعة</v>
      </c>
      <c r="K1635" s="12">
        <v>1</v>
      </c>
      <c r="L1635" s="13">
        <f>VLOOKUP(H1635, 'RM &amp; SF'!B:H, 7, 0)</f>
        <v>9.4799999999999995E-2</v>
      </c>
      <c r="M1635" s="7">
        <f t="shared" si="87"/>
        <v>9.4799999999999995E-2</v>
      </c>
      <c r="N1635" s="4" t="s">
        <v>825</v>
      </c>
      <c r="O1635" s="4">
        <f>VLOOKUP(B1635, 'All Menu'!B:L, 6, 0)</f>
        <v>3.0172413793103452</v>
      </c>
      <c r="P1635" s="6">
        <f>VLOOKUP(B1635, 'All Menu'!B:L, 9, 0)</f>
        <v>1.4509442375212858</v>
      </c>
      <c r="Q1635" s="14">
        <f>VLOOKUP(B1635, 'All Menu'!B:M, 12, 0)</f>
        <v>0.51911562413580248</v>
      </c>
      <c r="R1635" s="173">
        <f t="shared" si="86"/>
        <v>0</v>
      </c>
    </row>
    <row r="1636" spans="1:18" ht="14" hidden="1">
      <c r="A1636" s="78" t="s">
        <v>2736</v>
      </c>
      <c r="B1636" s="220" t="s">
        <v>1125</v>
      </c>
      <c r="C1636" s="185"/>
      <c r="D1636" s="103" t="str">
        <f>VLOOKUP(B1636, 'All Menu'!B:M, 4, 0)</f>
        <v>صرر اوزي</v>
      </c>
      <c r="E1636" s="30" t="str">
        <f>VLOOKUP(B1636, 'All Menu'!B:M, 2, 0)</f>
        <v>قسم اللاين</v>
      </c>
      <c r="F1636" s="103" t="str">
        <f>VLOOKUP(B1636, 'All Menu'!B:M, 3, 0)</f>
        <v>الوجبات اليومية سفري2</v>
      </c>
      <c r="G1636" s="90" t="s">
        <v>3058</v>
      </c>
      <c r="H1636" s="188">
        <v>4266</v>
      </c>
      <c r="I1636" s="110" t="str">
        <f>VLOOKUP(H1636, 'RM &amp; SF'!B:H, 2, 0)</f>
        <v>اساور علب وجبات مطبوع 1*50 حبة*****</v>
      </c>
      <c r="J1636" s="184" t="str">
        <f>VLOOKUP(H1636, 'RM &amp; SF'!B:E, 4, 0)</f>
        <v>قطعة</v>
      </c>
      <c r="K1636" s="12">
        <v>1</v>
      </c>
      <c r="L1636" s="13">
        <f>VLOOKUP(H1636, 'RM &amp; SF'!B:H, 7, 0)</f>
        <v>6.3224137931034485E-2</v>
      </c>
      <c r="M1636" s="7">
        <f t="shared" si="87"/>
        <v>6.3224137931034485E-2</v>
      </c>
      <c r="N1636" s="4" t="s">
        <v>825</v>
      </c>
      <c r="O1636" s="4">
        <f>VLOOKUP(B1636, 'All Menu'!B:L, 6, 0)</f>
        <v>3.0172413793103452</v>
      </c>
      <c r="P1636" s="6">
        <f>VLOOKUP(B1636, 'All Menu'!B:L, 9, 0)</f>
        <v>1.4509442375212858</v>
      </c>
      <c r="Q1636" s="14">
        <f>VLOOKUP(B1636, 'All Menu'!B:M, 12, 0)</f>
        <v>0.51911562413580248</v>
      </c>
      <c r="R1636" s="173">
        <f t="shared" si="86"/>
        <v>0</v>
      </c>
    </row>
    <row r="1637" spans="1:18" ht="14" hidden="1">
      <c r="A1637" s="78" t="s">
        <v>2736</v>
      </c>
      <c r="B1637" s="220" t="s">
        <v>1125</v>
      </c>
      <c r="C1637" s="185"/>
      <c r="D1637" s="103" t="str">
        <f>VLOOKUP(B1637, 'All Menu'!B:M, 4, 0)</f>
        <v>صرر اوزي</v>
      </c>
      <c r="E1637" s="30" t="str">
        <f>VLOOKUP(B1637, 'All Menu'!B:M, 2, 0)</f>
        <v>قسم اللاين</v>
      </c>
      <c r="F1637" s="103" t="str">
        <f>VLOOKUP(B1637, 'All Menu'!B:M, 3, 0)</f>
        <v>الوجبات اليومية سفري2</v>
      </c>
      <c r="G1637" s="90" t="s">
        <v>2195</v>
      </c>
      <c r="H1637" s="188">
        <v>4329</v>
      </c>
      <c r="I1637" s="110" t="str">
        <f>VLOOKUP(H1637, 'RM &amp; SF'!B:H, 2, 0)</f>
        <v>ملاعق بلاستيك مع معقم مطبوع 1*500 حبة*****</v>
      </c>
      <c r="J1637" s="184" t="str">
        <f>VLOOKUP(H1637, 'RM &amp; SF'!B:E, 4, 0)</f>
        <v>قطعة</v>
      </c>
      <c r="K1637" s="12">
        <v>1</v>
      </c>
      <c r="L1637" s="13">
        <f>VLOOKUP(H1637, 'RM &amp; SF'!B:H, 7, 0)</f>
        <v>4.7399999999999997E-4</v>
      </c>
      <c r="M1637" s="7">
        <f t="shared" si="87"/>
        <v>4.7399999999999997E-4</v>
      </c>
      <c r="N1637" s="4" t="s">
        <v>825</v>
      </c>
      <c r="O1637" s="4">
        <f>VLOOKUP(B1637, 'All Menu'!B:L, 6, 0)</f>
        <v>3.0172413793103452</v>
      </c>
      <c r="P1637" s="6">
        <f>VLOOKUP(B1637, 'All Menu'!B:L, 9, 0)</f>
        <v>1.4509442375212858</v>
      </c>
      <c r="Q1637" s="14">
        <f>VLOOKUP(B1637, 'All Menu'!B:M, 12, 0)</f>
        <v>0.51911562413580248</v>
      </c>
      <c r="R1637" s="173">
        <f t="shared" si="86"/>
        <v>0</v>
      </c>
    </row>
    <row r="1638" spans="1:18" ht="14" hidden="1">
      <c r="A1638" s="78" t="s">
        <v>2736</v>
      </c>
      <c r="B1638" s="220" t="s">
        <v>1125</v>
      </c>
      <c r="C1638" s="185"/>
      <c r="D1638" s="103" t="str">
        <f>VLOOKUP(B1638, 'All Menu'!B:M, 4, 0)</f>
        <v>صرر اوزي</v>
      </c>
      <c r="E1638" s="30" t="str">
        <f>VLOOKUP(B1638, 'All Menu'!B:M, 2, 0)</f>
        <v>قسم اللاين</v>
      </c>
      <c r="F1638" s="103" t="str">
        <f>VLOOKUP(B1638, 'All Menu'!B:M, 3, 0)</f>
        <v>الوجبات اليومية سفري2</v>
      </c>
      <c r="G1638" s="90" t="s">
        <v>2193</v>
      </c>
      <c r="H1638" s="188">
        <v>4309</v>
      </c>
      <c r="I1638" s="110" t="str">
        <f>VLOOKUP(H1638, 'RM &amp; SF'!B:H, 2, 0)</f>
        <v>اكياس بلاستيك مطبوع 55 سم*****</v>
      </c>
      <c r="J1638" s="184" t="str">
        <f>VLOOKUP(H1638, 'RM &amp; SF'!B:E, 4, 0)</f>
        <v>قطعة</v>
      </c>
      <c r="K1638" s="12">
        <v>1</v>
      </c>
      <c r="L1638" s="13">
        <f>VLOOKUP(H1638, 'RM &amp; SF'!B:H, 7, 0)</f>
        <v>5.5172413793103454E-2</v>
      </c>
      <c r="M1638" s="7">
        <f t="shared" si="87"/>
        <v>5.5172413793103454E-2</v>
      </c>
      <c r="N1638" s="4" t="s">
        <v>825</v>
      </c>
      <c r="O1638" s="4">
        <f>VLOOKUP(B1638, 'All Menu'!B:L, 6, 0)</f>
        <v>3.0172413793103452</v>
      </c>
      <c r="P1638" s="6">
        <f>VLOOKUP(B1638, 'All Menu'!B:L, 9, 0)</f>
        <v>1.4509442375212858</v>
      </c>
      <c r="Q1638" s="14">
        <f>VLOOKUP(B1638, 'All Menu'!B:M, 12, 0)</f>
        <v>0.51911562413580248</v>
      </c>
      <c r="R1638" s="173">
        <f t="shared" si="86"/>
        <v>0</v>
      </c>
    </row>
    <row r="1639" spans="1:18" ht="14" hidden="1">
      <c r="A1639" s="78" t="s">
        <v>2726</v>
      </c>
      <c r="B1639" s="220" t="s">
        <v>1131</v>
      </c>
      <c r="C1639" s="185"/>
      <c r="D1639" s="103" t="str">
        <f>VLOOKUP(B1639, 'All Menu'!B:M, 4, 0)</f>
        <v>دجاج محشي</v>
      </c>
      <c r="E1639" s="30" t="str">
        <f>VLOOKUP(B1639, 'All Menu'!B:M, 2, 0)</f>
        <v>قسم اللاين</v>
      </c>
      <c r="F1639" s="103" t="str">
        <f>VLOOKUP(B1639, 'All Menu'!B:M, 3, 0)</f>
        <v>الوجبات اليومية سفري</v>
      </c>
      <c r="G1639" s="90" t="s">
        <v>2451</v>
      </c>
      <c r="H1639" s="219" t="s">
        <v>640</v>
      </c>
      <c r="I1639" s="110" t="str">
        <f>VLOOKUP(H1639, 'RM &amp; SF'!B:H, 2, 0)</f>
        <v xml:space="preserve">دجاج محشي </v>
      </c>
      <c r="J1639" s="184" t="str">
        <f>VLOOKUP(H1639, 'RM &amp; SF'!B:E, 4, 0)</f>
        <v>قطعة</v>
      </c>
      <c r="K1639" s="12">
        <v>1</v>
      </c>
      <c r="L1639" s="13">
        <f>VLOOKUP(H1639, 'RM &amp; SF'!B:H, 7, 0)</f>
        <v>0.29605135530167526</v>
      </c>
      <c r="M1639" s="7">
        <f t="shared" si="87"/>
        <v>0.29605135530167526</v>
      </c>
      <c r="N1639" s="4" t="s">
        <v>825</v>
      </c>
      <c r="O1639" s="4">
        <f>VLOOKUP(B1639, 'All Menu'!B:L, 6, 0)</f>
        <v>6.0344827586206904</v>
      </c>
      <c r="P1639" s="6">
        <f>VLOOKUP(B1639, 'All Menu'!B:L, 9, 0)</f>
        <v>1.336207525036065</v>
      </c>
      <c r="Q1639" s="14">
        <f>VLOOKUP(B1639, 'All Menu'!B:M, 12, 0)</f>
        <v>0.77857132442259491</v>
      </c>
      <c r="R1639" s="173">
        <f t="shared" si="86"/>
        <v>0</v>
      </c>
    </row>
    <row r="1640" spans="1:18" ht="14" hidden="1">
      <c r="A1640" s="78" t="s">
        <v>2726</v>
      </c>
      <c r="B1640" s="220" t="s">
        <v>1131</v>
      </c>
      <c r="C1640" s="185"/>
      <c r="D1640" s="103" t="str">
        <f>VLOOKUP(B1640, 'All Menu'!B:M, 4, 0)</f>
        <v>دجاج محشي</v>
      </c>
      <c r="E1640" s="30" t="str">
        <f>VLOOKUP(B1640, 'All Menu'!B:M, 2, 0)</f>
        <v>قسم اللاين</v>
      </c>
      <c r="F1640" s="103" t="str">
        <f>VLOOKUP(B1640, 'All Menu'!B:M, 3, 0)</f>
        <v>الوجبات اليومية سفري</v>
      </c>
      <c r="G1640" s="90" t="s">
        <v>2412</v>
      </c>
      <c r="H1640" s="219" t="s">
        <v>598</v>
      </c>
      <c r="I1640" s="110" t="str">
        <f>VLOOKUP(H1640, 'RM &amp; SF'!B:H, 2, 0)</f>
        <v>رز اوزي</v>
      </c>
      <c r="J1640" s="184" t="str">
        <f>VLOOKUP(H1640, 'RM &amp; SF'!B:E, 4, 0)</f>
        <v>غم</v>
      </c>
      <c r="K1640" s="12">
        <v>500</v>
      </c>
      <c r="L1640" s="13">
        <f>VLOOKUP(H1640, 'RM &amp; SF'!B:H, 7, 0)</f>
        <v>1.1675619256756756E-3</v>
      </c>
      <c r="M1640" s="7">
        <f t="shared" si="87"/>
        <v>0.58378096283783776</v>
      </c>
      <c r="N1640" s="4" t="s">
        <v>825</v>
      </c>
      <c r="O1640" s="4">
        <f>VLOOKUP(B1640, 'All Menu'!B:L, 6, 0)</f>
        <v>6.0344827586206904</v>
      </c>
      <c r="P1640" s="6">
        <f>VLOOKUP(B1640, 'All Menu'!B:L, 9, 0)</f>
        <v>1.336207525036065</v>
      </c>
      <c r="Q1640" s="14">
        <f>VLOOKUP(B1640, 'All Menu'!B:M, 12, 0)</f>
        <v>0.77857132442259491</v>
      </c>
      <c r="R1640" s="173">
        <f t="shared" si="86"/>
        <v>0</v>
      </c>
    </row>
    <row r="1641" spans="1:18" ht="14" hidden="1">
      <c r="A1641" s="78" t="s">
        <v>2726</v>
      </c>
      <c r="B1641" s="220" t="s">
        <v>1131</v>
      </c>
      <c r="C1641" s="185"/>
      <c r="D1641" s="103" t="str">
        <f>VLOOKUP(B1641, 'All Menu'!B:M, 4, 0)</f>
        <v>دجاج محشي</v>
      </c>
      <c r="E1641" s="30" t="str">
        <f>VLOOKUP(B1641, 'All Menu'!B:M, 2, 0)</f>
        <v>قسم اللاين</v>
      </c>
      <c r="F1641" s="103" t="str">
        <f>VLOOKUP(B1641, 'All Menu'!B:M, 3, 0)</f>
        <v>الوجبات اليومية سفري</v>
      </c>
      <c r="G1641" s="90" t="s">
        <v>2341</v>
      </c>
      <c r="H1641" s="219" t="s">
        <v>706</v>
      </c>
      <c r="I1641" s="110" t="str">
        <f>VLOOKUP(H1641, 'RM &amp; SF'!B:H, 2, 0)</f>
        <v>لوز مقلي</v>
      </c>
      <c r="J1641" s="184" t="str">
        <f>VLOOKUP(H1641, 'RM &amp; SF'!B:E, 4, 0)</f>
        <v>غم</v>
      </c>
      <c r="K1641" s="12">
        <v>20</v>
      </c>
      <c r="L1641" s="13">
        <f>VLOOKUP(H1641, 'RM &amp; SF'!B:H, 7, 0)</f>
        <v>4.1352327586206888E-3</v>
      </c>
      <c r="M1641" s="7">
        <f t="shared" si="87"/>
        <v>8.270465517241378E-2</v>
      </c>
      <c r="N1641" s="4" t="s">
        <v>825</v>
      </c>
      <c r="O1641" s="4">
        <f>VLOOKUP(B1641, 'All Menu'!B:L, 6, 0)</f>
        <v>6.0344827586206904</v>
      </c>
      <c r="P1641" s="6">
        <f>VLOOKUP(B1641, 'All Menu'!B:L, 9, 0)</f>
        <v>1.336207525036065</v>
      </c>
      <c r="Q1641" s="14">
        <f>VLOOKUP(B1641, 'All Menu'!B:M, 12, 0)</f>
        <v>0.77857132442259491</v>
      </c>
      <c r="R1641" s="173">
        <f t="shared" si="86"/>
        <v>0</v>
      </c>
    </row>
    <row r="1642" spans="1:18" ht="14" hidden="1">
      <c r="A1642" s="78" t="s">
        <v>2726</v>
      </c>
      <c r="B1642" s="220" t="s">
        <v>1131</v>
      </c>
      <c r="C1642" s="185"/>
      <c r="D1642" s="103" t="str">
        <f>VLOOKUP(B1642, 'All Menu'!B:M, 4, 0)</f>
        <v>دجاج محشي</v>
      </c>
      <c r="E1642" s="30" t="str">
        <f>VLOOKUP(B1642, 'All Menu'!B:M, 2, 0)</f>
        <v>قسم اللاين</v>
      </c>
      <c r="F1642" s="103" t="str">
        <f>VLOOKUP(B1642, 'All Menu'!B:M, 3, 0)</f>
        <v>الوجبات اليومية سفري</v>
      </c>
      <c r="G1642" s="90" t="s">
        <v>2190</v>
      </c>
      <c r="H1642" s="188">
        <v>4279</v>
      </c>
      <c r="I1642" s="110" t="str">
        <f>VLOOKUP(H1642, 'RM &amp; SF'!B:H, 2, 0)</f>
        <v>علب ميكرويف مستطيل اسود مفرغة (احادي)*****</v>
      </c>
      <c r="J1642" s="184" t="str">
        <f>VLOOKUP(H1642, 'RM &amp; SF'!B:E, 4, 0)</f>
        <v>قطعة</v>
      </c>
      <c r="K1642" s="12">
        <v>1</v>
      </c>
      <c r="L1642" s="13">
        <f>VLOOKUP(H1642, 'RM &amp; SF'!B:H, 7, 0)</f>
        <v>9.4799999999999995E-2</v>
      </c>
      <c r="M1642" s="7">
        <f t="shared" si="87"/>
        <v>9.4799999999999995E-2</v>
      </c>
      <c r="N1642" s="4" t="s">
        <v>825</v>
      </c>
      <c r="O1642" s="4">
        <f>VLOOKUP(B1642, 'All Menu'!B:L, 6, 0)</f>
        <v>6.0344827586206904</v>
      </c>
      <c r="P1642" s="6">
        <f>VLOOKUP(B1642, 'All Menu'!B:L, 9, 0)</f>
        <v>1.336207525036065</v>
      </c>
      <c r="Q1642" s="14">
        <f>VLOOKUP(B1642, 'All Menu'!B:M, 12, 0)</f>
        <v>0.77857132442259491</v>
      </c>
      <c r="R1642" s="173">
        <f t="shared" ref="R1642:R1694" si="88">C1642*K1642</f>
        <v>0</v>
      </c>
    </row>
    <row r="1643" spans="1:18" ht="14" hidden="1">
      <c r="A1643" s="78" t="s">
        <v>2726</v>
      </c>
      <c r="B1643" s="220" t="s">
        <v>1131</v>
      </c>
      <c r="C1643" s="185"/>
      <c r="D1643" s="103" t="str">
        <f>VLOOKUP(B1643, 'All Menu'!B:M, 4, 0)</f>
        <v>دجاج محشي</v>
      </c>
      <c r="E1643" s="30" t="str">
        <f>VLOOKUP(B1643, 'All Menu'!B:M, 2, 0)</f>
        <v>قسم اللاين</v>
      </c>
      <c r="F1643" s="103" t="str">
        <f>VLOOKUP(B1643, 'All Menu'!B:M, 3, 0)</f>
        <v>الوجبات اليومية سفري</v>
      </c>
      <c r="G1643" s="90" t="s">
        <v>3058</v>
      </c>
      <c r="H1643" s="188">
        <v>4266</v>
      </c>
      <c r="I1643" s="110" t="str">
        <f>VLOOKUP(H1643, 'RM &amp; SF'!B:H, 2, 0)</f>
        <v>اساور علب وجبات مطبوع 1*50 حبة*****</v>
      </c>
      <c r="J1643" s="184" t="str">
        <f>VLOOKUP(H1643, 'RM &amp; SF'!B:E, 4, 0)</f>
        <v>قطعة</v>
      </c>
      <c r="K1643" s="12">
        <v>1</v>
      </c>
      <c r="L1643" s="13">
        <f>VLOOKUP(H1643, 'RM &amp; SF'!B:H, 7, 0)</f>
        <v>6.3224137931034485E-2</v>
      </c>
      <c r="M1643" s="7">
        <f t="shared" si="87"/>
        <v>6.3224137931034485E-2</v>
      </c>
      <c r="N1643" s="4" t="s">
        <v>825</v>
      </c>
      <c r="O1643" s="4">
        <f>VLOOKUP(B1643, 'All Menu'!B:L, 6, 0)</f>
        <v>6.0344827586206904</v>
      </c>
      <c r="P1643" s="6">
        <f>VLOOKUP(B1643, 'All Menu'!B:L, 9, 0)</f>
        <v>1.336207525036065</v>
      </c>
      <c r="Q1643" s="14">
        <f>VLOOKUP(B1643, 'All Menu'!B:M, 12, 0)</f>
        <v>0.77857132442259491</v>
      </c>
      <c r="R1643" s="173">
        <f t="shared" si="88"/>
        <v>0</v>
      </c>
    </row>
    <row r="1644" spans="1:18" ht="14" hidden="1">
      <c r="A1644" s="78" t="s">
        <v>2726</v>
      </c>
      <c r="B1644" s="220" t="s">
        <v>1131</v>
      </c>
      <c r="C1644" s="185"/>
      <c r="D1644" s="103" t="str">
        <f>VLOOKUP(B1644, 'All Menu'!B:M, 4, 0)</f>
        <v>دجاج محشي</v>
      </c>
      <c r="E1644" s="30" t="str">
        <f>VLOOKUP(B1644, 'All Menu'!B:M, 2, 0)</f>
        <v>قسم اللاين</v>
      </c>
      <c r="F1644" s="103" t="str">
        <f>VLOOKUP(B1644, 'All Menu'!B:M, 3, 0)</f>
        <v>الوجبات اليومية سفري</v>
      </c>
      <c r="G1644" s="90" t="s">
        <v>2195</v>
      </c>
      <c r="H1644" s="188">
        <v>4329</v>
      </c>
      <c r="I1644" s="110" t="str">
        <f>VLOOKUP(H1644, 'RM &amp; SF'!B:H, 2, 0)</f>
        <v>ملاعق بلاستيك مع معقم مطبوع 1*500 حبة*****</v>
      </c>
      <c r="J1644" s="184" t="str">
        <f>VLOOKUP(H1644, 'RM &amp; SF'!B:E, 4, 0)</f>
        <v>قطعة</v>
      </c>
      <c r="K1644" s="12">
        <v>1</v>
      </c>
      <c r="L1644" s="13">
        <f>VLOOKUP(H1644, 'RM &amp; SF'!B:H, 7, 0)</f>
        <v>4.7399999999999997E-4</v>
      </c>
      <c r="M1644" s="7">
        <f t="shared" si="87"/>
        <v>4.7399999999999997E-4</v>
      </c>
      <c r="N1644" s="4" t="s">
        <v>825</v>
      </c>
      <c r="O1644" s="4">
        <f>VLOOKUP(B1644, 'All Menu'!B:L, 6, 0)</f>
        <v>6.0344827586206904</v>
      </c>
      <c r="P1644" s="6">
        <f>VLOOKUP(B1644, 'All Menu'!B:L, 9, 0)</f>
        <v>1.336207525036065</v>
      </c>
      <c r="Q1644" s="14">
        <f>VLOOKUP(B1644, 'All Menu'!B:M, 12, 0)</f>
        <v>0.77857132442259491</v>
      </c>
      <c r="R1644" s="173">
        <f t="shared" si="88"/>
        <v>0</v>
      </c>
    </row>
    <row r="1645" spans="1:18" ht="14" hidden="1">
      <c r="A1645" s="78" t="s">
        <v>2726</v>
      </c>
      <c r="B1645" s="220" t="s">
        <v>1131</v>
      </c>
      <c r="C1645" s="185"/>
      <c r="D1645" s="103" t="str">
        <f>VLOOKUP(B1645, 'All Menu'!B:M, 4, 0)</f>
        <v>دجاج محشي</v>
      </c>
      <c r="E1645" s="30" t="str">
        <f>VLOOKUP(B1645, 'All Menu'!B:M, 2, 0)</f>
        <v>قسم اللاين</v>
      </c>
      <c r="F1645" s="103" t="str">
        <f>VLOOKUP(B1645, 'All Menu'!B:M, 3, 0)</f>
        <v>الوجبات اليومية سفري</v>
      </c>
      <c r="G1645" s="90" t="s">
        <v>2193</v>
      </c>
      <c r="H1645" s="188">
        <v>4309</v>
      </c>
      <c r="I1645" s="110" t="str">
        <f>VLOOKUP(H1645, 'RM &amp; SF'!B:H, 2, 0)</f>
        <v>اكياس بلاستيك مطبوع 55 سم*****</v>
      </c>
      <c r="J1645" s="184" t="str">
        <f>VLOOKUP(H1645, 'RM &amp; SF'!B:E, 4, 0)</f>
        <v>قطعة</v>
      </c>
      <c r="K1645" s="12">
        <v>1</v>
      </c>
      <c r="L1645" s="13">
        <f>VLOOKUP(H1645, 'RM &amp; SF'!B:H, 7, 0)</f>
        <v>5.5172413793103454E-2</v>
      </c>
      <c r="M1645" s="7">
        <f t="shared" si="87"/>
        <v>5.5172413793103454E-2</v>
      </c>
      <c r="N1645" s="4" t="s">
        <v>825</v>
      </c>
      <c r="O1645" s="4">
        <f>VLOOKUP(B1645, 'All Menu'!B:L, 6, 0)</f>
        <v>6.0344827586206904</v>
      </c>
      <c r="P1645" s="6">
        <f>VLOOKUP(B1645, 'All Menu'!B:L, 9, 0)</f>
        <v>1.336207525036065</v>
      </c>
      <c r="Q1645" s="14">
        <f>VLOOKUP(B1645, 'All Menu'!B:M, 12, 0)</f>
        <v>0.77857132442259491</v>
      </c>
      <c r="R1645" s="173">
        <f t="shared" si="88"/>
        <v>0</v>
      </c>
    </row>
    <row r="1646" spans="1:18" ht="14" hidden="1">
      <c r="A1646" s="78" t="s">
        <v>2726</v>
      </c>
      <c r="B1646" s="220" t="s">
        <v>1131</v>
      </c>
      <c r="C1646" s="185"/>
      <c r="D1646" s="103" t="str">
        <f>VLOOKUP(B1646, 'All Menu'!B:M, 4, 0)</f>
        <v>دجاج محشي</v>
      </c>
      <c r="E1646" s="30" t="str">
        <f>VLOOKUP(B1646, 'All Menu'!B:M, 2, 0)</f>
        <v>قسم اللاين</v>
      </c>
      <c r="F1646" s="103" t="str">
        <f>VLOOKUP(B1646, 'All Menu'!B:M, 3, 0)</f>
        <v>الوجبات اليومية سفري</v>
      </c>
      <c r="G1646" s="90" t="s">
        <v>2185</v>
      </c>
      <c r="H1646" s="188">
        <v>4550</v>
      </c>
      <c r="I1646" s="110" t="str">
        <f>VLOOKUP(H1646, 'RM &amp; SF'!B:H, 2, 0)</f>
        <v>*****لبن زبادي 150 غم</v>
      </c>
      <c r="J1646" s="184" t="str">
        <f>VLOOKUP(H1646, 'RM &amp; SF'!B:E, 4, 0)</f>
        <v>قطعة</v>
      </c>
      <c r="K1646" s="12">
        <v>1</v>
      </c>
      <c r="L1646" s="13">
        <f>VLOOKUP(H1646, 'RM &amp; SF'!B:H, 7, 0)</f>
        <v>0.16</v>
      </c>
      <c r="M1646" s="7">
        <f t="shared" si="87"/>
        <v>0.16</v>
      </c>
      <c r="N1646" s="4" t="s">
        <v>825</v>
      </c>
      <c r="O1646" s="4">
        <f>VLOOKUP(B1646, 'All Menu'!B:L, 6, 0)</f>
        <v>6.0344827586206904</v>
      </c>
      <c r="P1646" s="6">
        <f>VLOOKUP(B1646, 'All Menu'!B:L, 9, 0)</f>
        <v>1.336207525036065</v>
      </c>
      <c r="Q1646" s="14">
        <f>VLOOKUP(B1646, 'All Menu'!B:M, 12, 0)</f>
        <v>0.77857132442259491</v>
      </c>
      <c r="R1646" s="173">
        <f t="shared" si="88"/>
        <v>0</v>
      </c>
    </row>
    <row r="1647" spans="1:18" ht="14" hidden="1">
      <c r="A1647" s="78" t="s">
        <v>2725</v>
      </c>
      <c r="B1647" s="220" t="s">
        <v>1155</v>
      </c>
      <c r="C1647" s="185"/>
      <c r="D1647" s="103" t="str">
        <f>VLOOKUP(B1647, 'All Menu'!B:M, 4, 0)</f>
        <v>وجبة محاشي</v>
      </c>
      <c r="E1647" s="30" t="str">
        <f>VLOOKUP(B1647, 'All Menu'!B:M, 2, 0)</f>
        <v>قسم اللاين</v>
      </c>
      <c r="F1647" s="103" t="str">
        <f>VLOOKUP(B1647, 'All Menu'!B:M, 3, 0)</f>
        <v>الوجبات اليومية سفري</v>
      </c>
      <c r="G1647" s="90" t="s">
        <v>2435</v>
      </c>
      <c r="H1647" s="219" t="s">
        <v>690</v>
      </c>
      <c r="I1647" s="110" t="str">
        <f>VLOOKUP(H1647, 'RM &amp; SF'!B:H, 2, 0)</f>
        <v>كوسا محشي بالحبة</v>
      </c>
      <c r="J1647" s="184" t="str">
        <f>VLOOKUP(H1647, 'RM &amp; SF'!B:E, 4, 0)</f>
        <v>قطعة</v>
      </c>
      <c r="K1647" s="12">
        <v>4</v>
      </c>
      <c r="L1647" s="13">
        <f>VLOOKUP(H1647, 'RM &amp; SF'!B:H, 7, 0)</f>
        <v>0.20580553846153843</v>
      </c>
      <c r="M1647" s="7">
        <f t="shared" si="87"/>
        <v>0.82322215384615371</v>
      </c>
      <c r="N1647" s="4" t="s">
        <v>825</v>
      </c>
      <c r="O1647" s="4">
        <f>VLOOKUP(B1647, 'All Menu'!B:L, 6, 0)</f>
        <v>3.4482758620689657</v>
      </c>
      <c r="P1647" s="6">
        <f>VLOOKUP(B1647, 'All Menu'!B:L, 9, 0)</f>
        <v>1.6677253566004877</v>
      </c>
      <c r="Q1647" s="14">
        <f>VLOOKUP(B1647, 'All Menu'!B:M, 12, 0)</f>
        <v>0.51635964658585864</v>
      </c>
      <c r="R1647" s="173">
        <f t="shared" si="88"/>
        <v>0</v>
      </c>
    </row>
    <row r="1648" spans="1:18" ht="14" hidden="1">
      <c r="A1648" s="78" t="s">
        <v>2725</v>
      </c>
      <c r="B1648" s="220" t="s">
        <v>1155</v>
      </c>
      <c r="C1648" s="185"/>
      <c r="D1648" s="103" t="str">
        <f>VLOOKUP(B1648, 'All Menu'!B:M, 4, 0)</f>
        <v>وجبة محاشي</v>
      </c>
      <c r="E1648" s="30" t="str">
        <f>VLOOKUP(B1648, 'All Menu'!B:M, 2, 0)</f>
        <v>قسم اللاين</v>
      </c>
      <c r="F1648" s="103" t="str">
        <f>VLOOKUP(B1648, 'All Menu'!B:M, 3, 0)</f>
        <v>الوجبات اليومية سفري</v>
      </c>
      <c r="G1648" s="90" t="s">
        <v>2436</v>
      </c>
      <c r="H1648" s="219" t="s">
        <v>692</v>
      </c>
      <c r="I1648" s="110" t="str">
        <f>VLOOKUP(H1648, 'RM &amp; SF'!B:H, 2, 0)</f>
        <v xml:space="preserve">باذنجان محشي </v>
      </c>
      <c r="J1648" s="184" t="str">
        <f>VLOOKUP(H1648, 'RM &amp; SF'!B:E, 4, 0)</f>
        <v>قطعة</v>
      </c>
      <c r="K1648" s="12">
        <v>4</v>
      </c>
      <c r="L1648" s="13">
        <f>VLOOKUP(H1648, 'RM &amp; SF'!B:H, 7, 0)</f>
        <v>9.8091661538461536E-2</v>
      </c>
      <c r="M1648" s="7">
        <f t="shared" si="87"/>
        <v>0.39236664615384614</v>
      </c>
      <c r="N1648" s="4" t="s">
        <v>825</v>
      </c>
      <c r="O1648" s="4">
        <f>VLOOKUP(B1648, 'All Menu'!B:L, 6, 0)</f>
        <v>3.4482758620689657</v>
      </c>
      <c r="P1648" s="6">
        <f>VLOOKUP(B1648, 'All Menu'!B:L, 9, 0)</f>
        <v>1.6677253566004877</v>
      </c>
      <c r="Q1648" s="14">
        <f>VLOOKUP(B1648, 'All Menu'!B:M, 12, 0)</f>
        <v>0.51635964658585864</v>
      </c>
      <c r="R1648" s="173">
        <f t="shared" si="88"/>
        <v>0</v>
      </c>
    </row>
    <row r="1649" spans="1:18" ht="14" hidden="1">
      <c r="A1649" s="78" t="s">
        <v>2725</v>
      </c>
      <c r="B1649" s="220" t="s">
        <v>1155</v>
      </c>
      <c r="C1649" s="185"/>
      <c r="D1649" s="198" t="str">
        <f>VLOOKUP(B1649, 'All Menu'!B:M, 4, 0)</f>
        <v>وجبة محاشي</v>
      </c>
      <c r="E1649" s="30" t="str">
        <f>VLOOKUP(B1649, 'All Menu'!B:M, 2, 0)</f>
        <v>قسم اللاين</v>
      </c>
      <c r="F1649" s="103" t="str">
        <f>VLOOKUP(B1649, 'All Menu'!B:M, 3, 0)</f>
        <v>الوجبات اليومية سفري</v>
      </c>
      <c r="G1649" s="90" t="s">
        <v>2434</v>
      </c>
      <c r="H1649" s="219" t="s">
        <v>574</v>
      </c>
      <c r="I1649" s="110" t="str">
        <f>VLOOKUP(H1649, 'RM &amp; SF'!B:H, 2, 0)</f>
        <v>صوص بندورة</v>
      </c>
      <c r="J1649" s="184" t="str">
        <f>VLOOKUP(H1649, 'RM &amp; SF'!B:E, 4, 0)</f>
        <v>غم</v>
      </c>
      <c r="K1649" s="12">
        <v>100</v>
      </c>
      <c r="L1649" s="13">
        <f>VLOOKUP(H1649, 'RM &amp; SF'!B:H, 7, 0)</f>
        <v>1.1346600487634969E-3</v>
      </c>
      <c r="M1649" s="7">
        <f t="shared" si="87"/>
        <v>0.1134660048763497</v>
      </c>
      <c r="N1649" s="4" t="s">
        <v>825</v>
      </c>
      <c r="O1649" s="4">
        <f>VLOOKUP(B1649, 'All Menu'!B:L, 6, 0)</f>
        <v>3.4482758620689657</v>
      </c>
      <c r="P1649" s="6">
        <f>VLOOKUP(B1649, 'All Menu'!B:L, 9, 0)</f>
        <v>1.6677253566004877</v>
      </c>
      <c r="Q1649" s="14">
        <f>VLOOKUP(B1649, 'All Menu'!B:M, 12, 0)</f>
        <v>0.51635964658585864</v>
      </c>
      <c r="R1649" s="173">
        <f t="shared" si="88"/>
        <v>0</v>
      </c>
    </row>
    <row r="1650" spans="1:18" ht="14" hidden="1">
      <c r="A1650" s="78" t="s">
        <v>2725</v>
      </c>
      <c r="B1650" s="220" t="s">
        <v>1155</v>
      </c>
      <c r="C1650" s="185"/>
      <c r="D1650" s="103" t="str">
        <f>VLOOKUP(B1650, 'All Menu'!B:M, 4, 0)</f>
        <v>وجبة محاشي</v>
      </c>
      <c r="E1650" s="30" t="str">
        <f>VLOOKUP(B1650, 'All Menu'!B:M, 2, 0)</f>
        <v>قسم اللاين</v>
      </c>
      <c r="F1650" s="103" t="str">
        <f>VLOOKUP(B1650, 'All Menu'!B:M, 3, 0)</f>
        <v>الوجبات اليومية سفري</v>
      </c>
      <c r="G1650" s="90" t="s">
        <v>2190</v>
      </c>
      <c r="H1650" s="188">
        <v>4279</v>
      </c>
      <c r="I1650" s="110" t="str">
        <f>VLOOKUP(H1650, 'RM &amp; SF'!B:H, 2, 0)</f>
        <v>علب ميكرويف مستطيل اسود مفرغة (احادي)*****</v>
      </c>
      <c r="J1650" s="184" t="str">
        <f>VLOOKUP(H1650, 'RM &amp; SF'!B:E, 4, 0)</f>
        <v>قطعة</v>
      </c>
      <c r="K1650" s="12">
        <v>1</v>
      </c>
      <c r="L1650" s="13">
        <f>VLOOKUP(H1650, 'RM &amp; SF'!B:H, 7, 0)</f>
        <v>9.4799999999999995E-2</v>
      </c>
      <c r="M1650" s="7">
        <f t="shared" si="87"/>
        <v>9.4799999999999995E-2</v>
      </c>
      <c r="N1650" s="4" t="s">
        <v>825</v>
      </c>
      <c r="O1650" s="4">
        <f>VLOOKUP(B1650, 'All Menu'!B:L, 6, 0)</f>
        <v>3.4482758620689657</v>
      </c>
      <c r="P1650" s="6">
        <f>VLOOKUP(B1650, 'All Menu'!B:L, 9, 0)</f>
        <v>1.6677253566004877</v>
      </c>
      <c r="Q1650" s="14">
        <f>VLOOKUP(B1650, 'All Menu'!B:M, 12, 0)</f>
        <v>0.51635964658585864</v>
      </c>
      <c r="R1650" s="173">
        <f t="shared" si="88"/>
        <v>0</v>
      </c>
    </row>
    <row r="1651" spans="1:18" ht="14" hidden="1">
      <c r="A1651" s="78" t="s">
        <v>2725</v>
      </c>
      <c r="B1651" s="220" t="s">
        <v>1155</v>
      </c>
      <c r="C1651" s="185"/>
      <c r="D1651" s="103" t="str">
        <f>VLOOKUP(B1651, 'All Menu'!B:M, 4, 0)</f>
        <v>وجبة محاشي</v>
      </c>
      <c r="E1651" s="30" t="str">
        <f>VLOOKUP(B1651, 'All Menu'!B:M, 2, 0)</f>
        <v>قسم اللاين</v>
      </c>
      <c r="F1651" s="103" t="str">
        <f>VLOOKUP(B1651, 'All Menu'!B:M, 3, 0)</f>
        <v>الوجبات اليومية سفري</v>
      </c>
      <c r="G1651" s="90" t="s">
        <v>3058</v>
      </c>
      <c r="H1651" s="188">
        <v>4266</v>
      </c>
      <c r="I1651" s="110" t="str">
        <f>VLOOKUP(H1651, 'RM &amp; SF'!B:H, 2, 0)</f>
        <v>اساور علب وجبات مطبوع 1*50 حبة*****</v>
      </c>
      <c r="J1651" s="184" t="str">
        <f>VLOOKUP(H1651, 'RM &amp; SF'!B:E, 4, 0)</f>
        <v>قطعة</v>
      </c>
      <c r="K1651" s="12">
        <v>1</v>
      </c>
      <c r="L1651" s="13">
        <f>VLOOKUP(H1651, 'RM &amp; SF'!B:H, 7, 0)</f>
        <v>6.3224137931034485E-2</v>
      </c>
      <c r="M1651" s="7">
        <f t="shared" si="87"/>
        <v>6.3224137931034485E-2</v>
      </c>
      <c r="N1651" s="4" t="s">
        <v>825</v>
      </c>
      <c r="O1651" s="4">
        <f>VLOOKUP(B1651, 'All Menu'!B:L, 6, 0)</f>
        <v>3.4482758620689657</v>
      </c>
      <c r="P1651" s="6">
        <f>VLOOKUP(B1651, 'All Menu'!B:L, 9, 0)</f>
        <v>1.6677253566004877</v>
      </c>
      <c r="Q1651" s="14">
        <f>VLOOKUP(B1651, 'All Menu'!B:M, 12, 0)</f>
        <v>0.51635964658585864</v>
      </c>
      <c r="R1651" s="173">
        <f t="shared" si="88"/>
        <v>0</v>
      </c>
    </row>
    <row r="1652" spans="1:18" ht="14" hidden="1">
      <c r="A1652" s="78" t="s">
        <v>2725</v>
      </c>
      <c r="B1652" s="220" t="s">
        <v>1155</v>
      </c>
      <c r="C1652" s="185"/>
      <c r="D1652" s="103" t="str">
        <f>VLOOKUP(B1652, 'All Menu'!B:M, 4, 0)</f>
        <v>وجبة محاشي</v>
      </c>
      <c r="E1652" s="30" t="str">
        <f>VLOOKUP(B1652, 'All Menu'!B:M, 2, 0)</f>
        <v>قسم اللاين</v>
      </c>
      <c r="F1652" s="103" t="str">
        <f>VLOOKUP(B1652, 'All Menu'!B:M, 3, 0)</f>
        <v>الوجبات اليومية سفري</v>
      </c>
      <c r="G1652" s="90" t="s">
        <v>2195</v>
      </c>
      <c r="H1652" s="188">
        <v>4329</v>
      </c>
      <c r="I1652" s="110" t="str">
        <f>VLOOKUP(H1652, 'RM &amp; SF'!B:H, 2, 0)</f>
        <v>ملاعق بلاستيك مع معقم مطبوع 1*500 حبة*****</v>
      </c>
      <c r="J1652" s="184" t="str">
        <f>VLOOKUP(H1652, 'RM &amp; SF'!B:E, 4, 0)</f>
        <v>قطعة</v>
      </c>
      <c r="K1652" s="12">
        <v>1</v>
      </c>
      <c r="L1652" s="13">
        <f>VLOOKUP(H1652, 'RM &amp; SF'!B:H, 7, 0)</f>
        <v>4.7399999999999997E-4</v>
      </c>
      <c r="M1652" s="7">
        <f t="shared" si="87"/>
        <v>4.7399999999999997E-4</v>
      </c>
      <c r="N1652" s="4" t="s">
        <v>825</v>
      </c>
      <c r="O1652" s="4">
        <f>VLOOKUP(B1652, 'All Menu'!B:L, 6, 0)</f>
        <v>3.4482758620689657</v>
      </c>
      <c r="P1652" s="6">
        <f>VLOOKUP(B1652, 'All Menu'!B:L, 9, 0)</f>
        <v>1.6677253566004877</v>
      </c>
      <c r="Q1652" s="14">
        <f>VLOOKUP(B1652, 'All Menu'!B:M, 12, 0)</f>
        <v>0.51635964658585864</v>
      </c>
      <c r="R1652" s="173">
        <f t="shared" si="88"/>
        <v>0</v>
      </c>
    </row>
    <row r="1653" spans="1:18" ht="14" hidden="1">
      <c r="A1653" s="78" t="s">
        <v>2725</v>
      </c>
      <c r="B1653" s="220" t="s">
        <v>1155</v>
      </c>
      <c r="C1653" s="185"/>
      <c r="D1653" s="103" t="str">
        <f>VLOOKUP(B1653, 'All Menu'!B:M, 4, 0)</f>
        <v>وجبة محاشي</v>
      </c>
      <c r="E1653" s="30" t="str">
        <f>VLOOKUP(B1653, 'All Menu'!B:M, 2, 0)</f>
        <v>قسم اللاين</v>
      </c>
      <c r="F1653" s="103" t="str">
        <f>VLOOKUP(B1653, 'All Menu'!B:M, 3, 0)</f>
        <v>الوجبات اليومية سفري</v>
      </c>
      <c r="G1653" s="90" t="s">
        <v>3058</v>
      </c>
      <c r="H1653" s="188">
        <v>4280</v>
      </c>
      <c r="I1653" s="110" t="str">
        <f>VLOOKUP(H1653, 'RM &amp; SF'!B:H, 2, 0)</f>
        <v>علب ميكرويف مدورة اسود 500 مل RC2*****</v>
      </c>
      <c r="J1653" s="184" t="str">
        <f>VLOOKUP(H1653, 'RM &amp; SF'!B:E, 4, 0)</f>
        <v>قطعة</v>
      </c>
      <c r="K1653" s="12">
        <v>1</v>
      </c>
      <c r="L1653" s="13">
        <f>VLOOKUP(H1653, 'RM &amp; SF'!B:H, 7, 0)</f>
        <v>0.125</v>
      </c>
      <c r="M1653" s="7">
        <f t="shared" si="87"/>
        <v>0.125</v>
      </c>
      <c r="N1653" s="4" t="s">
        <v>825</v>
      </c>
      <c r="O1653" s="4">
        <f>VLOOKUP(B1653, 'All Menu'!B:L, 6, 0)</f>
        <v>3.4482758620689657</v>
      </c>
      <c r="P1653" s="6">
        <f>VLOOKUP(B1653, 'All Menu'!B:L, 9, 0)</f>
        <v>1.6677253566004877</v>
      </c>
      <c r="Q1653" s="14">
        <f>VLOOKUP(B1653, 'All Menu'!B:M, 12, 0)</f>
        <v>0.51635964658585864</v>
      </c>
      <c r="R1653" s="173">
        <f t="shared" si="88"/>
        <v>0</v>
      </c>
    </row>
    <row r="1654" spans="1:18" ht="14" hidden="1">
      <c r="A1654" s="78" t="s">
        <v>2725</v>
      </c>
      <c r="B1654" s="220" t="s">
        <v>1155</v>
      </c>
      <c r="C1654" s="185"/>
      <c r="D1654" s="103" t="str">
        <f>VLOOKUP(B1654, 'All Menu'!B:M, 4, 0)</f>
        <v>وجبة محاشي</v>
      </c>
      <c r="E1654" s="30" t="str">
        <f>VLOOKUP(B1654, 'All Menu'!B:M, 2, 0)</f>
        <v>قسم اللاين</v>
      </c>
      <c r="F1654" s="103" t="str">
        <f>VLOOKUP(B1654, 'All Menu'!B:M, 3, 0)</f>
        <v>الوجبات اليومية سفري</v>
      </c>
      <c r="G1654" s="90" t="s">
        <v>2193</v>
      </c>
      <c r="H1654" s="188">
        <v>4309</v>
      </c>
      <c r="I1654" s="110" t="str">
        <f>VLOOKUP(H1654, 'RM &amp; SF'!B:H, 2, 0)</f>
        <v>اكياس بلاستيك مطبوع 55 سم*****</v>
      </c>
      <c r="J1654" s="184" t="str">
        <f>VLOOKUP(H1654, 'RM &amp; SF'!B:E, 4, 0)</f>
        <v>قطعة</v>
      </c>
      <c r="K1654" s="12">
        <v>1</v>
      </c>
      <c r="L1654" s="13">
        <f>VLOOKUP(H1654, 'RM &amp; SF'!B:H, 7, 0)</f>
        <v>5.5172413793103454E-2</v>
      </c>
      <c r="M1654" s="7">
        <f t="shared" si="87"/>
        <v>5.5172413793103454E-2</v>
      </c>
      <c r="N1654" s="4" t="s">
        <v>825</v>
      </c>
      <c r="O1654" s="4">
        <f>VLOOKUP(B1654, 'All Menu'!B:L, 6, 0)</f>
        <v>3.4482758620689657</v>
      </c>
      <c r="P1654" s="6">
        <f>VLOOKUP(B1654, 'All Menu'!B:L, 9, 0)</f>
        <v>1.6677253566004877</v>
      </c>
      <c r="Q1654" s="14">
        <f>VLOOKUP(B1654, 'All Menu'!B:M, 12, 0)</f>
        <v>0.51635964658585864</v>
      </c>
      <c r="R1654" s="173">
        <f t="shared" si="88"/>
        <v>0</v>
      </c>
    </row>
    <row r="1655" spans="1:18" ht="14" hidden="1">
      <c r="A1655" s="78" t="s">
        <v>2723</v>
      </c>
      <c r="B1655" s="220" t="s">
        <v>1167</v>
      </c>
      <c r="C1655" s="185"/>
      <c r="D1655" s="103" t="str">
        <f>VLOOKUP(B1655, 'All Menu'!B:M, 4, 0)</f>
        <v>تشكن مسالا</v>
      </c>
      <c r="E1655" s="30" t="str">
        <f>VLOOKUP(B1655, 'All Menu'!B:M, 2, 0)</f>
        <v>قسم اللاين</v>
      </c>
      <c r="F1655" s="103" t="str">
        <f>VLOOKUP(B1655, 'All Menu'!B:M, 3, 0)</f>
        <v>الوجبات اليومية سفري</v>
      </c>
      <c r="G1655" s="90" t="s">
        <v>2390</v>
      </c>
      <c r="H1655" s="219" t="s">
        <v>548</v>
      </c>
      <c r="I1655" s="110" t="str">
        <f>VLOOKUP(H1655, 'RM &amp; SF'!B:H, 2, 0)</f>
        <v>رز ابيض</v>
      </c>
      <c r="J1655" s="184" t="str">
        <f>VLOOKUP(H1655, 'RM &amp; SF'!B:E, 4, 0)</f>
        <v>غم</v>
      </c>
      <c r="K1655" s="12">
        <v>500</v>
      </c>
      <c r="L1655" s="13">
        <f>VLOOKUP(H1655, 'RM &amp; SF'!B:H, 7, 0)</f>
        <v>4.1596433333333332E-4</v>
      </c>
      <c r="M1655" s="7">
        <f t="shared" si="87"/>
        <v>0.20798216666666666</v>
      </c>
      <c r="N1655" s="4" t="s">
        <v>825</v>
      </c>
      <c r="O1655" s="4">
        <f>VLOOKUP(B1655, 'All Menu'!B:L, 6, 0)</f>
        <v>3.4482758620689657</v>
      </c>
      <c r="P1655" s="6">
        <f>VLOOKUP(B1655, 'All Menu'!B:L, 9, 0)</f>
        <v>2.4372080066786665</v>
      </c>
      <c r="Q1655" s="14">
        <f>VLOOKUP(B1655, 'All Menu'!B:M, 12, 0)</f>
        <v>0.29320967806318676</v>
      </c>
      <c r="R1655" s="173">
        <f t="shared" si="88"/>
        <v>0</v>
      </c>
    </row>
    <row r="1656" spans="1:18" ht="14" hidden="1">
      <c r="A1656" s="78" t="s">
        <v>2723</v>
      </c>
      <c r="B1656" s="220" t="s">
        <v>1167</v>
      </c>
      <c r="C1656" s="185"/>
      <c r="D1656" s="103" t="str">
        <f>VLOOKUP(B1656, 'All Menu'!B:M, 4, 0)</f>
        <v>تشكن مسالا</v>
      </c>
      <c r="E1656" s="30" t="str">
        <f>VLOOKUP(B1656, 'All Menu'!B:M, 2, 0)</f>
        <v>قسم اللاين</v>
      </c>
      <c r="F1656" s="103" t="str">
        <f>VLOOKUP(B1656, 'All Menu'!B:M, 3, 0)</f>
        <v>الوجبات اليومية سفري</v>
      </c>
      <c r="G1656" s="90" t="s">
        <v>2403</v>
      </c>
      <c r="H1656" s="219" t="s">
        <v>608</v>
      </c>
      <c r="I1656" s="110" t="str">
        <f>VLOOKUP(H1656, 'RM &amp; SF'!B:H, 2, 0)</f>
        <v>ماسالا</v>
      </c>
      <c r="J1656" s="184" t="str">
        <f>VLOOKUP(H1656, 'RM &amp; SF'!B:E, 4, 0)</f>
        <v>غم</v>
      </c>
      <c r="K1656" s="12">
        <v>500</v>
      </c>
      <c r="L1656" s="13">
        <f>VLOOKUP(H1656, 'RM &amp; SF'!B:H, 7, 0)</f>
        <v>3.7467734386446893E-3</v>
      </c>
      <c r="M1656" s="7">
        <f t="shared" si="87"/>
        <v>1.8733867193223446</v>
      </c>
      <c r="N1656" s="4" t="s">
        <v>825</v>
      </c>
      <c r="O1656" s="4">
        <f>VLOOKUP(B1656, 'All Menu'!B:L, 6, 0)</f>
        <v>3.4482758620689657</v>
      </c>
      <c r="P1656" s="6">
        <f>VLOOKUP(B1656, 'All Menu'!B:L, 9, 0)</f>
        <v>2.4372080066786665</v>
      </c>
      <c r="Q1656" s="14">
        <f>VLOOKUP(B1656, 'All Menu'!B:M, 12, 0)</f>
        <v>0.29320967806318676</v>
      </c>
      <c r="R1656" s="173">
        <f t="shared" si="88"/>
        <v>0</v>
      </c>
    </row>
    <row r="1657" spans="1:18" ht="14" hidden="1">
      <c r="A1657" s="78" t="s">
        <v>2723</v>
      </c>
      <c r="B1657" s="220" t="s">
        <v>1167</v>
      </c>
      <c r="C1657" s="185"/>
      <c r="D1657" s="103" t="str">
        <f>VLOOKUP(B1657, 'All Menu'!B:M, 4, 0)</f>
        <v>تشكن مسالا</v>
      </c>
      <c r="E1657" s="30" t="str">
        <f>VLOOKUP(B1657, 'All Menu'!B:M, 2, 0)</f>
        <v>قسم اللاين</v>
      </c>
      <c r="F1657" s="103" t="str">
        <f>VLOOKUP(B1657, 'All Menu'!B:M, 3, 0)</f>
        <v>الوجبات اليومية سفري</v>
      </c>
      <c r="G1657" s="90" t="s">
        <v>2190</v>
      </c>
      <c r="H1657" s="188">
        <v>4279</v>
      </c>
      <c r="I1657" s="110" t="str">
        <f>VLOOKUP(H1657, 'RM &amp; SF'!B:H, 2, 0)</f>
        <v>علب ميكرويف مستطيل اسود مفرغة (احادي)*****</v>
      </c>
      <c r="J1657" s="184" t="str">
        <f>VLOOKUP(H1657, 'RM &amp; SF'!B:E, 4, 0)</f>
        <v>قطعة</v>
      </c>
      <c r="K1657" s="12">
        <v>1</v>
      </c>
      <c r="L1657" s="13">
        <f>VLOOKUP(H1657, 'RM &amp; SF'!B:H, 7, 0)</f>
        <v>9.4799999999999995E-2</v>
      </c>
      <c r="M1657" s="7">
        <f t="shared" si="87"/>
        <v>9.4799999999999995E-2</v>
      </c>
      <c r="N1657" s="4" t="s">
        <v>825</v>
      </c>
      <c r="O1657" s="4">
        <f>VLOOKUP(B1657, 'All Menu'!B:L, 6, 0)</f>
        <v>3.4482758620689657</v>
      </c>
      <c r="P1657" s="6">
        <f>VLOOKUP(B1657, 'All Menu'!B:L, 9, 0)</f>
        <v>2.4372080066786665</v>
      </c>
      <c r="Q1657" s="14">
        <f>VLOOKUP(B1657, 'All Menu'!B:M, 12, 0)</f>
        <v>0.29320967806318676</v>
      </c>
      <c r="R1657" s="173">
        <f t="shared" si="88"/>
        <v>0</v>
      </c>
    </row>
    <row r="1658" spans="1:18" ht="14" hidden="1">
      <c r="A1658" s="78" t="s">
        <v>2723</v>
      </c>
      <c r="B1658" s="220" t="s">
        <v>1167</v>
      </c>
      <c r="C1658" s="185"/>
      <c r="D1658" s="103" t="str">
        <f>VLOOKUP(B1658, 'All Menu'!B:M, 4, 0)</f>
        <v>تشكن مسالا</v>
      </c>
      <c r="E1658" s="30" t="str">
        <f>VLOOKUP(B1658, 'All Menu'!B:M, 2, 0)</f>
        <v>قسم اللاين</v>
      </c>
      <c r="F1658" s="103" t="str">
        <f>VLOOKUP(B1658, 'All Menu'!B:M, 3, 0)</f>
        <v>الوجبات اليومية سفري</v>
      </c>
      <c r="G1658" s="90" t="s">
        <v>3058</v>
      </c>
      <c r="H1658" s="188">
        <v>4280</v>
      </c>
      <c r="I1658" s="110" t="str">
        <f>VLOOKUP(H1658, 'RM &amp; SF'!B:H, 2, 0)</f>
        <v>علب ميكرويف مدورة اسود 500 مل RC2*****</v>
      </c>
      <c r="J1658" s="184" t="str">
        <f>VLOOKUP(H1658, 'RM &amp; SF'!B:E, 4, 0)</f>
        <v>قطعة</v>
      </c>
      <c r="K1658" s="12">
        <v>1</v>
      </c>
      <c r="L1658" s="13">
        <f>VLOOKUP(H1658, 'RM &amp; SF'!B:H, 7, 0)</f>
        <v>0.125</v>
      </c>
      <c r="M1658" s="7">
        <f t="shared" si="87"/>
        <v>0.125</v>
      </c>
      <c r="N1658" s="4" t="s">
        <v>825</v>
      </c>
      <c r="O1658" s="4">
        <f>VLOOKUP(B1658, 'All Menu'!B:L, 6, 0)</f>
        <v>3.4482758620689657</v>
      </c>
      <c r="P1658" s="6">
        <f>VLOOKUP(B1658, 'All Menu'!B:L, 9, 0)</f>
        <v>2.4372080066786665</v>
      </c>
      <c r="Q1658" s="14">
        <f>VLOOKUP(B1658, 'All Menu'!B:M, 12, 0)</f>
        <v>0.29320967806318676</v>
      </c>
      <c r="R1658" s="173">
        <f t="shared" si="88"/>
        <v>0</v>
      </c>
    </row>
    <row r="1659" spans="1:18" ht="14" hidden="1">
      <c r="A1659" s="78" t="s">
        <v>2723</v>
      </c>
      <c r="B1659" s="220" t="s">
        <v>1167</v>
      </c>
      <c r="C1659" s="185"/>
      <c r="D1659" s="103" t="str">
        <f>VLOOKUP(B1659, 'All Menu'!B:M, 4, 0)</f>
        <v>تشكن مسالا</v>
      </c>
      <c r="E1659" s="30" t="str">
        <f>VLOOKUP(B1659, 'All Menu'!B:M, 2, 0)</f>
        <v>قسم اللاين</v>
      </c>
      <c r="F1659" s="103" t="str">
        <f>VLOOKUP(B1659, 'All Menu'!B:M, 3, 0)</f>
        <v>الوجبات اليومية سفري</v>
      </c>
      <c r="G1659" s="90" t="s">
        <v>2195</v>
      </c>
      <c r="H1659" s="188">
        <v>4329</v>
      </c>
      <c r="I1659" s="110" t="str">
        <f>VLOOKUP(H1659, 'RM &amp; SF'!B:H, 2, 0)</f>
        <v>ملاعق بلاستيك مع معقم مطبوع 1*500 حبة*****</v>
      </c>
      <c r="J1659" s="184" t="str">
        <f>VLOOKUP(H1659, 'RM &amp; SF'!B:E, 4, 0)</f>
        <v>قطعة</v>
      </c>
      <c r="K1659" s="12">
        <v>1</v>
      </c>
      <c r="L1659" s="13">
        <f>VLOOKUP(H1659, 'RM &amp; SF'!B:H, 7, 0)</f>
        <v>4.7399999999999997E-4</v>
      </c>
      <c r="M1659" s="7">
        <f t="shared" si="87"/>
        <v>4.7399999999999997E-4</v>
      </c>
      <c r="N1659" s="4" t="s">
        <v>825</v>
      </c>
      <c r="O1659" s="4">
        <f>VLOOKUP(B1659, 'All Menu'!B:L, 6, 0)</f>
        <v>3.4482758620689657</v>
      </c>
      <c r="P1659" s="6">
        <f>VLOOKUP(B1659, 'All Menu'!B:L, 9, 0)</f>
        <v>2.4372080066786665</v>
      </c>
      <c r="Q1659" s="14">
        <f>VLOOKUP(B1659, 'All Menu'!B:M, 12, 0)</f>
        <v>0.29320967806318676</v>
      </c>
      <c r="R1659" s="173">
        <f t="shared" si="88"/>
        <v>0</v>
      </c>
    </row>
    <row r="1660" spans="1:18" ht="14" hidden="1">
      <c r="A1660" s="78" t="s">
        <v>2723</v>
      </c>
      <c r="B1660" s="220" t="s">
        <v>1167</v>
      </c>
      <c r="C1660" s="185"/>
      <c r="D1660" s="103" t="str">
        <f>VLOOKUP(B1660, 'All Menu'!B:M, 4, 0)</f>
        <v>تشكن مسالا</v>
      </c>
      <c r="E1660" s="30" t="str">
        <f>VLOOKUP(B1660, 'All Menu'!B:M, 2, 0)</f>
        <v>قسم اللاين</v>
      </c>
      <c r="F1660" s="103" t="str">
        <f>VLOOKUP(B1660, 'All Menu'!B:M, 3, 0)</f>
        <v>الوجبات اليومية سفري</v>
      </c>
      <c r="G1660" s="90" t="s">
        <v>2291</v>
      </c>
      <c r="H1660" s="188">
        <v>4556</v>
      </c>
      <c r="I1660" s="110" t="str">
        <f>VLOOKUP(H1660, 'RM &amp; SF'!B:H, 2, 0)</f>
        <v>كريما طبخ 1 لتر*****</v>
      </c>
      <c r="J1660" s="184" t="str">
        <f>VLOOKUP(H1660, 'RM &amp; SF'!B:E, 4, 0)</f>
        <v>مل</v>
      </c>
      <c r="K1660" s="12">
        <v>20</v>
      </c>
      <c r="L1660" s="13">
        <f>VLOOKUP(H1660, 'RM &amp; SF'!B:H, 7, 0)</f>
        <v>2.2269999999999998E-3</v>
      </c>
      <c r="M1660" s="7">
        <f t="shared" si="87"/>
        <v>4.4539999999999996E-2</v>
      </c>
      <c r="N1660" s="4" t="s">
        <v>825</v>
      </c>
      <c r="O1660" s="4">
        <f>VLOOKUP(B1660, 'All Menu'!B:L, 6, 0)</f>
        <v>3.4482758620689657</v>
      </c>
      <c r="P1660" s="6">
        <f>VLOOKUP(B1660, 'All Menu'!B:L, 9, 0)</f>
        <v>2.4372080066786665</v>
      </c>
      <c r="Q1660" s="14">
        <f>VLOOKUP(B1660, 'All Menu'!B:M, 12, 0)</f>
        <v>0.29320967806318676</v>
      </c>
      <c r="R1660" s="173">
        <f t="shared" si="88"/>
        <v>0</v>
      </c>
    </row>
    <row r="1661" spans="1:18" ht="14" hidden="1">
      <c r="A1661" s="78" t="s">
        <v>2723</v>
      </c>
      <c r="B1661" s="220" t="s">
        <v>1167</v>
      </c>
      <c r="C1661" s="185"/>
      <c r="D1661" s="103" t="str">
        <f>VLOOKUP(B1661, 'All Menu'!B:M, 4, 0)</f>
        <v>تشكن مسالا</v>
      </c>
      <c r="E1661" s="30" t="str">
        <f>VLOOKUP(B1661, 'All Menu'!B:M, 2, 0)</f>
        <v>قسم اللاين</v>
      </c>
      <c r="F1661" s="103" t="str">
        <f>VLOOKUP(B1661, 'All Menu'!B:M, 3, 0)</f>
        <v>الوجبات اليومية سفري</v>
      </c>
      <c r="G1661" s="90" t="s">
        <v>2209</v>
      </c>
      <c r="H1661" s="188">
        <v>4546</v>
      </c>
      <c r="I1661" s="110" t="str">
        <f>VLOOKUP(H1661, 'RM &amp; SF'!B:H, 2, 0)</f>
        <v>كزبرة*****</v>
      </c>
      <c r="J1661" s="184" t="str">
        <f>VLOOKUP(H1661, 'RM &amp; SF'!B:E, 4, 0)</f>
        <v>قطعة</v>
      </c>
      <c r="K1661" s="12">
        <v>0.05</v>
      </c>
      <c r="L1661" s="13">
        <f>VLOOKUP(H1661, 'RM &amp; SF'!B:H, 7, 0)</f>
        <v>1E-3</v>
      </c>
      <c r="M1661" s="7">
        <f t="shared" si="87"/>
        <v>5.0000000000000002E-5</v>
      </c>
      <c r="N1661" s="4" t="s">
        <v>825</v>
      </c>
      <c r="O1661" s="4">
        <f>VLOOKUP(B1661, 'All Menu'!B:L, 6, 0)</f>
        <v>3.4482758620689657</v>
      </c>
      <c r="P1661" s="6">
        <f>VLOOKUP(B1661, 'All Menu'!B:L, 9, 0)</f>
        <v>2.4372080066786665</v>
      </c>
      <c r="Q1661" s="14">
        <f>VLOOKUP(B1661, 'All Menu'!B:M, 12, 0)</f>
        <v>0.29320967806318676</v>
      </c>
      <c r="R1661" s="173">
        <f t="shared" si="88"/>
        <v>0</v>
      </c>
    </row>
    <row r="1662" spans="1:18" ht="14" hidden="1">
      <c r="A1662" s="78" t="s">
        <v>2723</v>
      </c>
      <c r="B1662" s="220" t="s">
        <v>1167</v>
      </c>
      <c r="C1662" s="185"/>
      <c r="D1662" s="103" t="str">
        <f>VLOOKUP(B1662, 'All Menu'!B:M, 4, 0)</f>
        <v>تشكن مسالا</v>
      </c>
      <c r="E1662" s="30" t="str">
        <f>VLOOKUP(B1662, 'All Menu'!B:M, 2, 0)</f>
        <v>قسم اللاين</v>
      </c>
      <c r="F1662" s="103" t="str">
        <f>VLOOKUP(B1662, 'All Menu'!B:M, 3, 0)</f>
        <v>الوجبات اليومية سفري</v>
      </c>
      <c r="G1662" s="90" t="s">
        <v>2341</v>
      </c>
      <c r="H1662" s="219" t="s">
        <v>706</v>
      </c>
      <c r="I1662" s="110" t="str">
        <f>VLOOKUP(H1662, 'RM &amp; SF'!B:H, 2, 0)</f>
        <v>لوز مقلي</v>
      </c>
      <c r="J1662" s="184" t="str">
        <f>VLOOKUP(H1662, 'RM &amp; SF'!B:E, 4, 0)</f>
        <v>غم</v>
      </c>
      <c r="K1662" s="12">
        <v>22</v>
      </c>
      <c r="L1662" s="13">
        <f>VLOOKUP(H1662, 'RM &amp; SF'!B:H, 7, 0)</f>
        <v>4.1352327586206888E-3</v>
      </c>
      <c r="M1662" s="7">
        <f t="shared" si="87"/>
        <v>9.0975120689655159E-2</v>
      </c>
      <c r="N1662" s="4" t="s">
        <v>825</v>
      </c>
      <c r="O1662" s="4">
        <f>VLOOKUP(B1662, 'All Menu'!B:L, 6, 0)</f>
        <v>3.4482758620689657</v>
      </c>
      <c r="P1662" s="6">
        <f>VLOOKUP(B1662, 'All Menu'!B:L, 9, 0)</f>
        <v>2.4372080066786665</v>
      </c>
      <c r="Q1662" s="14">
        <f>VLOOKUP(B1662, 'All Menu'!B:M, 12, 0)</f>
        <v>0.29320967806318676</v>
      </c>
      <c r="R1662" s="173">
        <f t="shared" si="88"/>
        <v>0</v>
      </c>
    </row>
    <row r="1663" spans="1:18" ht="14" hidden="1">
      <c r="A1663" s="78" t="s">
        <v>2727</v>
      </c>
      <c r="B1663" s="220" t="s">
        <v>1175</v>
      </c>
      <c r="C1663" s="185"/>
      <c r="D1663" s="103" t="str">
        <f>VLOOKUP(B1663, 'All Menu'!B:M, 4, 0)</f>
        <v>وجبة دوالي</v>
      </c>
      <c r="E1663" s="30" t="str">
        <f>VLOOKUP(B1663, 'All Menu'!B:M, 2, 0)</f>
        <v>قسم اللاين</v>
      </c>
      <c r="F1663" s="103" t="str">
        <f>VLOOKUP(B1663, 'All Menu'!B:M, 3, 0)</f>
        <v>الوجبات اليومية سفري</v>
      </c>
      <c r="G1663" s="90" t="s">
        <v>2437</v>
      </c>
      <c r="H1663" s="219" t="s">
        <v>688</v>
      </c>
      <c r="I1663" s="110" t="str">
        <f>VLOOKUP(H1663, 'RM &amp; SF'!B:H, 2, 0)</f>
        <v>دوالي محشي</v>
      </c>
      <c r="J1663" s="184" t="str">
        <f>VLOOKUP(H1663, 'RM &amp; SF'!B:E, 4, 0)</f>
        <v>قطعة</v>
      </c>
      <c r="K1663" s="12">
        <v>20</v>
      </c>
      <c r="L1663" s="13">
        <f>VLOOKUP(H1663, 'RM &amp; SF'!B:H, 7, 0)</f>
        <v>6.7135997560149097E-2</v>
      </c>
      <c r="M1663" s="7">
        <f t="shared" si="87"/>
        <v>1.3427199512029819</v>
      </c>
      <c r="N1663" s="4" t="s">
        <v>825</v>
      </c>
      <c r="O1663" s="4">
        <f>VLOOKUP(B1663, 'All Menu'!B:L, 6, 0)</f>
        <v>5.6034482758620694</v>
      </c>
      <c r="P1663" s="6">
        <f>VLOOKUP(B1663, 'All Menu'!B:L, 9, 0)</f>
        <v>4.3739662429801713</v>
      </c>
      <c r="Q1663" s="14">
        <f>VLOOKUP(B1663, 'All Menu'!B:M, 12, 0)</f>
        <v>0.21941525509892332</v>
      </c>
      <c r="R1663" s="173">
        <f t="shared" si="88"/>
        <v>0</v>
      </c>
    </row>
    <row r="1664" spans="1:18" ht="14" hidden="1">
      <c r="A1664" s="78" t="s">
        <v>2727</v>
      </c>
      <c r="B1664" s="220" t="s">
        <v>1175</v>
      </c>
      <c r="C1664" s="185"/>
      <c r="D1664" s="103" t="str">
        <f>VLOOKUP(B1664, 'All Menu'!B:M, 4, 0)</f>
        <v>وجبة دوالي</v>
      </c>
      <c r="E1664" s="30" t="str">
        <f>VLOOKUP(B1664, 'All Menu'!B:M, 2, 0)</f>
        <v>قسم اللاين</v>
      </c>
      <c r="F1664" s="103" t="str">
        <f>VLOOKUP(B1664, 'All Menu'!B:M, 3, 0)</f>
        <v>الوجبات اليومية سفري</v>
      </c>
      <c r="G1664" s="90" t="s">
        <v>2435</v>
      </c>
      <c r="H1664" s="219" t="s">
        <v>690</v>
      </c>
      <c r="I1664" s="110" t="str">
        <f>VLOOKUP(H1664, 'RM &amp; SF'!B:H, 2, 0)</f>
        <v>كوسا محشي بالحبة</v>
      </c>
      <c r="J1664" s="184" t="str">
        <f>VLOOKUP(H1664, 'RM &amp; SF'!B:E, 4, 0)</f>
        <v>قطعة</v>
      </c>
      <c r="K1664" s="12">
        <v>4</v>
      </c>
      <c r="L1664" s="13">
        <f>VLOOKUP(H1664, 'RM &amp; SF'!B:H, 7, 0)</f>
        <v>0.20580553846153843</v>
      </c>
      <c r="M1664" s="7">
        <f t="shared" si="87"/>
        <v>0.82322215384615371</v>
      </c>
      <c r="N1664" s="4" t="s">
        <v>825</v>
      </c>
      <c r="O1664" s="4">
        <f>VLOOKUP(B1664, 'All Menu'!B:L, 6, 0)</f>
        <v>5.6034482758620694</v>
      </c>
      <c r="P1664" s="6">
        <f>VLOOKUP(B1664, 'All Menu'!B:L, 9, 0)</f>
        <v>4.3739662429801713</v>
      </c>
      <c r="Q1664" s="14">
        <f>VLOOKUP(B1664, 'All Menu'!B:M, 12, 0)</f>
        <v>0.21941525509892332</v>
      </c>
      <c r="R1664" s="173">
        <f t="shared" si="88"/>
        <v>0</v>
      </c>
    </row>
    <row r="1665" spans="1:18" ht="14" hidden="1">
      <c r="A1665" s="78" t="s">
        <v>2727</v>
      </c>
      <c r="B1665" s="220" t="s">
        <v>1175</v>
      </c>
      <c r="C1665" s="185"/>
      <c r="D1665" s="103" t="str">
        <f>VLOOKUP(B1665, 'All Menu'!B:M, 4, 0)</f>
        <v>وجبة دوالي</v>
      </c>
      <c r="E1665" s="30" t="str">
        <f>VLOOKUP(B1665, 'All Menu'!B:M, 2, 0)</f>
        <v>قسم اللاين</v>
      </c>
      <c r="F1665" s="103" t="str">
        <f>VLOOKUP(B1665, 'All Menu'!B:M, 3, 0)</f>
        <v>الوجبات اليومية سفري</v>
      </c>
      <c r="G1665" s="90" t="s">
        <v>2185</v>
      </c>
      <c r="H1665" s="188">
        <v>4550</v>
      </c>
      <c r="I1665" s="110" t="str">
        <f>VLOOKUP(H1665, 'RM &amp; SF'!B:H, 2, 0)</f>
        <v>*****لبن زبادي 150 غم</v>
      </c>
      <c r="J1665" s="184" t="str">
        <f>VLOOKUP(H1665, 'RM &amp; SF'!B:E, 4, 0)</f>
        <v>قطعة</v>
      </c>
      <c r="K1665" s="12">
        <v>1</v>
      </c>
      <c r="L1665" s="13">
        <f>VLOOKUP(H1665, 'RM &amp; SF'!B:H, 7, 0)</f>
        <v>0.16</v>
      </c>
      <c r="M1665" s="7">
        <f t="shared" si="87"/>
        <v>0.16</v>
      </c>
      <c r="N1665" s="4" t="s">
        <v>825</v>
      </c>
      <c r="O1665" s="4">
        <f>VLOOKUP(B1665, 'All Menu'!B:L, 6, 0)</f>
        <v>5.6034482758620694</v>
      </c>
      <c r="P1665" s="6">
        <f>VLOOKUP(B1665, 'All Menu'!B:L, 9, 0)</f>
        <v>4.3739662429801713</v>
      </c>
      <c r="Q1665" s="14">
        <f>VLOOKUP(B1665, 'All Menu'!B:M, 12, 0)</f>
        <v>0.21941525509892332</v>
      </c>
      <c r="R1665" s="173">
        <f t="shared" si="88"/>
        <v>0</v>
      </c>
    </row>
    <row r="1666" spans="1:18" ht="14" hidden="1">
      <c r="A1666" s="78" t="s">
        <v>2727</v>
      </c>
      <c r="B1666" s="220" t="s">
        <v>1175</v>
      </c>
      <c r="C1666" s="185"/>
      <c r="D1666" s="103" t="str">
        <f>VLOOKUP(B1666, 'All Menu'!B:M, 4, 0)</f>
        <v>وجبة دوالي</v>
      </c>
      <c r="E1666" s="30" t="str">
        <f>VLOOKUP(B1666, 'All Menu'!B:M, 2, 0)</f>
        <v>قسم اللاين</v>
      </c>
      <c r="F1666" s="103" t="str">
        <f>VLOOKUP(B1666, 'All Menu'!B:M, 3, 0)</f>
        <v>الوجبات اليومية سفري</v>
      </c>
      <c r="G1666" s="90" t="s">
        <v>3058</v>
      </c>
      <c r="H1666" s="188">
        <v>4266</v>
      </c>
      <c r="I1666" s="110" t="str">
        <f>VLOOKUP(H1666, 'RM &amp; SF'!B:H, 2, 0)</f>
        <v>اساور علب وجبات مطبوع 1*50 حبة*****</v>
      </c>
      <c r="J1666" s="184" t="str">
        <f>VLOOKUP(H1666, 'RM &amp; SF'!B:E, 4, 0)</f>
        <v>قطعة</v>
      </c>
      <c r="K1666" s="12">
        <v>1</v>
      </c>
      <c r="L1666" s="13">
        <f>VLOOKUP(H1666, 'RM &amp; SF'!B:H, 7, 0)</f>
        <v>6.3224137931034485E-2</v>
      </c>
      <c r="M1666" s="7">
        <f t="shared" si="87"/>
        <v>6.3224137931034485E-2</v>
      </c>
      <c r="N1666" s="4" t="s">
        <v>825</v>
      </c>
      <c r="O1666" s="4">
        <f>VLOOKUP(B1666, 'All Menu'!B:L, 6, 0)</f>
        <v>5.6034482758620694</v>
      </c>
      <c r="P1666" s="6">
        <f>VLOOKUP(B1666, 'All Menu'!B:L, 9, 0)</f>
        <v>4.3739662429801713</v>
      </c>
      <c r="Q1666" s="14">
        <f>VLOOKUP(B1666, 'All Menu'!B:M, 12, 0)</f>
        <v>0.21941525509892332</v>
      </c>
      <c r="R1666" s="173">
        <f t="shared" si="88"/>
        <v>0</v>
      </c>
    </row>
    <row r="1667" spans="1:18" ht="14" hidden="1">
      <c r="A1667" s="78" t="s">
        <v>2727</v>
      </c>
      <c r="B1667" s="220" t="s">
        <v>1175</v>
      </c>
      <c r="C1667" s="185"/>
      <c r="D1667" s="103" t="str">
        <f>VLOOKUP(B1667, 'All Menu'!B:M, 4, 0)</f>
        <v>وجبة دوالي</v>
      </c>
      <c r="E1667" s="30" t="str">
        <f>VLOOKUP(B1667, 'All Menu'!B:M, 2, 0)</f>
        <v>قسم اللاين</v>
      </c>
      <c r="F1667" s="103" t="str">
        <f>VLOOKUP(B1667, 'All Menu'!B:M, 3, 0)</f>
        <v>الوجبات اليومية سفري</v>
      </c>
      <c r="G1667" s="90" t="s">
        <v>3058</v>
      </c>
      <c r="H1667" s="223">
        <v>4943</v>
      </c>
      <c r="I1667" s="110" t="str">
        <f>VLOOKUP(H1667, 'RM &amp; SF'!B:H, 2, 0)</f>
        <v>أضلاع خروف (قص خروف) مع عظم بلدي*****</v>
      </c>
      <c r="J1667" s="184" t="str">
        <f>VLOOKUP(H1667, 'RM &amp; SF'!B:E, 4, 0)</f>
        <v>غم</v>
      </c>
      <c r="K1667" s="215">
        <v>180</v>
      </c>
      <c r="L1667" s="13">
        <f>VLOOKUP(H1667, 'RM &amp; SF'!B:H, 7, 0)</f>
        <v>1.0500000000000001E-2</v>
      </c>
      <c r="M1667" s="216">
        <f t="shared" si="87"/>
        <v>1.8900000000000001</v>
      </c>
      <c r="N1667" s="4" t="s">
        <v>825</v>
      </c>
      <c r="O1667" s="4">
        <f>VLOOKUP(B1667, 'All Menu'!B:L, 6, 0)</f>
        <v>5.6034482758620694</v>
      </c>
      <c r="P1667" s="6">
        <f>VLOOKUP(B1667, 'All Menu'!B:L, 9, 0)</f>
        <v>4.3739662429801713</v>
      </c>
      <c r="Q1667" s="14">
        <f>VLOOKUP(B1667, 'All Menu'!B:M, 12, 0)</f>
        <v>0.21941525509892332</v>
      </c>
      <c r="R1667" s="173">
        <f t="shared" si="88"/>
        <v>0</v>
      </c>
    </row>
    <row r="1668" spans="1:18" ht="14" hidden="1">
      <c r="A1668" s="78" t="s">
        <v>2727</v>
      </c>
      <c r="B1668" s="220" t="s">
        <v>1175</v>
      </c>
      <c r="C1668" s="185"/>
      <c r="D1668" s="103" t="str">
        <f>VLOOKUP(B1668, 'All Menu'!B:M, 4, 0)</f>
        <v>وجبة دوالي</v>
      </c>
      <c r="E1668" s="30" t="str">
        <f>VLOOKUP(B1668, 'All Menu'!B:M, 2, 0)</f>
        <v>قسم اللاين</v>
      </c>
      <c r="F1668" s="103" t="str">
        <f>VLOOKUP(B1668, 'All Menu'!B:M, 3, 0)</f>
        <v>الوجبات اليومية سفري</v>
      </c>
      <c r="G1668" s="90" t="s">
        <v>2190</v>
      </c>
      <c r="H1668" s="188">
        <v>4279</v>
      </c>
      <c r="I1668" s="110" t="str">
        <f>VLOOKUP(H1668, 'RM &amp; SF'!B:H, 2, 0)</f>
        <v>علب ميكرويف مستطيل اسود مفرغة (احادي)*****</v>
      </c>
      <c r="J1668" s="184" t="str">
        <f>VLOOKUP(H1668, 'RM &amp; SF'!B:E, 4, 0)</f>
        <v>قطعة</v>
      </c>
      <c r="K1668" s="12">
        <v>1</v>
      </c>
      <c r="L1668" s="13">
        <f>VLOOKUP(H1668, 'RM &amp; SF'!B:H, 7, 0)</f>
        <v>9.4799999999999995E-2</v>
      </c>
      <c r="M1668" s="7">
        <f t="shared" si="87"/>
        <v>9.4799999999999995E-2</v>
      </c>
      <c r="N1668" s="4" t="s">
        <v>825</v>
      </c>
      <c r="O1668" s="4">
        <f>VLOOKUP(B1668, 'All Menu'!B:L, 6, 0)</f>
        <v>5.6034482758620694</v>
      </c>
      <c r="P1668" s="6">
        <f>VLOOKUP(B1668, 'All Menu'!B:L, 9, 0)</f>
        <v>4.3739662429801713</v>
      </c>
      <c r="Q1668" s="14">
        <f>VLOOKUP(B1668, 'All Menu'!B:M, 12, 0)</f>
        <v>0.21941525509892332</v>
      </c>
      <c r="R1668" s="173">
        <f t="shared" si="88"/>
        <v>0</v>
      </c>
    </row>
    <row r="1669" spans="1:18" ht="14" hidden="1">
      <c r="A1669" s="78" t="s">
        <v>2737</v>
      </c>
      <c r="B1669" s="220" t="s">
        <v>1178</v>
      </c>
      <c r="C1669" s="185"/>
      <c r="D1669" s="103" t="str">
        <f>VLOOKUP(B1669, 'All Menu'!B:M, 4, 0)</f>
        <v>وجبة ضلعة فردية</v>
      </c>
      <c r="E1669" s="30" t="str">
        <f>VLOOKUP(B1669, 'All Menu'!B:M, 2, 0)</f>
        <v>قسم اللاين</v>
      </c>
      <c r="F1669" s="103" t="str">
        <f>VLOOKUP(B1669, 'All Menu'!B:M, 3, 0)</f>
        <v>الوجبات اليومية سفري2</v>
      </c>
      <c r="G1669" s="90" t="s">
        <v>2340</v>
      </c>
      <c r="H1669" s="219" t="s">
        <v>702</v>
      </c>
      <c r="I1669" s="110" t="str">
        <f>VLOOKUP(H1669, 'RM &amp; SF'!B:H, 2, 0)</f>
        <v>ضلعة محشية رز</v>
      </c>
      <c r="J1669" s="184" t="str">
        <f>VLOOKUP(H1669, 'RM &amp; SF'!B:E, 4, 0)</f>
        <v>قطعة</v>
      </c>
      <c r="K1669" s="12">
        <v>1</v>
      </c>
      <c r="L1669" s="13">
        <f>VLOOKUP(H1669, 'RM &amp; SF'!B:H, 7, 0)</f>
        <v>5.4594689919691346</v>
      </c>
      <c r="M1669" s="7">
        <f t="shared" si="87"/>
        <v>5.4594689919691346</v>
      </c>
      <c r="N1669" s="4" t="s">
        <v>825</v>
      </c>
      <c r="O1669" s="4">
        <f>VLOOKUP(B1669, 'All Menu'!B:L, 6, 0)</f>
        <v>6.0344827586206904</v>
      </c>
      <c r="P1669" s="6">
        <f>VLOOKUP(B1669, 'All Menu'!B:L, 9, 0)</f>
        <v>6.2484995959427092</v>
      </c>
      <c r="Q1669" s="14">
        <f>VLOOKUP(B1669, 'All Menu'!B:M, 12, 0)</f>
        <v>-3.5465647327648828E-2</v>
      </c>
      <c r="R1669" s="173">
        <f t="shared" si="88"/>
        <v>0</v>
      </c>
    </row>
    <row r="1670" spans="1:18" ht="14" hidden="1">
      <c r="A1670" s="78" t="s">
        <v>2737</v>
      </c>
      <c r="B1670" s="220" t="s">
        <v>1178</v>
      </c>
      <c r="C1670" s="185"/>
      <c r="D1670" s="103" t="str">
        <f>VLOOKUP(B1670, 'All Menu'!B:M, 4, 0)</f>
        <v>وجبة ضلعة فردية</v>
      </c>
      <c r="E1670" s="30" t="str">
        <f>VLOOKUP(B1670, 'All Menu'!B:M, 2, 0)</f>
        <v>قسم اللاين</v>
      </c>
      <c r="F1670" s="103" t="str">
        <f>VLOOKUP(B1670, 'All Menu'!B:M, 3, 0)</f>
        <v>الوجبات اليومية سفري2</v>
      </c>
      <c r="G1670" s="90" t="s">
        <v>2377</v>
      </c>
      <c r="H1670" s="219" t="s">
        <v>796</v>
      </c>
      <c r="I1670" s="110" t="str">
        <f>VLOOKUP(H1670, 'RM &amp; SF'!B:H, 2, 0)</f>
        <v>رز مبهر</v>
      </c>
      <c r="J1670" s="184" t="str">
        <f>VLOOKUP(H1670, 'RM &amp; SF'!B:E, 4, 0)</f>
        <v>غم</v>
      </c>
      <c r="K1670" s="12">
        <v>450</v>
      </c>
      <c r="L1670" s="13">
        <f>VLOOKUP(H1670, 'RM &amp; SF'!B:H, 7, 0)</f>
        <v>8.1314491666666653E-4</v>
      </c>
      <c r="M1670" s="7">
        <f>L1670*K1670</f>
        <v>0.36591521249999992</v>
      </c>
      <c r="N1670" s="4" t="s">
        <v>825</v>
      </c>
      <c r="O1670" s="4">
        <f>VLOOKUP(B1670, 'All Menu'!B:L, 6, 0)</f>
        <v>6.0344827586206904</v>
      </c>
      <c r="P1670" s="6">
        <f>VLOOKUP(B1670, 'All Menu'!B:L, 9, 0)</f>
        <v>6.2484995959427092</v>
      </c>
      <c r="Q1670" s="14">
        <f>VLOOKUP(B1670, 'All Menu'!B:M, 12, 0)</f>
        <v>-3.5465647327648828E-2</v>
      </c>
      <c r="R1670" s="173"/>
    </row>
    <row r="1671" spans="1:18" ht="14" hidden="1">
      <c r="A1671" s="78" t="s">
        <v>2737</v>
      </c>
      <c r="B1671" s="220" t="s">
        <v>1178</v>
      </c>
      <c r="C1671" s="185"/>
      <c r="D1671" s="103" t="str">
        <f>VLOOKUP(B1671, 'All Menu'!B:M, 4, 0)</f>
        <v>وجبة ضلعة فردية</v>
      </c>
      <c r="E1671" s="30" t="str">
        <f>VLOOKUP(B1671, 'All Menu'!B:M, 2, 0)</f>
        <v>قسم اللاين</v>
      </c>
      <c r="F1671" s="103" t="str">
        <f>VLOOKUP(B1671, 'All Menu'!B:M, 3, 0)</f>
        <v>الوجبات اليومية سفري2</v>
      </c>
      <c r="G1671" s="90" t="s">
        <v>3058</v>
      </c>
      <c r="H1671" s="188">
        <v>4150</v>
      </c>
      <c r="I1671" s="110" t="str">
        <f>VLOOKUP(H1671, 'RM &amp; SF'!B:H, 2, 0)</f>
        <v>لوز ارباع 11.340 كغ*****</v>
      </c>
      <c r="J1671" s="184" t="str">
        <f>VLOOKUP(H1671, 'RM &amp; SF'!B:E, 4, 0)</f>
        <v>غم</v>
      </c>
      <c r="K1671" s="12">
        <v>25</v>
      </c>
      <c r="L1671" s="13">
        <f>VLOOKUP(H1671, 'RM &amp; SF'!B:H, 7, 0)</f>
        <v>6.233655658943015E-3</v>
      </c>
      <c r="M1671" s="7">
        <f t="shared" si="87"/>
        <v>0.15584139147357537</v>
      </c>
      <c r="N1671" s="4" t="s">
        <v>825</v>
      </c>
      <c r="O1671" s="4">
        <f>VLOOKUP(B1671, 'All Menu'!B:L, 6, 0)</f>
        <v>6.0344827586206904</v>
      </c>
      <c r="P1671" s="6">
        <f>VLOOKUP(B1671, 'All Menu'!B:L, 9, 0)</f>
        <v>6.2484995959427092</v>
      </c>
      <c r="Q1671" s="14">
        <f>VLOOKUP(B1671, 'All Menu'!B:M, 12, 0)</f>
        <v>-3.5465647327648828E-2</v>
      </c>
      <c r="R1671" s="173">
        <f t="shared" si="88"/>
        <v>0</v>
      </c>
    </row>
    <row r="1672" spans="1:18" ht="14" hidden="1">
      <c r="A1672" s="78" t="s">
        <v>2737</v>
      </c>
      <c r="B1672" s="220" t="s">
        <v>1178</v>
      </c>
      <c r="C1672" s="185"/>
      <c r="D1672" s="103" t="str">
        <f>VLOOKUP(B1672, 'All Menu'!B:M, 4, 0)</f>
        <v>وجبة ضلعة فردية</v>
      </c>
      <c r="E1672" s="30" t="str">
        <f>VLOOKUP(B1672, 'All Menu'!B:M, 2, 0)</f>
        <v>قسم اللاين</v>
      </c>
      <c r="F1672" s="103" t="str">
        <f>VLOOKUP(B1672, 'All Menu'!B:M, 3, 0)</f>
        <v>الوجبات اليومية سفري2</v>
      </c>
      <c r="G1672" s="90" t="s">
        <v>2190</v>
      </c>
      <c r="H1672" s="188">
        <v>4279</v>
      </c>
      <c r="I1672" s="110" t="str">
        <f>VLOOKUP(H1672, 'RM &amp; SF'!B:H, 2, 0)</f>
        <v>علب ميكرويف مستطيل اسود مفرغة (احادي)*****</v>
      </c>
      <c r="J1672" s="184" t="str">
        <f>VLOOKUP(H1672, 'RM &amp; SF'!B:E, 4, 0)</f>
        <v>قطعة</v>
      </c>
      <c r="K1672" s="12">
        <v>1</v>
      </c>
      <c r="L1672" s="13">
        <f>VLOOKUP(H1672, 'RM &amp; SF'!B:H, 7, 0)</f>
        <v>9.4799999999999995E-2</v>
      </c>
      <c r="M1672" s="7">
        <f t="shared" si="87"/>
        <v>9.4799999999999995E-2</v>
      </c>
      <c r="N1672" s="4" t="s">
        <v>825</v>
      </c>
      <c r="O1672" s="4">
        <f>VLOOKUP(B1672, 'All Menu'!B:L, 6, 0)</f>
        <v>6.0344827586206904</v>
      </c>
      <c r="P1672" s="6">
        <f>VLOOKUP(B1672, 'All Menu'!B:L, 9, 0)</f>
        <v>6.2484995959427092</v>
      </c>
      <c r="Q1672" s="14">
        <f>VLOOKUP(B1672, 'All Menu'!B:M, 12, 0)</f>
        <v>-3.5465647327648828E-2</v>
      </c>
      <c r="R1672" s="173">
        <f t="shared" si="88"/>
        <v>0</v>
      </c>
    </row>
    <row r="1673" spans="1:18" ht="14" hidden="1">
      <c r="A1673" s="78" t="s">
        <v>2737</v>
      </c>
      <c r="B1673" s="220" t="s">
        <v>1178</v>
      </c>
      <c r="C1673" s="185"/>
      <c r="D1673" s="103" t="str">
        <f>VLOOKUP(B1673, 'All Menu'!B:M, 4, 0)</f>
        <v>وجبة ضلعة فردية</v>
      </c>
      <c r="E1673" s="30" t="str">
        <f>VLOOKUP(B1673, 'All Menu'!B:M, 2, 0)</f>
        <v>قسم اللاين</v>
      </c>
      <c r="F1673" s="103" t="str">
        <f>VLOOKUP(B1673, 'All Menu'!B:M, 3, 0)</f>
        <v>الوجبات اليومية سفري2</v>
      </c>
      <c r="G1673" s="90" t="s">
        <v>2195</v>
      </c>
      <c r="H1673" s="188">
        <v>4329</v>
      </c>
      <c r="I1673" s="110" t="str">
        <f>VLOOKUP(H1673, 'RM &amp; SF'!B:H, 2, 0)</f>
        <v>ملاعق بلاستيك مع معقم مطبوع 1*500 حبة*****</v>
      </c>
      <c r="J1673" s="184" t="str">
        <f>VLOOKUP(H1673, 'RM &amp; SF'!B:E, 4, 0)</f>
        <v>قطعة</v>
      </c>
      <c r="K1673" s="12">
        <v>1</v>
      </c>
      <c r="L1673" s="13">
        <f>VLOOKUP(H1673, 'RM &amp; SF'!B:H, 7, 0)</f>
        <v>4.7399999999999997E-4</v>
      </c>
      <c r="M1673" s="7">
        <f>L1673*K1673</f>
        <v>4.7399999999999997E-4</v>
      </c>
      <c r="N1673" s="4" t="s">
        <v>825</v>
      </c>
      <c r="O1673" s="4">
        <f>VLOOKUP(B1673, 'All Menu'!B:L, 6, 0)</f>
        <v>6.0344827586206904</v>
      </c>
      <c r="P1673" s="6">
        <f>VLOOKUP(B1673, 'All Menu'!B:L, 9, 0)</f>
        <v>6.2484995959427092</v>
      </c>
      <c r="Q1673" s="14">
        <f>VLOOKUP(B1673, 'All Menu'!B:M, 12, 0)</f>
        <v>-3.5465647327648828E-2</v>
      </c>
      <c r="R1673" s="173"/>
    </row>
    <row r="1674" spans="1:18" ht="14" hidden="1">
      <c r="A1674" s="78" t="s">
        <v>2737</v>
      </c>
      <c r="B1674" s="220" t="s">
        <v>1178</v>
      </c>
      <c r="C1674" s="185"/>
      <c r="D1674" s="103" t="str">
        <f>VLOOKUP(B1674, 'All Menu'!B:M, 4, 0)</f>
        <v>وجبة ضلعة فردية</v>
      </c>
      <c r="E1674" s="30" t="str">
        <f>VLOOKUP(B1674, 'All Menu'!B:M, 2, 0)</f>
        <v>قسم اللاين</v>
      </c>
      <c r="F1674" s="103" t="str">
        <f>VLOOKUP(B1674, 'All Menu'!B:M, 3, 0)</f>
        <v>الوجبات اليومية سفري2</v>
      </c>
      <c r="G1674" s="90" t="s">
        <v>3058</v>
      </c>
      <c r="H1674" s="188">
        <v>4289</v>
      </c>
      <c r="I1674" s="110" t="str">
        <f>VLOOKUP(H1674, 'RM &amp; SF'!B:H, 2, 0)</f>
        <v>علب صوص دائري منفصل أسود 30 مل 1*100 حبة*****</v>
      </c>
      <c r="J1674" s="184" t="str">
        <f>VLOOKUP(H1674, 'RM &amp; SF'!B:E, 4, 0)</f>
        <v>قطعة</v>
      </c>
      <c r="K1674" s="12">
        <v>1</v>
      </c>
      <c r="L1674" s="13">
        <f>VLOOKUP(H1674, 'RM &amp; SF'!B:H, 7, 0)</f>
        <v>1.2E-2</v>
      </c>
      <c r="M1674" s="7">
        <f>L1674*K1674</f>
        <v>1.2E-2</v>
      </c>
      <c r="N1674" s="4" t="s">
        <v>825</v>
      </c>
      <c r="O1674" s="4">
        <f>VLOOKUP(B1674, 'All Menu'!B:L, 6, 0)</f>
        <v>6.0344827586206904</v>
      </c>
      <c r="P1674" s="6">
        <f>VLOOKUP(B1674, 'All Menu'!B:L, 9, 0)</f>
        <v>6.2484995959427092</v>
      </c>
      <c r="Q1674" s="14">
        <f>VLOOKUP(B1674, 'All Menu'!B:M, 12, 0)</f>
        <v>-3.5465647327648828E-2</v>
      </c>
      <c r="R1674" s="173"/>
    </row>
    <row r="1675" spans="1:18" ht="14" hidden="1">
      <c r="A1675" s="78" t="s">
        <v>2737</v>
      </c>
      <c r="B1675" s="220" t="s">
        <v>1178</v>
      </c>
      <c r="C1675" s="185"/>
      <c r="D1675" s="103" t="str">
        <f>VLOOKUP(B1675, 'All Menu'!B:M, 4, 0)</f>
        <v>وجبة ضلعة فردية</v>
      </c>
      <c r="E1675" s="30" t="str">
        <f>VLOOKUP(B1675, 'All Menu'!B:M, 2, 0)</f>
        <v>قسم اللاين</v>
      </c>
      <c r="F1675" s="103" t="str">
        <f>VLOOKUP(B1675, 'All Menu'!B:M, 3, 0)</f>
        <v>الوجبات اليومية سفري2</v>
      </c>
      <c r="G1675" s="90" t="s">
        <v>2185</v>
      </c>
      <c r="H1675" s="188">
        <v>4550</v>
      </c>
      <c r="I1675" s="110" t="str">
        <f>VLOOKUP(H1675, 'RM &amp; SF'!B:H, 2, 0)</f>
        <v>*****لبن زبادي 150 غم</v>
      </c>
      <c r="J1675" s="184" t="str">
        <f>VLOOKUP(H1675, 'RM &amp; SF'!B:E, 4, 0)</f>
        <v>قطعة</v>
      </c>
      <c r="K1675" s="12">
        <v>1</v>
      </c>
      <c r="L1675" s="13">
        <f>VLOOKUP(H1675, 'RM &amp; SF'!B:H, 7, 0)</f>
        <v>0.16</v>
      </c>
      <c r="M1675" s="7">
        <f t="shared" si="87"/>
        <v>0.16</v>
      </c>
      <c r="N1675" s="4" t="s">
        <v>825</v>
      </c>
      <c r="O1675" s="4">
        <f>VLOOKUP(B1675, 'All Menu'!B:L, 6, 0)</f>
        <v>6.0344827586206904</v>
      </c>
      <c r="P1675" s="6">
        <f>VLOOKUP(B1675, 'All Menu'!B:L, 9, 0)</f>
        <v>6.2484995959427092</v>
      </c>
      <c r="Q1675" s="14">
        <f>VLOOKUP(B1675, 'All Menu'!B:M, 12, 0)</f>
        <v>-3.5465647327648828E-2</v>
      </c>
      <c r="R1675" s="173">
        <f t="shared" si="88"/>
        <v>0</v>
      </c>
    </row>
    <row r="1676" spans="1:18" ht="14">
      <c r="A1676" s="78" t="s">
        <v>2729</v>
      </c>
      <c r="B1676" s="220" t="s">
        <v>1198</v>
      </c>
      <c r="C1676" s="185"/>
      <c r="D1676" s="103" t="str">
        <f>VLOOKUP(B1676, 'All Menu'!B:M, 4, 0)</f>
        <v>وجبة منسف روماني</v>
      </c>
      <c r="E1676" s="30" t="str">
        <f>VLOOKUP(B1676, 'All Menu'!B:M, 2, 0)</f>
        <v>قسم اللاين</v>
      </c>
      <c r="F1676" s="103" t="str">
        <f>VLOOKUP(B1676, 'All Menu'!B:M, 3, 0)</f>
        <v>الوجبات اليومية سفري2</v>
      </c>
      <c r="G1676" s="90" t="s">
        <v>2389</v>
      </c>
      <c r="H1676" s="219" t="s">
        <v>550</v>
      </c>
      <c r="I1676" s="110" t="str">
        <f>VLOOKUP(H1676, 'RM &amp; SF'!B:H, 2, 0)</f>
        <v>ارز منسف</v>
      </c>
      <c r="J1676" s="184" t="str">
        <f>VLOOKUP(H1676, 'RM &amp; SF'!B:E, 4, 0)</f>
        <v>غم</v>
      </c>
      <c r="K1676" s="12">
        <v>500</v>
      </c>
      <c r="L1676" s="13">
        <f>VLOOKUP(H1676, 'RM &amp; SF'!B:H, 7, 0)</f>
        <v>4.9216375000000004E-4</v>
      </c>
      <c r="M1676" s="7">
        <f t="shared" si="87"/>
        <v>0.24608187500000001</v>
      </c>
      <c r="N1676" s="4" t="s">
        <v>825</v>
      </c>
      <c r="O1676" s="4">
        <f>VLOOKUP(B1676, 'All Menu'!B:L, 6, 0)</f>
        <v>5.6034482758620694</v>
      </c>
      <c r="P1676" s="6">
        <f>VLOOKUP(B1676, 'All Menu'!B:L, 9, 0)</f>
        <v>3.1462601484907435</v>
      </c>
      <c r="Q1676" s="14">
        <f>VLOOKUP(B1676, 'All Menu'!B:M, 12, 0)</f>
        <v>0.4385135735001135</v>
      </c>
      <c r="R1676" s="173">
        <f t="shared" si="88"/>
        <v>0</v>
      </c>
    </row>
    <row r="1677" spans="1:18" ht="14" hidden="1">
      <c r="A1677" s="78" t="s">
        <v>2729</v>
      </c>
      <c r="B1677" s="220" t="s">
        <v>1198</v>
      </c>
      <c r="C1677" s="185"/>
      <c r="D1677" s="103" t="str">
        <f>VLOOKUP(B1677, 'All Menu'!B:M, 4, 0)</f>
        <v>وجبة منسف روماني</v>
      </c>
      <c r="E1677" s="30" t="str">
        <f>VLOOKUP(B1677, 'All Menu'!B:M, 2, 0)</f>
        <v>قسم اللاين</v>
      </c>
      <c r="F1677" s="103" t="str">
        <f>VLOOKUP(B1677, 'All Menu'!B:M, 3, 0)</f>
        <v>الوجبات اليومية سفري2</v>
      </c>
      <c r="G1677" s="90" t="s">
        <v>3058</v>
      </c>
      <c r="H1677" s="188">
        <v>5433</v>
      </c>
      <c r="I1677" s="110" t="str">
        <f>VLOOKUP(H1677, 'RM &amp; SF'!B:H, 2, 0)</f>
        <v>خروف مستورد</v>
      </c>
      <c r="J1677" s="184" t="str">
        <f>VLOOKUP(H1677, 'RM &amp; SF'!B:E, 4, 0)</f>
        <v>غم</v>
      </c>
      <c r="K1677" s="12">
        <v>250</v>
      </c>
      <c r="L1677" s="13">
        <f>VLOOKUP(H1677, 'RM &amp; SF'!B:H, 7, 0)</f>
        <v>7.6241935483870975E-3</v>
      </c>
      <c r="M1677" s="7">
        <f t="shared" si="87"/>
        <v>1.9060483870967744</v>
      </c>
      <c r="N1677" s="4" t="s">
        <v>825</v>
      </c>
      <c r="O1677" s="4">
        <f>VLOOKUP(B1677, 'All Menu'!B:L, 6, 0)</f>
        <v>5.6034482758620694</v>
      </c>
      <c r="P1677" s="6">
        <f>VLOOKUP(B1677, 'All Menu'!B:L, 9, 0)</f>
        <v>3.1462601484907435</v>
      </c>
      <c r="Q1677" s="14">
        <f>VLOOKUP(B1677, 'All Menu'!B:M, 12, 0)</f>
        <v>0.4385135735001135</v>
      </c>
      <c r="R1677" s="173">
        <f t="shared" si="88"/>
        <v>0</v>
      </c>
    </row>
    <row r="1678" spans="1:18" ht="14" hidden="1">
      <c r="A1678" s="78" t="s">
        <v>2729</v>
      </c>
      <c r="B1678" s="220" t="s">
        <v>1198</v>
      </c>
      <c r="C1678" s="185"/>
      <c r="D1678" s="103" t="str">
        <f>VLOOKUP(B1678, 'All Menu'!B:M, 4, 0)</f>
        <v>وجبة منسف روماني</v>
      </c>
      <c r="E1678" s="30" t="str">
        <f>VLOOKUP(B1678, 'All Menu'!B:M, 2, 0)</f>
        <v>قسم اللاين</v>
      </c>
      <c r="F1678" s="103" t="str">
        <f>VLOOKUP(B1678, 'All Menu'!B:M, 3, 0)</f>
        <v>الوجبات اليومية سفري2</v>
      </c>
      <c r="G1678" s="90" t="s">
        <v>2431</v>
      </c>
      <c r="H1678" s="219" t="s">
        <v>552</v>
      </c>
      <c r="I1678" s="110" t="str">
        <f>VLOOKUP(H1678, 'RM &amp; SF'!B:H, 2, 0)</f>
        <v xml:space="preserve">لبن </v>
      </c>
      <c r="J1678" s="184" t="str">
        <f>VLOOKUP(H1678, 'RM &amp; SF'!B:E, 4, 0)</f>
        <v>غم</v>
      </c>
      <c r="K1678" s="12">
        <v>450</v>
      </c>
      <c r="L1678" s="13">
        <f>VLOOKUP(H1678, 'RM &amp; SF'!B:H, 7, 0)</f>
        <v>5.9114973451327433E-4</v>
      </c>
      <c r="M1678" s="7">
        <f t="shared" si="87"/>
        <v>0.26601738053097346</v>
      </c>
      <c r="N1678" s="4" t="s">
        <v>825</v>
      </c>
      <c r="O1678" s="4">
        <f>VLOOKUP(B1678, 'All Menu'!B:L, 6, 0)</f>
        <v>5.6034482758620694</v>
      </c>
      <c r="P1678" s="6">
        <f>VLOOKUP(B1678, 'All Menu'!B:L, 9, 0)</f>
        <v>3.1462601484907435</v>
      </c>
      <c r="Q1678" s="14">
        <f>VLOOKUP(B1678, 'All Menu'!B:M, 12, 0)</f>
        <v>0.4385135735001135</v>
      </c>
      <c r="R1678" s="173">
        <f t="shared" si="88"/>
        <v>0</v>
      </c>
    </row>
    <row r="1679" spans="1:18" ht="14" hidden="1">
      <c r="A1679" s="78" t="s">
        <v>2729</v>
      </c>
      <c r="B1679" s="220" t="s">
        <v>1198</v>
      </c>
      <c r="C1679" s="185"/>
      <c r="D1679" s="103" t="str">
        <f>VLOOKUP(B1679, 'All Menu'!B:M, 4, 0)</f>
        <v>وجبة منسف روماني</v>
      </c>
      <c r="E1679" s="30" t="str">
        <f>VLOOKUP(B1679, 'All Menu'!B:M, 2, 0)</f>
        <v>قسم اللاين</v>
      </c>
      <c r="F1679" s="103" t="str">
        <f>VLOOKUP(B1679, 'All Menu'!B:M, 3, 0)</f>
        <v>الوجبات اليومية سفري2</v>
      </c>
      <c r="G1679" s="90" t="s">
        <v>3058</v>
      </c>
      <c r="H1679" s="219" t="s">
        <v>3043</v>
      </c>
      <c r="I1679" s="110" t="str">
        <f>VLOOKUP(H1679, 'RM &amp; SF'!B:H, 2, 0)</f>
        <v>علبة لوز مقلي 25 غرام</v>
      </c>
      <c r="J1679" s="184" t="str">
        <f>VLOOKUP(H1679, 'RM &amp; SF'!B:E, 4, 0)</f>
        <v>قطعة</v>
      </c>
      <c r="K1679" s="12">
        <v>25</v>
      </c>
      <c r="L1679" s="13">
        <f>VLOOKUP(H1679, 'RM &amp; SF'!B:H, 7, 0)</f>
        <v>1.3723013649425287E-2</v>
      </c>
      <c r="M1679" s="7">
        <f t="shared" si="87"/>
        <v>0.34307534123563216</v>
      </c>
      <c r="N1679" s="4" t="s">
        <v>825</v>
      </c>
      <c r="O1679" s="4">
        <f>VLOOKUP(B1679, 'All Menu'!B:L, 6, 0)</f>
        <v>5.6034482758620694</v>
      </c>
      <c r="P1679" s="6">
        <f>VLOOKUP(B1679, 'All Menu'!B:L, 9, 0)</f>
        <v>3.1462601484907435</v>
      </c>
      <c r="Q1679" s="14">
        <f>VLOOKUP(B1679, 'All Menu'!B:M, 12, 0)</f>
        <v>0.4385135735001135</v>
      </c>
      <c r="R1679" s="173">
        <f t="shared" si="88"/>
        <v>0</v>
      </c>
    </row>
    <row r="1680" spans="1:18" ht="14" hidden="1">
      <c r="A1680" s="78" t="s">
        <v>2729</v>
      </c>
      <c r="B1680" s="220" t="s">
        <v>1198</v>
      </c>
      <c r="C1680" s="185"/>
      <c r="D1680" s="103" t="str">
        <f>VLOOKUP(B1680, 'All Menu'!B:M, 4, 0)</f>
        <v>وجبة منسف روماني</v>
      </c>
      <c r="E1680" s="30" t="str">
        <f>VLOOKUP(B1680, 'All Menu'!B:M, 2, 0)</f>
        <v>قسم اللاين</v>
      </c>
      <c r="F1680" s="103" t="str">
        <f>VLOOKUP(B1680, 'All Menu'!B:M, 3, 0)</f>
        <v>الوجبات اليومية سفري2</v>
      </c>
      <c r="G1680" s="90" t="s">
        <v>2331</v>
      </c>
      <c r="H1680" s="219" t="s">
        <v>530</v>
      </c>
      <c r="I1680" s="110" t="str">
        <f>VLOOKUP(H1680, 'RM &amp; SF'!B:H, 2, 0)</f>
        <v>خبز صاج</v>
      </c>
      <c r="J1680" s="184" t="str">
        <f>VLOOKUP(H1680, 'RM &amp; SF'!B:E, 4, 0)</f>
        <v>غم</v>
      </c>
      <c r="K1680" s="12">
        <v>25</v>
      </c>
      <c r="L1680" s="13">
        <f>VLOOKUP(H1680, 'RM &amp; SF'!B:H, 7, 0)</f>
        <v>1.8806451612903227E-4</v>
      </c>
      <c r="M1680" s="7">
        <f t="shared" si="87"/>
        <v>4.7016129032258066E-3</v>
      </c>
      <c r="N1680" s="4" t="s">
        <v>825</v>
      </c>
      <c r="O1680" s="4">
        <f>VLOOKUP(B1680, 'All Menu'!B:L, 6, 0)</f>
        <v>5.6034482758620694</v>
      </c>
      <c r="P1680" s="6">
        <f>VLOOKUP(B1680, 'All Menu'!B:L, 9, 0)</f>
        <v>3.1462601484907435</v>
      </c>
      <c r="Q1680" s="14">
        <f>VLOOKUP(B1680, 'All Menu'!B:M, 12, 0)</f>
        <v>0.4385135735001135</v>
      </c>
      <c r="R1680" s="173">
        <f t="shared" si="88"/>
        <v>0</v>
      </c>
    </row>
    <row r="1681" spans="1:18" ht="14" hidden="1">
      <c r="A1681" s="78" t="s">
        <v>2729</v>
      </c>
      <c r="B1681" s="220" t="s">
        <v>1198</v>
      </c>
      <c r="C1681" s="185"/>
      <c r="D1681" s="103" t="str">
        <f>VLOOKUP(B1681, 'All Menu'!B:M, 4, 0)</f>
        <v>وجبة منسف روماني</v>
      </c>
      <c r="E1681" s="30" t="str">
        <f>VLOOKUP(B1681, 'All Menu'!B:M, 2, 0)</f>
        <v>قسم اللاين</v>
      </c>
      <c r="F1681" s="103" t="str">
        <f>VLOOKUP(B1681, 'All Menu'!B:M, 3, 0)</f>
        <v>الوجبات اليومية سفري2</v>
      </c>
      <c r="G1681" s="90" t="s">
        <v>2180</v>
      </c>
      <c r="H1681" s="188">
        <v>4791</v>
      </c>
      <c r="I1681" s="110" t="str">
        <f>VLOOKUP(H1681, 'RM &amp; SF'!B:H, 2, 0)</f>
        <v>سمنة بلدية 5 كغ*****</v>
      </c>
      <c r="J1681" s="184" t="str">
        <f>VLOOKUP(H1681, 'RM &amp; SF'!B:E, 4, 0)</f>
        <v>غم</v>
      </c>
      <c r="K1681" s="12">
        <v>5</v>
      </c>
      <c r="L1681" s="13">
        <f>VLOOKUP(H1681, 'RM &amp; SF'!B:H, 7, 0)</f>
        <v>8.3330000000000001E-3</v>
      </c>
      <c r="M1681" s="7">
        <f>L1681*K1681</f>
        <v>4.1665000000000001E-2</v>
      </c>
      <c r="N1681" s="4" t="s">
        <v>825</v>
      </c>
      <c r="O1681" s="4">
        <f>VLOOKUP(B1681, 'All Menu'!B:L, 6, 0)</f>
        <v>5.6034482758620694</v>
      </c>
      <c r="P1681" s="6">
        <f>VLOOKUP(B1681, 'All Menu'!B:L, 9, 0)</f>
        <v>3.1462601484907435</v>
      </c>
      <c r="Q1681" s="14">
        <f>VLOOKUP(B1681, 'All Menu'!B:M, 12, 0)</f>
        <v>0.4385135735001135</v>
      </c>
      <c r="R1681" s="173">
        <f t="shared" si="88"/>
        <v>0</v>
      </c>
    </row>
    <row r="1682" spans="1:18" ht="14" hidden="1">
      <c r="A1682" s="78" t="s">
        <v>2729</v>
      </c>
      <c r="B1682" s="220" t="s">
        <v>1198</v>
      </c>
      <c r="C1682" s="185"/>
      <c r="D1682" s="103" t="str">
        <f>VLOOKUP(B1682, 'All Menu'!B:M, 4, 0)</f>
        <v>وجبة منسف روماني</v>
      </c>
      <c r="E1682" s="30" t="str">
        <f>VLOOKUP(B1682, 'All Menu'!B:M, 2, 0)</f>
        <v>قسم اللاين</v>
      </c>
      <c r="F1682" s="103" t="str">
        <f>VLOOKUP(B1682, 'All Menu'!B:M, 3, 0)</f>
        <v>الوجبات اليومية سفري2</v>
      </c>
      <c r="G1682" s="90" t="s">
        <v>2190</v>
      </c>
      <c r="H1682" s="188">
        <v>4279</v>
      </c>
      <c r="I1682" s="110" t="str">
        <f>VLOOKUP(H1682, 'RM &amp; SF'!B:H, 2, 0)</f>
        <v>علب ميكرويف مستطيل اسود مفرغة (احادي)*****</v>
      </c>
      <c r="J1682" s="184" t="str">
        <f>VLOOKUP(H1682, 'RM &amp; SF'!B:E, 4, 0)</f>
        <v>قطعة</v>
      </c>
      <c r="K1682" s="12">
        <v>1</v>
      </c>
      <c r="L1682" s="13">
        <f>VLOOKUP(H1682, 'RM &amp; SF'!B:H, 7, 0)</f>
        <v>9.4799999999999995E-2</v>
      </c>
      <c r="M1682" s="7">
        <f t="shared" si="87"/>
        <v>9.4799999999999995E-2</v>
      </c>
      <c r="N1682" s="4" t="s">
        <v>825</v>
      </c>
      <c r="O1682" s="4">
        <f>VLOOKUP(B1682, 'All Menu'!B:L, 6, 0)</f>
        <v>5.6034482758620694</v>
      </c>
      <c r="P1682" s="6">
        <f>VLOOKUP(B1682, 'All Menu'!B:L, 9, 0)</f>
        <v>3.1462601484907435</v>
      </c>
      <c r="Q1682" s="14">
        <f>VLOOKUP(B1682, 'All Menu'!B:M, 12, 0)</f>
        <v>0.4385135735001135</v>
      </c>
      <c r="R1682" s="173">
        <f t="shared" si="88"/>
        <v>0</v>
      </c>
    </row>
    <row r="1683" spans="1:18" ht="14" hidden="1">
      <c r="A1683" s="78" t="s">
        <v>2729</v>
      </c>
      <c r="B1683" s="220" t="s">
        <v>1198</v>
      </c>
      <c r="C1683" s="185"/>
      <c r="D1683" s="103" t="str">
        <f>VLOOKUP(B1683, 'All Menu'!B:M, 4, 0)</f>
        <v>وجبة منسف روماني</v>
      </c>
      <c r="E1683" s="30" t="str">
        <f>VLOOKUP(B1683, 'All Menu'!B:M, 2, 0)</f>
        <v>قسم اللاين</v>
      </c>
      <c r="F1683" s="103" t="str">
        <f>VLOOKUP(B1683, 'All Menu'!B:M, 3, 0)</f>
        <v>الوجبات اليومية سفري2</v>
      </c>
      <c r="G1683" s="90" t="s">
        <v>3058</v>
      </c>
      <c r="H1683" s="188">
        <v>4266</v>
      </c>
      <c r="I1683" s="110" t="str">
        <f>VLOOKUP(H1683, 'RM &amp; SF'!B:H, 2, 0)</f>
        <v>اساور علب وجبات مطبوع 1*50 حبة*****</v>
      </c>
      <c r="J1683" s="184" t="str">
        <f>VLOOKUP(H1683, 'RM &amp; SF'!B:E, 4, 0)</f>
        <v>قطعة</v>
      </c>
      <c r="K1683" s="12">
        <v>1</v>
      </c>
      <c r="L1683" s="13">
        <f>VLOOKUP(H1683, 'RM &amp; SF'!B:H, 7, 0)</f>
        <v>6.3224137931034485E-2</v>
      </c>
      <c r="M1683" s="7">
        <f t="shared" si="87"/>
        <v>6.3224137931034485E-2</v>
      </c>
      <c r="N1683" s="4" t="s">
        <v>825</v>
      </c>
      <c r="O1683" s="4">
        <f>VLOOKUP(B1683, 'All Menu'!B:L, 6, 0)</f>
        <v>5.6034482758620694</v>
      </c>
      <c r="P1683" s="6">
        <f>VLOOKUP(B1683, 'All Menu'!B:L, 9, 0)</f>
        <v>3.1462601484907435</v>
      </c>
      <c r="Q1683" s="14">
        <f>VLOOKUP(B1683, 'All Menu'!B:M, 12, 0)</f>
        <v>0.4385135735001135</v>
      </c>
      <c r="R1683" s="173">
        <f t="shared" si="88"/>
        <v>0</v>
      </c>
    </row>
    <row r="1684" spans="1:18" ht="14" hidden="1">
      <c r="A1684" s="78" t="s">
        <v>2729</v>
      </c>
      <c r="B1684" s="220" t="s">
        <v>1198</v>
      </c>
      <c r="C1684" s="185"/>
      <c r="D1684" s="103" t="str">
        <f>VLOOKUP(B1684, 'All Menu'!B:M, 4, 0)</f>
        <v>وجبة منسف روماني</v>
      </c>
      <c r="E1684" s="30" t="str">
        <f>VLOOKUP(B1684, 'All Menu'!B:M, 2, 0)</f>
        <v>قسم اللاين</v>
      </c>
      <c r="F1684" s="103" t="str">
        <f>VLOOKUP(B1684, 'All Menu'!B:M, 3, 0)</f>
        <v>الوجبات اليومية سفري2</v>
      </c>
      <c r="G1684" s="90" t="s">
        <v>3058</v>
      </c>
      <c r="H1684" s="188">
        <v>4280</v>
      </c>
      <c r="I1684" s="110" t="str">
        <f>VLOOKUP(H1684, 'RM &amp; SF'!B:H, 2, 0)</f>
        <v>علب ميكرويف مدورة اسود 500 مل RC2*****</v>
      </c>
      <c r="J1684" s="184" t="str">
        <f>VLOOKUP(H1684, 'RM &amp; SF'!B:E, 4, 0)</f>
        <v>قطعة</v>
      </c>
      <c r="K1684" s="12">
        <v>1</v>
      </c>
      <c r="L1684" s="13">
        <f>VLOOKUP(H1684, 'RM &amp; SF'!B:H, 7, 0)</f>
        <v>0.125</v>
      </c>
      <c r="M1684" s="7">
        <f t="shared" ref="M1684:M1751" si="89">L1684*K1684</f>
        <v>0.125</v>
      </c>
      <c r="N1684" s="4" t="s">
        <v>825</v>
      </c>
      <c r="O1684" s="4">
        <f>VLOOKUP(B1684, 'All Menu'!B:L, 6, 0)</f>
        <v>5.6034482758620694</v>
      </c>
      <c r="P1684" s="6">
        <f>VLOOKUP(B1684, 'All Menu'!B:L, 9, 0)</f>
        <v>3.1462601484907435</v>
      </c>
      <c r="Q1684" s="14">
        <f>VLOOKUP(B1684, 'All Menu'!B:M, 12, 0)</f>
        <v>0.4385135735001135</v>
      </c>
      <c r="R1684" s="173">
        <f t="shared" si="88"/>
        <v>0</v>
      </c>
    </row>
    <row r="1685" spans="1:18" ht="14" hidden="1">
      <c r="A1685" s="78" t="s">
        <v>2729</v>
      </c>
      <c r="B1685" s="220" t="s">
        <v>1198</v>
      </c>
      <c r="C1685" s="185"/>
      <c r="D1685" s="103" t="str">
        <f>VLOOKUP(B1685, 'All Menu'!B:M, 4, 0)</f>
        <v>وجبة منسف روماني</v>
      </c>
      <c r="E1685" s="30" t="str">
        <f>VLOOKUP(B1685, 'All Menu'!B:M, 2, 0)</f>
        <v>قسم اللاين</v>
      </c>
      <c r="F1685" s="103" t="str">
        <f>VLOOKUP(B1685, 'All Menu'!B:M, 3, 0)</f>
        <v>الوجبات اليومية سفري2</v>
      </c>
      <c r="G1685" s="90" t="s">
        <v>2195</v>
      </c>
      <c r="H1685" s="188">
        <v>4329</v>
      </c>
      <c r="I1685" s="110" t="str">
        <f>VLOOKUP(H1685, 'RM &amp; SF'!B:H, 2, 0)</f>
        <v>ملاعق بلاستيك مع معقم مطبوع 1*500 حبة*****</v>
      </c>
      <c r="J1685" s="184" t="str">
        <f>VLOOKUP(H1685, 'RM &amp; SF'!B:E, 4, 0)</f>
        <v>قطعة</v>
      </c>
      <c r="K1685" s="12">
        <v>1</v>
      </c>
      <c r="L1685" s="13">
        <f>VLOOKUP(H1685, 'RM &amp; SF'!B:H, 7, 0)</f>
        <v>4.7399999999999997E-4</v>
      </c>
      <c r="M1685" s="7">
        <f t="shared" si="89"/>
        <v>4.7399999999999997E-4</v>
      </c>
      <c r="N1685" s="4" t="s">
        <v>825</v>
      </c>
      <c r="O1685" s="4">
        <f>VLOOKUP(B1685, 'All Menu'!B:L, 6, 0)</f>
        <v>5.6034482758620694</v>
      </c>
      <c r="P1685" s="6">
        <f>VLOOKUP(B1685, 'All Menu'!B:L, 9, 0)</f>
        <v>3.1462601484907435</v>
      </c>
      <c r="Q1685" s="14">
        <f>VLOOKUP(B1685, 'All Menu'!B:M, 12, 0)</f>
        <v>0.4385135735001135</v>
      </c>
      <c r="R1685" s="173">
        <f t="shared" si="88"/>
        <v>0</v>
      </c>
    </row>
    <row r="1686" spans="1:18" ht="14" hidden="1">
      <c r="A1686" s="78" t="s">
        <v>2729</v>
      </c>
      <c r="B1686" s="220" t="s">
        <v>1198</v>
      </c>
      <c r="C1686" s="185"/>
      <c r="D1686" s="103" t="str">
        <f>VLOOKUP(B1686, 'All Menu'!B:M, 4, 0)</f>
        <v>وجبة منسف روماني</v>
      </c>
      <c r="E1686" s="30" t="str">
        <f>VLOOKUP(B1686, 'All Menu'!B:M, 2, 0)</f>
        <v>قسم اللاين</v>
      </c>
      <c r="F1686" s="103" t="str">
        <f>VLOOKUP(B1686, 'All Menu'!B:M, 3, 0)</f>
        <v>الوجبات اليومية سفري2</v>
      </c>
      <c r="G1686" s="90" t="s">
        <v>2193</v>
      </c>
      <c r="H1686" s="188">
        <v>4309</v>
      </c>
      <c r="I1686" s="110" t="str">
        <f>VLOOKUP(H1686, 'RM &amp; SF'!B:H, 2, 0)</f>
        <v>اكياس بلاستيك مطبوع 55 سم*****</v>
      </c>
      <c r="J1686" s="184" t="str">
        <f>VLOOKUP(H1686, 'RM &amp; SF'!B:E, 4, 0)</f>
        <v>قطعة</v>
      </c>
      <c r="K1686" s="12">
        <v>1</v>
      </c>
      <c r="L1686" s="13">
        <f>VLOOKUP(H1686, 'RM &amp; SF'!B:H, 7, 0)</f>
        <v>5.5172413793103454E-2</v>
      </c>
      <c r="M1686" s="7">
        <f t="shared" si="89"/>
        <v>5.5172413793103454E-2</v>
      </c>
      <c r="N1686" s="4" t="s">
        <v>825</v>
      </c>
      <c r="O1686" s="4">
        <f>VLOOKUP(B1686, 'All Menu'!B:L, 6, 0)</f>
        <v>5.6034482758620694</v>
      </c>
      <c r="P1686" s="6">
        <f>VLOOKUP(B1686, 'All Menu'!B:L, 9, 0)</f>
        <v>3.1462601484907435</v>
      </c>
      <c r="Q1686" s="14">
        <f>VLOOKUP(B1686, 'All Menu'!B:M, 12, 0)</f>
        <v>0.4385135735001135</v>
      </c>
      <c r="R1686" s="173">
        <f t="shared" si="88"/>
        <v>0</v>
      </c>
    </row>
    <row r="1687" spans="1:18" ht="14" hidden="1">
      <c r="A1687" s="78" t="s">
        <v>2730</v>
      </c>
      <c r="B1687" s="220" t="s">
        <v>1199</v>
      </c>
      <c r="C1687" s="185"/>
      <c r="D1687" s="103" t="str">
        <f>VLOOKUP(B1687, 'All Menu'!B:M, 4, 0)</f>
        <v>وجبة ضلعة محشية</v>
      </c>
      <c r="E1687" s="30" t="str">
        <f>VLOOKUP(B1687, 'All Menu'!B:M, 2, 0)</f>
        <v>قسم اللاين</v>
      </c>
      <c r="F1687" s="103" t="str">
        <f>VLOOKUP(B1687, 'All Menu'!B:M, 3, 0)</f>
        <v>الوجبات اليومية سفري2</v>
      </c>
      <c r="G1687" s="90" t="s">
        <v>2340</v>
      </c>
      <c r="H1687" s="219" t="s">
        <v>702</v>
      </c>
      <c r="I1687" s="110" t="str">
        <f>VLOOKUP(H1687, 'RM &amp; SF'!B:H, 2, 0)</f>
        <v>ضلعة محشية رز</v>
      </c>
      <c r="J1687" s="184" t="str">
        <f>VLOOKUP(H1687, 'RM &amp; SF'!B:E, 4, 0)</f>
        <v>قطعة</v>
      </c>
      <c r="K1687" s="12">
        <v>1</v>
      </c>
      <c r="L1687" s="13">
        <f>VLOOKUP(H1687, 'RM &amp; SF'!B:H, 7, 0)</f>
        <v>5.4594689919691346</v>
      </c>
      <c r="M1687" s="7">
        <f t="shared" si="89"/>
        <v>5.4594689919691346</v>
      </c>
      <c r="N1687" s="4" t="s">
        <v>825</v>
      </c>
      <c r="O1687" s="4">
        <f>VLOOKUP(B1687, 'All Menu'!B:L, 6, 0)</f>
        <v>7.7586206896551726</v>
      </c>
      <c r="P1687" s="6">
        <f>VLOOKUP(B1687, 'All Menu'!B:L, 9, 0)</f>
        <v>7.1847246533469793</v>
      </c>
      <c r="Q1687" s="14">
        <f>VLOOKUP(B1687, 'All Menu'!B:M, 12, 0)</f>
        <v>7.3968822457500472E-2</v>
      </c>
      <c r="R1687" s="173">
        <f t="shared" si="88"/>
        <v>0</v>
      </c>
    </row>
    <row r="1688" spans="1:18" ht="14" hidden="1">
      <c r="A1688" s="78" t="s">
        <v>2730</v>
      </c>
      <c r="B1688" s="220" t="s">
        <v>1199</v>
      </c>
      <c r="C1688" s="185"/>
      <c r="D1688" s="103" t="str">
        <f>VLOOKUP(B1688, 'All Menu'!B:M, 4, 0)</f>
        <v>وجبة ضلعة محشية</v>
      </c>
      <c r="E1688" s="30" t="str">
        <f>VLOOKUP(B1688, 'All Menu'!B:M, 2, 0)</f>
        <v>قسم اللاين</v>
      </c>
      <c r="F1688" s="103" t="str">
        <f>VLOOKUP(B1688, 'All Menu'!B:M, 3, 0)</f>
        <v>الوجبات اليومية سفري2</v>
      </c>
      <c r="G1688" s="90" t="s">
        <v>2377</v>
      </c>
      <c r="H1688" s="219" t="s">
        <v>796</v>
      </c>
      <c r="I1688" s="110" t="str">
        <f>VLOOKUP(H1688, 'RM &amp; SF'!B:H, 2, 0)</f>
        <v>رز مبهر</v>
      </c>
      <c r="J1688" s="184" t="str">
        <f>VLOOKUP(H1688, 'RM &amp; SF'!B:E, 4, 0)</f>
        <v>غم</v>
      </c>
      <c r="K1688" s="12">
        <v>450</v>
      </c>
      <c r="L1688" s="13">
        <f>VLOOKUP(H1688, 'RM &amp; SF'!B:H, 7, 0)</f>
        <v>8.1314491666666653E-4</v>
      </c>
      <c r="M1688" s="7">
        <f t="shared" si="89"/>
        <v>0.36591521249999992</v>
      </c>
      <c r="N1688" s="4" t="s">
        <v>825</v>
      </c>
      <c r="O1688" s="4">
        <f>VLOOKUP(B1688, 'All Menu'!B:L, 6, 0)</f>
        <v>7.7586206896551726</v>
      </c>
      <c r="P1688" s="6">
        <f>VLOOKUP(B1688, 'All Menu'!B:L, 9, 0)</f>
        <v>7.1847246533469793</v>
      </c>
      <c r="Q1688" s="14">
        <f>VLOOKUP(B1688, 'All Menu'!B:M, 12, 0)</f>
        <v>7.3968822457500472E-2</v>
      </c>
      <c r="R1688" s="173"/>
    </row>
    <row r="1689" spans="1:18" ht="14" hidden="1">
      <c r="A1689" s="78" t="s">
        <v>2730</v>
      </c>
      <c r="B1689" s="220" t="s">
        <v>1199</v>
      </c>
      <c r="C1689" s="185"/>
      <c r="D1689" s="103" t="str">
        <f>VLOOKUP(B1689, 'All Menu'!B:M, 4, 0)</f>
        <v>وجبة ضلعة محشية</v>
      </c>
      <c r="E1689" s="30" t="str">
        <f>VLOOKUP(B1689, 'All Menu'!B:M, 2, 0)</f>
        <v>قسم اللاين</v>
      </c>
      <c r="F1689" s="103" t="str">
        <f>VLOOKUP(B1689, 'All Menu'!B:M, 3, 0)</f>
        <v>الوجبات اليومية سفري2</v>
      </c>
      <c r="G1689" s="90" t="s">
        <v>2190</v>
      </c>
      <c r="H1689" s="188">
        <v>4279</v>
      </c>
      <c r="I1689" s="110" t="str">
        <f>VLOOKUP(H1689, 'RM &amp; SF'!B:H, 2, 0)</f>
        <v>علب ميكرويف مستطيل اسود مفرغة (احادي)*****</v>
      </c>
      <c r="J1689" s="184" t="str">
        <f>VLOOKUP(H1689, 'RM &amp; SF'!B:E, 4, 0)</f>
        <v>قطعة</v>
      </c>
      <c r="K1689" s="12">
        <v>1</v>
      </c>
      <c r="L1689" s="13">
        <f>VLOOKUP(H1689, 'RM &amp; SF'!B:H, 7, 0)</f>
        <v>9.4799999999999995E-2</v>
      </c>
      <c r="M1689" s="7">
        <f t="shared" si="89"/>
        <v>9.4799999999999995E-2</v>
      </c>
      <c r="N1689" s="4" t="s">
        <v>825</v>
      </c>
      <c r="O1689" s="4">
        <f>VLOOKUP(B1689, 'All Menu'!B:L, 6, 0)</f>
        <v>7.7586206896551726</v>
      </c>
      <c r="P1689" s="6">
        <f>VLOOKUP(B1689, 'All Menu'!B:L, 9, 0)</f>
        <v>7.1847246533469793</v>
      </c>
      <c r="Q1689" s="14">
        <f>VLOOKUP(B1689, 'All Menu'!B:M, 12, 0)</f>
        <v>7.3968822457500472E-2</v>
      </c>
      <c r="R1689" s="173">
        <f t="shared" si="88"/>
        <v>0</v>
      </c>
    </row>
    <row r="1690" spans="1:18" ht="14" hidden="1">
      <c r="A1690" s="78" t="s">
        <v>2730</v>
      </c>
      <c r="B1690" s="220" t="s">
        <v>1199</v>
      </c>
      <c r="C1690" s="185"/>
      <c r="D1690" s="103" t="str">
        <f>VLOOKUP(B1690, 'All Menu'!B:M, 4, 0)</f>
        <v>وجبة ضلعة محشية</v>
      </c>
      <c r="E1690" s="30" t="str">
        <f>VLOOKUP(B1690, 'All Menu'!B:M, 2, 0)</f>
        <v>قسم اللاين</v>
      </c>
      <c r="F1690" s="103" t="str">
        <f>VLOOKUP(B1690, 'All Menu'!B:M, 3, 0)</f>
        <v>الوجبات اليومية سفري2</v>
      </c>
      <c r="G1690" s="90" t="s">
        <v>3058</v>
      </c>
      <c r="H1690" s="188">
        <v>4150</v>
      </c>
      <c r="I1690" s="110" t="str">
        <f>VLOOKUP(H1690, 'RM &amp; SF'!B:H, 2, 0)</f>
        <v>لوز ارباع 11.340 كغ*****</v>
      </c>
      <c r="J1690" s="184" t="str">
        <f>VLOOKUP(H1690, 'RM &amp; SF'!B:E, 4, 0)</f>
        <v>غم</v>
      </c>
      <c r="K1690" s="12">
        <v>25</v>
      </c>
      <c r="L1690" s="13">
        <f>VLOOKUP(H1690, 'RM &amp; SF'!B:H, 7, 0)</f>
        <v>6.233655658943015E-3</v>
      </c>
      <c r="M1690" s="7">
        <f t="shared" si="89"/>
        <v>0.15584139147357537</v>
      </c>
      <c r="N1690" s="4" t="s">
        <v>825</v>
      </c>
      <c r="O1690" s="4">
        <f>VLOOKUP(B1690, 'All Menu'!B:L, 6, 0)</f>
        <v>7.7586206896551726</v>
      </c>
      <c r="P1690" s="6">
        <f>VLOOKUP(B1690, 'All Menu'!B:L, 9, 0)</f>
        <v>7.1847246533469793</v>
      </c>
      <c r="Q1690" s="14">
        <f>VLOOKUP(B1690, 'All Menu'!B:M, 12, 0)</f>
        <v>7.3968822457500472E-2</v>
      </c>
      <c r="R1690" s="173">
        <f t="shared" si="88"/>
        <v>0</v>
      </c>
    </row>
    <row r="1691" spans="1:18" ht="14" hidden="1">
      <c r="A1691" s="78" t="s">
        <v>2730</v>
      </c>
      <c r="B1691" s="220" t="s">
        <v>1199</v>
      </c>
      <c r="C1691" s="185"/>
      <c r="D1691" s="103" t="str">
        <f>VLOOKUP(B1691, 'All Menu'!B:M, 4, 0)</f>
        <v>وجبة ضلعة محشية</v>
      </c>
      <c r="E1691" s="30" t="str">
        <f>VLOOKUP(B1691, 'All Menu'!B:M, 2, 0)</f>
        <v>قسم اللاين</v>
      </c>
      <c r="F1691" s="103" t="str">
        <f>VLOOKUP(B1691, 'All Menu'!B:M, 3, 0)</f>
        <v>الوجبات اليومية سفري2</v>
      </c>
      <c r="G1691" s="90" t="s">
        <v>2185</v>
      </c>
      <c r="H1691" s="188">
        <v>4550</v>
      </c>
      <c r="I1691" s="110" t="str">
        <f>VLOOKUP(H1691, 'RM &amp; SF'!B:H, 2, 0)</f>
        <v>*****لبن زبادي 150 غم</v>
      </c>
      <c r="J1691" s="184" t="str">
        <f>VLOOKUP(H1691, 'RM &amp; SF'!B:E, 4, 0)</f>
        <v>قطعة</v>
      </c>
      <c r="K1691" s="12">
        <v>1</v>
      </c>
      <c r="L1691" s="13">
        <f>VLOOKUP(H1691, 'RM &amp; SF'!B:H, 7, 0)</f>
        <v>0.16</v>
      </c>
      <c r="M1691" s="7">
        <f t="shared" si="89"/>
        <v>0.16</v>
      </c>
      <c r="N1691" s="4" t="s">
        <v>825</v>
      </c>
      <c r="O1691" s="4">
        <f>VLOOKUP(B1691, 'All Menu'!B:L, 6, 0)</f>
        <v>7.7586206896551726</v>
      </c>
      <c r="P1691" s="6">
        <f>VLOOKUP(B1691, 'All Menu'!B:L, 9, 0)</f>
        <v>7.1847246533469793</v>
      </c>
      <c r="Q1691" s="14">
        <f>VLOOKUP(B1691, 'All Menu'!B:M, 12, 0)</f>
        <v>7.3968822457500472E-2</v>
      </c>
      <c r="R1691" s="173">
        <f t="shared" si="88"/>
        <v>0</v>
      </c>
    </row>
    <row r="1692" spans="1:18" ht="14" hidden="1">
      <c r="A1692" s="78" t="s">
        <v>2730</v>
      </c>
      <c r="B1692" s="220" t="s">
        <v>1199</v>
      </c>
      <c r="C1692" s="185"/>
      <c r="D1692" s="103" t="str">
        <f>VLOOKUP(B1692, 'All Menu'!B:M, 4, 0)</f>
        <v>وجبة ضلعة محشية</v>
      </c>
      <c r="E1692" s="30" t="str">
        <f>VLOOKUP(B1692, 'All Menu'!B:M, 2, 0)</f>
        <v>قسم اللاين</v>
      </c>
      <c r="F1692" s="103" t="str">
        <f>VLOOKUP(B1692, 'All Menu'!B:M, 3, 0)</f>
        <v>الوجبات اليومية سفري2</v>
      </c>
      <c r="G1692" s="90" t="s">
        <v>2437</v>
      </c>
      <c r="H1692" s="219" t="s">
        <v>688</v>
      </c>
      <c r="I1692" s="110" t="str">
        <f>VLOOKUP(H1692, 'RM &amp; SF'!B:H, 2, 0)</f>
        <v>دوالي محشي</v>
      </c>
      <c r="J1692" s="184" t="str">
        <f>VLOOKUP(H1692, 'RM &amp; SF'!B:E, 4, 0)</f>
        <v>قطعة</v>
      </c>
      <c r="K1692" s="12">
        <v>8</v>
      </c>
      <c r="L1692" s="13">
        <f>VLOOKUP(H1692, 'RM &amp; SF'!B:H, 7, 0)</f>
        <v>6.7135997560149097E-2</v>
      </c>
      <c r="M1692" s="7">
        <f t="shared" si="89"/>
        <v>0.53708798048119277</v>
      </c>
      <c r="N1692" s="4" t="s">
        <v>825</v>
      </c>
      <c r="O1692" s="4">
        <f>VLOOKUP(B1692, 'All Menu'!B:L, 6, 0)</f>
        <v>7.7586206896551726</v>
      </c>
      <c r="P1692" s="6">
        <f>VLOOKUP(B1692, 'All Menu'!B:L, 9, 0)</f>
        <v>7.1847246533469793</v>
      </c>
      <c r="Q1692" s="14">
        <f>VLOOKUP(B1692, 'All Menu'!B:M, 12, 0)</f>
        <v>7.3968822457500472E-2</v>
      </c>
      <c r="R1692" s="173">
        <f t="shared" si="88"/>
        <v>0</v>
      </c>
    </row>
    <row r="1693" spans="1:18" ht="14" hidden="1">
      <c r="A1693" s="78" t="s">
        <v>2730</v>
      </c>
      <c r="B1693" s="220" t="s">
        <v>1199</v>
      </c>
      <c r="C1693" s="185"/>
      <c r="D1693" s="103" t="str">
        <f>VLOOKUP(B1693, 'All Menu'!B:M, 4, 0)</f>
        <v>وجبة ضلعة محشية</v>
      </c>
      <c r="E1693" s="30" t="str">
        <f>VLOOKUP(B1693, 'All Menu'!B:M, 2, 0)</f>
        <v>قسم اللاين</v>
      </c>
      <c r="F1693" s="103" t="str">
        <f>VLOOKUP(B1693, 'All Menu'!B:M, 3, 0)</f>
        <v>الوجبات اليومية سفري2</v>
      </c>
      <c r="G1693" s="90" t="s">
        <v>2435</v>
      </c>
      <c r="H1693" s="219" t="s">
        <v>690</v>
      </c>
      <c r="I1693" s="110" t="str">
        <f>VLOOKUP(H1693, 'RM &amp; SF'!B:H, 2, 0)</f>
        <v>كوسا محشي بالحبة</v>
      </c>
      <c r="J1693" s="184" t="str">
        <f>VLOOKUP(H1693, 'RM &amp; SF'!B:E, 4, 0)</f>
        <v>قطعة</v>
      </c>
      <c r="K1693" s="12">
        <v>2</v>
      </c>
      <c r="L1693" s="13">
        <f>VLOOKUP(H1693, 'RM &amp; SF'!B:H, 7, 0)</f>
        <v>0.20580553846153843</v>
      </c>
      <c r="M1693" s="7">
        <f t="shared" si="89"/>
        <v>0.41161107692307686</v>
      </c>
      <c r="N1693" s="4" t="s">
        <v>825</v>
      </c>
      <c r="O1693" s="4">
        <f>VLOOKUP(B1693, 'All Menu'!B:L, 6, 0)</f>
        <v>7.7586206896551726</v>
      </c>
      <c r="P1693" s="6">
        <f>VLOOKUP(B1693, 'All Menu'!B:L, 9, 0)</f>
        <v>7.1847246533469793</v>
      </c>
      <c r="Q1693" s="14">
        <f>VLOOKUP(B1693, 'All Menu'!B:M, 12, 0)</f>
        <v>7.3968822457500472E-2</v>
      </c>
      <c r="R1693" s="173">
        <f t="shared" si="88"/>
        <v>0</v>
      </c>
    </row>
    <row r="1694" spans="1:18" ht="14" hidden="1">
      <c r="A1694" s="78" t="s">
        <v>2733</v>
      </c>
      <c r="B1694" s="220" t="s">
        <v>1202</v>
      </c>
      <c r="C1694" s="185"/>
      <c r="D1694" s="103" t="str">
        <f>VLOOKUP(B1694, 'All Menu'!B:M, 4, 0)</f>
        <v>مندي مع كباب</v>
      </c>
      <c r="E1694" s="30" t="str">
        <f>VLOOKUP(B1694, 'All Menu'!B:M, 2, 0)</f>
        <v>قسم اللاين</v>
      </c>
      <c r="F1694" s="103" t="str">
        <f>VLOOKUP(B1694, 'All Menu'!B:M, 3, 0)</f>
        <v>الوجبات اليومية سفري2</v>
      </c>
      <c r="G1694" s="90" t="s">
        <v>2387</v>
      </c>
      <c r="H1694" s="219" t="s">
        <v>554</v>
      </c>
      <c r="I1694" s="110" t="str">
        <f>VLOOKUP(H1694, 'RM &amp; SF'!B:H, 2, 0)</f>
        <v>مندي</v>
      </c>
      <c r="J1694" s="184" t="str">
        <f>VLOOKUP(H1694, 'RM &amp; SF'!B:E, 4, 0)</f>
        <v>غم</v>
      </c>
      <c r="K1694" s="12">
        <v>500</v>
      </c>
      <c r="L1694" s="13">
        <f>VLOOKUP(H1694, 'RM &amp; SF'!B:H, 7, 0)</f>
        <v>4.9271573151695748E-4</v>
      </c>
      <c r="M1694" s="7">
        <f t="shared" si="89"/>
        <v>0.24635786575847873</v>
      </c>
      <c r="N1694" s="4" t="s">
        <v>825</v>
      </c>
      <c r="O1694" s="4">
        <f>VLOOKUP(B1694, 'All Menu'!B:L, 6, 0)</f>
        <v>3.0172413793103452</v>
      </c>
      <c r="P1694" s="6">
        <f>VLOOKUP(B1694, 'All Menu'!B:L, 9, 0)</f>
        <v>3.0299511211920569</v>
      </c>
      <c r="Q1694" s="14">
        <f>VLOOKUP(B1694, 'All Menu'!B:M, 12, 0)</f>
        <v>-4.212371595081592E-3</v>
      </c>
      <c r="R1694" s="173">
        <f t="shared" si="88"/>
        <v>0</v>
      </c>
    </row>
    <row r="1695" spans="1:18" ht="14" hidden="1">
      <c r="A1695" s="78" t="s">
        <v>2733</v>
      </c>
      <c r="B1695" s="220" t="s">
        <v>1202</v>
      </c>
      <c r="C1695" s="185"/>
      <c r="D1695" s="103" t="str">
        <f>VLOOKUP(B1695, 'All Menu'!B:M, 4, 0)</f>
        <v>مندي مع كباب</v>
      </c>
      <c r="E1695" s="30" t="str">
        <f>VLOOKUP(B1695, 'All Menu'!B:M, 2, 0)</f>
        <v>قسم اللاين</v>
      </c>
      <c r="F1695" s="103" t="str">
        <f>VLOOKUP(B1695, 'All Menu'!B:M, 3, 0)</f>
        <v>الوجبات اليومية سفري2</v>
      </c>
      <c r="G1695" s="90" t="s">
        <v>2341</v>
      </c>
      <c r="H1695" s="219" t="s">
        <v>706</v>
      </c>
      <c r="I1695" s="110" t="str">
        <f>VLOOKUP(H1695, 'RM &amp; SF'!B:H, 2, 0)</f>
        <v>لوز مقلي</v>
      </c>
      <c r="J1695" s="184" t="str">
        <f>VLOOKUP(H1695, 'RM &amp; SF'!B:E, 4, 0)</f>
        <v>غم</v>
      </c>
      <c r="K1695" s="12">
        <v>20</v>
      </c>
      <c r="L1695" s="13">
        <f>VLOOKUP(H1695, 'RM &amp; SF'!B:H, 7, 0)</f>
        <v>4.1352327586206888E-3</v>
      </c>
      <c r="M1695" s="7">
        <f t="shared" si="89"/>
        <v>8.270465517241378E-2</v>
      </c>
      <c r="N1695" s="4" t="s">
        <v>825</v>
      </c>
      <c r="O1695" s="4">
        <f>VLOOKUP(B1695, 'All Menu'!B:L, 6, 0)</f>
        <v>3.0172413793103452</v>
      </c>
      <c r="P1695" s="6">
        <f>VLOOKUP(B1695, 'All Menu'!B:L, 9, 0)</f>
        <v>3.0299511211920569</v>
      </c>
      <c r="Q1695" s="14">
        <f>VLOOKUP(B1695, 'All Menu'!B:M, 12, 0)</f>
        <v>-4.212371595081592E-3</v>
      </c>
      <c r="R1695" s="173">
        <f t="shared" ref="R1695:R1761" si="90">C1695*K1695</f>
        <v>0</v>
      </c>
    </row>
    <row r="1696" spans="1:18" ht="14" hidden="1">
      <c r="A1696" s="78" t="s">
        <v>2733</v>
      </c>
      <c r="B1696" s="220" t="s">
        <v>1202</v>
      </c>
      <c r="C1696" s="185"/>
      <c r="D1696" s="103" t="str">
        <f>VLOOKUP(B1696, 'All Menu'!B:M, 4, 0)</f>
        <v>مندي مع كباب</v>
      </c>
      <c r="E1696" s="30" t="str">
        <f>VLOOKUP(B1696, 'All Menu'!B:M, 2, 0)</f>
        <v>قسم اللاين</v>
      </c>
      <c r="F1696" s="103" t="str">
        <f>VLOOKUP(B1696, 'All Menu'!B:M, 3, 0)</f>
        <v>الوجبات اليومية سفري2</v>
      </c>
      <c r="G1696" s="90" t="s">
        <v>2190</v>
      </c>
      <c r="H1696" s="188">
        <v>4279</v>
      </c>
      <c r="I1696" s="110" t="str">
        <f>VLOOKUP(H1696, 'RM &amp; SF'!B:H, 2, 0)</f>
        <v>علب ميكرويف مستطيل اسود مفرغة (احادي)*****</v>
      </c>
      <c r="J1696" s="184" t="str">
        <f>VLOOKUP(H1696, 'RM &amp; SF'!B:E, 4, 0)</f>
        <v>قطعة</v>
      </c>
      <c r="K1696" s="12">
        <v>1</v>
      </c>
      <c r="L1696" s="13">
        <f>VLOOKUP(H1696, 'RM &amp; SF'!B:H, 7, 0)</f>
        <v>9.4799999999999995E-2</v>
      </c>
      <c r="M1696" s="7">
        <f t="shared" si="89"/>
        <v>9.4799999999999995E-2</v>
      </c>
      <c r="N1696" s="4" t="s">
        <v>825</v>
      </c>
      <c r="O1696" s="4">
        <f>VLOOKUP(B1696, 'All Menu'!B:L, 6, 0)</f>
        <v>3.0172413793103452</v>
      </c>
      <c r="P1696" s="6">
        <f>VLOOKUP(B1696, 'All Menu'!B:L, 9, 0)</f>
        <v>3.0299511211920569</v>
      </c>
      <c r="Q1696" s="14">
        <f>VLOOKUP(B1696, 'All Menu'!B:M, 12, 0)</f>
        <v>-4.212371595081592E-3</v>
      </c>
      <c r="R1696" s="173">
        <f t="shared" si="90"/>
        <v>0</v>
      </c>
    </row>
    <row r="1697" spans="1:18" ht="14" hidden="1">
      <c r="A1697" s="78" t="s">
        <v>2733</v>
      </c>
      <c r="B1697" s="220" t="s">
        <v>1202</v>
      </c>
      <c r="C1697" s="185"/>
      <c r="D1697" s="103" t="str">
        <f>VLOOKUP(B1697, 'All Menu'!B:M, 4, 0)</f>
        <v>مندي مع كباب</v>
      </c>
      <c r="E1697" s="30" t="str">
        <f>VLOOKUP(B1697, 'All Menu'!B:M, 2, 0)</f>
        <v>قسم اللاين</v>
      </c>
      <c r="F1697" s="103" t="str">
        <f>VLOOKUP(B1697, 'All Menu'!B:M, 3, 0)</f>
        <v>الوجبات اليومية سفري2</v>
      </c>
      <c r="G1697" s="90" t="s">
        <v>3058</v>
      </c>
      <c r="H1697" s="188">
        <v>4266</v>
      </c>
      <c r="I1697" s="110" t="str">
        <f>VLOOKUP(H1697, 'RM &amp; SF'!B:H, 2, 0)</f>
        <v>اساور علب وجبات مطبوع 1*50 حبة*****</v>
      </c>
      <c r="J1697" s="184" t="str">
        <f>VLOOKUP(H1697, 'RM &amp; SF'!B:E, 4, 0)</f>
        <v>قطعة</v>
      </c>
      <c r="K1697" s="12">
        <v>1</v>
      </c>
      <c r="L1697" s="13">
        <f>VLOOKUP(H1697, 'RM &amp; SF'!B:H, 7, 0)</f>
        <v>6.3224137931034485E-2</v>
      </c>
      <c r="M1697" s="7">
        <f t="shared" si="89"/>
        <v>6.3224137931034485E-2</v>
      </c>
      <c r="N1697" s="4" t="s">
        <v>825</v>
      </c>
      <c r="O1697" s="4">
        <f>VLOOKUP(B1697, 'All Menu'!B:L, 6, 0)</f>
        <v>3.0172413793103452</v>
      </c>
      <c r="P1697" s="6">
        <f>VLOOKUP(B1697, 'All Menu'!B:L, 9, 0)</f>
        <v>3.0299511211920569</v>
      </c>
      <c r="Q1697" s="14">
        <f>VLOOKUP(B1697, 'All Menu'!B:M, 12, 0)</f>
        <v>-4.212371595081592E-3</v>
      </c>
      <c r="R1697" s="173">
        <f t="shared" si="90"/>
        <v>0</v>
      </c>
    </row>
    <row r="1698" spans="1:18" ht="14" hidden="1">
      <c r="A1698" s="78" t="s">
        <v>2733</v>
      </c>
      <c r="B1698" s="220" t="s">
        <v>1202</v>
      </c>
      <c r="C1698" s="185"/>
      <c r="D1698" s="103" t="str">
        <f>VLOOKUP(B1698, 'All Menu'!B:M, 4, 0)</f>
        <v>مندي مع كباب</v>
      </c>
      <c r="E1698" s="30" t="str">
        <f>VLOOKUP(B1698, 'All Menu'!B:M, 2, 0)</f>
        <v>قسم اللاين</v>
      </c>
      <c r="F1698" s="103" t="str">
        <f>VLOOKUP(B1698, 'All Menu'!B:M, 3, 0)</f>
        <v>الوجبات اليومية سفري2</v>
      </c>
      <c r="G1698" s="90" t="s">
        <v>2195</v>
      </c>
      <c r="H1698" s="188">
        <v>4329</v>
      </c>
      <c r="I1698" s="110" t="str">
        <f>VLOOKUP(H1698, 'RM &amp; SF'!B:H, 2, 0)</f>
        <v>ملاعق بلاستيك مع معقم مطبوع 1*500 حبة*****</v>
      </c>
      <c r="J1698" s="184" t="str">
        <f>VLOOKUP(H1698, 'RM &amp; SF'!B:E, 4, 0)</f>
        <v>قطعة</v>
      </c>
      <c r="K1698" s="12">
        <v>1</v>
      </c>
      <c r="L1698" s="13">
        <f>VLOOKUP(H1698, 'RM &amp; SF'!B:H, 7, 0)</f>
        <v>4.7399999999999997E-4</v>
      </c>
      <c r="M1698" s="7">
        <f t="shared" si="89"/>
        <v>4.7399999999999997E-4</v>
      </c>
      <c r="N1698" s="4" t="s">
        <v>825</v>
      </c>
      <c r="O1698" s="4">
        <f>VLOOKUP(B1698, 'All Menu'!B:L, 6, 0)</f>
        <v>3.0172413793103452</v>
      </c>
      <c r="P1698" s="6">
        <f>VLOOKUP(B1698, 'All Menu'!B:L, 9, 0)</f>
        <v>3.0299511211920569</v>
      </c>
      <c r="Q1698" s="14">
        <f>VLOOKUP(B1698, 'All Menu'!B:M, 12, 0)</f>
        <v>-4.212371595081592E-3</v>
      </c>
      <c r="R1698" s="173">
        <f t="shared" si="90"/>
        <v>0</v>
      </c>
    </row>
    <row r="1699" spans="1:18" ht="14" hidden="1">
      <c r="A1699" s="78" t="s">
        <v>2733</v>
      </c>
      <c r="B1699" s="220" t="s">
        <v>1202</v>
      </c>
      <c r="C1699" s="185"/>
      <c r="D1699" s="103" t="str">
        <f>VLOOKUP(B1699, 'All Menu'!B:M, 4, 0)</f>
        <v>مندي مع كباب</v>
      </c>
      <c r="E1699" s="30" t="str">
        <f>VLOOKUP(B1699, 'All Menu'!B:M, 2, 0)</f>
        <v>قسم اللاين</v>
      </c>
      <c r="F1699" s="103" t="str">
        <f>VLOOKUP(B1699, 'All Menu'!B:M, 3, 0)</f>
        <v>الوجبات اليومية سفري2</v>
      </c>
      <c r="G1699" s="90" t="s">
        <v>2193</v>
      </c>
      <c r="H1699" s="188">
        <v>4309</v>
      </c>
      <c r="I1699" s="110" t="str">
        <f>VLOOKUP(H1699, 'RM &amp; SF'!B:H, 2, 0)</f>
        <v>اكياس بلاستيك مطبوع 55 سم*****</v>
      </c>
      <c r="J1699" s="184" t="str">
        <f>VLOOKUP(H1699, 'RM &amp; SF'!B:E, 4, 0)</f>
        <v>قطعة</v>
      </c>
      <c r="K1699" s="12">
        <v>1</v>
      </c>
      <c r="L1699" s="13">
        <f>VLOOKUP(H1699, 'RM &amp; SF'!B:H, 7, 0)</f>
        <v>5.5172413793103454E-2</v>
      </c>
      <c r="M1699" s="7">
        <f t="shared" si="89"/>
        <v>5.5172413793103454E-2</v>
      </c>
      <c r="N1699" s="4" t="s">
        <v>825</v>
      </c>
      <c r="O1699" s="4">
        <f>VLOOKUP(B1699, 'All Menu'!B:L, 6, 0)</f>
        <v>3.0172413793103452</v>
      </c>
      <c r="P1699" s="6">
        <f>VLOOKUP(B1699, 'All Menu'!B:L, 9, 0)</f>
        <v>3.0299511211920569</v>
      </c>
      <c r="Q1699" s="14">
        <f>VLOOKUP(B1699, 'All Menu'!B:M, 12, 0)</f>
        <v>-4.212371595081592E-3</v>
      </c>
      <c r="R1699" s="173">
        <f t="shared" si="90"/>
        <v>0</v>
      </c>
    </row>
    <row r="1700" spans="1:18" ht="14" hidden="1">
      <c r="A1700" s="78" t="s">
        <v>2733</v>
      </c>
      <c r="B1700" s="220" t="s">
        <v>1202</v>
      </c>
      <c r="C1700" s="185"/>
      <c r="D1700" s="103" t="str">
        <f>VLOOKUP(B1700, 'All Menu'!B:M, 4, 0)</f>
        <v>مندي مع كباب</v>
      </c>
      <c r="E1700" s="30" t="str">
        <f>VLOOKUP(B1700, 'All Menu'!B:M, 2, 0)</f>
        <v>قسم اللاين</v>
      </c>
      <c r="F1700" s="103" t="str">
        <f>VLOOKUP(B1700, 'All Menu'!B:M, 3, 0)</f>
        <v>الوجبات اليومية سفري2</v>
      </c>
      <c r="G1700" s="90" t="s">
        <v>2185</v>
      </c>
      <c r="H1700" s="188">
        <v>4550</v>
      </c>
      <c r="I1700" s="110" t="str">
        <f>VLOOKUP(H1700, 'RM &amp; SF'!B:H, 2, 0)</f>
        <v>*****لبن زبادي 150 غم</v>
      </c>
      <c r="J1700" s="184" t="str">
        <f>VLOOKUP(H1700, 'RM &amp; SF'!B:E, 4, 0)</f>
        <v>قطعة</v>
      </c>
      <c r="K1700" s="12">
        <v>1</v>
      </c>
      <c r="L1700" s="13">
        <f>VLOOKUP(H1700, 'RM &amp; SF'!B:H, 7, 0)</f>
        <v>0.16</v>
      </c>
      <c r="M1700" s="7">
        <f t="shared" si="89"/>
        <v>0.16</v>
      </c>
      <c r="N1700" s="4" t="s">
        <v>825</v>
      </c>
      <c r="O1700" s="4">
        <f>VLOOKUP(B1700, 'All Menu'!B:L, 6, 0)</f>
        <v>3.0172413793103452</v>
      </c>
      <c r="P1700" s="6">
        <f>VLOOKUP(B1700, 'All Menu'!B:L, 9, 0)</f>
        <v>3.0299511211920569</v>
      </c>
      <c r="Q1700" s="14">
        <f>VLOOKUP(B1700, 'All Menu'!B:M, 12, 0)</f>
        <v>-4.212371595081592E-3</v>
      </c>
      <c r="R1700" s="173">
        <f t="shared" si="90"/>
        <v>0</v>
      </c>
    </row>
    <row r="1701" spans="1:18" ht="14" hidden="1">
      <c r="A1701" s="78" t="s">
        <v>2733</v>
      </c>
      <c r="B1701" s="220" t="s">
        <v>1202</v>
      </c>
      <c r="C1701" s="185"/>
      <c r="D1701" s="103" t="str">
        <f>VLOOKUP(B1701, 'All Menu'!B:M, 4, 0)</f>
        <v>مندي مع كباب</v>
      </c>
      <c r="E1701" s="30" t="str">
        <f>VLOOKUP(B1701, 'All Menu'!B:M, 2, 0)</f>
        <v>قسم اللاين</v>
      </c>
      <c r="F1701" s="103" t="str">
        <f>VLOOKUP(B1701, 'All Menu'!B:M, 3, 0)</f>
        <v>الوجبات اليومية سفري2</v>
      </c>
      <c r="G1701" s="90" t="s">
        <v>2453</v>
      </c>
      <c r="H1701" s="219" t="s">
        <v>536</v>
      </c>
      <c r="I1701" s="110" t="str">
        <f>VLOOKUP(H1701, 'RM &amp; SF'!B:H, 2, 0)</f>
        <v>كباب</v>
      </c>
      <c r="J1701" s="184" t="str">
        <f>VLOOKUP(H1701, 'RM &amp; SF'!B:E, 4, 0)</f>
        <v>غم</v>
      </c>
      <c r="K1701" s="12">
        <v>200</v>
      </c>
      <c r="L1701" s="13">
        <f>VLOOKUP(H1701, 'RM &amp; SF'!B:H, 7, 0)</f>
        <v>1.1636090242685134E-2</v>
      </c>
      <c r="M1701" s="7">
        <f t="shared" si="89"/>
        <v>2.3272180485370266</v>
      </c>
      <c r="N1701" s="4" t="s">
        <v>825</v>
      </c>
      <c r="O1701" s="4">
        <f>VLOOKUP(B1701, 'All Menu'!B:L, 6, 0)</f>
        <v>3.0172413793103452</v>
      </c>
      <c r="P1701" s="6">
        <f>VLOOKUP(B1701, 'All Menu'!B:L, 9, 0)</f>
        <v>3.0299511211920569</v>
      </c>
      <c r="Q1701" s="14">
        <f>VLOOKUP(B1701, 'All Menu'!B:M, 12, 0)</f>
        <v>-4.212371595081592E-3</v>
      </c>
      <c r="R1701" s="173">
        <f t="shared" si="90"/>
        <v>0</v>
      </c>
    </row>
    <row r="1702" spans="1:18" ht="14" hidden="1">
      <c r="A1702" s="78" t="s">
        <v>2733</v>
      </c>
      <c r="B1702" s="220" t="s">
        <v>1203</v>
      </c>
      <c r="C1702" s="185"/>
      <c r="D1702" s="30" t="str">
        <f>VLOOKUP(B1702, 'All Menu'!B:M, 4, 0)</f>
        <v>وجبة أرز مبهر+ كباب دجاج</v>
      </c>
      <c r="E1702" s="30" t="str">
        <f>VLOOKUP(B1702, 'All Menu'!B:M, 2, 0)</f>
        <v>قسم اللاين</v>
      </c>
      <c r="F1702" s="103" t="str">
        <f>VLOOKUP(B1702, 'All Menu'!B:M, 3, 0)</f>
        <v>الوجبات اليومية سفري2</v>
      </c>
      <c r="G1702" s="90" t="s">
        <v>2412</v>
      </c>
      <c r="H1702" s="219" t="s">
        <v>598</v>
      </c>
      <c r="I1702" s="110" t="str">
        <f>VLOOKUP(H1702, 'RM &amp; SF'!B:H, 2, 0)</f>
        <v>رز اوزي</v>
      </c>
      <c r="J1702" s="184" t="str">
        <f>VLOOKUP(H1702, 'RM &amp; SF'!B:E, 4, 0)</f>
        <v>غم</v>
      </c>
      <c r="K1702" s="12">
        <v>500</v>
      </c>
      <c r="L1702" s="13">
        <f>VLOOKUP(H1702, 'RM &amp; SF'!B:H, 7, 0)</f>
        <v>1.1675619256756756E-3</v>
      </c>
      <c r="M1702" s="7">
        <f t="shared" si="89"/>
        <v>0.58378096283783776</v>
      </c>
      <c r="N1702" s="4" t="s">
        <v>825</v>
      </c>
      <c r="O1702" s="4">
        <f>VLOOKUP(B1702, 'All Menu'!B:L, 6, 0)</f>
        <v>3.0172413793103452</v>
      </c>
      <c r="P1702" s="6">
        <f>VLOOKUP(B1702, 'All Menu'!B:L, 9, 0)</f>
        <v>2.0900115422009051</v>
      </c>
      <c r="Q1702" s="14">
        <f>VLOOKUP(B1702, 'All Menu'!B:M, 12, 0)</f>
        <v>0.30731046029912867</v>
      </c>
      <c r="R1702" s="173">
        <f t="shared" si="90"/>
        <v>0</v>
      </c>
    </row>
    <row r="1703" spans="1:18" ht="14" hidden="1">
      <c r="A1703" s="78" t="s">
        <v>2733</v>
      </c>
      <c r="B1703" s="220" t="s">
        <v>1203</v>
      </c>
      <c r="C1703" s="185"/>
      <c r="D1703" s="30" t="str">
        <f>VLOOKUP(B1703, 'All Menu'!B:M, 4, 0)</f>
        <v>وجبة أرز مبهر+ كباب دجاج</v>
      </c>
      <c r="E1703" s="30" t="str">
        <f>VLOOKUP(B1703, 'All Menu'!B:M, 2, 0)</f>
        <v>قسم اللاين</v>
      </c>
      <c r="F1703" s="103" t="str">
        <f>VLOOKUP(B1703, 'All Menu'!B:M, 3, 0)</f>
        <v>الوجبات اليومية سفري2</v>
      </c>
      <c r="G1703" s="90" t="s">
        <v>2338</v>
      </c>
      <c r="H1703" s="219" t="s">
        <v>532</v>
      </c>
      <c r="I1703" s="110" t="str">
        <f>VLOOKUP(H1703, 'RM &amp; SF'!B:H, 2, 0)</f>
        <v>كباب دجاج</v>
      </c>
      <c r="J1703" s="184" t="str">
        <f>VLOOKUP(H1703, 'RM &amp; SF'!B:E, 4, 0)</f>
        <v>غم</v>
      </c>
      <c r="K1703" s="12">
        <v>200</v>
      </c>
      <c r="L1703" s="13">
        <f>VLOOKUP(H1703, 'RM &amp; SF'!B:H, 7, 0)</f>
        <v>3.8874234320164847E-3</v>
      </c>
      <c r="M1703" s="7">
        <f t="shared" si="89"/>
        <v>0.77748468640329693</v>
      </c>
      <c r="N1703" s="4" t="s">
        <v>825</v>
      </c>
      <c r="O1703" s="4">
        <f>VLOOKUP(B1703, 'All Menu'!B:L, 6, 0)</f>
        <v>3.0172413793103452</v>
      </c>
      <c r="P1703" s="6">
        <f>VLOOKUP(B1703, 'All Menu'!B:L, 9, 0)</f>
        <v>2.0900115422009051</v>
      </c>
      <c r="Q1703" s="14">
        <f>VLOOKUP(B1703, 'All Menu'!B:M, 12, 0)</f>
        <v>0.30731046029912867</v>
      </c>
      <c r="R1703" s="173">
        <f t="shared" si="90"/>
        <v>0</v>
      </c>
    </row>
    <row r="1704" spans="1:18" ht="14" hidden="1">
      <c r="A1704" s="78" t="s">
        <v>2733</v>
      </c>
      <c r="B1704" s="220" t="s">
        <v>1203</v>
      </c>
      <c r="C1704" s="185"/>
      <c r="D1704" s="30" t="str">
        <f>VLOOKUP(B1704, 'All Menu'!B:M, 4, 0)</f>
        <v>وجبة أرز مبهر+ كباب دجاج</v>
      </c>
      <c r="E1704" s="30" t="str">
        <f>VLOOKUP(B1704, 'All Menu'!B:M, 2, 0)</f>
        <v>قسم اللاين</v>
      </c>
      <c r="F1704" s="103" t="str">
        <f>VLOOKUP(B1704, 'All Menu'!B:M, 3, 0)</f>
        <v>الوجبات اليومية سفري2</v>
      </c>
      <c r="G1704" s="90" t="s">
        <v>2190</v>
      </c>
      <c r="H1704" s="188">
        <v>4279</v>
      </c>
      <c r="I1704" s="110" t="str">
        <f>VLOOKUP(H1704, 'RM &amp; SF'!B:H, 2, 0)</f>
        <v>علب ميكرويف مستطيل اسود مفرغة (احادي)*****</v>
      </c>
      <c r="J1704" s="184" t="str">
        <f>VLOOKUP(H1704, 'RM &amp; SF'!B:E, 4, 0)</f>
        <v>قطعة</v>
      </c>
      <c r="K1704" s="12">
        <v>1</v>
      </c>
      <c r="L1704" s="13">
        <f>VLOOKUP(H1704, 'RM &amp; SF'!B:H, 7, 0)</f>
        <v>9.4799999999999995E-2</v>
      </c>
      <c r="M1704" s="7">
        <f t="shared" si="89"/>
        <v>9.4799999999999995E-2</v>
      </c>
      <c r="N1704" s="4" t="s">
        <v>825</v>
      </c>
      <c r="O1704" s="4">
        <f>VLOOKUP(B1704, 'All Menu'!B:L, 6, 0)</f>
        <v>3.0172413793103452</v>
      </c>
      <c r="P1704" s="6">
        <f>VLOOKUP(B1704, 'All Menu'!B:L, 9, 0)</f>
        <v>2.0900115422009051</v>
      </c>
      <c r="Q1704" s="14">
        <f>VLOOKUP(B1704, 'All Menu'!B:M, 12, 0)</f>
        <v>0.30731046029912867</v>
      </c>
      <c r="R1704" s="173">
        <f t="shared" si="90"/>
        <v>0</v>
      </c>
    </row>
    <row r="1705" spans="1:18" ht="14" hidden="1">
      <c r="A1705" s="78" t="s">
        <v>2733</v>
      </c>
      <c r="B1705" s="220" t="s">
        <v>1203</v>
      </c>
      <c r="C1705" s="185"/>
      <c r="D1705" s="30" t="str">
        <f>VLOOKUP(B1705, 'All Menu'!B:M, 4, 0)</f>
        <v>وجبة أرز مبهر+ كباب دجاج</v>
      </c>
      <c r="E1705" s="30" t="str">
        <f>VLOOKUP(B1705, 'All Menu'!B:M, 2, 0)</f>
        <v>قسم اللاين</v>
      </c>
      <c r="F1705" s="103" t="str">
        <f>VLOOKUP(B1705, 'All Menu'!B:M, 3, 0)</f>
        <v>الوجبات اليومية سفري2</v>
      </c>
      <c r="G1705" s="90" t="s">
        <v>3058</v>
      </c>
      <c r="H1705" s="188">
        <v>4266</v>
      </c>
      <c r="I1705" s="110" t="str">
        <f>VLOOKUP(H1705, 'RM &amp; SF'!B:H, 2, 0)</f>
        <v>اساور علب وجبات مطبوع 1*50 حبة*****</v>
      </c>
      <c r="J1705" s="184" t="str">
        <f>VLOOKUP(H1705, 'RM &amp; SF'!B:E, 4, 0)</f>
        <v>قطعة</v>
      </c>
      <c r="K1705" s="12">
        <v>1</v>
      </c>
      <c r="L1705" s="13">
        <f>VLOOKUP(H1705, 'RM &amp; SF'!B:H, 7, 0)</f>
        <v>6.3224137931034485E-2</v>
      </c>
      <c r="M1705" s="7">
        <f t="shared" si="89"/>
        <v>6.3224137931034485E-2</v>
      </c>
      <c r="N1705" s="4" t="s">
        <v>825</v>
      </c>
      <c r="O1705" s="4">
        <f>VLOOKUP(B1705, 'All Menu'!B:L, 6, 0)</f>
        <v>3.0172413793103452</v>
      </c>
      <c r="P1705" s="6">
        <f>VLOOKUP(B1705, 'All Menu'!B:L, 9, 0)</f>
        <v>2.0900115422009051</v>
      </c>
      <c r="Q1705" s="14">
        <f>VLOOKUP(B1705, 'All Menu'!B:M, 12, 0)</f>
        <v>0.30731046029912867</v>
      </c>
      <c r="R1705" s="173">
        <f t="shared" si="90"/>
        <v>0</v>
      </c>
    </row>
    <row r="1706" spans="1:18" ht="14" hidden="1">
      <c r="A1706" s="78" t="s">
        <v>2733</v>
      </c>
      <c r="B1706" s="220" t="s">
        <v>1203</v>
      </c>
      <c r="C1706" s="185"/>
      <c r="D1706" s="30" t="str">
        <f>VLOOKUP(B1706, 'All Menu'!B:M, 4, 0)</f>
        <v>وجبة أرز مبهر+ كباب دجاج</v>
      </c>
      <c r="E1706" s="30" t="str">
        <f>VLOOKUP(B1706, 'All Menu'!B:M, 2, 0)</f>
        <v>قسم اللاين</v>
      </c>
      <c r="F1706" s="103" t="str">
        <f>VLOOKUP(B1706, 'All Menu'!B:M, 3, 0)</f>
        <v>الوجبات اليومية سفري2</v>
      </c>
      <c r="G1706" s="90" t="s">
        <v>3058</v>
      </c>
      <c r="H1706" s="219" t="s">
        <v>3043</v>
      </c>
      <c r="I1706" s="110" t="str">
        <f>VLOOKUP(H1706, 'RM &amp; SF'!B:H, 2, 0)</f>
        <v>علبة لوز مقلي 25 غرام</v>
      </c>
      <c r="J1706" s="184" t="str">
        <f>VLOOKUP(H1706, 'RM &amp; SF'!B:E, 4, 0)</f>
        <v>قطعة</v>
      </c>
      <c r="K1706" s="12">
        <v>25</v>
      </c>
      <c r="L1706" s="13">
        <f>VLOOKUP(H1706, 'RM &amp; SF'!B:H, 7, 0)</f>
        <v>1.3723013649425287E-2</v>
      </c>
      <c r="M1706" s="7">
        <f t="shared" ref="M1706:M1707" si="91">L1706*K1706</f>
        <v>0.34307534123563216</v>
      </c>
      <c r="N1706" s="4" t="s">
        <v>825</v>
      </c>
      <c r="O1706" s="4">
        <f>VLOOKUP(B1706, 'All Menu'!B:L, 6, 0)</f>
        <v>3.0172413793103452</v>
      </c>
      <c r="P1706" s="6">
        <f>VLOOKUP(B1706, 'All Menu'!B:L, 9, 0)</f>
        <v>2.0900115422009051</v>
      </c>
      <c r="Q1706" s="14">
        <f>VLOOKUP(B1706, 'All Menu'!B:M, 12, 0)</f>
        <v>0.30731046029912867</v>
      </c>
      <c r="R1706" s="173">
        <f t="shared" si="90"/>
        <v>0</v>
      </c>
    </row>
    <row r="1707" spans="1:18" ht="14" hidden="1">
      <c r="A1707" s="78" t="s">
        <v>2733</v>
      </c>
      <c r="B1707" s="220" t="s">
        <v>1203</v>
      </c>
      <c r="C1707" s="185"/>
      <c r="D1707" s="30" t="str">
        <f>VLOOKUP(B1707, 'All Menu'!B:M, 4, 0)</f>
        <v>وجبة أرز مبهر+ كباب دجاج</v>
      </c>
      <c r="E1707" s="30" t="str">
        <f>VLOOKUP(B1707, 'All Menu'!B:M, 2, 0)</f>
        <v>قسم اللاين</v>
      </c>
      <c r="F1707" s="103" t="str">
        <f>VLOOKUP(B1707, 'All Menu'!B:M, 3, 0)</f>
        <v>الوجبات اليومية سفري2</v>
      </c>
      <c r="G1707" s="90" t="s">
        <v>3058</v>
      </c>
      <c r="H1707" s="188">
        <v>4289</v>
      </c>
      <c r="I1707" s="110" t="str">
        <f>VLOOKUP(H1707, 'RM &amp; SF'!B:H, 2, 0)</f>
        <v>علب صوص دائري منفصل أسود 30 مل 1*100 حبة*****</v>
      </c>
      <c r="J1707" s="184" t="str">
        <f>VLOOKUP(H1707, 'RM &amp; SF'!B:E, 4, 0)</f>
        <v>قطعة</v>
      </c>
      <c r="K1707" s="12">
        <v>1</v>
      </c>
      <c r="L1707" s="13">
        <f>VLOOKUP(H1707, 'RM &amp; SF'!B:H, 7, 0)</f>
        <v>1.2E-2</v>
      </c>
      <c r="M1707" s="7">
        <f t="shared" si="91"/>
        <v>1.2E-2</v>
      </c>
      <c r="N1707" s="4" t="s">
        <v>825</v>
      </c>
      <c r="O1707" s="4">
        <f>VLOOKUP(B1707, 'All Menu'!B:L, 6, 0)</f>
        <v>3.0172413793103452</v>
      </c>
      <c r="P1707" s="6">
        <f>VLOOKUP(B1707, 'All Menu'!B:L, 9, 0)</f>
        <v>2.0900115422009051</v>
      </c>
      <c r="Q1707" s="14">
        <f>VLOOKUP(B1707, 'All Menu'!B:M, 12, 0)</f>
        <v>0.30731046029912867</v>
      </c>
      <c r="R1707" s="173">
        <f t="shared" si="90"/>
        <v>0</v>
      </c>
    </row>
    <row r="1708" spans="1:18" ht="14" hidden="1">
      <c r="A1708" s="78" t="s">
        <v>2733</v>
      </c>
      <c r="B1708" s="220" t="s">
        <v>1203</v>
      </c>
      <c r="C1708" s="185"/>
      <c r="D1708" s="30" t="str">
        <f>VLOOKUP(B1708, 'All Menu'!B:M, 4, 0)</f>
        <v>وجبة أرز مبهر+ كباب دجاج</v>
      </c>
      <c r="E1708" s="30" t="str">
        <f>VLOOKUP(B1708, 'All Menu'!B:M, 2, 0)</f>
        <v>قسم اللاين</v>
      </c>
      <c r="F1708" s="103" t="str">
        <f>VLOOKUP(B1708, 'All Menu'!B:M, 3, 0)</f>
        <v>الوجبات اليومية سفري2</v>
      </c>
      <c r="G1708" s="90" t="s">
        <v>2195</v>
      </c>
      <c r="H1708" s="188">
        <v>4329</v>
      </c>
      <c r="I1708" s="110" t="str">
        <f>VLOOKUP(H1708, 'RM &amp; SF'!B:H, 2, 0)</f>
        <v>ملاعق بلاستيك مع معقم مطبوع 1*500 حبة*****</v>
      </c>
      <c r="J1708" s="184" t="str">
        <f>VLOOKUP(H1708, 'RM &amp; SF'!B:E, 4, 0)</f>
        <v>قطعة</v>
      </c>
      <c r="K1708" s="12">
        <v>1</v>
      </c>
      <c r="L1708" s="13">
        <f>VLOOKUP(H1708, 'RM &amp; SF'!B:H, 7, 0)</f>
        <v>4.7399999999999997E-4</v>
      </c>
      <c r="M1708" s="7">
        <f t="shared" si="89"/>
        <v>4.7399999999999997E-4</v>
      </c>
      <c r="N1708" s="4" t="s">
        <v>825</v>
      </c>
      <c r="O1708" s="4">
        <f>VLOOKUP(B1708, 'All Menu'!B:L, 6, 0)</f>
        <v>3.0172413793103452</v>
      </c>
      <c r="P1708" s="6">
        <f>VLOOKUP(B1708, 'All Menu'!B:L, 9, 0)</f>
        <v>2.0900115422009051</v>
      </c>
      <c r="Q1708" s="14">
        <f>VLOOKUP(B1708, 'All Menu'!B:M, 12, 0)</f>
        <v>0.30731046029912867</v>
      </c>
      <c r="R1708" s="173">
        <f t="shared" si="90"/>
        <v>0</v>
      </c>
    </row>
    <row r="1709" spans="1:18" ht="14" hidden="1">
      <c r="A1709" s="78" t="s">
        <v>2733</v>
      </c>
      <c r="B1709" s="220" t="s">
        <v>1203</v>
      </c>
      <c r="C1709" s="185"/>
      <c r="D1709" s="30" t="str">
        <f>VLOOKUP(B1709, 'All Menu'!B:M, 4, 0)</f>
        <v>وجبة أرز مبهر+ كباب دجاج</v>
      </c>
      <c r="E1709" s="30" t="str">
        <f>VLOOKUP(B1709, 'All Menu'!B:M, 2, 0)</f>
        <v>قسم اللاين</v>
      </c>
      <c r="F1709" s="103" t="str">
        <f>VLOOKUP(B1709, 'All Menu'!B:M, 3, 0)</f>
        <v>الوجبات اليومية سفري2</v>
      </c>
      <c r="G1709" s="90" t="s">
        <v>2185</v>
      </c>
      <c r="H1709" s="188">
        <v>4550</v>
      </c>
      <c r="I1709" s="110" t="str">
        <f>VLOOKUP(H1709, 'RM &amp; SF'!B:H, 2, 0)</f>
        <v>*****لبن زبادي 150 غم</v>
      </c>
      <c r="J1709" s="184" t="str">
        <f>VLOOKUP(H1709, 'RM &amp; SF'!B:E, 4, 0)</f>
        <v>قطعة</v>
      </c>
      <c r="K1709" s="12">
        <v>1</v>
      </c>
      <c r="L1709" s="13">
        <f>VLOOKUP(H1709, 'RM &amp; SF'!B:H, 7, 0)</f>
        <v>0.16</v>
      </c>
      <c r="M1709" s="7">
        <f t="shared" si="89"/>
        <v>0.16</v>
      </c>
      <c r="N1709" s="4" t="s">
        <v>825</v>
      </c>
      <c r="O1709" s="4">
        <f>VLOOKUP(B1709, 'All Menu'!B:L, 6, 0)</f>
        <v>3.0172413793103452</v>
      </c>
      <c r="P1709" s="6">
        <f>VLOOKUP(B1709, 'All Menu'!B:L, 9, 0)</f>
        <v>2.0900115422009051</v>
      </c>
      <c r="Q1709" s="14">
        <f>VLOOKUP(B1709, 'All Menu'!B:M, 12, 0)</f>
        <v>0.30731046029912867</v>
      </c>
      <c r="R1709" s="173">
        <f t="shared" si="90"/>
        <v>0</v>
      </c>
    </row>
    <row r="1710" spans="1:18" ht="14" hidden="1">
      <c r="A1710" s="78" t="s">
        <v>2733</v>
      </c>
      <c r="B1710" s="220" t="s">
        <v>1203</v>
      </c>
      <c r="C1710" s="185"/>
      <c r="D1710" s="30" t="str">
        <f>VLOOKUP(B1710, 'All Menu'!B:M, 4, 0)</f>
        <v>وجبة أرز مبهر+ كباب دجاج</v>
      </c>
      <c r="E1710" s="30" t="str">
        <f>VLOOKUP(B1710, 'All Menu'!B:M, 2, 0)</f>
        <v>قسم اللاين</v>
      </c>
      <c r="F1710" s="103" t="str">
        <f>VLOOKUP(B1710, 'All Menu'!B:M, 3, 0)</f>
        <v>الوجبات اليومية سفري2</v>
      </c>
      <c r="G1710" s="90" t="s">
        <v>2193</v>
      </c>
      <c r="H1710" s="188">
        <v>4309</v>
      </c>
      <c r="I1710" s="110" t="str">
        <f>VLOOKUP(H1710, 'RM &amp; SF'!B:H, 2, 0)</f>
        <v>اكياس بلاستيك مطبوع 55 سم*****</v>
      </c>
      <c r="J1710" s="184" t="str">
        <f>VLOOKUP(H1710, 'RM &amp; SF'!B:E, 4, 0)</f>
        <v>قطعة</v>
      </c>
      <c r="K1710" s="12">
        <v>1</v>
      </c>
      <c r="L1710" s="13">
        <f>VLOOKUP(H1710, 'RM &amp; SF'!B:H, 7, 0)</f>
        <v>5.5172413793103454E-2</v>
      </c>
      <c r="M1710" s="7">
        <f t="shared" si="89"/>
        <v>5.5172413793103454E-2</v>
      </c>
      <c r="N1710" s="4" t="s">
        <v>825</v>
      </c>
      <c r="O1710" s="4">
        <f>VLOOKUP(B1710, 'All Menu'!B:L, 6, 0)</f>
        <v>3.0172413793103452</v>
      </c>
      <c r="P1710" s="6">
        <f>VLOOKUP(B1710, 'All Menu'!B:L, 9, 0)</f>
        <v>2.0900115422009051</v>
      </c>
      <c r="Q1710" s="14">
        <f>VLOOKUP(B1710, 'All Menu'!B:M, 12, 0)</f>
        <v>0.30731046029912867</v>
      </c>
      <c r="R1710" s="173">
        <f t="shared" si="90"/>
        <v>0</v>
      </c>
    </row>
    <row r="1711" spans="1:18" ht="14" hidden="1">
      <c r="A1711" s="78" t="s">
        <v>2734</v>
      </c>
      <c r="B1711" s="220" t="s">
        <v>1204</v>
      </c>
      <c r="C1711" s="185"/>
      <c r="D1711" s="30" t="str">
        <f>VLOOKUP(B1711, 'All Menu'!B:M, 4, 0)</f>
        <v>دجاج ملوكي+ أرز مبهر</v>
      </c>
      <c r="E1711" s="30" t="str">
        <f>VLOOKUP(B1711, 'All Menu'!B:M, 2, 0)</f>
        <v>قسم اللاين</v>
      </c>
      <c r="F1711" s="103" t="str">
        <f>VLOOKUP(B1711, 'All Menu'!B:M, 3, 0)</f>
        <v>الوجبات اليومية سفري2</v>
      </c>
      <c r="G1711" s="90" t="s">
        <v>2451</v>
      </c>
      <c r="H1711" s="219" t="s">
        <v>640</v>
      </c>
      <c r="I1711" s="110" t="str">
        <f>VLOOKUP(H1711, 'RM &amp; SF'!B:H, 2, 0)</f>
        <v xml:space="preserve">دجاج محشي </v>
      </c>
      <c r="J1711" s="184" t="str">
        <f>VLOOKUP(H1711, 'RM &amp; SF'!B:E, 4, 0)</f>
        <v>قطعة</v>
      </c>
      <c r="K1711" s="12">
        <v>1</v>
      </c>
      <c r="L1711" s="13">
        <f>VLOOKUP(H1711, 'RM &amp; SF'!B:H, 7, 0)</f>
        <v>0.29605135530167526</v>
      </c>
      <c r="M1711" s="7">
        <f t="shared" si="89"/>
        <v>0.29605135530167526</v>
      </c>
      <c r="N1711" s="4" t="s">
        <v>825</v>
      </c>
      <c r="O1711" s="4">
        <f>VLOOKUP(B1711, 'All Menu'!B:L, 6, 0)</f>
        <v>4.3103448275862073</v>
      </c>
      <c r="P1711" s="6">
        <f>VLOOKUP(B1711, 'All Menu'!B:L, 9, 0)</f>
        <v>0.90323429216094819</v>
      </c>
      <c r="Q1711" s="14">
        <f>VLOOKUP(B1711, 'All Menu'!B:M, 12, 0)</f>
        <v>0.79044964421866004</v>
      </c>
      <c r="R1711" s="173">
        <f t="shared" si="90"/>
        <v>0</v>
      </c>
    </row>
    <row r="1712" spans="1:18" ht="14" hidden="1">
      <c r="A1712" s="78" t="s">
        <v>2734</v>
      </c>
      <c r="B1712" s="220" t="s">
        <v>1204</v>
      </c>
      <c r="C1712" s="185"/>
      <c r="D1712" s="30" t="str">
        <f>VLOOKUP(B1712, 'All Menu'!B:M, 4, 0)</f>
        <v>دجاج ملوكي+ أرز مبهر</v>
      </c>
      <c r="E1712" s="30" t="str">
        <f>VLOOKUP(B1712, 'All Menu'!B:M, 2, 0)</f>
        <v>قسم اللاين</v>
      </c>
      <c r="F1712" s="103" t="str">
        <f>VLOOKUP(B1712, 'All Menu'!B:M, 3, 0)</f>
        <v>الوجبات اليومية سفري2</v>
      </c>
      <c r="G1712" s="90" t="s">
        <v>2412</v>
      </c>
      <c r="H1712" s="219" t="s">
        <v>598</v>
      </c>
      <c r="I1712" s="110" t="str">
        <f>VLOOKUP(H1712, 'RM &amp; SF'!B:H, 2, 0)</f>
        <v>رز اوزي</v>
      </c>
      <c r="J1712" s="184" t="str">
        <f>VLOOKUP(H1712, 'RM &amp; SF'!B:E, 4, 0)</f>
        <v>غم</v>
      </c>
      <c r="K1712" s="12">
        <v>200</v>
      </c>
      <c r="L1712" s="13">
        <f>VLOOKUP(H1712, 'RM &amp; SF'!B:H, 7, 0)</f>
        <v>1.1675619256756756E-3</v>
      </c>
      <c r="M1712" s="7">
        <f t="shared" si="89"/>
        <v>0.23351238513513511</v>
      </c>
      <c r="N1712" s="4" t="s">
        <v>825</v>
      </c>
      <c r="O1712" s="4">
        <f>VLOOKUP(B1712, 'All Menu'!B:L, 6, 0)</f>
        <v>4.3103448275862073</v>
      </c>
      <c r="P1712" s="6">
        <f>VLOOKUP(B1712, 'All Menu'!B:L, 9, 0)</f>
        <v>0.90323429216094819</v>
      </c>
      <c r="Q1712" s="14">
        <f>VLOOKUP(B1712, 'All Menu'!B:M, 12, 0)</f>
        <v>0.79044964421866004</v>
      </c>
      <c r="R1712" s="173">
        <f t="shared" si="90"/>
        <v>0</v>
      </c>
    </row>
    <row r="1713" spans="1:18" ht="14" hidden="1">
      <c r="A1713" s="78" t="s">
        <v>2734</v>
      </c>
      <c r="B1713" s="220" t="s">
        <v>1204</v>
      </c>
      <c r="C1713" s="185"/>
      <c r="D1713" s="30" t="str">
        <f>VLOOKUP(B1713, 'All Menu'!B:M, 4, 0)</f>
        <v>دجاج ملوكي+ أرز مبهر</v>
      </c>
      <c r="E1713" s="30" t="str">
        <f>VLOOKUP(B1713, 'All Menu'!B:M, 2, 0)</f>
        <v>قسم اللاين</v>
      </c>
      <c r="F1713" s="103" t="str">
        <f>VLOOKUP(B1713, 'All Menu'!B:M, 3, 0)</f>
        <v>الوجبات اليومية سفري2</v>
      </c>
      <c r="G1713" s="90" t="s">
        <v>2190</v>
      </c>
      <c r="H1713" s="188">
        <v>4279</v>
      </c>
      <c r="I1713" s="110" t="str">
        <f>VLOOKUP(H1713, 'RM &amp; SF'!B:H, 2, 0)</f>
        <v>علب ميكرويف مستطيل اسود مفرغة (احادي)*****</v>
      </c>
      <c r="J1713" s="184" t="str">
        <f>VLOOKUP(H1713, 'RM &amp; SF'!B:E, 4, 0)</f>
        <v>قطعة</v>
      </c>
      <c r="K1713" s="12">
        <v>1</v>
      </c>
      <c r="L1713" s="13">
        <f>VLOOKUP(H1713, 'RM &amp; SF'!B:H, 7, 0)</f>
        <v>9.4799999999999995E-2</v>
      </c>
      <c r="M1713" s="7">
        <f t="shared" si="89"/>
        <v>9.4799999999999995E-2</v>
      </c>
      <c r="N1713" s="4" t="s">
        <v>825</v>
      </c>
      <c r="O1713" s="4">
        <f>VLOOKUP(B1713, 'All Menu'!B:L, 6, 0)</f>
        <v>4.3103448275862073</v>
      </c>
      <c r="P1713" s="6">
        <f>VLOOKUP(B1713, 'All Menu'!B:L, 9, 0)</f>
        <v>0.90323429216094819</v>
      </c>
      <c r="Q1713" s="14">
        <f>VLOOKUP(B1713, 'All Menu'!B:M, 12, 0)</f>
        <v>0.79044964421866004</v>
      </c>
      <c r="R1713" s="173">
        <f t="shared" si="90"/>
        <v>0</v>
      </c>
    </row>
    <row r="1714" spans="1:18" ht="14" hidden="1">
      <c r="A1714" s="78" t="s">
        <v>2734</v>
      </c>
      <c r="B1714" s="220" t="s">
        <v>1204</v>
      </c>
      <c r="C1714" s="185"/>
      <c r="D1714" s="30" t="str">
        <f>VLOOKUP(B1714, 'All Menu'!B:M, 4, 0)</f>
        <v>دجاج ملوكي+ أرز مبهر</v>
      </c>
      <c r="E1714" s="30" t="str">
        <f>VLOOKUP(B1714, 'All Menu'!B:M, 2, 0)</f>
        <v>قسم اللاين</v>
      </c>
      <c r="F1714" s="103" t="str">
        <f>VLOOKUP(B1714, 'All Menu'!B:M, 3, 0)</f>
        <v>الوجبات اليومية سفري2</v>
      </c>
      <c r="G1714" s="90" t="s">
        <v>2185</v>
      </c>
      <c r="H1714" s="188">
        <v>4550</v>
      </c>
      <c r="I1714" s="110" t="str">
        <f>VLOOKUP(H1714, 'RM &amp; SF'!B:H, 2, 0)</f>
        <v>*****لبن زبادي 150 غم</v>
      </c>
      <c r="J1714" s="184" t="str">
        <f>VLOOKUP(H1714, 'RM &amp; SF'!B:E, 4, 0)</f>
        <v>قطعة</v>
      </c>
      <c r="K1714" s="12">
        <v>1</v>
      </c>
      <c r="L1714" s="13">
        <f>VLOOKUP(H1714, 'RM &amp; SF'!B:H, 7, 0)</f>
        <v>0.16</v>
      </c>
      <c r="M1714" s="7">
        <f t="shared" si="89"/>
        <v>0.16</v>
      </c>
      <c r="N1714" s="4" t="s">
        <v>825</v>
      </c>
      <c r="O1714" s="4">
        <f>VLOOKUP(B1714, 'All Menu'!B:L, 6, 0)</f>
        <v>4.3103448275862073</v>
      </c>
      <c r="P1714" s="6">
        <f>VLOOKUP(B1714, 'All Menu'!B:L, 9, 0)</f>
        <v>0.90323429216094819</v>
      </c>
      <c r="Q1714" s="14">
        <f>VLOOKUP(B1714, 'All Menu'!B:M, 12, 0)</f>
        <v>0.79044964421866004</v>
      </c>
      <c r="R1714" s="173">
        <f t="shared" si="90"/>
        <v>0</v>
      </c>
    </row>
    <row r="1715" spans="1:18" ht="14" hidden="1">
      <c r="A1715" s="78" t="s">
        <v>2734</v>
      </c>
      <c r="B1715" s="220" t="s">
        <v>1204</v>
      </c>
      <c r="C1715" s="185"/>
      <c r="D1715" s="30" t="str">
        <f>VLOOKUP(B1715, 'All Menu'!B:M, 4, 0)</f>
        <v>دجاج ملوكي+ أرز مبهر</v>
      </c>
      <c r="E1715" s="30" t="str">
        <f>VLOOKUP(B1715, 'All Menu'!B:M, 2, 0)</f>
        <v>قسم اللاين</v>
      </c>
      <c r="F1715" s="103" t="str">
        <f>VLOOKUP(B1715, 'All Menu'!B:M, 3, 0)</f>
        <v>الوجبات اليومية سفري2</v>
      </c>
      <c r="G1715" s="90" t="s">
        <v>3058</v>
      </c>
      <c r="H1715" s="188">
        <v>4266</v>
      </c>
      <c r="I1715" s="110" t="str">
        <f>VLOOKUP(H1715, 'RM &amp; SF'!B:H, 2, 0)</f>
        <v>اساور علب وجبات مطبوع 1*50 حبة*****</v>
      </c>
      <c r="J1715" s="184" t="str">
        <f>VLOOKUP(H1715, 'RM &amp; SF'!B:E, 4, 0)</f>
        <v>قطعة</v>
      </c>
      <c r="K1715" s="12">
        <v>1</v>
      </c>
      <c r="L1715" s="13">
        <f>VLOOKUP(H1715, 'RM &amp; SF'!B:H, 7, 0)</f>
        <v>6.3224137931034485E-2</v>
      </c>
      <c r="M1715" s="7">
        <f t="shared" si="89"/>
        <v>6.3224137931034485E-2</v>
      </c>
      <c r="N1715" s="4" t="s">
        <v>825</v>
      </c>
      <c r="O1715" s="4">
        <f>VLOOKUP(B1715, 'All Menu'!B:L, 6, 0)</f>
        <v>4.3103448275862073</v>
      </c>
      <c r="P1715" s="6">
        <f>VLOOKUP(B1715, 'All Menu'!B:L, 9, 0)</f>
        <v>0.90323429216094819</v>
      </c>
      <c r="Q1715" s="14">
        <f>VLOOKUP(B1715, 'All Menu'!B:M, 12, 0)</f>
        <v>0.79044964421866004</v>
      </c>
      <c r="R1715" s="173">
        <f t="shared" si="90"/>
        <v>0</v>
      </c>
    </row>
    <row r="1716" spans="1:18" ht="14" hidden="1">
      <c r="A1716" s="78" t="s">
        <v>2734</v>
      </c>
      <c r="B1716" s="220" t="s">
        <v>1204</v>
      </c>
      <c r="C1716" s="185"/>
      <c r="D1716" s="30" t="str">
        <f>VLOOKUP(B1716, 'All Menu'!B:M, 4, 0)</f>
        <v>دجاج ملوكي+ أرز مبهر</v>
      </c>
      <c r="E1716" s="30" t="str">
        <f>VLOOKUP(B1716, 'All Menu'!B:M, 2, 0)</f>
        <v>قسم اللاين</v>
      </c>
      <c r="F1716" s="103" t="str">
        <f>VLOOKUP(B1716, 'All Menu'!B:M, 3, 0)</f>
        <v>الوجبات اليومية سفري2</v>
      </c>
      <c r="G1716" s="90" t="s">
        <v>2195</v>
      </c>
      <c r="H1716" s="188">
        <v>4329</v>
      </c>
      <c r="I1716" s="110" t="str">
        <f>VLOOKUP(H1716, 'RM &amp; SF'!B:H, 2, 0)</f>
        <v>ملاعق بلاستيك مع معقم مطبوع 1*500 حبة*****</v>
      </c>
      <c r="J1716" s="184" t="str">
        <f>VLOOKUP(H1716, 'RM &amp; SF'!B:E, 4, 0)</f>
        <v>قطعة</v>
      </c>
      <c r="K1716" s="12">
        <v>1</v>
      </c>
      <c r="L1716" s="13">
        <f>VLOOKUP(H1716, 'RM &amp; SF'!B:H, 7, 0)</f>
        <v>4.7399999999999997E-4</v>
      </c>
      <c r="M1716" s="7">
        <f t="shared" si="89"/>
        <v>4.7399999999999997E-4</v>
      </c>
      <c r="N1716" s="4" t="s">
        <v>825</v>
      </c>
      <c r="O1716" s="4">
        <f>VLOOKUP(B1716, 'All Menu'!B:L, 6, 0)</f>
        <v>4.3103448275862073</v>
      </c>
      <c r="P1716" s="6">
        <f>VLOOKUP(B1716, 'All Menu'!B:L, 9, 0)</f>
        <v>0.90323429216094819</v>
      </c>
      <c r="Q1716" s="14">
        <f>VLOOKUP(B1716, 'All Menu'!B:M, 12, 0)</f>
        <v>0.79044964421866004</v>
      </c>
      <c r="R1716" s="173">
        <f t="shared" si="90"/>
        <v>0</v>
      </c>
    </row>
    <row r="1717" spans="1:18" ht="14" hidden="1">
      <c r="A1717" s="78" t="s">
        <v>2734</v>
      </c>
      <c r="B1717" s="220" t="s">
        <v>1204</v>
      </c>
      <c r="C1717" s="185"/>
      <c r="D1717" s="30" t="str">
        <f>VLOOKUP(B1717, 'All Menu'!B:M, 4, 0)</f>
        <v>دجاج ملوكي+ أرز مبهر</v>
      </c>
      <c r="E1717" s="30" t="str">
        <f>VLOOKUP(B1717, 'All Menu'!B:M, 2, 0)</f>
        <v>قسم اللاين</v>
      </c>
      <c r="F1717" s="103" t="str">
        <f>VLOOKUP(B1717, 'All Menu'!B:M, 3, 0)</f>
        <v>الوجبات اليومية سفري2</v>
      </c>
      <c r="G1717" s="90" t="s">
        <v>2193</v>
      </c>
      <c r="H1717" s="188">
        <v>4309</v>
      </c>
      <c r="I1717" s="110" t="str">
        <f>VLOOKUP(H1717, 'RM &amp; SF'!B:H, 2, 0)</f>
        <v>اكياس بلاستيك مطبوع 55 سم*****</v>
      </c>
      <c r="J1717" s="184" t="str">
        <f>VLOOKUP(H1717, 'RM &amp; SF'!B:E, 4, 0)</f>
        <v>قطعة</v>
      </c>
      <c r="K1717" s="12">
        <v>1</v>
      </c>
      <c r="L1717" s="13">
        <f>VLOOKUP(H1717, 'RM &amp; SF'!B:H, 7, 0)</f>
        <v>5.5172413793103454E-2</v>
      </c>
      <c r="M1717" s="7">
        <f t="shared" si="89"/>
        <v>5.5172413793103454E-2</v>
      </c>
      <c r="N1717" s="4" t="s">
        <v>825</v>
      </c>
      <c r="O1717" s="4">
        <f>VLOOKUP(B1717, 'All Menu'!B:L, 6, 0)</f>
        <v>4.3103448275862073</v>
      </c>
      <c r="P1717" s="6">
        <f>VLOOKUP(B1717, 'All Menu'!B:L, 9, 0)</f>
        <v>0.90323429216094819</v>
      </c>
      <c r="Q1717" s="14">
        <f>VLOOKUP(B1717, 'All Menu'!B:M, 12, 0)</f>
        <v>0.79044964421866004</v>
      </c>
      <c r="R1717" s="173">
        <f t="shared" si="90"/>
        <v>0</v>
      </c>
    </row>
    <row r="1718" spans="1:18" ht="14" hidden="1">
      <c r="A1718" s="78" t="s">
        <v>2731</v>
      </c>
      <c r="B1718" s="220" t="s">
        <v>1223</v>
      </c>
      <c r="C1718" s="185"/>
      <c r="D1718" s="103" t="str">
        <f>VLOOKUP(B1718, 'All Menu'!B:M, 4, 0)</f>
        <v xml:space="preserve">وجبة فول بلبن </v>
      </c>
      <c r="E1718" s="30" t="str">
        <f>VLOOKUP(B1718, 'All Menu'!B:M, 2, 0)</f>
        <v>قسم اللاين</v>
      </c>
      <c r="F1718" s="103" t="str">
        <f>VLOOKUP(B1718, 'All Menu'!B:M, 3, 0)</f>
        <v>الوجبات اليومية سفري2</v>
      </c>
      <c r="G1718" s="90" t="s">
        <v>2460</v>
      </c>
      <c r="H1718" s="219" t="s">
        <v>1945</v>
      </c>
      <c r="I1718" s="110" t="str">
        <f>VLOOKUP(H1718, 'RM &amp; SF'!B:H, 2, 0)</f>
        <v xml:space="preserve">طبخة فول بلبن </v>
      </c>
      <c r="J1718" s="184" t="str">
        <f>VLOOKUP(H1718, 'RM &amp; SF'!B:E, 4, 0)</f>
        <v>غم</v>
      </c>
      <c r="K1718" s="12">
        <v>500</v>
      </c>
      <c r="L1718" s="13">
        <f>VLOOKUP(H1718, 'RM &amp; SF'!B:H, 7, 0)</f>
        <v>5.0786455114845948E-3</v>
      </c>
      <c r="M1718" s="7">
        <f t="shared" si="89"/>
        <v>2.5393227557422975</v>
      </c>
      <c r="N1718" s="4" t="s">
        <v>825</v>
      </c>
      <c r="O1718" s="4">
        <f>VLOOKUP(B1718, 'All Menu'!B:L, 6, 0)</f>
        <v>4.3103448275862073</v>
      </c>
      <c r="P1718" s="6">
        <f>VLOOKUP(B1718, 'All Menu'!B:L, 9, 0)</f>
        <v>3.0970324568917231</v>
      </c>
      <c r="Q1718" s="14">
        <f>VLOOKUP(B1718, 'All Menu'!B:M, 12, 0)</f>
        <v>0.28148847000112032</v>
      </c>
      <c r="R1718" s="173">
        <f t="shared" si="90"/>
        <v>0</v>
      </c>
    </row>
    <row r="1719" spans="1:18" ht="14" hidden="1">
      <c r="A1719" s="78" t="s">
        <v>2731</v>
      </c>
      <c r="B1719" s="220" t="s">
        <v>1223</v>
      </c>
      <c r="C1719" s="185"/>
      <c r="D1719" s="103" t="str">
        <f>VLOOKUP(B1719, 'All Menu'!B:M, 4, 0)</f>
        <v xml:space="preserve">وجبة فول بلبن </v>
      </c>
      <c r="E1719" s="30" t="str">
        <f>VLOOKUP(B1719, 'All Menu'!B:M, 2, 0)</f>
        <v>قسم اللاين</v>
      </c>
      <c r="F1719" s="103" t="str">
        <f>VLOOKUP(B1719, 'All Menu'!B:M, 3, 0)</f>
        <v>الوجبات اليومية سفري2</v>
      </c>
      <c r="G1719" s="90" t="s">
        <v>2390</v>
      </c>
      <c r="H1719" s="219" t="s">
        <v>548</v>
      </c>
      <c r="I1719" s="110" t="str">
        <f>VLOOKUP(H1719, 'RM &amp; SF'!B:H, 2, 0)</f>
        <v>رز ابيض</v>
      </c>
      <c r="J1719" s="184" t="str">
        <f>VLOOKUP(H1719, 'RM &amp; SF'!B:E, 4, 0)</f>
        <v>غم</v>
      </c>
      <c r="K1719" s="12">
        <v>500</v>
      </c>
      <c r="L1719" s="13">
        <f>VLOOKUP(H1719, 'RM &amp; SF'!B:H, 7, 0)</f>
        <v>4.1596433333333332E-4</v>
      </c>
      <c r="M1719" s="7">
        <f t="shared" si="89"/>
        <v>0.20798216666666666</v>
      </c>
      <c r="N1719" s="4" t="s">
        <v>825</v>
      </c>
      <c r="O1719" s="4">
        <f>VLOOKUP(B1719, 'All Menu'!B:L, 6, 0)</f>
        <v>4.3103448275862073</v>
      </c>
      <c r="P1719" s="6">
        <f>VLOOKUP(B1719, 'All Menu'!B:L, 9, 0)</f>
        <v>3.0970324568917231</v>
      </c>
      <c r="Q1719" s="14">
        <f>VLOOKUP(B1719, 'All Menu'!B:M, 12, 0)</f>
        <v>0.28148847000112032</v>
      </c>
      <c r="R1719" s="173">
        <f t="shared" si="90"/>
        <v>0</v>
      </c>
    </row>
    <row r="1720" spans="1:18" ht="14" hidden="1">
      <c r="A1720" s="78" t="s">
        <v>2731</v>
      </c>
      <c r="B1720" s="220" t="s">
        <v>1223</v>
      </c>
      <c r="C1720" s="185"/>
      <c r="D1720" s="103" t="str">
        <f>VLOOKUP(B1720, 'All Menu'!B:M, 4, 0)</f>
        <v xml:space="preserve">وجبة فول بلبن </v>
      </c>
      <c r="E1720" s="30" t="str">
        <f>VLOOKUP(B1720, 'All Menu'!B:M, 2, 0)</f>
        <v>قسم اللاين</v>
      </c>
      <c r="F1720" s="103" t="str">
        <f>VLOOKUP(B1720, 'All Menu'!B:M, 3, 0)</f>
        <v>الوجبات اليومية سفري2</v>
      </c>
      <c r="G1720" s="90" t="s">
        <v>2341</v>
      </c>
      <c r="H1720" s="219" t="s">
        <v>706</v>
      </c>
      <c r="I1720" s="110" t="str">
        <f>VLOOKUP(H1720, 'RM &amp; SF'!B:H, 2, 0)</f>
        <v>لوز مقلي</v>
      </c>
      <c r="J1720" s="184" t="str">
        <f>VLOOKUP(H1720, 'RM &amp; SF'!B:E, 4, 0)</f>
        <v>غم</v>
      </c>
      <c r="K1720" s="12">
        <v>30</v>
      </c>
      <c r="L1720" s="13">
        <f>VLOOKUP(H1720, 'RM &amp; SF'!B:H, 7, 0)</f>
        <v>4.1352327586206888E-3</v>
      </c>
      <c r="M1720" s="7">
        <f t="shared" si="89"/>
        <v>0.12405698275862066</v>
      </c>
      <c r="N1720" s="4" t="s">
        <v>825</v>
      </c>
      <c r="O1720" s="4">
        <f>VLOOKUP(B1720, 'All Menu'!B:L, 6, 0)</f>
        <v>4.3103448275862073</v>
      </c>
      <c r="P1720" s="6">
        <f>VLOOKUP(B1720, 'All Menu'!B:L, 9, 0)</f>
        <v>3.0970324568917231</v>
      </c>
      <c r="Q1720" s="14">
        <f>VLOOKUP(B1720, 'All Menu'!B:M, 12, 0)</f>
        <v>0.28148847000112032</v>
      </c>
      <c r="R1720" s="173">
        <f t="shared" si="90"/>
        <v>0</v>
      </c>
    </row>
    <row r="1721" spans="1:18" ht="14" hidden="1">
      <c r="A1721" s="78" t="s">
        <v>2731</v>
      </c>
      <c r="B1721" s="220" t="s">
        <v>1223</v>
      </c>
      <c r="C1721" s="185"/>
      <c r="D1721" s="103" t="str">
        <f>VLOOKUP(B1721, 'All Menu'!B:M, 4, 0)</f>
        <v xml:space="preserve">وجبة فول بلبن </v>
      </c>
      <c r="E1721" s="30" t="str">
        <f>VLOOKUP(B1721, 'All Menu'!B:M, 2, 0)</f>
        <v>قسم اللاين</v>
      </c>
      <c r="F1721" s="103" t="str">
        <f>VLOOKUP(B1721, 'All Menu'!B:M, 3, 0)</f>
        <v>الوجبات اليومية سفري2</v>
      </c>
      <c r="G1721" s="90" t="s">
        <v>2190</v>
      </c>
      <c r="H1721" s="188">
        <v>4279</v>
      </c>
      <c r="I1721" s="110" t="str">
        <f>VLOOKUP(H1721, 'RM &amp; SF'!B:H, 2, 0)</f>
        <v>علب ميكرويف مستطيل اسود مفرغة (احادي)*****</v>
      </c>
      <c r="J1721" s="184" t="str">
        <f>VLOOKUP(H1721, 'RM &amp; SF'!B:E, 4, 0)</f>
        <v>قطعة</v>
      </c>
      <c r="K1721" s="12">
        <v>1</v>
      </c>
      <c r="L1721" s="13">
        <f>VLOOKUP(H1721, 'RM &amp; SF'!B:H, 7, 0)</f>
        <v>9.4799999999999995E-2</v>
      </c>
      <c r="M1721" s="7">
        <f t="shared" si="89"/>
        <v>9.4799999999999995E-2</v>
      </c>
      <c r="N1721" s="4" t="s">
        <v>825</v>
      </c>
      <c r="O1721" s="4">
        <f>VLOOKUP(B1721, 'All Menu'!B:L, 6, 0)</f>
        <v>4.3103448275862073</v>
      </c>
      <c r="P1721" s="6">
        <f>VLOOKUP(B1721, 'All Menu'!B:L, 9, 0)</f>
        <v>3.0970324568917231</v>
      </c>
      <c r="Q1721" s="14">
        <f>VLOOKUP(B1721, 'All Menu'!B:M, 12, 0)</f>
        <v>0.28148847000112032</v>
      </c>
      <c r="R1721" s="173">
        <f t="shared" si="90"/>
        <v>0</v>
      </c>
    </row>
    <row r="1722" spans="1:18" ht="14" hidden="1">
      <c r="A1722" s="78" t="s">
        <v>2731</v>
      </c>
      <c r="B1722" s="220" t="s">
        <v>1223</v>
      </c>
      <c r="C1722" s="185"/>
      <c r="D1722" s="103" t="str">
        <f>VLOOKUP(B1722, 'All Menu'!B:M, 4, 0)</f>
        <v xml:space="preserve">وجبة فول بلبن </v>
      </c>
      <c r="E1722" s="30" t="str">
        <f>VLOOKUP(B1722, 'All Menu'!B:M, 2, 0)</f>
        <v>قسم اللاين</v>
      </c>
      <c r="F1722" s="103" t="str">
        <f>VLOOKUP(B1722, 'All Menu'!B:M, 3, 0)</f>
        <v>الوجبات اليومية سفري2</v>
      </c>
      <c r="G1722" s="90" t="s">
        <v>2193</v>
      </c>
      <c r="H1722" s="188">
        <v>4309</v>
      </c>
      <c r="I1722" s="110" t="str">
        <f>VLOOKUP(H1722, 'RM &amp; SF'!B:H, 2, 0)</f>
        <v>اكياس بلاستيك مطبوع 55 سم*****</v>
      </c>
      <c r="J1722" s="184" t="str">
        <f>VLOOKUP(H1722, 'RM &amp; SF'!B:E, 4, 0)</f>
        <v>قطعة</v>
      </c>
      <c r="K1722" s="12">
        <v>1</v>
      </c>
      <c r="L1722" s="13">
        <f>VLOOKUP(H1722, 'RM &amp; SF'!B:H, 7, 0)</f>
        <v>5.5172413793103454E-2</v>
      </c>
      <c r="M1722" s="7">
        <f t="shared" si="89"/>
        <v>5.5172413793103454E-2</v>
      </c>
      <c r="N1722" s="4" t="s">
        <v>825</v>
      </c>
      <c r="O1722" s="4">
        <f>VLOOKUP(B1722, 'All Menu'!B:L, 6, 0)</f>
        <v>4.3103448275862073</v>
      </c>
      <c r="P1722" s="6">
        <f>VLOOKUP(B1722, 'All Menu'!B:L, 9, 0)</f>
        <v>3.0970324568917231</v>
      </c>
      <c r="Q1722" s="14">
        <f>VLOOKUP(B1722, 'All Menu'!B:M, 12, 0)</f>
        <v>0.28148847000112032</v>
      </c>
      <c r="R1722" s="173">
        <f t="shared" si="90"/>
        <v>0</v>
      </c>
    </row>
    <row r="1723" spans="1:18" ht="14" hidden="1">
      <c r="A1723" s="78" t="s">
        <v>2731</v>
      </c>
      <c r="B1723" s="220" t="s">
        <v>1223</v>
      </c>
      <c r="C1723" s="185"/>
      <c r="D1723" s="103" t="str">
        <f>VLOOKUP(B1723, 'All Menu'!B:M, 4, 0)</f>
        <v xml:space="preserve">وجبة فول بلبن </v>
      </c>
      <c r="E1723" s="30" t="str">
        <f>VLOOKUP(B1723, 'All Menu'!B:M, 2, 0)</f>
        <v>قسم اللاين</v>
      </c>
      <c r="F1723" s="103" t="str">
        <f>VLOOKUP(B1723, 'All Menu'!B:M, 3, 0)</f>
        <v>الوجبات اليومية سفري2</v>
      </c>
      <c r="G1723" s="90" t="s">
        <v>3058</v>
      </c>
      <c r="H1723" s="188">
        <v>4266</v>
      </c>
      <c r="I1723" s="110" t="str">
        <f>VLOOKUP(H1723, 'RM &amp; SF'!B:H, 2, 0)</f>
        <v>اساور علب وجبات مطبوع 1*50 حبة*****</v>
      </c>
      <c r="J1723" s="184" t="str">
        <f>VLOOKUP(H1723, 'RM &amp; SF'!B:E, 4, 0)</f>
        <v>قطعة</v>
      </c>
      <c r="K1723" s="12">
        <v>1</v>
      </c>
      <c r="L1723" s="13">
        <f>VLOOKUP(H1723, 'RM &amp; SF'!B:H, 7, 0)</f>
        <v>6.3224137931034485E-2</v>
      </c>
      <c r="M1723" s="7">
        <f t="shared" si="89"/>
        <v>6.3224137931034485E-2</v>
      </c>
      <c r="N1723" s="4" t="s">
        <v>825</v>
      </c>
      <c r="O1723" s="4">
        <f>VLOOKUP(B1723, 'All Menu'!B:L, 6, 0)</f>
        <v>4.3103448275862073</v>
      </c>
      <c r="P1723" s="6">
        <f>VLOOKUP(B1723, 'All Menu'!B:L, 9, 0)</f>
        <v>3.0970324568917231</v>
      </c>
      <c r="Q1723" s="14">
        <f>VLOOKUP(B1723, 'All Menu'!B:M, 12, 0)</f>
        <v>0.28148847000112032</v>
      </c>
      <c r="R1723" s="173">
        <f t="shared" si="90"/>
        <v>0</v>
      </c>
    </row>
    <row r="1724" spans="1:18" ht="14" hidden="1">
      <c r="A1724" s="78" t="s">
        <v>2731</v>
      </c>
      <c r="B1724" s="220" t="s">
        <v>1223</v>
      </c>
      <c r="C1724" s="185"/>
      <c r="D1724" s="103" t="str">
        <f>VLOOKUP(B1724, 'All Menu'!B:M, 4, 0)</f>
        <v xml:space="preserve">وجبة فول بلبن </v>
      </c>
      <c r="E1724" s="30" t="str">
        <f>VLOOKUP(B1724, 'All Menu'!B:M, 2, 0)</f>
        <v>قسم اللاين</v>
      </c>
      <c r="F1724" s="103" t="str">
        <f>VLOOKUP(B1724, 'All Menu'!B:M, 3, 0)</f>
        <v>الوجبات اليومية سفري2</v>
      </c>
      <c r="G1724" s="90" t="s">
        <v>2195</v>
      </c>
      <c r="H1724" s="188">
        <v>4329</v>
      </c>
      <c r="I1724" s="110" t="str">
        <f>VLOOKUP(H1724, 'RM &amp; SF'!B:H, 2, 0)</f>
        <v>ملاعق بلاستيك مع معقم مطبوع 1*500 حبة*****</v>
      </c>
      <c r="J1724" s="184" t="str">
        <f>VLOOKUP(H1724, 'RM &amp; SF'!B:E, 4, 0)</f>
        <v>قطعة</v>
      </c>
      <c r="K1724" s="12">
        <v>1</v>
      </c>
      <c r="L1724" s="13">
        <f>VLOOKUP(H1724, 'RM &amp; SF'!B:H, 7, 0)</f>
        <v>4.7399999999999997E-4</v>
      </c>
      <c r="M1724" s="7">
        <f t="shared" si="89"/>
        <v>4.7399999999999997E-4</v>
      </c>
      <c r="N1724" s="4" t="s">
        <v>825</v>
      </c>
      <c r="O1724" s="4">
        <f>VLOOKUP(B1724, 'All Menu'!B:L, 6, 0)</f>
        <v>4.3103448275862073</v>
      </c>
      <c r="P1724" s="6">
        <f>VLOOKUP(B1724, 'All Menu'!B:L, 9, 0)</f>
        <v>3.0970324568917231</v>
      </c>
      <c r="Q1724" s="14">
        <f>VLOOKUP(B1724, 'All Menu'!B:M, 12, 0)</f>
        <v>0.28148847000112032</v>
      </c>
      <c r="R1724" s="173">
        <f t="shared" si="90"/>
        <v>0</v>
      </c>
    </row>
    <row r="1725" spans="1:18" ht="14" hidden="1">
      <c r="A1725" s="78" t="s">
        <v>2731</v>
      </c>
      <c r="B1725" s="220" t="s">
        <v>1223</v>
      </c>
      <c r="C1725" s="185"/>
      <c r="D1725" s="103" t="str">
        <f>VLOOKUP(B1725, 'All Menu'!B:M, 4, 0)</f>
        <v xml:space="preserve">وجبة فول بلبن </v>
      </c>
      <c r="E1725" s="30" t="str">
        <f>VLOOKUP(B1725, 'All Menu'!B:M, 2, 0)</f>
        <v>قسم اللاين</v>
      </c>
      <c r="F1725" s="103" t="str">
        <f>VLOOKUP(B1725, 'All Menu'!B:M, 3, 0)</f>
        <v>الوجبات اليومية سفري2</v>
      </c>
      <c r="G1725" s="90" t="s">
        <v>3058</v>
      </c>
      <c r="H1725" s="188">
        <v>4289</v>
      </c>
      <c r="I1725" s="110" t="str">
        <f>VLOOKUP(H1725, 'RM &amp; SF'!B:H, 2, 0)</f>
        <v>علب صوص دائري منفصل أسود 30 مل 1*100 حبة*****</v>
      </c>
      <c r="J1725" s="184" t="str">
        <f>VLOOKUP(H1725, 'RM &amp; SF'!B:E, 4, 0)</f>
        <v>قطعة</v>
      </c>
      <c r="K1725" s="12">
        <v>1</v>
      </c>
      <c r="L1725" s="13">
        <f>VLOOKUP(H1725, 'RM &amp; SF'!B:H, 7, 0)</f>
        <v>1.2E-2</v>
      </c>
      <c r="M1725" s="7">
        <f t="shared" si="89"/>
        <v>1.2E-2</v>
      </c>
      <c r="N1725" s="4" t="s">
        <v>825</v>
      </c>
      <c r="O1725" s="4">
        <f>VLOOKUP(B1725, 'All Menu'!B:L, 6, 0)</f>
        <v>4.3103448275862073</v>
      </c>
      <c r="P1725" s="6">
        <f>VLOOKUP(B1725, 'All Menu'!B:L, 9, 0)</f>
        <v>3.0970324568917231</v>
      </c>
      <c r="Q1725" s="14">
        <f>VLOOKUP(B1725, 'All Menu'!B:M, 12, 0)</f>
        <v>0.28148847000112032</v>
      </c>
      <c r="R1725" s="173">
        <f t="shared" si="90"/>
        <v>0</v>
      </c>
    </row>
    <row r="1726" spans="1:18" ht="14" hidden="1">
      <c r="A1726" s="78" t="s">
        <v>2732</v>
      </c>
      <c r="B1726" s="220" t="s">
        <v>1224</v>
      </c>
      <c r="C1726" s="185"/>
      <c r="D1726" s="103" t="str">
        <f>VLOOKUP(B1726, 'All Menu'!B:M, 4, 0)</f>
        <v>وجبة فاصوليا بيضا</v>
      </c>
      <c r="E1726" s="30" t="str">
        <f>VLOOKUP(B1726, 'All Menu'!B:M, 2, 0)</f>
        <v>قسم اللاين</v>
      </c>
      <c r="F1726" s="103" t="str">
        <f>VLOOKUP(B1726, 'All Menu'!B:M, 3, 0)</f>
        <v>الوجبات اليومية سفري2</v>
      </c>
      <c r="G1726" s="90" t="s">
        <v>2342</v>
      </c>
      <c r="H1726" s="219" t="s">
        <v>708</v>
      </c>
      <c r="I1726" s="110" t="str">
        <f>VLOOKUP(H1726, 'RM &amp; SF'!B:H, 2, 0)</f>
        <v>ارز بشعيرية</v>
      </c>
      <c r="J1726" s="184" t="str">
        <f>VLOOKUP(H1726, 'RM &amp; SF'!B:E, 4, 0)</f>
        <v>غم</v>
      </c>
      <c r="K1726" s="12">
        <v>500</v>
      </c>
      <c r="L1726" s="13">
        <f>VLOOKUP(H1726, 'RM &amp; SF'!B:H, 7, 0)</f>
        <v>3.3269616161616159E-4</v>
      </c>
      <c r="M1726" s="7">
        <f t="shared" si="89"/>
        <v>0.16634808080808081</v>
      </c>
      <c r="N1726" s="4" t="s">
        <v>825</v>
      </c>
      <c r="O1726" s="4">
        <f>VLOOKUP(B1726, 'All Menu'!B:L, 6, 0)</f>
        <v>3.4482758620689657</v>
      </c>
      <c r="P1726" s="6">
        <f>VLOOKUP(B1726, 'All Menu'!B:L, 9, 0)</f>
        <v>3.3386071658655525</v>
      </c>
      <c r="Q1726" s="14">
        <f>VLOOKUP(B1726, 'All Menu'!B:M, 12, 0)</f>
        <v>3.180392189898984E-2</v>
      </c>
      <c r="R1726" s="173">
        <f t="shared" si="90"/>
        <v>0</v>
      </c>
    </row>
    <row r="1727" spans="1:18" ht="14" hidden="1">
      <c r="A1727" s="78" t="s">
        <v>2732</v>
      </c>
      <c r="B1727" s="220" t="s">
        <v>1224</v>
      </c>
      <c r="C1727" s="185"/>
      <c r="D1727" s="103" t="str">
        <f>VLOOKUP(B1727, 'All Menu'!B:M, 4, 0)</f>
        <v>وجبة فاصوليا بيضا</v>
      </c>
      <c r="E1727" s="30" t="str">
        <f>VLOOKUP(B1727, 'All Menu'!B:M, 2, 0)</f>
        <v>قسم اللاين</v>
      </c>
      <c r="F1727" s="103" t="str">
        <f>VLOOKUP(B1727, 'All Menu'!B:M, 3, 0)</f>
        <v>الوجبات اليومية سفري2</v>
      </c>
      <c r="G1727" s="90" t="s">
        <v>2360</v>
      </c>
      <c r="H1727" s="219" t="s">
        <v>752</v>
      </c>
      <c r="I1727" s="110" t="str">
        <f>VLOOKUP(H1727, 'RM &amp; SF'!B:H, 2, 0)</f>
        <v>يخنة فاصوليا بيضا</v>
      </c>
      <c r="J1727" s="184" t="str">
        <f>VLOOKUP(H1727, 'RM &amp; SF'!B:E, 4, 0)</f>
        <v>غم</v>
      </c>
      <c r="K1727" s="12">
        <v>400</v>
      </c>
      <c r="L1727" s="13">
        <f>VLOOKUP(H1727, 'RM &amp; SF'!B:H, 7, 0)</f>
        <v>4.7089713333333342E-3</v>
      </c>
      <c r="M1727" s="7">
        <f t="shared" si="89"/>
        <v>1.8835885333333338</v>
      </c>
      <c r="N1727" s="4" t="s">
        <v>825</v>
      </c>
      <c r="O1727" s="4">
        <f>VLOOKUP(B1727, 'All Menu'!B:L, 6, 0)</f>
        <v>3.4482758620689657</v>
      </c>
      <c r="P1727" s="6">
        <f>VLOOKUP(B1727, 'All Menu'!B:L, 9, 0)</f>
        <v>3.3386071658655525</v>
      </c>
      <c r="Q1727" s="14">
        <f>VLOOKUP(B1727, 'All Menu'!B:M, 12, 0)</f>
        <v>3.180392189898984E-2</v>
      </c>
      <c r="R1727" s="173">
        <f t="shared" si="90"/>
        <v>0</v>
      </c>
    </row>
    <row r="1728" spans="1:18" ht="15.5" hidden="1">
      <c r="A1728" s="78" t="s">
        <v>2732</v>
      </c>
      <c r="B1728" s="220" t="s">
        <v>1224</v>
      </c>
      <c r="C1728" s="185"/>
      <c r="D1728" s="103" t="str">
        <f>VLOOKUP(B1728, 'All Menu'!B:M, 4, 0)</f>
        <v>وجبة فاصوليا بيضا</v>
      </c>
      <c r="E1728" s="30" t="str">
        <f>VLOOKUP(B1728, 'All Menu'!B:M, 2, 0)</f>
        <v>قسم اللاين</v>
      </c>
      <c r="F1728" s="103" t="str">
        <f>VLOOKUP(B1728, 'All Menu'!B:M, 3, 0)</f>
        <v>الوجبات اليومية سفري2</v>
      </c>
      <c r="G1728" s="90" t="s">
        <v>3058</v>
      </c>
      <c r="H1728" s="112">
        <v>5403</v>
      </c>
      <c r="I1728" s="110" t="str">
        <f>VLOOKUP(H1728, 'RM &amp; SF'!B:H, 2, 0)</f>
        <v>طاجن (من تفصيلة الخروف)</v>
      </c>
      <c r="J1728" s="184" t="str">
        <f>VLOOKUP(H1728, 'RM &amp; SF'!B:E, 4, 0)</f>
        <v>غم</v>
      </c>
      <c r="K1728" s="12">
        <v>100</v>
      </c>
      <c r="L1728" s="13">
        <f>VLOOKUP(H1728, 'RM &amp; SF'!B:H, 7, 0)</f>
        <v>9.4999999999999998E-3</v>
      </c>
      <c r="M1728" s="7">
        <f t="shared" si="89"/>
        <v>0.95</v>
      </c>
      <c r="N1728" s="4" t="s">
        <v>825</v>
      </c>
      <c r="O1728" s="4">
        <f>VLOOKUP(B1728, 'All Menu'!B:L, 6, 0)</f>
        <v>3.4482758620689657</v>
      </c>
      <c r="P1728" s="6">
        <f>VLOOKUP(B1728, 'All Menu'!B:L, 9, 0)</f>
        <v>3.3386071658655525</v>
      </c>
      <c r="Q1728" s="14">
        <f>VLOOKUP(B1728, 'All Menu'!B:M, 12, 0)</f>
        <v>3.180392189898984E-2</v>
      </c>
      <c r="R1728" s="173">
        <f t="shared" si="90"/>
        <v>0</v>
      </c>
    </row>
    <row r="1729" spans="1:18" ht="14" hidden="1">
      <c r="A1729" s="78" t="s">
        <v>2732</v>
      </c>
      <c r="B1729" s="220" t="s">
        <v>1224</v>
      </c>
      <c r="C1729" s="185"/>
      <c r="D1729" s="103" t="str">
        <f>VLOOKUP(B1729, 'All Menu'!B:M, 4, 0)</f>
        <v>وجبة فاصوليا بيضا</v>
      </c>
      <c r="E1729" s="30" t="str">
        <f>VLOOKUP(B1729, 'All Menu'!B:M, 2, 0)</f>
        <v>قسم اللاين</v>
      </c>
      <c r="F1729" s="103" t="str">
        <f>VLOOKUP(B1729, 'All Menu'!B:M, 3, 0)</f>
        <v>الوجبات اليومية سفري2</v>
      </c>
      <c r="G1729" s="90" t="s">
        <v>2190</v>
      </c>
      <c r="H1729" s="188">
        <v>4279</v>
      </c>
      <c r="I1729" s="110" t="str">
        <f>VLOOKUP(H1729, 'RM &amp; SF'!B:H, 2, 0)</f>
        <v>علب ميكرويف مستطيل اسود مفرغة (احادي)*****</v>
      </c>
      <c r="J1729" s="184" t="str">
        <f>VLOOKUP(H1729, 'RM &amp; SF'!B:E, 4, 0)</f>
        <v>قطعة</v>
      </c>
      <c r="K1729" s="12">
        <v>1</v>
      </c>
      <c r="L1729" s="13">
        <f>VLOOKUP(H1729, 'RM &amp; SF'!B:H, 7, 0)</f>
        <v>9.4799999999999995E-2</v>
      </c>
      <c r="M1729" s="7">
        <f t="shared" si="89"/>
        <v>9.4799999999999995E-2</v>
      </c>
      <c r="N1729" s="4" t="s">
        <v>825</v>
      </c>
      <c r="O1729" s="4">
        <f>VLOOKUP(B1729, 'All Menu'!B:L, 6, 0)</f>
        <v>3.4482758620689657</v>
      </c>
      <c r="P1729" s="6">
        <f>VLOOKUP(B1729, 'All Menu'!B:L, 9, 0)</f>
        <v>3.3386071658655525</v>
      </c>
      <c r="Q1729" s="14">
        <f>VLOOKUP(B1729, 'All Menu'!B:M, 12, 0)</f>
        <v>3.180392189898984E-2</v>
      </c>
      <c r="R1729" s="173">
        <f t="shared" si="90"/>
        <v>0</v>
      </c>
    </row>
    <row r="1730" spans="1:18" ht="14" hidden="1">
      <c r="A1730" s="78" t="s">
        <v>2732</v>
      </c>
      <c r="B1730" s="220" t="s">
        <v>1224</v>
      </c>
      <c r="C1730" s="185"/>
      <c r="D1730" s="103" t="str">
        <f>VLOOKUP(B1730, 'All Menu'!B:M, 4, 0)</f>
        <v>وجبة فاصوليا بيضا</v>
      </c>
      <c r="E1730" s="30" t="str">
        <f>VLOOKUP(B1730, 'All Menu'!B:M, 2, 0)</f>
        <v>قسم اللاين</v>
      </c>
      <c r="F1730" s="103" t="str">
        <f>VLOOKUP(B1730, 'All Menu'!B:M, 3, 0)</f>
        <v>الوجبات اليومية سفري2</v>
      </c>
      <c r="G1730" s="90" t="s">
        <v>2193</v>
      </c>
      <c r="H1730" s="188">
        <v>4309</v>
      </c>
      <c r="I1730" s="110" t="str">
        <f>VLOOKUP(H1730, 'RM &amp; SF'!B:H, 2, 0)</f>
        <v>اكياس بلاستيك مطبوع 55 سم*****</v>
      </c>
      <c r="J1730" s="184" t="str">
        <f>VLOOKUP(H1730, 'RM &amp; SF'!B:E, 4, 0)</f>
        <v>قطعة</v>
      </c>
      <c r="K1730" s="12">
        <v>1</v>
      </c>
      <c r="L1730" s="13">
        <f>VLOOKUP(H1730, 'RM &amp; SF'!B:H, 7, 0)</f>
        <v>5.5172413793103454E-2</v>
      </c>
      <c r="M1730" s="7">
        <f t="shared" si="89"/>
        <v>5.5172413793103454E-2</v>
      </c>
      <c r="N1730" s="4" t="s">
        <v>825</v>
      </c>
      <c r="O1730" s="4">
        <f>VLOOKUP(B1730, 'All Menu'!B:L, 6, 0)</f>
        <v>3.4482758620689657</v>
      </c>
      <c r="P1730" s="6">
        <f>VLOOKUP(B1730, 'All Menu'!B:L, 9, 0)</f>
        <v>3.3386071658655525</v>
      </c>
      <c r="Q1730" s="14">
        <f>VLOOKUP(B1730, 'All Menu'!B:M, 12, 0)</f>
        <v>3.180392189898984E-2</v>
      </c>
      <c r="R1730" s="173">
        <f t="shared" si="90"/>
        <v>0</v>
      </c>
    </row>
    <row r="1731" spans="1:18" ht="14" hidden="1">
      <c r="A1731" s="78" t="s">
        <v>2732</v>
      </c>
      <c r="B1731" s="220" t="s">
        <v>1224</v>
      </c>
      <c r="C1731" s="185"/>
      <c r="D1731" s="103" t="str">
        <f>VLOOKUP(B1731, 'All Menu'!B:M, 4, 0)</f>
        <v>وجبة فاصوليا بيضا</v>
      </c>
      <c r="E1731" s="30" t="str">
        <f>VLOOKUP(B1731, 'All Menu'!B:M, 2, 0)</f>
        <v>قسم اللاين</v>
      </c>
      <c r="F1731" s="103" t="str">
        <f>VLOOKUP(B1731, 'All Menu'!B:M, 3, 0)</f>
        <v>الوجبات اليومية سفري2</v>
      </c>
      <c r="G1731" s="90" t="s">
        <v>3058</v>
      </c>
      <c r="H1731" s="188">
        <v>4266</v>
      </c>
      <c r="I1731" s="110" t="str">
        <f>VLOOKUP(H1731, 'RM &amp; SF'!B:H, 2, 0)</f>
        <v>اساور علب وجبات مطبوع 1*50 حبة*****</v>
      </c>
      <c r="J1731" s="184" t="str">
        <f>VLOOKUP(H1731, 'RM &amp; SF'!B:E, 4, 0)</f>
        <v>قطعة</v>
      </c>
      <c r="K1731" s="12">
        <v>1</v>
      </c>
      <c r="L1731" s="13">
        <f>VLOOKUP(H1731, 'RM &amp; SF'!B:H, 7, 0)</f>
        <v>6.3224137931034485E-2</v>
      </c>
      <c r="M1731" s="7">
        <f t="shared" si="89"/>
        <v>6.3224137931034485E-2</v>
      </c>
      <c r="N1731" s="4" t="s">
        <v>825</v>
      </c>
      <c r="O1731" s="4">
        <f>VLOOKUP(B1731, 'All Menu'!B:L, 6, 0)</f>
        <v>3.4482758620689657</v>
      </c>
      <c r="P1731" s="6">
        <f>VLOOKUP(B1731, 'All Menu'!B:L, 9, 0)</f>
        <v>3.3386071658655525</v>
      </c>
      <c r="Q1731" s="14">
        <f>VLOOKUP(B1731, 'All Menu'!B:M, 12, 0)</f>
        <v>3.180392189898984E-2</v>
      </c>
      <c r="R1731" s="173">
        <f t="shared" si="90"/>
        <v>0</v>
      </c>
    </row>
    <row r="1732" spans="1:18" ht="14" hidden="1">
      <c r="A1732" s="78" t="s">
        <v>2732</v>
      </c>
      <c r="B1732" s="220" t="s">
        <v>1224</v>
      </c>
      <c r="C1732" s="185"/>
      <c r="D1732" s="103" t="str">
        <f>VLOOKUP(B1732, 'All Menu'!B:M, 4, 0)</f>
        <v>وجبة فاصوليا بيضا</v>
      </c>
      <c r="E1732" s="30" t="str">
        <f>VLOOKUP(B1732, 'All Menu'!B:M, 2, 0)</f>
        <v>قسم اللاين</v>
      </c>
      <c r="F1732" s="103" t="str">
        <f>VLOOKUP(B1732, 'All Menu'!B:M, 3, 0)</f>
        <v>الوجبات اليومية سفري2</v>
      </c>
      <c r="G1732" s="90" t="s">
        <v>2195</v>
      </c>
      <c r="H1732" s="188">
        <v>4329</v>
      </c>
      <c r="I1732" s="110" t="str">
        <f>VLOOKUP(H1732, 'RM &amp; SF'!B:H, 2, 0)</f>
        <v>ملاعق بلاستيك مع معقم مطبوع 1*500 حبة*****</v>
      </c>
      <c r="J1732" s="184" t="str">
        <f>VLOOKUP(H1732, 'RM &amp; SF'!B:E, 4, 0)</f>
        <v>قطعة</v>
      </c>
      <c r="K1732" s="12">
        <v>1</v>
      </c>
      <c r="L1732" s="13">
        <f>VLOOKUP(H1732, 'RM &amp; SF'!B:H, 7, 0)</f>
        <v>4.7399999999999997E-4</v>
      </c>
      <c r="M1732" s="7">
        <f t="shared" si="89"/>
        <v>4.7399999999999997E-4</v>
      </c>
      <c r="N1732" s="4" t="s">
        <v>825</v>
      </c>
      <c r="O1732" s="4">
        <f>VLOOKUP(B1732, 'All Menu'!B:L, 6, 0)</f>
        <v>3.4482758620689657</v>
      </c>
      <c r="P1732" s="6">
        <f>VLOOKUP(B1732, 'All Menu'!B:L, 9, 0)</f>
        <v>3.3386071658655525</v>
      </c>
      <c r="Q1732" s="14">
        <f>VLOOKUP(B1732, 'All Menu'!B:M, 12, 0)</f>
        <v>3.180392189898984E-2</v>
      </c>
      <c r="R1732" s="173">
        <f t="shared" si="90"/>
        <v>0</v>
      </c>
    </row>
    <row r="1733" spans="1:18" ht="14" hidden="1">
      <c r="A1733" s="78" t="s">
        <v>2732</v>
      </c>
      <c r="B1733" s="220" t="s">
        <v>1224</v>
      </c>
      <c r="C1733" s="185"/>
      <c r="D1733" s="103" t="str">
        <f>VLOOKUP(B1733, 'All Menu'!B:M, 4, 0)</f>
        <v>وجبة فاصوليا بيضا</v>
      </c>
      <c r="E1733" s="30" t="str">
        <f>VLOOKUP(B1733, 'All Menu'!B:M, 2, 0)</f>
        <v>قسم اللاين</v>
      </c>
      <c r="F1733" s="103" t="str">
        <f>VLOOKUP(B1733, 'All Menu'!B:M, 3, 0)</f>
        <v>الوجبات اليومية سفري2</v>
      </c>
      <c r="G1733" s="90" t="s">
        <v>3058</v>
      </c>
      <c r="H1733" s="188">
        <v>4280</v>
      </c>
      <c r="I1733" s="110" t="str">
        <f>VLOOKUP(H1733, 'RM &amp; SF'!B:H, 2, 0)</f>
        <v>علب ميكرويف مدورة اسود 500 مل RC2*****</v>
      </c>
      <c r="J1733" s="184" t="str">
        <f>VLOOKUP(H1733, 'RM &amp; SF'!B:E, 4, 0)</f>
        <v>قطعة</v>
      </c>
      <c r="K1733" s="12">
        <v>1</v>
      </c>
      <c r="L1733" s="13">
        <f>VLOOKUP(H1733, 'RM &amp; SF'!B:H, 7, 0)</f>
        <v>0.125</v>
      </c>
      <c r="M1733" s="7">
        <f t="shared" si="89"/>
        <v>0.125</v>
      </c>
      <c r="N1733" s="4" t="s">
        <v>825</v>
      </c>
      <c r="O1733" s="4">
        <f>VLOOKUP(B1733, 'All Menu'!B:L, 6, 0)</f>
        <v>3.4482758620689657</v>
      </c>
      <c r="P1733" s="6">
        <f>VLOOKUP(B1733, 'All Menu'!B:L, 9, 0)</f>
        <v>3.3386071658655525</v>
      </c>
      <c r="Q1733" s="14">
        <f>VLOOKUP(B1733, 'All Menu'!B:M, 12, 0)</f>
        <v>3.180392189898984E-2</v>
      </c>
      <c r="R1733" s="173">
        <f t="shared" si="90"/>
        <v>0</v>
      </c>
    </row>
    <row r="1734" spans="1:18" ht="14" hidden="1">
      <c r="A1734" s="78" t="s">
        <v>2735</v>
      </c>
      <c r="B1734" s="220" t="s">
        <v>1225</v>
      </c>
      <c r="C1734" s="185"/>
      <c r="D1734" s="30" t="str">
        <f>VLOOKUP(B1734, 'All Menu'!B:M, 4, 0)</f>
        <v>وجبة مفتول فردية</v>
      </c>
      <c r="E1734" s="30" t="str">
        <f>VLOOKUP(B1734, 'All Menu'!B:M, 2, 0)</f>
        <v>قسم اللاين</v>
      </c>
      <c r="F1734" s="103" t="str">
        <f>VLOOKUP(B1734, 'All Menu'!B:M, 3, 0)</f>
        <v>الوجبات اليومية سفري2</v>
      </c>
      <c r="G1734" s="90" t="s">
        <v>2348</v>
      </c>
      <c r="H1734" s="219" t="s">
        <v>720</v>
      </c>
      <c r="I1734" s="110" t="str">
        <f>VLOOKUP(H1734, 'RM &amp; SF'!B:H, 2, 0)</f>
        <v>ضربة مفتول</v>
      </c>
      <c r="J1734" s="184" t="str">
        <f>VLOOKUP(H1734, 'RM &amp; SF'!B:E, 4, 0)</f>
        <v>غم</v>
      </c>
      <c r="K1734" s="12">
        <v>500</v>
      </c>
      <c r="L1734" s="13">
        <f>VLOOKUP(H1734, 'RM &amp; SF'!B:H, 7, 0)</f>
        <v>3.8807146464646462E-4</v>
      </c>
      <c r="M1734" s="7">
        <f t="shared" si="89"/>
        <v>0.19403573232323232</v>
      </c>
      <c r="N1734" s="4" t="s">
        <v>825</v>
      </c>
      <c r="O1734" s="4">
        <f>VLOOKUP(B1734, 'All Menu'!B:L, 6, 0)</f>
        <v>3.4482758620689657</v>
      </c>
      <c r="P1734" s="6">
        <f>VLOOKUP(B1734, 'All Menu'!B:L, 9, 0)</f>
        <v>1.8495930637631333</v>
      </c>
      <c r="Q1734" s="14">
        <f>VLOOKUP(B1734, 'All Menu'!B:M, 12, 0)</f>
        <v>0.46361801150869136</v>
      </c>
      <c r="R1734" s="173">
        <f t="shared" si="90"/>
        <v>0</v>
      </c>
    </row>
    <row r="1735" spans="1:18" ht="14" hidden="1">
      <c r="A1735" s="78" t="s">
        <v>2735</v>
      </c>
      <c r="B1735" s="220" t="s">
        <v>1225</v>
      </c>
      <c r="C1735" s="185"/>
      <c r="D1735" s="30" t="str">
        <f>VLOOKUP(B1735, 'All Menu'!B:M, 4, 0)</f>
        <v>وجبة مفتول فردية</v>
      </c>
      <c r="E1735" s="30" t="str">
        <f>VLOOKUP(B1735, 'All Menu'!B:M, 2, 0)</f>
        <v>قسم اللاين</v>
      </c>
      <c r="F1735" s="103" t="str">
        <f>VLOOKUP(B1735, 'All Menu'!B:M, 3, 0)</f>
        <v>الوجبات اليومية سفري2</v>
      </c>
      <c r="G1735" s="90" t="s">
        <v>2349</v>
      </c>
      <c r="H1735" s="219" t="s">
        <v>722</v>
      </c>
      <c r="I1735" s="110" t="str">
        <f>VLOOKUP(H1735, 'RM &amp; SF'!B:H, 2, 0)</f>
        <v>يخنة  مفتول</v>
      </c>
      <c r="J1735" s="184" t="str">
        <f>VLOOKUP(H1735, 'RM &amp; SF'!B:E, 4, 0)</f>
        <v>غم</v>
      </c>
      <c r="K1735" s="12">
        <v>400</v>
      </c>
      <c r="L1735" s="13">
        <f>VLOOKUP(H1735, 'RM &amp; SF'!B:H, 7, 0)</f>
        <v>2.7279832687338509E-3</v>
      </c>
      <c r="M1735" s="7">
        <f t="shared" si="89"/>
        <v>1.0911933074935405</v>
      </c>
      <c r="N1735" s="4" t="s">
        <v>825</v>
      </c>
      <c r="O1735" s="4">
        <f>VLOOKUP(B1735, 'All Menu'!B:L, 6, 0)</f>
        <v>3.4482758620689657</v>
      </c>
      <c r="P1735" s="6">
        <f>VLOOKUP(B1735, 'All Menu'!B:L, 9, 0)</f>
        <v>1.8495930637631333</v>
      </c>
      <c r="Q1735" s="14">
        <f>VLOOKUP(B1735, 'All Menu'!B:M, 12, 0)</f>
        <v>0.46361801150869136</v>
      </c>
      <c r="R1735" s="173">
        <f t="shared" si="90"/>
        <v>0</v>
      </c>
    </row>
    <row r="1736" spans="1:18" ht="14" hidden="1">
      <c r="A1736" s="78" t="s">
        <v>2735</v>
      </c>
      <c r="B1736" s="220" t="s">
        <v>1225</v>
      </c>
      <c r="C1736" s="185"/>
      <c r="D1736" s="30" t="str">
        <f>VLOOKUP(B1736, 'All Menu'!B:M, 4, 0)</f>
        <v>وجبة مفتول فردية</v>
      </c>
      <c r="E1736" s="30" t="str">
        <f>VLOOKUP(B1736, 'All Menu'!B:M, 2, 0)</f>
        <v>قسم اللاين</v>
      </c>
      <c r="F1736" s="103" t="str">
        <f>VLOOKUP(B1736, 'All Menu'!B:M, 3, 0)</f>
        <v>الوجبات اليومية سفري2</v>
      </c>
      <c r="G1736" s="90" t="s">
        <v>2350</v>
      </c>
      <c r="H1736" s="219" t="s">
        <v>724</v>
      </c>
      <c r="I1736" s="110" t="str">
        <f>VLOOKUP(H1736, 'RM &amp; SF'!B:H, 2, 0)</f>
        <v>دجاج  مفتول</v>
      </c>
      <c r="J1736" s="184" t="str">
        <f>VLOOKUP(H1736, 'RM &amp; SF'!B:E, 4, 0)</f>
        <v>قطعة</v>
      </c>
      <c r="K1736" s="12">
        <v>0.25</v>
      </c>
      <c r="L1736" s="13">
        <f>VLOOKUP(H1736, 'RM &amp; SF'!B:H, 7, 0)</f>
        <v>0.90277388888888899</v>
      </c>
      <c r="M1736" s="7">
        <f t="shared" si="89"/>
        <v>0.22569347222222225</v>
      </c>
      <c r="N1736" s="4" t="s">
        <v>825</v>
      </c>
      <c r="O1736" s="4">
        <f>VLOOKUP(B1736, 'All Menu'!B:L, 6, 0)</f>
        <v>3.4482758620689657</v>
      </c>
      <c r="P1736" s="6">
        <f>VLOOKUP(B1736, 'All Menu'!B:L, 9, 0)</f>
        <v>1.8495930637631333</v>
      </c>
      <c r="Q1736" s="14">
        <f>VLOOKUP(B1736, 'All Menu'!B:M, 12, 0)</f>
        <v>0.46361801150869136</v>
      </c>
      <c r="R1736" s="173">
        <f t="shared" si="90"/>
        <v>0</v>
      </c>
    </row>
    <row r="1737" spans="1:18" ht="14" hidden="1">
      <c r="A1737" s="78" t="s">
        <v>2735</v>
      </c>
      <c r="B1737" s="220" t="s">
        <v>1225</v>
      </c>
      <c r="C1737" s="185"/>
      <c r="D1737" s="30" t="str">
        <f>VLOOKUP(B1737, 'All Menu'!B:M, 4, 0)</f>
        <v>وجبة مفتول فردية</v>
      </c>
      <c r="E1737" s="30" t="str">
        <f>VLOOKUP(B1737, 'All Menu'!B:M, 2, 0)</f>
        <v>قسم اللاين</v>
      </c>
      <c r="F1737" s="103" t="str">
        <f>VLOOKUP(B1737, 'All Menu'!B:M, 3, 0)</f>
        <v>الوجبات اليومية سفري2</v>
      </c>
      <c r="G1737" s="90" t="s">
        <v>2190</v>
      </c>
      <c r="H1737" s="188">
        <v>4279</v>
      </c>
      <c r="I1737" s="110" t="str">
        <f>VLOOKUP(H1737, 'RM &amp; SF'!B:H, 2, 0)</f>
        <v>علب ميكرويف مستطيل اسود مفرغة (احادي)*****</v>
      </c>
      <c r="J1737" s="184" t="str">
        <f>VLOOKUP(H1737, 'RM &amp; SF'!B:E, 4, 0)</f>
        <v>قطعة</v>
      </c>
      <c r="K1737" s="12">
        <v>1</v>
      </c>
      <c r="L1737" s="13">
        <f>VLOOKUP(H1737, 'RM &amp; SF'!B:H, 7, 0)</f>
        <v>9.4799999999999995E-2</v>
      </c>
      <c r="M1737" s="7">
        <f t="shared" si="89"/>
        <v>9.4799999999999995E-2</v>
      </c>
      <c r="N1737" s="4" t="s">
        <v>825</v>
      </c>
      <c r="O1737" s="4">
        <f>VLOOKUP(B1737, 'All Menu'!B:L, 6, 0)</f>
        <v>3.4482758620689657</v>
      </c>
      <c r="P1737" s="6">
        <f>VLOOKUP(B1737, 'All Menu'!B:L, 9, 0)</f>
        <v>1.8495930637631333</v>
      </c>
      <c r="Q1737" s="14">
        <f>VLOOKUP(B1737, 'All Menu'!B:M, 12, 0)</f>
        <v>0.46361801150869136</v>
      </c>
      <c r="R1737" s="173">
        <f t="shared" si="90"/>
        <v>0</v>
      </c>
    </row>
    <row r="1738" spans="1:18" ht="14" hidden="1">
      <c r="A1738" s="78" t="s">
        <v>2735</v>
      </c>
      <c r="B1738" s="220" t="s">
        <v>1225</v>
      </c>
      <c r="C1738" s="185"/>
      <c r="D1738" s="30" t="str">
        <f>VLOOKUP(B1738, 'All Menu'!B:M, 4, 0)</f>
        <v>وجبة مفتول فردية</v>
      </c>
      <c r="E1738" s="30" t="str">
        <f>VLOOKUP(B1738, 'All Menu'!B:M, 2, 0)</f>
        <v>قسم اللاين</v>
      </c>
      <c r="F1738" s="103" t="str">
        <f>VLOOKUP(B1738, 'All Menu'!B:M, 3, 0)</f>
        <v>الوجبات اليومية سفري2</v>
      </c>
      <c r="G1738" s="90" t="s">
        <v>2193</v>
      </c>
      <c r="H1738" s="188">
        <v>4309</v>
      </c>
      <c r="I1738" s="110" t="str">
        <f>VLOOKUP(H1738, 'RM &amp; SF'!B:H, 2, 0)</f>
        <v>اكياس بلاستيك مطبوع 55 سم*****</v>
      </c>
      <c r="J1738" s="184" t="str">
        <f>VLOOKUP(H1738, 'RM &amp; SF'!B:E, 4, 0)</f>
        <v>قطعة</v>
      </c>
      <c r="K1738" s="12">
        <v>1</v>
      </c>
      <c r="L1738" s="13">
        <f>VLOOKUP(H1738, 'RM &amp; SF'!B:H, 7, 0)</f>
        <v>5.5172413793103454E-2</v>
      </c>
      <c r="M1738" s="7">
        <f t="shared" si="89"/>
        <v>5.5172413793103454E-2</v>
      </c>
      <c r="N1738" s="4" t="s">
        <v>825</v>
      </c>
      <c r="O1738" s="4">
        <f>VLOOKUP(B1738, 'All Menu'!B:L, 6, 0)</f>
        <v>3.4482758620689657</v>
      </c>
      <c r="P1738" s="6">
        <f>VLOOKUP(B1738, 'All Menu'!B:L, 9, 0)</f>
        <v>1.8495930637631333</v>
      </c>
      <c r="Q1738" s="14">
        <f>VLOOKUP(B1738, 'All Menu'!B:M, 12, 0)</f>
        <v>0.46361801150869136</v>
      </c>
      <c r="R1738" s="173">
        <f t="shared" si="90"/>
        <v>0</v>
      </c>
    </row>
    <row r="1739" spans="1:18" ht="14" hidden="1">
      <c r="A1739" s="78" t="s">
        <v>2735</v>
      </c>
      <c r="B1739" s="220" t="s">
        <v>1225</v>
      </c>
      <c r="C1739" s="185"/>
      <c r="D1739" s="30" t="str">
        <f>VLOOKUP(B1739, 'All Menu'!B:M, 4, 0)</f>
        <v>وجبة مفتول فردية</v>
      </c>
      <c r="E1739" s="30" t="str">
        <f>VLOOKUP(B1739, 'All Menu'!B:M, 2, 0)</f>
        <v>قسم اللاين</v>
      </c>
      <c r="F1739" s="103" t="str">
        <f>VLOOKUP(B1739, 'All Menu'!B:M, 3, 0)</f>
        <v>الوجبات اليومية سفري2</v>
      </c>
      <c r="G1739" s="90" t="s">
        <v>3058</v>
      </c>
      <c r="H1739" s="188">
        <v>4266</v>
      </c>
      <c r="I1739" s="110" t="str">
        <f>VLOOKUP(H1739, 'RM &amp; SF'!B:H, 2, 0)</f>
        <v>اساور علب وجبات مطبوع 1*50 حبة*****</v>
      </c>
      <c r="J1739" s="184" t="str">
        <f>VLOOKUP(H1739, 'RM &amp; SF'!B:E, 4, 0)</f>
        <v>قطعة</v>
      </c>
      <c r="K1739" s="12">
        <v>1</v>
      </c>
      <c r="L1739" s="13">
        <f>VLOOKUP(H1739, 'RM &amp; SF'!B:H, 7, 0)</f>
        <v>6.3224137931034485E-2</v>
      </c>
      <c r="M1739" s="7">
        <f t="shared" si="89"/>
        <v>6.3224137931034485E-2</v>
      </c>
      <c r="N1739" s="4" t="s">
        <v>825</v>
      </c>
      <c r="O1739" s="4">
        <f>VLOOKUP(B1739, 'All Menu'!B:L, 6, 0)</f>
        <v>3.4482758620689657</v>
      </c>
      <c r="P1739" s="6">
        <f>VLOOKUP(B1739, 'All Menu'!B:L, 9, 0)</f>
        <v>1.8495930637631333</v>
      </c>
      <c r="Q1739" s="14">
        <f>VLOOKUP(B1739, 'All Menu'!B:M, 12, 0)</f>
        <v>0.46361801150869136</v>
      </c>
      <c r="R1739" s="173">
        <f t="shared" si="90"/>
        <v>0</v>
      </c>
    </row>
    <row r="1740" spans="1:18" ht="14" hidden="1">
      <c r="A1740" s="78" t="s">
        <v>2735</v>
      </c>
      <c r="B1740" s="220" t="s">
        <v>1225</v>
      </c>
      <c r="C1740" s="185"/>
      <c r="D1740" s="30" t="str">
        <f>VLOOKUP(B1740, 'All Menu'!B:M, 4, 0)</f>
        <v>وجبة مفتول فردية</v>
      </c>
      <c r="E1740" s="30" t="str">
        <f>VLOOKUP(B1740, 'All Menu'!B:M, 2, 0)</f>
        <v>قسم اللاين</v>
      </c>
      <c r="F1740" s="103" t="str">
        <f>VLOOKUP(B1740, 'All Menu'!B:M, 3, 0)</f>
        <v>الوجبات اليومية سفري2</v>
      </c>
      <c r="G1740" s="90" t="s">
        <v>2195</v>
      </c>
      <c r="H1740" s="188">
        <v>4329</v>
      </c>
      <c r="I1740" s="110" t="str">
        <f>VLOOKUP(H1740, 'RM &amp; SF'!B:H, 2, 0)</f>
        <v>ملاعق بلاستيك مع معقم مطبوع 1*500 حبة*****</v>
      </c>
      <c r="J1740" s="184" t="str">
        <f>VLOOKUP(H1740, 'RM &amp; SF'!B:E, 4, 0)</f>
        <v>قطعة</v>
      </c>
      <c r="K1740" s="12">
        <v>1</v>
      </c>
      <c r="L1740" s="13">
        <f>VLOOKUP(H1740, 'RM &amp; SF'!B:H, 7, 0)</f>
        <v>4.7399999999999997E-4</v>
      </c>
      <c r="M1740" s="7">
        <f t="shared" si="89"/>
        <v>4.7399999999999997E-4</v>
      </c>
      <c r="N1740" s="4" t="s">
        <v>825</v>
      </c>
      <c r="O1740" s="4">
        <f>VLOOKUP(B1740, 'All Menu'!B:L, 6, 0)</f>
        <v>3.4482758620689657</v>
      </c>
      <c r="P1740" s="6">
        <f>VLOOKUP(B1740, 'All Menu'!B:L, 9, 0)</f>
        <v>1.8495930637631333</v>
      </c>
      <c r="Q1740" s="14">
        <f>VLOOKUP(B1740, 'All Menu'!B:M, 12, 0)</f>
        <v>0.46361801150869136</v>
      </c>
      <c r="R1740" s="173">
        <f t="shared" si="90"/>
        <v>0</v>
      </c>
    </row>
    <row r="1741" spans="1:18" ht="14" hidden="1">
      <c r="A1741" s="78" t="s">
        <v>2735</v>
      </c>
      <c r="B1741" s="220" t="s">
        <v>1225</v>
      </c>
      <c r="C1741" s="185"/>
      <c r="D1741" s="30" t="str">
        <f>VLOOKUP(B1741, 'All Menu'!B:M, 4, 0)</f>
        <v>وجبة مفتول فردية</v>
      </c>
      <c r="E1741" s="30" t="str">
        <f>VLOOKUP(B1741, 'All Menu'!B:M, 2, 0)</f>
        <v>قسم اللاين</v>
      </c>
      <c r="F1741" s="103" t="str">
        <f>VLOOKUP(B1741, 'All Menu'!B:M, 3, 0)</f>
        <v>الوجبات اليومية سفري2</v>
      </c>
      <c r="G1741" s="90" t="s">
        <v>3058</v>
      </c>
      <c r="H1741" s="188">
        <v>4280</v>
      </c>
      <c r="I1741" s="110" t="str">
        <f>VLOOKUP(H1741, 'RM &amp; SF'!B:H, 2, 0)</f>
        <v>علب ميكرويف مدورة اسود 500 مل RC2*****</v>
      </c>
      <c r="J1741" s="184" t="str">
        <f>VLOOKUP(H1741, 'RM &amp; SF'!B:E, 4, 0)</f>
        <v>قطعة</v>
      </c>
      <c r="K1741" s="12">
        <v>1</v>
      </c>
      <c r="L1741" s="13">
        <f>VLOOKUP(H1741, 'RM &amp; SF'!B:H, 7, 0)</f>
        <v>0.125</v>
      </c>
      <c r="M1741" s="7">
        <f t="shared" si="89"/>
        <v>0.125</v>
      </c>
      <c r="N1741" s="4" t="s">
        <v>825</v>
      </c>
      <c r="O1741" s="4">
        <f>VLOOKUP(B1741, 'All Menu'!B:L, 6, 0)</f>
        <v>3.4482758620689657</v>
      </c>
      <c r="P1741" s="6">
        <f>VLOOKUP(B1741, 'All Menu'!B:L, 9, 0)</f>
        <v>1.8495930637631333</v>
      </c>
      <c r="Q1741" s="14">
        <f>VLOOKUP(B1741, 'All Menu'!B:M, 12, 0)</f>
        <v>0.46361801150869136</v>
      </c>
      <c r="R1741" s="173">
        <f t="shared" si="90"/>
        <v>0</v>
      </c>
    </row>
    <row r="1742" spans="1:18" ht="14" hidden="1">
      <c r="A1742" s="78" t="s">
        <v>2739</v>
      </c>
      <c r="B1742" s="220" t="s">
        <v>1226</v>
      </c>
      <c r="C1742" s="185"/>
      <c r="D1742" s="30" t="str">
        <f>VLOOKUP(B1742, 'All Menu'!B:M, 4, 0)</f>
        <v>رقبة محشية</v>
      </c>
      <c r="E1742" s="30" t="str">
        <f>VLOOKUP(B1742, 'All Menu'!B:M, 2, 0)</f>
        <v>قسم اللاين</v>
      </c>
      <c r="F1742" s="103" t="str">
        <f>VLOOKUP(B1742, 'All Menu'!B:M, 3, 0)</f>
        <v>الوجبات اليومية سفري2</v>
      </c>
      <c r="G1742" s="90" t="s">
        <v>2361</v>
      </c>
      <c r="H1742" s="219" t="s">
        <v>754</v>
      </c>
      <c r="I1742" s="110" t="str">
        <f>VLOOKUP(H1742, 'RM &amp; SF'!B:H, 2, 0)</f>
        <v>رقبة محشية ارز</v>
      </c>
      <c r="J1742" s="184" t="str">
        <f>VLOOKUP(H1742, 'RM &amp; SF'!B:E, 4, 0)</f>
        <v>قطعة</v>
      </c>
      <c r="K1742" s="12">
        <v>1</v>
      </c>
      <c r="L1742" s="13">
        <f>VLOOKUP(H1742, 'RM &amp; SF'!B:H, 7, 0)</f>
        <v>8.3318833087257165</v>
      </c>
      <c r="M1742" s="7">
        <f t="shared" si="89"/>
        <v>8.3318833087257165</v>
      </c>
      <c r="N1742" s="4" t="s">
        <v>825</v>
      </c>
      <c r="O1742" s="4">
        <f>VLOOKUP(B1742, 'All Menu'!B:L, 6, 0)</f>
        <v>12.931034482758621</v>
      </c>
      <c r="P1742" s="6">
        <f>VLOOKUP(B1742, 'All Menu'!B:L, 9, 0)</f>
        <v>9.0042398265418075</v>
      </c>
      <c r="Q1742" s="14">
        <f>VLOOKUP(B1742, 'All Menu'!B:M, 12, 0)</f>
        <v>0.30367212008076688</v>
      </c>
      <c r="R1742" s="173">
        <f t="shared" si="90"/>
        <v>0</v>
      </c>
    </row>
    <row r="1743" spans="1:18" ht="14" hidden="1">
      <c r="A1743" s="78" t="s">
        <v>2739</v>
      </c>
      <c r="B1743" s="220" t="s">
        <v>1226</v>
      </c>
      <c r="C1743" s="185"/>
      <c r="D1743" s="30" t="str">
        <f>VLOOKUP(B1743, 'All Menu'!B:M, 4, 0)</f>
        <v>رقبة محشية</v>
      </c>
      <c r="E1743" s="30" t="str">
        <f>VLOOKUP(B1743, 'All Menu'!B:M, 2, 0)</f>
        <v>قسم اللاين</v>
      </c>
      <c r="F1743" s="103" t="str">
        <f>VLOOKUP(B1743, 'All Menu'!B:M, 3, 0)</f>
        <v>الوجبات اليومية سفري2</v>
      </c>
      <c r="G1743" s="90" t="s">
        <v>2377</v>
      </c>
      <c r="H1743" s="219" t="s">
        <v>796</v>
      </c>
      <c r="I1743" s="110" t="str">
        <f>VLOOKUP(H1743, 'RM &amp; SF'!B:H, 2, 0)</f>
        <v>رز مبهر</v>
      </c>
      <c r="J1743" s="184" t="str">
        <f>VLOOKUP(H1743, 'RM &amp; SF'!B:E, 4, 0)</f>
        <v>غم</v>
      </c>
      <c r="K1743" s="12">
        <v>200</v>
      </c>
      <c r="L1743" s="13">
        <f>VLOOKUP(H1743, 'RM &amp; SF'!B:H, 7, 0)</f>
        <v>8.1314491666666653E-4</v>
      </c>
      <c r="M1743" s="7">
        <f t="shared" si="89"/>
        <v>0.16262898333333331</v>
      </c>
      <c r="N1743" s="4" t="s">
        <v>825</v>
      </c>
      <c r="O1743" s="4">
        <f>VLOOKUP(B1743, 'All Menu'!B:L, 6, 0)</f>
        <v>12.931034482758621</v>
      </c>
      <c r="P1743" s="6">
        <f>VLOOKUP(B1743, 'All Menu'!B:L, 9, 0)</f>
        <v>9.0042398265418075</v>
      </c>
      <c r="Q1743" s="14">
        <f>VLOOKUP(B1743, 'All Menu'!B:M, 12, 0)</f>
        <v>0.30367212008076688</v>
      </c>
      <c r="R1743" s="173">
        <f t="shared" si="90"/>
        <v>0</v>
      </c>
    </row>
    <row r="1744" spans="1:18" ht="14" hidden="1">
      <c r="A1744" s="78" t="s">
        <v>2739</v>
      </c>
      <c r="B1744" s="220" t="s">
        <v>1226</v>
      </c>
      <c r="C1744" s="185"/>
      <c r="D1744" s="30" t="str">
        <f>VLOOKUP(B1744, 'All Menu'!B:M, 4, 0)</f>
        <v>رقبة محشية</v>
      </c>
      <c r="E1744" s="30" t="str">
        <f>VLOOKUP(B1744, 'All Menu'!B:M, 2, 0)</f>
        <v>قسم اللاين</v>
      </c>
      <c r="F1744" s="103" t="str">
        <f>VLOOKUP(B1744, 'All Menu'!B:M, 3, 0)</f>
        <v>الوجبات اليومية سفري2</v>
      </c>
      <c r="G1744" s="90" t="s">
        <v>2341</v>
      </c>
      <c r="H1744" s="219" t="s">
        <v>706</v>
      </c>
      <c r="I1744" s="110" t="str">
        <f>VLOOKUP(H1744, 'RM &amp; SF'!B:H, 2, 0)</f>
        <v>لوز مقلي</v>
      </c>
      <c r="J1744" s="184" t="str">
        <f>VLOOKUP(H1744, 'RM &amp; SF'!B:E, 4, 0)</f>
        <v>غم</v>
      </c>
      <c r="K1744" s="12">
        <v>30</v>
      </c>
      <c r="L1744" s="13">
        <f>VLOOKUP(H1744, 'RM &amp; SF'!B:H, 7, 0)</f>
        <v>4.1352327586206888E-3</v>
      </c>
      <c r="M1744" s="7">
        <f t="shared" si="89"/>
        <v>0.12405698275862066</v>
      </c>
      <c r="N1744" s="4" t="s">
        <v>825</v>
      </c>
      <c r="O1744" s="4">
        <f>VLOOKUP(B1744, 'All Menu'!B:L, 6, 0)</f>
        <v>12.931034482758621</v>
      </c>
      <c r="P1744" s="6">
        <f>VLOOKUP(B1744, 'All Menu'!B:L, 9, 0)</f>
        <v>9.0042398265418075</v>
      </c>
      <c r="Q1744" s="14">
        <f>VLOOKUP(B1744, 'All Menu'!B:M, 12, 0)</f>
        <v>0.30367212008076688</v>
      </c>
      <c r="R1744" s="173">
        <f t="shared" si="90"/>
        <v>0</v>
      </c>
    </row>
    <row r="1745" spans="1:18" ht="14" hidden="1">
      <c r="A1745" s="78" t="s">
        <v>2739</v>
      </c>
      <c r="B1745" s="220" t="s">
        <v>1226</v>
      </c>
      <c r="C1745" s="185"/>
      <c r="D1745" s="30" t="str">
        <f>VLOOKUP(B1745, 'All Menu'!B:M, 4, 0)</f>
        <v>رقبة محشية</v>
      </c>
      <c r="E1745" s="30" t="str">
        <f>VLOOKUP(B1745, 'All Menu'!B:M, 2, 0)</f>
        <v>قسم اللاين</v>
      </c>
      <c r="F1745" s="103" t="str">
        <f>VLOOKUP(B1745, 'All Menu'!B:M, 3, 0)</f>
        <v>الوجبات اليومية سفري2</v>
      </c>
      <c r="G1745" s="90" t="s">
        <v>2185</v>
      </c>
      <c r="H1745" s="188">
        <v>4550</v>
      </c>
      <c r="I1745" s="110" t="str">
        <f>VLOOKUP(H1745, 'RM &amp; SF'!B:H, 2, 0)</f>
        <v>*****لبن زبادي 150 غم</v>
      </c>
      <c r="J1745" s="184" t="str">
        <f>VLOOKUP(H1745, 'RM &amp; SF'!B:E, 4, 0)</f>
        <v>قطعة</v>
      </c>
      <c r="K1745" s="12">
        <v>1</v>
      </c>
      <c r="L1745" s="13">
        <f>VLOOKUP(H1745, 'RM &amp; SF'!B:H, 7, 0)</f>
        <v>0.16</v>
      </c>
      <c r="M1745" s="7">
        <f t="shared" si="89"/>
        <v>0.16</v>
      </c>
      <c r="N1745" s="4" t="s">
        <v>825</v>
      </c>
      <c r="O1745" s="4">
        <f>VLOOKUP(B1745, 'All Menu'!B:L, 6, 0)</f>
        <v>12.931034482758621</v>
      </c>
      <c r="P1745" s="6">
        <f>VLOOKUP(B1745, 'All Menu'!B:L, 9, 0)</f>
        <v>9.0042398265418075</v>
      </c>
      <c r="Q1745" s="14">
        <f>VLOOKUP(B1745, 'All Menu'!B:M, 12, 0)</f>
        <v>0.30367212008076688</v>
      </c>
      <c r="R1745" s="173">
        <f t="shared" si="90"/>
        <v>0</v>
      </c>
    </row>
    <row r="1746" spans="1:18" ht="14" hidden="1">
      <c r="A1746" s="78" t="s">
        <v>2739</v>
      </c>
      <c r="B1746" s="220" t="s">
        <v>1226</v>
      </c>
      <c r="C1746" s="185"/>
      <c r="D1746" s="30" t="str">
        <f>VLOOKUP(B1746, 'All Menu'!B:M, 4, 0)</f>
        <v>رقبة محشية</v>
      </c>
      <c r="E1746" s="30" t="str">
        <f>VLOOKUP(B1746, 'All Menu'!B:M, 2, 0)</f>
        <v>قسم اللاين</v>
      </c>
      <c r="F1746" s="103" t="str">
        <f>VLOOKUP(B1746, 'All Menu'!B:M, 3, 0)</f>
        <v>الوجبات اليومية سفري2</v>
      </c>
      <c r="G1746" s="90" t="s">
        <v>2190</v>
      </c>
      <c r="H1746" s="188">
        <v>4279</v>
      </c>
      <c r="I1746" s="110" t="str">
        <f>VLOOKUP(H1746, 'RM &amp; SF'!B:H, 2, 0)</f>
        <v>علب ميكرويف مستطيل اسود مفرغة (احادي)*****</v>
      </c>
      <c r="J1746" s="184" t="str">
        <f>VLOOKUP(H1746, 'RM &amp; SF'!B:E, 4, 0)</f>
        <v>قطعة</v>
      </c>
      <c r="K1746" s="12">
        <v>1</v>
      </c>
      <c r="L1746" s="13">
        <f>VLOOKUP(H1746, 'RM &amp; SF'!B:H, 7, 0)</f>
        <v>9.4799999999999995E-2</v>
      </c>
      <c r="M1746" s="7">
        <f t="shared" si="89"/>
        <v>9.4799999999999995E-2</v>
      </c>
      <c r="N1746" s="4" t="s">
        <v>825</v>
      </c>
      <c r="O1746" s="4">
        <f>VLOOKUP(B1746, 'All Menu'!B:L, 6, 0)</f>
        <v>12.931034482758621</v>
      </c>
      <c r="P1746" s="6">
        <f>VLOOKUP(B1746, 'All Menu'!B:L, 9, 0)</f>
        <v>9.0042398265418075</v>
      </c>
      <c r="Q1746" s="14">
        <f>VLOOKUP(B1746, 'All Menu'!B:M, 12, 0)</f>
        <v>0.30367212008076688</v>
      </c>
      <c r="R1746" s="173">
        <f t="shared" si="90"/>
        <v>0</v>
      </c>
    </row>
    <row r="1747" spans="1:18" ht="14" hidden="1">
      <c r="A1747" s="78" t="s">
        <v>2739</v>
      </c>
      <c r="B1747" s="220" t="s">
        <v>1226</v>
      </c>
      <c r="C1747" s="185"/>
      <c r="D1747" s="30" t="str">
        <f>VLOOKUP(B1747, 'All Menu'!B:M, 4, 0)</f>
        <v>رقبة محشية</v>
      </c>
      <c r="E1747" s="30" t="str">
        <f>VLOOKUP(B1747, 'All Menu'!B:M, 2, 0)</f>
        <v>قسم اللاين</v>
      </c>
      <c r="F1747" s="103" t="str">
        <f>VLOOKUP(B1747, 'All Menu'!B:M, 3, 0)</f>
        <v>الوجبات اليومية سفري2</v>
      </c>
      <c r="G1747" s="90" t="s">
        <v>2193</v>
      </c>
      <c r="H1747" s="188">
        <v>4309</v>
      </c>
      <c r="I1747" s="110" t="str">
        <f>VLOOKUP(H1747, 'RM &amp; SF'!B:H, 2, 0)</f>
        <v>اكياس بلاستيك مطبوع 55 سم*****</v>
      </c>
      <c r="J1747" s="184" t="str">
        <f>VLOOKUP(H1747, 'RM &amp; SF'!B:E, 4, 0)</f>
        <v>قطعة</v>
      </c>
      <c r="K1747" s="12">
        <v>1</v>
      </c>
      <c r="L1747" s="13">
        <f>VLOOKUP(H1747, 'RM &amp; SF'!B:H, 7, 0)</f>
        <v>5.5172413793103454E-2</v>
      </c>
      <c r="M1747" s="7">
        <f t="shared" si="89"/>
        <v>5.5172413793103454E-2</v>
      </c>
      <c r="N1747" s="4" t="s">
        <v>825</v>
      </c>
      <c r="O1747" s="4">
        <f>VLOOKUP(B1747, 'All Menu'!B:L, 6, 0)</f>
        <v>12.931034482758621</v>
      </c>
      <c r="P1747" s="6">
        <f>VLOOKUP(B1747, 'All Menu'!B:L, 9, 0)</f>
        <v>9.0042398265418075</v>
      </c>
      <c r="Q1747" s="14">
        <f>VLOOKUP(B1747, 'All Menu'!B:M, 12, 0)</f>
        <v>0.30367212008076688</v>
      </c>
      <c r="R1747" s="173">
        <f t="shared" si="90"/>
        <v>0</v>
      </c>
    </row>
    <row r="1748" spans="1:18" ht="14" hidden="1">
      <c r="A1748" s="78" t="s">
        <v>2739</v>
      </c>
      <c r="B1748" s="220" t="s">
        <v>1226</v>
      </c>
      <c r="C1748" s="185"/>
      <c r="D1748" s="30" t="str">
        <f>VLOOKUP(B1748, 'All Menu'!B:M, 4, 0)</f>
        <v>رقبة محشية</v>
      </c>
      <c r="E1748" s="30" t="str">
        <f>VLOOKUP(B1748, 'All Menu'!B:M, 2, 0)</f>
        <v>قسم اللاين</v>
      </c>
      <c r="F1748" s="103" t="str">
        <f>VLOOKUP(B1748, 'All Menu'!B:M, 3, 0)</f>
        <v>الوجبات اليومية سفري2</v>
      </c>
      <c r="G1748" s="90" t="s">
        <v>3058</v>
      </c>
      <c r="H1748" s="188">
        <v>4266</v>
      </c>
      <c r="I1748" s="110" t="str">
        <f>VLOOKUP(H1748, 'RM &amp; SF'!B:H, 2, 0)</f>
        <v>اساور علب وجبات مطبوع 1*50 حبة*****</v>
      </c>
      <c r="J1748" s="184" t="str">
        <f>VLOOKUP(H1748, 'RM &amp; SF'!B:E, 4, 0)</f>
        <v>قطعة</v>
      </c>
      <c r="K1748" s="12">
        <v>1</v>
      </c>
      <c r="L1748" s="13">
        <f>VLOOKUP(H1748, 'RM &amp; SF'!B:H, 7, 0)</f>
        <v>6.3224137931034485E-2</v>
      </c>
      <c r="M1748" s="7">
        <f t="shared" si="89"/>
        <v>6.3224137931034485E-2</v>
      </c>
      <c r="N1748" s="4" t="s">
        <v>825</v>
      </c>
      <c r="O1748" s="4">
        <f>VLOOKUP(B1748, 'All Menu'!B:L, 6, 0)</f>
        <v>12.931034482758621</v>
      </c>
      <c r="P1748" s="6">
        <f>VLOOKUP(B1748, 'All Menu'!B:L, 9, 0)</f>
        <v>9.0042398265418075</v>
      </c>
      <c r="Q1748" s="14">
        <f>VLOOKUP(B1748, 'All Menu'!B:M, 12, 0)</f>
        <v>0.30367212008076688</v>
      </c>
      <c r="R1748" s="173">
        <f t="shared" si="90"/>
        <v>0</v>
      </c>
    </row>
    <row r="1749" spans="1:18" ht="14" hidden="1">
      <c r="A1749" s="78" t="s">
        <v>2739</v>
      </c>
      <c r="B1749" s="220" t="s">
        <v>1226</v>
      </c>
      <c r="C1749" s="185"/>
      <c r="D1749" s="30" t="str">
        <f>VLOOKUP(B1749, 'All Menu'!B:M, 4, 0)</f>
        <v>رقبة محشية</v>
      </c>
      <c r="E1749" s="30" t="str">
        <f>VLOOKUP(B1749, 'All Menu'!B:M, 2, 0)</f>
        <v>قسم اللاين</v>
      </c>
      <c r="F1749" s="103" t="str">
        <f>VLOOKUP(B1749, 'All Menu'!B:M, 3, 0)</f>
        <v>الوجبات اليومية سفري2</v>
      </c>
      <c r="G1749" s="90" t="s">
        <v>2195</v>
      </c>
      <c r="H1749" s="188">
        <v>4329</v>
      </c>
      <c r="I1749" s="110" t="str">
        <f>VLOOKUP(H1749, 'RM &amp; SF'!B:H, 2, 0)</f>
        <v>ملاعق بلاستيك مع معقم مطبوع 1*500 حبة*****</v>
      </c>
      <c r="J1749" s="184" t="str">
        <f>VLOOKUP(H1749, 'RM &amp; SF'!B:E, 4, 0)</f>
        <v>قطعة</v>
      </c>
      <c r="K1749" s="12">
        <v>1</v>
      </c>
      <c r="L1749" s="13">
        <f>VLOOKUP(H1749, 'RM &amp; SF'!B:H, 7, 0)</f>
        <v>4.7399999999999997E-4</v>
      </c>
      <c r="M1749" s="7">
        <f t="shared" si="89"/>
        <v>4.7399999999999997E-4</v>
      </c>
      <c r="N1749" s="4" t="s">
        <v>825</v>
      </c>
      <c r="O1749" s="4">
        <f>VLOOKUP(B1749, 'All Menu'!B:L, 6, 0)</f>
        <v>12.931034482758621</v>
      </c>
      <c r="P1749" s="6">
        <f>VLOOKUP(B1749, 'All Menu'!B:L, 9, 0)</f>
        <v>9.0042398265418075</v>
      </c>
      <c r="Q1749" s="14">
        <f>VLOOKUP(B1749, 'All Menu'!B:M, 12, 0)</f>
        <v>0.30367212008076688</v>
      </c>
      <c r="R1749" s="173">
        <f t="shared" si="90"/>
        <v>0</v>
      </c>
    </row>
    <row r="1750" spans="1:18" ht="14" hidden="1">
      <c r="A1750" s="78" t="s">
        <v>2739</v>
      </c>
      <c r="B1750" s="220" t="s">
        <v>1226</v>
      </c>
      <c r="C1750" s="185"/>
      <c r="D1750" s="30" t="str">
        <f>VLOOKUP(B1750, 'All Menu'!B:M, 4, 0)</f>
        <v>رقبة محشية</v>
      </c>
      <c r="E1750" s="30" t="str">
        <f>VLOOKUP(B1750, 'All Menu'!B:M, 2, 0)</f>
        <v>قسم اللاين</v>
      </c>
      <c r="F1750" s="103" t="str">
        <f>VLOOKUP(B1750, 'All Menu'!B:M, 3, 0)</f>
        <v>الوجبات اليومية سفري2</v>
      </c>
      <c r="G1750" s="90" t="s">
        <v>3058</v>
      </c>
      <c r="H1750" s="188">
        <v>4289</v>
      </c>
      <c r="I1750" s="110" t="str">
        <f>VLOOKUP(H1750, 'RM &amp; SF'!B:H, 2, 0)</f>
        <v>علب صوص دائري منفصل أسود 30 مل 1*100 حبة*****</v>
      </c>
      <c r="J1750" s="184" t="str">
        <f>VLOOKUP(H1750, 'RM &amp; SF'!B:E, 4, 0)</f>
        <v>قطعة</v>
      </c>
      <c r="K1750" s="12">
        <v>1</v>
      </c>
      <c r="L1750" s="13">
        <f>VLOOKUP(H1750, 'RM &amp; SF'!B:H, 7, 0)</f>
        <v>1.2E-2</v>
      </c>
      <c r="M1750" s="7">
        <f t="shared" si="89"/>
        <v>1.2E-2</v>
      </c>
      <c r="N1750" s="4" t="s">
        <v>825</v>
      </c>
      <c r="O1750" s="4">
        <f>VLOOKUP(B1750, 'All Menu'!B:L, 6, 0)</f>
        <v>12.931034482758621</v>
      </c>
      <c r="P1750" s="6">
        <f>VLOOKUP(B1750, 'All Menu'!B:L, 9, 0)</f>
        <v>9.0042398265418075</v>
      </c>
      <c r="Q1750" s="14">
        <f>VLOOKUP(B1750, 'All Menu'!B:M, 12, 0)</f>
        <v>0.30367212008076688</v>
      </c>
      <c r="R1750" s="173">
        <f t="shared" si="90"/>
        <v>0</v>
      </c>
    </row>
    <row r="1751" spans="1:18" ht="14" hidden="1">
      <c r="A1751" s="78" t="s">
        <v>2740</v>
      </c>
      <c r="B1751" s="220" t="s">
        <v>1227</v>
      </c>
      <c r="C1751" s="185"/>
      <c r="D1751" s="30" t="str">
        <f>VLOOKUP(B1751, 'All Menu'!B:M, 4, 0)</f>
        <v>رقبة مع كوسا ودوالي</v>
      </c>
      <c r="E1751" s="30" t="str">
        <f>VLOOKUP(B1751, 'All Menu'!B:M, 2, 0)</f>
        <v>قسم اللاين</v>
      </c>
      <c r="F1751" s="103" t="str">
        <f>VLOOKUP(B1751, 'All Menu'!B:M, 3, 0)</f>
        <v>الوجبات اليومية سفري2</v>
      </c>
      <c r="G1751" s="90" t="s">
        <v>2361</v>
      </c>
      <c r="H1751" s="219" t="s">
        <v>754</v>
      </c>
      <c r="I1751" s="110" t="str">
        <f>VLOOKUP(H1751, 'RM &amp; SF'!B:H, 2, 0)</f>
        <v>رقبة محشية ارز</v>
      </c>
      <c r="J1751" s="184" t="str">
        <f>VLOOKUP(H1751, 'RM &amp; SF'!B:E, 4, 0)</f>
        <v>قطعة</v>
      </c>
      <c r="K1751" s="12">
        <v>1</v>
      </c>
      <c r="L1751" s="13">
        <f>VLOOKUP(H1751, 'RM &amp; SF'!B:H, 7, 0)</f>
        <v>8.3318833087257165</v>
      </c>
      <c r="M1751" s="7">
        <f t="shared" si="89"/>
        <v>8.3318833087257165</v>
      </c>
      <c r="N1751" s="4" t="s">
        <v>825</v>
      </c>
      <c r="O1751" s="4">
        <f>VLOOKUP(B1751, 'All Menu'!B:L, 6, 0)</f>
        <v>15.517241379310345</v>
      </c>
      <c r="P1751" s="6">
        <f>VLOOKUP(B1751, 'All Menu'!B:L, 9, 0)</f>
        <v>11.170181931590943</v>
      </c>
      <c r="Q1751" s="14">
        <f>VLOOKUP(B1751, 'All Menu'!B:M, 12, 0)</f>
        <v>0.28014383107525037</v>
      </c>
      <c r="R1751" s="173">
        <f t="shared" si="90"/>
        <v>0</v>
      </c>
    </row>
    <row r="1752" spans="1:18" ht="14" hidden="1">
      <c r="A1752" s="78" t="s">
        <v>2740</v>
      </c>
      <c r="B1752" s="220" t="s">
        <v>1227</v>
      </c>
      <c r="C1752" s="185"/>
      <c r="D1752" s="30" t="str">
        <f>VLOOKUP(B1752, 'All Menu'!B:M, 4, 0)</f>
        <v>رقبة مع كوسا ودوالي</v>
      </c>
      <c r="E1752" s="30" t="str">
        <f>VLOOKUP(B1752, 'All Menu'!B:M, 2, 0)</f>
        <v>قسم اللاين</v>
      </c>
      <c r="F1752" s="103" t="str">
        <f>VLOOKUP(B1752, 'All Menu'!B:M, 3, 0)</f>
        <v>الوجبات اليومية سفري2</v>
      </c>
      <c r="G1752" s="90" t="s">
        <v>2377</v>
      </c>
      <c r="H1752" s="219" t="s">
        <v>796</v>
      </c>
      <c r="I1752" s="110" t="str">
        <f>VLOOKUP(H1752, 'RM &amp; SF'!B:H, 2, 0)</f>
        <v>رز مبهر</v>
      </c>
      <c r="J1752" s="184" t="str">
        <f>VLOOKUP(H1752, 'RM &amp; SF'!B:E, 4, 0)</f>
        <v>غم</v>
      </c>
      <c r="K1752" s="12">
        <v>200</v>
      </c>
      <c r="L1752" s="13">
        <f>VLOOKUP(H1752, 'RM &amp; SF'!B:H, 7, 0)</f>
        <v>8.1314491666666653E-4</v>
      </c>
      <c r="M1752" s="7">
        <f t="shared" ref="M1752:M1802" si="92">L1752*K1752</f>
        <v>0.16262898333333331</v>
      </c>
      <c r="N1752" s="4" t="s">
        <v>825</v>
      </c>
      <c r="O1752" s="4">
        <f>VLOOKUP(B1752, 'All Menu'!B:L, 6, 0)</f>
        <v>15.517241379310345</v>
      </c>
      <c r="P1752" s="6">
        <f>VLOOKUP(B1752, 'All Menu'!B:L, 9, 0)</f>
        <v>11.170181931590943</v>
      </c>
      <c r="Q1752" s="14">
        <f>VLOOKUP(B1752, 'All Menu'!B:M, 12, 0)</f>
        <v>0.28014383107525037</v>
      </c>
      <c r="R1752" s="173">
        <f t="shared" si="90"/>
        <v>0</v>
      </c>
    </row>
    <row r="1753" spans="1:18" ht="14" hidden="1">
      <c r="A1753" s="78" t="s">
        <v>2740</v>
      </c>
      <c r="B1753" s="220" t="s">
        <v>1227</v>
      </c>
      <c r="C1753" s="185"/>
      <c r="D1753" s="30" t="str">
        <f>VLOOKUP(B1753, 'All Menu'!B:M, 4, 0)</f>
        <v>رقبة مع كوسا ودوالي</v>
      </c>
      <c r="E1753" s="30" t="str">
        <f>VLOOKUP(B1753, 'All Menu'!B:M, 2, 0)</f>
        <v>قسم اللاين</v>
      </c>
      <c r="F1753" s="103" t="str">
        <f>VLOOKUP(B1753, 'All Menu'!B:M, 3, 0)</f>
        <v>الوجبات اليومية سفري2</v>
      </c>
      <c r="G1753" s="90" t="s">
        <v>2435</v>
      </c>
      <c r="H1753" s="219" t="s">
        <v>690</v>
      </c>
      <c r="I1753" s="110" t="str">
        <f>VLOOKUP(H1753, 'RM &amp; SF'!B:H, 2, 0)</f>
        <v>كوسا محشي بالحبة</v>
      </c>
      <c r="J1753" s="184" t="str">
        <f>VLOOKUP(H1753, 'RM &amp; SF'!B:E, 4, 0)</f>
        <v>قطعة</v>
      </c>
      <c r="K1753" s="12">
        <v>4</v>
      </c>
      <c r="L1753" s="13">
        <f>VLOOKUP(H1753, 'RM &amp; SF'!B:H, 7, 0)</f>
        <v>0.20580553846153843</v>
      </c>
      <c r="M1753" s="7">
        <f t="shared" si="92"/>
        <v>0.82322215384615371</v>
      </c>
      <c r="N1753" s="4" t="s">
        <v>825</v>
      </c>
      <c r="O1753" s="4">
        <f>VLOOKUP(B1753, 'All Menu'!B:L, 6, 0)</f>
        <v>15.517241379310345</v>
      </c>
      <c r="P1753" s="6">
        <f>VLOOKUP(B1753, 'All Menu'!B:L, 9, 0)</f>
        <v>11.170181931590943</v>
      </c>
      <c r="Q1753" s="14">
        <f>VLOOKUP(B1753, 'All Menu'!B:M, 12, 0)</f>
        <v>0.28014383107525037</v>
      </c>
      <c r="R1753" s="173">
        <f t="shared" si="90"/>
        <v>0</v>
      </c>
    </row>
    <row r="1754" spans="1:18" ht="14" hidden="1">
      <c r="A1754" s="78" t="s">
        <v>2740</v>
      </c>
      <c r="B1754" s="220" t="s">
        <v>1227</v>
      </c>
      <c r="C1754" s="185"/>
      <c r="D1754" s="30" t="str">
        <f>VLOOKUP(B1754, 'All Menu'!B:M, 4, 0)</f>
        <v>رقبة مع كوسا ودوالي</v>
      </c>
      <c r="E1754" s="30" t="str">
        <f>VLOOKUP(B1754, 'All Menu'!B:M, 2, 0)</f>
        <v>قسم اللاين</v>
      </c>
      <c r="F1754" s="103" t="str">
        <f>VLOOKUP(B1754, 'All Menu'!B:M, 3, 0)</f>
        <v>الوجبات اليومية سفري2</v>
      </c>
      <c r="G1754" s="90" t="s">
        <v>2437</v>
      </c>
      <c r="H1754" s="219" t="s">
        <v>688</v>
      </c>
      <c r="I1754" s="110" t="str">
        <f>VLOOKUP(H1754, 'RM &amp; SF'!B:H, 2, 0)</f>
        <v>دوالي محشي</v>
      </c>
      <c r="J1754" s="184" t="str">
        <f>VLOOKUP(H1754, 'RM &amp; SF'!B:E, 4, 0)</f>
        <v>قطعة</v>
      </c>
      <c r="K1754" s="12">
        <v>20</v>
      </c>
      <c r="L1754" s="13">
        <f>VLOOKUP(H1754, 'RM &amp; SF'!B:H, 7, 0)</f>
        <v>6.7135997560149097E-2</v>
      </c>
      <c r="M1754" s="7">
        <f t="shared" si="92"/>
        <v>1.3427199512029819</v>
      </c>
      <c r="N1754" s="4" t="s">
        <v>825</v>
      </c>
      <c r="O1754" s="4">
        <f>VLOOKUP(B1754, 'All Menu'!B:L, 6, 0)</f>
        <v>15.517241379310345</v>
      </c>
      <c r="P1754" s="6">
        <f>VLOOKUP(B1754, 'All Menu'!B:L, 9, 0)</f>
        <v>11.170181931590943</v>
      </c>
      <c r="Q1754" s="14">
        <f>VLOOKUP(B1754, 'All Menu'!B:M, 12, 0)</f>
        <v>0.28014383107525037</v>
      </c>
      <c r="R1754" s="173">
        <f t="shared" si="90"/>
        <v>0</v>
      </c>
    </row>
    <row r="1755" spans="1:18" ht="14" hidden="1">
      <c r="A1755" s="78" t="s">
        <v>2740</v>
      </c>
      <c r="B1755" s="220" t="s">
        <v>1227</v>
      </c>
      <c r="C1755" s="185"/>
      <c r="D1755" s="30" t="str">
        <f>VLOOKUP(B1755, 'All Menu'!B:M, 4, 0)</f>
        <v>رقبة مع كوسا ودوالي</v>
      </c>
      <c r="E1755" s="30" t="str">
        <f>VLOOKUP(B1755, 'All Menu'!B:M, 2, 0)</f>
        <v>قسم اللاين</v>
      </c>
      <c r="F1755" s="103" t="str">
        <f>VLOOKUP(B1755, 'All Menu'!B:M, 3, 0)</f>
        <v>الوجبات اليومية سفري2</v>
      </c>
      <c r="G1755" s="90" t="s">
        <v>2341</v>
      </c>
      <c r="H1755" s="219" t="s">
        <v>706</v>
      </c>
      <c r="I1755" s="110" t="str">
        <f>VLOOKUP(H1755, 'RM &amp; SF'!B:H, 2, 0)</f>
        <v>لوز مقلي</v>
      </c>
      <c r="J1755" s="184" t="str">
        <f>VLOOKUP(H1755, 'RM &amp; SF'!B:E, 4, 0)</f>
        <v>غم</v>
      </c>
      <c r="K1755" s="12">
        <v>30</v>
      </c>
      <c r="L1755" s="13">
        <f>VLOOKUP(H1755, 'RM &amp; SF'!B:H, 7, 0)</f>
        <v>4.1352327586206888E-3</v>
      </c>
      <c r="M1755" s="7">
        <f t="shared" si="92"/>
        <v>0.12405698275862066</v>
      </c>
      <c r="N1755" s="4" t="s">
        <v>825</v>
      </c>
      <c r="O1755" s="4">
        <f>VLOOKUP(B1755, 'All Menu'!B:L, 6, 0)</f>
        <v>15.517241379310345</v>
      </c>
      <c r="P1755" s="6">
        <f>VLOOKUP(B1755, 'All Menu'!B:L, 9, 0)</f>
        <v>11.170181931590943</v>
      </c>
      <c r="Q1755" s="14">
        <f>VLOOKUP(B1755, 'All Menu'!B:M, 12, 0)</f>
        <v>0.28014383107525037</v>
      </c>
      <c r="R1755" s="173">
        <f t="shared" si="90"/>
        <v>0</v>
      </c>
    </row>
    <row r="1756" spans="1:18" ht="14" hidden="1">
      <c r="A1756" s="78" t="s">
        <v>2740</v>
      </c>
      <c r="B1756" s="220" t="s">
        <v>1227</v>
      </c>
      <c r="C1756" s="185"/>
      <c r="D1756" s="30" t="str">
        <f>VLOOKUP(B1756, 'All Menu'!B:M, 4, 0)</f>
        <v>رقبة مع كوسا ودوالي</v>
      </c>
      <c r="E1756" s="30" t="str">
        <f>VLOOKUP(B1756, 'All Menu'!B:M, 2, 0)</f>
        <v>قسم اللاين</v>
      </c>
      <c r="F1756" s="103" t="str">
        <f>VLOOKUP(B1756, 'All Menu'!B:M, 3, 0)</f>
        <v>الوجبات اليومية سفري2</v>
      </c>
      <c r="G1756" s="90" t="s">
        <v>2185</v>
      </c>
      <c r="H1756" s="188">
        <v>4550</v>
      </c>
      <c r="I1756" s="110" t="str">
        <f>VLOOKUP(H1756, 'RM &amp; SF'!B:H, 2, 0)</f>
        <v>*****لبن زبادي 150 غم</v>
      </c>
      <c r="J1756" s="184" t="str">
        <f>VLOOKUP(H1756, 'RM &amp; SF'!B:E, 4, 0)</f>
        <v>قطعة</v>
      </c>
      <c r="K1756" s="12">
        <v>1</v>
      </c>
      <c r="L1756" s="13">
        <f>VLOOKUP(H1756, 'RM &amp; SF'!B:H, 7, 0)</f>
        <v>0.16</v>
      </c>
      <c r="M1756" s="7">
        <f t="shared" si="92"/>
        <v>0.16</v>
      </c>
      <c r="N1756" s="4" t="s">
        <v>825</v>
      </c>
      <c r="O1756" s="4">
        <f>VLOOKUP(B1756, 'All Menu'!B:L, 6, 0)</f>
        <v>15.517241379310345</v>
      </c>
      <c r="P1756" s="6">
        <f>VLOOKUP(B1756, 'All Menu'!B:L, 9, 0)</f>
        <v>11.170181931590943</v>
      </c>
      <c r="Q1756" s="14">
        <f>VLOOKUP(B1756, 'All Menu'!B:M, 12, 0)</f>
        <v>0.28014383107525037</v>
      </c>
      <c r="R1756" s="173">
        <f t="shared" si="90"/>
        <v>0</v>
      </c>
    </row>
    <row r="1757" spans="1:18" ht="14" hidden="1">
      <c r="A1757" s="78" t="s">
        <v>2740</v>
      </c>
      <c r="B1757" s="220" t="s">
        <v>1227</v>
      </c>
      <c r="C1757" s="185"/>
      <c r="D1757" s="30" t="str">
        <f>VLOOKUP(B1757, 'All Menu'!B:M, 4, 0)</f>
        <v>رقبة مع كوسا ودوالي</v>
      </c>
      <c r="E1757" s="30" t="str">
        <f>VLOOKUP(B1757, 'All Menu'!B:M, 2, 0)</f>
        <v>قسم اللاين</v>
      </c>
      <c r="F1757" s="103" t="str">
        <f>VLOOKUP(B1757, 'All Menu'!B:M, 3, 0)</f>
        <v>الوجبات اليومية سفري2</v>
      </c>
      <c r="G1757" s="90" t="s">
        <v>2190</v>
      </c>
      <c r="H1757" s="188">
        <v>4279</v>
      </c>
      <c r="I1757" s="110" t="str">
        <f>VLOOKUP(H1757, 'RM &amp; SF'!B:H, 2, 0)</f>
        <v>علب ميكرويف مستطيل اسود مفرغة (احادي)*****</v>
      </c>
      <c r="J1757" s="184" t="str">
        <f>VLOOKUP(H1757, 'RM &amp; SF'!B:E, 4, 0)</f>
        <v>قطعة</v>
      </c>
      <c r="K1757" s="12">
        <v>1</v>
      </c>
      <c r="L1757" s="13">
        <f>VLOOKUP(H1757, 'RM &amp; SF'!B:H, 7, 0)</f>
        <v>9.4799999999999995E-2</v>
      </c>
      <c r="M1757" s="7">
        <f t="shared" si="92"/>
        <v>9.4799999999999995E-2</v>
      </c>
      <c r="N1757" s="4" t="s">
        <v>825</v>
      </c>
      <c r="O1757" s="4">
        <f>VLOOKUP(B1757, 'All Menu'!B:L, 6, 0)</f>
        <v>15.517241379310345</v>
      </c>
      <c r="P1757" s="6">
        <f>VLOOKUP(B1757, 'All Menu'!B:L, 9, 0)</f>
        <v>11.170181931590943</v>
      </c>
      <c r="Q1757" s="14">
        <f>VLOOKUP(B1757, 'All Menu'!B:M, 12, 0)</f>
        <v>0.28014383107525037</v>
      </c>
      <c r="R1757" s="173">
        <f t="shared" si="90"/>
        <v>0</v>
      </c>
    </row>
    <row r="1758" spans="1:18" ht="14" hidden="1">
      <c r="A1758" s="78" t="s">
        <v>2740</v>
      </c>
      <c r="B1758" s="220" t="s">
        <v>1227</v>
      </c>
      <c r="C1758" s="185"/>
      <c r="D1758" s="30" t="str">
        <f>VLOOKUP(B1758, 'All Menu'!B:M, 4, 0)</f>
        <v>رقبة مع كوسا ودوالي</v>
      </c>
      <c r="E1758" s="30" t="str">
        <f>VLOOKUP(B1758, 'All Menu'!B:M, 2, 0)</f>
        <v>قسم اللاين</v>
      </c>
      <c r="F1758" s="103" t="str">
        <f>VLOOKUP(B1758, 'All Menu'!B:M, 3, 0)</f>
        <v>الوجبات اليومية سفري2</v>
      </c>
      <c r="G1758" s="90" t="s">
        <v>2193</v>
      </c>
      <c r="H1758" s="188">
        <v>4309</v>
      </c>
      <c r="I1758" s="110" t="str">
        <f>VLOOKUP(H1758, 'RM &amp; SF'!B:H, 2, 0)</f>
        <v>اكياس بلاستيك مطبوع 55 سم*****</v>
      </c>
      <c r="J1758" s="184" t="str">
        <f>VLOOKUP(H1758, 'RM &amp; SF'!B:E, 4, 0)</f>
        <v>قطعة</v>
      </c>
      <c r="K1758" s="12">
        <v>1</v>
      </c>
      <c r="L1758" s="13">
        <f>VLOOKUP(H1758, 'RM &amp; SF'!B:H, 7, 0)</f>
        <v>5.5172413793103454E-2</v>
      </c>
      <c r="M1758" s="7">
        <f t="shared" si="92"/>
        <v>5.5172413793103454E-2</v>
      </c>
      <c r="N1758" s="4" t="s">
        <v>825</v>
      </c>
      <c r="O1758" s="4">
        <f>VLOOKUP(B1758, 'All Menu'!B:L, 6, 0)</f>
        <v>15.517241379310345</v>
      </c>
      <c r="P1758" s="6">
        <f>VLOOKUP(B1758, 'All Menu'!B:L, 9, 0)</f>
        <v>11.170181931590943</v>
      </c>
      <c r="Q1758" s="14">
        <f>VLOOKUP(B1758, 'All Menu'!B:M, 12, 0)</f>
        <v>0.28014383107525037</v>
      </c>
      <c r="R1758" s="173">
        <f t="shared" si="90"/>
        <v>0</v>
      </c>
    </row>
    <row r="1759" spans="1:18" ht="14" hidden="1">
      <c r="A1759" s="78" t="s">
        <v>2740</v>
      </c>
      <c r="B1759" s="220" t="s">
        <v>1227</v>
      </c>
      <c r="C1759" s="185"/>
      <c r="D1759" s="30" t="str">
        <f>VLOOKUP(B1759, 'All Menu'!B:M, 4, 0)</f>
        <v>رقبة مع كوسا ودوالي</v>
      </c>
      <c r="E1759" s="30" t="str">
        <f>VLOOKUP(B1759, 'All Menu'!B:M, 2, 0)</f>
        <v>قسم اللاين</v>
      </c>
      <c r="F1759" s="103" t="str">
        <f>VLOOKUP(B1759, 'All Menu'!B:M, 3, 0)</f>
        <v>الوجبات اليومية سفري2</v>
      </c>
      <c r="G1759" s="90" t="s">
        <v>3058</v>
      </c>
      <c r="H1759" s="188">
        <v>4266</v>
      </c>
      <c r="I1759" s="110" t="str">
        <f>VLOOKUP(H1759, 'RM &amp; SF'!B:H, 2, 0)</f>
        <v>اساور علب وجبات مطبوع 1*50 حبة*****</v>
      </c>
      <c r="J1759" s="184" t="str">
        <f>VLOOKUP(H1759, 'RM &amp; SF'!B:E, 4, 0)</f>
        <v>قطعة</v>
      </c>
      <c r="K1759" s="12">
        <v>1</v>
      </c>
      <c r="L1759" s="13">
        <f>VLOOKUP(H1759, 'RM &amp; SF'!B:H, 7, 0)</f>
        <v>6.3224137931034485E-2</v>
      </c>
      <c r="M1759" s="7">
        <f t="shared" si="92"/>
        <v>6.3224137931034485E-2</v>
      </c>
      <c r="N1759" s="4" t="s">
        <v>825</v>
      </c>
      <c r="O1759" s="4">
        <f>VLOOKUP(B1759, 'All Menu'!B:L, 6, 0)</f>
        <v>15.517241379310345</v>
      </c>
      <c r="P1759" s="6">
        <f>VLOOKUP(B1759, 'All Menu'!B:L, 9, 0)</f>
        <v>11.170181931590943</v>
      </c>
      <c r="Q1759" s="14">
        <f>VLOOKUP(B1759, 'All Menu'!B:M, 12, 0)</f>
        <v>0.28014383107525037</v>
      </c>
      <c r="R1759" s="173">
        <f t="shared" si="90"/>
        <v>0</v>
      </c>
    </row>
    <row r="1760" spans="1:18" ht="14" hidden="1">
      <c r="A1760" s="78" t="s">
        <v>2740</v>
      </c>
      <c r="B1760" s="220" t="s">
        <v>1227</v>
      </c>
      <c r="C1760" s="185"/>
      <c r="D1760" s="30" t="str">
        <f>VLOOKUP(B1760, 'All Menu'!B:M, 4, 0)</f>
        <v>رقبة مع كوسا ودوالي</v>
      </c>
      <c r="E1760" s="30" t="str">
        <f>VLOOKUP(B1760, 'All Menu'!B:M, 2, 0)</f>
        <v>قسم اللاين</v>
      </c>
      <c r="F1760" s="103" t="str">
        <f>VLOOKUP(B1760, 'All Menu'!B:M, 3, 0)</f>
        <v>الوجبات اليومية سفري2</v>
      </c>
      <c r="G1760" s="90" t="s">
        <v>2195</v>
      </c>
      <c r="H1760" s="188">
        <v>4329</v>
      </c>
      <c r="I1760" s="110" t="str">
        <f>VLOOKUP(H1760, 'RM &amp; SF'!B:H, 2, 0)</f>
        <v>ملاعق بلاستيك مع معقم مطبوع 1*500 حبة*****</v>
      </c>
      <c r="J1760" s="184" t="str">
        <f>VLOOKUP(H1760, 'RM &amp; SF'!B:E, 4, 0)</f>
        <v>قطعة</v>
      </c>
      <c r="K1760" s="12">
        <v>1</v>
      </c>
      <c r="L1760" s="13">
        <f>VLOOKUP(H1760, 'RM &amp; SF'!B:H, 7, 0)</f>
        <v>4.7399999999999997E-4</v>
      </c>
      <c r="M1760" s="7">
        <f t="shared" si="92"/>
        <v>4.7399999999999997E-4</v>
      </c>
      <c r="N1760" s="4" t="s">
        <v>825</v>
      </c>
      <c r="O1760" s="4">
        <f>VLOOKUP(B1760, 'All Menu'!B:L, 6, 0)</f>
        <v>15.517241379310345</v>
      </c>
      <c r="P1760" s="6">
        <f>VLOOKUP(B1760, 'All Menu'!B:L, 9, 0)</f>
        <v>11.170181931590943</v>
      </c>
      <c r="Q1760" s="14">
        <f>VLOOKUP(B1760, 'All Menu'!B:M, 12, 0)</f>
        <v>0.28014383107525037</v>
      </c>
      <c r="R1760" s="173">
        <f t="shared" si="90"/>
        <v>0</v>
      </c>
    </row>
    <row r="1761" spans="1:18" ht="14" hidden="1">
      <c r="A1761" s="78" t="s">
        <v>2740</v>
      </c>
      <c r="B1761" s="220" t="s">
        <v>1227</v>
      </c>
      <c r="C1761" s="185"/>
      <c r="D1761" s="30" t="str">
        <f>VLOOKUP(B1761, 'All Menu'!B:M, 4, 0)</f>
        <v>رقبة مع كوسا ودوالي</v>
      </c>
      <c r="E1761" s="30" t="str">
        <f>VLOOKUP(B1761, 'All Menu'!B:M, 2, 0)</f>
        <v>قسم اللاين</v>
      </c>
      <c r="F1761" s="103" t="str">
        <f>VLOOKUP(B1761, 'All Menu'!B:M, 3, 0)</f>
        <v>الوجبات اليومية سفري2</v>
      </c>
      <c r="G1761" s="90" t="s">
        <v>3058</v>
      </c>
      <c r="H1761" s="188">
        <v>4289</v>
      </c>
      <c r="I1761" s="110" t="str">
        <f>VLOOKUP(H1761, 'RM &amp; SF'!B:H, 2, 0)</f>
        <v>علب صوص دائري منفصل أسود 30 مل 1*100 حبة*****</v>
      </c>
      <c r="J1761" s="184" t="str">
        <f>VLOOKUP(H1761, 'RM &amp; SF'!B:E, 4, 0)</f>
        <v>قطعة</v>
      </c>
      <c r="K1761" s="12">
        <v>1</v>
      </c>
      <c r="L1761" s="13">
        <f>VLOOKUP(H1761, 'RM &amp; SF'!B:H, 7, 0)</f>
        <v>1.2E-2</v>
      </c>
      <c r="M1761" s="7">
        <f t="shared" si="92"/>
        <v>1.2E-2</v>
      </c>
      <c r="N1761" s="4" t="s">
        <v>825</v>
      </c>
      <c r="O1761" s="4">
        <f>VLOOKUP(B1761, 'All Menu'!B:L, 6, 0)</f>
        <v>15.517241379310345</v>
      </c>
      <c r="P1761" s="6">
        <f>VLOOKUP(B1761, 'All Menu'!B:L, 9, 0)</f>
        <v>11.170181931590943</v>
      </c>
      <c r="Q1761" s="14">
        <f>VLOOKUP(B1761, 'All Menu'!B:M, 12, 0)</f>
        <v>0.28014383107525037</v>
      </c>
      <c r="R1761" s="173">
        <f t="shared" si="90"/>
        <v>0</v>
      </c>
    </row>
    <row r="1762" spans="1:18" ht="14" hidden="1">
      <c r="A1762" s="78" t="s">
        <v>2738</v>
      </c>
      <c r="B1762" s="220" t="s">
        <v>1270</v>
      </c>
      <c r="C1762" s="185"/>
      <c r="D1762" s="103" t="str">
        <f>VLOOKUP(B1762, 'All Menu'!B:M, 4, 0)</f>
        <v>وجبة ارز ولحم</v>
      </c>
      <c r="E1762" s="30" t="str">
        <f>VLOOKUP(B1762, 'All Menu'!B:M, 2, 0)</f>
        <v>قسم اللاين</v>
      </c>
      <c r="F1762" s="103" t="str">
        <f>VLOOKUP(B1762, 'All Menu'!B:M, 3, 0)</f>
        <v>الوجبات اليومية سفري2</v>
      </c>
      <c r="G1762" s="90" t="s">
        <v>2377</v>
      </c>
      <c r="H1762" s="219" t="s">
        <v>796</v>
      </c>
      <c r="I1762" s="110" t="str">
        <f>VLOOKUP(H1762, 'RM &amp; SF'!B:H, 2, 0)</f>
        <v>رز مبهر</v>
      </c>
      <c r="J1762" s="184" t="str">
        <f>VLOOKUP(H1762, 'RM &amp; SF'!B:E, 4, 0)</f>
        <v>غم</v>
      </c>
      <c r="K1762" s="12">
        <v>500</v>
      </c>
      <c r="L1762" s="13">
        <f>VLOOKUP(H1762, 'RM &amp; SF'!B:H, 7, 0)</f>
        <v>8.1314491666666653E-4</v>
      </c>
      <c r="M1762" s="7">
        <f t="shared" si="92"/>
        <v>0.40657245833333328</v>
      </c>
      <c r="N1762" s="4" t="s">
        <v>825</v>
      </c>
      <c r="O1762" s="4">
        <f>VLOOKUP(B1762, 'All Menu'!B:L, 6, 0)</f>
        <v>6.8965517241379315</v>
      </c>
      <c r="P1762" s="6">
        <f>VLOOKUP(B1762, 'All Menu'!B:L, 9, 0)</f>
        <v>4.7272690639304891</v>
      </c>
      <c r="Q1762" s="14">
        <f>VLOOKUP(B1762, 'All Menu'!B:M, 12, 0)</f>
        <v>0.31454598573007914</v>
      </c>
      <c r="R1762" s="173">
        <f t="shared" ref="R1762:R1812" si="93">C1762*K1762</f>
        <v>0</v>
      </c>
    </row>
    <row r="1763" spans="1:18" ht="14" hidden="1">
      <c r="A1763" s="78" t="s">
        <v>2738</v>
      </c>
      <c r="B1763" s="220" t="s">
        <v>1270</v>
      </c>
      <c r="C1763" s="185"/>
      <c r="D1763" s="103" t="str">
        <f>VLOOKUP(B1763, 'All Menu'!B:M, 4, 0)</f>
        <v>وجبة ارز ولحم</v>
      </c>
      <c r="E1763" s="30" t="str">
        <f>VLOOKUP(B1763, 'All Menu'!B:M, 2, 0)</f>
        <v>قسم اللاين</v>
      </c>
      <c r="F1763" s="103" t="str">
        <f>VLOOKUP(B1763, 'All Menu'!B:M, 3, 0)</f>
        <v>الوجبات اليومية سفري2</v>
      </c>
      <c r="G1763" s="90" t="s">
        <v>3058</v>
      </c>
      <c r="H1763" s="188">
        <v>4608</v>
      </c>
      <c r="I1763" s="110" t="str">
        <f>VLOOKUP(H1763, 'RM &amp; SF'!B:H, 2, 0)</f>
        <v>لحمة قطع نية بالكيلو*****</v>
      </c>
      <c r="J1763" s="184" t="str">
        <f>VLOOKUP(H1763, 'RM &amp; SF'!B:E, 4, 0)</f>
        <v>غم</v>
      </c>
      <c r="K1763" s="12">
        <v>350</v>
      </c>
      <c r="L1763" s="13">
        <f>VLOOKUP(H1763, 'RM &amp; SF'!B:H, 7, 0)</f>
        <v>1.1615493158849017E-2</v>
      </c>
      <c r="M1763" s="7">
        <f t="shared" si="92"/>
        <v>4.0654226055971554</v>
      </c>
      <c r="N1763" s="4" t="s">
        <v>825</v>
      </c>
      <c r="O1763" s="4">
        <f>VLOOKUP(B1763, 'All Menu'!B:L, 6, 0)</f>
        <v>6.8965517241379315</v>
      </c>
      <c r="P1763" s="6">
        <f>VLOOKUP(B1763, 'All Menu'!B:L, 9, 0)</f>
        <v>4.7272690639304891</v>
      </c>
      <c r="Q1763" s="14">
        <f>VLOOKUP(B1763, 'All Menu'!B:M, 12, 0)</f>
        <v>0.31454598573007914</v>
      </c>
      <c r="R1763" s="173">
        <f t="shared" si="93"/>
        <v>0</v>
      </c>
    </row>
    <row r="1764" spans="1:18" ht="14" hidden="1">
      <c r="A1764" s="78" t="s">
        <v>2738</v>
      </c>
      <c r="B1764" s="220" t="s">
        <v>1270</v>
      </c>
      <c r="C1764" s="185"/>
      <c r="D1764" s="103" t="str">
        <f>VLOOKUP(B1764, 'All Menu'!B:M, 4, 0)</f>
        <v>وجبة ارز ولحم</v>
      </c>
      <c r="E1764" s="30" t="str">
        <f>VLOOKUP(B1764, 'All Menu'!B:M, 2, 0)</f>
        <v>قسم اللاين</v>
      </c>
      <c r="F1764" s="103" t="str">
        <f>VLOOKUP(B1764, 'All Menu'!B:M, 3, 0)</f>
        <v>الوجبات اليومية سفري2</v>
      </c>
      <c r="G1764" s="90" t="s">
        <v>2195</v>
      </c>
      <c r="H1764" s="188">
        <v>4329</v>
      </c>
      <c r="I1764" s="110" t="str">
        <f>VLOOKUP(H1764, 'RM &amp; SF'!B:H, 2, 0)</f>
        <v>ملاعق بلاستيك مع معقم مطبوع 1*500 حبة*****</v>
      </c>
      <c r="J1764" s="184" t="str">
        <f>VLOOKUP(H1764, 'RM &amp; SF'!B:E, 4, 0)</f>
        <v>قطعة</v>
      </c>
      <c r="K1764" s="12">
        <v>1</v>
      </c>
      <c r="L1764" s="13">
        <f>VLOOKUP(H1764, 'RM &amp; SF'!B:H, 7, 0)</f>
        <v>4.7399999999999997E-4</v>
      </c>
      <c r="M1764" s="7">
        <f t="shared" si="92"/>
        <v>4.7399999999999997E-4</v>
      </c>
      <c r="N1764" s="4" t="s">
        <v>825</v>
      </c>
      <c r="O1764" s="4">
        <f>VLOOKUP(B1764, 'All Menu'!B:L, 6, 0)</f>
        <v>6.8965517241379315</v>
      </c>
      <c r="P1764" s="6">
        <f>VLOOKUP(B1764, 'All Menu'!B:L, 9, 0)</f>
        <v>4.7272690639304891</v>
      </c>
      <c r="Q1764" s="14">
        <f>VLOOKUP(B1764, 'All Menu'!B:M, 12, 0)</f>
        <v>0.31454598573007914</v>
      </c>
      <c r="R1764" s="173">
        <f t="shared" si="93"/>
        <v>0</v>
      </c>
    </row>
    <row r="1765" spans="1:18" ht="14" hidden="1">
      <c r="A1765" s="78" t="s">
        <v>2738</v>
      </c>
      <c r="B1765" s="220" t="s">
        <v>1270</v>
      </c>
      <c r="C1765" s="185"/>
      <c r="D1765" s="103" t="str">
        <f>VLOOKUP(B1765, 'All Menu'!B:M, 4, 0)</f>
        <v>وجبة ارز ولحم</v>
      </c>
      <c r="E1765" s="30" t="str">
        <f>VLOOKUP(B1765, 'All Menu'!B:M, 2, 0)</f>
        <v>قسم اللاين</v>
      </c>
      <c r="F1765" s="103" t="str">
        <f>VLOOKUP(B1765, 'All Menu'!B:M, 3, 0)</f>
        <v>الوجبات اليومية سفري2</v>
      </c>
      <c r="G1765" s="90" t="s">
        <v>2185</v>
      </c>
      <c r="H1765" s="188">
        <v>4550</v>
      </c>
      <c r="I1765" s="110" t="str">
        <f>VLOOKUP(H1765, 'RM &amp; SF'!B:H, 2, 0)</f>
        <v>*****لبن زبادي 150 غم</v>
      </c>
      <c r="J1765" s="184" t="str">
        <f>VLOOKUP(H1765, 'RM &amp; SF'!B:E, 4, 0)</f>
        <v>قطعة</v>
      </c>
      <c r="K1765" s="12">
        <v>1</v>
      </c>
      <c r="L1765" s="13">
        <f>VLOOKUP(H1765, 'RM &amp; SF'!B:H, 7, 0)</f>
        <v>0.16</v>
      </c>
      <c r="M1765" s="7">
        <f t="shared" si="92"/>
        <v>0.16</v>
      </c>
      <c r="N1765" s="4" t="s">
        <v>825</v>
      </c>
      <c r="O1765" s="4">
        <f>VLOOKUP(B1765, 'All Menu'!B:L, 6, 0)</f>
        <v>6.8965517241379315</v>
      </c>
      <c r="P1765" s="6">
        <f>VLOOKUP(B1765, 'All Menu'!B:L, 9, 0)</f>
        <v>4.7272690639304891</v>
      </c>
      <c r="Q1765" s="14">
        <f>VLOOKUP(B1765, 'All Menu'!B:M, 12, 0)</f>
        <v>0.31454598573007914</v>
      </c>
      <c r="R1765" s="173">
        <f t="shared" si="93"/>
        <v>0</v>
      </c>
    </row>
    <row r="1766" spans="1:18" ht="14" hidden="1">
      <c r="A1766" s="78" t="s">
        <v>2738</v>
      </c>
      <c r="B1766" s="220" t="s">
        <v>1270</v>
      </c>
      <c r="C1766" s="185"/>
      <c r="D1766" s="103" t="str">
        <f>VLOOKUP(B1766, 'All Menu'!B:M, 4, 0)</f>
        <v>وجبة ارز ولحم</v>
      </c>
      <c r="E1766" s="30" t="str">
        <f>VLOOKUP(B1766, 'All Menu'!B:M, 2, 0)</f>
        <v>قسم اللاين</v>
      </c>
      <c r="F1766" s="103" t="str">
        <f>VLOOKUP(B1766, 'All Menu'!B:M, 3, 0)</f>
        <v>الوجبات اليومية سفري2</v>
      </c>
      <c r="G1766" s="90" t="s">
        <v>2190</v>
      </c>
      <c r="H1766" s="188">
        <v>4279</v>
      </c>
      <c r="I1766" s="110" t="str">
        <f>VLOOKUP(H1766, 'RM &amp; SF'!B:H, 2, 0)</f>
        <v>علب ميكرويف مستطيل اسود مفرغة (احادي)*****</v>
      </c>
      <c r="J1766" s="184" t="str">
        <f>VLOOKUP(H1766, 'RM &amp; SF'!B:E, 4, 0)</f>
        <v>قطعة</v>
      </c>
      <c r="K1766" s="12">
        <v>1</v>
      </c>
      <c r="L1766" s="13">
        <f>VLOOKUP(H1766, 'RM &amp; SF'!B:H, 7, 0)</f>
        <v>9.4799999999999995E-2</v>
      </c>
      <c r="M1766" s="7">
        <f t="shared" si="92"/>
        <v>9.4799999999999995E-2</v>
      </c>
      <c r="N1766" s="4" t="s">
        <v>825</v>
      </c>
      <c r="O1766" s="4">
        <f>VLOOKUP(B1766, 'All Menu'!B:L, 6, 0)</f>
        <v>6.8965517241379315</v>
      </c>
      <c r="P1766" s="6">
        <f>VLOOKUP(B1766, 'All Menu'!B:L, 9, 0)</f>
        <v>4.7272690639304891</v>
      </c>
      <c r="Q1766" s="14">
        <f>VLOOKUP(B1766, 'All Menu'!B:M, 12, 0)</f>
        <v>0.31454598573007914</v>
      </c>
      <c r="R1766" s="173">
        <f t="shared" si="93"/>
        <v>0</v>
      </c>
    </row>
    <row r="1767" spans="1:18" ht="14" hidden="1">
      <c r="A1767" s="78" t="s">
        <v>2741</v>
      </c>
      <c r="B1767" s="220" t="s">
        <v>1309</v>
      </c>
      <c r="C1767" s="185"/>
      <c r="D1767" s="30" t="str">
        <f>VLOOKUP(B1767, 'All Menu'!B:M, 4, 0)</f>
        <v>وجبة صيادية</v>
      </c>
      <c r="E1767" s="30" t="str">
        <f>VLOOKUP(B1767, 'All Menu'!B:M, 2, 0)</f>
        <v>قسم اللاين</v>
      </c>
      <c r="F1767" s="103" t="str">
        <f>VLOOKUP(B1767, 'All Menu'!B:M, 3, 0)</f>
        <v>الوجبات اليومية سفري2</v>
      </c>
      <c r="G1767" s="90" t="s">
        <v>2371</v>
      </c>
      <c r="H1767" s="219" t="s">
        <v>778</v>
      </c>
      <c r="I1767" s="110" t="str">
        <f>VLOOKUP(H1767, 'RM &amp; SF'!B:H, 2, 0)</f>
        <v>ارز صيادية</v>
      </c>
      <c r="J1767" s="184" t="str">
        <f>VLOOKUP(H1767, 'RM &amp; SF'!B:E, 4, 0)</f>
        <v>غم</v>
      </c>
      <c r="K1767" s="22">
        <v>500</v>
      </c>
      <c r="L1767" s="13">
        <f>VLOOKUP(H1767, 'RM &amp; SF'!B:H, 7, 0)</f>
        <v>4.578856190476191E-4</v>
      </c>
      <c r="M1767" s="15">
        <f t="shared" si="92"/>
        <v>0.22894280952380955</v>
      </c>
      <c r="N1767" s="21" t="s">
        <v>825</v>
      </c>
      <c r="O1767" s="4">
        <f>VLOOKUP(B1767, 'All Menu'!B:L, 6, 0)</f>
        <v>4.3103448275862073</v>
      </c>
      <c r="P1767" s="6">
        <f>VLOOKUP(B1767, 'All Menu'!B:L, 9, 0)</f>
        <v>1.1848556278379858</v>
      </c>
      <c r="Q1767" s="14">
        <f>VLOOKUP(B1767, 'All Menu'!B:M, 12, 0)</f>
        <v>0.72511349434158734</v>
      </c>
      <c r="R1767" s="173">
        <f t="shared" si="93"/>
        <v>0</v>
      </c>
    </row>
    <row r="1768" spans="1:18" ht="14" hidden="1">
      <c r="A1768" s="78" t="s">
        <v>2741</v>
      </c>
      <c r="B1768" s="220" t="s">
        <v>1309</v>
      </c>
      <c r="C1768" s="185"/>
      <c r="D1768" s="30" t="str">
        <f>VLOOKUP(B1768, 'All Menu'!B:M, 4, 0)</f>
        <v>وجبة صيادية</v>
      </c>
      <c r="E1768" s="30" t="str">
        <f>VLOOKUP(B1768, 'All Menu'!B:M, 2, 0)</f>
        <v>قسم اللاين</v>
      </c>
      <c r="F1768" s="103" t="str">
        <f>VLOOKUP(B1768, 'All Menu'!B:M, 3, 0)</f>
        <v>الوجبات اليومية سفري2</v>
      </c>
      <c r="G1768" s="90" t="s">
        <v>2341</v>
      </c>
      <c r="H1768" s="219" t="s">
        <v>706</v>
      </c>
      <c r="I1768" s="110" t="str">
        <f>VLOOKUP(H1768, 'RM &amp; SF'!B:H, 2, 0)</f>
        <v>لوز مقلي</v>
      </c>
      <c r="J1768" s="184" t="str">
        <f>VLOOKUP(H1768, 'RM &amp; SF'!B:E, 4, 0)</f>
        <v>غم</v>
      </c>
      <c r="K1768" s="22">
        <v>30</v>
      </c>
      <c r="L1768" s="13">
        <f>VLOOKUP(H1768, 'RM &amp; SF'!B:H, 7, 0)</f>
        <v>4.1352327586206888E-3</v>
      </c>
      <c r="M1768" s="15">
        <f t="shared" si="92"/>
        <v>0.12405698275862066</v>
      </c>
      <c r="N1768" s="21" t="s">
        <v>825</v>
      </c>
      <c r="O1768" s="4">
        <f>VLOOKUP(B1768, 'All Menu'!B:L, 6, 0)</f>
        <v>4.3103448275862073</v>
      </c>
      <c r="P1768" s="6">
        <f>VLOOKUP(B1768, 'All Menu'!B:L, 9, 0)</f>
        <v>1.1848556278379858</v>
      </c>
      <c r="Q1768" s="14">
        <f>VLOOKUP(B1768, 'All Menu'!B:M, 12, 0)</f>
        <v>0.72511349434158734</v>
      </c>
      <c r="R1768" s="173">
        <f t="shared" si="93"/>
        <v>0</v>
      </c>
    </row>
    <row r="1769" spans="1:18" ht="14" hidden="1">
      <c r="A1769" s="78" t="s">
        <v>2741</v>
      </c>
      <c r="B1769" s="220" t="s">
        <v>1309</v>
      </c>
      <c r="C1769" s="185"/>
      <c r="D1769" s="30" t="str">
        <f>VLOOKUP(B1769, 'All Menu'!B:M, 4, 0)</f>
        <v>وجبة صيادية</v>
      </c>
      <c r="E1769" s="30" t="str">
        <f>VLOOKUP(B1769, 'All Menu'!B:M, 2, 0)</f>
        <v>قسم اللاين</v>
      </c>
      <c r="F1769" s="103" t="str">
        <f>VLOOKUP(B1769, 'All Menu'!B:M, 3, 0)</f>
        <v>الوجبات اليومية سفري2</v>
      </c>
      <c r="G1769" s="90" t="s">
        <v>2372</v>
      </c>
      <c r="H1769" s="219" t="s">
        <v>780</v>
      </c>
      <c r="I1769" s="110" t="str">
        <f>VLOOKUP(H1769, 'RM &amp; SF'!B:H, 2, 0)</f>
        <v>سمك صيادية مقلي</v>
      </c>
      <c r="J1769" s="184" t="str">
        <f>VLOOKUP(H1769, 'RM &amp; SF'!B:E, 4, 0)</f>
        <v>غم</v>
      </c>
      <c r="K1769" s="22">
        <v>100</v>
      </c>
      <c r="L1769" s="13">
        <f>VLOOKUP(H1769, 'RM &amp; SF'!B:H, 7, 0)</f>
        <v>2.8622461333333328E-3</v>
      </c>
      <c r="M1769" s="15">
        <f t="shared" si="92"/>
        <v>0.28622461333333327</v>
      </c>
      <c r="N1769" s="21" t="s">
        <v>825</v>
      </c>
      <c r="O1769" s="4">
        <f>VLOOKUP(B1769, 'All Menu'!B:L, 6, 0)</f>
        <v>4.3103448275862073</v>
      </c>
      <c r="P1769" s="6">
        <f>VLOOKUP(B1769, 'All Menu'!B:L, 9, 0)</f>
        <v>1.1848556278379858</v>
      </c>
      <c r="Q1769" s="14">
        <f>VLOOKUP(B1769, 'All Menu'!B:M, 12, 0)</f>
        <v>0.72511349434158734</v>
      </c>
      <c r="R1769" s="173">
        <f t="shared" si="93"/>
        <v>0</v>
      </c>
    </row>
    <row r="1770" spans="1:18" ht="14" hidden="1">
      <c r="A1770" s="78" t="s">
        <v>2741</v>
      </c>
      <c r="B1770" s="220" t="s">
        <v>1309</v>
      </c>
      <c r="C1770" s="185"/>
      <c r="D1770" s="30" t="str">
        <f>VLOOKUP(B1770, 'All Menu'!B:M, 4, 0)</f>
        <v>وجبة صيادية</v>
      </c>
      <c r="E1770" s="30" t="str">
        <f>VLOOKUP(B1770, 'All Menu'!B:M, 2, 0)</f>
        <v>قسم اللاين</v>
      </c>
      <c r="F1770" s="103" t="str">
        <f>VLOOKUP(B1770, 'All Menu'!B:M, 3, 0)</f>
        <v>الوجبات اليومية سفري2</v>
      </c>
      <c r="G1770" s="90" t="s">
        <v>2373</v>
      </c>
      <c r="H1770" s="219" t="s">
        <v>782</v>
      </c>
      <c r="I1770" s="110" t="str">
        <f>VLOOKUP(H1770, 'RM &amp; SF'!B:H, 2, 0)</f>
        <v>صوص صيادية</v>
      </c>
      <c r="J1770" s="184" t="str">
        <f>VLOOKUP(H1770, 'RM &amp; SF'!B:E, 4, 0)</f>
        <v>غم</v>
      </c>
      <c r="K1770" s="22">
        <v>500</v>
      </c>
      <c r="L1770" s="13">
        <f>VLOOKUP(H1770, 'RM &amp; SF'!B:H, 7, 0)</f>
        <v>9.0071444444444451E-4</v>
      </c>
      <c r="M1770" s="15">
        <f t="shared" si="92"/>
        <v>0.45035722222222224</v>
      </c>
      <c r="N1770" s="21" t="s">
        <v>825</v>
      </c>
      <c r="O1770" s="4">
        <f>VLOOKUP(B1770, 'All Menu'!B:L, 6, 0)</f>
        <v>4.3103448275862073</v>
      </c>
      <c r="P1770" s="6">
        <f>VLOOKUP(B1770, 'All Menu'!B:L, 9, 0)</f>
        <v>1.1848556278379858</v>
      </c>
      <c r="Q1770" s="14">
        <f>VLOOKUP(B1770, 'All Menu'!B:M, 12, 0)</f>
        <v>0.72511349434158734</v>
      </c>
      <c r="R1770" s="173">
        <f t="shared" si="93"/>
        <v>0</v>
      </c>
    </row>
    <row r="1771" spans="1:18" ht="14" hidden="1">
      <c r="A1771" s="78" t="s">
        <v>2741</v>
      </c>
      <c r="B1771" s="220" t="s">
        <v>1309</v>
      </c>
      <c r="C1771" s="185"/>
      <c r="D1771" s="30" t="str">
        <f>VLOOKUP(B1771, 'All Menu'!B:M, 4, 0)</f>
        <v>وجبة صيادية</v>
      </c>
      <c r="E1771" s="30" t="str">
        <f>VLOOKUP(B1771, 'All Menu'!B:M, 2, 0)</f>
        <v>قسم اللاين</v>
      </c>
      <c r="F1771" s="103" t="str">
        <f>VLOOKUP(B1771, 'All Menu'!B:M, 3, 0)</f>
        <v>الوجبات اليومية سفري2</v>
      </c>
      <c r="G1771" s="90" t="s">
        <v>2195</v>
      </c>
      <c r="H1771" s="221">
        <v>4329</v>
      </c>
      <c r="I1771" s="110" t="str">
        <f>VLOOKUP(H1771, 'RM &amp; SF'!B:H, 2, 0)</f>
        <v>ملاعق بلاستيك مع معقم مطبوع 1*500 حبة*****</v>
      </c>
      <c r="J1771" s="184" t="str">
        <f>VLOOKUP(H1771, 'RM &amp; SF'!B:E, 4, 0)</f>
        <v>قطعة</v>
      </c>
      <c r="K1771" s="22">
        <v>1</v>
      </c>
      <c r="L1771" s="13">
        <f>VLOOKUP(H1771, 'RM &amp; SF'!B:H, 7, 0)</f>
        <v>4.7399999999999997E-4</v>
      </c>
      <c r="M1771" s="15">
        <f t="shared" si="92"/>
        <v>4.7399999999999997E-4</v>
      </c>
      <c r="N1771" s="21" t="s">
        <v>825</v>
      </c>
      <c r="O1771" s="4">
        <f>VLOOKUP(B1771, 'All Menu'!B:L, 6, 0)</f>
        <v>4.3103448275862073</v>
      </c>
      <c r="P1771" s="6">
        <f>VLOOKUP(B1771, 'All Menu'!B:L, 9, 0)</f>
        <v>1.1848556278379858</v>
      </c>
      <c r="Q1771" s="14">
        <f>VLOOKUP(B1771, 'All Menu'!B:M, 12, 0)</f>
        <v>0.72511349434158734</v>
      </c>
      <c r="R1771" s="173">
        <f t="shared" si="93"/>
        <v>0</v>
      </c>
    </row>
    <row r="1772" spans="1:18" ht="14" hidden="1">
      <c r="A1772" s="78" t="s">
        <v>2741</v>
      </c>
      <c r="B1772" s="220" t="s">
        <v>1309</v>
      </c>
      <c r="C1772" s="185"/>
      <c r="D1772" s="30" t="str">
        <f>VLOOKUP(B1772, 'All Menu'!B:M, 4, 0)</f>
        <v>وجبة صيادية</v>
      </c>
      <c r="E1772" s="30" t="str">
        <f>VLOOKUP(B1772, 'All Menu'!B:M, 2, 0)</f>
        <v>قسم اللاين</v>
      </c>
      <c r="F1772" s="103" t="str">
        <f>VLOOKUP(B1772, 'All Menu'!B:M, 3, 0)</f>
        <v>الوجبات اليومية سفري2</v>
      </c>
      <c r="G1772" s="90" t="s">
        <v>2190</v>
      </c>
      <c r="H1772" s="221">
        <v>4279</v>
      </c>
      <c r="I1772" s="110" t="str">
        <f>VLOOKUP(H1772, 'RM &amp; SF'!B:H, 2, 0)</f>
        <v>علب ميكرويف مستطيل اسود مفرغة (احادي)*****</v>
      </c>
      <c r="J1772" s="184" t="str">
        <f>VLOOKUP(H1772, 'RM &amp; SF'!B:E, 4, 0)</f>
        <v>قطعة</v>
      </c>
      <c r="K1772" s="22">
        <v>1</v>
      </c>
      <c r="L1772" s="13">
        <f>VLOOKUP(H1772, 'RM &amp; SF'!B:H, 7, 0)</f>
        <v>9.4799999999999995E-2</v>
      </c>
      <c r="M1772" s="15">
        <f t="shared" si="92"/>
        <v>9.4799999999999995E-2</v>
      </c>
      <c r="N1772" s="21" t="s">
        <v>825</v>
      </c>
      <c r="O1772" s="4">
        <f>VLOOKUP(B1772, 'All Menu'!B:L, 6, 0)</f>
        <v>4.3103448275862073</v>
      </c>
      <c r="P1772" s="6">
        <f>VLOOKUP(B1772, 'All Menu'!B:L, 9, 0)</f>
        <v>1.1848556278379858</v>
      </c>
      <c r="Q1772" s="14">
        <f>VLOOKUP(B1772, 'All Menu'!B:M, 12, 0)</f>
        <v>0.72511349434158734</v>
      </c>
      <c r="R1772" s="173">
        <f t="shared" si="93"/>
        <v>0</v>
      </c>
    </row>
    <row r="1773" spans="1:18" ht="14" hidden="1">
      <c r="A1773" s="78" t="s">
        <v>2750</v>
      </c>
      <c r="B1773" s="220" t="s">
        <v>950</v>
      </c>
      <c r="C1773" s="185"/>
      <c r="D1773" s="103" t="str">
        <f>VLOOKUP(B1773, 'All Menu'!B:M, 4, 0)</f>
        <v>شقف خاروف / 1 كيلو</v>
      </c>
      <c r="E1773" s="30" t="str">
        <f>VLOOKUP(B1773, 'All Menu'!B:M, 2, 0)</f>
        <v>قسم المشاوي</v>
      </c>
      <c r="F1773" s="103" t="str">
        <f>VLOOKUP(B1773, 'All Menu'!B:M, 3, 0)</f>
        <v>المشاوي سفري</v>
      </c>
      <c r="G1773" s="90" t="s">
        <v>2452</v>
      </c>
      <c r="H1773" s="219" t="s">
        <v>528</v>
      </c>
      <c r="I1773" s="110" t="str">
        <f>VLOOKUP(H1773, 'RM &amp; SF'!B:H, 2, 0)</f>
        <v>شقف متبلة</v>
      </c>
      <c r="J1773" s="184" t="str">
        <f>VLOOKUP(H1773, 'RM &amp; SF'!B:E, 4, 0)</f>
        <v>غم</v>
      </c>
      <c r="K1773" s="20">
        <v>1000</v>
      </c>
      <c r="L1773" s="13">
        <f>VLOOKUP(H1773, 'RM &amp; SF'!B:H, 7, 0)</f>
        <v>2.0415146666666665E-2</v>
      </c>
      <c r="M1773" s="7">
        <f t="shared" si="92"/>
        <v>20.415146666666665</v>
      </c>
      <c r="N1773" s="4" t="s">
        <v>825</v>
      </c>
      <c r="O1773" s="4">
        <f>VLOOKUP(B1773, 'All Menu'!B:L, 6, 0)</f>
        <v>23.706896551724139</v>
      </c>
      <c r="P1773" s="6">
        <f>VLOOKUP(B1773, 'All Menu'!B:L, 9, 0)</f>
        <v>21.859353332193056</v>
      </c>
      <c r="Q1773" s="14">
        <f>VLOOKUP(B1773, 'All Menu'!B:M, 12, 0)</f>
        <v>7.7932732169311139E-2</v>
      </c>
      <c r="R1773" s="173">
        <f t="shared" si="93"/>
        <v>0</v>
      </c>
    </row>
    <row r="1774" spans="1:18" ht="14" hidden="1">
      <c r="A1774" s="78" t="s">
        <v>2750</v>
      </c>
      <c r="B1774" s="220" t="s">
        <v>950</v>
      </c>
      <c r="C1774" s="185"/>
      <c r="D1774" s="103" t="str">
        <f>VLOOKUP(B1774, 'All Menu'!B:M, 4, 0)</f>
        <v>شقف خاروف / 1 كيلو</v>
      </c>
      <c r="E1774" s="30" t="str">
        <f>VLOOKUP(B1774, 'All Menu'!B:M, 2, 0)</f>
        <v>قسم المشاوي</v>
      </c>
      <c r="F1774" s="103" t="str">
        <f>VLOOKUP(B1774, 'All Menu'!B:M, 3, 0)</f>
        <v>المشاوي سفري</v>
      </c>
      <c r="G1774" s="90" t="s">
        <v>2235</v>
      </c>
      <c r="H1774" s="188">
        <v>4504</v>
      </c>
      <c r="I1774" s="110" t="str">
        <f>VLOOKUP(H1774, 'RM &amp; SF'!B:H, 2, 0)</f>
        <v>بصل مشاوي (بصل بيبي)***</v>
      </c>
      <c r="J1774" s="184" t="str">
        <f>VLOOKUP(H1774, 'RM &amp; SF'!B:E, 4, 0)</f>
        <v>غم</v>
      </c>
      <c r="K1774" s="20">
        <v>200</v>
      </c>
      <c r="L1774" s="13">
        <f>VLOOKUP(H1774, 'RM &amp; SF'!B:H, 7, 0)</f>
        <v>3.5E-4</v>
      </c>
      <c r="M1774" s="7">
        <f t="shared" si="92"/>
        <v>6.9999999999999993E-2</v>
      </c>
      <c r="N1774" s="4" t="s">
        <v>825</v>
      </c>
      <c r="O1774" s="4">
        <f>VLOOKUP(B1774, 'All Menu'!B:L, 6, 0)</f>
        <v>23.706896551724139</v>
      </c>
      <c r="P1774" s="6">
        <f>VLOOKUP(B1774, 'All Menu'!B:L, 9, 0)</f>
        <v>21.859353332193056</v>
      </c>
      <c r="Q1774" s="14">
        <f>VLOOKUP(B1774, 'All Menu'!B:M, 12, 0)</f>
        <v>7.7932732169311139E-2</v>
      </c>
      <c r="R1774" s="173">
        <f t="shared" si="93"/>
        <v>0</v>
      </c>
    </row>
    <row r="1775" spans="1:18" ht="14" hidden="1">
      <c r="A1775" s="78" t="s">
        <v>2750</v>
      </c>
      <c r="B1775" s="220" t="s">
        <v>950</v>
      </c>
      <c r="C1775" s="185"/>
      <c r="D1775" s="103" t="str">
        <f>VLOOKUP(B1775, 'All Menu'!B:M, 4, 0)</f>
        <v>شقف خاروف / 1 كيلو</v>
      </c>
      <c r="E1775" s="30" t="str">
        <f>VLOOKUP(B1775, 'All Menu'!B:M, 2, 0)</f>
        <v>قسم المشاوي</v>
      </c>
      <c r="F1775" s="103" t="str">
        <f>VLOOKUP(B1775, 'All Menu'!B:M, 3, 0)</f>
        <v>المشاوي سفري</v>
      </c>
      <c r="G1775" s="90" t="s">
        <v>2257</v>
      </c>
      <c r="H1775" s="188">
        <v>5281</v>
      </c>
      <c r="I1775" s="110" t="str">
        <f>VLOOKUP(H1775, 'RM &amp; SF'!B:H, 2, 0)</f>
        <v>بندوره مشاوي</v>
      </c>
      <c r="J1775" s="184" t="str">
        <f>VLOOKUP(H1775, 'RM &amp; SF'!B:E, 4, 0)</f>
        <v>غم</v>
      </c>
      <c r="K1775" s="20">
        <v>200</v>
      </c>
      <c r="L1775" s="13">
        <f>VLOOKUP(H1775, 'RM &amp; SF'!B:H, 7, 0)</f>
        <v>4.0000000000000002E-4</v>
      </c>
      <c r="M1775" s="7">
        <f t="shared" si="92"/>
        <v>0.08</v>
      </c>
      <c r="N1775" s="4" t="s">
        <v>825</v>
      </c>
      <c r="O1775" s="4">
        <f>VLOOKUP(B1775, 'All Menu'!B:L, 6, 0)</f>
        <v>23.706896551724139</v>
      </c>
      <c r="P1775" s="6">
        <f>VLOOKUP(B1775, 'All Menu'!B:L, 9, 0)</f>
        <v>21.859353332193056</v>
      </c>
      <c r="Q1775" s="14">
        <f>VLOOKUP(B1775, 'All Menu'!B:M, 12, 0)</f>
        <v>7.7932732169311139E-2</v>
      </c>
      <c r="R1775" s="173">
        <f t="shared" si="93"/>
        <v>0</v>
      </c>
    </row>
    <row r="1776" spans="1:18" ht="14" hidden="1">
      <c r="A1776" s="78" t="s">
        <v>2750</v>
      </c>
      <c r="B1776" s="220" t="s">
        <v>950</v>
      </c>
      <c r="C1776" s="185"/>
      <c r="D1776" s="103" t="str">
        <f>VLOOKUP(B1776, 'All Menu'!B:M, 4, 0)</f>
        <v>شقف خاروف / 1 كيلو</v>
      </c>
      <c r="E1776" s="30" t="str">
        <f>VLOOKUP(B1776, 'All Menu'!B:M, 2, 0)</f>
        <v>قسم المشاوي</v>
      </c>
      <c r="F1776" s="103" t="str">
        <f>VLOOKUP(B1776, 'All Menu'!B:M, 3, 0)</f>
        <v>المشاوي سفري</v>
      </c>
      <c r="G1776" s="90" t="s">
        <v>2331</v>
      </c>
      <c r="H1776" s="219" t="s">
        <v>530</v>
      </c>
      <c r="I1776" s="110" t="str">
        <f>VLOOKUP(H1776, 'RM &amp; SF'!B:H, 2, 0)</f>
        <v>خبز صاج</v>
      </c>
      <c r="J1776" s="184" t="str">
        <f>VLOOKUP(H1776, 'RM &amp; SF'!B:E, 4, 0)</f>
        <v>غم</v>
      </c>
      <c r="K1776" s="20">
        <v>400</v>
      </c>
      <c r="L1776" s="13">
        <f>VLOOKUP(H1776, 'RM &amp; SF'!B:H, 7, 0)</f>
        <v>1.8806451612903227E-4</v>
      </c>
      <c r="M1776" s="7">
        <f t="shared" si="92"/>
        <v>7.5225806451612906E-2</v>
      </c>
      <c r="N1776" s="4" t="s">
        <v>825</v>
      </c>
      <c r="O1776" s="4">
        <f>VLOOKUP(B1776, 'All Menu'!B:L, 6, 0)</f>
        <v>23.706896551724139</v>
      </c>
      <c r="P1776" s="6">
        <f>VLOOKUP(B1776, 'All Menu'!B:L, 9, 0)</f>
        <v>21.859353332193056</v>
      </c>
      <c r="Q1776" s="14">
        <f>VLOOKUP(B1776, 'All Menu'!B:M, 12, 0)</f>
        <v>7.7932732169311139E-2</v>
      </c>
      <c r="R1776" s="173">
        <f t="shared" si="93"/>
        <v>0</v>
      </c>
    </row>
    <row r="1777" spans="1:18" ht="14" hidden="1">
      <c r="A1777" s="78" t="s">
        <v>2750</v>
      </c>
      <c r="B1777" s="220" t="s">
        <v>950</v>
      </c>
      <c r="C1777" s="185"/>
      <c r="D1777" s="103" t="str">
        <f>VLOOKUP(B1777, 'All Menu'!B:M, 4, 0)</f>
        <v>شقف خاروف / 1 كيلو</v>
      </c>
      <c r="E1777" s="30" t="str">
        <f>VLOOKUP(B1777, 'All Menu'!B:M, 2, 0)</f>
        <v>قسم المشاوي</v>
      </c>
      <c r="F1777" s="103" t="str">
        <f>VLOOKUP(B1777, 'All Menu'!B:M, 3, 0)</f>
        <v>المشاوي سفري</v>
      </c>
      <c r="G1777" s="90" t="s">
        <v>2231</v>
      </c>
      <c r="H1777" s="188">
        <v>4499</v>
      </c>
      <c r="I1777" s="110" t="str">
        <f>VLOOKUP(H1777, 'RM &amp; SF'!B:H, 2, 0)</f>
        <v>فلفل حار اخضر*****</v>
      </c>
      <c r="J1777" s="184" t="str">
        <f>VLOOKUP(H1777, 'RM &amp; SF'!B:E, 4, 0)</f>
        <v>غم</v>
      </c>
      <c r="K1777" s="20">
        <v>100</v>
      </c>
      <c r="L1777" s="13">
        <f>VLOOKUP(H1777, 'RM &amp; SF'!B:H, 7, 0)</f>
        <v>5.0000000000000001E-4</v>
      </c>
      <c r="M1777" s="7">
        <f t="shared" si="92"/>
        <v>0.05</v>
      </c>
      <c r="N1777" s="4" t="s">
        <v>825</v>
      </c>
      <c r="O1777" s="4">
        <f>VLOOKUP(B1777, 'All Menu'!B:L, 6, 0)</f>
        <v>23.706896551724139</v>
      </c>
      <c r="P1777" s="6">
        <f>VLOOKUP(B1777, 'All Menu'!B:L, 9, 0)</f>
        <v>21.859353332193056</v>
      </c>
      <c r="Q1777" s="14">
        <f>VLOOKUP(B1777, 'All Menu'!B:M, 12, 0)</f>
        <v>7.7932732169311139E-2</v>
      </c>
      <c r="R1777" s="173">
        <f t="shared" si="93"/>
        <v>0</v>
      </c>
    </row>
    <row r="1778" spans="1:18" ht="14" hidden="1">
      <c r="A1778" s="78" t="s">
        <v>2750</v>
      </c>
      <c r="B1778" s="220" t="s">
        <v>950</v>
      </c>
      <c r="C1778" s="185"/>
      <c r="D1778" s="103" t="str">
        <f>VLOOKUP(B1778, 'All Menu'!B:M, 4, 0)</f>
        <v>شقف خاروف / 1 كيلو</v>
      </c>
      <c r="E1778" s="30" t="str">
        <f>VLOOKUP(B1778, 'All Menu'!B:M, 2, 0)</f>
        <v>قسم المشاوي</v>
      </c>
      <c r="F1778" s="103" t="str">
        <f>VLOOKUP(B1778, 'All Menu'!B:M, 3, 0)</f>
        <v>المشاوي سفري</v>
      </c>
      <c r="G1778" s="90" t="s">
        <v>2198</v>
      </c>
      <c r="H1778" s="188">
        <v>4348</v>
      </c>
      <c r="I1778" s="110" t="str">
        <f>VLOOKUP(H1778, 'RM &amp; SF'!B:H, 2, 0)</f>
        <v>صحن كرتون بيضوي مذهب 42 سم (رقم 3)*****</v>
      </c>
      <c r="J1778" s="184" t="str">
        <f>VLOOKUP(H1778, 'RM &amp; SF'!B:E, 4, 0)</f>
        <v>قطعة</v>
      </c>
      <c r="K1778" s="20">
        <v>1</v>
      </c>
      <c r="L1778" s="13">
        <f>VLOOKUP(H1778, 'RM &amp; SF'!B:H, 7, 0)</f>
        <v>0.29299999999999998</v>
      </c>
      <c r="M1778" s="7">
        <f t="shared" si="92"/>
        <v>0.29299999999999998</v>
      </c>
      <c r="N1778" s="4" t="s">
        <v>825</v>
      </c>
      <c r="O1778" s="4">
        <f>VLOOKUP(B1778, 'All Menu'!B:L, 6, 0)</f>
        <v>23.706896551724139</v>
      </c>
      <c r="P1778" s="6">
        <f>VLOOKUP(B1778, 'All Menu'!B:L, 9, 0)</f>
        <v>21.859353332193056</v>
      </c>
      <c r="Q1778" s="14">
        <f>VLOOKUP(B1778, 'All Menu'!B:M, 12, 0)</f>
        <v>7.7932732169311139E-2</v>
      </c>
      <c r="R1778" s="173">
        <f t="shared" si="93"/>
        <v>0</v>
      </c>
    </row>
    <row r="1779" spans="1:18" ht="14" hidden="1">
      <c r="A1779" s="78" t="s">
        <v>2750</v>
      </c>
      <c r="B1779" s="220" t="s">
        <v>950</v>
      </c>
      <c r="C1779" s="185"/>
      <c r="D1779" s="103" t="str">
        <f>VLOOKUP(B1779, 'All Menu'!B:M, 4, 0)</f>
        <v>شقف خاروف / 1 كيلو</v>
      </c>
      <c r="E1779" s="30" t="str">
        <f>VLOOKUP(B1779, 'All Menu'!B:M, 2, 0)</f>
        <v>قسم المشاوي</v>
      </c>
      <c r="F1779" s="103" t="str">
        <f>VLOOKUP(B1779, 'All Menu'!B:M, 3, 0)</f>
        <v>المشاوي سفري</v>
      </c>
      <c r="G1779" s="90" t="s">
        <v>3058</v>
      </c>
      <c r="H1779" s="188">
        <v>4269</v>
      </c>
      <c r="I1779" s="110" t="str">
        <f>VLOOKUP(H1779, 'RM &amp; SF'!B:H, 2, 0)</f>
        <v>بكجات مشاوي مطبوع رقم 3 1*50 حبة*****</v>
      </c>
      <c r="J1779" s="184" t="str">
        <f>VLOOKUP(H1779, 'RM &amp; SF'!B:E, 4, 0)</f>
        <v>قطعة</v>
      </c>
      <c r="K1779" s="20">
        <v>1</v>
      </c>
      <c r="L1779" s="13">
        <f>VLOOKUP(H1779, 'RM &amp; SF'!B:H, 7, 0)</f>
        <v>0.37068965517241381</v>
      </c>
      <c r="M1779" s="7">
        <f t="shared" si="92"/>
        <v>0.37068965517241381</v>
      </c>
      <c r="N1779" s="4" t="s">
        <v>825</v>
      </c>
      <c r="O1779" s="4">
        <f>VLOOKUP(B1779, 'All Menu'!B:L, 6, 0)</f>
        <v>23.706896551724139</v>
      </c>
      <c r="P1779" s="6">
        <f>VLOOKUP(B1779, 'All Menu'!B:L, 9, 0)</f>
        <v>21.859353332193056</v>
      </c>
      <c r="Q1779" s="14">
        <f>VLOOKUP(B1779, 'All Menu'!B:M, 12, 0)</f>
        <v>7.7932732169311139E-2</v>
      </c>
      <c r="R1779" s="173">
        <f t="shared" si="93"/>
        <v>0</v>
      </c>
    </row>
    <row r="1780" spans="1:18" ht="14" hidden="1">
      <c r="A1780" s="78" t="s">
        <v>2750</v>
      </c>
      <c r="B1780" s="220" t="s">
        <v>950</v>
      </c>
      <c r="C1780" s="185"/>
      <c r="D1780" s="103" t="str">
        <f>VLOOKUP(B1780, 'All Menu'!B:M, 4, 0)</f>
        <v>شقف خاروف / 1 كيلو</v>
      </c>
      <c r="E1780" s="30" t="str">
        <f>VLOOKUP(B1780, 'All Menu'!B:M, 2, 0)</f>
        <v>قسم المشاوي</v>
      </c>
      <c r="F1780" s="103" t="str">
        <f>VLOOKUP(B1780, 'All Menu'!B:M, 3, 0)</f>
        <v>المشاوي سفري</v>
      </c>
      <c r="G1780" s="90" t="s">
        <v>2194</v>
      </c>
      <c r="H1780" s="188">
        <v>4323</v>
      </c>
      <c r="I1780" s="110" t="str">
        <f>VLOOKUP(H1780, 'RM &amp; SF'!B:H, 2, 0)</f>
        <v>قصدير رول 45 سم*2كغ*****</v>
      </c>
      <c r="J1780" s="184" t="str">
        <f>VLOOKUP(H1780, 'RM &amp; SF'!B:E, 4, 0)</f>
        <v>غم</v>
      </c>
      <c r="K1780" s="20">
        <v>10</v>
      </c>
      <c r="L1780" s="13">
        <f>VLOOKUP(H1780, 'RM &amp; SF'!B:H, 7, 0)</f>
        <v>1.7240000000000001E-3</v>
      </c>
      <c r="M1780" s="7">
        <f t="shared" si="92"/>
        <v>1.7240000000000002E-2</v>
      </c>
      <c r="N1780" s="4" t="s">
        <v>825</v>
      </c>
      <c r="O1780" s="4">
        <f>VLOOKUP(B1780, 'All Menu'!B:L, 6, 0)</f>
        <v>23.706896551724139</v>
      </c>
      <c r="P1780" s="6">
        <f>VLOOKUP(B1780, 'All Menu'!B:L, 9, 0)</f>
        <v>21.859353332193056</v>
      </c>
      <c r="Q1780" s="14">
        <f>VLOOKUP(B1780, 'All Menu'!B:M, 12, 0)</f>
        <v>7.7932732169311139E-2</v>
      </c>
      <c r="R1780" s="173">
        <f t="shared" si="93"/>
        <v>0</v>
      </c>
    </row>
    <row r="1781" spans="1:18" ht="14" hidden="1">
      <c r="A1781" s="78" t="s">
        <v>2750</v>
      </c>
      <c r="B1781" s="220" t="s">
        <v>950</v>
      </c>
      <c r="C1781" s="185"/>
      <c r="D1781" s="103" t="str">
        <f>VLOOKUP(B1781, 'All Menu'!B:M, 4, 0)</f>
        <v>شقف خاروف / 1 كيلو</v>
      </c>
      <c r="E1781" s="30" t="str">
        <f>VLOOKUP(B1781, 'All Menu'!B:M, 2, 0)</f>
        <v>قسم المشاوي</v>
      </c>
      <c r="F1781" s="103" t="str">
        <f>VLOOKUP(B1781, 'All Menu'!B:M, 3, 0)</f>
        <v>المشاوي سفري</v>
      </c>
      <c r="G1781" s="90" t="s">
        <v>2404</v>
      </c>
      <c r="H1781" s="219" t="s">
        <v>488</v>
      </c>
      <c r="I1781" s="110" t="str">
        <f>VLOOKUP(H1781, 'RM &amp; SF'!B:H, 2, 0)</f>
        <v>حمص</v>
      </c>
      <c r="J1781" s="184" t="str">
        <f>VLOOKUP(H1781, 'RM &amp; SF'!B:E, 4, 0)</f>
        <v>غم</v>
      </c>
      <c r="K1781" s="20">
        <v>285</v>
      </c>
      <c r="L1781" s="13">
        <f>VLOOKUP(H1781, 'RM &amp; SF'!B:H, 7, 0)</f>
        <v>1.3232918279569891E-3</v>
      </c>
      <c r="M1781" s="7">
        <f t="shared" si="92"/>
        <v>0.37713817096774188</v>
      </c>
      <c r="N1781" s="4" t="s">
        <v>825</v>
      </c>
      <c r="O1781" s="4">
        <f>VLOOKUP(B1781, 'All Menu'!B:L, 6, 0)</f>
        <v>23.706896551724139</v>
      </c>
      <c r="P1781" s="6">
        <f>VLOOKUP(B1781, 'All Menu'!B:L, 9, 0)</f>
        <v>21.859353332193056</v>
      </c>
      <c r="Q1781" s="14">
        <f>VLOOKUP(B1781, 'All Menu'!B:M, 12, 0)</f>
        <v>7.7932732169311139E-2</v>
      </c>
      <c r="R1781" s="173">
        <f t="shared" si="93"/>
        <v>0</v>
      </c>
    </row>
    <row r="1782" spans="1:18" ht="14" hidden="1">
      <c r="A1782" s="78" t="s">
        <v>2750</v>
      </c>
      <c r="B1782" s="220" t="s">
        <v>950</v>
      </c>
      <c r="C1782" s="185"/>
      <c r="D1782" s="103" t="str">
        <f>VLOOKUP(B1782, 'All Menu'!B:M, 4, 0)</f>
        <v>شقف خاروف / 1 كيلو</v>
      </c>
      <c r="E1782" s="30" t="str">
        <f>VLOOKUP(B1782, 'All Menu'!B:M, 2, 0)</f>
        <v>قسم المشاوي</v>
      </c>
      <c r="F1782" s="103" t="str">
        <f>VLOOKUP(B1782, 'All Menu'!B:M, 3, 0)</f>
        <v>المشاوي سفري</v>
      </c>
      <c r="G1782" s="90" t="s">
        <v>3058</v>
      </c>
      <c r="H1782" s="188">
        <v>4143</v>
      </c>
      <c r="I1782" s="110" t="str">
        <f>VLOOKUP(H1782, 'RM &amp; SF'!B:H, 2, 0)</f>
        <v>حمص حب نمرة 12*****</v>
      </c>
      <c r="J1782" s="184" t="str">
        <f>VLOOKUP(H1782, 'RM &amp; SF'!B:E, 4, 0)</f>
        <v>غم</v>
      </c>
      <c r="K1782" s="20">
        <v>7</v>
      </c>
      <c r="L1782" s="13">
        <f>VLOOKUP(H1782, 'RM &amp; SF'!B:H, 7, 0)</f>
        <v>1.24E-3</v>
      </c>
      <c r="M1782" s="7">
        <f t="shared" si="92"/>
        <v>8.6800000000000002E-3</v>
      </c>
      <c r="N1782" s="4" t="s">
        <v>825</v>
      </c>
      <c r="O1782" s="4">
        <f>VLOOKUP(B1782, 'All Menu'!B:L, 6, 0)</f>
        <v>23.706896551724139</v>
      </c>
      <c r="P1782" s="6">
        <f>VLOOKUP(B1782, 'All Menu'!B:L, 9, 0)</f>
        <v>21.859353332193056</v>
      </c>
      <c r="Q1782" s="14">
        <f>VLOOKUP(B1782, 'All Menu'!B:M, 12, 0)</f>
        <v>7.7932732169311139E-2</v>
      </c>
      <c r="R1782" s="173">
        <f t="shared" si="93"/>
        <v>0</v>
      </c>
    </row>
    <row r="1783" spans="1:18" ht="14" hidden="1">
      <c r="A1783" s="78" t="s">
        <v>2750</v>
      </c>
      <c r="B1783" s="220" t="s">
        <v>950</v>
      </c>
      <c r="C1783" s="185"/>
      <c r="D1783" s="103" t="str">
        <f>VLOOKUP(B1783, 'All Menu'!B:M, 4, 0)</f>
        <v>شقف خاروف / 1 كيلو</v>
      </c>
      <c r="E1783" s="30" t="str">
        <f>VLOOKUP(B1783, 'All Menu'!B:M, 2, 0)</f>
        <v>قسم المشاوي</v>
      </c>
      <c r="F1783" s="103" t="str">
        <f>VLOOKUP(B1783, 'All Menu'!B:M, 3, 0)</f>
        <v>المشاوي سفري</v>
      </c>
      <c r="G1783" s="90" t="s">
        <v>2396</v>
      </c>
      <c r="H1783" s="219" t="s">
        <v>582</v>
      </c>
      <c r="I1783" s="110" t="str">
        <f>VLOOKUP(H1783, 'RM &amp; SF'!B:H, 2, 0)</f>
        <v>بيواز</v>
      </c>
      <c r="J1783" s="184" t="str">
        <f>VLOOKUP(H1783, 'RM &amp; SF'!B:E, 4, 0)</f>
        <v>غم</v>
      </c>
      <c r="K1783" s="20">
        <v>50</v>
      </c>
      <c r="L1783" s="13">
        <f>VLOOKUP(H1783, 'RM &amp; SF'!B:H, 7, 0)</f>
        <v>2.0666065869244635E-4</v>
      </c>
      <c r="M1783" s="7">
        <f t="shared" si="92"/>
        <v>1.0333032934622318E-2</v>
      </c>
      <c r="N1783" s="4" t="s">
        <v>825</v>
      </c>
      <c r="O1783" s="4">
        <f>VLOOKUP(B1783, 'All Menu'!B:L, 6, 0)</f>
        <v>23.706896551724139</v>
      </c>
      <c r="P1783" s="6">
        <f>VLOOKUP(B1783, 'All Menu'!B:L, 9, 0)</f>
        <v>21.859353332193056</v>
      </c>
      <c r="Q1783" s="14">
        <f>VLOOKUP(B1783, 'All Menu'!B:M, 12, 0)</f>
        <v>7.7932732169311139E-2</v>
      </c>
      <c r="R1783" s="173">
        <f t="shared" si="93"/>
        <v>0</v>
      </c>
    </row>
    <row r="1784" spans="1:18" ht="14" hidden="1">
      <c r="A1784" s="78" t="s">
        <v>2750</v>
      </c>
      <c r="B1784" s="220" t="s">
        <v>950</v>
      </c>
      <c r="C1784" s="185"/>
      <c r="D1784" s="103" t="str">
        <f>VLOOKUP(B1784, 'All Menu'!B:M, 4, 0)</f>
        <v>شقف خاروف / 1 كيلو</v>
      </c>
      <c r="E1784" s="30" t="str">
        <f>VLOOKUP(B1784, 'All Menu'!B:M, 2, 0)</f>
        <v>قسم المشاوي</v>
      </c>
      <c r="F1784" s="103" t="str">
        <f>VLOOKUP(B1784, 'All Menu'!B:M, 3, 0)</f>
        <v>المشاوي سفري</v>
      </c>
      <c r="G1784" s="90" t="s">
        <v>2191</v>
      </c>
      <c r="H1784" s="188">
        <v>4282</v>
      </c>
      <c r="I1784" s="110" t="str">
        <f>VLOOKUP(H1784, 'RM &amp; SF'!B:H, 2, 0)</f>
        <v>علب سوشي اسود رقم 3*****</v>
      </c>
      <c r="J1784" s="184" t="str">
        <f>VLOOKUP(H1784, 'RM &amp; SF'!B:E, 4, 0)</f>
        <v>قطعة</v>
      </c>
      <c r="K1784" s="20">
        <v>1</v>
      </c>
      <c r="L1784" s="13">
        <f>VLOOKUP(H1784, 'RM &amp; SF'!B:H, 7, 0)</f>
        <v>8.6199999999999999E-2</v>
      </c>
      <c r="M1784" s="7">
        <f t="shared" si="92"/>
        <v>8.6199999999999999E-2</v>
      </c>
      <c r="N1784" s="4" t="s">
        <v>825</v>
      </c>
      <c r="O1784" s="4">
        <f>VLOOKUP(B1784, 'All Menu'!B:L, 6, 0)</f>
        <v>23.706896551724139</v>
      </c>
      <c r="P1784" s="6">
        <f>VLOOKUP(B1784, 'All Menu'!B:L, 9, 0)</f>
        <v>21.859353332193056</v>
      </c>
      <c r="Q1784" s="14">
        <f>VLOOKUP(B1784, 'All Menu'!B:M, 12, 0)</f>
        <v>7.7932732169311139E-2</v>
      </c>
      <c r="R1784" s="173">
        <f t="shared" si="93"/>
        <v>0</v>
      </c>
    </row>
    <row r="1785" spans="1:18" ht="14" hidden="1">
      <c r="A1785" s="78" t="s">
        <v>2750</v>
      </c>
      <c r="B1785" s="220" t="s">
        <v>950</v>
      </c>
      <c r="C1785" s="185"/>
      <c r="D1785" s="103" t="str">
        <f>VLOOKUP(B1785, 'All Menu'!B:M, 4, 0)</f>
        <v>شقف خاروف / 1 كيلو</v>
      </c>
      <c r="E1785" s="30" t="str">
        <f>VLOOKUP(B1785, 'All Menu'!B:M, 2, 0)</f>
        <v>قسم المشاوي</v>
      </c>
      <c r="F1785" s="103" t="str">
        <f>VLOOKUP(B1785, 'All Menu'!B:M, 3, 0)</f>
        <v>المشاوي سفري</v>
      </c>
      <c r="G1785" s="90" t="s">
        <v>3058</v>
      </c>
      <c r="H1785" s="188">
        <v>4425</v>
      </c>
      <c r="I1785" s="110" t="str">
        <f>VLOOKUP(H1785, 'RM &amp; SF'!B:H, 2, 0)</f>
        <v>ليبل المركزية دائري 5*5 سم*****</v>
      </c>
      <c r="J1785" s="184" t="str">
        <f>VLOOKUP(H1785, 'RM &amp; SF'!B:E, 4, 0)</f>
        <v>قطعة</v>
      </c>
      <c r="K1785" s="20">
        <v>1</v>
      </c>
      <c r="L1785" s="13">
        <f>VLOOKUP(H1785, 'RM &amp; SF'!B:H, 7, 0)</f>
        <v>5.7000000000000002E-3</v>
      </c>
      <c r="M1785" s="7">
        <f t="shared" si="92"/>
        <v>5.7000000000000002E-3</v>
      </c>
      <c r="N1785" s="4" t="s">
        <v>825</v>
      </c>
      <c r="O1785" s="4">
        <f>VLOOKUP(B1785, 'All Menu'!B:L, 6, 0)</f>
        <v>23.706896551724139</v>
      </c>
      <c r="P1785" s="6">
        <f>VLOOKUP(B1785, 'All Menu'!B:L, 9, 0)</f>
        <v>21.859353332193056</v>
      </c>
      <c r="Q1785" s="14">
        <f>VLOOKUP(B1785, 'All Menu'!B:M, 12, 0)</f>
        <v>7.7932732169311139E-2</v>
      </c>
      <c r="R1785" s="173">
        <f t="shared" si="93"/>
        <v>0</v>
      </c>
    </row>
    <row r="1786" spans="1:18" ht="14" hidden="1">
      <c r="A1786" s="78" t="s">
        <v>2758</v>
      </c>
      <c r="B1786" s="220" t="s">
        <v>951</v>
      </c>
      <c r="C1786" s="185"/>
      <c r="D1786" s="103" t="str">
        <f>VLOOKUP(B1786, 'All Menu'!B:M, 4, 0)</f>
        <v>كباب دجاج /1 كيلو</v>
      </c>
      <c r="E1786" s="30" t="str">
        <f>VLOOKUP(B1786, 'All Menu'!B:M, 2, 0)</f>
        <v>قسم المشاوي</v>
      </c>
      <c r="F1786" s="103" t="str">
        <f>VLOOKUP(B1786, 'All Menu'!B:M, 3, 0)</f>
        <v>المشاوي سفري</v>
      </c>
      <c r="G1786" s="90" t="s">
        <v>2338</v>
      </c>
      <c r="H1786" s="219" t="s">
        <v>532</v>
      </c>
      <c r="I1786" s="110" t="str">
        <f>VLOOKUP(H1786, 'RM &amp; SF'!B:H, 2, 0)</f>
        <v>كباب دجاج</v>
      </c>
      <c r="J1786" s="184" t="str">
        <f>VLOOKUP(H1786, 'RM &amp; SF'!B:E, 4, 0)</f>
        <v>غم</v>
      </c>
      <c r="K1786" s="12">
        <v>1000</v>
      </c>
      <c r="L1786" s="13">
        <f>VLOOKUP(H1786, 'RM &amp; SF'!B:H, 7, 0)</f>
        <v>3.8874234320164847E-3</v>
      </c>
      <c r="M1786" s="7">
        <f t="shared" si="92"/>
        <v>3.8874234320164849</v>
      </c>
      <c r="N1786" s="4" t="s">
        <v>825</v>
      </c>
      <c r="O1786" s="4">
        <f>VLOOKUP(B1786, 'All Menu'!B:L, 6, 0)</f>
        <v>13.793103448275863</v>
      </c>
      <c r="P1786" s="6">
        <f>VLOOKUP(B1786, 'All Menu'!B:L, 9, 0)</f>
        <v>5.2933006210056091</v>
      </c>
      <c r="Q1786" s="14">
        <f>VLOOKUP(B1786, 'All Menu'!B:M, 12, 0)</f>
        <v>0.61623570497709346</v>
      </c>
      <c r="R1786" s="173">
        <f t="shared" si="93"/>
        <v>0</v>
      </c>
    </row>
    <row r="1787" spans="1:18" ht="14" hidden="1">
      <c r="A1787" s="78" t="s">
        <v>2758</v>
      </c>
      <c r="B1787" s="220" t="s">
        <v>951</v>
      </c>
      <c r="C1787" s="185"/>
      <c r="D1787" s="103" t="str">
        <f>VLOOKUP(B1787, 'All Menu'!B:M, 4, 0)</f>
        <v>كباب دجاج /1 كيلو</v>
      </c>
      <c r="E1787" s="30" t="str">
        <f>VLOOKUP(B1787, 'All Menu'!B:M, 2, 0)</f>
        <v>قسم المشاوي</v>
      </c>
      <c r="F1787" s="103" t="str">
        <f>VLOOKUP(B1787, 'All Menu'!B:M, 3, 0)</f>
        <v>المشاوي سفري</v>
      </c>
      <c r="G1787" s="90" t="s">
        <v>2235</v>
      </c>
      <c r="H1787" s="188">
        <v>4504</v>
      </c>
      <c r="I1787" s="110" t="str">
        <f>VLOOKUP(H1787, 'RM &amp; SF'!B:H, 2, 0)</f>
        <v>بصل مشاوي (بصل بيبي)***</v>
      </c>
      <c r="J1787" s="184" t="str">
        <f>VLOOKUP(H1787, 'RM &amp; SF'!B:E, 4, 0)</f>
        <v>غم</v>
      </c>
      <c r="K1787" s="12">
        <v>120</v>
      </c>
      <c r="L1787" s="13">
        <f>VLOOKUP(H1787, 'RM &amp; SF'!B:H, 7, 0)</f>
        <v>3.5E-4</v>
      </c>
      <c r="M1787" s="7">
        <f t="shared" si="92"/>
        <v>4.2000000000000003E-2</v>
      </c>
      <c r="N1787" s="4" t="s">
        <v>825</v>
      </c>
      <c r="O1787" s="4">
        <f>VLOOKUP(B1787, 'All Menu'!B:L, 6, 0)</f>
        <v>13.793103448275863</v>
      </c>
      <c r="P1787" s="6">
        <f>VLOOKUP(B1787, 'All Menu'!B:L, 9, 0)</f>
        <v>5.2933006210056091</v>
      </c>
      <c r="Q1787" s="14">
        <f>VLOOKUP(B1787, 'All Menu'!B:M, 12, 0)</f>
        <v>0.61623570497709346</v>
      </c>
      <c r="R1787" s="173">
        <f t="shared" si="93"/>
        <v>0</v>
      </c>
    </row>
    <row r="1788" spans="1:18" ht="14" hidden="1">
      <c r="A1788" s="78" t="s">
        <v>2758</v>
      </c>
      <c r="B1788" s="220" t="s">
        <v>951</v>
      </c>
      <c r="C1788" s="185"/>
      <c r="D1788" s="103" t="str">
        <f>VLOOKUP(B1788, 'All Menu'!B:M, 4, 0)</f>
        <v>كباب دجاج /1 كيلو</v>
      </c>
      <c r="E1788" s="30" t="str">
        <f>VLOOKUP(B1788, 'All Menu'!B:M, 2, 0)</f>
        <v>قسم المشاوي</v>
      </c>
      <c r="F1788" s="103" t="str">
        <f>VLOOKUP(B1788, 'All Menu'!B:M, 3, 0)</f>
        <v>المشاوي سفري</v>
      </c>
      <c r="G1788" s="90" t="s">
        <v>2257</v>
      </c>
      <c r="H1788" s="188">
        <v>5281</v>
      </c>
      <c r="I1788" s="110" t="str">
        <f>VLOOKUP(H1788, 'RM &amp; SF'!B:H, 2, 0)</f>
        <v>بندوره مشاوي</v>
      </c>
      <c r="J1788" s="184" t="str">
        <f>VLOOKUP(H1788, 'RM &amp; SF'!B:E, 4, 0)</f>
        <v>غم</v>
      </c>
      <c r="K1788" s="12">
        <v>140</v>
      </c>
      <c r="L1788" s="13">
        <f>VLOOKUP(H1788, 'RM &amp; SF'!B:H, 7, 0)</f>
        <v>4.0000000000000002E-4</v>
      </c>
      <c r="M1788" s="7">
        <f t="shared" si="92"/>
        <v>5.6000000000000001E-2</v>
      </c>
      <c r="N1788" s="4" t="s">
        <v>825</v>
      </c>
      <c r="O1788" s="4">
        <f>VLOOKUP(B1788, 'All Menu'!B:L, 6, 0)</f>
        <v>13.793103448275863</v>
      </c>
      <c r="P1788" s="6">
        <f>VLOOKUP(B1788, 'All Menu'!B:L, 9, 0)</f>
        <v>5.2933006210056091</v>
      </c>
      <c r="Q1788" s="14">
        <f>VLOOKUP(B1788, 'All Menu'!B:M, 12, 0)</f>
        <v>0.61623570497709346</v>
      </c>
      <c r="R1788" s="173">
        <f t="shared" si="93"/>
        <v>0</v>
      </c>
    </row>
    <row r="1789" spans="1:18" ht="14" hidden="1">
      <c r="A1789" s="78" t="s">
        <v>2758</v>
      </c>
      <c r="B1789" s="220" t="s">
        <v>951</v>
      </c>
      <c r="C1789" s="185"/>
      <c r="D1789" s="103" t="str">
        <f>VLOOKUP(B1789, 'All Menu'!B:M, 4, 0)</f>
        <v>كباب دجاج /1 كيلو</v>
      </c>
      <c r="E1789" s="30" t="str">
        <f>VLOOKUP(B1789, 'All Menu'!B:M, 2, 0)</f>
        <v>قسم المشاوي</v>
      </c>
      <c r="F1789" s="103" t="str">
        <f>VLOOKUP(B1789, 'All Menu'!B:M, 3, 0)</f>
        <v>المشاوي سفري</v>
      </c>
      <c r="G1789" s="90" t="s">
        <v>2396</v>
      </c>
      <c r="H1789" s="219" t="s">
        <v>582</v>
      </c>
      <c r="I1789" s="110" t="str">
        <f>VLOOKUP(H1789, 'RM &amp; SF'!B:H, 2, 0)</f>
        <v>بيواز</v>
      </c>
      <c r="J1789" s="184" t="str">
        <f>VLOOKUP(H1789, 'RM &amp; SF'!B:E, 4, 0)</f>
        <v>غم</v>
      </c>
      <c r="K1789" s="12">
        <v>100</v>
      </c>
      <c r="L1789" s="13">
        <f>VLOOKUP(H1789, 'RM &amp; SF'!B:H, 7, 0)</f>
        <v>2.0666065869244635E-4</v>
      </c>
      <c r="M1789" s="7">
        <f t="shared" si="92"/>
        <v>2.0666065869244635E-2</v>
      </c>
      <c r="N1789" s="4" t="s">
        <v>825</v>
      </c>
      <c r="O1789" s="4">
        <f>VLOOKUP(B1789, 'All Menu'!B:L, 6, 0)</f>
        <v>13.793103448275863</v>
      </c>
      <c r="P1789" s="6">
        <f>VLOOKUP(B1789, 'All Menu'!B:L, 9, 0)</f>
        <v>5.2933006210056091</v>
      </c>
      <c r="Q1789" s="14">
        <f>VLOOKUP(B1789, 'All Menu'!B:M, 12, 0)</f>
        <v>0.61623570497709346</v>
      </c>
      <c r="R1789" s="173">
        <f t="shared" si="93"/>
        <v>0</v>
      </c>
    </row>
    <row r="1790" spans="1:18" ht="14" hidden="1">
      <c r="A1790" s="78" t="s">
        <v>2758</v>
      </c>
      <c r="B1790" s="220" t="s">
        <v>951</v>
      </c>
      <c r="C1790" s="185"/>
      <c r="D1790" s="103" t="str">
        <f>VLOOKUP(B1790, 'All Menu'!B:M, 4, 0)</f>
        <v>كباب دجاج /1 كيلو</v>
      </c>
      <c r="E1790" s="30" t="str">
        <f>VLOOKUP(B1790, 'All Menu'!B:M, 2, 0)</f>
        <v>قسم المشاوي</v>
      </c>
      <c r="F1790" s="103" t="str">
        <f>VLOOKUP(B1790, 'All Menu'!B:M, 3, 0)</f>
        <v>المشاوي سفري</v>
      </c>
      <c r="G1790" s="90" t="s">
        <v>2331</v>
      </c>
      <c r="H1790" s="219" t="s">
        <v>530</v>
      </c>
      <c r="I1790" s="110" t="str">
        <f>VLOOKUP(H1790, 'RM &amp; SF'!B:H, 2, 0)</f>
        <v>خبز صاج</v>
      </c>
      <c r="J1790" s="184" t="str">
        <f>VLOOKUP(H1790, 'RM &amp; SF'!B:E, 4, 0)</f>
        <v>غم</v>
      </c>
      <c r="K1790" s="12">
        <v>300</v>
      </c>
      <c r="L1790" s="13">
        <f>VLOOKUP(H1790, 'RM &amp; SF'!B:H, 7, 0)</f>
        <v>1.8806451612903227E-4</v>
      </c>
      <c r="M1790" s="7">
        <f t="shared" si="92"/>
        <v>5.6419354838709683E-2</v>
      </c>
      <c r="N1790" s="4" t="s">
        <v>825</v>
      </c>
      <c r="O1790" s="4">
        <f>VLOOKUP(B1790, 'All Menu'!B:L, 6, 0)</f>
        <v>13.793103448275863</v>
      </c>
      <c r="P1790" s="6">
        <f>VLOOKUP(B1790, 'All Menu'!B:L, 9, 0)</f>
        <v>5.2933006210056091</v>
      </c>
      <c r="Q1790" s="14">
        <f>VLOOKUP(B1790, 'All Menu'!B:M, 12, 0)</f>
        <v>0.61623570497709346</v>
      </c>
      <c r="R1790" s="173">
        <f t="shared" si="93"/>
        <v>0</v>
      </c>
    </row>
    <row r="1791" spans="1:18" ht="14" hidden="1">
      <c r="A1791" s="78" t="s">
        <v>2758</v>
      </c>
      <c r="B1791" s="220" t="s">
        <v>951</v>
      </c>
      <c r="C1791" s="185"/>
      <c r="D1791" s="103" t="str">
        <f>VLOOKUP(B1791, 'All Menu'!B:M, 4, 0)</f>
        <v>كباب دجاج /1 كيلو</v>
      </c>
      <c r="E1791" s="30" t="str">
        <f>VLOOKUP(B1791, 'All Menu'!B:M, 2, 0)</f>
        <v>قسم المشاوي</v>
      </c>
      <c r="F1791" s="103" t="str">
        <f>VLOOKUP(B1791, 'All Menu'!B:M, 3, 0)</f>
        <v>المشاوي سفري</v>
      </c>
      <c r="G1791" s="90" t="s">
        <v>2231</v>
      </c>
      <c r="H1791" s="188">
        <v>4499</v>
      </c>
      <c r="I1791" s="110" t="str">
        <f>VLOOKUP(H1791, 'RM &amp; SF'!B:H, 2, 0)</f>
        <v>فلفل حار اخضر*****</v>
      </c>
      <c r="J1791" s="184" t="str">
        <f>VLOOKUP(H1791, 'RM &amp; SF'!B:E, 4, 0)</f>
        <v>غم</v>
      </c>
      <c r="K1791" s="12">
        <v>40</v>
      </c>
      <c r="L1791" s="13">
        <f>VLOOKUP(H1791, 'RM &amp; SF'!B:H, 7, 0)</f>
        <v>5.0000000000000001E-4</v>
      </c>
      <c r="M1791" s="7">
        <f t="shared" si="92"/>
        <v>0.02</v>
      </c>
      <c r="N1791" s="4" t="s">
        <v>825</v>
      </c>
      <c r="O1791" s="4">
        <f>VLOOKUP(B1791, 'All Menu'!B:L, 6, 0)</f>
        <v>13.793103448275863</v>
      </c>
      <c r="P1791" s="6">
        <f>VLOOKUP(B1791, 'All Menu'!B:L, 9, 0)</f>
        <v>5.2933006210056091</v>
      </c>
      <c r="Q1791" s="14">
        <f>VLOOKUP(B1791, 'All Menu'!B:M, 12, 0)</f>
        <v>0.61623570497709346</v>
      </c>
      <c r="R1791" s="173">
        <f t="shared" si="93"/>
        <v>0</v>
      </c>
    </row>
    <row r="1792" spans="1:18" ht="14" hidden="1">
      <c r="A1792" s="78" t="s">
        <v>2758</v>
      </c>
      <c r="B1792" s="220" t="s">
        <v>951</v>
      </c>
      <c r="C1792" s="185"/>
      <c r="D1792" s="103" t="str">
        <f>VLOOKUP(B1792, 'All Menu'!B:M, 4, 0)</f>
        <v>كباب دجاج /1 كيلو</v>
      </c>
      <c r="E1792" s="30" t="str">
        <f>VLOOKUP(B1792, 'All Menu'!B:M, 2, 0)</f>
        <v>قسم المشاوي</v>
      </c>
      <c r="F1792" s="103" t="str">
        <f>VLOOKUP(B1792, 'All Menu'!B:M, 3, 0)</f>
        <v>المشاوي سفري</v>
      </c>
      <c r="G1792" s="90" t="s">
        <v>2325</v>
      </c>
      <c r="H1792" s="219" t="s">
        <v>534</v>
      </c>
      <c r="I1792" s="110" t="str">
        <f>VLOOKUP(H1792, 'RM &amp; SF'!B:H, 2, 0)</f>
        <v>مثومه</v>
      </c>
      <c r="J1792" s="184" t="str">
        <f>VLOOKUP(H1792, 'RM &amp; SF'!B:E, 4, 0)</f>
        <v>غم</v>
      </c>
      <c r="K1792" s="12">
        <v>150</v>
      </c>
      <c r="L1792" s="13">
        <f>VLOOKUP(H1792, 'RM &amp; SF'!B:H, 7, 0)</f>
        <v>6.6564092227821051E-4</v>
      </c>
      <c r="M1792" s="7">
        <f t="shared" si="92"/>
        <v>9.9846138341731575E-2</v>
      </c>
      <c r="N1792" s="4" t="s">
        <v>825</v>
      </c>
      <c r="O1792" s="4">
        <f>VLOOKUP(B1792, 'All Menu'!B:L, 6, 0)</f>
        <v>13.793103448275863</v>
      </c>
      <c r="P1792" s="6">
        <f>VLOOKUP(B1792, 'All Menu'!B:L, 9, 0)</f>
        <v>5.2933006210056091</v>
      </c>
      <c r="Q1792" s="14">
        <f>VLOOKUP(B1792, 'All Menu'!B:M, 12, 0)</f>
        <v>0.61623570497709346</v>
      </c>
      <c r="R1792" s="173">
        <f t="shared" si="93"/>
        <v>0</v>
      </c>
    </row>
    <row r="1793" spans="1:18" ht="14" hidden="1">
      <c r="A1793" s="78" t="s">
        <v>2758</v>
      </c>
      <c r="B1793" s="220" t="s">
        <v>951</v>
      </c>
      <c r="C1793" s="185"/>
      <c r="D1793" s="103" t="str">
        <f>VLOOKUP(B1793, 'All Menu'!B:M, 4, 0)</f>
        <v>كباب دجاج /1 كيلو</v>
      </c>
      <c r="E1793" s="30" t="str">
        <f>VLOOKUP(B1793, 'All Menu'!B:M, 2, 0)</f>
        <v>قسم المشاوي</v>
      </c>
      <c r="F1793" s="103" t="str">
        <f>VLOOKUP(B1793, 'All Menu'!B:M, 3, 0)</f>
        <v>المشاوي سفري</v>
      </c>
      <c r="G1793" s="90" t="s">
        <v>3058</v>
      </c>
      <c r="H1793" s="188">
        <v>4285</v>
      </c>
      <c r="I1793" s="110" t="str">
        <f>VLOOKUP(H1793, 'RM &amp; SF'!B:H, 2, 0)</f>
        <v>علب بلاستيك مربع متصل 150 مل*****</v>
      </c>
      <c r="J1793" s="184" t="str">
        <f>VLOOKUP(H1793, 'RM &amp; SF'!B:E, 4, 0)</f>
        <v>قطعة</v>
      </c>
      <c r="K1793" s="12">
        <v>1</v>
      </c>
      <c r="L1793" s="13">
        <f>VLOOKUP(H1793, 'RM &amp; SF'!B:H, 7, 0)</f>
        <v>1.494E-2</v>
      </c>
      <c r="M1793" s="7">
        <f t="shared" si="92"/>
        <v>1.494E-2</v>
      </c>
      <c r="N1793" s="4" t="s">
        <v>825</v>
      </c>
      <c r="O1793" s="4">
        <f>VLOOKUP(B1793, 'All Menu'!B:L, 6, 0)</f>
        <v>13.793103448275863</v>
      </c>
      <c r="P1793" s="6">
        <f>VLOOKUP(B1793, 'All Menu'!B:L, 9, 0)</f>
        <v>5.2933006210056091</v>
      </c>
      <c r="Q1793" s="14">
        <f>VLOOKUP(B1793, 'All Menu'!B:M, 12, 0)</f>
        <v>0.61623570497709346</v>
      </c>
      <c r="R1793" s="173">
        <f t="shared" si="93"/>
        <v>0</v>
      </c>
    </row>
    <row r="1794" spans="1:18" ht="14" hidden="1">
      <c r="A1794" s="78" t="s">
        <v>2758</v>
      </c>
      <c r="B1794" s="220" t="s">
        <v>951</v>
      </c>
      <c r="C1794" s="185"/>
      <c r="D1794" s="103" t="str">
        <f>VLOOKUP(B1794, 'All Menu'!B:M, 4, 0)</f>
        <v>كباب دجاج /1 كيلو</v>
      </c>
      <c r="E1794" s="30" t="str">
        <f>VLOOKUP(B1794, 'All Menu'!B:M, 2, 0)</f>
        <v>قسم المشاوي</v>
      </c>
      <c r="F1794" s="103" t="str">
        <f>VLOOKUP(B1794, 'All Menu'!B:M, 3, 0)</f>
        <v>المشاوي سفري</v>
      </c>
      <c r="G1794" s="90" t="s">
        <v>2352</v>
      </c>
      <c r="H1794" s="219" t="s">
        <v>730</v>
      </c>
      <c r="I1794" s="110" t="str">
        <f>VLOOKUP(H1794, 'RM &amp; SF'!B:H, 2, 0)</f>
        <v>علبة حمص سفري 250غم</v>
      </c>
      <c r="J1794" s="184" t="str">
        <f>VLOOKUP(H1794, 'RM &amp; SF'!B:E, 4, 0)</f>
        <v>قطعة</v>
      </c>
      <c r="K1794" s="12">
        <v>1</v>
      </c>
      <c r="L1794" s="13">
        <f>VLOOKUP(H1794, 'RM &amp; SF'!B:H, 7, 0)</f>
        <v>0.43221253476702504</v>
      </c>
      <c r="M1794" s="7">
        <f t="shared" si="92"/>
        <v>0.43221253476702504</v>
      </c>
      <c r="N1794" s="4" t="s">
        <v>825</v>
      </c>
      <c r="O1794" s="4">
        <f>VLOOKUP(B1794, 'All Menu'!B:L, 6, 0)</f>
        <v>13.793103448275863</v>
      </c>
      <c r="P1794" s="6">
        <f>VLOOKUP(B1794, 'All Menu'!B:L, 9, 0)</f>
        <v>5.2933006210056091</v>
      </c>
      <c r="Q1794" s="14">
        <f>VLOOKUP(B1794, 'All Menu'!B:M, 12, 0)</f>
        <v>0.61623570497709346</v>
      </c>
      <c r="R1794" s="173">
        <f t="shared" si="93"/>
        <v>0</v>
      </c>
    </row>
    <row r="1795" spans="1:18" ht="14" hidden="1">
      <c r="A1795" s="78" t="s">
        <v>2758</v>
      </c>
      <c r="B1795" s="220" t="s">
        <v>951</v>
      </c>
      <c r="C1795" s="185"/>
      <c r="D1795" s="103" t="str">
        <f>VLOOKUP(B1795, 'All Menu'!B:M, 4, 0)</f>
        <v>كباب دجاج /1 كيلو</v>
      </c>
      <c r="E1795" s="30" t="str">
        <f>VLOOKUP(B1795, 'All Menu'!B:M, 2, 0)</f>
        <v>قسم المشاوي</v>
      </c>
      <c r="F1795" s="103" t="str">
        <f>VLOOKUP(B1795, 'All Menu'!B:M, 3, 0)</f>
        <v>المشاوي سفري</v>
      </c>
      <c r="G1795" s="90" t="s">
        <v>2198</v>
      </c>
      <c r="H1795" s="188">
        <v>4348</v>
      </c>
      <c r="I1795" s="110" t="str">
        <f>VLOOKUP(H1795, 'RM &amp; SF'!B:H, 2, 0)</f>
        <v>صحن كرتون بيضوي مذهب 42 سم (رقم 3)*****</v>
      </c>
      <c r="J1795" s="184" t="str">
        <f>VLOOKUP(H1795, 'RM &amp; SF'!B:E, 4, 0)</f>
        <v>قطعة</v>
      </c>
      <c r="K1795" s="12">
        <v>1</v>
      </c>
      <c r="L1795" s="13">
        <f>VLOOKUP(H1795, 'RM &amp; SF'!B:H, 7, 0)</f>
        <v>0.29299999999999998</v>
      </c>
      <c r="M1795" s="7">
        <f t="shared" si="92"/>
        <v>0.29299999999999998</v>
      </c>
      <c r="N1795" s="4" t="s">
        <v>825</v>
      </c>
      <c r="O1795" s="4">
        <f>VLOOKUP(B1795, 'All Menu'!B:L, 6, 0)</f>
        <v>13.793103448275863</v>
      </c>
      <c r="P1795" s="6">
        <f>VLOOKUP(B1795, 'All Menu'!B:L, 9, 0)</f>
        <v>5.2933006210056091</v>
      </c>
      <c r="Q1795" s="14">
        <f>VLOOKUP(B1795, 'All Menu'!B:M, 12, 0)</f>
        <v>0.61623570497709346</v>
      </c>
      <c r="R1795" s="173">
        <f t="shared" si="93"/>
        <v>0</v>
      </c>
    </row>
    <row r="1796" spans="1:18" ht="14" hidden="1">
      <c r="A1796" s="78" t="s">
        <v>2758</v>
      </c>
      <c r="B1796" s="220" t="s">
        <v>951</v>
      </c>
      <c r="C1796" s="185"/>
      <c r="D1796" s="103" t="str">
        <f>VLOOKUP(B1796, 'All Menu'!B:M, 4, 0)</f>
        <v>كباب دجاج /1 كيلو</v>
      </c>
      <c r="E1796" s="30" t="str">
        <f>VLOOKUP(B1796, 'All Menu'!B:M, 2, 0)</f>
        <v>قسم المشاوي</v>
      </c>
      <c r="F1796" s="103" t="str">
        <f>VLOOKUP(B1796, 'All Menu'!B:M, 3, 0)</f>
        <v>المشاوي سفري</v>
      </c>
      <c r="G1796" s="90" t="s">
        <v>3058</v>
      </c>
      <c r="H1796" s="188">
        <v>4269</v>
      </c>
      <c r="I1796" s="110" t="str">
        <f>VLOOKUP(H1796, 'RM &amp; SF'!B:H, 2, 0)</f>
        <v>بكجات مشاوي مطبوع رقم 3 1*50 حبة*****</v>
      </c>
      <c r="J1796" s="184" t="str">
        <f>VLOOKUP(H1796, 'RM &amp; SF'!B:E, 4, 0)</f>
        <v>قطعة</v>
      </c>
      <c r="K1796" s="12">
        <v>1</v>
      </c>
      <c r="L1796" s="13">
        <f>VLOOKUP(H1796, 'RM &amp; SF'!B:H, 7, 0)</f>
        <v>0.37068965517241381</v>
      </c>
      <c r="M1796" s="7">
        <f t="shared" si="92"/>
        <v>0.37068965517241381</v>
      </c>
      <c r="N1796" s="4" t="s">
        <v>825</v>
      </c>
      <c r="O1796" s="4">
        <f>VLOOKUP(B1796, 'All Menu'!B:L, 6, 0)</f>
        <v>13.793103448275863</v>
      </c>
      <c r="P1796" s="6">
        <f>VLOOKUP(B1796, 'All Menu'!B:L, 9, 0)</f>
        <v>5.2933006210056091</v>
      </c>
      <c r="Q1796" s="14">
        <f>VLOOKUP(B1796, 'All Menu'!B:M, 12, 0)</f>
        <v>0.61623570497709346</v>
      </c>
      <c r="R1796" s="173">
        <f t="shared" si="93"/>
        <v>0</v>
      </c>
    </row>
    <row r="1797" spans="1:18" ht="14" hidden="1">
      <c r="A1797" s="78" t="s">
        <v>2758</v>
      </c>
      <c r="B1797" s="220" t="s">
        <v>951</v>
      </c>
      <c r="C1797" s="185"/>
      <c r="D1797" s="103" t="str">
        <f>VLOOKUP(B1797, 'All Menu'!B:M, 4, 0)</f>
        <v>كباب دجاج /1 كيلو</v>
      </c>
      <c r="E1797" s="30" t="str">
        <f>VLOOKUP(B1797, 'All Menu'!B:M, 2, 0)</f>
        <v>قسم المشاوي</v>
      </c>
      <c r="F1797" s="103" t="str">
        <f>VLOOKUP(B1797, 'All Menu'!B:M, 3, 0)</f>
        <v>المشاوي سفري</v>
      </c>
      <c r="G1797" s="90" t="s">
        <v>2194</v>
      </c>
      <c r="H1797" s="188">
        <v>4323</v>
      </c>
      <c r="I1797" s="110" t="str">
        <f>VLOOKUP(H1797, 'RM &amp; SF'!B:H, 2, 0)</f>
        <v>قصدير رول 45 سم*2كغ*****</v>
      </c>
      <c r="J1797" s="184" t="str">
        <f>VLOOKUP(H1797, 'RM &amp; SF'!B:E, 4, 0)</f>
        <v>غم</v>
      </c>
      <c r="K1797" s="12">
        <v>0.06</v>
      </c>
      <c r="L1797" s="13">
        <f>VLOOKUP(H1797, 'RM &amp; SF'!B:H, 7, 0)</f>
        <v>1.7240000000000001E-3</v>
      </c>
      <c r="M1797" s="7">
        <f t="shared" si="92"/>
        <v>1.0344E-4</v>
      </c>
      <c r="N1797" s="4" t="s">
        <v>825</v>
      </c>
      <c r="O1797" s="4">
        <f>VLOOKUP(B1797, 'All Menu'!B:L, 6, 0)</f>
        <v>13.793103448275863</v>
      </c>
      <c r="P1797" s="6">
        <f>VLOOKUP(B1797, 'All Menu'!B:L, 9, 0)</f>
        <v>5.2933006210056091</v>
      </c>
      <c r="Q1797" s="14">
        <f>VLOOKUP(B1797, 'All Menu'!B:M, 12, 0)</f>
        <v>0.61623570497709346</v>
      </c>
      <c r="R1797" s="173">
        <f t="shared" si="93"/>
        <v>0</v>
      </c>
    </row>
    <row r="1798" spans="1:18" ht="14" hidden="1">
      <c r="A1798" s="78" t="s">
        <v>2752</v>
      </c>
      <c r="B1798" s="220" t="s">
        <v>952</v>
      </c>
      <c r="C1798" s="185"/>
      <c r="D1798" s="103" t="str">
        <f>VLOOKUP(B1798, 'All Menu'!B:M, 4, 0)</f>
        <v>كباب مشوي / 1 كيلو</v>
      </c>
      <c r="E1798" s="30" t="str">
        <f>VLOOKUP(B1798, 'All Menu'!B:M, 2, 0)</f>
        <v>قسم المشاوي</v>
      </c>
      <c r="F1798" s="103" t="str">
        <f>VLOOKUP(B1798, 'All Menu'!B:M, 3, 0)</f>
        <v>المشاوي سفري</v>
      </c>
      <c r="G1798" s="90" t="s">
        <v>2453</v>
      </c>
      <c r="H1798" s="219" t="s">
        <v>536</v>
      </c>
      <c r="I1798" s="110" t="str">
        <f>VLOOKUP(H1798, 'RM &amp; SF'!B:H, 2, 0)</f>
        <v>كباب</v>
      </c>
      <c r="J1798" s="184" t="str">
        <f>VLOOKUP(H1798, 'RM &amp; SF'!B:E, 4, 0)</f>
        <v>غم</v>
      </c>
      <c r="K1798" s="12">
        <v>1000</v>
      </c>
      <c r="L1798" s="13">
        <f>VLOOKUP(H1798, 'RM &amp; SF'!B:H, 7, 0)</f>
        <v>1.1636090242685134E-2</v>
      </c>
      <c r="M1798" s="7">
        <f t="shared" si="92"/>
        <v>11.636090242685134</v>
      </c>
      <c r="N1798" s="4" t="s">
        <v>825</v>
      </c>
      <c r="O1798" s="4">
        <f>VLOOKUP(B1798, 'All Menu'!B:L, 6, 0)</f>
        <v>18.53448275862069</v>
      </c>
      <c r="P1798" s="6">
        <f>VLOOKUP(B1798, 'All Menu'!B:L, 9, 0)</f>
        <v>12.512937550011697</v>
      </c>
      <c r="Q1798" s="14">
        <f>VLOOKUP(B1798, 'All Menu'!B:M, 12, 0)</f>
        <v>0.32488336939471774</v>
      </c>
      <c r="R1798" s="173">
        <f t="shared" si="93"/>
        <v>0</v>
      </c>
    </row>
    <row r="1799" spans="1:18" ht="14" hidden="1">
      <c r="A1799" s="78" t="s">
        <v>2752</v>
      </c>
      <c r="B1799" s="220" t="s">
        <v>952</v>
      </c>
      <c r="C1799" s="185"/>
      <c r="D1799" s="103" t="str">
        <f>VLOOKUP(B1799, 'All Menu'!B:M, 4, 0)</f>
        <v>كباب مشوي / 1 كيلو</v>
      </c>
      <c r="E1799" s="30" t="str">
        <f>VLOOKUP(B1799, 'All Menu'!B:M, 2, 0)</f>
        <v>قسم المشاوي</v>
      </c>
      <c r="F1799" s="103" t="str">
        <f>VLOOKUP(B1799, 'All Menu'!B:M, 3, 0)</f>
        <v>المشاوي سفري</v>
      </c>
      <c r="G1799" s="90" t="s">
        <v>2235</v>
      </c>
      <c r="H1799" s="188">
        <v>4504</v>
      </c>
      <c r="I1799" s="110" t="str">
        <f>VLOOKUP(H1799, 'RM &amp; SF'!B:H, 2, 0)</f>
        <v>بصل مشاوي (بصل بيبي)***</v>
      </c>
      <c r="J1799" s="184" t="str">
        <f>VLOOKUP(H1799, 'RM &amp; SF'!B:E, 4, 0)</f>
        <v>غم</v>
      </c>
      <c r="K1799" s="12">
        <v>150</v>
      </c>
      <c r="L1799" s="13">
        <f>VLOOKUP(H1799, 'RM &amp; SF'!B:H, 7, 0)</f>
        <v>3.5E-4</v>
      </c>
      <c r="M1799" s="7">
        <f t="shared" si="92"/>
        <v>5.2499999999999998E-2</v>
      </c>
      <c r="N1799" s="4" t="s">
        <v>825</v>
      </c>
      <c r="O1799" s="4">
        <f>VLOOKUP(B1799, 'All Menu'!B:L, 6, 0)</f>
        <v>18.53448275862069</v>
      </c>
      <c r="P1799" s="6">
        <f>VLOOKUP(B1799, 'All Menu'!B:L, 9, 0)</f>
        <v>12.512937550011697</v>
      </c>
      <c r="Q1799" s="14">
        <f>VLOOKUP(B1799, 'All Menu'!B:M, 12, 0)</f>
        <v>0.32488336939471774</v>
      </c>
      <c r="R1799" s="173">
        <f t="shared" si="93"/>
        <v>0</v>
      </c>
    </row>
    <row r="1800" spans="1:18" ht="14" hidden="1">
      <c r="A1800" s="78" t="s">
        <v>2752</v>
      </c>
      <c r="B1800" s="220" t="s">
        <v>952</v>
      </c>
      <c r="C1800" s="185"/>
      <c r="D1800" s="103" t="str">
        <f>VLOOKUP(B1800, 'All Menu'!B:M, 4, 0)</f>
        <v>كباب مشوي / 1 كيلو</v>
      </c>
      <c r="E1800" s="30" t="str">
        <f>VLOOKUP(B1800, 'All Menu'!B:M, 2, 0)</f>
        <v>قسم المشاوي</v>
      </c>
      <c r="F1800" s="103" t="str">
        <f>VLOOKUP(B1800, 'All Menu'!B:M, 3, 0)</f>
        <v>المشاوي سفري</v>
      </c>
      <c r="G1800" s="90" t="s">
        <v>2257</v>
      </c>
      <c r="H1800" s="188">
        <v>5281</v>
      </c>
      <c r="I1800" s="110" t="str">
        <f>VLOOKUP(H1800, 'RM &amp; SF'!B:H, 2, 0)</f>
        <v>بندوره مشاوي</v>
      </c>
      <c r="J1800" s="184" t="str">
        <f>VLOOKUP(H1800, 'RM &amp; SF'!B:E, 4, 0)</f>
        <v>غم</v>
      </c>
      <c r="K1800" s="12">
        <v>160</v>
      </c>
      <c r="L1800" s="13">
        <f>VLOOKUP(H1800, 'RM &amp; SF'!B:H, 7, 0)</f>
        <v>4.0000000000000002E-4</v>
      </c>
      <c r="M1800" s="7">
        <f t="shared" si="92"/>
        <v>6.4000000000000001E-2</v>
      </c>
      <c r="N1800" s="4" t="s">
        <v>825</v>
      </c>
      <c r="O1800" s="4">
        <f>VLOOKUP(B1800, 'All Menu'!B:L, 6, 0)</f>
        <v>18.53448275862069</v>
      </c>
      <c r="P1800" s="6">
        <f>VLOOKUP(B1800, 'All Menu'!B:L, 9, 0)</f>
        <v>12.512937550011697</v>
      </c>
      <c r="Q1800" s="14">
        <f>VLOOKUP(B1800, 'All Menu'!B:M, 12, 0)</f>
        <v>0.32488336939471774</v>
      </c>
      <c r="R1800" s="173">
        <f t="shared" si="93"/>
        <v>0</v>
      </c>
    </row>
    <row r="1801" spans="1:18" ht="14" hidden="1">
      <c r="A1801" s="78" t="s">
        <v>2752</v>
      </c>
      <c r="B1801" s="220" t="s">
        <v>952</v>
      </c>
      <c r="C1801" s="185"/>
      <c r="D1801" s="103" t="str">
        <f>VLOOKUP(B1801, 'All Menu'!B:M, 4, 0)</f>
        <v>كباب مشوي / 1 كيلو</v>
      </c>
      <c r="E1801" s="30" t="str">
        <f>VLOOKUP(B1801, 'All Menu'!B:M, 2, 0)</f>
        <v>قسم المشاوي</v>
      </c>
      <c r="F1801" s="103" t="str">
        <f>VLOOKUP(B1801, 'All Menu'!B:M, 3, 0)</f>
        <v>المشاوي سفري</v>
      </c>
      <c r="G1801" s="90" t="s">
        <v>2396</v>
      </c>
      <c r="H1801" s="219" t="s">
        <v>582</v>
      </c>
      <c r="I1801" s="110" t="str">
        <f>VLOOKUP(H1801, 'RM &amp; SF'!B:H, 2, 0)</f>
        <v>بيواز</v>
      </c>
      <c r="J1801" s="184" t="str">
        <f>VLOOKUP(H1801, 'RM &amp; SF'!B:E, 4, 0)</f>
        <v>غم</v>
      </c>
      <c r="K1801" s="12">
        <v>40</v>
      </c>
      <c r="L1801" s="13">
        <f>VLOOKUP(H1801, 'RM &amp; SF'!B:H, 7, 0)</f>
        <v>2.0666065869244635E-4</v>
      </c>
      <c r="M1801" s="7">
        <f t="shared" si="92"/>
        <v>8.2664263476978535E-3</v>
      </c>
      <c r="N1801" s="4" t="s">
        <v>825</v>
      </c>
      <c r="O1801" s="4">
        <f>VLOOKUP(B1801, 'All Menu'!B:L, 6, 0)</f>
        <v>18.53448275862069</v>
      </c>
      <c r="P1801" s="6">
        <f>VLOOKUP(B1801, 'All Menu'!B:L, 9, 0)</f>
        <v>12.512937550011697</v>
      </c>
      <c r="Q1801" s="14">
        <f>VLOOKUP(B1801, 'All Menu'!B:M, 12, 0)</f>
        <v>0.32488336939471774</v>
      </c>
      <c r="R1801" s="173">
        <f t="shared" si="93"/>
        <v>0</v>
      </c>
    </row>
    <row r="1802" spans="1:18" ht="14" hidden="1">
      <c r="A1802" s="78" t="s">
        <v>2752</v>
      </c>
      <c r="B1802" s="220" t="s">
        <v>952</v>
      </c>
      <c r="C1802" s="185"/>
      <c r="D1802" s="103" t="str">
        <f>VLOOKUP(B1802, 'All Menu'!B:M, 4, 0)</f>
        <v>كباب مشوي / 1 كيلو</v>
      </c>
      <c r="E1802" s="30" t="str">
        <f>VLOOKUP(B1802, 'All Menu'!B:M, 2, 0)</f>
        <v>قسم المشاوي</v>
      </c>
      <c r="F1802" s="103" t="str">
        <f>VLOOKUP(B1802, 'All Menu'!B:M, 3, 0)</f>
        <v>المشاوي سفري</v>
      </c>
      <c r="G1802" s="90" t="s">
        <v>2331</v>
      </c>
      <c r="H1802" s="219" t="s">
        <v>530</v>
      </c>
      <c r="I1802" s="110" t="str">
        <f>VLOOKUP(H1802, 'RM &amp; SF'!B:H, 2, 0)</f>
        <v>خبز صاج</v>
      </c>
      <c r="J1802" s="184" t="str">
        <f>VLOOKUP(H1802, 'RM &amp; SF'!B:E, 4, 0)</f>
        <v>غم</v>
      </c>
      <c r="K1802" s="12">
        <f>90*4</f>
        <v>360</v>
      </c>
      <c r="L1802" s="13">
        <f>VLOOKUP(H1802, 'RM &amp; SF'!B:H, 7, 0)</f>
        <v>1.8806451612903227E-4</v>
      </c>
      <c r="M1802" s="7">
        <f t="shared" si="92"/>
        <v>6.770322580645162E-2</v>
      </c>
      <c r="N1802" s="4" t="s">
        <v>825</v>
      </c>
      <c r="O1802" s="4">
        <f>VLOOKUP(B1802, 'All Menu'!B:L, 6, 0)</f>
        <v>18.53448275862069</v>
      </c>
      <c r="P1802" s="6">
        <f>VLOOKUP(B1802, 'All Menu'!B:L, 9, 0)</f>
        <v>12.512937550011697</v>
      </c>
      <c r="Q1802" s="14">
        <f>VLOOKUP(B1802, 'All Menu'!B:M, 12, 0)</f>
        <v>0.32488336939471774</v>
      </c>
      <c r="R1802" s="173">
        <f t="shared" si="93"/>
        <v>0</v>
      </c>
    </row>
    <row r="1803" spans="1:18" ht="14" hidden="1">
      <c r="A1803" s="78" t="s">
        <v>2752</v>
      </c>
      <c r="B1803" s="220" t="s">
        <v>952</v>
      </c>
      <c r="C1803" s="185"/>
      <c r="D1803" s="103" t="str">
        <f>VLOOKUP(B1803, 'All Menu'!B:M, 4, 0)</f>
        <v>كباب مشوي / 1 كيلو</v>
      </c>
      <c r="E1803" s="30" t="str">
        <f>VLOOKUP(B1803, 'All Menu'!B:M, 2, 0)</f>
        <v>قسم المشاوي</v>
      </c>
      <c r="F1803" s="103" t="str">
        <f>VLOOKUP(B1803, 'All Menu'!B:M, 3, 0)</f>
        <v>المشاوي سفري</v>
      </c>
      <c r="G1803" s="90" t="s">
        <v>2198</v>
      </c>
      <c r="H1803" s="188">
        <v>4348</v>
      </c>
      <c r="I1803" s="110" t="str">
        <f>VLOOKUP(H1803, 'RM &amp; SF'!B:H, 2, 0)</f>
        <v>صحن كرتون بيضوي مذهب 42 سم (رقم 3)*****</v>
      </c>
      <c r="J1803" s="184" t="str">
        <f>VLOOKUP(H1803, 'RM &amp; SF'!B:E, 4, 0)</f>
        <v>قطعة</v>
      </c>
      <c r="K1803" s="12">
        <v>1</v>
      </c>
      <c r="L1803" s="13">
        <f>VLOOKUP(H1803, 'RM &amp; SF'!B:H, 7, 0)</f>
        <v>0.29299999999999998</v>
      </c>
      <c r="M1803" s="7">
        <f t="shared" ref="M1803:M1865" si="94">L1803*K1803</f>
        <v>0.29299999999999998</v>
      </c>
      <c r="N1803" s="4" t="s">
        <v>825</v>
      </c>
      <c r="O1803" s="4">
        <f>VLOOKUP(B1803, 'All Menu'!B:L, 6, 0)</f>
        <v>18.53448275862069</v>
      </c>
      <c r="P1803" s="6">
        <f>VLOOKUP(B1803, 'All Menu'!B:L, 9, 0)</f>
        <v>12.512937550011697</v>
      </c>
      <c r="Q1803" s="14">
        <f>VLOOKUP(B1803, 'All Menu'!B:M, 12, 0)</f>
        <v>0.32488336939471774</v>
      </c>
      <c r="R1803" s="173">
        <f t="shared" si="93"/>
        <v>0</v>
      </c>
    </row>
    <row r="1804" spans="1:18" ht="14" hidden="1">
      <c r="A1804" s="78" t="s">
        <v>2752</v>
      </c>
      <c r="B1804" s="220" t="s">
        <v>952</v>
      </c>
      <c r="C1804" s="185"/>
      <c r="D1804" s="103" t="str">
        <f>VLOOKUP(B1804, 'All Menu'!B:M, 4, 0)</f>
        <v>كباب مشوي / 1 كيلو</v>
      </c>
      <c r="E1804" s="30" t="str">
        <f>VLOOKUP(B1804, 'All Menu'!B:M, 2, 0)</f>
        <v>قسم المشاوي</v>
      </c>
      <c r="F1804" s="103" t="str">
        <f>VLOOKUP(B1804, 'All Menu'!B:M, 3, 0)</f>
        <v>المشاوي سفري</v>
      </c>
      <c r="G1804" s="90" t="s">
        <v>3058</v>
      </c>
      <c r="H1804" s="188">
        <v>4269</v>
      </c>
      <c r="I1804" s="110" t="str">
        <f>VLOOKUP(H1804, 'RM &amp; SF'!B:H, 2, 0)</f>
        <v>بكجات مشاوي مطبوع رقم 3 1*50 حبة*****</v>
      </c>
      <c r="J1804" s="184" t="str">
        <f>VLOOKUP(H1804, 'RM &amp; SF'!B:E, 4, 0)</f>
        <v>قطعة</v>
      </c>
      <c r="K1804" s="12">
        <v>1</v>
      </c>
      <c r="L1804" s="13">
        <f>VLOOKUP(H1804, 'RM &amp; SF'!B:H, 7, 0)</f>
        <v>0.37068965517241381</v>
      </c>
      <c r="M1804" s="7">
        <f t="shared" si="94"/>
        <v>0.37068965517241381</v>
      </c>
      <c r="N1804" s="4" t="s">
        <v>825</v>
      </c>
      <c r="O1804" s="4">
        <f>VLOOKUP(B1804, 'All Menu'!B:L, 6, 0)</f>
        <v>18.53448275862069</v>
      </c>
      <c r="P1804" s="6">
        <f>VLOOKUP(B1804, 'All Menu'!B:L, 9, 0)</f>
        <v>12.512937550011697</v>
      </c>
      <c r="Q1804" s="14">
        <f>VLOOKUP(B1804, 'All Menu'!B:M, 12, 0)</f>
        <v>0.32488336939471774</v>
      </c>
      <c r="R1804" s="173">
        <f t="shared" si="93"/>
        <v>0</v>
      </c>
    </row>
    <row r="1805" spans="1:18" ht="14" hidden="1">
      <c r="A1805" s="78" t="s">
        <v>2752</v>
      </c>
      <c r="B1805" s="220" t="s">
        <v>952</v>
      </c>
      <c r="C1805" s="185"/>
      <c r="D1805" s="103" t="str">
        <f>VLOOKUP(B1805, 'All Menu'!B:M, 4, 0)</f>
        <v>كباب مشوي / 1 كيلو</v>
      </c>
      <c r="E1805" s="30" t="str">
        <f>VLOOKUP(B1805, 'All Menu'!B:M, 2, 0)</f>
        <v>قسم المشاوي</v>
      </c>
      <c r="F1805" s="103" t="str">
        <f>VLOOKUP(B1805, 'All Menu'!B:M, 3, 0)</f>
        <v>المشاوي سفري</v>
      </c>
      <c r="G1805" s="90" t="s">
        <v>2194</v>
      </c>
      <c r="H1805" s="188">
        <v>4323</v>
      </c>
      <c r="I1805" s="110" t="str">
        <f>VLOOKUP(H1805, 'RM &amp; SF'!B:H, 2, 0)</f>
        <v>قصدير رول 45 سم*2كغ*****</v>
      </c>
      <c r="J1805" s="184" t="str">
        <f>VLOOKUP(H1805, 'RM &amp; SF'!B:E, 4, 0)</f>
        <v>غم</v>
      </c>
      <c r="K1805" s="12">
        <v>12</v>
      </c>
      <c r="L1805" s="13">
        <f>VLOOKUP(H1805, 'RM &amp; SF'!B:H, 7, 0)</f>
        <v>1.7240000000000001E-3</v>
      </c>
      <c r="M1805" s="7">
        <f t="shared" si="94"/>
        <v>2.0688000000000002E-2</v>
      </c>
      <c r="N1805" s="4" t="s">
        <v>825</v>
      </c>
      <c r="O1805" s="4">
        <f>VLOOKUP(B1805, 'All Menu'!B:L, 6, 0)</f>
        <v>18.53448275862069</v>
      </c>
      <c r="P1805" s="6">
        <f>VLOOKUP(B1805, 'All Menu'!B:L, 9, 0)</f>
        <v>12.512937550011697</v>
      </c>
      <c r="Q1805" s="14">
        <f>VLOOKUP(B1805, 'All Menu'!B:M, 12, 0)</f>
        <v>0.32488336939471774</v>
      </c>
      <c r="R1805" s="173">
        <f t="shared" si="93"/>
        <v>0</v>
      </c>
    </row>
    <row r="1806" spans="1:18" ht="14" hidden="1">
      <c r="A1806" s="78" t="s">
        <v>2756</v>
      </c>
      <c r="B1806" s="220" t="s">
        <v>953</v>
      </c>
      <c r="C1806" s="185"/>
      <c r="D1806" s="103" t="str">
        <f>VLOOKUP(B1806, 'All Menu'!B:M, 4, 0)</f>
        <v>ريش خاروف / 1 كيلو</v>
      </c>
      <c r="E1806" s="30" t="str">
        <f>VLOOKUP(B1806, 'All Menu'!B:M, 2, 0)</f>
        <v>قسم المشاوي</v>
      </c>
      <c r="F1806" s="103" t="str">
        <f>VLOOKUP(B1806, 'All Menu'!B:M, 3, 0)</f>
        <v>المشاوي سفري</v>
      </c>
      <c r="G1806" s="90" t="s">
        <v>3058</v>
      </c>
      <c r="H1806" s="188">
        <v>4614</v>
      </c>
      <c r="I1806" s="110" t="str">
        <f>VLOOKUP(H1806, 'RM &amp; SF'!B:H, 2, 0)</f>
        <v>ريش ضأن متبلة*****</v>
      </c>
      <c r="J1806" s="184" t="str">
        <f>VLOOKUP(H1806, 'RM &amp; SF'!B:E, 4, 0)</f>
        <v>غم</v>
      </c>
      <c r="K1806" s="12">
        <v>1000</v>
      </c>
      <c r="L1806" s="13">
        <f>VLOOKUP(H1806, 'RM &amp; SF'!B:H, 7, 0)</f>
        <v>1.4E-2</v>
      </c>
      <c r="M1806" s="7">
        <f t="shared" si="94"/>
        <v>14</v>
      </c>
      <c r="N1806" s="4" t="s">
        <v>825</v>
      </c>
      <c r="O1806" s="4">
        <f>VLOOKUP(B1806, 'All Menu'!B:L, 6, 0)</f>
        <v>21.551724137931036</v>
      </c>
      <c r="P1806" s="6">
        <f>VLOOKUP(B1806, 'All Menu'!B:L, 9, 0)</f>
        <v>14.858878515880367</v>
      </c>
      <c r="Q1806" s="14">
        <f>VLOOKUP(B1806, 'All Menu'!B:M, 12, 0)</f>
        <v>0.31054803686315102</v>
      </c>
      <c r="R1806" s="173">
        <f t="shared" si="93"/>
        <v>0</v>
      </c>
    </row>
    <row r="1807" spans="1:18" ht="14" hidden="1">
      <c r="A1807" s="78" t="s">
        <v>2756</v>
      </c>
      <c r="B1807" s="220" t="s">
        <v>953</v>
      </c>
      <c r="C1807" s="185"/>
      <c r="D1807" s="103" t="str">
        <f>VLOOKUP(B1807, 'All Menu'!B:M, 4, 0)</f>
        <v>ريش خاروف / 1 كيلو</v>
      </c>
      <c r="E1807" s="30" t="str">
        <f>VLOOKUP(B1807, 'All Menu'!B:M, 2, 0)</f>
        <v>قسم المشاوي</v>
      </c>
      <c r="F1807" s="103" t="str">
        <f>VLOOKUP(B1807, 'All Menu'!B:M, 3, 0)</f>
        <v>المشاوي سفري</v>
      </c>
      <c r="G1807" s="90" t="s">
        <v>2235</v>
      </c>
      <c r="H1807" s="188">
        <v>4504</v>
      </c>
      <c r="I1807" s="110" t="str">
        <f>VLOOKUP(H1807, 'RM &amp; SF'!B:H, 2, 0)</f>
        <v>بصل مشاوي (بصل بيبي)***</v>
      </c>
      <c r="J1807" s="184" t="str">
        <f>VLOOKUP(H1807, 'RM &amp; SF'!B:E, 4, 0)</f>
        <v>غم</v>
      </c>
      <c r="K1807" s="12">
        <v>120</v>
      </c>
      <c r="L1807" s="13">
        <f>VLOOKUP(H1807, 'RM &amp; SF'!B:H, 7, 0)</f>
        <v>3.5E-4</v>
      </c>
      <c r="M1807" s="7">
        <f t="shared" si="94"/>
        <v>4.2000000000000003E-2</v>
      </c>
      <c r="N1807" s="4" t="s">
        <v>825</v>
      </c>
      <c r="O1807" s="4">
        <f>VLOOKUP(B1807, 'All Menu'!B:L, 6, 0)</f>
        <v>21.551724137931036</v>
      </c>
      <c r="P1807" s="6">
        <f>VLOOKUP(B1807, 'All Menu'!B:L, 9, 0)</f>
        <v>14.858878515880367</v>
      </c>
      <c r="Q1807" s="14">
        <f>VLOOKUP(B1807, 'All Menu'!B:M, 12, 0)</f>
        <v>0.31054803686315102</v>
      </c>
      <c r="R1807" s="173">
        <f t="shared" si="93"/>
        <v>0</v>
      </c>
    </row>
    <row r="1808" spans="1:18" ht="14" hidden="1">
      <c r="A1808" s="78" t="s">
        <v>2756</v>
      </c>
      <c r="B1808" s="220" t="s">
        <v>953</v>
      </c>
      <c r="C1808" s="185"/>
      <c r="D1808" s="103" t="str">
        <f>VLOOKUP(B1808, 'All Menu'!B:M, 4, 0)</f>
        <v>ريش خاروف / 1 كيلو</v>
      </c>
      <c r="E1808" s="30" t="str">
        <f>VLOOKUP(B1808, 'All Menu'!B:M, 2, 0)</f>
        <v>قسم المشاوي</v>
      </c>
      <c r="F1808" s="103" t="str">
        <f>VLOOKUP(B1808, 'All Menu'!B:M, 3, 0)</f>
        <v>المشاوي سفري</v>
      </c>
      <c r="G1808" s="90" t="s">
        <v>2257</v>
      </c>
      <c r="H1808" s="188">
        <v>5281</v>
      </c>
      <c r="I1808" s="110" t="str">
        <f>VLOOKUP(H1808, 'RM &amp; SF'!B:H, 2, 0)</f>
        <v>بندوره مشاوي</v>
      </c>
      <c r="J1808" s="184" t="str">
        <f>VLOOKUP(H1808, 'RM &amp; SF'!B:E, 4, 0)</f>
        <v>غم</v>
      </c>
      <c r="K1808" s="12">
        <v>140</v>
      </c>
      <c r="L1808" s="13">
        <f>VLOOKUP(H1808, 'RM &amp; SF'!B:H, 7, 0)</f>
        <v>4.0000000000000002E-4</v>
      </c>
      <c r="M1808" s="7">
        <f t="shared" si="94"/>
        <v>5.6000000000000001E-2</v>
      </c>
      <c r="N1808" s="4" t="s">
        <v>825</v>
      </c>
      <c r="O1808" s="4">
        <f>VLOOKUP(B1808, 'All Menu'!B:L, 6, 0)</f>
        <v>21.551724137931036</v>
      </c>
      <c r="P1808" s="6">
        <f>VLOOKUP(B1808, 'All Menu'!B:L, 9, 0)</f>
        <v>14.858878515880367</v>
      </c>
      <c r="Q1808" s="14">
        <f>VLOOKUP(B1808, 'All Menu'!B:M, 12, 0)</f>
        <v>0.31054803686315102</v>
      </c>
      <c r="R1808" s="173">
        <f t="shared" si="93"/>
        <v>0</v>
      </c>
    </row>
    <row r="1809" spans="1:18" ht="14" hidden="1">
      <c r="A1809" s="78" t="s">
        <v>2756</v>
      </c>
      <c r="B1809" s="220" t="s">
        <v>953</v>
      </c>
      <c r="C1809" s="185"/>
      <c r="D1809" s="103" t="str">
        <f>VLOOKUP(B1809, 'All Menu'!B:M, 4, 0)</f>
        <v>ريش خاروف / 1 كيلو</v>
      </c>
      <c r="E1809" s="30" t="str">
        <f>VLOOKUP(B1809, 'All Menu'!B:M, 2, 0)</f>
        <v>قسم المشاوي</v>
      </c>
      <c r="F1809" s="103" t="str">
        <f>VLOOKUP(B1809, 'All Menu'!B:M, 3, 0)</f>
        <v>المشاوي سفري</v>
      </c>
      <c r="G1809" s="90" t="s">
        <v>2396</v>
      </c>
      <c r="H1809" s="219" t="s">
        <v>582</v>
      </c>
      <c r="I1809" s="110" t="str">
        <f>VLOOKUP(H1809, 'RM &amp; SF'!B:H, 2, 0)</f>
        <v>بيواز</v>
      </c>
      <c r="J1809" s="184" t="str">
        <f>VLOOKUP(H1809, 'RM &amp; SF'!B:E, 4, 0)</f>
        <v>غم</v>
      </c>
      <c r="K1809" s="12">
        <v>100</v>
      </c>
      <c r="L1809" s="13">
        <f>VLOOKUP(H1809, 'RM &amp; SF'!B:H, 7, 0)</f>
        <v>2.0666065869244635E-4</v>
      </c>
      <c r="M1809" s="7">
        <f t="shared" si="94"/>
        <v>2.0666065869244635E-2</v>
      </c>
      <c r="N1809" s="4" t="s">
        <v>825</v>
      </c>
      <c r="O1809" s="4">
        <f>VLOOKUP(B1809, 'All Menu'!B:L, 6, 0)</f>
        <v>21.551724137931036</v>
      </c>
      <c r="P1809" s="6">
        <f>VLOOKUP(B1809, 'All Menu'!B:L, 9, 0)</f>
        <v>14.858878515880367</v>
      </c>
      <c r="Q1809" s="14">
        <f>VLOOKUP(B1809, 'All Menu'!B:M, 12, 0)</f>
        <v>0.31054803686315102</v>
      </c>
      <c r="R1809" s="173">
        <f t="shared" si="93"/>
        <v>0</v>
      </c>
    </row>
    <row r="1810" spans="1:18" ht="14" hidden="1">
      <c r="A1810" s="78" t="s">
        <v>2756</v>
      </c>
      <c r="B1810" s="220" t="s">
        <v>953</v>
      </c>
      <c r="C1810" s="185"/>
      <c r="D1810" s="103" t="str">
        <f>VLOOKUP(B1810, 'All Menu'!B:M, 4, 0)</f>
        <v>ريش خاروف / 1 كيلو</v>
      </c>
      <c r="E1810" s="30" t="str">
        <f>VLOOKUP(B1810, 'All Menu'!B:M, 2, 0)</f>
        <v>قسم المشاوي</v>
      </c>
      <c r="F1810" s="103" t="str">
        <f>VLOOKUP(B1810, 'All Menu'!B:M, 3, 0)</f>
        <v>المشاوي سفري</v>
      </c>
      <c r="G1810" s="90" t="s">
        <v>2331</v>
      </c>
      <c r="H1810" s="219" t="s">
        <v>530</v>
      </c>
      <c r="I1810" s="110" t="str">
        <f>VLOOKUP(H1810, 'RM &amp; SF'!B:H, 2, 0)</f>
        <v>خبز صاج</v>
      </c>
      <c r="J1810" s="184" t="str">
        <f>VLOOKUP(H1810, 'RM &amp; SF'!B:E, 4, 0)</f>
        <v>غم</v>
      </c>
      <c r="K1810" s="12">
        <v>300</v>
      </c>
      <c r="L1810" s="13">
        <f>VLOOKUP(H1810, 'RM &amp; SF'!B:H, 7, 0)</f>
        <v>1.8806451612903227E-4</v>
      </c>
      <c r="M1810" s="7">
        <f t="shared" si="94"/>
        <v>5.6419354838709683E-2</v>
      </c>
      <c r="N1810" s="4" t="s">
        <v>825</v>
      </c>
      <c r="O1810" s="4">
        <f>VLOOKUP(B1810, 'All Menu'!B:L, 6, 0)</f>
        <v>21.551724137931036</v>
      </c>
      <c r="P1810" s="6">
        <f>VLOOKUP(B1810, 'All Menu'!B:L, 9, 0)</f>
        <v>14.858878515880367</v>
      </c>
      <c r="Q1810" s="14">
        <f>VLOOKUP(B1810, 'All Menu'!B:M, 12, 0)</f>
        <v>0.31054803686315102</v>
      </c>
      <c r="R1810" s="173">
        <f t="shared" si="93"/>
        <v>0</v>
      </c>
    </row>
    <row r="1811" spans="1:18" ht="14" hidden="1">
      <c r="A1811" s="78" t="s">
        <v>2756</v>
      </c>
      <c r="B1811" s="220" t="s">
        <v>953</v>
      </c>
      <c r="C1811" s="185"/>
      <c r="D1811" s="103" t="str">
        <f>VLOOKUP(B1811, 'All Menu'!B:M, 4, 0)</f>
        <v>ريش خاروف / 1 كيلو</v>
      </c>
      <c r="E1811" s="30" t="str">
        <f>VLOOKUP(B1811, 'All Menu'!B:M, 2, 0)</f>
        <v>قسم المشاوي</v>
      </c>
      <c r="F1811" s="103" t="str">
        <f>VLOOKUP(B1811, 'All Menu'!B:M, 3, 0)</f>
        <v>المشاوي سفري</v>
      </c>
      <c r="G1811" s="90" t="s">
        <v>2231</v>
      </c>
      <c r="H1811" s="188">
        <v>4499</v>
      </c>
      <c r="I1811" s="110" t="str">
        <f>VLOOKUP(H1811, 'RM &amp; SF'!B:H, 2, 0)</f>
        <v>فلفل حار اخضر*****</v>
      </c>
      <c r="J1811" s="184" t="str">
        <f>VLOOKUP(H1811, 'RM &amp; SF'!B:E, 4, 0)</f>
        <v>غم</v>
      </c>
      <c r="K1811" s="12">
        <v>40</v>
      </c>
      <c r="L1811" s="13">
        <f>VLOOKUP(H1811, 'RM &amp; SF'!B:H, 7, 0)</f>
        <v>5.0000000000000001E-4</v>
      </c>
      <c r="M1811" s="7">
        <f t="shared" si="94"/>
        <v>0.02</v>
      </c>
      <c r="N1811" s="4" t="s">
        <v>825</v>
      </c>
      <c r="O1811" s="4">
        <f>VLOOKUP(B1811, 'All Menu'!B:L, 6, 0)</f>
        <v>21.551724137931036</v>
      </c>
      <c r="P1811" s="6">
        <f>VLOOKUP(B1811, 'All Menu'!B:L, 9, 0)</f>
        <v>14.858878515880367</v>
      </c>
      <c r="Q1811" s="14">
        <f>VLOOKUP(B1811, 'All Menu'!B:M, 12, 0)</f>
        <v>0.31054803686315102</v>
      </c>
      <c r="R1811" s="173">
        <f t="shared" si="93"/>
        <v>0</v>
      </c>
    </row>
    <row r="1812" spans="1:18" ht="14" hidden="1">
      <c r="A1812" s="78" t="s">
        <v>2756</v>
      </c>
      <c r="B1812" s="220" t="s">
        <v>953</v>
      </c>
      <c r="C1812" s="185"/>
      <c r="D1812" s="103" t="str">
        <f>VLOOKUP(B1812, 'All Menu'!B:M, 4, 0)</f>
        <v>ريش خاروف / 1 كيلو</v>
      </c>
      <c r="E1812" s="30" t="str">
        <f>VLOOKUP(B1812, 'All Menu'!B:M, 2, 0)</f>
        <v>قسم المشاوي</v>
      </c>
      <c r="F1812" s="103" t="str">
        <f>VLOOKUP(B1812, 'All Menu'!B:M, 3, 0)</f>
        <v>المشاوي سفري</v>
      </c>
      <c r="G1812" s="90" t="s">
        <v>2198</v>
      </c>
      <c r="H1812" s="188">
        <v>4348</v>
      </c>
      <c r="I1812" s="110" t="str">
        <f>VLOOKUP(H1812, 'RM &amp; SF'!B:H, 2, 0)</f>
        <v>صحن كرتون بيضوي مذهب 42 سم (رقم 3)*****</v>
      </c>
      <c r="J1812" s="184" t="str">
        <f>VLOOKUP(H1812, 'RM &amp; SF'!B:E, 4, 0)</f>
        <v>قطعة</v>
      </c>
      <c r="K1812" s="12">
        <v>1</v>
      </c>
      <c r="L1812" s="13">
        <f>VLOOKUP(H1812, 'RM &amp; SF'!B:H, 7, 0)</f>
        <v>0.29299999999999998</v>
      </c>
      <c r="M1812" s="7">
        <f t="shared" si="94"/>
        <v>0.29299999999999998</v>
      </c>
      <c r="N1812" s="4" t="s">
        <v>825</v>
      </c>
      <c r="O1812" s="4">
        <f>VLOOKUP(B1812, 'All Menu'!B:L, 6, 0)</f>
        <v>21.551724137931036</v>
      </c>
      <c r="P1812" s="6">
        <f>VLOOKUP(B1812, 'All Menu'!B:L, 9, 0)</f>
        <v>14.858878515880367</v>
      </c>
      <c r="Q1812" s="14">
        <f>VLOOKUP(B1812, 'All Menu'!B:M, 12, 0)</f>
        <v>0.31054803686315102</v>
      </c>
      <c r="R1812" s="173">
        <f t="shared" si="93"/>
        <v>0</v>
      </c>
    </row>
    <row r="1813" spans="1:18" ht="14" hidden="1">
      <c r="A1813" s="78" t="s">
        <v>2756</v>
      </c>
      <c r="B1813" s="220" t="s">
        <v>953</v>
      </c>
      <c r="C1813" s="185"/>
      <c r="D1813" s="103" t="str">
        <f>VLOOKUP(B1813, 'All Menu'!B:M, 4, 0)</f>
        <v>ريش خاروف / 1 كيلو</v>
      </c>
      <c r="E1813" s="30" t="str">
        <f>VLOOKUP(B1813, 'All Menu'!B:M, 2, 0)</f>
        <v>قسم المشاوي</v>
      </c>
      <c r="F1813" s="103" t="str">
        <f>VLOOKUP(B1813, 'All Menu'!B:M, 3, 0)</f>
        <v>المشاوي سفري</v>
      </c>
      <c r="G1813" s="90" t="s">
        <v>3058</v>
      </c>
      <c r="H1813" s="188">
        <v>4269</v>
      </c>
      <c r="I1813" s="110" t="str">
        <f>VLOOKUP(H1813, 'RM &amp; SF'!B:H, 2, 0)</f>
        <v>بكجات مشاوي مطبوع رقم 3 1*50 حبة*****</v>
      </c>
      <c r="J1813" s="184" t="str">
        <f>VLOOKUP(H1813, 'RM &amp; SF'!B:E, 4, 0)</f>
        <v>قطعة</v>
      </c>
      <c r="K1813" s="12">
        <v>1</v>
      </c>
      <c r="L1813" s="13">
        <f>VLOOKUP(H1813, 'RM &amp; SF'!B:H, 7, 0)</f>
        <v>0.37068965517241381</v>
      </c>
      <c r="M1813" s="7">
        <f t="shared" si="94"/>
        <v>0.37068965517241381</v>
      </c>
      <c r="N1813" s="4" t="s">
        <v>825</v>
      </c>
      <c r="O1813" s="4">
        <f>VLOOKUP(B1813, 'All Menu'!B:L, 6, 0)</f>
        <v>21.551724137931036</v>
      </c>
      <c r="P1813" s="6">
        <f>VLOOKUP(B1813, 'All Menu'!B:L, 9, 0)</f>
        <v>14.858878515880367</v>
      </c>
      <c r="Q1813" s="14">
        <f>VLOOKUP(B1813, 'All Menu'!B:M, 12, 0)</f>
        <v>0.31054803686315102</v>
      </c>
      <c r="R1813" s="173">
        <f t="shared" ref="R1813:R1875" si="95">C1813*K1813</f>
        <v>0</v>
      </c>
    </row>
    <row r="1814" spans="1:18" ht="14" hidden="1">
      <c r="A1814" s="78" t="s">
        <v>2756</v>
      </c>
      <c r="B1814" s="220" t="s">
        <v>953</v>
      </c>
      <c r="C1814" s="185"/>
      <c r="D1814" s="103" t="str">
        <f>VLOOKUP(B1814, 'All Menu'!B:M, 4, 0)</f>
        <v>ريش خاروف / 1 كيلو</v>
      </c>
      <c r="E1814" s="30" t="str">
        <f>VLOOKUP(B1814, 'All Menu'!B:M, 2, 0)</f>
        <v>قسم المشاوي</v>
      </c>
      <c r="F1814" s="103" t="str">
        <f>VLOOKUP(B1814, 'All Menu'!B:M, 3, 0)</f>
        <v>المشاوي سفري</v>
      </c>
      <c r="G1814" s="90" t="s">
        <v>2194</v>
      </c>
      <c r="H1814" s="188">
        <v>4323</v>
      </c>
      <c r="I1814" s="110" t="str">
        <f>VLOOKUP(H1814, 'RM &amp; SF'!B:H, 2, 0)</f>
        <v>قصدير رول 45 سم*2كغ*****</v>
      </c>
      <c r="J1814" s="184" t="str">
        <f>VLOOKUP(H1814, 'RM &amp; SF'!B:E, 4, 0)</f>
        <v>غم</v>
      </c>
      <c r="K1814" s="12">
        <v>0.06</v>
      </c>
      <c r="L1814" s="13">
        <f>VLOOKUP(H1814, 'RM &amp; SF'!B:H, 7, 0)</f>
        <v>1.7240000000000001E-3</v>
      </c>
      <c r="M1814" s="7">
        <f t="shared" si="94"/>
        <v>1.0344E-4</v>
      </c>
      <c r="N1814" s="4" t="s">
        <v>825</v>
      </c>
      <c r="O1814" s="4">
        <f>VLOOKUP(B1814, 'All Menu'!B:L, 6, 0)</f>
        <v>21.551724137931036</v>
      </c>
      <c r="P1814" s="6">
        <f>VLOOKUP(B1814, 'All Menu'!B:L, 9, 0)</f>
        <v>14.858878515880367</v>
      </c>
      <c r="Q1814" s="14">
        <f>VLOOKUP(B1814, 'All Menu'!B:M, 12, 0)</f>
        <v>0.31054803686315102</v>
      </c>
      <c r="R1814" s="173">
        <f t="shared" si="95"/>
        <v>0</v>
      </c>
    </row>
    <row r="1815" spans="1:18" ht="14" hidden="1">
      <c r="A1815" s="78" t="s">
        <v>2754</v>
      </c>
      <c r="B1815" s="220" t="s">
        <v>954</v>
      </c>
      <c r="C1815" s="185"/>
      <c r="D1815" s="103" t="str">
        <f>VLOOKUP(B1815, 'All Menu'!B:M, 4, 0)</f>
        <v>شيش طاووق / 1 كيلو</v>
      </c>
      <c r="E1815" s="30" t="str">
        <f>VLOOKUP(B1815, 'All Menu'!B:M, 2, 0)</f>
        <v>قسم المشاوي</v>
      </c>
      <c r="F1815" s="103" t="str">
        <f>VLOOKUP(B1815, 'All Menu'!B:M, 3, 0)</f>
        <v>المشاوي سفري</v>
      </c>
      <c r="G1815" s="90" t="s">
        <v>2456</v>
      </c>
      <c r="H1815" s="219" t="s">
        <v>506</v>
      </c>
      <c r="I1815" s="110" t="str">
        <f>VLOOKUP(H1815, 'RM &amp; SF'!B:H, 2, 0)</f>
        <v>شيش</v>
      </c>
      <c r="J1815" s="184" t="str">
        <f>VLOOKUP(H1815, 'RM &amp; SF'!B:E, 4, 0)</f>
        <v>غم</v>
      </c>
      <c r="K1815" s="12">
        <v>1000</v>
      </c>
      <c r="L1815" s="13">
        <f>VLOOKUP(H1815, 'RM &amp; SF'!B:H, 7, 0)</f>
        <v>4.6721213030918281E-3</v>
      </c>
      <c r="M1815" s="7">
        <f t="shared" si="94"/>
        <v>4.6721213030918278</v>
      </c>
      <c r="N1815" s="4" t="s">
        <v>825</v>
      </c>
      <c r="O1815" s="4">
        <f>VLOOKUP(B1815, 'All Menu'!B:L, 6, 0)</f>
        <v>14.655172413793105</v>
      </c>
      <c r="P1815" s="6">
        <f>VLOOKUP(B1815, 'All Menu'!B:L, 9, 0)</f>
        <v>5.6704266024752172</v>
      </c>
      <c r="Q1815" s="14">
        <f>VLOOKUP(B1815, 'All Menu'!B:M, 12, 0)</f>
        <v>0.61307677300757346</v>
      </c>
      <c r="R1815" s="173">
        <f t="shared" si="95"/>
        <v>0</v>
      </c>
    </row>
    <row r="1816" spans="1:18" ht="14" hidden="1">
      <c r="A1816" s="78" t="s">
        <v>2754</v>
      </c>
      <c r="B1816" s="220" t="s">
        <v>954</v>
      </c>
      <c r="C1816" s="185"/>
      <c r="D1816" s="103" t="str">
        <f>VLOOKUP(B1816, 'All Menu'!B:M, 4, 0)</f>
        <v>شيش طاووق / 1 كيلو</v>
      </c>
      <c r="E1816" s="30" t="str">
        <f>VLOOKUP(B1816, 'All Menu'!B:M, 2, 0)</f>
        <v>قسم المشاوي</v>
      </c>
      <c r="F1816" s="103" t="str">
        <f>VLOOKUP(B1816, 'All Menu'!B:M, 3, 0)</f>
        <v>المشاوي سفري</v>
      </c>
      <c r="G1816" s="90" t="s">
        <v>2235</v>
      </c>
      <c r="H1816" s="188">
        <v>4504</v>
      </c>
      <c r="I1816" s="110" t="str">
        <f>VLOOKUP(H1816, 'RM &amp; SF'!B:H, 2, 0)</f>
        <v>بصل مشاوي (بصل بيبي)***</v>
      </c>
      <c r="J1816" s="184" t="str">
        <f>VLOOKUP(H1816, 'RM &amp; SF'!B:E, 4, 0)</f>
        <v>غم</v>
      </c>
      <c r="K1816" s="12">
        <v>120</v>
      </c>
      <c r="L1816" s="13">
        <f>VLOOKUP(H1816, 'RM &amp; SF'!B:H, 7, 0)</f>
        <v>3.5E-4</v>
      </c>
      <c r="M1816" s="7">
        <f t="shared" si="94"/>
        <v>4.2000000000000003E-2</v>
      </c>
      <c r="N1816" s="4" t="s">
        <v>825</v>
      </c>
      <c r="O1816" s="4">
        <f>VLOOKUP(B1816, 'All Menu'!B:L, 6, 0)</f>
        <v>14.655172413793105</v>
      </c>
      <c r="P1816" s="6">
        <f>VLOOKUP(B1816, 'All Menu'!B:L, 9, 0)</f>
        <v>5.6704266024752172</v>
      </c>
      <c r="Q1816" s="14">
        <f>VLOOKUP(B1816, 'All Menu'!B:M, 12, 0)</f>
        <v>0.61307677300757346</v>
      </c>
      <c r="R1816" s="173">
        <f t="shared" si="95"/>
        <v>0</v>
      </c>
    </row>
    <row r="1817" spans="1:18" ht="14" hidden="1">
      <c r="A1817" s="78" t="s">
        <v>2754</v>
      </c>
      <c r="B1817" s="220" t="s">
        <v>954</v>
      </c>
      <c r="C1817" s="185"/>
      <c r="D1817" s="103" t="str">
        <f>VLOOKUP(B1817, 'All Menu'!B:M, 4, 0)</f>
        <v>شيش طاووق / 1 كيلو</v>
      </c>
      <c r="E1817" s="30" t="str">
        <f>VLOOKUP(B1817, 'All Menu'!B:M, 2, 0)</f>
        <v>قسم المشاوي</v>
      </c>
      <c r="F1817" s="103" t="str">
        <f>VLOOKUP(B1817, 'All Menu'!B:M, 3, 0)</f>
        <v>المشاوي سفري</v>
      </c>
      <c r="G1817" s="90" t="s">
        <v>2257</v>
      </c>
      <c r="H1817" s="188">
        <v>5281</v>
      </c>
      <c r="I1817" s="110" t="str">
        <f>VLOOKUP(H1817, 'RM &amp; SF'!B:H, 2, 0)</f>
        <v>بندوره مشاوي</v>
      </c>
      <c r="J1817" s="184" t="str">
        <f>VLOOKUP(H1817, 'RM &amp; SF'!B:E, 4, 0)</f>
        <v>غم</v>
      </c>
      <c r="K1817" s="12">
        <v>140</v>
      </c>
      <c r="L1817" s="13">
        <f>VLOOKUP(H1817, 'RM &amp; SF'!B:H, 7, 0)</f>
        <v>4.0000000000000002E-4</v>
      </c>
      <c r="M1817" s="7">
        <f t="shared" si="94"/>
        <v>5.6000000000000001E-2</v>
      </c>
      <c r="N1817" s="4" t="s">
        <v>825</v>
      </c>
      <c r="O1817" s="4">
        <f>VLOOKUP(B1817, 'All Menu'!B:L, 6, 0)</f>
        <v>14.655172413793105</v>
      </c>
      <c r="P1817" s="6">
        <f>VLOOKUP(B1817, 'All Menu'!B:L, 9, 0)</f>
        <v>5.6704266024752172</v>
      </c>
      <c r="Q1817" s="14">
        <f>VLOOKUP(B1817, 'All Menu'!B:M, 12, 0)</f>
        <v>0.61307677300757346</v>
      </c>
      <c r="R1817" s="173">
        <f t="shared" si="95"/>
        <v>0</v>
      </c>
    </row>
    <row r="1818" spans="1:18" ht="14" hidden="1">
      <c r="A1818" s="78" t="s">
        <v>2754</v>
      </c>
      <c r="B1818" s="220" t="s">
        <v>954</v>
      </c>
      <c r="C1818" s="185"/>
      <c r="D1818" s="103" t="str">
        <f>VLOOKUP(B1818, 'All Menu'!B:M, 4, 0)</f>
        <v>شيش طاووق / 1 كيلو</v>
      </c>
      <c r="E1818" s="30" t="str">
        <f>VLOOKUP(B1818, 'All Menu'!B:M, 2, 0)</f>
        <v>قسم المشاوي</v>
      </c>
      <c r="F1818" s="103" t="str">
        <f>VLOOKUP(B1818, 'All Menu'!B:M, 3, 0)</f>
        <v>المشاوي سفري</v>
      </c>
      <c r="G1818" s="90" t="s">
        <v>2396</v>
      </c>
      <c r="H1818" s="219" t="s">
        <v>582</v>
      </c>
      <c r="I1818" s="110" t="str">
        <f>VLOOKUP(H1818, 'RM &amp; SF'!B:H, 2, 0)</f>
        <v>بيواز</v>
      </c>
      <c r="J1818" s="184" t="str">
        <f>VLOOKUP(H1818, 'RM &amp; SF'!B:E, 4, 0)</f>
        <v>غم</v>
      </c>
      <c r="K1818" s="12">
        <v>100</v>
      </c>
      <c r="L1818" s="13">
        <f>VLOOKUP(H1818, 'RM &amp; SF'!B:H, 7, 0)</f>
        <v>2.0666065869244635E-4</v>
      </c>
      <c r="M1818" s="7">
        <f t="shared" si="94"/>
        <v>2.0666065869244635E-2</v>
      </c>
      <c r="N1818" s="4" t="s">
        <v>825</v>
      </c>
      <c r="O1818" s="4">
        <f>VLOOKUP(B1818, 'All Menu'!B:L, 6, 0)</f>
        <v>14.655172413793105</v>
      </c>
      <c r="P1818" s="6">
        <f>VLOOKUP(B1818, 'All Menu'!B:L, 9, 0)</f>
        <v>5.6704266024752172</v>
      </c>
      <c r="Q1818" s="14">
        <f>VLOOKUP(B1818, 'All Menu'!B:M, 12, 0)</f>
        <v>0.61307677300757346</v>
      </c>
      <c r="R1818" s="173">
        <f t="shared" si="95"/>
        <v>0</v>
      </c>
    </row>
    <row r="1819" spans="1:18" ht="14" hidden="1">
      <c r="A1819" s="78" t="s">
        <v>2754</v>
      </c>
      <c r="B1819" s="220" t="s">
        <v>954</v>
      </c>
      <c r="C1819" s="185"/>
      <c r="D1819" s="103" t="str">
        <f>VLOOKUP(B1819, 'All Menu'!B:M, 4, 0)</f>
        <v>شيش طاووق / 1 كيلو</v>
      </c>
      <c r="E1819" s="30" t="str">
        <f>VLOOKUP(B1819, 'All Menu'!B:M, 2, 0)</f>
        <v>قسم المشاوي</v>
      </c>
      <c r="F1819" s="103" t="str">
        <f>VLOOKUP(B1819, 'All Menu'!B:M, 3, 0)</f>
        <v>المشاوي سفري</v>
      </c>
      <c r="G1819" s="90" t="s">
        <v>2225</v>
      </c>
      <c r="H1819" s="188">
        <v>4991</v>
      </c>
      <c r="I1819" s="110" t="str">
        <f>VLOOKUP(H1819, 'RM &amp; SF'!B:H, 2, 0)</f>
        <v>خبز عربي (خبز لبناني) صغير*****</v>
      </c>
      <c r="J1819" s="184" t="str">
        <f>VLOOKUP(H1819, 'RM &amp; SF'!B:E, 4, 0)</f>
        <v>غم</v>
      </c>
      <c r="K1819" s="12">
        <v>300</v>
      </c>
      <c r="L1819" s="13">
        <f>VLOOKUP(H1819, 'RM &amp; SF'!B:H, 7, 0)</f>
        <v>3.2000000000000003E-4</v>
      </c>
      <c r="M1819" s="7">
        <f t="shared" si="94"/>
        <v>9.6000000000000002E-2</v>
      </c>
      <c r="N1819" s="4" t="s">
        <v>825</v>
      </c>
      <c r="O1819" s="4">
        <f>VLOOKUP(B1819, 'All Menu'!B:L, 6, 0)</f>
        <v>14.655172413793105</v>
      </c>
      <c r="P1819" s="6">
        <f>VLOOKUP(B1819, 'All Menu'!B:L, 9, 0)</f>
        <v>5.6704266024752172</v>
      </c>
      <c r="Q1819" s="14">
        <f>VLOOKUP(B1819, 'All Menu'!B:M, 12, 0)</f>
        <v>0.61307677300757346</v>
      </c>
      <c r="R1819" s="173">
        <f t="shared" si="95"/>
        <v>0</v>
      </c>
    </row>
    <row r="1820" spans="1:18" ht="14" hidden="1">
      <c r="A1820" s="78" t="s">
        <v>2754</v>
      </c>
      <c r="B1820" s="220" t="s">
        <v>954</v>
      </c>
      <c r="C1820" s="185"/>
      <c r="D1820" s="103" t="str">
        <f>VLOOKUP(B1820, 'All Menu'!B:M, 4, 0)</f>
        <v>شيش طاووق / 1 كيلو</v>
      </c>
      <c r="E1820" s="30" t="str">
        <f>VLOOKUP(B1820, 'All Menu'!B:M, 2, 0)</f>
        <v>قسم المشاوي</v>
      </c>
      <c r="F1820" s="103" t="str">
        <f>VLOOKUP(B1820, 'All Menu'!B:M, 3, 0)</f>
        <v>المشاوي سفري</v>
      </c>
      <c r="G1820" s="90" t="s">
        <v>2231</v>
      </c>
      <c r="H1820" s="188">
        <v>4499</v>
      </c>
      <c r="I1820" s="110" t="str">
        <f>VLOOKUP(H1820, 'RM &amp; SF'!B:H, 2, 0)</f>
        <v>فلفل حار اخضر*****</v>
      </c>
      <c r="J1820" s="184" t="str">
        <f>VLOOKUP(H1820, 'RM &amp; SF'!B:E, 4, 0)</f>
        <v>غم</v>
      </c>
      <c r="K1820" s="12">
        <v>40</v>
      </c>
      <c r="L1820" s="13">
        <f>VLOOKUP(H1820, 'RM &amp; SF'!B:H, 7, 0)</f>
        <v>5.0000000000000001E-4</v>
      </c>
      <c r="M1820" s="7">
        <f t="shared" si="94"/>
        <v>0.02</v>
      </c>
      <c r="N1820" s="4" t="s">
        <v>825</v>
      </c>
      <c r="O1820" s="4">
        <f>VLOOKUP(B1820, 'All Menu'!B:L, 6, 0)</f>
        <v>14.655172413793105</v>
      </c>
      <c r="P1820" s="6">
        <f>VLOOKUP(B1820, 'All Menu'!B:L, 9, 0)</f>
        <v>5.6704266024752172</v>
      </c>
      <c r="Q1820" s="14">
        <f>VLOOKUP(B1820, 'All Menu'!B:M, 12, 0)</f>
        <v>0.61307677300757346</v>
      </c>
      <c r="R1820" s="173">
        <f t="shared" si="95"/>
        <v>0</v>
      </c>
    </row>
    <row r="1821" spans="1:18" ht="14" hidden="1">
      <c r="A1821" s="78" t="s">
        <v>2754</v>
      </c>
      <c r="B1821" s="220" t="s">
        <v>954</v>
      </c>
      <c r="C1821" s="185"/>
      <c r="D1821" s="103" t="str">
        <f>VLOOKUP(B1821, 'All Menu'!B:M, 4, 0)</f>
        <v>شيش طاووق / 1 كيلو</v>
      </c>
      <c r="E1821" s="30" t="str">
        <f>VLOOKUP(B1821, 'All Menu'!B:M, 2, 0)</f>
        <v>قسم المشاوي</v>
      </c>
      <c r="F1821" s="103" t="str">
        <f>VLOOKUP(B1821, 'All Menu'!B:M, 3, 0)</f>
        <v>المشاوي سفري</v>
      </c>
      <c r="G1821" s="90" t="s">
        <v>2325</v>
      </c>
      <c r="H1821" s="219" t="s">
        <v>534</v>
      </c>
      <c r="I1821" s="110" t="str">
        <f>VLOOKUP(H1821, 'RM &amp; SF'!B:H, 2, 0)</f>
        <v>مثومه</v>
      </c>
      <c r="J1821" s="184" t="str">
        <f>VLOOKUP(H1821, 'RM &amp; SF'!B:E, 4, 0)</f>
        <v>غم</v>
      </c>
      <c r="K1821" s="12">
        <v>150</v>
      </c>
      <c r="L1821" s="13">
        <f>VLOOKUP(H1821, 'RM &amp; SF'!B:H, 7, 0)</f>
        <v>6.6564092227821051E-4</v>
      </c>
      <c r="M1821" s="7">
        <f t="shared" si="94"/>
        <v>9.9846138341731575E-2</v>
      </c>
      <c r="N1821" s="4" t="s">
        <v>825</v>
      </c>
      <c r="O1821" s="4">
        <f>VLOOKUP(B1821, 'All Menu'!B:L, 6, 0)</f>
        <v>14.655172413793105</v>
      </c>
      <c r="P1821" s="6">
        <f>VLOOKUP(B1821, 'All Menu'!B:L, 9, 0)</f>
        <v>5.6704266024752172</v>
      </c>
      <c r="Q1821" s="14">
        <f>VLOOKUP(B1821, 'All Menu'!B:M, 12, 0)</f>
        <v>0.61307677300757346</v>
      </c>
      <c r="R1821" s="173">
        <f t="shared" si="95"/>
        <v>0</v>
      </c>
    </row>
    <row r="1822" spans="1:18" ht="14" hidden="1">
      <c r="A1822" s="78" t="s">
        <v>2754</v>
      </c>
      <c r="B1822" s="220" t="s">
        <v>954</v>
      </c>
      <c r="C1822" s="185"/>
      <c r="D1822" s="103" t="str">
        <f>VLOOKUP(B1822, 'All Menu'!B:M, 4, 0)</f>
        <v>شيش طاووق / 1 كيلو</v>
      </c>
      <c r="E1822" s="30" t="str">
        <f>VLOOKUP(B1822, 'All Menu'!B:M, 2, 0)</f>
        <v>قسم المشاوي</v>
      </c>
      <c r="F1822" s="103" t="str">
        <f>VLOOKUP(B1822, 'All Menu'!B:M, 3, 0)</f>
        <v>المشاوي سفري</v>
      </c>
      <c r="G1822" s="90" t="s">
        <v>2198</v>
      </c>
      <c r="H1822" s="188">
        <v>4348</v>
      </c>
      <c r="I1822" s="110" t="str">
        <f>VLOOKUP(H1822, 'RM &amp; SF'!B:H, 2, 0)</f>
        <v>صحن كرتون بيضوي مذهب 42 سم (رقم 3)*****</v>
      </c>
      <c r="J1822" s="184" t="str">
        <f>VLOOKUP(H1822, 'RM &amp; SF'!B:E, 4, 0)</f>
        <v>قطعة</v>
      </c>
      <c r="K1822" s="12">
        <v>1</v>
      </c>
      <c r="L1822" s="13">
        <f>VLOOKUP(H1822, 'RM &amp; SF'!B:H, 7, 0)</f>
        <v>0.29299999999999998</v>
      </c>
      <c r="M1822" s="7">
        <f t="shared" si="94"/>
        <v>0.29299999999999998</v>
      </c>
      <c r="N1822" s="4" t="s">
        <v>825</v>
      </c>
      <c r="O1822" s="4">
        <f>VLOOKUP(B1822, 'All Menu'!B:L, 6, 0)</f>
        <v>14.655172413793105</v>
      </c>
      <c r="P1822" s="6">
        <f>VLOOKUP(B1822, 'All Menu'!B:L, 9, 0)</f>
        <v>5.6704266024752172</v>
      </c>
      <c r="Q1822" s="14">
        <f>VLOOKUP(B1822, 'All Menu'!B:M, 12, 0)</f>
        <v>0.61307677300757346</v>
      </c>
      <c r="R1822" s="173">
        <f t="shared" si="95"/>
        <v>0</v>
      </c>
    </row>
    <row r="1823" spans="1:18" ht="14" hidden="1">
      <c r="A1823" s="78" t="s">
        <v>2754</v>
      </c>
      <c r="B1823" s="220" t="s">
        <v>954</v>
      </c>
      <c r="C1823" s="185"/>
      <c r="D1823" s="103" t="str">
        <f>VLOOKUP(B1823, 'All Menu'!B:M, 4, 0)</f>
        <v>شيش طاووق / 1 كيلو</v>
      </c>
      <c r="E1823" s="30" t="str">
        <f>VLOOKUP(B1823, 'All Menu'!B:M, 2, 0)</f>
        <v>قسم المشاوي</v>
      </c>
      <c r="F1823" s="103" t="str">
        <f>VLOOKUP(B1823, 'All Menu'!B:M, 3, 0)</f>
        <v>المشاوي سفري</v>
      </c>
      <c r="G1823" s="90" t="s">
        <v>3058</v>
      </c>
      <c r="H1823" s="188">
        <v>4269</v>
      </c>
      <c r="I1823" s="110" t="str">
        <f>VLOOKUP(H1823, 'RM &amp; SF'!B:H, 2, 0)</f>
        <v>بكجات مشاوي مطبوع رقم 3 1*50 حبة*****</v>
      </c>
      <c r="J1823" s="184" t="str">
        <f>VLOOKUP(H1823, 'RM &amp; SF'!B:E, 4, 0)</f>
        <v>قطعة</v>
      </c>
      <c r="K1823" s="12">
        <v>1</v>
      </c>
      <c r="L1823" s="13">
        <f>VLOOKUP(H1823, 'RM &amp; SF'!B:H, 7, 0)</f>
        <v>0.37068965517241381</v>
      </c>
      <c r="M1823" s="7">
        <f t="shared" si="94"/>
        <v>0.37068965517241381</v>
      </c>
      <c r="N1823" s="4" t="s">
        <v>825</v>
      </c>
      <c r="O1823" s="4">
        <f>VLOOKUP(B1823, 'All Menu'!B:L, 6, 0)</f>
        <v>14.655172413793105</v>
      </c>
      <c r="P1823" s="6">
        <f>VLOOKUP(B1823, 'All Menu'!B:L, 9, 0)</f>
        <v>5.6704266024752172</v>
      </c>
      <c r="Q1823" s="14">
        <f>VLOOKUP(B1823, 'All Menu'!B:M, 12, 0)</f>
        <v>0.61307677300757346</v>
      </c>
      <c r="R1823" s="173">
        <f t="shared" si="95"/>
        <v>0</v>
      </c>
    </row>
    <row r="1824" spans="1:18" ht="14" hidden="1">
      <c r="A1824" s="78" t="s">
        <v>2754</v>
      </c>
      <c r="B1824" s="220" t="s">
        <v>954</v>
      </c>
      <c r="C1824" s="185"/>
      <c r="D1824" s="103" t="str">
        <f>VLOOKUP(B1824, 'All Menu'!B:M, 4, 0)</f>
        <v>شيش طاووق / 1 كيلو</v>
      </c>
      <c r="E1824" s="30" t="str">
        <f>VLOOKUP(B1824, 'All Menu'!B:M, 2, 0)</f>
        <v>قسم المشاوي</v>
      </c>
      <c r="F1824" s="103" t="str">
        <f>VLOOKUP(B1824, 'All Menu'!B:M, 3, 0)</f>
        <v>المشاوي سفري</v>
      </c>
      <c r="G1824" s="90" t="s">
        <v>2194</v>
      </c>
      <c r="H1824" s="188">
        <v>4323</v>
      </c>
      <c r="I1824" s="110" t="str">
        <f>VLOOKUP(H1824, 'RM &amp; SF'!B:H, 2, 0)</f>
        <v>قصدير رول 45 سم*2كغ*****</v>
      </c>
      <c r="J1824" s="184" t="str">
        <f>VLOOKUP(H1824, 'RM &amp; SF'!B:E, 4, 0)</f>
        <v>غم</v>
      </c>
      <c r="K1824" s="12">
        <v>0.06</v>
      </c>
      <c r="L1824" s="13">
        <f>VLOOKUP(H1824, 'RM &amp; SF'!B:H, 7, 0)</f>
        <v>1.7240000000000001E-3</v>
      </c>
      <c r="M1824" s="7">
        <f t="shared" si="94"/>
        <v>1.0344E-4</v>
      </c>
      <c r="N1824" s="4" t="s">
        <v>825</v>
      </c>
      <c r="O1824" s="4">
        <f>VLOOKUP(B1824, 'All Menu'!B:L, 6, 0)</f>
        <v>14.655172413793105</v>
      </c>
      <c r="P1824" s="6">
        <f>VLOOKUP(B1824, 'All Menu'!B:L, 9, 0)</f>
        <v>5.6704266024752172</v>
      </c>
      <c r="Q1824" s="14">
        <f>VLOOKUP(B1824, 'All Menu'!B:M, 12, 0)</f>
        <v>0.61307677300757346</v>
      </c>
      <c r="R1824" s="173">
        <f t="shared" si="95"/>
        <v>0</v>
      </c>
    </row>
    <row r="1825" spans="1:18" ht="14" hidden="1">
      <c r="A1825" s="78" t="s">
        <v>2763</v>
      </c>
      <c r="B1825" s="220" t="s">
        <v>955</v>
      </c>
      <c r="C1825" s="185"/>
      <c r="D1825" s="103" t="str">
        <f>VLOOKUP(B1825, 'All Menu'!B:M, 4, 0)</f>
        <v>كبدة خروف مشوية /1 كيلو</v>
      </c>
      <c r="E1825" s="30" t="str">
        <f>VLOOKUP(B1825, 'All Menu'!B:M, 2, 0)</f>
        <v>قسم المشاوي</v>
      </c>
      <c r="F1825" s="103" t="str">
        <f>VLOOKUP(B1825, 'All Menu'!B:M, 3, 0)</f>
        <v>المشاوي سفري</v>
      </c>
      <c r="G1825" s="90" t="s">
        <v>3058</v>
      </c>
      <c r="H1825" s="188">
        <v>1082</v>
      </c>
      <c r="I1825" s="110" t="str">
        <f>VLOOKUP(H1825, 'RM &amp; SF'!B:H, 2, 0)</f>
        <v>كبدة غنم</v>
      </c>
      <c r="J1825" s="184" t="str">
        <f>VLOOKUP(H1825, 'RM &amp; SF'!B:E, 4, 0)</f>
        <v>غم</v>
      </c>
      <c r="K1825" s="12">
        <v>1000</v>
      </c>
      <c r="L1825" s="13">
        <f>VLOOKUP(H1825, 'RM &amp; SF'!B:H, 7, 0)</f>
        <v>7.0000000000000001E-3</v>
      </c>
      <c r="M1825" s="7">
        <f t="shared" si="94"/>
        <v>7</v>
      </c>
      <c r="N1825" s="4" t="s">
        <v>825</v>
      </c>
      <c r="O1825" s="4">
        <f>VLOOKUP(B1825, 'All Menu'!B:L, 6, 0)</f>
        <v>13.793103448275863</v>
      </c>
      <c r="P1825" s="6">
        <f>VLOOKUP(B1825, 'All Menu'!B:L, 9, 0)</f>
        <v>7.944055182547034</v>
      </c>
      <c r="Q1825" s="14">
        <f>VLOOKUP(B1825, 'All Menu'!B:M, 12, 0)</f>
        <v>0.42405599926534004</v>
      </c>
      <c r="R1825" s="173">
        <f t="shared" si="95"/>
        <v>0</v>
      </c>
    </row>
    <row r="1826" spans="1:18" ht="14" hidden="1">
      <c r="A1826" s="78" t="s">
        <v>2763</v>
      </c>
      <c r="B1826" s="220" t="s">
        <v>955</v>
      </c>
      <c r="C1826" s="185"/>
      <c r="D1826" s="103" t="str">
        <f>VLOOKUP(B1826, 'All Menu'!B:M, 4, 0)</f>
        <v>كبدة خروف مشوية /1 كيلو</v>
      </c>
      <c r="E1826" s="30" t="str">
        <f>VLOOKUP(B1826, 'All Menu'!B:M, 2, 0)</f>
        <v>قسم المشاوي</v>
      </c>
      <c r="F1826" s="103" t="str">
        <f>VLOOKUP(B1826, 'All Menu'!B:M, 3, 0)</f>
        <v>المشاوي سفري</v>
      </c>
      <c r="G1826" s="90" t="s">
        <v>2203</v>
      </c>
      <c r="H1826" s="188">
        <v>4152</v>
      </c>
      <c r="I1826" s="110" t="str">
        <f>VLOOKUP(H1826, 'RM &amp; SF'!B:H, 2, 0)</f>
        <v>ملح طعام 750غم*****</v>
      </c>
      <c r="J1826" s="184" t="str">
        <f>VLOOKUP(H1826, 'RM &amp; SF'!B:E, 4, 0)</f>
        <v>غم</v>
      </c>
      <c r="K1826" s="12">
        <v>10</v>
      </c>
      <c r="L1826" s="13">
        <f>VLOOKUP(H1826, 'RM &amp; SF'!B:H, 7, 0)</f>
        <v>1.7066666666666665E-4</v>
      </c>
      <c r="M1826" s="7">
        <f t="shared" si="94"/>
        <v>1.7066666666666664E-3</v>
      </c>
      <c r="N1826" s="4" t="s">
        <v>825</v>
      </c>
      <c r="O1826" s="4">
        <f>VLOOKUP(B1826, 'All Menu'!B:L, 6, 0)</f>
        <v>13.793103448275863</v>
      </c>
      <c r="P1826" s="6">
        <f>VLOOKUP(B1826, 'All Menu'!B:L, 9, 0)</f>
        <v>7.944055182547034</v>
      </c>
      <c r="Q1826" s="14">
        <f>VLOOKUP(B1826, 'All Menu'!B:M, 12, 0)</f>
        <v>0.42405599926534004</v>
      </c>
      <c r="R1826" s="173">
        <f t="shared" si="95"/>
        <v>0</v>
      </c>
    </row>
    <row r="1827" spans="1:18" ht="14" hidden="1">
      <c r="A1827" s="78" t="s">
        <v>2763</v>
      </c>
      <c r="B1827" s="220" t="s">
        <v>955</v>
      </c>
      <c r="C1827" s="185"/>
      <c r="D1827" s="103" t="str">
        <f>VLOOKUP(B1827, 'All Menu'!B:M, 4, 0)</f>
        <v>كبدة خروف مشوية /1 كيلو</v>
      </c>
      <c r="E1827" s="30" t="str">
        <f>VLOOKUP(B1827, 'All Menu'!B:M, 2, 0)</f>
        <v>قسم المشاوي</v>
      </c>
      <c r="F1827" s="103" t="str">
        <f>VLOOKUP(B1827, 'All Menu'!B:M, 3, 0)</f>
        <v>المشاوي سفري</v>
      </c>
      <c r="G1827" s="90" t="s">
        <v>2206</v>
      </c>
      <c r="H1827" s="188">
        <v>4204</v>
      </c>
      <c r="I1827" s="110" t="str">
        <f>VLOOKUP(H1827, 'RM &amp; SF'!B:H, 2, 0)</f>
        <v>فلفل اسود ناعم*****</v>
      </c>
      <c r="J1827" s="184" t="str">
        <f>VLOOKUP(H1827, 'RM &amp; SF'!B:E, 4, 0)</f>
        <v>غم</v>
      </c>
      <c r="K1827" s="12">
        <v>10</v>
      </c>
      <c r="L1827" s="13">
        <f>VLOOKUP(H1827, 'RM &amp; SF'!B:H, 7, 0)</f>
        <v>6.8970000000000004E-3</v>
      </c>
      <c r="M1827" s="7">
        <f t="shared" si="94"/>
        <v>6.8970000000000004E-2</v>
      </c>
      <c r="N1827" s="4" t="s">
        <v>825</v>
      </c>
      <c r="O1827" s="4">
        <f>VLOOKUP(B1827, 'All Menu'!B:L, 6, 0)</f>
        <v>13.793103448275863</v>
      </c>
      <c r="P1827" s="6">
        <f>VLOOKUP(B1827, 'All Menu'!B:L, 9, 0)</f>
        <v>7.944055182547034</v>
      </c>
      <c r="Q1827" s="14">
        <f>VLOOKUP(B1827, 'All Menu'!B:M, 12, 0)</f>
        <v>0.42405599926534004</v>
      </c>
      <c r="R1827" s="173">
        <f t="shared" si="95"/>
        <v>0</v>
      </c>
    </row>
    <row r="1828" spans="1:18" ht="14" hidden="1">
      <c r="A1828" s="78" t="s">
        <v>2763</v>
      </c>
      <c r="B1828" s="220" t="s">
        <v>955</v>
      </c>
      <c r="C1828" s="185"/>
      <c r="D1828" s="103" t="str">
        <f>VLOOKUP(B1828, 'All Menu'!B:M, 4, 0)</f>
        <v>كبدة خروف مشوية /1 كيلو</v>
      </c>
      <c r="E1828" s="30" t="str">
        <f>VLOOKUP(B1828, 'All Menu'!B:M, 2, 0)</f>
        <v>قسم المشاوي</v>
      </c>
      <c r="F1828" s="103" t="str">
        <f>VLOOKUP(B1828, 'All Menu'!B:M, 3, 0)</f>
        <v>المشاوي سفري</v>
      </c>
      <c r="G1828" s="90" t="s">
        <v>2235</v>
      </c>
      <c r="H1828" s="188">
        <v>4504</v>
      </c>
      <c r="I1828" s="110" t="str">
        <f>VLOOKUP(H1828, 'RM &amp; SF'!B:H, 2, 0)</f>
        <v>بصل مشاوي (بصل بيبي)***</v>
      </c>
      <c r="J1828" s="184" t="str">
        <f>VLOOKUP(H1828, 'RM &amp; SF'!B:E, 4, 0)</f>
        <v>غم</v>
      </c>
      <c r="K1828" s="12">
        <v>150</v>
      </c>
      <c r="L1828" s="13">
        <f>VLOOKUP(H1828, 'RM &amp; SF'!B:H, 7, 0)</f>
        <v>3.5E-4</v>
      </c>
      <c r="M1828" s="7">
        <f t="shared" si="94"/>
        <v>5.2499999999999998E-2</v>
      </c>
      <c r="N1828" s="4" t="s">
        <v>825</v>
      </c>
      <c r="O1828" s="4">
        <f>VLOOKUP(B1828, 'All Menu'!B:L, 6, 0)</f>
        <v>13.793103448275863</v>
      </c>
      <c r="P1828" s="6">
        <f>VLOOKUP(B1828, 'All Menu'!B:L, 9, 0)</f>
        <v>7.944055182547034</v>
      </c>
      <c r="Q1828" s="14">
        <f>VLOOKUP(B1828, 'All Menu'!B:M, 12, 0)</f>
        <v>0.42405599926534004</v>
      </c>
      <c r="R1828" s="173">
        <f t="shared" si="95"/>
        <v>0</v>
      </c>
    </row>
    <row r="1829" spans="1:18" ht="14" hidden="1">
      <c r="A1829" s="78" t="s">
        <v>2763</v>
      </c>
      <c r="B1829" s="220" t="s">
        <v>955</v>
      </c>
      <c r="C1829" s="185"/>
      <c r="D1829" s="103" t="str">
        <f>VLOOKUP(B1829, 'All Menu'!B:M, 4, 0)</f>
        <v>كبدة خروف مشوية /1 كيلو</v>
      </c>
      <c r="E1829" s="30" t="str">
        <f>VLOOKUP(B1829, 'All Menu'!B:M, 2, 0)</f>
        <v>قسم المشاوي</v>
      </c>
      <c r="F1829" s="103" t="str">
        <f>VLOOKUP(B1829, 'All Menu'!B:M, 3, 0)</f>
        <v>المشاوي سفري</v>
      </c>
      <c r="G1829" s="90" t="s">
        <v>2257</v>
      </c>
      <c r="H1829" s="188">
        <v>5281</v>
      </c>
      <c r="I1829" s="110" t="str">
        <f>VLOOKUP(H1829, 'RM &amp; SF'!B:H, 2, 0)</f>
        <v>بندوره مشاوي</v>
      </c>
      <c r="J1829" s="184" t="str">
        <f>VLOOKUP(H1829, 'RM &amp; SF'!B:E, 4, 0)</f>
        <v>غم</v>
      </c>
      <c r="K1829" s="12">
        <v>150</v>
      </c>
      <c r="L1829" s="13">
        <f>VLOOKUP(H1829, 'RM &amp; SF'!B:H, 7, 0)</f>
        <v>4.0000000000000002E-4</v>
      </c>
      <c r="M1829" s="7">
        <f t="shared" si="94"/>
        <v>6.0000000000000005E-2</v>
      </c>
      <c r="N1829" s="4" t="s">
        <v>825</v>
      </c>
      <c r="O1829" s="4">
        <f>VLOOKUP(B1829, 'All Menu'!B:L, 6, 0)</f>
        <v>13.793103448275863</v>
      </c>
      <c r="P1829" s="6">
        <f>VLOOKUP(B1829, 'All Menu'!B:L, 9, 0)</f>
        <v>7.944055182547034</v>
      </c>
      <c r="Q1829" s="14">
        <f>VLOOKUP(B1829, 'All Menu'!B:M, 12, 0)</f>
        <v>0.42405599926534004</v>
      </c>
      <c r="R1829" s="173">
        <f t="shared" si="95"/>
        <v>0</v>
      </c>
    </row>
    <row r="1830" spans="1:18" ht="14" hidden="1">
      <c r="A1830" s="78" t="s">
        <v>2763</v>
      </c>
      <c r="B1830" s="220" t="s">
        <v>955</v>
      </c>
      <c r="C1830" s="185"/>
      <c r="D1830" s="103" t="str">
        <f>VLOOKUP(B1830, 'All Menu'!B:M, 4, 0)</f>
        <v>كبدة خروف مشوية /1 كيلو</v>
      </c>
      <c r="E1830" s="30" t="str">
        <f>VLOOKUP(B1830, 'All Menu'!B:M, 2, 0)</f>
        <v>قسم المشاوي</v>
      </c>
      <c r="F1830" s="103" t="str">
        <f>VLOOKUP(B1830, 'All Menu'!B:M, 3, 0)</f>
        <v>المشاوي سفري</v>
      </c>
      <c r="G1830" s="90" t="s">
        <v>2396</v>
      </c>
      <c r="H1830" s="219" t="s">
        <v>582</v>
      </c>
      <c r="I1830" s="110" t="str">
        <f>VLOOKUP(H1830, 'RM &amp; SF'!B:H, 2, 0)</f>
        <v>بيواز</v>
      </c>
      <c r="J1830" s="184" t="str">
        <f>VLOOKUP(H1830, 'RM &amp; SF'!B:E, 4, 0)</f>
        <v>غم</v>
      </c>
      <c r="K1830" s="12">
        <v>100</v>
      </c>
      <c r="L1830" s="13">
        <f>VLOOKUP(H1830, 'RM &amp; SF'!B:H, 7, 0)</f>
        <v>2.0666065869244635E-4</v>
      </c>
      <c r="M1830" s="7">
        <f t="shared" si="94"/>
        <v>2.0666065869244635E-2</v>
      </c>
      <c r="N1830" s="4" t="s">
        <v>825</v>
      </c>
      <c r="O1830" s="4">
        <f>VLOOKUP(B1830, 'All Menu'!B:L, 6, 0)</f>
        <v>13.793103448275863</v>
      </c>
      <c r="P1830" s="6">
        <f>VLOOKUP(B1830, 'All Menu'!B:L, 9, 0)</f>
        <v>7.944055182547034</v>
      </c>
      <c r="Q1830" s="14">
        <f>VLOOKUP(B1830, 'All Menu'!B:M, 12, 0)</f>
        <v>0.42405599926534004</v>
      </c>
      <c r="R1830" s="173">
        <f t="shared" si="95"/>
        <v>0</v>
      </c>
    </row>
    <row r="1831" spans="1:18" ht="14" hidden="1">
      <c r="A1831" s="78" t="s">
        <v>2763</v>
      </c>
      <c r="B1831" s="220" t="s">
        <v>955</v>
      </c>
      <c r="C1831" s="185"/>
      <c r="D1831" s="103" t="str">
        <f>VLOOKUP(B1831, 'All Menu'!B:M, 4, 0)</f>
        <v>كبدة خروف مشوية /1 كيلو</v>
      </c>
      <c r="E1831" s="30" t="str">
        <f>VLOOKUP(B1831, 'All Menu'!B:M, 2, 0)</f>
        <v>قسم المشاوي</v>
      </c>
      <c r="F1831" s="103" t="str">
        <f>VLOOKUP(B1831, 'All Menu'!B:M, 3, 0)</f>
        <v>المشاوي سفري</v>
      </c>
      <c r="G1831" s="90" t="s">
        <v>2331</v>
      </c>
      <c r="H1831" s="219" t="s">
        <v>530</v>
      </c>
      <c r="I1831" s="110" t="str">
        <f>VLOOKUP(H1831, 'RM &amp; SF'!B:H, 2, 0)</f>
        <v>خبز صاج</v>
      </c>
      <c r="J1831" s="184" t="str">
        <f>VLOOKUP(H1831, 'RM &amp; SF'!B:E, 4, 0)</f>
        <v>غم</v>
      </c>
      <c r="K1831" s="12">
        <v>300</v>
      </c>
      <c r="L1831" s="13">
        <f>VLOOKUP(H1831, 'RM &amp; SF'!B:H, 7, 0)</f>
        <v>1.8806451612903227E-4</v>
      </c>
      <c r="M1831" s="7">
        <f t="shared" si="94"/>
        <v>5.6419354838709683E-2</v>
      </c>
      <c r="N1831" s="4" t="s">
        <v>825</v>
      </c>
      <c r="O1831" s="4">
        <f>VLOOKUP(B1831, 'All Menu'!B:L, 6, 0)</f>
        <v>13.793103448275863</v>
      </c>
      <c r="P1831" s="6">
        <f>VLOOKUP(B1831, 'All Menu'!B:L, 9, 0)</f>
        <v>7.944055182547034</v>
      </c>
      <c r="Q1831" s="14">
        <f>VLOOKUP(B1831, 'All Menu'!B:M, 12, 0)</f>
        <v>0.42405599926534004</v>
      </c>
      <c r="R1831" s="173">
        <f t="shared" si="95"/>
        <v>0</v>
      </c>
    </row>
    <row r="1832" spans="1:18" ht="14" hidden="1">
      <c r="A1832" s="78" t="s">
        <v>2763</v>
      </c>
      <c r="B1832" s="220" t="s">
        <v>955</v>
      </c>
      <c r="C1832" s="185"/>
      <c r="D1832" s="103" t="str">
        <f>VLOOKUP(B1832, 'All Menu'!B:M, 4, 0)</f>
        <v>كبدة خروف مشوية /1 كيلو</v>
      </c>
      <c r="E1832" s="30" t="str">
        <f>VLOOKUP(B1832, 'All Menu'!B:M, 2, 0)</f>
        <v>قسم المشاوي</v>
      </c>
      <c r="F1832" s="103" t="str">
        <f>VLOOKUP(B1832, 'All Menu'!B:M, 3, 0)</f>
        <v>المشاوي سفري</v>
      </c>
      <c r="G1832" s="90" t="s">
        <v>2231</v>
      </c>
      <c r="H1832" s="188">
        <v>4499</v>
      </c>
      <c r="I1832" s="110" t="str">
        <f>VLOOKUP(H1832, 'RM &amp; SF'!B:H, 2, 0)</f>
        <v>فلفل حار اخضر*****</v>
      </c>
      <c r="J1832" s="184" t="str">
        <f>VLOOKUP(H1832, 'RM &amp; SF'!B:E, 4, 0)</f>
        <v>غم</v>
      </c>
      <c r="K1832" s="12">
        <v>40</v>
      </c>
      <c r="L1832" s="13">
        <f>VLOOKUP(H1832, 'RM &amp; SF'!B:H, 7, 0)</f>
        <v>5.0000000000000001E-4</v>
      </c>
      <c r="M1832" s="7">
        <f t="shared" si="94"/>
        <v>0.02</v>
      </c>
      <c r="N1832" s="4" t="s">
        <v>825</v>
      </c>
      <c r="O1832" s="4">
        <f>VLOOKUP(B1832, 'All Menu'!B:L, 6, 0)</f>
        <v>13.793103448275863</v>
      </c>
      <c r="P1832" s="6">
        <f>VLOOKUP(B1832, 'All Menu'!B:L, 9, 0)</f>
        <v>7.944055182547034</v>
      </c>
      <c r="Q1832" s="14">
        <f>VLOOKUP(B1832, 'All Menu'!B:M, 12, 0)</f>
        <v>0.42405599926534004</v>
      </c>
      <c r="R1832" s="173">
        <f t="shared" si="95"/>
        <v>0</v>
      </c>
    </row>
    <row r="1833" spans="1:18" ht="14" hidden="1">
      <c r="A1833" s="78" t="s">
        <v>2763</v>
      </c>
      <c r="B1833" s="220" t="s">
        <v>955</v>
      </c>
      <c r="C1833" s="185"/>
      <c r="D1833" s="103" t="str">
        <f>VLOOKUP(B1833, 'All Menu'!B:M, 4, 0)</f>
        <v>كبدة خروف مشوية /1 كيلو</v>
      </c>
      <c r="E1833" s="30" t="str">
        <f>VLOOKUP(B1833, 'All Menu'!B:M, 2, 0)</f>
        <v>قسم المشاوي</v>
      </c>
      <c r="F1833" s="103" t="str">
        <f>VLOOKUP(B1833, 'All Menu'!B:M, 3, 0)</f>
        <v>المشاوي سفري</v>
      </c>
      <c r="G1833" s="90" t="s">
        <v>2198</v>
      </c>
      <c r="H1833" s="188">
        <v>4348</v>
      </c>
      <c r="I1833" s="110" t="str">
        <f>VLOOKUP(H1833, 'RM &amp; SF'!B:H, 2, 0)</f>
        <v>صحن كرتون بيضوي مذهب 42 سم (رقم 3)*****</v>
      </c>
      <c r="J1833" s="184" t="str">
        <f>VLOOKUP(H1833, 'RM &amp; SF'!B:E, 4, 0)</f>
        <v>قطعة</v>
      </c>
      <c r="K1833" s="12">
        <v>1</v>
      </c>
      <c r="L1833" s="13">
        <f>VLOOKUP(H1833, 'RM &amp; SF'!B:H, 7, 0)</f>
        <v>0.29299999999999998</v>
      </c>
      <c r="M1833" s="7">
        <f t="shared" si="94"/>
        <v>0.29299999999999998</v>
      </c>
      <c r="N1833" s="4" t="s">
        <v>825</v>
      </c>
      <c r="O1833" s="4">
        <f>VLOOKUP(B1833, 'All Menu'!B:L, 6, 0)</f>
        <v>13.793103448275863</v>
      </c>
      <c r="P1833" s="6">
        <f>VLOOKUP(B1833, 'All Menu'!B:L, 9, 0)</f>
        <v>7.944055182547034</v>
      </c>
      <c r="Q1833" s="14">
        <f>VLOOKUP(B1833, 'All Menu'!B:M, 12, 0)</f>
        <v>0.42405599926534004</v>
      </c>
      <c r="R1833" s="173">
        <f t="shared" si="95"/>
        <v>0</v>
      </c>
    </row>
    <row r="1834" spans="1:18" ht="14" hidden="1">
      <c r="A1834" s="78" t="s">
        <v>2763</v>
      </c>
      <c r="B1834" s="220" t="s">
        <v>955</v>
      </c>
      <c r="C1834" s="185"/>
      <c r="D1834" s="103" t="str">
        <f>VLOOKUP(B1834, 'All Menu'!B:M, 4, 0)</f>
        <v>كبدة خروف مشوية /1 كيلو</v>
      </c>
      <c r="E1834" s="30" t="str">
        <f>VLOOKUP(B1834, 'All Menu'!B:M, 2, 0)</f>
        <v>قسم المشاوي</v>
      </c>
      <c r="F1834" s="103" t="str">
        <f>VLOOKUP(B1834, 'All Menu'!B:M, 3, 0)</f>
        <v>المشاوي سفري</v>
      </c>
      <c r="G1834" s="90" t="s">
        <v>3058</v>
      </c>
      <c r="H1834" s="188">
        <v>4269</v>
      </c>
      <c r="I1834" s="110" t="str">
        <f>VLOOKUP(H1834, 'RM &amp; SF'!B:H, 2, 0)</f>
        <v>بكجات مشاوي مطبوع رقم 3 1*50 حبة*****</v>
      </c>
      <c r="J1834" s="184" t="str">
        <f>VLOOKUP(H1834, 'RM &amp; SF'!B:E, 4, 0)</f>
        <v>قطعة</v>
      </c>
      <c r="K1834" s="12">
        <v>1</v>
      </c>
      <c r="L1834" s="13">
        <f>VLOOKUP(H1834, 'RM &amp; SF'!B:H, 7, 0)</f>
        <v>0.37068965517241381</v>
      </c>
      <c r="M1834" s="7">
        <f t="shared" si="94"/>
        <v>0.37068965517241381</v>
      </c>
      <c r="N1834" s="4" t="s">
        <v>825</v>
      </c>
      <c r="O1834" s="4">
        <f>VLOOKUP(B1834, 'All Menu'!B:L, 6, 0)</f>
        <v>13.793103448275863</v>
      </c>
      <c r="P1834" s="6">
        <f>VLOOKUP(B1834, 'All Menu'!B:L, 9, 0)</f>
        <v>7.944055182547034</v>
      </c>
      <c r="Q1834" s="14">
        <f>VLOOKUP(B1834, 'All Menu'!B:M, 12, 0)</f>
        <v>0.42405599926534004</v>
      </c>
      <c r="R1834" s="173">
        <f t="shared" si="95"/>
        <v>0</v>
      </c>
    </row>
    <row r="1835" spans="1:18" ht="14" hidden="1">
      <c r="A1835" s="78" t="s">
        <v>2763</v>
      </c>
      <c r="B1835" s="220" t="s">
        <v>955</v>
      </c>
      <c r="C1835" s="185"/>
      <c r="D1835" s="103" t="str">
        <f>VLOOKUP(B1835, 'All Menu'!B:M, 4, 0)</f>
        <v>كبدة خروف مشوية /1 كيلو</v>
      </c>
      <c r="E1835" s="30" t="str">
        <f>VLOOKUP(B1835, 'All Menu'!B:M, 2, 0)</f>
        <v>قسم المشاوي</v>
      </c>
      <c r="F1835" s="103" t="str">
        <f>VLOOKUP(B1835, 'All Menu'!B:M, 3, 0)</f>
        <v>المشاوي سفري</v>
      </c>
      <c r="G1835" s="90" t="s">
        <v>2194</v>
      </c>
      <c r="H1835" s="188">
        <v>4323</v>
      </c>
      <c r="I1835" s="110" t="str">
        <f>VLOOKUP(H1835, 'RM &amp; SF'!B:H, 2, 0)</f>
        <v>قصدير رول 45 سم*2كغ*****</v>
      </c>
      <c r="J1835" s="184" t="str">
        <f>VLOOKUP(H1835, 'RM &amp; SF'!B:E, 4, 0)</f>
        <v>غم</v>
      </c>
      <c r="K1835" s="12">
        <v>0.06</v>
      </c>
      <c r="L1835" s="13">
        <f>VLOOKUP(H1835, 'RM &amp; SF'!B:H, 7, 0)</f>
        <v>1.7240000000000001E-3</v>
      </c>
      <c r="M1835" s="7">
        <f t="shared" si="94"/>
        <v>1.0344E-4</v>
      </c>
      <c r="N1835" s="4" t="s">
        <v>825</v>
      </c>
      <c r="O1835" s="4">
        <f>VLOOKUP(B1835, 'All Menu'!B:L, 6, 0)</f>
        <v>13.793103448275863</v>
      </c>
      <c r="P1835" s="6">
        <f>VLOOKUP(B1835, 'All Menu'!B:L, 9, 0)</f>
        <v>7.944055182547034</v>
      </c>
      <c r="Q1835" s="14">
        <f>VLOOKUP(B1835, 'All Menu'!B:M, 12, 0)</f>
        <v>0.42405599926534004</v>
      </c>
      <c r="R1835" s="173">
        <f t="shared" si="95"/>
        <v>0</v>
      </c>
    </row>
    <row r="1836" spans="1:18" ht="14" hidden="1">
      <c r="A1836" s="78" t="s">
        <v>2760</v>
      </c>
      <c r="B1836" s="220" t="s">
        <v>956</v>
      </c>
      <c r="C1836" s="185"/>
      <c r="D1836" s="103" t="str">
        <f>VLOOKUP(B1836, 'All Menu'!B:M, 4, 0)</f>
        <v>دجاج تركي / دجاجة</v>
      </c>
      <c r="E1836" s="30" t="str">
        <f>VLOOKUP(B1836, 'All Menu'!B:M, 2, 0)</f>
        <v>قسم المشاوي</v>
      </c>
      <c r="F1836" s="103" t="str">
        <f>VLOOKUP(B1836, 'All Menu'!B:M, 3, 0)</f>
        <v>المشاوي سفري</v>
      </c>
      <c r="G1836" s="90" t="s">
        <v>2384</v>
      </c>
      <c r="H1836" s="219" t="s">
        <v>538</v>
      </c>
      <c r="I1836" s="110" t="str">
        <f>VLOOKUP(H1836, 'RM &amp; SF'!B:H, 2, 0)</f>
        <v>دجاج تركي</v>
      </c>
      <c r="J1836" s="184" t="str">
        <f>VLOOKUP(H1836, 'RM &amp; SF'!B:E, 4, 0)</f>
        <v>قطعة</v>
      </c>
      <c r="K1836" s="12">
        <v>1</v>
      </c>
      <c r="L1836" s="13">
        <f>VLOOKUP(H1836, 'RM &amp; SF'!B:H, 7, 0)</f>
        <v>3.5399982955314506</v>
      </c>
      <c r="M1836" s="7">
        <f t="shared" si="94"/>
        <v>3.5399982955314506</v>
      </c>
      <c r="N1836" s="4" t="s">
        <v>825</v>
      </c>
      <c r="O1836" s="4">
        <f>VLOOKUP(B1836, 'All Menu'!B:L, 6, 0)</f>
        <v>6.0344827586206904</v>
      </c>
      <c r="P1836" s="6">
        <f>VLOOKUP(B1836, 'All Menu'!B:L, 9, 0)</f>
        <v>4.8935270251662928</v>
      </c>
      <c r="Q1836" s="14">
        <f>VLOOKUP(B1836, 'All Menu'!B:M, 12, 0)</f>
        <v>0.18907266440101445</v>
      </c>
      <c r="R1836" s="173">
        <f t="shared" si="95"/>
        <v>0</v>
      </c>
    </row>
    <row r="1837" spans="1:18" ht="14" hidden="1">
      <c r="A1837" s="78" t="s">
        <v>2760</v>
      </c>
      <c r="B1837" s="220" t="s">
        <v>956</v>
      </c>
      <c r="C1837" s="185"/>
      <c r="D1837" s="103" t="str">
        <f>VLOOKUP(B1837, 'All Menu'!B:M, 4, 0)</f>
        <v>دجاج تركي / دجاجة</v>
      </c>
      <c r="E1837" s="30" t="str">
        <f>VLOOKUP(B1837, 'All Menu'!B:M, 2, 0)</f>
        <v>قسم المشاوي</v>
      </c>
      <c r="F1837" s="103" t="str">
        <f>VLOOKUP(B1837, 'All Menu'!B:M, 3, 0)</f>
        <v>المشاوي سفري</v>
      </c>
      <c r="G1837" s="90" t="s">
        <v>2235</v>
      </c>
      <c r="H1837" s="188">
        <v>4504</v>
      </c>
      <c r="I1837" s="110" t="str">
        <f>VLOOKUP(H1837, 'RM &amp; SF'!B:H, 2, 0)</f>
        <v>بصل مشاوي (بصل بيبي)***</v>
      </c>
      <c r="J1837" s="184" t="str">
        <f>VLOOKUP(H1837, 'RM &amp; SF'!B:E, 4, 0)</f>
        <v>غم</v>
      </c>
      <c r="K1837" s="12">
        <v>50</v>
      </c>
      <c r="L1837" s="13">
        <f>VLOOKUP(H1837, 'RM &amp; SF'!B:H, 7, 0)</f>
        <v>3.5E-4</v>
      </c>
      <c r="M1837" s="7">
        <f t="shared" si="94"/>
        <v>1.7499999999999998E-2</v>
      </c>
      <c r="N1837" s="4" t="s">
        <v>825</v>
      </c>
      <c r="O1837" s="4">
        <f>VLOOKUP(B1837, 'All Menu'!B:L, 6, 0)</f>
        <v>6.0344827586206904</v>
      </c>
      <c r="P1837" s="6">
        <f>VLOOKUP(B1837, 'All Menu'!B:L, 9, 0)</f>
        <v>4.8935270251662928</v>
      </c>
      <c r="Q1837" s="14">
        <f>VLOOKUP(B1837, 'All Menu'!B:M, 12, 0)</f>
        <v>0.18907266440101445</v>
      </c>
      <c r="R1837" s="173">
        <f t="shared" si="95"/>
        <v>0</v>
      </c>
    </row>
    <row r="1838" spans="1:18" ht="14" hidden="1">
      <c r="A1838" s="78" t="s">
        <v>2760</v>
      </c>
      <c r="B1838" s="220" t="s">
        <v>956</v>
      </c>
      <c r="C1838" s="185"/>
      <c r="D1838" s="103" t="str">
        <f>VLOOKUP(B1838, 'All Menu'!B:M, 4, 0)</f>
        <v>دجاج تركي / دجاجة</v>
      </c>
      <c r="E1838" s="30" t="str">
        <f>VLOOKUP(B1838, 'All Menu'!B:M, 2, 0)</f>
        <v>قسم المشاوي</v>
      </c>
      <c r="F1838" s="103" t="str">
        <f>VLOOKUP(B1838, 'All Menu'!B:M, 3, 0)</f>
        <v>المشاوي سفري</v>
      </c>
      <c r="G1838" s="90" t="s">
        <v>2309</v>
      </c>
      <c r="H1838" s="188">
        <v>4491</v>
      </c>
      <c r="I1838" s="110" t="str">
        <f>VLOOKUP(H1838, 'RM &amp; SF'!B:H, 2, 0)</f>
        <v>بندورة جامدة*****</v>
      </c>
      <c r="J1838" s="184" t="str">
        <f>VLOOKUP(H1838, 'RM &amp; SF'!B:E, 4, 0)</f>
        <v>غم</v>
      </c>
      <c r="K1838" s="12">
        <v>50</v>
      </c>
      <c r="L1838" s="13">
        <f>VLOOKUP(H1838, 'RM &amp; SF'!B:H, 7, 0)</f>
        <v>5.0000000000000001E-4</v>
      </c>
      <c r="M1838" s="7">
        <f t="shared" si="94"/>
        <v>2.5000000000000001E-2</v>
      </c>
      <c r="N1838" s="4" t="s">
        <v>825</v>
      </c>
      <c r="O1838" s="4">
        <f>VLOOKUP(B1838, 'All Menu'!B:L, 6, 0)</f>
        <v>6.0344827586206904</v>
      </c>
      <c r="P1838" s="6">
        <f>VLOOKUP(B1838, 'All Menu'!B:L, 9, 0)</f>
        <v>4.8935270251662928</v>
      </c>
      <c r="Q1838" s="14">
        <f>VLOOKUP(B1838, 'All Menu'!B:M, 12, 0)</f>
        <v>0.18907266440101445</v>
      </c>
      <c r="R1838" s="173">
        <f t="shared" si="95"/>
        <v>0</v>
      </c>
    </row>
    <row r="1839" spans="1:18" ht="14" hidden="1">
      <c r="A1839" s="78" t="s">
        <v>2760</v>
      </c>
      <c r="B1839" s="220" t="s">
        <v>956</v>
      </c>
      <c r="C1839" s="185"/>
      <c r="D1839" s="103" t="str">
        <f>VLOOKUP(B1839, 'All Menu'!B:M, 4, 0)</f>
        <v>دجاج تركي / دجاجة</v>
      </c>
      <c r="E1839" s="30" t="str">
        <f>VLOOKUP(B1839, 'All Menu'!B:M, 2, 0)</f>
        <v>قسم المشاوي</v>
      </c>
      <c r="F1839" s="103" t="str">
        <f>VLOOKUP(B1839, 'All Menu'!B:M, 3, 0)</f>
        <v>المشاوي سفري</v>
      </c>
      <c r="G1839" s="90" t="s">
        <v>2396</v>
      </c>
      <c r="H1839" s="219" t="s">
        <v>582</v>
      </c>
      <c r="I1839" s="110" t="str">
        <f>VLOOKUP(H1839, 'RM &amp; SF'!B:H, 2, 0)</f>
        <v>بيواز</v>
      </c>
      <c r="J1839" s="184" t="str">
        <f>VLOOKUP(H1839, 'RM &amp; SF'!B:E, 4, 0)</f>
        <v>غم</v>
      </c>
      <c r="K1839" s="12">
        <v>20</v>
      </c>
      <c r="L1839" s="13">
        <f>VLOOKUP(H1839, 'RM &amp; SF'!B:H, 7, 0)</f>
        <v>2.0666065869244635E-4</v>
      </c>
      <c r="M1839" s="7">
        <f t="shared" si="94"/>
        <v>4.1332131738489267E-3</v>
      </c>
      <c r="N1839" s="4" t="s">
        <v>825</v>
      </c>
      <c r="O1839" s="4">
        <f>VLOOKUP(B1839, 'All Menu'!B:L, 6, 0)</f>
        <v>6.0344827586206904</v>
      </c>
      <c r="P1839" s="6">
        <f>VLOOKUP(B1839, 'All Menu'!B:L, 9, 0)</f>
        <v>4.8935270251662928</v>
      </c>
      <c r="Q1839" s="14">
        <f>VLOOKUP(B1839, 'All Menu'!B:M, 12, 0)</f>
        <v>0.18907266440101445</v>
      </c>
      <c r="R1839" s="173">
        <f t="shared" si="95"/>
        <v>0</v>
      </c>
    </row>
    <row r="1840" spans="1:18" ht="14" hidden="1">
      <c r="A1840" s="78" t="s">
        <v>2760</v>
      </c>
      <c r="B1840" s="220" t="s">
        <v>956</v>
      </c>
      <c r="C1840" s="185"/>
      <c r="D1840" s="103" t="str">
        <f>VLOOKUP(B1840, 'All Menu'!B:M, 4, 0)</f>
        <v>دجاج تركي / دجاجة</v>
      </c>
      <c r="E1840" s="30" t="str">
        <f>VLOOKUP(B1840, 'All Menu'!B:M, 2, 0)</f>
        <v>قسم المشاوي</v>
      </c>
      <c r="F1840" s="103" t="str">
        <f>VLOOKUP(B1840, 'All Menu'!B:M, 3, 0)</f>
        <v>المشاوي سفري</v>
      </c>
      <c r="G1840" s="90" t="s">
        <v>2331</v>
      </c>
      <c r="H1840" s="219" t="s">
        <v>530</v>
      </c>
      <c r="I1840" s="110" t="str">
        <f>VLOOKUP(H1840, 'RM &amp; SF'!B:H, 2, 0)</f>
        <v>خبز صاج</v>
      </c>
      <c r="J1840" s="184" t="str">
        <f>VLOOKUP(H1840, 'RM &amp; SF'!B:E, 4, 0)</f>
        <v>غم</v>
      </c>
      <c r="K1840" s="12">
        <v>200</v>
      </c>
      <c r="L1840" s="13">
        <f>VLOOKUP(H1840, 'RM &amp; SF'!B:H, 7, 0)</f>
        <v>1.8806451612903227E-4</v>
      </c>
      <c r="M1840" s="7">
        <f t="shared" si="94"/>
        <v>3.7612903225806453E-2</v>
      </c>
      <c r="N1840" s="4" t="s">
        <v>825</v>
      </c>
      <c r="O1840" s="4">
        <f>VLOOKUP(B1840, 'All Menu'!B:L, 6, 0)</f>
        <v>6.0344827586206904</v>
      </c>
      <c r="P1840" s="6">
        <f>VLOOKUP(B1840, 'All Menu'!B:L, 9, 0)</f>
        <v>4.8935270251662928</v>
      </c>
      <c r="Q1840" s="14">
        <f>VLOOKUP(B1840, 'All Menu'!B:M, 12, 0)</f>
        <v>0.18907266440101445</v>
      </c>
      <c r="R1840" s="173">
        <f t="shared" si="95"/>
        <v>0</v>
      </c>
    </row>
    <row r="1841" spans="1:18" ht="14" hidden="1">
      <c r="A1841" s="78" t="s">
        <v>2760</v>
      </c>
      <c r="B1841" s="220" t="s">
        <v>956</v>
      </c>
      <c r="C1841" s="185"/>
      <c r="D1841" s="103" t="str">
        <f>VLOOKUP(B1841, 'All Menu'!B:M, 4, 0)</f>
        <v>دجاج تركي / دجاجة</v>
      </c>
      <c r="E1841" s="30" t="str">
        <f>VLOOKUP(B1841, 'All Menu'!B:M, 2, 0)</f>
        <v>قسم المشاوي</v>
      </c>
      <c r="F1841" s="103" t="str">
        <f>VLOOKUP(B1841, 'All Menu'!B:M, 3, 0)</f>
        <v>المشاوي سفري</v>
      </c>
      <c r="G1841" s="90" t="s">
        <v>2231</v>
      </c>
      <c r="H1841" s="188">
        <v>4499</v>
      </c>
      <c r="I1841" s="110" t="str">
        <f>VLOOKUP(H1841, 'RM &amp; SF'!B:H, 2, 0)</f>
        <v>فلفل حار اخضر*****</v>
      </c>
      <c r="J1841" s="184" t="str">
        <f>VLOOKUP(H1841, 'RM &amp; SF'!B:E, 4, 0)</f>
        <v>غم</v>
      </c>
      <c r="K1841" s="12">
        <v>40</v>
      </c>
      <c r="L1841" s="13">
        <f>VLOOKUP(H1841, 'RM &amp; SF'!B:H, 7, 0)</f>
        <v>5.0000000000000001E-4</v>
      </c>
      <c r="M1841" s="7">
        <f t="shared" si="94"/>
        <v>0.02</v>
      </c>
      <c r="N1841" s="4" t="s">
        <v>825</v>
      </c>
      <c r="O1841" s="4">
        <f>VLOOKUP(B1841, 'All Menu'!B:L, 6, 0)</f>
        <v>6.0344827586206904</v>
      </c>
      <c r="P1841" s="6">
        <f>VLOOKUP(B1841, 'All Menu'!B:L, 9, 0)</f>
        <v>4.8935270251662928</v>
      </c>
      <c r="Q1841" s="14">
        <f>VLOOKUP(B1841, 'All Menu'!B:M, 12, 0)</f>
        <v>0.18907266440101445</v>
      </c>
      <c r="R1841" s="173">
        <f t="shared" si="95"/>
        <v>0</v>
      </c>
    </row>
    <row r="1842" spans="1:18" ht="14" hidden="1">
      <c r="A1842" s="78" t="s">
        <v>2760</v>
      </c>
      <c r="B1842" s="220" t="s">
        <v>956</v>
      </c>
      <c r="C1842" s="185"/>
      <c r="D1842" s="103" t="str">
        <f>VLOOKUP(B1842, 'All Menu'!B:M, 4, 0)</f>
        <v>دجاج تركي / دجاجة</v>
      </c>
      <c r="E1842" s="30" t="str">
        <f>VLOOKUP(B1842, 'All Menu'!B:M, 2, 0)</f>
        <v>قسم المشاوي</v>
      </c>
      <c r="F1842" s="103" t="str">
        <f>VLOOKUP(B1842, 'All Menu'!B:M, 3, 0)</f>
        <v>المشاوي سفري</v>
      </c>
      <c r="G1842" s="90" t="s">
        <v>2385</v>
      </c>
      <c r="H1842" s="219" t="s">
        <v>540</v>
      </c>
      <c r="I1842" s="110" t="str">
        <f>VLOOKUP(H1842, 'RM &amp; SF'!B:H, 2, 0)</f>
        <v xml:space="preserve">بطاطا مقلية </v>
      </c>
      <c r="J1842" s="184" t="str">
        <f>VLOOKUP(H1842, 'RM &amp; SF'!B:E, 4, 0)</f>
        <v>غم</v>
      </c>
      <c r="K1842" s="12">
        <v>300</v>
      </c>
      <c r="L1842" s="13">
        <f>VLOOKUP(H1842, 'RM &amp; SF'!B:H, 7, 0)</f>
        <v>7.9700000000000007E-4</v>
      </c>
      <c r="M1842" s="7">
        <f t="shared" si="94"/>
        <v>0.23910000000000003</v>
      </c>
      <c r="N1842" s="4" t="s">
        <v>825</v>
      </c>
      <c r="O1842" s="4">
        <f>VLOOKUP(B1842, 'All Menu'!B:L, 6, 0)</f>
        <v>6.0344827586206904</v>
      </c>
      <c r="P1842" s="6">
        <f>VLOOKUP(B1842, 'All Menu'!B:L, 9, 0)</f>
        <v>4.8935270251662928</v>
      </c>
      <c r="Q1842" s="14">
        <f>VLOOKUP(B1842, 'All Menu'!B:M, 12, 0)</f>
        <v>0.18907266440101445</v>
      </c>
      <c r="R1842" s="173">
        <f t="shared" si="95"/>
        <v>0</v>
      </c>
    </row>
    <row r="1843" spans="1:18" ht="14" hidden="1">
      <c r="A1843" s="78" t="s">
        <v>2760</v>
      </c>
      <c r="B1843" s="220" t="s">
        <v>956</v>
      </c>
      <c r="C1843" s="185"/>
      <c r="D1843" s="103" t="str">
        <f>VLOOKUP(B1843, 'All Menu'!B:M, 4, 0)</f>
        <v>دجاج تركي / دجاجة</v>
      </c>
      <c r="E1843" s="30" t="str">
        <f>VLOOKUP(B1843, 'All Menu'!B:M, 2, 0)</f>
        <v>قسم المشاوي</v>
      </c>
      <c r="F1843" s="103" t="str">
        <f>VLOOKUP(B1843, 'All Menu'!B:M, 3, 0)</f>
        <v>المشاوي سفري</v>
      </c>
      <c r="G1843" s="90" t="s">
        <v>2184</v>
      </c>
      <c r="H1843" s="188">
        <v>4265</v>
      </c>
      <c r="I1843" s="110" t="str">
        <f>VLOOKUP(H1843, 'RM &amp; SF'!B:H, 2, 0)</f>
        <v>علب بطاطا كرتون مطبوع 1*25 حبة*****</v>
      </c>
      <c r="J1843" s="184" t="str">
        <f>VLOOKUP(H1843, 'RM &amp; SF'!B:E, 4, 0)</f>
        <v>قطعة</v>
      </c>
      <c r="K1843" s="12">
        <v>1</v>
      </c>
      <c r="L1843" s="13">
        <f>VLOOKUP(H1843, 'RM &amp; SF'!B:H, 7, 0)</f>
        <v>6.0299999999999999E-2</v>
      </c>
      <c r="M1843" s="7">
        <f t="shared" si="94"/>
        <v>6.0299999999999999E-2</v>
      </c>
      <c r="N1843" s="4" t="s">
        <v>825</v>
      </c>
      <c r="O1843" s="4">
        <f>VLOOKUP(B1843, 'All Menu'!B:L, 6, 0)</f>
        <v>6.0344827586206904</v>
      </c>
      <c r="P1843" s="6">
        <f>VLOOKUP(B1843, 'All Menu'!B:L, 9, 0)</f>
        <v>4.8935270251662928</v>
      </c>
      <c r="Q1843" s="14">
        <f>VLOOKUP(B1843, 'All Menu'!B:M, 12, 0)</f>
        <v>0.18907266440101445</v>
      </c>
      <c r="R1843" s="173">
        <f t="shared" si="95"/>
        <v>0</v>
      </c>
    </row>
    <row r="1844" spans="1:18" ht="14" hidden="1">
      <c r="A1844" s="78" t="s">
        <v>2760</v>
      </c>
      <c r="B1844" s="220" t="s">
        <v>956</v>
      </c>
      <c r="C1844" s="185"/>
      <c r="D1844" s="103" t="str">
        <f>VLOOKUP(B1844, 'All Menu'!B:M, 4, 0)</f>
        <v>دجاج تركي / دجاجة</v>
      </c>
      <c r="E1844" s="30" t="str">
        <f>VLOOKUP(B1844, 'All Menu'!B:M, 2, 0)</f>
        <v>قسم المشاوي</v>
      </c>
      <c r="F1844" s="103" t="str">
        <f>VLOOKUP(B1844, 'All Menu'!B:M, 3, 0)</f>
        <v>المشاوي سفري</v>
      </c>
      <c r="G1844" s="90" t="s">
        <v>2198</v>
      </c>
      <c r="H1844" s="188">
        <v>4348</v>
      </c>
      <c r="I1844" s="110" t="str">
        <f>VLOOKUP(H1844, 'RM &amp; SF'!B:H, 2, 0)</f>
        <v>صحن كرتون بيضوي مذهب 42 سم (رقم 3)*****</v>
      </c>
      <c r="J1844" s="184" t="str">
        <f>VLOOKUP(H1844, 'RM &amp; SF'!B:E, 4, 0)</f>
        <v>قطعة</v>
      </c>
      <c r="K1844" s="12">
        <v>1</v>
      </c>
      <c r="L1844" s="13">
        <f>VLOOKUP(H1844, 'RM &amp; SF'!B:H, 7, 0)</f>
        <v>0.29299999999999998</v>
      </c>
      <c r="M1844" s="7">
        <f t="shared" si="94"/>
        <v>0.29299999999999998</v>
      </c>
      <c r="N1844" s="4" t="s">
        <v>825</v>
      </c>
      <c r="O1844" s="4">
        <f>VLOOKUP(B1844, 'All Menu'!B:L, 6, 0)</f>
        <v>6.0344827586206904</v>
      </c>
      <c r="P1844" s="6">
        <f>VLOOKUP(B1844, 'All Menu'!B:L, 9, 0)</f>
        <v>4.8935270251662928</v>
      </c>
      <c r="Q1844" s="14">
        <f>VLOOKUP(B1844, 'All Menu'!B:M, 12, 0)</f>
        <v>0.18907266440101445</v>
      </c>
      <c r="R1844" s="173">
        <f t="shared" si="95"/>
        <v>0</v>
      </c>
    </row>
    <row r="1845" spans="1:18" ht="14" hidden="1">
      <c r="A1845" s="78" t="s">
        <v>2760</v>
      </c>
      <c r="B1845" s="220" t="s">
        <v>956</v>
      </c>
      <c r="C1845" s="185"/>
      <c r="D1845" s="103" t="str">
        <f>VLOOKUP(B1845, 'All Menu'!B:M, 4, 0)</f>
        <v>دجاج تركي / دجاجة</v>
      </c>
      <c r="E1845" s="30" t="str">
        <f>VLOOKUP(B1845, 'All Menu'!B:M, 2, 0)</f>
        <v>قسم المشاوي</v>
      </c>
      <c r="F1845" s="103" t="str">
        <f>VLOOKUP(B1845, 'All Menu'!B:M, 3, 0)</f>
        <v>المشاوي سفري</v>
      </c>
      <c r="G1845" s="90" t="s">
        <v>3058</v>
      </c>
      <c r="H1845" s="188">
        <v>4268</v>
      </c>
      <c r="I1845" s="110" t="str">
        <f>VLOOKUP(H1845, 'RM &amp; SF'!B:H, 2, 0)</f>
        <v>بكجات مشاوي مطبوع رقم 2 1*50 حبة*****</v>
      </c>
      <c r="J1845" s="184" t="str">
        <f>VLOOKUP(H1845, 'RM &amp; SF'!B:E, 4, 0)</f>
        <v>قطعة</v>
      </c>
      <c r="K1845" s="12">
        <v>1</v>
      </c>
      <c r="L1845" s="13">
        <f>VLOOKUP(H1845, 'RM &amp; SF'!B:H, 7, 0)</f>
        <v>0.33620689655172414</v>
      </c>
      <c r="M1845" s="7">
        <f t="shared" si="94"/>
        <v>0.33620689655172414</v>
      </c>
      <c r="N1845" s="4" t="s">
        <v>825</v>
      </c>
      <c r="O1845" s="4">
        <f>VLOOKUP(B1845, 'All Menu'!B:L, 6, 0)</f>
        <v>6.0344827586206904</v>
      </c>
      <c r="P1845" s="6">
        <f>VLOOKUP(B1845, 'All Menu'!B:L, 9, 0)</f>
        <v>4.8935270251662928</v>
      </c>
      <c r="Q1845" s="14">
        <f>VLOOKUP(B1845, 'All Menu'!B:M, 12, 0)</f>
        <v>0.18907266440101445</v>
      </c>
      <c r="R1845" s="173">
        <f t="shared" si="95"/>
        <v>0</v>
      </c>
    </row>
    <row r="1846" spans="1:18" ht="14" hidden="1">
      <c r="A1846" s="78" t="s">
        <v>2760</v>
      </c>
      <c r="B1846" s="220" t="s">
        <v>956</v>
      </c>
      <c r="C1846" s="185"/>
      <c r="D1846" s="103" t="str">
        <f>VLOOKUP(B1846, 'All Menu'!B:M, 4, 0)</f>
        <v>دجاج تركي / دجاجة</v>
      </c>
      <c r="E1846" s="30" t="str">
        <f>VLOOKUP(B1846, 'All Menu'!B:M, 2, 0)</f>
        <v>قسم المشاوي</v>
      </c>
      <c r="F1846" s="103" t="str">
        <f>VLOOKUP(B1846, 'All Menu'!B:M, 3, 0)</f>
        <v>المشاوي سفري</v>
      </c>
      <c r="G1846" s="90" t="s">
        <v>2194</v>
      </c>
      <c r="H1846" s="188">
        <v>4323</v>
      </c>
      <c r="I1846" s="110" t="str">
        <f>VLOOKUP(H1846, 'RM &amp; SF'!B:H, 2, 0)</f>
        <v>قصدير رول 45 سم*2كغ*****</v>
      </c>
      <c r="J1846" s="184" t="str">
        <f>VLOOKUP(H1846, 'RM &amp; SF'!B:E, 4, 0)</f>
        <v>غم</v>
      </c>
      <c r="K1846" s="12">
        <v>0.06</v>
      </c>
      <c r="L1846" s="13">
        <f>VLOOKUP(H1846, 'RM &amp; SF'!B:H, 7, 0)</f>
        <v>1.7240000000000001E-3</v>
      </c>
      <c r="M1846" s="7">
        <f t="shared" si="94"/>
        <v>1.0344E-4</v>
      </c>
      <c r="N1846" s="4" t="s">
        <v>825</v>
      </c>
      <c r="O1846" s="4">
        <f>VLOOKUP(B1846, 'All Menu'!B:L, 6, 0)</f>
        <v>6.0344827586206904</v>
      </c>
      <c r="P1846" s="6">
        <f>VLOOKUP(B1846, 'All Menu'!B:L, 9, 0)</f>
        <v>4.8935270251662928</v>
      </c>
      <c r="Q1846" s="14">
        <f>VLOOKUP(B1846, 'All Menu'!B:M, 12, 0)</f>
        <v>0.18907266440101445</v>
      </c>
      <c r="R1846" s="173">
        <f t="shared" si="95"/>
        <v>0</v>
      </c>
    </row>
    <row r="1847" spans="1:18" ht="14" hidden="1">
      <c r="A1847" s="78" t="s">
        <v>2760</v>
      </c>
      <c r="B1847" s="220" t="s">
        <v>956</v>
      </c>
      <c r="C1847" s="185"/>
      <c r="D1847" s="198" t="str">
        <f>VLOOKUP(B1847, 'All Menu'!B:M, 4, 0)</f>
        <v>دجاج تركي / دجاجة</v>
      </c>
      <c r="E1847" s="30" t="str">
        <f>VLOOKUP(B1847, 'All Menu'!B:M, 2, 0)</f>
        <v>قسم المشاوي</v>
      </c>
      <c r="F1847" s="103" t="str">
        <f>VLOOKUP(B1847, 'All Menu'!B:M, 3, 0)</f>
        <v>المشاوي سفري</v>
      </c>
      <c r="G1847" s="90" t="s">
        <v>2409</v>
      </c>
      <c r="H1847" s="219" t="s">
        <v>578</v>
      </c>
      <c r="I1847" s="110" t="str">
        <f>VLOOKUP(H1847, 'RM &amp; SF'!B:H, 2, 0)</f>
        <v>علبة مخلل</v>
      </c>
      <c r="J1847" s="184" t="str">
        <f>VLOOKUP(H1847, 'RM &amp; SF'!B:E, 4, 0)</f>
        <v>قطعة</v>
      </c>
      <c r="K1847" s="12">
        <v>2</v>
      </c>
      <c r="L1847" s="13">
        <f>VLOOKUP(H1847, 'RM &amp; SF'!B:H, 7, 0)</f>
        <v>6.0440000000000001E-2</v>
      </c>
      <c r="M1847" s="7">
        <f t="shared" si="94"/>
        <v>0.12088</v>
      </c>
      <c r="N1847" s="4" t="s">
        <v>825</v>
      </c>
      <c r="O1847" s="4">
        <f>VLOOKUP(B1847, 'All Menu'!B:L, 6, 0)</f>
        <v>6.0344827586206904</v>
      </c>
      <c r="P1847" s="6">
        <f>VLOOKUP(B1847, 'All Menu'!B:L, 9, 0)</f>
        <v>4.8935270251662928</v>
      </c>
      <c r="Q1847" s="14">
        <f>VLOOKUP(B1847, 'All Menu'!B:M, 12, 0)</f>
        <v>0.18907266440101445</v>
      </c>
      <c r="R1847" s="173">
        <f t="shared" si="95"/>
        <v>0</v>
      </c>
    </row>
    <row r="1848" spans="1:18" ht="14" hidden="1">
      <c r="A1848" s="78" t="s">
        <v>2760</v>
      </c>
      <c r="B1848" s="220" t="s">
        <v>956</v>
      </c>
      <c r="C1848" s="185"/>
      <c r="D1848" s="103" t="str">
        <f>VLOOKUP(B1848, 'All Menu'!B:M, 4, 0)</f>
        <v>دجاج تركي / دجاجة</v>
      </c>
      <c r="E1848" s="30" t="str">
        <f>VLOOKUP(B1848, 'All Menu'!B:M, 2, 0)</f>
        <v>قسم المشاوي</v>
      </c>
      <c r="F1848" s="103" t="str">
        <f>VLOOKUP(B1848, 'All Menu'!B:M, 3, 0)</f>
        <v>المشاوي سفري</v>
      </c>
      <c r="G1848" s="90" t="s">
        <v>2325</v>
      </c>
      <c r="H1848" s="219" t="s">
        <v>534</v>
      </c>
      <c r="I1848" s="110" t="str">
        <f>VLOOKUP(H1848, 'RM &amp; SF'!B:H, 2, 0)</f>
        <v>مثومه</v>
      </c>
      <c r="J1848" s="184" t="str">
        <f>VLOOKUP(H1848, 'RM &amp; SF'!B:E, 4, 0)</f>
        <v>غم</v>
      </c>
      <c r="K1848" s="12">
        <v>300</v>
      </c>
      <c r="L1848" s="13">
        <f>VLOOKUP(H1848, 'RM &amp; SF'!B:H, 7, 0)</f>
        <v>6.6564092227821051E-4</v>
      </c>
      <c r="M1848" s="7">
        <f t="shared" si="94"/>
        <v>0.19969227668346315</v>
      </c>
      <c r="N1848" s="4" t="s">
        <v>825</v>
      </c>
      <c r="O1848" s="4">
        <f>VLOOKUP(B1848, 'All Menu'!B:L, 6, 0)</f>
        <v>6.0344827586206904</v>
      </c>
      <c r="P1848" s="6">
        <f>VLOOKUP(B1848, 'All Menu'!B:L, 9, 0)</f>
        <v>4.8935270251662928</v>
      </c>
      <c r="Q1848" s="14">
        <f>VLOOKUP(B1848, 'All Menu'!B:M, 12, 0)</f>
        <v>0.18907266440101445</v>
      </c>
      <c r="R1848" s="173">
        <f t="shared" si="95"/>
        <v>0</v>
      </c>
    </row>
    <row r="1849" spans="1:18" ht="14" hidden="1">
      <c r="A1849" s="78" t="s">
        <v>2749</v>
      </c>
      <c r="B1849" s="220" t="s">
        <v>957</v>
      </c>
      <c r="C1849" s="185"/>
      <c r="D1849" s="103" t="str">
        <f>VLOOKUP(B1849, 'All Menu'!B:M, 4, 0)</f>
        <v>شقف خاروف / 0.5 ك</v>
      </c>
      <c r="E1849" s="30" t="str">
        <f>VLOOKUP(B1849, 'All Menu'!B:M, 2, 0)</f>
        <v>قسم المشاوي</v>
      </c>
      <c r="F1849" s="103" t="str">
        <f>VLOOKUP(B1849, 'All Menu'!B:M, 3, 0)</f>
        <v>المشاوي سفري</v>
      </c>
      <c r="G1849" s="90" t="s">
        <v>2452</v>
      </c>
      <c r="H1849" s="219" t="s">
        <v>528</v>
      </c>
      <c r="I1849" s="110" t="str">
        <f>VLOOKUP(H1849, 'RM &amp; SF'!B:H, 2, 0)</f>
        <v>شقف متبلة</v>
      </c>
      <c r="J1849" s="184" t="str">
        <f>VLOOKUP(H1849, 'RM &amp; SF'!B:E, 4, 0)</f>
        <v>غم</v>
      </c>
      <c r="K1849" s="12">
        <v>450</v>
      </c>
      <c r="L1849" s="13">
        <f>VLOOKUP(H1849, 'RM &amp; SF'!B:H, 7, 0)</f>
        <v>2.0415146666666665E-2</v>
      </c>
      <c r="M1849" s="7">
        <f t="shared" si="94"/>
        <v>9.1868159999999985</v>
      </c>
      <c r="N1849" s="4" t="s">
        <v>825</v>
      </c>
      <c r="O1849" s="4">
        <f>VLOOKUP(B1849, 'All Menu'!B:L, 6, 0)</f>
        <v>12.5</v>
      </c>
      <c r="P1849" s="6">
        <f>VLOOKUP(B1849, 'All Menu'!B:L, 9, 0)</f>
        <v>9.7921151018464965</v>
      </c>
      <c r="Q1849" s="14">
        <f>VLOOKUP(B1849, 'All Menu'!B:M, 12, 0)</f>
        <v>0.21663079185228029</v>
      </c>
      <c r="R1849" s="173">
        <f t="shared" si="95"/>
        <v>0</v>
      </c>
    </row>
    <row r="1850" spans="1:18" ht="14" hidden="1">
      <c r="A1850" s="78" t="s">
        <v>2749</v>
      </c>
      <c r="B1850" s="220" t="s">
        <v>957</v>
      </c>
      <c r="C1850" s="185"/>
      <c r="D1850" s="103" t="str">
        <f>VLOOKUP(B1850, 'All Menu'!B:M, 4, 0)</f>
        <v>شقف خاروف / 0.5 ك</v>
      </c>
      <c r="E1850" s="30" t="str">
        <f>VLOOKUP(B1850, 'All Menu'!B:M, 2, 0)</f>
        <v>قسم المشاوي</v>
      </c>
      <c r="F1850" s="103" t="str">
        <f>VLOOKUP(B1850, 'All Menu'!B:M, 3, 0)</f>
        <v>المشاوي سفري</v>
      </c>
      <c r="G1850" s="90" t="s">
        <v>2235</v>
      </c>
      <c r="H1850" s="188">
        <v>4504</v>
      </c>
      <c r="I1850" s="110" t="str">
        <f>VLOOKUP(H1850, 'RM &amp; SF'!B:H, 2, 0)</f>
        <v>بصل مشاوي (بصل بيبي)***</v>
      </c>
      <c r="J1850" s="184" t="str">
        <f>VLOOKUP(H1850, 'RM &amp; SF'!B:E, 4, 0)</f>
        <v>غم</v>
      </c>
      <c r="K1850" s="12">
        <v>60</v>
      </c>
      <c r="L1850" s="13">
        <f>VLOOKUP(H1850, 'RM &amp; SF'!B:H, 7, 0)</f>
        <v>3.5E-4</v>
      </c>
      <c r="M1850" s="7">
        <f t="shared" si="94"/>
        <v>2.1000000000000001E-2</v>
      </c>
      <c r="N1850" s="4" t="s">
        <v>825</v>
      </c>
      <c r="O1850" s="4">
        <f>VLOOKUP(B1850, 'All Menu'!B:L, 6, 0)</f>
        <v>12.5</v>
      </c>
      <c r="P1850" s="6">
        <f>VLOOKUP(B1850, 'All Menu'!B:L, 9, 0)</f>
        <v>9.7921151018464965</v>
      </c>
      <c r="Q1850" s="14">
        <f>VLOOKUP(B1850, 'All Menu'!B:M, 12, 0)</f>
        <v>0.21663079185228029</v>
      </c>
      <c r="R1850" s="173">
        <f t="shared" si="95"/>
        <v>0</v>
      </c>
    </row>
    <row r="1851" spans="1:18" ht="14" hidden="1">
      <c r="A1851" s="78" t="s">
        <v>2749</v>
      </c>
      <c r="B1851" s="220" t="s">
        <v>957</v>
      </c>
      <c r="C1851" s="185"/>
      <c r="D1851" s="103" t="str">
        <f>VLOOKUP(B1851, 'All Menu'!B:M, 4, 0)</f>
        <v>شقف خاروف / 0.5 ك</v>
      </c>
      <c r="E1851" s="30" t="str">
        <f>VLOOKUP(B1851, 'All Menu'!B:M, 2, 0)</f>
        <v>قسم المشاوي</v>
      </c>
      <c r="F1851" s="103" t="str">
        <f>VLOOKUP(B1851, 'All Menu'!B:M, 3, 0)</f>
        <v>المشاوي سفري</v>
      </c>
      <c r="G1851" s="90" t="s">
        <v>2257</v>
      </c>
      <c r="H1851" s="188">
        <v>5281</v>
      </c>
      <c r="I1851" s="110" t="str">
        <f>VLOOKUP(H1851, 'RM &amp; SF'!B:H, 2, 0)</f>
        <v>بندوره مشاوي</v>
      </c>
      <c r="J1851" s="184" t="str">
        <f>VLOOKUP(H1851, 'RM &amp; SF'!B:E, 4, 0)</f>
        <v>غم</v>
      </c>
      <c r="K1851" s="12">
        <v>70</v>
      </c>
      <c r="L1851" s="13">
        <f>VLOOKUP(H1851, 'RM &amp; SF'!B:H, 7, 0)</f>
        <v>4.0000000000000002E-4</v>
      </c>
      <c r="M1851" s="7">
        <f t="shared" si="94"/>
        <v>2.8000000000000001E-2</v>
      </c>
      <c r="N1851" s="4" t="s">
        <v>825</v>
      </c>
      <c r="O1851" s="4">
        <f>VLOOKUP(B1851, 'All Menu'!B:L, 6, 0)</f>
        <v>12.5</v>
      </c>
      <c r="P1851" s="6">
        <f>VLOOKUP(B1851, 'All Menu'!B:L, 9, 0)</f>
        <v>9.7921151018464965</v>
      </c>
      <c r="Q1851" s="14">
        <f>VLOOKUP(B1851, 'All Menu'!B:M, 12, 0)</f>
        <v>0.21663079185228029</v>
      </c>
      <c r="R1851" s="173">
        <f t="shared" si="95"/>
        <v>0</v>
      </c>
    </row>
    <row r="1852" spans="1:18" ht="14" hidden="1">
      <c r="A1852" s="78" t="s">
        <v>2749</v>
      </c>
      <c r="B1852" s="220" t="s">
        <v>957</v>
      </c>
      <c r="C1852" s="185"/>
      <c r="D1852" s="103" t="str">
        <f>VLOOKUP(B1852, 'All Menu'!B:M, 4, 0)</f>
        <v>شقف خاروف / 0.5 ك</v>
      </c>
      <c r="E1852" s="30" t="str">
        <f>VLOOKUP(B1852, 'All Menu'!B:M, 2, 0)</f>
        <v>قسم المشاوي</v>
      </c>
      <c r="F1852" s="103" t="str">
        <f>VLOOKUP(B1852, 'All Menu'!B:M, 3, 0)</f>
        <v>المشاوي سفري</v>
      </c>
      <c r="G1852" s="90" t="s">
        <v>2331</v>
      </c>
      <c r="H1852" s="219" t="s">
        <v>530</v>
      </c>
      <c r="I1852" s="110" t="str">
        <f>VLOOKUP(H1852, 'RM &amp; SF'!B:H, 2, 0)</f>
        <v>خبز صاج</v>
      </c>
      <c r="J1852" s="184" t="str">
        <f>VLOOKUP(H1852, 'RM &amp; SF'!B:E, 4, 0)</f>
        <v>غم</v>
      </c>
      <c r="K1852" s="12">
        <v>200</v>
      </c>
      <c r="L1852" s="13">
        <f>VLOOKUP(H1852, 'RM &amp; SF'!B:H, 7, 0)</f>
        <v>1.8806451612903227E-4</v>
      </c>
      <c r="M1852" s="7">
        <f t="shared" si="94"/>
        <v>3.7612903225806453E-2</v>
      </c>
      <c r="N1852" s="4" t="s">
        <v>825</v>
      </c>
      <c r="O1852" s="4">
        <f>VLOOKUP(B1852, 'All Menu'!B:L, 6, 0)</f>
        <v>12.5</v>
      </c>
      <c r="P1852" s="6">
        <f>VLOOKUP(B1852, 'All Menu'!B:L, 9, 0)</f>
        <v>9.7921151018464965</v>
      </c>
      <c r="Q1852" s="14">
        <f>VLOOKUP(B1852, 'All Menu'!B:M, 12, 0)</f>
        <v>0.21663079185228029</v>
      </c>
      <c r="R1852" s="173">
        <f t="shared" si="95"/>
        <v>0</v>
      </c>
    </row>
    <row r="1853" spans="1:18" ht="14" hidden="1">
      <c r="A1853" s="78" t="s">
        <v>2749</v>
      </c>
      <c r="B1853" s="220" t="s">
        <v>957</v>
      </c>
      <c r="C1853" s="185"/>
      <c r="D1853" s="103" t="str">
        <f>VLOOKUP(B1853, 'All Menu'!B:M, 4, 0)</f>
        <v>شقف خاروف / 0.5 ك</v>
      </c>
      <c r="E1853" s="30" t="str">
        <f>VLOOKUP(B1853, 'All Menu'!B:M, 2, 0)</f>
        <v>قسم المشاوي</v>
      </c>
      <c r="F1853" s="103" t="str">
        <f>VLOOKUP(B1853, 'All Menu'!B:M, 3, 0)</f>
        <v>المشاوي سفري</v>
      </c>
      <c r="G1853" s="90" t="s">
        <v>2231</v>
      </c>
      <c r="H1853" s="188">
        <v>4499</v>
      </c>
      <c r="I1853" s="110" t="str">
        <f>VLOOKUP(H1853, 'RM &amp; SF'!B:H, 2, 0)</f>
        <v>فلفل حار اخضر*****</v>
      </c>
      <c r="J1853" s="184" t="str">
        <f>VLOOKUP(H1853, 'RM &amp; SF'!B:E, 4, 0)</f>
        <v>غم</v>
      </c>
      <c r="K1853" s="12">
        <v>20</v>
      </c>
      <c r="L1853" s="13">
        <f>VLOOKUP(H1853, 'RM &amp; SF'!B:H, 7, 0)</f>
        <v>5.0000000000000001E-4</v>
      </c>
      <c r="M1853" s="7">
        <f t="shared" si="94"/>
        <v>0.01</v>
      </c>
      <c r="N1853" s="4" t="s">
        <v>825</v>
      </c>
      <c r="O1853" s="4">
        <f>VLOOKUP(B1853, 'All Menu'!B:L, 6, 0)</f>
        <v>12.5</v>
      </c>
      <c r="P1853" s="6">
        <f>VLOOKUP(B1853, 'All Menu'!B:L, 9, 0)</f>
        <v>9.7921151018464965</v>
      </c>
      <c r="Q1853" s="14">
        <f>VLOOKUP(B1853, 'All Menu'!B:M, 12, 0)</f>
        <v>0.21663079185228029</v>
      </c>
      <c r="R1853" s="173">
        <f t="shared" si="95"/>
        <v>0</v>
      </c>
    </row>
    <row r="1854" spans="1:18" ht="14" hidden="1">
      <c r="A1854" s="78" t="s">
        <v>2749</v>
      </c>
      <c r="B1854" s="220" t="s">
        <v>957</v>
      </c>
      <c r="C1854" s="185"/>
      <c r="D1854" s="103" t="str">
        <f>VLOOKUP(B1854, 'All Menu'!B:M, 4, 0)</f>
        <v>شقف خاروف / 0.5 ك</v>
      </c>
      <c r="E1854" s="30" t="str">
        <f>VLOOKUP(B1854, 'All Menu'!B:M, 2, 0)</f>
        <v>قسم المشاوي</v>
      </c>
      <c r="F1854" s="103" t="str">
        <f>VLOOKUP(B1854, 'All Menu'!B:M, 3, 0)</f>
        <v>المشاوي سفري</v>
      </c>
      <c r="G1854" s="90" t="s">
        <v>2197</v>
      </c>
      <c r="H1854" s="188">
        <v>4347</v>
      </c>
      <c r="I1854" s="110" t="str">
        <f>VLOOKUP(H1854, 'RM &amp; SF'!B:H, 2, 0)</f>
        <v>صحن كرتون بيضوي مذهب 35 سم (رقم 2)*****</v>
      </c>
      <c r="J1854" s="184" t="str">
        <f>VLOOKUP(H1854, 'RM &amp; SF'!B:E, 4, 0)</f>
        <v>قطعة</v>
      </c>
      <c r="K1854" s="12">
        <v>1</v>
      </c>
      <c r="L1854" s="13">
        <f>VLOOKUP(H1854, 'RM &amp; SF'!B:H, 7, 0)</f>
        <v>0.22409999999999999</v>
      </c>
      <c r="M1854" s="7">
        <f t="shared" si="94"/>
        <v>0.22409999999999999</v>
      </c>
      <c r="N1854" s="4" t="s">
        <v>825</v>
      </c>
      <c r="O1854" s="4">
        <f>VLOOKUP(B1854, 'All Menu'!B:L, 6, 0)</f>
        <v>12.5</v>
      </c>
      <c r="P1854" s="6">
        <f>VLOOKUP(B1854, 'All Menu'!B:L, 9, 0)</f>
        <v>9.7921151018464965</v>
      </c>
      <c r="Q1854" s="14">
        <f>VLOOKUP(B1854, 'All Menu'!B:M, 12, 0)</f>
        <v>0.21663079185228029</v>
      </c>
      <c r="R1854" s="173">
        <f t="shared" si="95"/>
        <v>0</v>
      </c>
    </row>
    <row r="1855" spans="1:18" ht="14" hidden="1">
      <c r="A1855" s="78" t="s">
        <v>2749</v>
      </c>
      <c r="B1855" s="220" t="s">
        <v>957</v>
      </c>
      <c r="C1855" s="185"/>
      <c r="D1855" s="103" t="str">
        <f>VLOOKUP(B1855, 'All Menu'!B:M, 4, 0)</f>
        <v>شقف خاروف / 0.5 ك</v>
      </c>
      <c r="E1855" s="30" t="str">
        <f>VLOOKUP(B1855, 'All Menu'!B:M, 2, 0)</f>
        <v>قسم المشاوي</v>
      </c>
      <c r="F1855" s="103" t="str">
        <f>VLOOKUP(B1855, 'All Menu'!B:M, 3, 0)</f>
        <v>المشاوي سفري</v>
      </c>
      <c r="G1855" s="90" t="s">
        <v>2194</v>
      </c>
      <c r="H1855" s="188">
        <v>4323</v>
      </c>
      <c r="I1855" s="110" t="str">
        <f>VLOOKUP(H1855, 'RM &amp; SF'!B:H, 2, 0)</f>
        <v>قصدير رول 45 سم*2كغ*****</v>
      </c>
      <c r="J1855" s="184" t="str">
        <f>VLOOKUP(H1855, 'RM &amp; SF'!B:E, 4, 0)</f>
        <v>غم</v>
      </c>
      <c r="K1855" s="12">
        <v>0.06</v>
      </c>
      <c r="L1855" s="13">
        <f>VLOOKUP(H1855, 'RM &amp; SF'!B:H, 7, 0)</f>
        <v>1.7240000000000001E-3</v>
      </c>
      <c r="M1855" s="7">
        <f t="shared" si="94"/>
        <v>1.0344E-4</v>
      </c>
      <c r="N1855" s="4" t="s">
        <v>825</v>
      </c>
      <c r="O1855" s="4">
        <f>VLOOKUP(B1855, 'All Menu'!B:L, 6, 0)</f>
        <v>12.5</v>
      </c>
      <c r="P1855" s="6">
        <f>VLOOKUP(B1855, 'All Menu'!B:L, 9, 0)</f>
        <v>9.7921151018464965</v>
      </c>
      <c r="Q1855" s="14">
        <f>VLOOKUP(B1855, 'All Menu'!B:M, 12, 0)</f>
        <v>0.21663079185228029</v>
      </c>
      <c r="R1855" s="173">
        <f t="shared" si="95"/>
        <v>0</v>
      </c>
    </row>
    <row r="1856" spans="1:18" ht="14" hidden="1">
      <c r="A1856" s="78" t="s">
        <v>2749</v>
      </c>
      <c r="B1856" s="220" t="s">
        <v>957</v>
      </c>
      <c r="C1856" s="185"/>
      <c r="D1856" s="103" t="str">
        <f>VLOOKUP(B1856, 'All Menu'!B:M, 4, 0)</f>
        <v>شقف خاروف / 0.5 ك</v>
      </c>
      <c r="E1856" s="30" t="str">
        <f>VLOOKUP(B1856, 'All Menu'!B:M, 2, 0)</f>
        <v>قسم المشاوي</v>
      </c>
      <c r="F1856" s="103" t="str">
        <f>VLOOKUP(B1856, 'All Menu'!B:M, 3, 0)</f>
        <v>المشاوي سفري</v>
      </c>
      <c r="G1856" s="90" t="s">
        <v>3058</v>
      </c>
      <c r="H1856" s="188">
        <v>4267</v>
      </c>
      <c r="I1856" s="110" t="str">
        <f>VLOOKUP(H1856, 'RM &amp; SF'!B:H, 2, 0)</f>
        <v>بكجات مشاوي مطبوع رقم 1 1*50 حبة*****</v>
      </c>
      <c r="J1856" s="184" t="str">
        <f>VLOOKUP(H1856, 'RM &amp; SF'!B:E, 4, 0)</f>
        <v>قطعة</v>
      </c>
      <c r="K1856" s="12">
        <v>1</v>
      </c>
      <c r="L1856" s="13">
        <f>VLOOKUP(H1856, 'RM &amp; SF'!B:H, 7, 0)</f>
        <v>0.28448275862068967</v>
      </c>
      <c r="M1856" s="7">
        <f t="shared" si="94"/>
        <v>0.28448275862068967</v>
      </c>
      <c r="N1856" s="4" t="s">
        <v>825</v>
      </c>
      <c r="O1856" s="4">
        <f>VLOOKUP(B1856, 'All Menu'!B:L, 6, 0)</f>
        <v>12.5</v>
      </c>
      <c r="P1856" s="6">
        <f>VLOOKUP(B1856, 'All Menu'!B:L, 9, 0)</f>
        <v>9.7921151018464965</v>
      </c>
      <c r="Q1856" s="14">
        <f>VLOOKUP(B1856, 'All Menu'!B:M, 12, 0)</f>
        <v>0.21663079185228029</v>
      </c>
      <c r="R1856" s="173">
        <f t="shared" si="95"/>
        <v>0</v>
      </c>
    </row>
    <row r="1857" spans="1:18" ht="14" hidden="1">
      <c r="A1857" s="78" t="s">
        <v>2757</v>
      </c>
      <c r="B1857" s="220" t="s">
        <v>958</v>
      </c>
      <c r="C1857" s="185"/>
      <c r="D1857" s="103" t="str">
        <f>VLOOKUP(B1857, 'All Menu'!B:M, 4, 0)</f>
        <v>كباب دجاج /0.5 ك</v>
      </c>
      <c r="E1857" s="30" t="str">
        <f>VLOOKUP(B1857, 'All Menu'!B:M, 2, 0)</f>
        <v>قسم المشاوي</v>
      </c>
      <c r="F1857" s="103" t="str">
        <f>VLOOKUP(B1857, 'All Menu'!B:M, 3, 0)</f>
        <v>المشاوي سفري</v>
      </c>
      <c r="G1857" s="90" t="s">
        <v>2338</v>
      </c>
      <c r="H1857" s="219" t="s">
        <v>532</v>
      </c>
      <c r="I1857" s="110" t="str">
        <f>VLOOKUP(H1857, 'RM &amp; SF'!B:H, 2, 0)</f>
        <v>كباب دجاج</v>
      </c>
      <c r="J1857" s="184" t="str">
        <f>VLOOKUP(H1857, 'RM &amp; SF'!B:E, 4, 0)</f>
        <v>غم</v>
      </c>
      <c r="K1857" s="12">
        <v>500</v>
      </c>
      <c r="L1857" s="13">
        <f>VLOOKUP(H1857, 'RM &amp; SF'!B:H, 7, 0)</f>
        <v>3.8874234320164847E-3</v>
      </c>
      <c r="M1857" s="7">
        <f t="shared" si="94"/>
        <v>1.9437117160082424</v>
      </c>
      <c r="N1857" s="4" t="s">
        <v>825</v>
      </c>
      <c r="O1857" s="4">
        <f>VLOOKUP(B1857, 'All Menu'!B:L, 6, 0)</f>
        <v>7.7586206896551726</v>
      </c>
      <c r="P1857" s="6">
        <f>VLOOKUP(B1857, 'All Menu'!B:L, 9, 0)</f>
        <v>3.1783996947637747</v>
      </c>
      <c r="Q1857" s="14">
        <f>VLOOKUP(B1857, 'All Menu'!B:M, 12, 0)</f>
        <v>0.59033959489711352</v>
      </c>
      <c r="R1857" s="173">
        <f t="shared" si="95"/>
        <v>0</v>
      </c>
    </row>
    <row r="1858" spans="1:18" ht="14" hidden="1">
      <c r="A1858" s="78" t="s">
        <v>2757</v>
      </c>
      <c r="B1858" s="220" t="s">
        <v>958</v>
      </c>
      <c r="C1858" s="185"/>
      <c r="D1858" s="103" t="str">
        <f>VLOOKUP(B1858, 'All Menu'!B:M, 4, 0)</f>
        <v>كباب دجاج /0.5 ك</v>
      </c>
      <c r="E1858" s="30" t="str">
        <f>VLOOKUP(B1858, 'All Menu'!B:M, 2, 0)</f>
        <v>قسم المشاوي</v>
      </c>
      <c r="F1858" s="103" t="str">
        <f>VLOOKUP(B1858, 'All Menu'!B:M, 3, 0)</f>
        <v>المشاوي سفري</v>
      </c>
      <c r="G1858" s="90" t="s">
        <v>2235</v>
      </c>
      <c r="H1858" s="188">
        <v>4504</v>
      </c>
      <c r="I1858" s="110" t="str">
        <f>VLOOKUP(H1858, 'RM &amp; SF'!B:H, 2, 0)</f>
        <v>بصل مشاوي (بصل بيبي)***</v>
      </c>
      <c r="J1858" s="184" t="str">
        <f>VLOOKUP(H1858, 'RM &amp; SF'!B:E, 4, 0)</f>
        <v>غم</v>
      </c>
      <c r="K1858" s="12">
        <v>60</v>
      </c>
      <c r="L1858" s="13">
        <f>VLOOKUP(H1858, 'RM &amp; SF'!B:H, 7, 0)</f>
        <v>3.5E-4</v>
      </c>
      <c r="M1858" s="7">
        <f t="shared" si="94"/>
        <v>2.1000000000000001E-2</v>
      </c>
      <c r="N1858" s="4" t="s">
        <v>825</v>
      </c>
      <c r="O1858" s="4">
        <f>VLOOKUP(B1858, 'All Menu'!B:L, 6, 0)</f>
        <v>7.7586206896551726</v>
      </c>
      <c r="P1858" s="6">
        <f>VLOOKUP(B1858, 'All Menu'!B:L, 9, 0)</f>
        <v>3.1783996947637747</v>
      </c>
      <c r="Q1858" s="14">
        <f>VLOOKUP(B1858, 'All Menu'!B:M, 12, 0)</f>
        <v>0.59033959489711352</v>
      </c>
      <c r="R1858" s="173">
        <f t="shared" si="95"/>
        <v>0</v>
      </c>
    </row>
    <row r="1859" spans="1:18" ht="14" hidden="1">
      <c r="A1859" s="78" t="s">
        <v>2757</v>
      </c>
      <c r="B1859" s="220" t="s">
        <v>958</v>
      </c>
      <c r="C1859" s="185"/>
      <c r="D1859" s="103" t="str">
        <f>VLOOKUP(B1859, 'All Menu'!B:M, 4, 0)</f>
        <v>كباب دجاج /0.5 ك</v>
      </c>
      <c r="E1859" s="30" t="str">
        <f>VLOOKUP(B1859, 'All Menu'!B:M, 2, 0)</f>
        <v>قسم المشاوي</v>
      </c>
      <c r="F1859" s="103" t="str">
        <f>VLOOKUP(B1859, 'All Menu'!B:M, 3, 0)</f>
        <v>المشاوي سفري</v>
      </c>
      <c r="G1859" s="90" t="s">
        <v>2257</v>
      </c>
      <c r="H1859" s="188">
        <v>5281</v>
      </c>
      <c r="I1859" s="110" t="str">
        <f>VLOOKUP(H1859, 'RM &amp; SF'!B:H, 2, 0)</f>
        <v>بندوره مشاوي</v>
      </c>
      <c r="J1859" s="184" t="str">
        <f>VLOOKUP(H1859, 'RM &amp; SF'!B:E, 4, 0)</f>
        <v>غم</v>
      </c>
      <c r="K1859" s="12">
        <v>70</v>
      </c>
      <c r="L1859" s="13">
        <f>VLOOKUP(H1859, 'RM &amp; SF'!B:H, 7, 0)</f>
        <v>4.0000000000000002E-4</v>
      </c>
      <c r="M1859" s="7">
        <f t="shared" si="94"/>
        <v>2.8000000000000001E-2</v>
      </c>
      <c r="N1859" s="4" t="s">
        <v>825</v>
      </c>
      <c r="O1859" s="4">
        <f>VLOOKUP(B1859, 'All Menu'!B:L, 6, 0)</f>
        <v>7.7586206896551726</v>
      </c>
      <c r="P1859" s="6">
        <f>VLOOKUP(B1859, 'All Menu'!B:L, 9, 0)</f>
        <v>3.1783996947637747</v>
      </c>
      <c r="Q1859" s="14">
        <f>VLOOKUP(B1859, 'All Menu'!B:M, 12, 0)</f>
        <v>0.59033959489711352</v>
      </c>
      <c r="R1859" s="173">
        <f t="shared" si="95"/>
        <v>0</v>
      </c>
    </row>
    <row r="1860" spans="1:18" ht="14" hidden="1">
      <c r="A1860" s="78" t="s">
        <v>2757</v>
      </c>
      <c r="B1860" s="220" t="s">
        <v>958</v>
      </c>
      <c r="C1860" s="185"/>
      <c r="D1860" s="103" t="str">
        <f>VLOOKUP(B1860, 'All Menu'!B:M, 4, 0)</f>
        <v>كباب دجاج /0.5 ك</v>
      </c>
      <c r="E1860" s="30" t="str">
        <f>VLOOKUP(B1860, 'All Menu'!B:M, 2, 0)</f>
        <v>قسم المشاوي</v>
      </c>
      <c r="F1860" s="103" t="str">
        <f>VLOOKUP(B1860, 'All Menu'!B:M, 3, 0)</f>
        <v>المشاوي سفري</v>
      </c>
      <c r="G1860" s="90" t="s">
        <v>2396</v>
      </c>
      <c r="H1860" s="219" t="s">
        <v>582</v>
      </c>
      <c r="I1860" s="110" t="str">
        <f>VLOOKUP(H1860, 'RM &amp; SF'!B:H, 2, 0)</f>
        <v>بيواز</v>
      </c>
      <c r="J1860" s="184" t="str">
        <f>VLOOKUP(H1860, 'RM &amp; SF'!B:E, 4, 0)</f>
        <v>غم</v>
      </c>
      <c r="K1860" s="12">
        <v>100</v>
      </c>
      <c r="L1860" s="13">
        <f>VLOOKUP(H1860, 'RM &amp; SF'!B:H, 7, 0)</f>
        <v>2.0666065869244635E-4</v>
      </c>
      <c r="M1860" s="7">
        <f t="shared" si="94"/>
        <v>2.0666065869244635E-2</v>
      </c>
      <c r="N1860" s="4" t="s">
        <v>825</v>
      </c>
      <c r="O1860" s="4">
        <f>VLOOKUP(B1860, 'All Menu'!B:L, 6, 0)</f>
        <v>7.7586206896551726</v>
      </c>
      <c r="P1860" s="6">
        <f>VLOOKUP(B1860, 'All Menu'!B:L, 9, 0)</f>
        <v>3.1783996947637747</v>
      </c>
      <c r="Q1860" s="14">
        <f>VLOOKUP(B1860, 'All Menu'!B:M, 12, 0)</f>
        <v>0.59033959489711352</v>
      </c>
      <c r="R1860" s="173">
        <f t="shared" si="95"/>
        <v>0</v>
      </c>
    </row>
    <row r="1861" spans="1:18" ht="14" hidden="1">
      <c r="A1861" s="78" t="s">
        <v>2757</v>
      </c>
      <c r="B1861" s="220" t="s">
        <v>958</v>
      </c>
      <c r="C1861" s="185"/>
      <c r="D1861" s="103" t="str">
        <f>VLOOKUP(B1861, 'All Menu'!B:M, 4, 0)</f>
        <v>كباب دجاج /0.5 ك</v>
      </c>
      <c r="E1861" s="30" t="str">
        <f>VLOOKUP(B1861, 'All Menu'!B:M, 2, 0)</f>
        <v>قسم المشاوي</v>
      </c>
      <c r="F1861" s="103" t="str">
        <f>VLOOKUP(B1861, 'All Menu'!B:M, 3, 0)</f>
        <v>المشاوي سفري</v>
      </c>
      <c r="G1861" s="90" t="s">
        <v>2331</v>
      </c>
      <c r="H1861" s="219" t="s">
        <v>530</v>
      </c>
      <c r="I1861" s="110" t="str">
        <f>VLOOKUP(H1861, 'RM &amp; SF'!B:H, 2, 0)</f>
        <v>خبز صاج</v>
      </c>
      <c r="J1861" s="184" t="str">
        <f>VLOOKUP(H1861, 'RM &amp; SF'!B:E, 4, 0)</f>
        <v>غم</v>
      </c>
      <c r="K1861" s="12">
        <v>200</v>
      </c>
      <c r="L1861" s="13">
        <f>VLOOKUP(H1861, 'RM &amp; SF'!B:H, 7, 0)</f>
        <v>1.8806451612903227E-4</v>
      </c>
      <c r="M1861" s="7">
        <f t="shared" si="94"/>
        <v>3.7612903225806453E-2</v>
      </c>
      <c r="N1861" s="4" t="s">
        <v>825</v>
      </c>
      <c r="O1861" s="4">
        <f>VLOOKUP(B1861, 'All Menu'!B:L, 6, 0)</f>
        <v>7.7586206896551726</v>
      </c>
      <c r="P1861" s="6">
        <f>VLOOKUP(B1861, 'All Menu'!B:L, 9, 0)</f>
        <v>3.1783996947637747</v>
      </c>
      <c r="Q1861" s="14">
        <f>VLOOKUP(B1861, 'All Menu'!B:M, 12, 0)</f>
        <v>0.59033959489711352</v>
      </c>
      <c r="R1861" s="173">
        <f t="shared" si="95"/>
        <v>0</v>
      </c>
    </row>
    <row r="1862" spans="1:18" ht="14" hidden="1">
      <c r="A1862" s="78" t="s">
        <v>2757</v>
      </c>
      <c r="B1862" s="220" t="s">
        <v>958</v>
      </c>
      <c r="C1862" s="185"/>
      <c r="D1862" s="103" t="str">
        <f>VLOOKUP(B1862, 'All Menu'!B:M, 4, 0)</f>
        <v>كباب دجاج /0.5 ك</v>
      </c>
      <c r="E1862" s="30" t="str">
        <f>VLOOKUP(B1862, 'All Menu'!B:M, 2, 0)</f>
        <v>قسم المشاوي</v>
      </c>
      <c r="F1862" s="103" t="str">
        <f>VLOOKUP(B1862, 'All Menu'!B:M, 3, 0)</f>
        <v>المشاوي سفري</v>
      </c>
      <c r="G1862" s="90" t="s">
        <v>2231</v>
      </c>
      <c r="H1862" s="188">
        <v>4499</v>
      </c>
      <c r="I1862" s="110" t="str">
        <f>VLOOKUP(H1862, 'RM &amp; SF'!B:H, 2, 0)</f>
        <v>فلفل حار اخضر*****</v>
      </c>
      <c r="J1862" s="184" t="str">
        <f>VLOOKUP(H1862, 'RM &amp; SF'!B:E, 4, 0)</f>
        <v>غم</v>
      </c>
      <c r="K1862" s="12">
        <v>40</v>
      </c>
      <c r="L1862" s="13">
        <f>VLOOKUP(H1862, 'RM &amp; SF'!B:H, 7, 0)</f>
        <v>5.0000000000000001E-4</v>
      </c>
      <c r="M1862" s="7">
        <f t="shared" si="94"/>
        <v>0.02</v>
      </c>
      <c r="N1862" s="4" t="s">
        <v>825</v>
      </c>
      <c r="O1862" s="4">
        <f>VLOOKUP(B1862, 'All Menu'!B:L, 6, 0)</f>
        <v>7.7586206896551726</v>
      </c>
      <c r="P1862" s="6">
        <f>VLOOKUP(B1862, 'All Menu'!B:L, 9, 0)</f>
        <v>3.1783996947637747</v>
      </c>
      <c r="Q1862" s="14">
        <f>VLOOKUP(B1862, 'All Menu'!B:M, 12, 0)</f>
        <v>0.59033959489711352</v>
      </c>
      <c r="R1862" s="173">
        <f t="shared" si="95"/>
        <v>0</v>
      </c>
    </row>
    <row r="1863" spans="1:18" ht="14" hidden="1">
      <c r="A1863" s="78" t="s">
        <v>2757</v>
      </c>
      <c r="B1863" s="220" t="s">
        <v>958</v>
      </c>
      <c r="C1863" s="185"/>
      <c r="D1863" s="103" t="str">
        <f>VLOOKUP(B1863, 'All Menu'!B:M, 4, 0)</f>
        <v>كباب دجاج /0.5 ك</v>
      </c>
      <c r="E1863" s="30" t="str">
        <f>VLOOKUP(B1863, 'All Menu'!B:M, 2, 0)</f>
        <v>قسم المشاوي</v>
      </c>
      <c r="F1863" s="103" t="str">
        <f>VLOOKUP(B1863, 'All Menu'!B:M, 3, 0)</f>
        <v>المشاوي سفري</v>
      </c>
      <c r="G1863" s="90" t="s">
        <v>2325</v>
      </c>
      <c r="H1863" s="219" t="s">
        <v>534</v>
      </c>
      <c r="I1863" s="110" t="str">
        <f>VLOOKUP(H1863, 'RM &amp; SF'!B:H, 2, 0)</f>
        <v>مثومه</v>
      </c>
      <c r="J1863" s="184" t="str">
        <f>VLOOKUP(H1863, 'RM &amp; SF'!B:E, 4, 0)</f>
        <v>غم</v>
      </c>
      <c r="K1863" s="12">
        <v>150</v>
      </c>
      <c r="L1863" s="13">
        <f>VLOOKUP(H1863, 'RM &amp; SF'!B:H, 7, 0)</f>
        <v>6.6564092227821051E-4</v>
      </c>
      <c r="M1863" s="7">
        <f t="shared" si="94"/>
        <v>9.9846138341731575E-2</v>
      </c>
      <c r="N1863" s="4" t="s">
        <v>825</v>
      </c>
      <c r="O1863" s="4">
        <f>VLOOKUP(B1863, 'All Menu'!B:L, 6, 0)</f>
        <v>7.7586206896551726</v>
      </c>
      <c r="P1863" s="6">
        <f>VLOOKUP(B1863, 'All Menu'!B:L, 9, 0)</f>
        <v>3.1783996947637747</v>
      </c>
      <c r="Q1863" s="14">
        <f>VLOOKUP(B1863, 'All Menu'!B:M, 12, 0)</f>
        <v>0.59033959489711352</v>
      </c>
      <c r="R1863" s="173">
        <f t="shared" si="95"/>
        <v>0</v>
      </c>
    </row>
    <row r="1864" spans="1:18" ht="14" hidden="1">
      <c r="A1864" s="78" t="s">
        <v>2757</v>
      </c>
      <c r="B1864" s="220" t="s">
        <v>958</v>
      </c>
      <c r="C1864" s="185"/>
      <c r="D1864" s="103" t="str">
        <f>VLOOKUP(B1864, 'All Menu'!B:M, 4, 0)</f>
        <v>كباب دجاج /0.5 ك</v>
      </c>
      <c r="E1864" s="30" t="str">
        <f>VLOOKUP(B1864, 'All Menu'!B:M, 2, 0)</f>
        <v>قسم المشاوي</v>
      </c>
      <c r="F1864" s="103" t="str">
        <f>VLOOKUP(B1864, 'All Menu'!B:M, 3, 0)</f>
        <v>المشاوي سفري</v>
      </c>
      <c r="G1864" s="90" t="s">
        <v>3058</v>
      </c>
      <c r="H1864" s="188">
        <v>4285</v>
      </c>
      <c r="I1864" s="110" t="str">
        <f>VLOOKUP(H1864, 'RM &amp; SF'!B:H, 2, 0)</f>
        <v>علب بلاستيك مربع متصل 150 مل*****</v>
      </c>
      <c r="J1864" s="184" t="str">
        <f>VLOOKUP(H1864, 'RM &amp; SF'!B:E, 4, 0)</f>
        <v>قطعة</v>
      </c>
      <c r="K1864" s="12">
        <v>1</v>
      </c>
      <c r="L1864" s="13">
        <f>VLOOKUP(H1864, 'RM &amp; SF'!B:H, 7, 0)</f>
        <v>1.494E-2</v>
      </c>
      <c r="M1864" s="7">
        <f t="shared" si="94"/>
        <v>1.494E-2</v>
      </c>
      <c r="N1864" s="4" t="s">
        <v>825</v>
      </c>
      <c r="O1864" s="4">
        <f>VLOOKUP(B1864, 'All Menu'!B:L, 6, 0)</f>
        <v>7.7586206896551726</v>
      </c>
      <c r="P1864" s="6">
        <f>VLOOKUP(B1864, 'All Menu'!B:L, 9, 0)</f>
        <v>3.1783996947637747</v>
      </c>
      <c r="Q1864" s="14">
        <f>VLOOKUP(B1864, 'All Menu'!B:M, 12, 0)</f>
        <v>0.59033959489711352</v>
      </c>
      <c r="R1864" s="173">
        <f t="shared" si="95"/>
        <v>0</v>
      </c>
    </row>
    <row r="1865" spans="1:18" ht="14" hidden="1">
      <c r="A1865" s="78" t="s">
        <v>2757</v>
      </c>
      <c r="B1865" s="220" t="s">
        <v>958</v>
      </c>
      <c r="C1865" s="185"/>
      <c r="D1865" s="103" t="str">
        <f>VLOOKUP(B1865, 'All Menu'!B:M, 4, 0)</f>
        <v>كباب دجاج /0.5 ك</v>
      </c>
      <c r="E1865" s="30" t="str">
        <f>VLOOKUP(B1865, 'All Menu'!B:M, 2, 0)</f>
        <v>قسم المشاوي</v>
      </c>
      <c r="F1865" s="103" t="str">
        <f>VLOOKUP(B1865, 'All Menu'!B:M, 3, 0)</f>
        <v>المشاوي سفري</v>
      </c>
      <c r="G1865" s="90" t="s">
        <v>2352</v>
      </c>
      <c r="H1865" s="219" t="s">
        <v>730</v>
      </c>
      <c r="I1865" s="110" t="str">
        <f>VLOOKUP(H1865, 'RM &amp; SF'!B:H, 2, 0)</f>
        <v>علبة حمص سفري 250غم</v>
      </c>
      <c r="J1865" s="184" t="str">
        <f>VLOOKUP(H1865, 'RM &amp; SF'!B:E, 4, 0)</f>
        <v>قطعة</v>
      </c>
      <c r="K1865" s="12">
        <v>1</v>
      </c>
      <c r="L1865" s="13">
        <f>VLOOKUP(H1865, 'RM &amp; SF'!B:H, 7, 0)</f>
        <v>0.43221253476702504</v>
      </c>
      <c r="M1865" s="7">
        <f t="shared" si="94"/>
        <v>0.43221253476702504</v>
      </c>
      <c r="N1865" s="4" t="s">
        <v>825</v>
      </c>
      <c r="O1865" s="4">
        <f>VLOOKUP(B1865, 'All Menu'!B:L, 6, 0)</f>
        <v>7.7586206896551726</v>
      </c>
      <c r="P1865" s="6">
        <f>VLOOKUP(B1865, 'All Menu'!B:L, 9, 0)</f>
        <v>3.1783996947637747</v>
      </c>
      <c r="Q1865" s="14">
        <f>VLOOKUP(B1865, 'All Menu'!B:M, 12, 0)</f>
        <v>0.59033959489711352</v>
      </c>
      <c r="R1865" s="173">
        <f t="shared" si="95"/>
        <v>0</v>
      </c>
    </row>
    <row r="1866" spans="1:18" ht="14" hidden="1">
      <c r="A1866" s="78" t="s">
        <v>2757</v>
      </c>
      <c r="B1866" s="220" t="s">
        <v>958</v>
      </c>
      <c r="C1866" s="185"/>
      <c r="D1866" s="103" t="str">
        <f>VLOOKUP(B1866, 'All Menu'!B:M, 4, 0)</f>
        <v>كباب دجاج /0.5 ك</v>
      </c>
      <c r="E1866" s="30" t="str">
        <f>VLOOKUP(B1866, 'All Menu'!B:M, 2, 0)</f>
        <v>قسم المشاوي</v>
      </c>
      <c r="F1866" s="103" t="str">
        <f>VLOOKUP(B1866, 'All Menu'!B:M, 3, 0)</f>
        <v>المشاوي سفري</v>
      </c>
      <c r="G1866" s="90" t="s">
        <v>2197</v>
      </c>
      <c r="H1866" s="188">
        <v>4347</v>
      </c>
      <c r="I1866" s="110" t="str">
        <f>VLOOKUP(H1866, 'RM &amp; SF'!B:H, 2, 0)</f>
        <v>صحن كرتون بيضوي مذهب 35 سم (رقم 2)*****</v>
      </c>
      <c r="J1866" s="184" t="str">
        <f>VLOOKUP(H1866, 'RM &amp; SF'!B:E, 4, 0)</f>
        <v>قطعة</v>
      </c>
      <c r="K1866" s="12">
        <v>1</v>
      </c>
      <c r="L1866" s="13">
        <f>VLOOKUP(H1866, 'RM &amp; SF'!B:H, 7, 0)</f>
        <v>0.22409999999999999</v>
      </c>
      <c r="M1866" s="7">
        <f t="shared" ref="M1866:M1929" si="96">L1866*K1866</f>
        <v>0.22409999999999999</v>
      </c>
      <c r="N1866" s="4" t="s">
        <v>825</v>
      </c>
      <c r="O1866" s="4">
        <f>VLOOKUP(B1866, 'All Menu'!B:L, 6, 0)</f>
        <v>7.7586206896551726</v>
      </c>
      <c r="P1866" s="6">
        <f>VLOOKUP(B1866, 'All Menu'!B:L, 9, 0)</f>
        <v>3.1783996947637747</v>
      </c>
      <c r="Q1866" s="14">
        <f>VLOOKUP(B1866, 'All Menu'!B:M, 12, 0)</f>
        <v>0.59033959489711352</v>
      </c>
      <c r="R1866" s="173">
        <f t="shared" si="95"/>
        <v>0</v>
      </c>
    </row>
    <row r="1867" spans="1:18" ht="14" hidden="1">
      <c r="A1867" s="78" t="s">
        <v>2757</v>
      </c>
      <c r="B1867" s="220" t="s">
        <v>958</v>
      </c>
      <c r="C1867" s="185"/>
      <c r="D1867" s="103" t="str">
        <f>VLOOKUP(B1867, 'All Menu'!B:M, 4, 0)</f>
        <v>كباب دجاج /0.5 ك</v>
      </c>
      <c r="E1867" s="30" t="str">
        <f>VLOOKUP(B1867, 'All Menu'!B:M, 2, 0)</f>
        <v>قسم المشاوي</v>
      </c>
      <c r="F1867" s="103" t="str">
        <f>VLOOKUP(B1867, 'All Menu'!B:M, 3, 0)</f>
        <v>المشاوي سفري</v>
      </c>
      <c r="G1867" s="90" t="s">
        <v>2194</v>
      </c>
      <c r="H1867" s="188">
        <v>4323</v>
      </c>
      <c r="I1867" s="110" t="str">
        <f>VLOOKUP(H1867, 'RM &amp; SF'!B:H, 2, 0)</f>
        <v>قصدير رول 45 سم*2كغ*****</v>
      </c>
      <c r="J1867" s="184" t="str">
        <f>VLOOKUP(H1867, 'RM &amp; SF'!B:E, 4, 0)</f>
        <v>غم</v>
      </c>
      <c r="K1867" s="12">
        <v>0.06</v>
      </c>
      <c r="L1867" s="13">
        <f>VLOOKUP(H1867, 'RM &amp; SF'!B:H, 7, 0)</f>
        <v>1.7240000000000001E-3</v>
      </c>
      <c r="M1867" s="7">
        <f t="shared" si="96"/>
        <v>1.0344E-4</v>
      </c>
      <c r="N1867" s="4" t="s">
        <v>825</v>
      </c>
      <c r="O1867" s="4">
        <f>VLOOKUP(B1867, 'All Menu'!B:L, 6, 0)</f>
        <v>7.7586206896551726</v>
      </c>
      <c r="P1867" s="6">
        <f>VLOOKUP(B1867, 'All Menu'!B:L, 9, 0)</f>
        <v>3.1783996947637747</v>
      </c>
      <c r="Q1867" s="14">
        <f>VLOOKUP(B1867, 'All Menu'!B:M, 12, 0)</f>
        <v>0.59033959489711352</v>
      </c>
      <c r="R1867" s="173">
        <f t="shared" si="95"/>
        <v>0</v>
      </c>
    </row>
    <row r="1868" spans="1:18" ht="14" hidden="1">
      <c r="A1868" s="78" t="s">
        <v>2757</v>
      </c>
      <c r="B1868" s="220" t="s">
        <v>958</v>
      </c>
      <c r="C1868" s="185"/>
      <c r="D1868" s="103" t="str">
        <f>VLOOKUP(B1868, 'All Menu'!B:M, 4, 0)</f>
        <v>كباب دجاج /0.5 ك</v>
      </c>
      <c r="E1868" s="30" t="str">
        <f>VLOOKUP(B1868, 'All Menu'!B:M, 2, 0)</f>
        <v>قسم المشاوي</v>
      </c>
      <c r="F1868" s="103" t="str">
        <f>VLOOKUP(B1868, 'All Menu'!B:M, 3, 0)</f>
        <v>المشاوي سفري</v>
      </c>
      <c r="G1868" s="90" t="s">
        <v>3058</v>
      </c>
      <c r="H1868" s="188">
        <v>4268</v>
      </c>
      <c r="I1868" s="110" t="str">
        <f>VLOOKUP(H1868, 'RM &amp; SF'!B:H, 2, 0)</f>
        <v>بكجات مشاوي مطبوع رقم 2 1*50 حبة*****</v>
      </c>
      <c r="J1868" s="184" t="str">
        <f>VLOOKUP(H1868, 'RM &amp; SF'!B:E, 4, 0)</f>
        <v>قطعة</v>
      </c>
      <c r="K1868" s="12">
        <v>1</v>
      </c>
      <c r="L1868" s="13">
        <f>VLOOKUP(H1868, 'RM &amp; SF'!B:H, 7, 0)</f>
        <v>0.33620689655172414</v>
      </c>
      <c r="M1868" s="7">
        <f t="shared" si="96"/>
        <v>0.33620689655172414</v>
      </c>
      <c r="N1868" s="4" t="s">
        <v>825</v>
      </c>
      <c r="O1868" s="4">
        <f>VLOOKUP(B1868, 'All Menu'!B:L, 6, 0)</f>
        <v>7.7586206896551726</v>
      </c>
      <c r="P1868" s="6">
        <f>VLOOKUP(B1868, 'All Menu'!B:L, 9, 0)</f>
        <v>3.1783996947637747</v>
      </c>
      <c r="Q1868" s="14">
        <f>VLOOKUP(B1868, 'All Menu'!B:M, 12, 0)</f>
        <v>0.59033959489711352</v>
      </c>
      <c r="R1868" s="173">
        <f t="shared" si="95"/>
        <v>0</v>
      </c>
    </row>
    <row r="1869" spans="1:18" ht="14" hidden="1">
      <c r="A1869" s="78" t="s">
        <v>2751</v>
      </c>
      <c r="B1869" s="220" t="s">
        <v>959</v>
      </c>
      <c r="C1869" s="185"/>
      <c r="D1869" s="103" t="str">
        <f>VLOOKUP(B1869, 'All Menu'!B:M, 4, 0)</f>
        <v>كباب مشوي / 0.5 ك</v>
      </c>
      <c r="E1869" s="30" t="str">
        <f>VLOOKUP(B1869, 'All Menu'!B:M, 2, 0)</f>
        <v>قسم المشاوي</v>
      </c>
      <c r="F1869" s="103" t="str">
        <f>VLOOKUP(B1869, 'All Menu'!B:M, 3, 0)</f>
        <v>المشاوي سفري</v>
      </c>
      <c r="G1869" s="90" t="s">
        <v>2453</v>
      </c>
      <c r="H1869" s="219" t="s">
        <v>536</v>
      </c>
      <c r="I1869" s="110" t="str">
        <f>VLOOKUP(H1869, 'RM &amp; SF'!B:H, 2, 0)</f>
        <v>كباب</v>
      </c>
      <c r="J1869" s="184" t="str">
        <f>VLOOKUP(H1869, 'RM &amp; SF'!B:E, 4, 0)</f>
        <v>غم</v>
      </c>
      <c r="K1869" s="12">
        <v>500</v>
      </c>
      <c r="L1869" s="13">
        <f>VLOOKUP(H1869, 'RM &amp; SF'!B:H, 7, 0)</f>
        <v>1.1636090242685134E-2</v>
      </c>
      <c r="M1869" s="7">
        <f t="shared" si="96"/>
        <v>5.8180451213425668</v>
      </c>
      <c r="N1869" s="4" t="s">
        <v>825</v>
      </c>
      <c r="O1869" s="4">
        <f>VLOOKUP(B1869, 'All Menu'!B:L, 6, 0)</f>
        <v>9.4827586206896566</v>
      </c>
      <c r="P1869" s="6">
        <f>VLOOKUP(B1869, 'All Menu'!B:L, 9, 0)</f>
        <v>6.4946902839713658</v>
      </c>
      <c r="Q1869" s="14">
        <f>VLOOKUP(B1869, 'All Menu'!B:M, 12, 0)</f>
        <v>0.31510538823574696</v>
      </c>
      <c r="R1869" s="173">
        <f t="shared" si="95"/>
        <v>0</v>
      </c>
    </row>
    <row r="1870" spans="1:18" ht="14" hidden="1">
      <c r="A1870" s="78" t="s">
        <v>2751</v>
      </c>
      <c r="B1870" s="220" t="s">
        <v>959</v>
      </c>
      <c r="C1870" s="185"/>
      <c r="D1870" s="103" t="str">
        <f>VLOOKUP(B1870, 'All Menu'!B:M, 4, 0)</f>
        <v>كباب مشوي / 0.5 ك</v>
      </c>
      <c r="E1870" s="30" t="str">
        <f>VLOOKUP(B1870, 'All Menu'!B:M, 2, 0)</f>
        <v>قسم المشاوي</v>
      </c>
      <c r="F1870" s="103" t="str">
        <f>VLOOKUP(B1870, 'All Menu'!B:M, 3, 0)</f>
        <v>المشاوي سفري</v>
      </c>
      <c r="G1870" s="90" t="s">
        <v>2235</v>
      </c>
      <c r="H1870" s="188">
        <v>4504</v>
      </c>
      <c r="I1870" s="110" t="str">
        <f>VLOOKUP(H1870, 'RM &amp; SF'!B:H, 2, 0)</f>
        <v>بصل مشاوي (بصل بيبي)***</v>
      </c>
      <c r="J1870" s="184" t="str">
        <f>VLOOKUP(H1870, 'RM &amp; SF'!B:E, 4, 0)</f>
        <v>غم</v>
      </c>
      <c r="K1870" s="12">
        <v>75</v>
      </c>
      <c r="L1870" s="13">
        <f>VLOOKUP(H1870, 'RM &amp; SF'!B:H, 7, 0)</f>
        <v>3.5E-4</v>
      </c>
      <c r="M1870" s="7">
        <f t="shared" si="96"/>
        <v>2.6249999999999999E-2</v>
      </c>
      <c r="N1870" s="4" t="s">
        <v>825</v>
      </c>
      <c r="O1870" s="4">
        <f>VLOOKUP(B1870, 'All Menu'!B:L, 6, 0)</f>
        <v>9.4827586206896566</v>
      </c>
      <c r="P1870" s="6">
        <f>VLOOKUP(B1870, 'All Menu'!B:L, 9, 0)</f>
        <v>6.4946902839713658</v>
      </c>
      <c r="Q1870" s="14">
        <f>VLOOKUP(B1870, 'All Menu'!B:M, 12, 0)</f>
        <v>0.31510538823574696</v>
      </c>
      <c r="R1870" s="173">
        <f t="shared" si="95"/>
        <v>0</v>
      </c>
    </row>
    <row r="1871" spans="1:18" ht="14" hidden="1">
      <c r="A1871" s="78" t="s">
        <v>2751</v>
      </c>
      <c r="B1871" s="220" t="s">
        <v>959</v>
      </c>
      <c r="C1871" s="185"/>
      <c r="D1871" s="103" t="str">
        <f>VLOOKUP(B1871, 'All Menu'!B:M, 4, 0)</f>
        <v>كباب مشوي / 0.5 ك</v>
      </c>
      <c r="E1871" s="30" t="str">
        <f>VLOOKUP(B1871, 'All Menu'!B:M, 2, 0)</f>
        <v>قسم المشاوي</v>
      </c>
      <c r="F1871" s="103" t="str">
        <f>VLOOKUP(B1871, 'All Menu'!B:M, 3, 0)</f>
        <v>المشاوي سفري</v>
      </c>
      <c r="G1871" s="90" t="s">
        <v>2257</v>
      </c>
      <c r="H1871" s="188">
        <v>5281</v>
      </c>
      <c r="I1871" s="110" t="str">
        <f>VLOOKUP(H1871, 'RM &amp; SF'!B:H, 2, 0)</f>
        <v>بندوره مشاوي</v>
      </c>
      <c r="J1871" s="184" t="str">
        <f>VLOOKUP(H1871, 'RM &amp; SF'!B:E, 4, 0)</f>
        <v>غم</v>
      </c>
      <c r="K1871" s="12">
        <v>80</v>
      </c>
      <c r="L1871" s="13">
        <f>VLOOKUP(H1871, 'RM &amp; SF'!B:H, 7, 0)</f>
        <v>4.0000000000000002E-4</v>
      </c>
      <c r="M1871" s="7">
        <f t="shared" si="96"/>
        <v>3.2000000000000001E-2</v>
      </c>
      <c r="N1871" s="4" t="s">
        <v>825</v>
      </c>
      <c r="O1871" s="4">
        <f>VLOOKUP(B1871, 'All Menu'!B:L, 6, 0)</f>
        <v>9.4827586206896566</v>
      </c>
      <c r="P1871" s="6">
        <f>VLOOKUP(B1871, 'All Menu'!B:L, 9, 0)</f>
        <v>6.4946902839713658</v>
      </c>
      <c r="Q1871" s="14">
        <f>VLOOKUP(B1871, 'All Menu'!B:M, 12, 0)</f>
        <v>0.31510538823574696</v>
      </c>
      <c r="R1871" s="173">
        <f t="shared" si="95"/>
        <v>0</v>
      </c>
    </row>
    <row r="1872" spans="1:18" ht="14" hidden="1">
      <c r="A1872" s="78" t="s">
        <v>2751</v>
      </c>
      <c r="B1872" s="220" t="s">
        <v>959</v>
      </c>
      <c r="C1872" s="185"/>
      <c r="D1872" s="103" t="str">
        <f>VLOOKUP(B1872, 'All Menu'!B:M, 4, 0)</f>
        <v>كباب مشوي / 0.5 ك</v>
      </c>
      <c r="E1872" s="30" t="str">
        <f>VLOOKUP(B1872, 'All Menu'!B:M, 2, 0)</f>
        <v>قسم المشاوي</v>
      </c>
      <c r="F1872" s="103" t="str">
        <f>VLOOKUP(B1872, 'All Menu'!B:M, 3, 0)</f>
        <v>المشاوي سفري</v>
      </c>
      <c r="G1872" s="90" t="s">
        <v>2396</v>
      </c>
      <c r="H1872" s="219" t="s">
        <v>582</v>
      </c>
      <c r="I1872" s="110" t="str">
        <f>VLOOKUP(H1872, 'RM &amp; SF'!B:H, 2, 0)</f>
        <v>بيواز</v>
      </c>
      <c r="J1872" s="184" t="str">
        <f>VLOOKUP(H1872, 'RM &amp; SF'!B:E, 4, 0)</f>
        <v>غم</v>
      </c>
      <c r="K1872" s="12">
        <v>20</v>
      </c>
      <c r="L1872" s="13">
        <f>VLOOKUP(H1872, 'RM &amp; SF'!B:H, 7, 0)</f>
        <v>2.0666065869244635E-4</v>
      </c>
      <c r="M1872" s="7">
        <f t="shared" si="96"/>
        <v>4.1332131738489267E-3</v>
      </c>
      <c r="N1872" s="4" t="s">
        <v>825</v>
      </c>
      <c r="O1872" s="4">
        <f>VLOOKUP(B1872, 'All Menu'!B:L, 6, 0)</f>
        <v>9.4827586206896566</v>
      </c>
      <c r="P1872" s="6">
        <f>VLOOKUP(B1872, 'All Menu'!B:L, 9, 0)</f>
        <v>6.4946902839713658</v>
      </c>
      <c r="Q1872" s="14">
        <f>VLOOKUP(B1872, 'All Menu'!B:M, 12, 0)</f>
        <v>0.31510538823574696</v>
      </c>
      <c r="R1872" s="173">
        <f t="shared" si="95"/>
        <v>0</v>
      </c>
    </row>
    <row r="1873" spans="1:18" ht="14" hidden="1">
      <c r="A1873" s="78" t="s">
        <v>2751</v>
      </c>
      <c r="B1873" s="220" t="s">
        <v>959</v>
      </c>
      <c r="C1873" s="185"/>
      <c r="D1873" s="103" t="str">
        <f>VLOOKUP(B1873, 'All Menu'!B:M, 4, 0)</f>
        <v>كباب مشوي / 0.5 ك</v>
      </c>
      <c r="E1873" s="30" t="str">
        <f>VLOOKUP(B1873, 'All Menu'!B:M, 2, 0)</f>
        <v>قسم المشاوي</v>
      </c>
      <c r="F1873" s="103" t="str">
        <f>VLOOKUP(B1873, 'All Menu'!B:M, 3, 0)</f>
        <v>المشاوي سفري</v>
      </c>
      <c r="G1873" s="90" t="s">
        <v>2331</v>
      </c>
      <c r="H1873" s="219" t="s">
        <v>530</v>
      </c>
      <c r="I1873" s="110" t="str">
        <f>VLOOKUP(H1873, 'RM &amp; SF'!B:H, 2, 0)</f>
        <v>خبز صاج</v>
      </c>
      <c r="J1873" s="184" t="str">
        <f>VLOOKUP(H1873, 'RM &amp; SF'!B:E, 4, 0)</f>
        <v>غم</v>
      </c>
      <c r="K1873" s="12">
        <v>180</v>
      </c>
      <c r="L1873" s="13">
        <f>VLOOKUP(H1873, 'RM &amp; SF'!B:H, 7, 0)</f>
        <v>1.8806451612903227E-4</v>
      </c>
      <c r="M1873" s="7">
        <f t="shared" si="96"/>
        <v>3.385161290322581E-2</v>
      </c>
      <c r="N1873" s="4" t="s">
        <v>825</v>
      </c>
      <c r="O1873" s="4">
        <f>VLOOKUP(B1873, 'All Menu'!B:L, 6, 0)</f>
        <v>9.4827586206896566</v>
      </c>
      <c r="P1873" s="6">
        <f>VLOOKUP(B1873, 'All Menu'!B:L, 9, 0)</f>
        <v>6.4946902839713658</v>
      </c>
      <c r="Q1873" s="14">
        <f>VLOOKUP(B1873, 'All Menu'!B:M, 12, 0)</f>
        <v>0.31510538823574696</v>
      </c>
      <c r="R1873" s="173">
        <f t="shared" si="95"/>
        <v>0</v>
      </c>
    </row>
    <row r="1874" spans="1:18" ht="14" hidden="1">
      <c r="A1874" s="78" t="s">
        <v>2751</v>
      </c>
      <c r="B1874" s="220" t="s">
        <v>959</v>
      </c>
      <c r="C1874" s="185"/>
      <c r="D1874" s="103" t="str">
        <f>VLOOKUP(B1874, 'All Menu'!B:M, 4, 0)</f>
        <v>كباب مشوي / 0.5 ك</v>
      </c>
      <c r="E1874" s="30" t="str">
        <f>VLOOKUP(B1874, 'All Menu'!B:M, 2, 0)</f>
        <v>قسم المشاوي</v>
      </c>
      <c r="F1874" s="103" t="str">
        <f>VLOOKUP(B1874, 'All Menu'!B:M, 3, 0)</f>
        <v>المشاوي سفري</v>
      </c>
      <c r="G1874" s="90" t="s">
        <v>2231</v>
      </c>
      <c r="H1874" s="188">
        <v>4499</v>
      </c>
      <c r="I1874" s="110" t="str">
        <f>VLOOKUP(H1874, 'RM &amp; SF'!B:H, 2, 0)</f>
        <v>فلفل حار اخضر*****</v>
      </c>
      <c r="J1874" s="184" t="str">
        <f>VLOOKUP(H1874, 'RM &amp; SF'!B:E, 4, 0)</f>
        <v>غم</v>
      </c>
      <c r="K1874" s="12">
        <v>40</v>
      </c>
      <c r="L1874" s="13">
        <f>VLOOKUP(H1874, 'RM &amp; SF'!B:H, 7, 0)</f>
        <v>5.0000000000000001E-4</v>
      </c>
      <c r="M1874" s="7">
        <f t="shared" si="96"/>
        <v>0.02</v>
      </c>
      <c r="N1874" s="4" t="s">
        <v>825</v>
      </c>
      <c r="O1874" s="4">
        <f>VLOOKUP(B1874, 'All Menu'!B:L, 6, 0)</f>
        <v>9.4827586206896566</v>
      </c>
      <c r="P1874" s="6">
        <f>VLOOKUP(B1874, 'All Menu'!B:L, 9, 0)</f>
        <v>6.4946902839713658</v>
      </c>
      <c r="Q1874" s="14">
        <f>VLOOKUP(B1874, 'All Menu'!B:M, 12, 0)</f>
        <v>0.31510538823574696</v>
      </c>
      <c r="R1874" s="173">
        <f t="shared" si="95"/>
        <v>0</v>
      </c>
    </row>
    <row r="1875" spans="1:18" ht="14" hidden="1">
      <c r="A1875" s="78" t="s">
        <v>2751</v>
      </c>
      <c r="B1875" s="220" t="s">
        <v>959</v>
      </c>
      <c r="C1875" s="185"/>
      <c r="D1875" s="103" t="str">
        <f>VLOOKUP(B1875, 'All Menu'!B:M, 4, 0)</f>
        <v>كباب مشوي / 0.5 ك</v>
      </c>
      <c r="E1875" s="30" t="str">
        <f>VLOOKUP(B1875, 'All Menu'!B:M, 2, 0)</f>
        <v>قسم المشاوي</v>
      </c>
      <c r="F1875" s="103" t="str">
        <f>VLOOKUP(B1875, 'All Menu'!B:M, 3, 0)</f>
        <v>المشاوي سفري</v>
      </c>
      <c r="G1875" s="90" t="s">
        <v>2197</v>
      </c>
      <c r="H1875" s="188">
        <v>4347</v>
      </c>
      <c r="I1875" s="110" t="str">
        <f>VLOOKUP(H1875, 'RM &amp; SF'!B:H, 2, 0)</f>
        <v>صحن كرتون بيضوي مذهب 35 سم (رقم 2)*****</v>
      </c>
      <c r="J1875" s="184" t="str">
        <f>VLOOKUP(H1875, 'RM &amp; SF'!B:E, 4, 0)</f>
        <v>قطعة</v>
      </c>
      <c r="K1875" s="12">
        <v>1</v>
      </c>
      <c r="L1875" s="13">
        <f>VLOOKUP(H1875, 'RM &amp; SF'!B:H, 7, 0)</f>
        <v>0.22409999999999999</v>
      </c>
      <c r="M1875" s="7">
        <f t="shared" si="96"/>
        <v>0.22409999999999999</v>
      </c>
      <c r="N1875" s="4" t="s">
        <v>825</v>
      </c>
      <c r="O1875" s="4">
        <f>VLOOKUP(B1875, 'All Menu'!B:L, 6, 0)</f>
        <v>9.4827586206896566</v>
      </c>
      <c r="P1875" s="6">
        <f>VLOOKUP(B1875, 'All Menu'!B:L, 9, 0)</f>
        <v>6.4946902839713658</v>
      </c>
      <c r="Q1875" s="14">
        <f>VLOOKUP(B1875, 'All Menu'!B:M, 12, 0)</f>
        <v>0.31510538823574696</v>
      </c>
      <c r="R1875" s="173">
        <f t="shared" si="95"/>
        <v>0</v>
      </c>
    </row>
    <row r="1876" spans="1:18" ht="14" hidden="1">
      <c r="A1876" s="78" t="s">
        <v>2751</v>
      </c>
      <c r="B1876" s="220" t="s">
        <v>959</v>
      </c>
      <c r="C1876" s="185"/>
      <c r="D1876" s="103" t="str">
        <f>VLOOKUP(B1876, 'All Menu'!B:M, 4, 0)</f>
        <v>كباب مشوي / 0.5 ك</v>
      </c>
      <c r="E1876" s="30" t="str">
        <f>VLOOKUP(B1876, 'All Menu'!B:M, 2, 0)</f>
        <v>قسم المشاوي</v>
      </c>
      <c r="F1876" s="103" t="str">
        <f>VLOOKUP(B1876, 'All Menu'!B:M, 3, 0)</f>
        <v>المشاوي سفري</v>
      </c>
      <c r="G1876" s="90" t="s">
        <v>2194</v>
      </c>
      <c r="H1876" s="188">
        <v>4323</v>
      </c>
      <c r="I1876" s="110" t="str">
        <f>VLOOKUP(H1876, 'RM &amp; SF'!B:H, 2, 0)</f>
        <v>قصدير رول 45 سم*2كغ*****</v>
      </c>
      <c r="J1876" s="184" t="str">
        <f>VLOOKUP(H1876, 'RM &amp; SF'!B:E, 4, 0)</f>
        <v>غم</v>
      </c>
      <c r="K1876" s="12">
        <v>0.06</v>
      </c>
      <c r="L1876" s="13">
        <f>VLOOKUP(H1876, 'RM &amp; SF'!B:H, 7, 0)</f>
        <v>1.7240000000000001E-3</v>
      </c>
      <c r="M1876" s="7">
        <f t="shared" si="96"/>
        <v>1.0344E-4</v>
      </c>
      <c r="N1876" s="4" t="s">
        <v>825</v>
      </c>
      <c r="O1876" s="4">
        <f>VLOOKUP(B1876, 'All Menu'!B:L, 6, 0)</f>
        <v>9.4827586206896566</v>
      </c>
      <c r="P1876" s="6">
        <f>VLOOKUP(B1876, 'All Menu'!B:L, 9, 0)</f>
        <v>6.4946902839713658</v>
      </c>
      <c r="Q1876" s="14">
        <f>VLOOKUP(B1876, 'All Menu'!B:M, 12, 0)</f>
        <v>0.31510538823574696</v>
      </c>
      <c r="R1876" s="173">
        <f t="shared" ref="R1876:R1939" si="97">C1876*K1876</f>
        <v>0</v>
      </c>
    </row>
    <row r="1877" spans="1:18" ht="14" hidden="1">
      <c r="A1877" s="78" t="s">
        <v>2751</v>
      </c>
      <c r="B1877" s="220" t="s">
        <v>959</v>
      </c>
      <c r="C1877" s="185"/>
      <c r="D1877" s="103" t="str">
        <f>VLOOKUP(B1877, 'All Menu'!B:M, 4, 0)</f>
        <v>كباب مشوي / 0.5 ك</v>
      </c>
      <c r="E1877" s="30" t="str">
        <f>VLOOKUP(B1877, 'All Menu'!B:M, 2, 0)</f>
        <v>قسم المشاوي</v>
      </c>
      <c r="F1877" s="103" t="str">
        <f>VLOOKUP(B1877, 'All Menu'!B:M, 3, 0)</f>
        <v>المشاوي سفري</v>
      </c>
      <c r="G1877" s="90" t="s">
        <v>3058</v>
      </c>
      <c r="H1877" s="188">
        <v>4268</v>
      </c>
      <c r="I1877" s="110" t="str">
        <f>VLOOKUP(H1877, 'RM &amp; SF'!B:H, 2, 0)</f>
        <v>بكجات مشاوي مطبوع رقم 2 1*50 حبة*****</v>
      </c>
      <c r="J1877" s="184" t="str">
        <f>VLOOKUP(H1877, 'RM &amp; SF'!B:E, 4, 0)</f>
        <v>قطعة</v>
      </c>
      <c r="K1877" s="12">
        <v>1</v>
      </c>
      <c r="L1877" s="13">
        <f>VLOOKUP(H1877, 'RM &amp; SF'!B:H, 7, 0)</f>
        <v>0.33620689655172414</v>
      </c>
      <c r="M1877" s="7">
        <f t="shared" si="96"/>
        <v>0.33620689655172414</v>
      </c>
      <c r="N1877" s="4" t="s">
        <v>825</v>
      </c>
      <c r="O1877" s="4">
        <f>VLOOKUP(B1877, 'All Menu'!B:L, 6, 0)</f>
        <v>9.4827586206896566</v>
      </c>
      <c r="P1877" s="6">
        <f>VLOOKUP(B1877, 'All Menu'!B:L, 9, 0)</f>
        <v>6.4946902839713658</v>
      </c>
      <c r="Q1877" s="14">
        <f>VLOOKUP(B1877, 'All Menu'!B:M, 12, 0)</f>
        <v>0.31510538823574696</v>
      </c>
      <c r="R1877" s="173">
        <f t="shared" si="97"/>
        <v>0</v>
      </c>
    </row>
    <row r="1878" spans="1:18" ht="14" hidden="1">
      <c r="A1878" s="78" t="s">
        <v>2753</v>
      </c>
      <c r="B1878" s="220" t="s">
        <v>960</v>
      </c>
      <c r="C1878" s="185"/>
      <c r="D1878" s="103" t="str">
        <f>VLOOKUP(B1878, 'All Menu'!B:M, 4, 0)</f>
        <v>شيش طاووق / 0.5 ك</v>
      </c>
      <c r="E1878" s="30" t="str">
        <f>VLOOKUP(B1878, 'All Menu'!B:M, 2, 0)</f>
        <v>قسم المشاوي</v>
      </c>
      <c r="F1878" s="103" t="str">
        <f>VLOOKUP(B1878, 'All Menu'!B:M, 3, 0)</f>
        <v>المشاوي سفري</v>
      </c>
      <c r="G1878" s="90" t="s">
        <v>2456</v>
      </c>
      <c r="H1878" s="219" t="s">
        <v>506</v>
      </c>
      <c r="I1878" s="110" t="str">
        <f>VLOOKUP(H1878, 'RM &amp; SF'!B:H, 2, 0)</f>
        <v>شيش</v>
      </c>
      <c r="J1878" s="184" t="str">
        <f>VLOOKUP(H1878, 'RM &amp; SF'!B:E, 4, 0)</f>
        <v>غم</v>
      </c>
      <c r="K1878" s="12">
        <v>500</v>
      </c>
      <c r="L1878" s="13">
        <f>VLOOKUP(H1878, 'RM &amp; SF'!B:H, 7, 0)</f>
        <v>4.6721213030918281E-3</v>
      </c>
      <c r="M1878" s="7">
        <f t="shared" si="96"/>
        <v>2.3360606515459139</v>
      </c>
      <c r="N1878" s="4" t="s">
        <v>825</v>
      </c>
      <c r="O1878" s="4">
        <f>VLOOKUP(B1878, 'All Menu'!B:L, 6, 0)</f>
        <v>7.7586206896551726</v>
      </c>
      <c r="P1878" s="6">
        <f>VLOOKUP(B1878, 'All Menu'!B:L, 9, 0)</f>
        <v>3.136900159373992</v>
      </c>
      <c r="Q1878" s="14">
        <f>VLOOKUP(B1878, 'All Menu'!B:M, 12, 0)</f>
        <v>0.59568842390290766</v>
      </c>
      <c r="R1878" s="173">
        <f t="shared" si="97"/>
        <v>0</v>
      </c>
    </row>
    <row r="1879" spans="1:18" ht="14" hidden="1">
      <c r="A1879" s="78" t="s">
        <v>2753</v>
      </c>
      <c r="B1879" s="220" t="s">
        <v>960</v>
      </c>
      <c r="C1879" s="185"/>
      <c r="D1879" s="103" t="str">
        <f>VLOOKUP(B1879, 'All Menu'!B:M, 4, 0)</f>
        <v>شيش طاووق / 0.5 ك</v>
      </c>
      <c r="E1879" s="30" t="str">
        <f>VLOOKUP(B1879, 'All Menu'!B:M, 2, 0)</f>
        <v>قسم المشاوي</v>
      </c>
      <c r="F1879" s="103" t="str">
        <f>VLOOKUP(B1879, 'All Menu'!B:M, 3, 0)</f>
        <v>المشاوي سفري</v>
      </c>
      <c r="G1879" s="90" t="s">
        <v>2235</v>
      </c>
      <c r="H1879" s="188">
        <v>4504</v>
      </c>
      <c r="I1879" s="110" t="str">
        <f>VLOOKUP(H1879, 'RM &amp; SF'!B:H, 2, 0)</f>
        <v>بصل مشاوي (بصل بيبي)***</v>
      </c>
      <c r="J1879" s="184" t="str">
        <f>VLOOKUP(H1879, 'RM &amp; SF'!B:E, 4, 0)</f>
        <v>غم</v>
      </c>
      <c r="K1879" s="12">
        <v>75</v>
      </c>
      <c r="L1879" s="13">
        <f>VLOOKUP(H1879, 'RM &amp; SF'!B:H, 7, 0)</f>
        <v>3.5E-4</v>
      </c>
      <c r="M1879" s="7">
        <f t="shared" si="96"/>
        <v>2.6249999999999999E-2</v>
      </c>
      <c r="N1879" s="4" t="s">
        <v>825</v>
      </c>
      <c r="O1879" s="4">
        <f>VLOOKUP(B1879, 'All Menu'!B:L, 6, 0)</f>
        <v>7.7586206896551726</v>
      </c>
      <c r="P1879" s="6">
        <f>VLOOKUP(B1879, 'All Menu'!B:L, 9, 0)</f>
        <v>3.136900159373992</v>
      </c>
      <c r="Q1879" s="14">
        <f>VLOOKUP(B1879, 'All Menu'!B:M, 12, 0)</f>
        <v>0.59568842390290766</v>
      </c>
      <c r="R1879" s="173">
        <f t="shared" si="97"/>
        <v>0</v>
      </c>
    </row>
    <row r="1880" spans="1:18" ht="14" hidden="1">
      <c r="A1880" s="78" t="s">
        <v>2753</v>
      </c>
      <c r="B1880" s="220" t="s">
        <v>960</v>
      </c>
      <c r="C1880" s="185"/>
      <c r="D1880" s="103" t="str">
        <f>VLOOKUP(B1880, 'All Menu'!B:M, 4, 0)</f>
        <v>شيش طاووق / 0.5 ك</v>
      </c>
      <c r="E1880" s="30" t="str">
        <f>VLOOKUP(B1880, 'All Menu'!B:M, 2, 0)</f>
        <v>قسم المشاوي</v>
      </c>
      <c r="F1880" s="103" t="str">
        <f>VLOOKUP(B1880, 'All Menu'!B:M, 3, 0)</f>
        <v>المشاوي سفري</v>
      </c>
      <c r="G1880" s="90" t="s">
        <v>2257</v>
      </c>
      <c r="H1880" s="188">
        <v>5281</v>
      </c>
      <c r="I1880" s="110" t="str">
        <f>VLOOKUP(H1880, 'RM &amp; SF'!B:H, 2, 0)</f>
        <v>بندوره مشاوي</v>
      </c>
      <c r="J1880" s="184" t="str">
        <f>VLOOKUP(H1880, 'RM &amp; SF'!B:E, 4, 0)</f>
        <v>غم</v>
      </c>
      <c r="K1880" s="12">
        <v>75</v>
      </c>
      <c r="L1880" s="13">
        <f>VLOOKUP(H1880, 'RM &amp; SF'!B:H, 7, 0)</f>
        <v>4.0000000000000002E-4</v>
      </c>
      <c r="M1880" s="7">
        <f t="shared" si="96"/>
        <v>3.0000000000000002E-2</v>
      </c>
      <c r="N1880" s="4" t="s">
        <v>825</v>
      </c>
      <c r="O1880" s="4">
        <f>VLOOKUP(B1880, 'All Menu'!B:L, 6, 0)</f>
        <v>7.7586206896551726</v>
      </c>
      <c r="P1880" s="6">
        <f>VLOOKUP(B1880, 'All Menu'!B:L, 9, 0)</f>
        <v>3.136900159373992</v>
      </c>
      <c r="Q1880" s="14">
        <f>VLOOKUP(B1880, 'All Menu'!B:M, 12, 0)</f>
        <v>0.59568842390290766</v>
      </c>
      <c r="R1880" s="173">
        <f t="shared" si="97"/>
        <v>0</v>
      </c>
    </row>
    <row r="1881" spans="1:18" ht="14" hidden="1">
      <c r="A1881" s="78" t="s">
        <v>2753</v>
      </c>
      <c r="B1881" s="220" t="s">
        <v>960</v>
      </c>
      <c r="C1881" s="185"/>
      <c r="D1881" s="103" t="str">
        <f>VLOOKUP(B1881, 'All Menu'!B:M, 4, 0)</f>
        <v>شيش طاووق / 0.5 ك</v>
      </c>
      <c r="E1881" s="30" t="str">
        <f>VLOOKUP(B1881, 'All Menu'!B:M, 2, 0)</f>
        <v>قسم المشاوي</v>
      </c>
      <c r="F1881" s="103" t="str">
        <f>VLOOKUP(B1881, 'All Menu'!B:M, 3, 0)</f>
        <v>المشاوي سفري</v>
      </c>
      <c r="G1881" s="90" t="s">
        <v>2396</v>
      </c>
      <c r="H1881" s="219" t="s">
        <v>582</v>
      </c>
      <c r="I1881" s="110" t="str">
        <f>VLOOKUP(H1881, 'RM &amp; SF'!B:H, 2, 0)</f>
        <v>بيواز</v>
      </c>
      <c r="J1881" s="184" t="str">
        <f>VLOOKUP(H1881, 'RM &amp; SF'!B:E, 4, 0)</f>
        <v>غم</v>
      </c>
      <c r="K1881" s="12">
        <v>50</v>
      </c>
      <c r="L1881" s="13">
        <f>VLOOKUP(H1881, 'RM &amp; SF'!B:H, 7, 0)</f>
        <v>2.0666065869244635E-4</v>
      </c>
      <c r="M1881" s="7">
        <f t="shared" si="96"/>
        <v>1.0333032934622318E-2</v>
      </c>
      <c r="N1881" s="4" t="s">
        <v>825</v>
      </c>
      <c r="O1881" s="4">
        <f>VLOOKUP(B1881, 'All Menu'!B:L, 6, 0)</f>
        <v>7.7586206896551726</v>
      </c>
      <c r="P1881" s="6">
        <f>VLOOKUP(B1881, 'All Menu'!B:L, 9, 0)</f>
        <v>3.136900159373992</v>
      </c>
      <c r="Q1881" s="14">
        <f>VLOOKUP(B1881, 'All Menu'!B:M, 12, 0)</f>
        <v>0.59568842390290766</v>
      </c>
      <c r="R1881" s="173">
        <f t="shared" si="97"/>
        <v>0</v>
      </c>
    </row>
    <row r="1882" spans="1:18" ht="14" hidden="1">
      <c r="A1882" s="78" t="s">
        <v>2753</v>
      </c>
      <c r="B1882" s="220" t="s">
        <v>960</v>
      </c>
      <c r="C1882" s="185"/>
      <c r="D1882" s="103" t="str">
        <f>VLOOKUP(B1882, 'All Menu'!B:M, 4, 0)</f>
        <v>شيش طاووق / 0.5 ك</v>
      </c>
      <c r="E1882" s="30" t="str">
        <f>VLOOKUP(B1882, 'All Menu'!B:M, 2, 0)</f>
        <v>قسم المشاوي</v>
      </c>
      <c r="F1882" s="103" t="str">
        <f>VLOOKUP(B1882, 'All Menu'!B:M, 3, 0)</f>
        <v>المشاوي سفري</v>
      </c>
      <c r="G1882" s="90" t="s">
        <v>2225</v>
      </c>
      <c r="H1882" s="188">
        <v>4991</v>
      </c>
      <c r="I1882" s="110" t="str">
        <f>VLOOKUP(H1882, 'RM &amp; SF'!B:H, 2, 0)</f>
        <v>خبز عربي (خبز لبناني) صغير*****</v>
      </c>
      <c r="J1882" s="184" t="str">
        <f>VLOOKUP(H1882, 'RM &amp; SF'!B:E, 4, 0)</f>
        <v>غم</v>
      </c>
      <c r="K1882" s="12">
        <v>200</v>
      </c>
      <c r="L1882" s="13">
        <f>VLOOKUP(H1882, 'RM &amp; SF'!B:H, 7, 0)</f>
        <v>3.2000000000000003E-4</v>
      </c>
      <c r="M1882" s="7">
        <f t="shared" si="96"/>
        <v>6.4000000000000001E-2</v>
      </c>
      <c r="N1882" s="4" t="s">
        <v>825</v>
      </c>
      <c r="O1882" s="4">
        <f>VLOOKUP(B1882, 'All Menu'!B:L, 6, 0)</f>
        <v>7.7586206896551726</v>
      </c>
      <c r="P1882" s="6">
        <f>VLOOKUP(B1882, 'All Menu'!B:L, 9, 0)</f>
        <v>3.136900159373992</v>
      </c>
      <c r="Q1882" s="14">
        <f>VLOOKUP(B1882, 'All Menu'!B:M, 12, 0)</f>
        <v>0.59568842390290766</v>
      </c>
      <c r="R1882" s="173">
        <f t="shared" si="97"/>
        <v>0</v>
      </c>
    </row>
    <row r="1883" spans="1:18" ht="14" hidden="1">
      <c r="A1883" s="78" t="s">
        <v>2753</v>
      </c>
      <c r="B1883" s="220" t="s">
        <v>960</v>
      </c>
      <c r="C1883" s="185"/>
      <c r="D1883" s="103" t="str">
        <f>VLOOKUP(B1883, 'All Menu'!B:M, 4, 0)</f>
        <v>شيش طاووق / 0.5 ك</v>
      </c>
      <c r="E1883" s="30" t="str">
        <f>VLOOKUP(B1883, 'All Menu'!B:M, 2, 0)</f>
        <v>قسم المشاوي</v>
      </c>
      <c r="F1883" s="103" t="str">
        <f>VLOOKUP(B1883, 'All Menu'!B:M, 3, 0)</f>
        <v>المشاوي سفري</v>
      </c>
      <c r="G1883" s="90" t="s">
        <v>2231</v>
      </c>
      <c r="H1883" s="188">
        <v>4499</v>
      </c>
      <c r="I1883" s="110" t="str">
        <f>VLOOKUP(H1883, 'RM &amp; SF'!B:H, 2, 0)</f>
        <v>فلفل حار اخضر*****</v>
      </c>
      <c r="J1883" s="184" t="str">
        <f>VLOOKUP(H1883, 'RM &amp; SF'!B:E, 4, 0)</f>
        <v>غم</v>
      </c>
      <c r="K1883" s="12">
        <v>20</v>
      </c>
      <c r="L1883" s="13">
        <f>VLOOKUP(H1883, 'RM &amp; SF'!B:H, 7, 0)</f>
        <v>5.0000000000000001E-4</v>
      </c>
      <c r="M1883" s="7">
        <f t="shared" si="96"/>
        <v>0.01</v>
      </c>
      <c r="N1883" s="4" t="s">
        <v>825</v>
      </c>
      <c r="O1883" s="4">
        <f>VLOOKUP(B1883, 'All Menu'!B:L, 6, 0)</f>
        <v>7.7586206896551726</v>
      </c>
      <c r="P1883" s="6">
        <f>VLOOKUP(B1883, 'All Menu'!B:L, 9, 0)</f>
        <v>3.136900159373992</v>
      </c>
      <c r="Q1883" s="14">
        <f>VLOOKUP(B1883, 'All Menu'!B:M, 12, 0)</f>
        <v>0.59568842390290766</v>
      </c>
      <c r="R1883" s="173">
        <f t="shared" si="97"/>
        <v>0</v>
      </c>
    </row>
    <row r="1884" spans="1:18" ht="14" hidden="1">
      <c r="A1884" s="78" t="s">
        <v>2753</v>
      </c>
      <c r="B1884" s="220" t="s">
        <v>960</v>
      </c>
      <c r="C1884" s="185"/>
      <c r="D1884" s="103" t="str">
        <f>VLOOKUP(B1884, 'All Menu'!B:M, 4, 0)</f>
        <v>شيش طاووق / 0.5 ك</v>
      </c>
      <c r="E1884" s="30" t="str">
        <f>VLOOKUP(B1884, 'All Menu'!B:M, 2, 0)</f>
        <v>قسم المشاوي</v>
      </c>
      <c r="F1884" s="103" t="str">
        <f>VLOOKUP(B1884, 'All Menu'!B:M, 3, 0)</f>
        <v>المشاوي سفري</v>
      </c>
      <c r="G1884" s="90" t="s">
        <v>2325</v>
      </c>
      <c r="H1884" s="219" t="s">
        <v>534</v>
      </c>
      <c r="I1884" s="110" t="str">
        <f>VLOOKUP(H1884, 'RM &amp; SF'!B:H, 2, 0)</f>
        <v>مثومه</v>
      </c>
      <c r="J1884" s="184" t="str">
        <f>VLOOKUP(H1884, 'RM &amp; SF'!B:E, 4, 0)</f>
        <v>غم</v>
      </c>
      <c r="K1884" s="12">
        <v>150</v>
      </c>
      <c r="L1884" s="13">
        <f>VLOOKUP(H1884, 'RM &amp; SF'!B:H, 7, 0)</f>
        <v>6.6564092227821051E-4</v>
      </c>
      <c r="M1884" s="7">
        <f t="shared" si="96"/>
        <v>9.9846138341731575E-2</v>
      </c>
      <c r="N1884" s="4" t="s">
        <v>825</v>
      </c>
      <c r="O1884" s="4">
        <f>VLOOKUP(B1884, 'All Menu'!B:L, 6, 0)</f>
        <v>7.7586206896551726</v>
      </c>
      <c r="P1884" s="6">
        <f>VLOOKUP(B1884, 'All Menu'!B:L, 9, 0)</f>
        <v>3.136900159373992</v>
      </c>
      <c r="Q1884" s="14">
        <f>VLOOKUP(B1884, 'All Menu'!B:M, 12, 0)</f>
        <v>0.59568842390290766</v>
      </c>
      <c r="R1884" s="173">
        <f t="shared" si="97"/>
        <v>0</v>
      </c>
    </row>
    <row r="1885" spans="1:18" ht="14" hidden="1">
      <c r="A1885" s="78" t="s">
        <v>2753</v>
      </c>
      <c r="B1885" s="220" t="s">
        <v>960</v>
      </c>
      <c r="C1885" s="185"/>
      <c r="D1885" s="103" t="str">
        <f>VLOOKUP(B1885, 'All Menu'!B:M, 4, 0)</f>
        <v>شيش طاووق / 0.5 ك</v>
      </c>
      <c r="E1885" s="30" t="str">
        <f>VLOOKUP(B1885, 'All Menu'!B:M, 2, 0)</f>
        <v>قسم المشاوي</v>
      </c>
      <c r="F1885" s="103" t="str">
        <f>VLOOKUP(B1885, 'All Menu'!B:M, 3, 0)</f>
        <v>المشاوي سفري</v>
      </c>
      <c r="G1885" s="90" t="s">
        <v>2197</v>
      </c>
      <c r="H1885" s="188">
        <v>4347</v>
      </c>
      <c r="I1885" s="110" t="str">
        <f>VLOOKUP(H1885, 'RM &amp; SF'!B:H, 2, 0)</f>
        <v>صحن كرتون بيضوي مذهب 35 سم (رقم 2)*****</v>
      </c>
      <c r="J1885" s="184" t="str">
        <f>VLOOKUP(H1885, 'RM &amp; SF'!B:E, 4, 0)</f>
        <v>قطعة</v>
      </c>
      <c r="K1885" s="12">
        <v>1</v>
      </c>
      <c r="L1885" s="13">
        <f>VLOOKUP(H1885, 'RM &amp; SF'!B:H, 7, 0)</f>
        <v>0.22409999999999999</v>
      </c>
      <c r="M1885" s="7">
        <f t="shared" si="96"/>
        <v>0.22409999999999999</v>
      </c>
      <c r="N1885" s="4" t="s">
        <v>825</v>
      </c>
      <c r="O1885" s="4">
        <f>VLOOKUP(B1885, 'All Menu'!B:L, 6, 0)</f>
        <v>7.7586206896551726</v>
      </c>
      <c r="P1885" s="6">
        <f>VLOOKUP(B1885, 'All Menu'!B:L, 9, 0)</f>
        <v>3.136900159373992</v>
      </c>
      <c r="Q1885" s="14">
        <f>VLOOKUP(B1885, 'All Menu'!B:M, 12, 0)</f>
        <v>0.59568842390290766</v>
      </c>
      <c r="R1885" s="173">
        <f t="shared" si="97"/>
        <v>0</v>
      </c>
    </row>
    <row r="1886" spans="1:18" ht="14" hidden="1">
      <c r="A1886" s="78" t="s">
        <v>2753</v>
      </c>
      <c r="B1886" s="220" t="s">
        <v>960</v>
      </c>
      <c r="C1886" s="185"/>
      <c r="D1886" s="103" t="str">
        <f>VLOOKUP(B1886, 'All Menu'!B:M, 4, 0)</f>
        <v>شيش طاووق / 0.5 ك</v>
      </c>
      <c r="E1886" s="30" t="str">
        <f>VLOOKUP(B1886, 'All Menu'!B:M, 2, 0)</f>
        <v>قسم المشاوي</v>
      </c>
      <c r="F1886" s="103" t="str">
        <f>VLOOKUP(B1886, 'All Menu'!B:M, 3, 0)</f>
        <v>المشاوي سفري</v>
      </c>
      <c r="G1886" s="90" t="s">
        <v>2194</v>
      </c>
      <c r="H1886" s="188">
        <v>4323</v>
      </c>
      <c r="I1886" s="110" t="str">
        <f>VLOOKUP(H1886, 'RM &amp; SF'!B:H, 2, 0)</f>
        <v>قصدير رول 45 سم*2كغ*****</v>
      </c>
      <c r="J1886" s="184" t="str">
        <f>VLOOKUP(H1886, 'RM &amp; SF'!B:E, 4, 0)</f>
        <v>غم</v>
      </c>
      <c r="K1886" s="12">
        <v>0.06</v>
      </c>
      <c r="L1886" s="13">
        <f>VLOOKUP(H1886, 'RM &amp; SF'!B:H, 7, 0)</f>
        <v>1.7240000000000001E-3</v>
      </c>
      <c r="M1886" s="7">
        <f t="shared" si="96"/>
        <v>1.0344E-4</v>
      </c>
      <c r="N1886" s="4" t="s">
        <v>825</v>
      </c>
      <c r="O1886" s="4">
        <f>VLOOKUP(B1886, 'All Menu'!B:L, 6, 0)</f>
        <v>7.7586206896551726</v>
      </c>
      <c r="P1886" s="6">
        <f>VLOOKUP(B1886, 'All Menu'!B:L, 9, 0)</f>
        <v>3.136900159373992</v>
      </c>
      <c r="Q1886" s="14">
        <f>VLOOKUP(B1886, 'All Menu'!B:M, 12, 0)</f>
        <v>0.59568842390290766</v>
      </c>
      <c r="R1886" s="173">
        <f t="shared" si="97"/>
        <v>0</v>
      </c>
    </row>
    <row r="1887" spans="1:18" ht="14" hidden="1">
      <c r="A1887" s="78" t="s">
        <v>2753</v>
      </c>
      <c r="B1887" s="220" t="s">
        <v>960</v>
      </c>
      <c r="C1887" s="185"/>
      <c r="D1887" s="103" t="str">
        <f>VLOOKUP(B1887, 'All Menu'!B:M, 4, 0)</f>
        <v>شيش طاووق / 0.5 ك</v>
      </c>
      <c r="E1887" s="30" t="str">
        <f>VLOOKUP(B1887, 'All Menu'!B:M, 2, 0)</f>
        <v>قسم المشاوي</v>
      </c>
      <c r="F1887" s="103" t="str">
        <f>VLOOKUP(B1887, 'All Menu'!B:M, 3, 0)</f>
        <v>المشاوي سفري</v>
      </c>
      <c r="G1887" s="90" t="s">
        <v>3058</v>
      </c>
      <c r="H1887" s="188">
        <v>4268</v>
      </c>
      <c r="I1887" s="110" t="str">
        <f>VLOOKUP(H1887, 'RM &amp; SF'!B:H, 2, 0)</f>
        <v>بكجات مشاوي مطبوع رقم 2 1*50 حبة*****</v>
      </c>
      <c r="J1887" s="184" t="str">
        <f>VLOOKUP(H1887, 'RM &amp; SF'!B:E, 4, 0)</f>
        <v>قطعة</v>
      </c>
      <c r="K1887" s="12">
        <v>1</v>
      </c>
      <c r="L1887" s="13">
        <f>VLOOKUP(H1887, 'RM &amp; SF'!B:H, 7, 0)</f>
        <v>0.33620689655172414</v>
      </c>
      <c r="M1887" s="7">
        <f t="shared" si="96"/>
        <v>0.33620689655172414</v>
      </c>
      <c r="N1887" s="4" t="s">
        <v>825</v>
      </c>
      <c r="O1887" s="4">
        <f>VLOOKUP(B1887, 'All Menu'!B:L, 6, 0)</f>
        <v>7.7586206896551726</v>
      </c>
      <c r="P1887" s="6">
        <f>VLOOKUP(B1887, 'All Menu'!B:L, 9, 0)</f>
        <v>3.136900159373992</v>
      </c>
      <c r="Q1887" s="14">
        <f>VLOOKUP(B1887, 'All Menu'!B:M, 12, 0)</f>
        <v>0.59568842390290766</v>
      </c>
      <c r="R1887" s="173">
        <f t="shared" si="97"/>
        <v>0</v>
      </c>
    </row>
    <row r="1888" spans="1:18" ht="14" hidden="1">
      <c r="A1888" s="78" t="s">
        <v>2755</v>
      </c>
      <c r="B1888" s="220" t="s">
        <v>961</v>
      </c>
      <c r="C1888" s="185"/>
      <c r="D1888" s="103" t="str">
        <f>VLOOKUP(B1888, 'All Menu'!B:M, 4, 0)</f>
        <v>ريش خاروف / 0.5 ك</v>
      </c>
      <c r="E1888" s="30" t="str">
        <f>VLOOKUP(B1888, 'All Menu'!B:M, 2, 0)</f>
        <v>قسم المشاوي</v>
      </c>
      <c r="F1888" s="103" t="str">
        <f>VLOOKUP(B1888, 'All Menu'!B:M, 3, 0)</f>
        <v>المشاوي سفري</v>
      </c>
      <c r="G1888" s="90" t="s">
        <v>3058</v>
      </c>
      <c r="H1888" s="188">
        <v>4614</v>
      </c>
      <c r="I1888" s="110" t="str">
        <f>VLOOKUP(H1888, 'RM &amp; SF'!B:H, 2, 0)</f>
        <v>ريش ضأن متبلة*****</v>
      </c>
      <c r="J1888" s="184" t="str">
        <f>VLOOKUP(H1888, 'RM &amp; SF'!B:E, 4, 0)</f>
        <v>غم</v>
      </c>
      <c r="K1888" s="12">
        <v>500</v>
      </c>
      <c r="L1888" s="13">
        <f>VLOOKUP(H1888, 'RM &amp; SF'!B:H, 7, 0)</f>
        <v>1.4E-2</v>
      </c>
      <c r="M1888" s="7">
        <f t="shared" si="96"/>
        <v>7</v>
      </c>
      <c r="N1888" s="4" t="s">
        <v>825</v>
      </c>
      <c r="O1888" s="4">
        <f>VLOOKUP(B1888, 'All Menu'!B:L, 6, 0)</f>
        <v>11.63793103448276</v>
      </c>
      <c r="P1888" s="6">
        <f>VLOOKUP(B1888, 'All Menu'!B:L, 9, 0)</f>
        <v>7.7324063313202105</v>
      </c>
      <c r="Q1888" s="14">
        <f>VLOOKUP(B1888, 'All Menu'!B:M, 12, 0)</f>
        <v>0.33558582634581902</v>
      </c>
      <c r="R1888" s="173">
        <f t="shared" si="97"/>
        <v>0</v>
      </c>
    </row>
    <row r="1889" spans="1:18" ht="14" hidden="1">
      <c r="A1889" s="78" t="s">
        <v>2755</v>
      </c>
      <c r="B1889" s="220" t="s">
        <v>961</v>
      </c>
      <c r="C1889" s="185"/>
      <c r="D1889" s="103" t="str">
        <f>VLOOKUP(B1889, 'All Menu'!B:M, 4, 0)</f>
        <v>ريش خاروف / 0.5 ك</v>
      </c>
      <c r="E1889" s="30" t="str">
        <f>VLOOKUP(B1889, 'All Menu'!B:M, 2, 0)</f>
        <v>قسم المشاوي</v>
      </c>
      <c r="F1889" s="103" t="str">
        <f>VLOOKUP(B1889, 'All Menu'!B:M, 3, 0)</f>
        <v>المشاوي سفري</v>
      </c>
      <c r="G1889" s="90" t="s">
        <v>2235</v>
      </c>
      <c r="H1889" s="188">
        <v>4504</v>
      </c>
      <c r="I1889" s="110" t="str">
        <f>VLOOKUP(H1889, 'RM &amp; SF'!B:H, 2, 0)</f>
        <v>بصل مشاوي (بصل بيبي)***</v>
      </c>
      <c r="J1889" s="184" t="str">
        <f>VLOOKUP(H1889, 'RM &amp; SF'!B:E, 4, 0)</f>
        <v>غم</v>
      </c>
      <c r="K1889" s="12">
        <v>60</v>
      </c>
      <c r="L1889" s="13">
        <f>VLOOKUP(H1889, 'RM &amp; SF'!B:H, 7, 0)</f>
        <v>3.5E-4</v>
      </c>
      <c r="M1889" s="7">
        <f t="shared" si="96"/>
        <v>2.1000000000000001E-2</v>
      </c>
      <c r="N1889" s="4" t="s">
        <v>825</v>
      </c>
      <c r="O1889" s="4">
        <f>VLOOKUP(B1889, 'All Menu'!B:L, 6, 0)</f>
        <v>11.63793103448276</v>
      </c>
      <c r="P1889" s="6">
        <f>VLOOKUP(B1889, 'All Menu'!B:L, 9, 0)</f>
        <v>7.7324063313202105</v>
      </c>
      <c r="Q1889" s="14">
        <f>VLOOKUP(B1889, 'All Menu'!B:M, 12, 0)</f>
        <v>0.33558582634581902</v>
      </c>
      <c r="R1889" s="173">
        <f t="shared" si="97"/>
        <v>0</v>
      </c>
    </row>
    <row r="1890" spans="1:18" ht="14" hidden="1">
      <c r="A1890" s="78" t="s">
        <v>2755</v>
      </c>
      <c r="B1890" s="220" t="s">
        <v>961</v>
      </c>
      <c r="C1890" s="185"/>
      <c r="D1890" s="103" t="str">
        <f>VLOOKUP(B1890, 'All Menu'!B:M, 4, 0)</f>
        <v>ريش خاروف / 0.5 ك</v>
      </c>
      <c r="E1890" s="30" t="str">
        <f>VLOOKUP(B1890, 'All Menu'!B:M, 2, 0)</f>
        <v>قسم المشاوي</v>
      </c>
      <c r="F1890" s="103" t="str">
        <f>VLOOKUP(B1890, 'All Menu'!B:M, 3, 0)</f>
        <v>المشاوي سفري</v>
      </c>
      <c r="G1890" s="90" t="s">
        <v>2257</v>
      </c>
      <c r="H1890" s="188">
        <v>5281</v>
      </c>
      <c r="I1890" s="110" t="str">
        <f>VLOOKUP(H1890, 'RM &amp; SF'!B:H, 2, 0)</f>
        <v>بندوره مشاوي</v>
      </c>
      <c r="J1890" s="184" t="str">
        <f>VLOOKUP(H1890, 'RM &amp; SF'!B:E, 4, 0)</f>
        <v>غم</v>
      </c>
      <c r="K1890" s="12">
        <v>70</v>
      </c>
      <c r="L1890" s="13">
        <f>VLOOKUP(H1890, 'RM &amp; SF'!B:H, 7, 0)</f>
        <v>4.0000000000000002E-4</v>
      </c>
      <c r="M1890" s="7">
        <f t="shared" si="96"/>
        <v>2.8000000000000001E-2</v>
      </c>
      <c r="N1890" s="4" t="s">
        <v>825</v>
      </c>
      <c r="O1890" s="4">
        <f>VLOOKUP(B1890, 'All Menu'!B:L, 6, 0)</f>
        <v>11.63793103448276</v>
      </c>
      <c r="P1890" s="6">
        <f>VLOOKUP(B1890, 'All Menu'!B:L, 9, 0)</f>
        <v>7.7324063313202105</v>
      </c>
      <c r="Q1890" s="14">
        <f>VLOOKUP(B1890, 'All Menu'!B:M, 12, 0)</f>
        <v>0.33558582634581902</v>
      </c>
      <c r="R1890" s="173">
        <f t="shared" si="97"/>
        <v>0</v>
      </c>
    </row>
    <row r="1891" spans="1:18" ht="14" hidden="1">
      <c r="A1891" s="78" t="s">
        <v>2755</v>
      </c>
      <c r="B1891" s="220" t="s">
        <v>961</v>
      </c>
      <c r="C1891" s="185"/>
      <c r="D1891" s="103" t="str">
        <f>VLOOKUP(B1891, 'All Menu'!B:M, 4, 0)</f>
        <v>ريش خاروف / 0.5 ك</v>
      </c>
      <c r="E1891" s="30" t="str">
        <f>VLOOKUP(B1891, 'All Menu'!B:M, 2, 0)</f>
        <v>قسم المشاوي</v>
      </c>
      <c r="F1891" s="103" t="str">
        <f>VLOOKUP(B1891, 'All Menu'!B:M, 3, 0)</f>
        <v>المشاوي سفري</v>
      </c>
      <c r="G1891" s="90" t="s">
        <v>2396</v>
      </c>
      <c r="H1891" s="219" t="s">
        <v>582</v>
      </c>
      <c r="I1891" s="110" t="str">
        <f>VLOOKUP(H1891, 'RM &amp; SF'!B:H, 2, 0)</f>
        <v>بيواز</v>
      </c>
      <c r="J1891" s="184" t="str">
        <f>VLOOKUP(H1891, 'RM &amp; SF'!B:E, 4, 0)</f>
        <v>غم</v>
      </c>
      <c r="K1891" s="12">
        <v>50</v>
      </c>
      <c r="L1891" s="13">
        <f>VLOOKUP(H1891, 'RM &amp; SF'!B:H, 7, 0)</f>
        <v>2.0666065869244635E-4</v>
      </c>
      <c r="M1891" s="7">
        <f t="shared" si="96"/>
        <v>1.0333032934622318E-2</v>
      </c>
      <c r="N1891" s="4" t="s">
        <v>825</v>
      </c>
      <c r="O1891" s="4">
        <f>VLOOKUP(B1891, 'All Menu'!B:L, 6, 0)</f>
        <v>11.63793103448276</v>
      </c>
      <c r="P1891" s="6">
        <f>VLOOKUP(B1891, 'All Menu'!B:L, 9, 0)</f>
        <v>7.7324063313202105</v>
      </c>
      <c r="Q1891" s="14">
        <f>VLOOKUP(B1891, 'All Menu'!B:M, 12, 0)</f>
        <v>0.33558582634581902</v>
      </c>
      <c r="R1891" s="173">
        <f t="shared" si="97"/>
        <v>0</v>
      </c>
    </row>
    <row r="1892" spans="1:18" ht="14" hidden="1">
      <c r="A1892" s="78" t="s">
        <v>2755</v>
      </c>
      <c r="B1892" s="220" t="s">
        <v>961</v>
      </c>
      <c r="C1892" s="185"/>
      <c r="D1892" s="103" t="str">
        <f>VLOOKUP(B1892, 'All Menu'!B:M, 4, 0)</f>
        <v>ريش خاروف / 0.5 ك</v>
      </c>
      <c r="E1892" s="30" t="str">
        <f>VLOOKUP(B1892, 'All Menu'!B:M, 2, 0)</f>
        <v>قسم المشاوي</v>
      </c>
      <c r="F1892" s="103" t="str">
        <f>VLOOKUP(B1892, 'All Menu'!B:M, 3, 0)</f>
        <v>المشاوي سفري</v>
      </c>
      <c r="G1892" s="90" t="s">
        <v>2331</v>
      </c>
      <c r="H1892" s="219" t="s">
        <v>530</v>
      </c>
      <c r="I1892" s="110" t="str">
        <f>VLOOKUP(H1892, 'RM &amp; SF'!B:H, 2, 0)</f>
        <v>خبز صاج</v>
      </c>
      <c r="J1892" s="184" t="str">
        <f>VLOOKUP(H1892, 'RM &amp; SF'!B:E, 4, 0)</f>
        <v>غم</v>
      </c>
      <c r="K1892" s="12">
        <v>200</v>
      </c>
      <c r="L1892" s="13">
        <f>VLOOKUP(H1892, 'RM &amp; SF'!B:H, 7, 0)</f>
        <v>1.8806451612903227E-4</v>
      </c>
      <c r="M1892" s="7">
        <f t="shared" si="96"/>
        <v>3.7612903225806453E-2</v>
      </c>
      <c r="N1892" s="4" t="s">
        <v>825</v>
      </c>
      <c r="O1892" s="4">
        <f>VLOOKUP(B1892, 'All Menu'!B:L, 6, 0)</f>
        <v>11.63793103448276</v>
      </c>
      <c r="P1892" s="6">
        <f>VLOOKUP(B1892, 'All Menu'!B:L, 9, 0)</f>
        <v>7.7324063313202105</v>
      </c>
      <c r="Q1892" s="14">
        <f>VLOOKUP(B1892, 'All Menu'!B:M, 12, 0)</f>
        <v>0.33558582634581902</v>
      </c>
      <c r="R1892" s="173">
        <f t="shared" si="97"/>
        <v>0</v>
      </c>
    </row>
    <row r="1893" spans="1:18" ht="14" hidden="1">
      <c r="A1893" s="78" t="s">
        <v>2755</v>
      </c>
      <c r="B1893" s="220" t="s">
        <v>961</v>
      </c>
      <c r="C1893" s="185"/>
      <c r="D1893" s="103" t="str">
        <f>VLOOKUP(B1893, 'All Menu'!B:M, 4, 0)</f>
        <v>ريش خاروف / 0.5 ك</v>
      </c>
      <c r="E1893" s="30" t="str">
        <f>VLOOKUP(B1893, 'All Menu'!B:M, 2, 0)</f>
        <v>قسم المشاوي</v>
      </c>
      <c r="F1893" s="103" t="str">
        <f>VLOOKUP(B1893, 'All Menu'!B:M, 3, 0)</f>
        <v>المشاوي سفري</v>
      </c>
      <c r="G1893" s="90" t="s">
        <v>2231</v>
      </c>
      <c r="H1893" s="188">
        <v>4499</v>
      </c>
      <c r="I1893" s="110" t="str">
        <f>VLOOKUP(H1893, 'RM &amp; SF'!B:H, 2, 0)</f>
        <v>فلفل حار اخضر*****</v>
      </c>
      <c r="J1893" s="184" t="str">
        <f>VLOOKUP(H1893, 'RM &amp; SF'!B:E, 4, 0)</f>
        <v>غم</v>
      </c>
      <c r="K1893" s="12">
        <v>20</v>
      </c>
      <c r="L1893" s="13">
        <f>VLOOKUP(H1893, 'RM &amp; SF'!B:H, 7, 0)</f>
        <v>5.0000000000000001E-4</v>
      </c>
      <c r="M1893" s="7">
        <f t="shared" si="96"/>
        <v>0.01</v>
      </c>
      <c r="N1893" s="4" t="s">
        <v>825</v>
      </c>
      <c r="O1893" s="4">
        <f>VLOOKUP(B1893, 'All Menu'!B:L, 6, 0)</f>
        <v>11.63793103448276</v>
      </c>
      <c r="P1893" s="6">
        <f>VLOOKUP(B1893, 'All Menu'!B:L, 9, 0)</f>
        <v>7.7324063313202105</v>
      </c>
      <c r="Q1893" s="14">
        <f>VLOOKUP(B1893, 'All Menu'!B:M, 12, 0)</f>
        <v>0.33558582634581902</v>
      </c>
      <c r="R1893" s="173">
        <f t="shared" si="97"/>
        <v>0</v>
      </c>
    </row>
    <row r="1894" spans="1:18" ht="14" hidden="1">
      <c r="A1894" s="78" t="s">
        <v>2755</v>
      </c>
      <c r="B1894" s="220" t="s">
        <v>961</v>
      </c>
      <c r="C1894" s="185"/>
      <c r="D1894" s="103" t="str">
        <f>VLOOKUP(B1894, 'All Menu'!B:M, 4, 0)</f>
        <v>ريش خاروف / 0.5 ك</v>
      </c>
      <c r="E1894" s="30" t="str">
        <f>VLOOKUP(B1894, 'All Menu'!B:M, 2, 0)</f>
        <v>قسم المشاوي</v>
      </c>
      <c r="F1894" s="103" t="str">
        <f>VLOOKUP(B1894, 'All Menu'!B:M, 3, 0)</f>
        <v>المشاوي سفري</v>
      </c>
      <c r="G1894" s="90" t="s">
        <v>2197</v>
      </c>
      <c r="H1894" s="188">
        <v>4347</v>
      </c>
      <c r="I1894" s="110" t="str">
        <f>VLOOKUP(H1894, 'RM &amp; SF'!B:H, 2, 0)</f>
        <v>صحن كرتون بيضوي مذهب 35 سم (رقم 2)*****</v>
      </c>
      <c r="J1894" s="184" t="str">
        <f>VLOOKUP(H1894, 'RM &amp; SF'!B:E, 4, 0)</f>
        <v>قطعة</v>
      </c>
      <c r="K1894" s="12">
        <v>1</v>
      </c>
      <c r="L1894" s="13">
        <f>VLOOKUP(H1894, 'RM &amp; SF'!B:H, 7, 0)</f>
        <v>0.22409999999999999</v>
      </c>
      <c r="M1894" s="7">
        <f t="shared" si="96"/>
        <v>0.22409999999999999</v>
      </c>
      <c r="N1894" s="4" t="s">
        <v>825</v>
      </c>
      <c r="O1894" s="4">
        <f>VLOOKUP(B1894, 'All Menu'!B:L, 6, 0)</f>
        <v>11.63793103448276</v>
      </c>
      <c r="P1894" s="6">
        <f>VLOOKUP(B1894, 'All Menu'!B:L, 9, 0)</f>
        <v>7.7324063313202105</v>
      </c>
      <c r="Q1894" s="14">
        <f>VLOOKUP(B1894, 'All Menu'!B:M, 12, 0)</f>
        <v>0.33558582634581902</v>
      </c>
      <c r="R1894" s="173">
        <f t="shared" si="97"/>
        <v>0</v>
      </c>
    </row>
    <row r="1895" spans="1:18" ht="14" hidden="1">
      <c r="A1895" s="78" t="s">
        <v>2755</v>
      </c>
      <c r="B1895" s="220" t="s">
        <v>961</v>
      </c>
      <c r="C1895" s="185"/>
      <c r="D1895" s="103" t="str">
        <f>VLOOKUP(B1895, 'All Menu'!B:M, 4, 0)</f>
        <v>ريش خاروف / 0.5 ك</v>
      </c>
      <c r="E1895" s="30" t="str">
        <f>VLOOKUP(B1895, 'All Menu'!B:M, 2, 0)</f>
        <v>قسم المشاوي</v>
      </c>
      <c r="F1895" s="103" t="str">
        <f>VLOOKUP(B1895, 'All Menu'!B:M, 3, 0)</f>
        <v>المشاوي سفري</v>
      </c>
      <c r="G1895" s="90" t="s">
        <v>2194</v>
      </c>
      <c r="H1895" s="188">
        <v>4323</v>
      </c>
      <c r="I1895" s="110" t="str">
        <f>VLOOKUP(H1895, 'RM &amp; SF'!B:H, 2, 0)</f>
        <v>قصدير رول 45 سم*2كغ*****</v>
      </c>
      <c r="J1895" s="184" t="str">
        <f>VLOOKUP(H1895, 'RM &amp; SF'!B:E, 4, 0)</f>
        <v>غم</v>
      </c>
      <c r="K1895" s="12">
        <v>0.06</v>
      </c>
      <c r="L1895" s="13">
        <f>VLOOKUP(H1895, 'RM &amp; SF'!B:H, 7, 0)</f>
        <v>1.7240000000000001E-3</v>
      </c>
      <c r="M1895" s="7">
        <f t="shared" si="96"/>
        <v>1.0344E-4</v>
      </c>
      <c r="N1895" s="4" t="s">
        <v>825</v>
      </c>
      <c r="O1895" s="4">
        <f>VLOOKUP(B1895, 'All Menu'!B:L, 6, 0)</f>
        <v>11.63793103448276</v>
      </c>
      <c r="P1895" s="6">
        <f>VLOOKUP(B1895, 'All Menu'!B:L, 9, 0)</f>
        <v>7.7324063313202105</v>
      </c>
      <c r="Q1895" s="14">
        <f>VLOOKUP(B1895, 'All Menu'!B:M, 12, 0)</f>
        <v>0.33558582634581902</v>
      </c>
      <c r="R1895" s="173">
        <f t="shared" si="97"/>
        <v>0</v>
      </c>
    </row>
    <row r="1896" spans="1:18" ht="14" hidden="1">
      <c r="A1896" s="78" t="s">
        <v>2755</v>
      </c>
      <c r="B1896" s="220" t="s">
        <v>961</v>
      </c>
      <c r="C1896" s="185"/>
      <c r="D1896" s="103" t="str">
        <f>VLOOKUP(B1896, 'All Menu'!B:M, 4, 0)</f>
        <v>ريش خاروف / 0.5 ك</v>
      </c>
      <c r="E1896" s="30" t="str">
        <f>VLOOKUP(B1896, 'All Menu'!B:M, 2, 0)</f>
        <v>قسم المشاوي</v>
      </c>
      <c r="F1896" s="103" t="str">
        <f>VLOOKUP(B1896, 'All Menu'!B:M, 3, 0)</f>
        <v>المشاوي سفري</v>
      </c>
      <c r="G1896" s="90" t="s">
        <v>3058</v>
      </c>
      <c r="H1896" s="188">
        <v>4268</v>
      </c>
      <c r="I1896" s="110" t="str">
        <f>VLOOKUP(H1896, 'RM &amp; SF'!B:H, 2, 0)</f>
        <v>بكجات مشاوي مطبوع رقم 2 1*50 حبة*****</v>
      </c>
      <c r="J1896" s="184" t="str">
        <f>VLOOKUP(H1896, 'RM &amp; SF'!B:E, 4, 0)</f>
        <v>قطعة</v>
      </c>
      <c r="K1896" s="12">
        <v>1</v>
      </c>
      <c r="L1896" s="13">
        <f>VLOOKUP(H1896, 'RM &amp; SF'!B:H, 7, 0)</f>
        <v>0.33620689655172414</v>
      </c>
      <c r="M1896" s="7">
        <f t="shared" si="96"/>
        <v>0.33620689655172414</v>
      </c>
      <c r="N1896" s="4" t="s">
        <v>825</v>
      </c>
      <c r="O1896" s="4">
        <f>VLOOKUP(B1896, 'All Menu'!B:L, 6, 0)</f>
        <v>11.63793103448276</v>
      </c>
      <c r="P1896" s="6">
        <f>VLOOKUP(B1896, 'All Menu'!B:L, 9, 0)</f>
        <v>7.7324063313202105</v>
      </c>
      <c r="Q1896" s="14">
        <f>VLOOKUP(B1896, 'All Menu'!B:M, 12, 0)</f>
        <v>0.33558582634581902</v>
      </c>
      <c r="R1896" s="173">
        <f t="shared" si="97"/>
        <v>0</v>
      </c>
    </row>
    <row r="1897" spans="1:18" ht="14" hidden="1">
      <c r="A1897" s="78" t="s">
        <v>2755</v>
      </c>
      <c r="B1897" s="220" t="s">
        <v>961</v>
      </c>
      <c r="C1897" s="185"/>
      <c r="D1897" s="103" t="str">
        <f>VLOOKUP(B1897, 'All Menu'!B:M, 4, 0)</f>
        <v>ريش خاروف / 0.5 ك</v>
      </c>
      <c r="E1897" s="30" t="str">
        <f>VLOOKUP(B1897, 'All Menu'!B:M, 2, 0)</f>
        <v>قسم المشاوي</v>
      </c>
      <c r="F1897" s="103" t="str">
        <f>VLOOKUP(B1897, 'All Menu'!B:M, 3, 0)</f>
        <v>المشاوي سفري</v>
      </c>
      <c r="G1897" s="90" t="s">
        <v>2397</v>
      </c>
      <c r="H1897" s="219" t="s">
        <v>580</v>
      </c>
      <c r="I1897" s="110" t="str">
        <f>VLOOKUP(H1897, 'RM &amp; SF'!B:H, 2, 0)</f>
        <v>طحينة مشاوي</v>
      </c>
      <c r="J1897" s="184" t="str">
        <f>VLOOKUP(H1897, 'RM &amp; SF'!B:E, 4, 0)</f>
        <v>غم</v>
      </c>
      <c r="K1897" s="12">
        <v>60</v>
      </c>
      <c r="L1897" s="13">
        <f>VLOOKUP(H1897, 'RM &amp; SF'!B:H, 7, 0)</f>
        <v>1.0841676434676436E-3</v>
      </c>
      <c r="M1897" s="7">
        <f t="shared" si="96"/>
        <v>6.5050058608058611E-2</v>
      </c>
      <c r="N1897" s="4" t="s">
        <v>825</v>
      </c>
      <c r="O1897" s="4">
        <f>VLOOKUP(B1897, 'All Menu'!B:L, 6, 0)</f>
        <v>11.63793103448276</v>
      </c>
      <c r="P1897" s="6">
        <f>VLOOKUP(B1897, 'All Menu'!B:L, 9, 0)</f>
        <v>7.7324063313202105</v>
      </c>
      <c r="Q1897" s="14">
        <f>VLOOKUP(B1897, 'All Menu'!B:M, 12, 0)</f>
        <v>0.33558582634581902</v>
      </c>
      <c r="R1897" s="173">
        <f t="shared" si="97"/>
        <v>0</v>
      </c>
    </row>
    <row r="1898" spans="1:18" ht="14" hidden="1">
      <c r="A1898" s="78" t="s">
        <v>2762</v>
      </c>
      <c r="B1898" s="220" t="s">
        <v>962</v>
      </c>
      <c r="C1898" s="185"/>
      <c r="D1898" s="103" t="str">
        <f>VLOOKUP(B1898, 'All Menu'!B:M, 4, 0)</f>
        <v>كبدة خروف مشوية /0.5 ك</v>
      </c>
      <c r="E1898" s="30" t="str">
        <f>VLOOKUP(B1898, 'All Menu'!B:M, 2, 0)</f>
        <v>قسم المشاوي</v>
      </c>
      <c r="F1898" s="103" t="str">
        <f>VLOOKUP(B1898, 'All Menu'!B:M, 3, 0)</f>
        <v>المشاوي سفري</v>
      </c>
      <c r="G1898" s="90" t="s">
        <v>3058</v>
      </c>
      <c r="H1898" s="188">
        <v>1082</v>
      </c>
      <c r="I1898" s="110" t="str">
        <f>VLOOKUP(H1898, 'RM &amp; SF'!B:H, 2, 0)</f>
        <v>كبدة غنم</v>
      </c>
      <c r="J1898" s="184" t="str">
        <f>VLOOKUP(H1898, 'RM &amp; SF'!B:E, 4, 0)</f>
        <v>غم</v>
      </c>
      <c r="K1898" s="12">
        <v>500</v>
      </c>
      <c r="L1898" s="13">
        <f>VLOOKUP(H1898, 'RM &amp; SF'!B:H, 7, 0)</f>
        <v>7.0000000000000001E-3</v>
      </c>
      <c r="M1898" s="7">
        <f t="shared" si="96"/>
        <v>3.5</v>
      </c>
      <c r="N1898" s="4" t="s">
        <v>825</v>
      </c>
      <c r="O1898" s="4">
        <f>VLOOKUP(B1898, 'All Menu'!B:L, 6, 0)</f>
        <v>7.7586206896551726</v>
      </c>
      <c r="P1898" s="6">
        <f>VLOOKUP(B1898, 'All Menu'!B:L, 9, 0)</f>
        <v>4.3013817614277379</v>
      </c>
      <c r="Q1898" s="14">
        <f>VLOOKUP(B1898, 'All Menu'!B:M, 12, 0)</f>
        <v>0.44559968408264711</v>
      </c>
      <c r="R1898" s="173">
        <f t="shared" si="97"/>
        <v>0</v>
      </c>
    </row>
    <row r="1899" spans="1:18" ht="14" hidden="1">
      <c r="A1899" s="78" t="s">
        <v>2762</v>
      </c>
      <c r="B1899" s="220" t="s">
        <v>962</v>
      </c>
      <c r="C1899" s="185"/>
      <c r="D1899" s="103" t="str">
        <f>VLOOKUP(B1899, 'All Menu'!B:M, 4, 0)</f>
        <v>كبدة خروف مشوية /0.5 ك</v>
      </c>
      <c r="E1899" s="30" t="str">
        <f>VLOOKUP(B1899, 'All Menu'!B:M, 2, 0)</f>
        <v>قسم المشاوي</v>
      </c>
      <c r="F1899" s="103" t="str">
        <f>VLOOKUP(B1899, 'All Menu'!B:M, 3, 0)</f>
        <v>المشاوي سفري</v>
      </c>
      <c r="G1899" s="90" t="s">
        <v>2203</v>
      </c>
      <c r="H1899" s="188">
        <v>4152</v>
      </c>
      <c r="I1899" s="110" t="str">
        <f>VLOOKUP(H1899, 'RM &amp; SF'!B:H, 2, 0)</f>
        <v>ملح طعام 750غم*****</v>
      </c>
      <c r="J1899" s="184" t="str">
        <f>VLOOKUP(H1899, 'RM &amp; SF'!B:E, 4, 0)</f>
        <v>غم</v>
      </c>
      <c r="K1899" s="12">
        <v>5</v>
      </c>
      <c r="L1899" s="13">
        <f>VLOOKUP(H1899, 'RM &amp; SF'!B:H, 7, 0)</f>
        <v>1.7066666666666665E-4</v>
      </c>
      <c r="M1899" s="7">
        <f t="shared" si="96"/>
        <v>8.5333333333333322E-4</v>
      </c>
      <c r="N1899" s="4" t="s">
        <v>825</v>
      </c>
      <c r="O1899" s="4">
        <f>VLOOKUP(B1899, 'All Menu'!B:L, 6, 0)</f>
        <v>7.7586206896551726</v>
      </c>
      <c r="P1899" s="6">
        <f>VLOOKUP(B1899, 'All Menu'!B:L, 9, 0)</f>
        <v>4.3013817614277379</v>
      </c>
      <c r="Q1899" s="14">
        <f>VLOOKUP(B1899, 'All Menu'!B:M, 12, 0)</f>
        <v>0.44559968408264711</v>
      </c>
      <c r="R1899" s="173">
        <f t="shared" si="97"/>
        <v>0</v>
      </c>
    </row>
    <row r="1900" spans="1:18" ht="14" hidden="1">
      <c r="A1900" s="78" t="s">
        <v>2762</v>
      </c>
      <c r="B1900" s="220" t="s">
        <v>962</v>
      </c>
      <c r="C1900" s="185"/>
      <c r="D1900" s="103" t="str">
        <f>VLOOKUP(B1900, 'All Menu'!B:M, 4, 0)</f>
        <v>كبدة خروف مشوية /0.5 ك</v>
      </c>
      <c r="E1900" s="30" t="str">
        <f>VLOOKUP(B1900, 'All Menu'!B:M, 2, 0)</f>
        <v>قسم المشاوي</v>
      </c>
      <c r="F1900" s="103" t="str">
        <f>VLOOKUP(B1900, 'All Menu'!B:M, 3, 0)</f>
        <v>المشاوي سفري</v>
      </c>
      <c r="G1900" s="90" t="s">
        <v>2206</v>
      </c>
      <c r="H1900" s="188">
        <v>4204</v>
      </c>
      <c r="I1900" s="110" t="str">
        <f>VLOOKUP(H1900, 'RM &amp; SF'!B:H, 2, 0)</f>
        <v>فلفل اسود ناعم*****</v>
      </c>
      <c r="J1900" s="184" t="str">
        <f>VLOOKUP(H1900, 'RM &amp; SF'!B:E, 4, 0)</f>
        <v>غم</v>
      </c>
      <c r="K1900" s="12">
        <v>5</v>
      </c>
      <c r="L1900" s="13">
        <f>VLOOKUP(H1900, 'RM &amp; SF'!B:H, 7, 0)</f>
        <v>6.8970000000000004E-3</v>
      </c>
      <c r="M1900" s="7">
        <f t="shared" si="96"/>
        <v>3.4485000000000002E-2</v>
      </c>
      <c r="N1900" s="4" t="s">
        <v>825</v>
      </c>
      <c r="O1900" s="4">
        <f>VLOOKUP(B1900, 'All Menu'!B:L, 6, 0)</f>
        <v>7.7586206896551726</v>
      </c>
      <c r="P1900" s="6">
        <f>VLOOKUP(B1900, 'All Menu'!B:L, 9, 0)</f>
        <v>4.3013817614277379</v>
      </c>
      <c r="Q1900" s="14">
        <f>VLOOKUP(B1900, 'All Menu'!B:M, 12, 0)</f>
        <v>0.44559968408264711</v>
      </c>
      <c r="R1900" s="173">
        <f t="shared" si="97"/>
        <v>0</v>
      </c>
    </row>
    <row r="1901" spans="1:18" ht="14" hidden="1">
      <c r="A1901" s="78" t="s">
        <v>2762</v>
      </c>
      <c r="B1901" s="220" t="s">
        <v>962</v>
      </c>
      <c r="C1901" s="185"/>
      <c r="D1901" s="103" t="str">
        <f>VLOOKUP(B1901, 'All Menu'!B:M, 4, 0)</f>
        <v>كبدة خروف مشوية /0.5 ك</v>
      </c>
      <c r="E1901" s="30" t="str">
        <f>VLOOKUP(B1901, 'All Menu'!B:M, 2, 0)</f>
        <v>قسم المشاوي</v>
      </c>
      <c r="F1901" s="103" t="str">
        <f>VLOOKUP(B1901, 'All Menu'!B:M, 3, 0)</f>
        <v>المشاوي سفري</v>
      </c>
      <c r="G1901" s="90" t="s">
        <v>2235</v>
      </c>
      <c r="H1901" s="188">
        <v>4504</v>
      </c>
      <c r="I1901" s="110" t="str">
        <f>VLOOKUP(H1901, 'RM &amp; SF'!B:H, 2, 0)</f>
        <v>بصل مشاوي (بصل بيبي)***</v>
      </c>
      <c r="J1901" s="184" t="str">
        <f>VLOOKUP(H1901, 'RM &amp; SF'!B:E, 4, 0)</f>
        <v>غم</v>
      </c>
      <c r="K1901" s="12">
        <v>75</v>
      </c>
      <c r="L1901" s="13">
        <f>VLOOKUP(H1901, 'RM &amp; SF'!B:H, 7, 0)</f>
        <v>3.5E-4</v>
      </c>
      <c r="M1901" s="7">
        <f t="shared" si="96"/>
        <v>2.6249999999999999E-2</v>
      </c>
      <c r="N1901" s="4" t="s">
        <v>825</v>
      </c>
      <c r="O1901" s="4">
        <f>VLOOKUP(B1901, 'All Menu'!B:L, 6, 0)</f>
        <v>7.7586206896551726</v>
      </c>
      <c r="P1901" s="6">
        <f>VLOOKUP(B1901, 'All Menu'!B:L, 9, 0)</f>
        <v>4.3013817614277379</v>
      </c>
      <c r="Q1901" s="14">
        <f>VLOOKUP(B1901, 'All Menu'!B:M, 12, 0)</f>
        <v>0.44559968408264711</v>
      </c>
      <c r="R1901" s="173">
        <f t="shared" si="97"/>
        <v>0</v>
      </c>
    </row>
    <row r="1902" spans="1:18" ht="14" hidden="1">
      <c r="A1902" s="78" t="s">
        <v>2762</v>
      </c>
      <c r="B1902" s="220" t="s">
        <v>962</v>
      </c>
      <c r="C1902" s="185"/>
      <c r="D1902" s="103" t="str">
        <f>VLOOKUP(B1902, 'All Menu'!B:M, 4, 0)</f>
        <v>كبدة خروف مشوية /0.5 ك</v>
      </c>
      <c r="E1902" s="30" t="str">
        <f>VLOOKUP(B1902, 'All Menu'!B:M, 2, 0)</f>
        <v>قسم المشاوي</v>
      </c>
      <c r="F1902" s="103" t="str">
        <f>VLOOKUP(B1902, 'All Menu'!B:M, 3, 0)</f>
        <v>المشاوي سفري</v>
      </c>
      <c r="G1902" s="90" t="s">
        <v>2257</v>
      </c>
      <c r="H1902" s="188">
        <v>5281</v>
      </c>
      <c r="I1902" s="110" t="str">
        <f>VLOOKUP(H1902, 'RM &amp; SF'!B:H, 2, 0)</f>
        <v>بندوره مشاوي</v>
      </c>
      <c r="J1902" s="184" t="str">
        <f>VLOOKUP(H1902, 'RM &amp; SF'!B:E, 4, 0)</f>
        <v>غم</v>
      </c>
      <c r="K1902" s="12">
        <v>75</v>
      </c>
      <c r="L1902" s="13">
        <f>VLOOKUP(H1902, 'RM &amp; SF'!B:H, 7, 0)</f>
        <v>4.0000000000000002E-4</v>
      </c>
      <c r="M1902" s="7">
        <f t="shared" si="96"/>
        <v>3.0000000000000002E-2</v>
      </c>
      <c r="N1902" s="4" t="s">
        <v>825</v>
      </c>
      <c r="O1902" s="4">
        <f>VLOOKUP(B1902, 'All Menu'!B:L, 6, 0)</f>
        <v>7.7586206896551726</v>
      </c>
      <c r="P1902" s="6">
        <f>VLOOKUP(B1902, 'All Menu'!B:L, 9, 0)</f>
        <v>4.3013817614277379</v>
      </c>
      <c r="Q1902" s="14">
        <f>VLOOKUP(B1902, 'All Menu'!B:M, 12, 0)</f>
        <v>0.44559968408264711</v>
      </c>
      <c r="R1902" s="173">
        <f t="shared" si="97"/>
        <v>0</v>
      </c>
    </row>
    <row r="1903" spans="1:18" ht="14" hidden="1">
      <c r="A1903" s="78" t="s">
        <v>2762</v>
      </c>
      <c r="B1903" s="220" t="s">
        <v>962</v>
      </c>
      <c r="C1903" s="185"/>
      <c r="D1903" s="103" t="str">
        <f>VLOOKUP(B1903, 'All Menu'!B:M, 4, 0)</f>
        <v>كبدة خروف مشوية /0.5 ك</v>
      </c>
      <c r="E1903" s="30" t="str">
        <f>VLOOKUP(B1903, 'All Menu'!B:M, 2, 0)</f>
        <v>قسم المشاوي</v>
      </c>
      <c r="F1903" s="103" t="str">
        <f>VLOOKUP(B1903, 'All Menu'!B:M, 3, 0)</f>
        <v>المشاوي سفري</v>
      </c>
      <c r="G1903" s="90" t="s">
        <v>2396</v>
      </c>
      <c r="H1903" s="219" t="s">
        <v>582</v>
      </c>
      <c r="I1903" s="110" t="str">
        <f>VLOOKUP(H1903, 'RM &amp; SF'!B:H, 2, 0)</f>
        <v>بيواز</v>
      </c>
      <c r="J1903" s="184" t="str">
        <f>VLOOKUP(H1903, 'RM &amp; SF'!B:E, 4, 0)</f>
        <v>غم</v>
      </c>
      <c r="K1903" s="12">
        <v>50</v>
      </c>
      <c r="L1903" s="13">
        <f>VLOOKUP(H1903, 'RM &amp; SF'!B:H, 7, 0)</f>
        <v>2.0666065869244635E-4</v>
      </c>
      <c r="M1903" s="7">
        <f t="shared" si="96"/>
        <v>1.0333032934622318E-2</v>
      </c>
      <c r="N1903" s="4" t="s">
        <v>825</v>
      </c>
      <c r="O1903" s="4">
        <f>VLOOKUP(B1903, 'All Menu'!B:L, 6, 0)</f>
        <v>7.7586206896551726</v>
      </c>
      <c r="P1903" s="6">
        <f>VLOOKUP(B1903, 'All Menu'!B:L, 9, 0)</f>
        <v>4.3013817614277379</v>
      </c>
      <c r="Q1903" s="14">
        <f>VLOOKUP(B1903, 'All Menu'!B:M, 12, 0)</f>
        <v>0.44559968408264711</v>
      </c>
      <c r="R1903" s="173">
        <f t="shared" si="97"/>
        <v>0</v>
      </c>
    </row>
    <row r="1904" spans="1:18" ht="14" hidden="1">
      <c r="A1904" s="78" t="s">
        <v>2762</v>
      </c>
      <c r="B1904" s="220" t="s">
        <v>962</v>
      </c>
      <c r="C1904" s="185"/>
      <c r="D1904" s="103" t="str">
        <f>VLOOKUP(B1904, 'All Menu'!B:M, 4, 0)</f>
        <v>كبدة خروف مشوية /0.5 ك</v>
      </c>
      <c r="E1904" s="30" t="str">
        <f>VLOOKUP(B1904, 'All Menu'!B:M, 2, 0)</f>
        <v>قسم المشاوي</v>
      </c>
      <c r="F1904" s="103" t="str">
        <f>VLOOKUP(B1904, 'All Menu'!B:M, 3, 0)</f>
        <v>المشاوي سفري</v>
      </c>
      <c r="G1904" s="90" t="s">
        <v>2225</v>
      </c>
      <c r="H1904" s="188">
        <v>4991</v>
      </c>
      <c r="I1904" s="110" t="str">
        <f>VLOOKUP(H1904, 'RM &amp; SF'!B:H, 2, 0)</f>
        <v>خبز عربي (خبز لبناني) صغير*****</v>
      </c>
      <c r="J1904" s="184" t="str">
        <f>VLOOKUP(H1904, 'RM &amp; SF'!B:E, 4, 0)</f>
        <v>غم</v>
      </c>
      <c r="K1904" s="12">
        <v>200</v>
      </c>
      <c r="L1904" s="13">
        <f>VLOOKUP(H1904, 'RM &amp; SF'!B:H, 7, 0)</f>
        <v>3.2000000000000003E-4</v>
      </c>
      <c r="M1904" s="7">
        <f t="shared" si="96"/>
        <v>6.4000000000000001E-2</v>
      </c>
      <c r="N1904" s="4" t="s">
        <v>825</v>
      </c>
      <c r="O1904" s="4">
        <f>VLOOKUP(B1904, 'All Menu'!B:L, 6, 0)</f>
        <v>7.7586206896551726</v>
      </c>
      <c r="P1904" s="6">
        <f>VLOOKUP(B1904, 'All Menu'!B:L, 9, 0)</f>
        <v>4.3013817614277379</v>
      </c>
      <c r="Q1904" s="14">
        <f>VLOOKUP(B1904, 'All Menu'!B:M, 12, 0)</f>
        <v>0.44559968408264711</v>
      </c>
      <c r="R1904" s="173">
        <f t="shared" si="97"/>
        <v>0</v>
      </c>
    </row>
    <row r="1905" spans="1:18" ht="14" hidden="1">
      <c r="A1905" s="78" t="s">
        <v>2762</v>
      </c>
      <c r="B1905" s="220" t="s">
        <v>962</v>
      </c>
      <c r="C1905" s="185"/>
      <c r="D1905" s="103" t="str">
        <f>VLOOKUP(B1905, 'All Menu'!B:M, 4, 0)</f>
        <v>كبدة خروف مشوية /0.5 ك</v>
      </c>
      <c r="E1905" s="30" t="str">
        <f>VLOOKUP(B1905, 'All Menu'!B:M, 2, 0)</f>
        <v>قسم المشاوي</v>
      </c>
      <c r="F1905" s="103" t="str">
        <f>VLOOKUP(B1905, 'All Menu'!B:M, 3, 0)</f>
        <v>المشاوي سفري</v>
      </c>
      <c r="G1905" s="90" t="s">
        <v>2231</v>
      </c>
      <c r="H1905" s="188">
        <v>4499</v>
      </c>
      <c r="I1905" s="110" t="str">
        <f>VLOOKUP(H1905, 'RM &amp; SF'!B:H, 2, 0)</f>
        <v>فلفل حار اخضر*****</v>
      </c>
      <c r="J1905" s="184" t="str">
        <f>VLOOKUP(H1905, 'RM &amp; SF'!B:E, 4, 0)</f>
        <v>غم</v>
      </c>
      <c r="K1905" s="12">
        <v>20</v>
      </c>
      <c r="L1905" s="13">
        <f>VLOOKUP(H1905, 'RM &amp; SF'!B:H, 7, 0)</f>
        <v>5.0000000000000001E-4</v>
      </c>
      <c r="M1905" s="7">
        <f t="shared" si="96"/>
        <v>0.01</v>
      </c>
      <c r="N1905" s="4" t="s">
        <v>825</v>
      </c>
      <c r="O1905" s="4">
        <f>VLOOKUP(B1905, 'All Menu'!B:L, 6, 0)</f>
        <v>7.7586206896551726</v>
      </c>
      <c r="P1905" s="6">
        <f>VLOOKUP(B1905, 'All Menu'!B:L, 9, 0)</f>
        <v>4.3013817614277379</v>
      </c>
      <c r="Q1905" s="14">
        <f>VLOOKUP(B1905, 'All Menu'!B:M, 12, 0)</f>
        <v>0.44559968408264711</v>
      </c>
      <c r="R1905" s="173">
        <f t="shared" si="97"/>
        <v>0</v>
      </c>
    </row>
    <row r="1906" spans="1:18" ht="14" hidden="1">
      <c r="A1906" s="78" t="s">
        <v>2762</v>
      </c>
      <c r="B1906" s="220" t="s">
        <v>962</v>
      </c>
      <c r="C1906" s="185"/>
      <c r="D1906" s="103" t="str">
        <f>VLOOKUP(B1906, 'All Menu'!B:M, 4, 0)</f>
        <v>كبدة خروف مشوية /0.5 ك</v>
      </c>
      <c r="E1906" s="30" t="str">
        <f>VLOOKUP(B1906, 'All Menu'!B:M, 2, 0)</f>
        <v>قسم المشاوي</v>
      </c>
      <c r="F1906" s="103" t="str">
        <f>VLOOKUP(B1906, 'All Menu'!B:M, 3, 0)</f>
        <v>المشاوي سفري</v>
      </c>
      <c r="G1906" s="90" t="s">
        <v>2197</v>
      </c>
      <c r="H1906" s="188">
        <v>4347</v>
      </c>
      <c r="I1906" s="110" t="str">
        <f>VLOOKUP(H1906, 'RM &amp; SF'!B:H, 2, 0)</f>
        <v>صحن كرتون بيضوي مذهب 35 سم (رقم 2)*****</v>
      </c>
      <c r="J1906" s="184" t="str">
        <f>VLOOKUP(H1906, 'RM &amp; SF'!B:E, 4, 0)</f>
        <v>قطعة</v>
      </c>
      <c r="K1906" s="12">
        <v>1</v>
      </c>
      <c r="L1906" s="13">
        <f>VLOOKUP(H1906, 'RM &amp; SF'!B:H, 7, 0)</f>
        <v>0.22409999999999999</v>
      </c>
      <c r="M1906" s="7">
        <f t="shared" si="96"/>
        <v>0.22409999999999999</v>
      </c>
      <c r="N1906" s="4" t="s">
        <v>825</v>
      </c>
      <c r="O1906" s="4">
        <f>VLOOKUP(B1906, 'All Menu'!B:L, 6, 0)</f>
        <v>7.7586206896551726</v>
      </c>
      <c r="P1906" s="6">
        <f>VLOOKUP(B1906, 'All Menu'!B:L, 9, 0)</f>
        <v>4.3013817614277379</v>
      </c>
      <c r="Q1906" s="14">
        <f>VLOOKUP(B1906, 'All Menu'!B:M, 12, 0)</f>
        <v>0.44559968408264711</v>
      </c>
      <c r="R1906" s="173">
        <f t="shared" si="97"/>
        <v>0</v>
      </c>
    </row>
    <row r="1907" spans="1:18" ht="14" hidden="1">
      <c r="A1907" s="78" t="s">
        <v>2762</v>
      </c>
      <c r="B1907" s="220" t="s">
        <v>962</v>
      </c>
      <c r="C1907" s="185"/>
      <c r="D1907" s="103" t="str">
        <f>VLOOKUP(B1907, 'All Menu'!B:M, 4, 0)</f>
        <v>كبدة خروف مشوية /0.5 ك</v>
      </c>
      <c r="E1907" s="30" t="str">
        <f>VLOOKUP(B1907, 'All Menu'!B:M, 2, 0)</f>
        <v>قسم المشاوي</v>
      </c>
      <c r="F1907" s="103" t="str">
        <f>VLOOKUP(B1907, 'All Menu'!B:M, 3, 0)</f>
        <v>المشاوي سفري</v>
      </c>
      <c r="G1907" s="90" t="s">
        <v>2194</v>
      </c>
      <c r="H1907" s="188">
        <v>4323</v>
      </c>
      <c r="I1907" s="110" t="str">
        <f>VLOOKUP(H1907, 'RM &amp; SF'!B:H, 2, 0)</f>
        <v>قصدير رول 45 سم*2كغ*****</v>
      </c>
      <c r="J1907" s="184" t="str">
        <f>VLOOKUP(H1907, 'RM &amp; SF'!B:E, 4, 0)</f>
        <v>غم</v>
      </c>
      <c r="K1907" s="12">
        <v>0.06</v>
      </c>
      <c r="L1907" s="13">
        <f>VLOOKUP(H1907, 'RM &amp; SF'!B:H, 7, 0)</f>
        <v>1.7240000000000001E-3</v>
      </c>
      <c r="M1907" s="7">
        <f t="shared" si="96"/>
        <v>1.0344E-4</v>
      </c>
      <c r="N1907" s="4" t="s">
        <v>825</v>
      </c>
      <c r="O1907" s="4">
        <f>VLOOKUP(B1907, 'All Menu'!B:L, 6, 0)</f>
        <v>7.7586206896551726</v>
      </c>
      <c r="P1907" s="6">
        <f>VLOOKUP(B1907, 'All Menu'!B:L, 9, 0)</f>
        <v>4.3013817614277379</v>
      </c>
      <c r="Q1907" s="14">
        <f>VLOOKUP(B1907, 'All Menu'!B:M, 12, 0)</f>
        <v>0.44559968408264711</v>
      </c>
      <c r="R1907" s="173">
        <f t="shared" si="97"/>
        <v>0</v>
      </c>
    </row>
    <row r="1908" spans="1:18" ht="14" hidden="1">
      <c r="A1908" s="78" t="s">
        <v>2762</v>
      </c>
      <c r="B1908" s="220" t="s">
        <v>962</v>
      </c>
      <c r="C1908" s="185"/>
      <c r="D1908" s="103" t="str">
        <f>VLOOKUP(B1908, 'All Menu'!B:M, 4, 0)</f>
        <v>كبدة خروف مشوية /0.5 ك</v>
      </c>
      <c r="E1908" s="30" t="str">
        <f>VLOOKUP(B1908, 'All Menu'!B:M, 2, 0)</f>
        <v>قسم المشاوي</v>
      </c>
      <c r="F1908" s="103" t="str">
        <f>VLOOKUP(B1908, 'All Menu'!B:M, 3, 0)</f>
        <v>المشاوي سفري</v>
      </c>
      <c r="G1908" s="90" t="s">
        <v>3058</v>
      </c>
      <c r="H1908" s="188">
        <v>4268</v>
      </c>
      <c r="I1908" s="110" t="str">
        <f>VLOOKUP(H1908, 'RM &amp; SF'!B:H, 2, 0)</f>
        <v>بكجات مشاوي مطبوع رقم 2 1*50 حبة*****</v>
      </c>
      <c r="J1908" s="184" t="str">
        <f>VLOOKUP(H1908, 'RM &amp; SF'!B:E, 4, 0)</f>
        <v>قطعة</v>
      </c>
      <c r="K1908" s="12">
        <v>1</v>
      </c>
      <c r="L1908" s="13">
        <f>VLOOKUP(H1908, 'RM &amp; SF'!B:H, 7, 0)</f>
        <v>0.33620689655172414</v>
      </c>
      <c r="M1908" s="7">
        <f t="shared" si="96"/>
        <v>0.33620689655172414</v>
      </c>
      <c r="N1908" s="4" t="s">
        <v>825</v>
      </c>
      <c r="O1908" s="4">
        <f>VLOOKUP(B1908, 'All Menu'!B:L, 6, 0)</f>
        <v>7.7586206896551726</v>
      </c>
      <c r="P1908" s="6">
        <f>VLOOKUP(B1908, 'All Menu'!B:L, 9, 0)</f>
        <v>4.3013817614277379</v>
      </c>
      <c r="Q1908" s="14">
        <f>VLOOKUP(B1908, 'All Menu'!B:M, 12, 0)</f>
        <v>0.44559968408264711</v>
      </c>
      <c r="R1908" s="173">
        <f t="shared" si="97"/>
        <v>0</v>
      </c>
    </row>
    <row r="1909" spans="1:18" ht="14" hidden="1">
      <c r="A1909" s="78" t="s">
        <v>2762</v>
      </c>
      <c r="B1909" s="220" t="s">
        <v>962</v>
      </c>
      <c r="C1909" s="185"/>
      <c r="D1909" s="103" t="str">
        <f>VLOOKUP(B1909, 'All Menu'!B:M, 4, 0)</f>
        <v>كبدة خروف مشوية /0.5 ك</v>
      </c>
      <c r="E1909" s="30" t="str">
        <f>VLOOKUP(B1909, 'All Menu'!B:M, 2, 0)</f>
        <v>قسم المشاوي</v>
      </c>
      <c r="F1909" s="103" t="str">
        <f>VLOOKUP(B1909, 'All Menu'!B:M, 3, 0)</f>
        <v>المشاوي سفري</v>
      </c>
      <c r="G1909" s="90" t="s">
        <v>2397</v>
      </c>
      <c r="H1909" s="219" t="s">
        <v>580</v>
      </c>
      <c r="I1909" s="110" t="str">
        <f>VLOOKUP(H1909, 'RM &amp; SF'!B:H, 2, 0)</f>
        <v>طحينة مشاوي</v>
      </c>
      <c r="J1909" s="184" t="str">
        <f>VLOOKUP(H1909, 'RM &amp; SF'!B:E, 4, 0)</f>
        <v>غم</v>
      </c>
      <c r="K1909" s="12">
        <v>60</v>
      </c>
      <c r="L1909" s="13">
        <f>VLOOKUP(H1909, 'RM &amp; SF'!B:H, 7, 0)</f>
        <v>1.0841676434676436E-3</v>
      </c>
      <c r="M1909" s="7">
        <f t="shared" si="96"/>
        <v>6.5050058608058611E-2</v>
      </c>
      <c r="N1909" s="4" t="s">
        <v>825</v>
      </c>
      <c r="O1909" s="4">
        <f>VLOOKUP(B1909, 'All Menu'!B:L, 6, 0)</f>
        <v>7.7586206896551726</v>
      </c>
      <c r="P1909" s="6">
        <f>VLOOKUP(B1909, 'All Menu'!B:L, 9, 0)</f>
        <v>4.3013817614277379</v>
      </c>
      <c r="Q1909" s="14">
        <f>VLOOKUP(B1909, 'All Menu'!B:M, 12, 0)</f>
        <v>0.44559968408264711</v>
      </c>
      <c r="R1909" s="173">
        <f t="shared" si="97"/>
        <v>0</v>
      </c>
    </row>
    <row r="1910" spans="1:18" ht="14" hidden="1">
      <c r="A1910" s="78" t="s">
        <v>2759</v>
      </c>
      <c r="B1910" s="220" t="s">
        <v>963</v>
      </c>
      <c r="C1910" s="185"/>
      <c r="D1910" s="103" t="str">
        <f>VLOOKUP(B1910, 'All Menu'!B:M, 4, 0)</f>
        <v>دجاج تركي / نصف دجاجة</v>
      </c>
      <c r="E1910" s="30" t="str">
        <f>VLOOKUP(B1910, 'All Menu'!B:M, 2, 0)</f>
        <v>قسم المشاوي</v>
      </c>
      <c r="F1910" s="103" t="str">
        <f>VLOOKUP(B1910, 'All Menu'!B:M, 3, 0)</f>
        <v>المشاوي سفري</v>
      </c>
      <c r="G1910" s="90" t="s">
        <v>2384</v>
      </c>
      <c r="H1910" s="219" t="s">
        <v>538</v>
      </c>
      <c r="I1910" s="110" t="str">
        <f>VLOOKUP(H1910, 'RM &amp; SF'!B:H, 2, 0)</f>
        <v>دجاج تركي</v>
      </c>
      <c r="J1910" s="184" t="str">
        <f>VLOOKUP(H1910, 'RM &amp; SF'!B:E, 4, 0)</f>
        <v>قطعة</v>
      </c>
      <c r="K1910" s="12">
        <v>0.5</v>
      </c>
      <c r="L1910" s="13">
        <f>VLOOKUP(H1910, 'RM &amp; SF'!B:H, 7, 0)</f>
        <v>3.5399982955314506</v>
      </c>
      <c r="M1910" s="7">
        <f t="shared" si="96"/>
        <v>1.7699991477657253</v>
      </c>
      <c r="N1910" s="4" t="s">
        <v>825</v>
      </c>
      <c r="O1910" s="4">
        <f>VLOOKUP(B1910, 'All Menu'!B:L, 6, 0)</f>
        <v>3.4482758620689657</v>
      </c>
      <c r="P1910" s="6">
        <f>VLOOKUP(B1910, 'All Menu'!B:L, 9, 0)</f>
        <v>2.7230676011278017</v>
      </c>
      <c r="Q1910" s="14">
        <f>VLOOKUP(B1910, 'All Menu'!B:M, 12, 0)</f>
        <v>0.21031039567293758</v>
      </c>
      <c r="R1910" s="173">
        <f t="shared" si="97"/>
        <v>0</v>
      </c>
    </row>
    <row r="1911" spans="1:18" ht="14" hidden="1">
      <c r="A1911" s="78" t="s">
        <v>2759</v>
      </c>
      <c r="B1911" s="220" t="s">
        <v>963</v>
      </c>
      <c r="C1911" s="185"/>
      <c r="D1911" s="103" t="str">
        <f>VLOOKUP(B1911, 'All Menu'!B:M, 4, 0)</f>
        <v>دجاج تركي / نصف دجاجة</v>
      </c>
      <c r="E1911" s="30" t="str">
        <f>VLOOKUP(B1911, 'All Menu'!B:M, 2, 0)</f>
        <v>قسم المشاوي</v>
      </c>
      <c r="F1911" s="103" t="str">
        <f>VLOOKUP(B1911, 'All Menu'!B:M, 3, 0)</f>
        <v>المشاوي سفري</v>
      </c>
      <c r="G1911" s="90" t="s">
        <v>2235</v>
      </c>
      <c r="H1911" s="188">
        <v>4504</v>
      </c>
      <c r="I1911" s="110" t="str">
        <f>VLOOKUP(H1911, 'RM &amp; SF'!B:H, 2, 0)</f>
        <v>بصل مشاوي (بصل بيبي)***</v>
      </c>
      <c r="J1911" s="184" t="str">
        <f>VLOOKUP(H1911, 'RM &amp; SF'!B:E, 4, 0)</f>
        <v>غم</v>
      </c>
      <c r="K1911" s="12">
        <v>50</v>
      </c>
      <c r="L1911" s="13">
        <f>VLOOKUP(H1911, 'RM &amp; SF'!B:H, 7, 0)</f>
        <v>3.5E-4</v>
      </c>
      <c r="M1911" s="7">
        <f t="shared" si="96"/>
        <v>1.7499999999999998E-2</v>
      </c>
      <c r="N1911" s="4" t="s">
        <v>825</v>
      </c>
      <c r="O1911" s="4">
        <f>VLOOKUP(B1911, 'All Menu'!B:L, 6, 0)</f>
        <v>3.4482758620689657</v>
      </c>
      <c r="P1911" s="6">
        <f>VLOOKUP(B1911, 'All Menu'!B:L, 9, 0)</f>
        <v>2.7230676011278017</v>
      </c>
      <c r="Q1911" s="14">
        <f>VLOOKUP(B1911, 'All Menu'!B:M, 12, 0)</f>
        <v>0.21031039567293758</v>
      </c>
      <c r="R1911" s="173">
        <f t="shared" si="97"/>
        <v>0</v>
      </c>
    </row>
    <row r="1912" spans="1:18" ht="14" hidden="1">
      <c r="A1912" s="78" t="s">
        <v>2759</v>
      </c>
      <c r="B1912" s="220" t="s">
        <v>963</v>
      </c>
      <c r="C1912" s="185"/>
      <c r="D1912" s="103" t="str">
        <f>VLOOKUP(B1912, 'All Menu'!B:M, 4, 0)</f>
        <v>دجاج تركي / نصف دجاجة</v>
      </c>
      <c r="E1912" s="30" t="str">
        <f>VLOOKUP(B1912, 'All Menu'!B:M, 2, 0)</f>
        <v>قسم المشاوي</v>
      </c>
      <c r="F1912" s="103" t="str">
        <f>VLOOKUP(B1912, 'All Menu'!B:M, 3, 0)</f>
        <v>المشاوي سفري</v>
      </c>
      <c r="G1912" s="90" t="s">
        <v>2309</v>
      </c>
      <c r="H1912" s="188">
        <v>4491</v>
      </c>
      <c r="I1912" s="110" t="str">
        <f>VLOOKUP(H1912, 'RM &amp; SF'!B:H, 2, 0)</f>
        <v>بندورة جامدة*****</v>
      </c>
      <c r="J1912" s="184" t="str">
        <f>VLOOKUP(H1912, 'RM &amp; SF'!B:E, 4, 0)</f>
        <v>غم</v>
      </c>
      <c r="K1912" s="12">
        <v>50</v>
      </c>
      <c r="L1912" s="13">
        <f>VLOOKUP(H1912, 'RM &amp; SF'!B:H, 7, 0)</f>
        <v>5.0000000000000001E-4</v>
      </c>
      <c r="M1912" s="7">
        <f t="shared" si="96"/>
        <v>2.5000000000000001E-2</v>
      </c>
      <c r="N1912" s="4" t="s">
        <v>825</v>
      </c>
      <c r="O1912" s="4">
        <f>VLOOKUP(B1912, 'All Menu'!B:L, 6, 0)</f>
        <v>3.4482758620689657</v>
      </c>
      <c r="P1912" s="6">
        <f>VLOOKUP(B1912, 'All Menu'!B:L, 9, 0)</f>
        <v>2.7230676011278017</v>
      </c>
      <c r="Q1912" s="14">
        <f>VLOOKUP(B1912, 'All Menu'!B:M, 12, 0)</f>
        <v>0.21031039567293758</v>
      </c>
      <c r="R1912" s="173">
        <f t="shared" si="97"/>
        <v>0</v>
      </c>
    </row>
    <row r="1913" spans="1:18" ht="14" hidden="1">
      <c r="A1913" s="78" t="s">
        <v>2759</v>
      </c>
      <c r="B1913" s="220" t="s">
        <v>963</v>
      </c>
      <c r="C1913" s="185"/>
      <c r="D1913" s="103" t="str">
        <f>VLOOKUP(B1913, 'All Menu'!B:M, 4, 0)</f>
        <v>دجاج تركي / نصف دجاجة</v>
      </c>
      <c r="E1913" s="30" t="str">
        <f>VLOOKUP(B1913, 'All Menu'!B:M, 2, 0)</f>
        <v>قسم المشاوي</v>
      </c>
      <c r="F1913" s="103" t="str">
        <f>VLOOKUP(B1913, 'All Menu'!B:M, 3, 0)</f>
        <v>المشاوي سفري</v>
      </c>
      <c r="G1913" s="90" t="s">
        <v>2396</v>
      </c>
      <c r="H1913" s="219" t="s">
        <v>582</v>
      </c>
      <c r="I1913" s="110" t="str">
        <f>VLOOKUP(H1913, 'RM &amp; SF'!B:H, 2, 0)</f>
        <v>بيواز</v>
      </c>
      <c r="J1913" s="184" t="str">
        <f>VLOOKUP(H1913, 'RM &amp; SF'!B:E, 4, 0)</f>
        <v>غم</v>
      </c>
      <c r="K1913" s="12">
        <v>20</v>
      </c>
      <c r="L1913" s="13">
        <f>VLOOKUP(H1913, 'RM &amp; SF'!B:H, 7, 0)</f>
        <v>2.0666065869244635E-4</v>
      </c>
      <c r="M1913" s="7">
        <f t="shared" si="96"/>
        <v>4.1332131738489267E-3</v>
      </c>
      <c r="N1913" s="4" t="s">
        <v>825</v>
      </c>
      <c r="O1913" s="4">
        <f>VLOOKUP(B1913, 'All Menu'!B:L, 6, 0)</f>
        <v>3.4482758620689657</v>
      </c>
      <c r="P1913" s="6">
        <f>VLOOKUP(B1913, 'All Menu'!B:L, 9, 0)</f>
        <v>2.7230676011278017</v>
      </c>
      <c r="Q1913" s="14">
        <f>VLOOKUP(B1913, 'All Menu'!B:M, 12, 0)</f>
        <v>0.21031039567293758</v>
      </c>
      <c r="R1913" s="173">
        <f t="shared" si="97"/>
        <v>0</v>
      </c>
    </row>
    <row r="1914" spans="1:18" ht="14" hidden="1">
      <c r="A1914" s="78" t="s">
        <v>2759</v>
      </c>
      <c r="B1914" s="220" t="s">
        <v>963</v>
      </c>
      <c r="C1914" s="185"/>
      <c r="D1914" s="103" t="str">
        <f>VLOOKUP(B1914, 'All Menu'!B:M, 4, 0)</f>
        <v>دجاج تركي / نصف دجاجة</v>
      </c>
      <c r="E1914" s="30" t="str">
        <f>VLOOKUP(B1914, 'All Menu'!B:M, 2, 0)</f>
        <v>قسم المشاوي</v>
      </c>
      <c r="F1914" s="103" t="str">
        <f>VLOOKUP(B1914, 'All Menu'!B:M, 3, 0)</f>
        <v>المشاوي سفري</v>
      </c>
      <c r="G1914" s="90" t="s">
        <v>2331</v>
      </c>
      <c r="H1914" s="219" t="s">
        <v>530</v>
      </c>
      <c r="I1914" s="110" t="str">
        <f>VLOOKUP(H1914, 'RM &amp; SF'!B:H, 2, 0)</f>
        <v>خبز صاج</v>
      </c>
      <c r="J1914" s="184" t="str">
        <f>VLOOKUP(H1914, 'RM &amp; SF'!B:E, 4, 0)</f>
        <v>غم</v>
      </c>
      <c r="K1914" s="12">
        <v>200</v>
      </c>
      <c r="L1914" s="13">
        <f>VLOOKUP(H1914, 'RM &amp; SF'!B:H, 7, 0)</f>
        <v>1.8806451612903227E-4</v>
      </c>
      <c r="M1914" s="7">
        <f t="shared" si="96"/>
        <v>3.7612903225806453E-2</v>
      </c>
      <c r="N1914" s="4" t="s">
        <v>825</v>
      </c>
      <c r="O1914" s="4">
        <f>VLOOKUP(B1914, 'All Menu'!B:L, 6, 0)</f>
        <v>3.4482758620689657</v>
      </c>
      <c r="P1914" s="6">
        <f>VLOOKUP(B1914, 'All Menu'!B:L, 9, 0)</f>
        <v>2.7230676011278017</v>
      </c>
      <c r="Q1914" s="14">
        <f>VLOOKUP(B1914, 'All Menu'!B:M, 12, 0)</f>
        <v>0.21031039567293758</v>
      </c>
      <c r="R1914" s="173">
        <f t="shared" si="97"/>
        <v>0</v>
      </c>
    </row>
    <row r="1915" spans="1:18" ht="14" hidden="1">
      <c r="A1915" s="78" t="s">
        <v>2759</v>
      </c>
      <c r="B1915" s="220" t="s">
        <v>963</v>
      </c>
      <c r="C1915" s="185"/>
      <c r="D1915" s="103" t="str">
        <f>VLOOKUP(B1915, 'All Menu'!B:M, 4, 0)</f>
        <v>دجاج تركي / نصف دجاجة</v>
      </c>
      <c r="E1915" s="30" t="str">
        <f>VLOOKUP(B1915, 'All Menu'!B:M, 2, 0)</f>
        <v>قسم المشاوي</v>
      </c>
      <c r="F1915" s="103" t="str">
        <f>VLOOKUP(B1915, 'All Menu'!B:M, 3, 0)</f>
        <v>المشاوي سفري</v>
      </c>
      <c r="G1915" s="90" t="s">
        <v>2231</v>
      </c>
      <c r="H1915" s="188">
        <v>4499</v>
      </c>
      <c r="I1915" s="110" t="str">
        <f>VLOOKUP(H1915, 'RM &amp; SF'!B:H, 2, 0)</f>
        <v>فلفل حار اخضر*****</v>
      </c>
      <c r="J1915" s="184" t="str">
        <f>VLOOKUP(H1915, 'RM &amp; SF'!B:E, 4, 0)</f>
        <v>غم</v>
      </c>
      <c r="K1915" s="12">
        <v>40</v>
      </c>
      <c r="L1915" s="13">
        <f>VLOOKUP(H1915, 'RM &amp; SF'!B:H, 7, 0)</f>
        <v>5.0000000000000001E-4</v>
      </c>
      <c r="M1915" s="7">
        <f t="shared" si="96"/>
        <v>0.02</v>
      </c>
      <c r="N1915" s="4" t="s">
        <v>825</v>
      </c>
      <c r="O1915" s="4">
        <f>VLOOKUP(B1915, 'All Menu'!B:L, 6, 0)</f>
        <v>3.4482758620689657</v>
      </c>
      <c r="P1915" s="6">
        <f>VLOOKUP(B1915, 'All Menu'!B:L, 9, 0)</f>
        <v>2.7230676011278017</v>
      </c>
      <c r="Q1915" s="14">
        <f>VLOOKUP(B1915, 'All Menu'!B:M, 12, 0)</f>
        <v>0.21031039567293758</v>
      </c>
      <c r="R1915" s="173">
        <f t="shared" si="97"/>
        <v>0</v>
      </c>
    </row>
    <row r="1916" spans="1:18" ht="14" hidden="1">
      <c r="A1916" s="78" t="s">
        <v>2759</v>
      </c>
      <c r="B1916" s="220" t="s">
        <v>963</v>
      </c>
      <c r="C1916" s="185"/>
      <c r="D1916" s="103" t="str">
        <f>VLOOKUP(B1916, 'All Menu'!B:M, 4, 0)</f>
        <v>دجاج تركي / نصف دجاجة</v>
      </c>
      <c r="E1916" s="30" t="str">
        <f>VLOOKUP(B1916, 'All Menu'!B:M, 2, 0)</f>
        <v>قسم المشاوي</v>
      </c>
      <c r="F1916" s="103" t="str">
        <f>VLOOKUP(B1916, 'All Menu'!B:M, 3, 0)</f>
        <v>المشاوي سفري</v>
      </c>
      <c r="G1916" s="90" t="s">
        <v>2385</v>
      </c>
      <c r="H1916" s="219" t="s">
        <v>540</v>
      </c>
      <c r="I1916" s="110" t="str">
        <f>VLOOKUP(H1916, 'RM &amp; SF'!B:H, 2, 0)</f>
        <v xml:space="preserve">بطاطا مقلية </v>
      </c>
      <c r="J1916" s="184" t="str">
        <f>VLOOKUP(H1916, 'RM &amp; SF'!B:E, 4, 0)</f>
        <v>غم</v>
      </c>
      <c r="K1916" s="12">
        <v>150</v>
      </c>
      <c r="L1916" s="13">
        <f>VLOOKUP(H1916, 'RM &amp; SF'!B:H, 7, 0)</f>
        <v>7.9700000000000007E-4</v>
      </c>
      <c r="M1916" s="7">
        <f t="shared" si="96"/>
        <v>0.11955000000000002</v>
      </c>
      <c r="N1916" s="4" t="s">
        <v>825</v>
      </c>
      <c r="O1916" s="4">
        <f>VLOOKUP(B1916, 'All Menu'!B:L, 6, 0)</f>
        <v>3.4482758620689657</v>
      </c>
      <c r="P1916" s="6">
        <f>VLOOKUP(B1916, 'All Menu'!B:L, 9, 0)</f>
        <v>2.7230676011278017</v>
      </c>
      <c r="Q1916" s="14">
        <f>VLOOKUP(B1916, 'All Menu'!B:M, 12, 0)</f>
        <v>0.21031039567293758</v>
      </c>
      <c r="R1916" s="173">
        <f t="shared" si="97"/>
        <v>0</v>
      </c>
    </row>
    <row r="1917" spans="1:18" ht="14" hidden="1">
      <c r="A1917" s="78" t="s">
        <v>2759</v>
      </c>
      <c r="B1917" s="220" t="s">
        <v>963</v>
      </c>
      <c r="C1917" s="185"/>
      <c r="D1917" s="103" t="str">
        <f>VLOOKUP(B1917, 'All Menu'!B:M, 4, 0)</f>
        <v>دجاج تركي / نصف دجاجة</v>
      </c>
      <c r="E1917" s="30" t="str">
        <f>VLOOKUP(B1917, 'All Menu'!B:M, 2, 0)</f>
        <v>قسم المشاوي</v>
      </c>
      <c r="F1917" s="103" t="str">
        <f>VLOOKUP(B1917, 'All Menu'!B:M, 3, 0)</f>
        <v>المشاوي سفري</v>
      </c>
      <c r="G1917" s="90" t="s">
        <v>2184</v>
      </c>
      <c r="H1917" s="188">
        <v>4265</v>
      </c>
      <c r="I1917" s="110" t="str">
        <f>VLOOKUP(H1917, 'RM &amp; SF'!B:H, 2, 0)</f>
        <v>علب بطاطا كرتون مطبوع 1*25 حبة*****</v>
      </c>
      <c r="J1917" s="184" t="str">
        <f>VLOOKUP(H1917, 'RM &amp; SF'!B:E, 4, 0)</f>
        <v>قطعة</v>
      </c>
      <c r="K1917" s="12">
        <v>1</v>
      </c>
      <c r="L1917" s="13">
        <f>VLOOKUP(H1917, 'RM &amp; SF'!B:H, 7, 0)</f>
        <v>6.0299999999999999E-2</v>
      </c>
      <c r="M1917" s="7">
        <f t="shared" si="96"/>
        <v>6.0299999999999999E-2</v>
      </c>
      <c r="N1917" s="4" t="s">
        <v>825</v>
      </c>
      <c r="O1917" s="4">
        <f>VLOOKUP(B1917, 'All Menu'!B:L, 6, 0)</f>
        <v>3.4482758620689657</v>
      </c>
      <c r="P1917" s="6">
        <f>VLOOKUP(B1917, 'All Menu'!B:L, 9, 0)</f>
        <v>2.7230676011278017</v>
      </c>
      <c r="Q1917" s="14">
        <f>VLOOKUP(B1917, 'All Menu'!B:M, 12, 0)</f>
        <v>0.21031039567293758</v>
      </c>
      <c r="R1917" s="173">
        <f t="shared" si="97"/>
        <v>0</v>
      </c>
    </row>
    <row r="1918" spans="1:18" ht="14" hidden="1">
      <c r="A1918" s="78" t="s">
        <v>2759</v>
      </c>
      <c r="B1918" s="220" t="s">
        <v>963</v>
      </c>
      <c r="C1918" s="185"/>
      <c r="D1918" s="103" t="str">
        <f>VLOOKUP(B1918, 'All Menu'!B:M, 4, 0)</f>
        <v>دجاج تركي / نصف دجاجة</v>
      </c>
      <c r="E1918" s="30" t="str">
        <f>VLOOKUP(B1918, 'All Menu'!B:M, 2, 0)</f>
        <v>قسم المشاوي</v>
      </c>
      <c r="F1918" s="103" t="str">
        <f>VLOOKUP(B1918, 'All Menu'!B:M, 3, 0)</f>
        <v>المشاوي سفري</v>
      </c>
      <c r="G1918" s="90" t="s">
        <v>3058</v>
      </c>
      <c r="H1918" s="188">
        <v>4267</v>
      </c>
      <c r="I1918" s="110" t="str">
        <f>VLOOKUP(H1918, 'RM &amp; SF'!B:H, 2, 0)</f>
        <v>بكجات مشاوي مطبوع رقم 1 1*50 حبة*****</v>
      </c>
      <c r="J1918" s="184" t="str">
        <f>VLOOKUP(H1918, 'RM &amp; SF'!B:E, 4, 0)</f>
        <v>قطعة</v>
      </c>
      <c r="K1918" s="12">
        <v>1</v>
      </c>
      <c r="L1918" s="13">
        <f>VLOOKUP(H1918, 'RM &amp; SF'!B:H, 7, 0)</f>
        <v>0.28448275862068967</v>
      </c>
      <c r="M1918" s="7">
        <f t="shared" si="96"/>
        <v>0.28448275862068967</v>
      </c>
      <c r="N1918" s="4" t="s">
        <v>825</v>
      </c>
      <c r="O1918" s="4">
        <f>VLOOKUP(B1918, 'All Menu'!B:L, 6, 0)</f>
        <v>3.4482758620689657</v>
      </c>
      <c r="P1918" s="6">
        <f>VLOOKUP(B1918, 'All Menu'!B:L, 9, 0)</f>
        <v>2.7230676011278017</v>
      </c>
      <c r="Q1918" s="14">
        <f>VLOOKUP(B1918, 'All Menu'!B:M, 12, 0)</f>
        <v>0.21031039567293758</v>
      </c>
      <c r="R1918" s="173">
        <f t="shared" si="97"/>
        <v>0</v>
      </c>
    </row>
    <row r="1919" spans="1:18" ht="14" hidden="1">
      <c r="A1919" s="78" t="s">
        <v>2759</v>
      </c>
      <c r="B1919" s="220" t="s">
        <v>963</v>
      </c>
      <c r="C1919" s="185"/>
      <c r="D1919" s="103" t="str">
        <f>VLOOKUP(B1919, 'All Menu'!B:M, 4, 0)</f>
        <v>دجاج تركي / نصف دجاجة</v>
      </c>
      <c r="E1919" s="30" t="str">
        <f>VLOOKUP(B1919, 'All Menu'!B:M, 2, 0)</f>
        <v>قسم المشاوي</v>
      </c>
      <c r="F1919" s="103" t="str">
        <f>VLOOKUP(B1919, 'All Menu'!B:M, 3, 0)</f>
        <v>المشاوي سفري</v>
      </c>
      <c r="G1919" s="90" t="s">
        <v>2194</v>
      </c>
      <c r="H1919" s="188">
        <v>4323</v>
      </c>
      <c r="I1919" s="110" t="str">
        <f>VLOOKUP(H1919, 'RM &amp; SF'!B:H, 2, 0)</f>
        <v>قصدير رول 45 سم*2كغ*****</v>
      </c>
      <c r="J1919" s="184" t="str">
        <f>VLOOKUP(H1919, 'RM &amp; SF'!B:E, 4, 0)</f>
        <v>غم</v>
      </c>
      <c r="K1919" s="12">
        <v>0.06</v>
      </c>
      <c r="L1919" s="13">
        <f>VLOOKUP(H1919, 'RM &amp; SF'!B:H, 7, 0)</f>
        <v>1.7240000000000001E-3</v>
      </c>
      <c r="M1919" s="7">
        <f t="shared" si="96"/>
        <v>1.0344E-4</v>
      </c>
      <c r="N1919" s="4" t="s">
        <v>825</v>
      </c>
      <c r="O1919" s="4">
        <f>VLOOKUP(B1919, 'All Menu'!B:L, 6, 0)</f>
        <v>3.4482758620689657</v>
      </c>
      <c r="P1919" s="6">
        <f>VLOOKUP(B1919, 'All Menu'!B:L, 9, 0)</f>
        <v>2.7230676011278017</v>
      </c>
      <c r="Q1919" s="14">
        <f>VLOOKUP(B1919, 'All Menu'!B:M, 12, 0)</f>
        <v>0.21031039567293758</v>
      </c>
      <c r="R1919" s="173">
        <f t="shared" si="97"/>
        <v>0</v>
      </c>
    </row>
    <row r="1920" spans="1:18" ht="14" hidden="1">
      <c r="A1920" s="78" t="s">
        <v>2759</v>
      </c>
      <c r="B1920" s="220" t="s">
        <v>963</v>
      </c>
      <c r="C1920" s="185"/>
      <c r="D1920" s="103" t="str">
        <f>VLOOKUP(B1920, 'All Menu'!B:M, 4, 0)</f>
        <v>دجاج تركي / نصف دجاجة</v>
      </c>
      <c r="E1920" s="30" t="str">
        <f>VLOOKUP(B1920, 'All Menu'!B:M, 2, 0)</f>
        <v>قسم المشاوي</v>
      </c>
      <c r="F1920" s="103" t="str">
        <f>VLOOKUP(B1920, 'All Menu'!B:M, 3, 0)</f>
        <v>المشاوي سفري</v>
      </c>
      <c r="G1920" s="90" t="s">
        <v>2197</v>
      </c>
      <c r="H1920" s="188">
        <v>4347</v>
      </c>
      <c r="I1920" s="110" t="str">
        <f>VLOOKUP(H1920, 'RM &amp; SF'!B:H, 2, 0)</f>
        <v>صحن كرتون بيضوي مذهب 35 سم (رقم 2)*****</v>
      </c>
      <c r="J1920" s="184" t="str">
        <f>VLOOKUP(H1920, 'RM &amp; SF'!B:E, 4, 0)</f>
        <v>قطعة</v>
      </c>
      <c r="K1920" s="12">
        <v>1</v>
      </c>
      <c r="L1920" s="13">
        <f>VLOOKUP(H1920, 'RM &amp; SF'!B:H, 7, 0)</f>
        <v>0.22409999999999999</v>
      </c>
      <c r="M1920" s="7">
        <f t="shared" si="96"/>
        <v>0.22409999999999999</v>
      </c>
      <c r="N1920" s="4" t="s">
        <v>825</v>
      </c>
      <c r="O1920" s="4">
        <f>VLOOKUP(B1920, 'All Menu'!B:L, 6, 0)</f>
        <v>3.4482758620689657</v>
      </c>
      <c r="P1920" s="6">
        <f>VLOOKUP(B1920, 'All Menu'!B:L, 9, 0)</f>
        <v>2.7230676011278017</v>
      </c>
      <c r="Q1920" s="14">
        <f>VLOOKUP(B1920, 'All Menu'!B:M, 12, 0)</f>
        <v>0.21031039567293758</v>
      </c>
      <c r="R1920" s="173">
        <f t="shared" si="97"/>
        <v>0</v>
      </c>
    </row>
    <row r="1921" spans="1:18" ht="14" hidden="1">
      <c r="A1921" s="78" t="s">
        <v>2759</v>
      </c>
      <c r="B1921" s="220" t="s">
        <v>963</v>
      </c>
      <c r="C1921" s="185"/>
      <c r="D1921" s="198" t="str">
        <f>VLOOKUP(B1921, 'All Menu'!B:M, 4, 0)</f>
        <v>دجاج تركي / نصف دجاجة</v>
      </c>
      <c r="E1921" s="30" t="str">
        <f>VLOOKUP(B1921, 'All Menu'!B:M, 2, 0)</f>
        <v>قسم المشاوي</v>
      </c>
      <c r="F1921" s="103" t="str">
        <f>VLOOKUP(B1921, 'All Menu'!B:M, 3, 0)</f>
        <v>المشاوي سفري</v>
      </c>
      <c r="G1921" s="90" t="s">
        <v>2409</v>
      </c>
      <c r="H1921" s="219" t="s">
        <v>578</v>
      </c>
      <c r="I1921" s="110" t="str">
        <f>VLOOKUP(H1921, 'RM &amp; SF'!B:H, 2, 0)</f>
        <v>علبة مخلل</v>
      </c>
      <c r="J1921" s="184" t="str">
        <f>VLOOKUP(H1921, 'RM &amp; SF'!B:E, 4, 0)</f>
        <v>قطعة</v>
      </c>
      <c r="K1921" s="12">
        <v>1</v>
      </c>
      <c r="L1921" s="13">
        <f>VLOOKUP(H1921, 'RM &amp; SF'!B:H, 7, 0)</f>
        <v>6.0440000000000001E-2</v>
      </c>
      <c r="M1921" s="7">
        <f t="shared" si="96"/>
        <v>6.0440000000000001E-2</v>
      </c>
      <c r="N1921" s="4" t="s">
        <v>825</v>
      </c>
      <c r="O1921" s="4">
        <f>VLOOKUP(B1921, 'All Menu'!B:L, 6, 0)</f>
        <v>3.4482758620689657</v>
      </c>
      <c r="P1921" s="6">
        <f>VLOOKUP(B1921, 'All Menu'!B:L, 9, 0)</f>
        <v>2.7230676011278017</v>
      </c>
      <c r="Q1921" s="14">
        <f>VLOOKUP(B1921, 'All Menu'!B:M, 12, 0)</f>
        <v>0.21031039567293758</v>
      </c>
      <c r="R1921" s="173">
        <f t="shared" si="97"/>
        <v>0</v>
      </c>
    </row>
    <row r="1922" spans="1:18" ht="14" hidden="1">
      <c r="A1922" s="78" t="s">
        <v>2759</v>
      </c>
      <c r="B1922" s="220" t="s">
        <v>963</v>
      </c>
      <c r="C1922" s="185"/>
      <c r="D1922" s="103" t="str">
        <f>VLOOKUP(B1922, 'All Menu'!B:M, 4, 0)</f>
        <v>دجاج تركي / نصف دجاجة</v>
      </c>
      <c r="E1922" s="30" t="str">
        <f>VLOOKUP(B1922, 'All Menu'!B:M, 2, 0)</f>
        <v>قسم المشاوي</v>
      </c>
      <c r="F1922" s="103" t="str">
        <f>VLOOKUP(B1922, 'All Menu'!B:M, 3, 0)</f>
        <v>المشاوي سفري</v>
      </c>
      <c r="G1922" s="90" t="s">
        <v>2325</v>
      </c>
      <c r="H1922" s="219" t="s">
        <v>534</v>
      </c>
      <c r="I1922" s="110" t="str">
        <f>VLOOKUP(H1922, 'RM &amp; SF'!B:H, 2, 0)</f>
        <v>مثومه</v>
      </c>
      <c r="J1922" s="184" t="str">
        <f>VLOOKUP(H1922, 'RM &amp; SF'!B:E, 4, 0)</f>
        <v>غم</v>
      </c>
      <c r="K1922" s="12">
        <v>150</v>
      </c>
      <c r="L1922" s="13">
        <f>VLOOKUP(H1922, 'RM &amp; SF'!B:H, 7, 0)</f>
        <v>6.6564092227821051E-4</v>
      </c>
      <c r="M1922" s="7">
        <f t="shared" si="96"/>
        <v>9.9846138341731575E-2</v>
      </c>
      <c r="N1922" s="4" t="s">
        <v>825</v>
      </c>
      <c r="O1922" s="4">
        <f>VLOOKUP(B1922, 'All Menu'!B:L, 6, 0)</f>
        <v>3.4482758620689657</v>
      </c>
      <c r="P1922" s="6">
        <f>VLOOKUP(B1922, 'All Menu'!B:L, 9, 0)</f>
        <v>2.7230676011278017</v>
      </c>
      <c r="Q1922" s="14">
        <f>VLOOKUP(B1922, 'All Menu'!B:M, 12, 0)</f>
        <v>0.21031039567293758</v>
      </c>
      <c r="R1922" s="173">
        <f t="shared" si="97"/>
        <v>0</v>
      </c>
    </row>
    <row r="1923" spans="1:18" ht="14" hidden="1">
      <c r="A1923" s="78" t="s">
        <v>3069</v>
      </c>
      <c r="B1923" s="220" t="s">
        <v>964</v>
      </c>
      <c r="C1923" s="185"/>
      <c r="D1923" s="103" t="str">
        <f>VLOOKUP(B1923, 'All Menu'!B:M, 4, 0)</f>
        <v>وجبة كباب</v>
      </c>
      <c r="E1923" s="30" t="str">
        <f>VLOOKUP(B1923, 'All Menu'!B:M, 2, 0)</f>
        <v>قسم المشاوي</v>
      </c>
      <c r="F1923" s="103" t="str">
        <f>VLOOKUP(B1923, 'All Menu'!B:M, 3, 0)</f>
        <v>المشاوي سفري</v>
      </c>
      <c r="G1923" s="90" t="s">
        <v>2453</v>
      </c>
      <c r="H1923" s="219" t="s">
        <v>536</v>
      </c>
      <c r="I1923" s="110" t="str">
        <f>VLOOKUP(H1923, 'RM &amp; SF'!B:H, 2, 0)</f>
        <v>كباب</v>
      </c>
      <c r="J1923" s="184" t="str">
        <f>VLOOKUP(H1923, 'RM &amp; SF'!B:E, 4, 0)</f>
        <v>غم</v>
      </c>
      <c r="K1923" s="12">
        <v>300</v>
      </c>
      <c r="L1923" s="13">
        <f>VLOOKUP(H1923, 'RM &amp; SF'!B:H, 7, 0)</f>
        <v>1.1636090242685134E-2</v>
      </c>
      <c r="M1923" s="7">
        <f t="shared" si="96"/>
        <v>3.4908270728055402</v>
      </c>
      <c r="N1923" s="4" t="s">
        <v>825</v>
      </c>
      <c r="O1923" s="4">
        <f>VLOOKUP(B1923, 'All Menu'!B:L, 6, 0)</f>
        <v>5.6896551724137936</v>
      </c>
      <c r="P1923" s="6">
        <f>VLOOKUP(B1923, 'All Menu'!B:L, 9, 0)</f>
        <v>3.7688742119978325</v>
      </c>
      <c r="Q1923" s="14">
        <f>VLOOKUP(B1923, 'All Menu'!B:M, 12, 0)</f>
        <v>0.33759180516401738</v>
      </c>
      <c r="R1923" s="173">
        <f t="shared" si="97"/>
        <v>0</v>
      </c>
    </row>
    <row r="1924" spans="1:18" ht="14" hidden="1">
      <c r="A1924" s="78" t="s">
        <v>3069</v>
      </c>
      <c r="B1924" s="220" t="s">
        <v>964</v>
      </c>
      <c r="C1924" s="185"/>
      <c r="D1924" s="103" t="str">
        <f>VLOOKUP(B1924, 'All Menu'!B:M, 4, 0)</f>
        <v>وجبة كباب</v>
      </c>
      <c r="E1924" s="30" t="str">
        <f>VLOOKUP(B1924, 'All Menu'!B:M, 2, 0)</f>
        <v>قسم المشاوي</v>
      </c>
      <c r="F1924" s="103" t="str">
        <f>VLOOKUP(B1924, 'All Menu'!B:M, 3, 0)</f>
        <v>المشاوي سفري</v>
      </c>
      <c r="G1924" s="90" t="s">
        <v>2331</v>
      </c>
      <c r="H1924" s="219" t="s">
        <v>530</v>
      </c>
      <c r="I1924" s="110" t="str">
        <f>VLOOKUP(H1924, 'RM &amp; SF'!B:H, 2, 0)</f>
        <v>خبز صاج</v>
      </c>
      <c r="J1924" s="184" t="str">
        <f>VLOOKUP(H1924, 'RM &amp; SF'!B:E, 4, 0)</f>
        <v>غم</v>
      </c>
      <c r="K1924" s="12">
        <v>200</v>
      </c>
      <c r="L1924" s="13">
        <f>VLOOKUP(H1924, 'RM &amp; SF'!B:H, 7, 0)</f>
        <v>1.8806451612903227E-4</v>
      </c>
      <c r="M1924" s="7">
        <f t="shared" si="96"/>
        <v>3.7612903225806453E-2</v>
      </c>
      <c r="N1924" s="4" t="s">
        <v>825</v>
      </c>
      <c r="O1924" s="4">
        <f>VLOOKUP(B1924, 'All Menu'!B:L, 6, 0)</f>
        <v>5.6896551724137936</v>
      </c>
      <c r="P1924" s="6">
        <f>VLOOKUP(B1924, 'All Menu'!B:L, 9, 0)</f>
        <v>3.7688742119978325</v>
      </c>
      <c r="Q1924" s="14">
        <f>VLOOKUP(B1924, 'All Menu'!B:M, 12, 0)</f>
        <v>0.33759180516401738</v>
      </c>
      <c r="R1924" s="173">
        <f t="shared" si="97"/>
        <v>0</v>
      </c>
    </row>
    <row r="1925" spans="1:18" ht="14" hidden="1">
      <c r="A1925" s="78" t="s">
        <v>3069</v>
      </c>
      <c r="B1925" s="220" t="s">
        <v>964</v>
      </c>
      <c r="C1925" s="185"/>
      <c r="D1925" s="103" t="str">
        <f>VLOOKUP(B1925, 'All Menu'!B:M, 4, 0)</f>
        <v>وجبة كباب</v>
      </c>
      <c r="E1925" s="30" t="str">
        <f>VLOOKUP(B1925, 'All Menu'!B:M, 2, 0)</f>
        <v>قسم المشاوي</v>
      </c>
      <c r="F1925" s="103" t="str">
        <f>VLOOKUP(B1925, 'All Menu'!B:M, 3, 0)</f>
        <v>المشاوي سفري</v>
      </c>
      <c r="G1925" s="90" t="s">
        <v>2257</v>
      </c>
      <c r="H1925" s="188">
        <v>5281</v>
      </c>
      <c r="I1925" s="110" t="str">
        <f>VLOOKUP(H1925, 'RM &amp; SF'!B:H, 2, 0)</f>
        <v>بندوره مشاوي</v>
      </c>
      <c r="J1925" s="184" t="str">
        <f>VLOOKUP(H1925, 'RM &amp; SF'!B:E, 4, 0)</f>
        <v>غم</v>
      </c>
      <c r="K1925" s="12">
        <v>75</v>
      </c>
      <c r="L1925" s="13">
        <f>VLOOKUP(H1925, 'RM &amp; SF'!B:H, 7, 0)</f>
        <v>4.0000000000000002E-4</v>
      </c>
      <c r="M1925" s="7">
        <f t="shared" si="96"/>
        <v>3.0000000000000002E-2</v>
      </c>
      <c r="N1925" s="4" t="s">
        <v>825</v>
      </c>
      <c r="O1925" s="4">
        <f>VLOOKUP(B1925, 'All Menu'!B:L, 6, 0)</f>
        <v>5.6896551724137936</v>
      </c>
      <c r="P1925" s="6">
        <f>VLOOKUP(B1925, 'All Menu'!B:L, 9, 0)</f>
        <v>3.7688742119978325</v>
      </c>
      <c r="Q1925" s="14">
        <f>VLOOKUP(B1925, 'All Menu'!B:M, 12, 0)</f>
        <v>0.33759180516401738</v>
      </c>
      <c r="R1925" s="173">
        <f t="shared" si="97"/>
        <v>0</v>
      </c>
    </row>
    <row r="1926" spans="1:18" ht="14" hidden="1">
      <c r="A1926" s="78" t="s">
        <v>3069</v>
      </c>
      <c r="B1926" s="220" t="s">
        <v>964</v>
      </c>
      <c r="C1926" s="185"/>
      <c r="D1926" s="103" t="str">
        <f>VLOOKUP(B1926, 'All Menu'!B:M, 4, 0)</f>
        <v>وجبة كباب</v>
      </c>
      <c r="E1926" s="30" t="str">
        <f>VLOOKUP(B1926, 'All Menu'!B:M, 2, 0)</f>
        <v>قسم المشاوي</v>
      </c>
      <c r="F1926" s="103" t="str">
        <f>VLOOKUP(B1926, 'All Menu'!B:M, 3, 0)</f>
        <v>المشاوي سفري</v>
      </c>
      <c r="G1926" s="90" t="s">
        <v>2235</v>
      </c>
      <c r="H1926" s="188">
        <v>4504</v>
      </c>
      <c r="I1926" s="110" t="str">
        <f>VLOOKUP(H1926, 'RM &amp; SF'!B:H, 2, 0)</f>
        <v>بصل مشاوي (بصل بيبي)***</v>
      </c>
      <c r="J1926" s="184" t="str">
        <f>VLOOKUP(H1926, 'RM &amp; SF'!B:E, 4, 0)</f>
        <v>غم</v>
      </c>
      <c r="K1926" s="12">
        <v>75</v>
      </c>
      <c r="L1926" s="13">
        <f>VLOOKUP(H1926, 'RM &amp; SF'!B:H, 7, 0)</f>
        <v>3.5E-4</v>
      </c>
      <c r="M1926" s="7">
        <f t="shared" si="96"/>
        <v>2.6249999999999999E-2</v>
      </c>
      <c r="N1926" s="4" t="s">
        <v>825</v>
      </c>
      <c r="O1926" s="4">
        <f>VLOOKUP(B1926, 'All Menu'!B:L, 6, 0)</f>
        <v>5.6896551724137936</v>
      </c>
      <c r="P1926" s="6">
        <f>VLOOKUP(B1926, 'All Menu'!B:L, 9, 0)</f>
        <v>3.7688742119978325</v>
      </c>
      <c r="Q1926" s="14">
        <f>VLOOKUP(B1926, 'All Menu'!B:M, 12, 0)</f>
        <v>0.33759180516401738</v>
      </c>
      <c r="R1926" s="173">
        <f t="shared" si="97"/>
        <v>0</v>
      </c>
    </row>
    <row r="1927" spans="1:18" ht="14" hidden="1">
      <c r="A1927" s="78" t="s">
        <v>3069</v>
      </c>
      <c r="B1927" s="220" t="s">
        <v>964</v>
      </c>
      <c r="C1927" s="185"/>
      <c r="D1927" s="103" t="str">
        <f>VLOOKUP(B1927, 'All Menu'!B:M, 4, 0)</f>
        <v>وجبة كباب</v>
      </c>
      <c r="E1927" s="30" t="str">
        <f>VLOOKUP(B1927, 'All Menu'!B:M, 2, 0)</f>
        <v>قسم المشاوي</v>
      </c>
      <c r="F1927" s="103" t="str">
        <f>VLOOKUP(B1927, 'All Menu'!B:M, 3, 0)</f>
        <v>المشاوي سفري</v>
      </c>
      <c r="G1927" s="90" t="s">
        <v>2196</v>
      </c>
      <c r="H1927" s="188">
        <v>4346</v>
      </c>
      <c r="I1927" s="110" t="str">
        <f>VLOOKUP(H1927, 'RM &amp; SF'!B:H, 2, 0)</f>
        <v>صحن كرتون بيضوي مذهب 25 سم (رقم 1)*****</v>
      </c>
      <c r="J1927" s="184" t="str">
        <f>VLOOKUP(H1927, 'RM &amp; SF'!B:E, 4, 0)</f>
        <v>قطعة</v>
      </c>
      <c r="K1927" s="12">
        <v>1</v>
      </c>
      <c r="L1927" s="13">
        <f>VLOOKUP(H1927, 'RM &amp; SF'!B:H, 7, 0)</f>
        <v>7.4700000000000003E-2</v>
      </c>
      <c r="M1927" s="7">
        <f t="shared" si="96"/>
        <v>7.4700000000000003E-2</v>
      </c>
      <c r="N1927" s="4" t="s">
        <v>825</v>
      </c>
      <c r="O1927" s="4">
        <f>VLOOKUP(B1927, 'All Menu'!B:L, 6, 0)</f>
        <v>5.6896551724137936</v>
      </c>
      <c r="P1927" s="6">
        <f>VLOOKUP(B1927, 'All Menu'!B:L, 9, 0)</f>
        <v>3.7688742119978325</v>
      </c>
      <c r="Q1927" s="14">
        <f>VLOOKUP(B1927, 'All Menu'!B:M, 12, 0)</f>
        <v>0.33759180516401738</v>
      </c>
      <c r="R1927" s="173">
        <f t="shared" si="97"/>
        <v>0</v>
      </c>
    </row>
    <row r="1928" spans="1:18" ht="14" hidden="1">
      <c r="A1928" s="78" t="s">
        <v>3069</v>
      </c>
      <c r="B1928" s="220" t="s">
        <v>964</v>
      </c>
      <c r="C1928" s="185"/>
      <c r="D1928" s="103" t="str">
        <f>VLOOKUP(B1928, 'All Menu'!B:M, 4, 0)</f>
        <v>وجبة كباب</v>
      </c>
      <c r="E1928" s="30" t="str">
        <f>VLOOKUP(B1928, 'All Menu'!B:M, 2, 0)</f>
        <v>قسم المشاوي</v>
      </c>
      <c r="F1928" s="103" t="str">
        <f>VLOOKUP(B1928, 'All Menu'!B:M, 3, 0)</f>
        <v>المشاوي سفري</v>
      </c>
      <c r="G1928" s="90" t="s">
        <v>2194</v>
      </c>
      <c r="H1928" s="188">
        <v>4323</v>
      </c>
      <c r="I1928" s="110" t="str">
        <f>VLOOKUP(H1928, 'RM &amp; SF'!B:H, 2, 0)</f>
        <v>قصدير رول 45 سم*2كغ*****</v>
      </c>
      <c r="J1928" s="184" t="str">
        <f>VLOOKUP(H1928, 'RM &amp; SF'!B:E, 4, 0)</f>
        <v>غم</v>
      </c>
      <c r="K1928" s="12">
        <v>0.06</v>
      </c>
      <c r="L1928" s="13">
        <f>VLOOKUP(H1928, 'RM &amp; SF'!B:H, 7, 0)</f>
        <v>1.7240000000000001E-3</v>
      </c>
      <c r="M1928" s="7">
        <f t="shared" si="96"/>
        <v>1.0344E-4</v>
      </c>
      <c r="N1928" s="4" t="s">
        <v>825</v>
      </c>
      <c r="O1928" s="4">
        <f>VLOOKUP(B1928, 'All Menu'!B:L, 6, 0)</f>
        <v>5.6896551724137936</v>
      </c>
      <c r="P1928" s="6">
        <f>VLOOKUP(B1928, 'All Menu'!B:L, 9, 0)</f>
        <v>3.7688742119978325</v>
      </c>
      <c r="Q1928" s="14">
        <f>VLOOKUP(B1928, 'All Menu'!B:M, 12, 0)</f>
        <v>0.33759180516401738</v>
      </c>
      <c r="R1928" s="173">
        <f t="shared" si="97"/>
        <v>0</v>
      </c>
    </row>
    <row r="1929" spans="1:18" ht="14" hidden="1">
      <c r="A1929" s="78" t="s">
        <v>3069</v>
      </c>
      <c r="B1929" s="220" t="s">
        <v>964</v>
      </c>
      <c r="C1929" s="185"/>
      <c r="D1929" s="103" t="str">
        <f>VLOOKUP(B1929, 'All Menu'!B:M, 4, 0)</f>
        <v>وجبة كباب</v>
      </c>
      <c r="E1929" s="30" t="str">
        <f>VLOOKUP(B1929, 'All Menu'!B:M, 2, 0)</f>
        <v>قسم المشاوي</v>
      </c>
      <c r="F1929" s="103" t="str">
        <f>VLOOKUP(B1929, 'All Menu'!B:M, 3, 0)</f>
        <v>المشاوي سفري</v>
      </c>
      <c r="G1929" s="90" t="s">
        <v>2397</v>
      </c>
      <c r="H1929" s="219" t="s">
        <v>580</v>
      </c>
      <c r="I1929" s="110" t="str">
        <f>VLOOKUP(H1929, 'RM &amp; SF'!B:H, 2, 0)</f>
        <v>طحينة مشاوي</v>
      </c>
      <c r="J1929" s="184" t="str">
        <f>VLOOKUP(H1929, 'RM &amp; SF'!B:E, 4, 0)</f>
        <v>غم</v>
      </c>
      <c r="K1929" s="12">
        <v>50</v>
      </c>
      <c r="L1929" s="13">
        <f>VLOOKUP(H1929, 'RM &amp; SF'!B:H, 7, 0)</f>
        <v>1.0841676434676436E-3</v>
      </c>
      <c r="M1929" s="7">
        <f t="shared" si="96"/>
        <v>5.4208382173382176E-2</v>
      </c>
      <c r="N1929" s="4" t="s">
        <v>825</v>
      </c>
      <c r="O1929" s="4">
        <f>VLOOKUP(B1929, 'All Menu'!B:L, 6, 0)</f>
        <v>5.6896551724137936</v>
      </c>
      <c r="P1929" s="6">
        <f>VLOOKUP(B1929, 'All Menu'!B:L, 9, 0)</f>
        <v>3.7688742119978325</v>
      </c>
      <c r="Q1929" s="14">
        <f>VLOOKUP(B1929, 'All Menu'!B:M, 12, 0)</f>
        <v>0.33759180516401738</v>
      </c>
      <c r="R1929" s="173">
        <f t="shared" si="97"/>
        <v>0</v>
      </c>
    </row>
    <row r="1930" spans="1:18" ht="14" hidden="1">
      <c r="A1930" s="78" t="s">
        <v>3069</v>
      </c>
      <c r="B1930" s="220" t="s">
        <v>964</v>
      </c>
      <c r="C1930" s="185"/>
      <c r="D1930" s="103" t="str">
        <f>VLOOKUP(B1930, 'All Menu'!B:M, 4, 0)</f>
        <v>وجبة كباب</v>
      </c>
      <c r="E1930" s="30" t="str">
        <f>VLOOKUP(B1930, 'All Menu'!B:M, 2, 0)</f>
        <v>قسم المشاوي</v>
      </c>
      <c r="F1930" s="103" t="str">
        <f>VLOOKUP(B1930, 'All Menu'!B:M, 3, 0)</f>
        <v>المشاوي سفري</v>
      </c>
      <c r="G1930" s="90" t="s">
        <v>2193</v>
      </c>
      <c r="H1930" s="188">
        <v>4309</v>
      </c>
      <c r="I1930" s="110" t="str">
        <f>VLOOKUP(H1930, 'RM &amp; SF'!B:H, 2, 0)</f>
        <v>اكياس بلاستيك مطبوع 55 سم*****</v>
      </c>
      <c r="J1930" s="184" t="str">
        <f>VLOOKUP(H1930, 'RM &amp; SF'!B:E, 4, 0)</f>
        <v>قطعة</v>
      </c>
      <c r="K1930" s="12">
        <v>1</v>
      </c>
      <c r="L1930" s="13">
        <f>VLOOKUP(H1930, 'RM &amp; SF'!B:H, 7, 0)</f>
        <v>5.5172413793103454E-2</v>
      </c>
      <c r="M1930" s="7">
        <f t="shared" ref="M1930:M1992" si="98">L1930*K1930</f>
        <v>5.5172413793103454E-2</v>
      </c>
      <c r="N1930" s="4" t="s">
        <v>825</v>
      </c>
      <c r="O1930" s="4">
        <f>VLOOKUP(B1930, 'All Menu'!B:L, 6, 0)</f>
        <v>5.6896551724137936</v>
      </c>
      <c r="P1930" s="6">
        <f>VLOOKUP(B1930, 'All Menu'!B:L, 9, 0)</f>
        <v>3.7688742119978325</v>
      </c>
      <c r="Q1930" s="14">
        <f>VLOOKUP(B1930, 'All Menu'!B:M, 12, 0)</f>
        <v>0.33759180516401738</v>
      </c>
      <c r="R1930" s="173">
        <f t="shared" si="97"/>
        <v>0</v>
      </c>
    </row>
    <row r="1931" spans="1:18" ht="14" hidden="1">
      <c r="A1931" s="78" t="s">
        <v>3068</v>
      </c>
      <c r="B1931" s="220" t="s">
        <v>965</v>
      </c>
      <c r="C1931" s="185"/>
      <c r="D1931" s="103" t="str">
        <f>VLOOKUP(B1931, 'All Menu'!B:M, 4, 0)</f>
        <v>وجبة شيش</v>
      </c>
      <c r="E1931" s="30" t="str">
        <f>VLOOKUP(B1931, 'All Menu'!B:M, 2, 0)</f>
        <v>قسم المشاوي</v>
      </c>
      <c r="F1931" s="103" t="str">
        <f>VLOOKUP(B1931, 'All Menu'!B:M, 3, 0)</f>
        <v>المشاوي سفري</v>
      </c>
      <c r="G1931" s="90" t="s">
        <v>2456</v>
      </c>
      <c r="H1931" s="219" t="s">
        <v>506</v>
      </c>
      <c r="I1931" s="110" t="str">
        <f>VLOOKUP(H1931, 'RM &amp; SF'!B:H, 2, 0)</f>
        <v>شيش</v>
      </c>
      <c r="J1931" s="184" t="str">
        <f>VLOOKUP(H1931, 'RM &amp; SF'!B:E, 4, 0)</f>
        <v>غم</v>
      </c>
      <c r="K1931" s="12">
        <v>300</v>
      </c>
      <c r="L1931" s="13">
        <f>VLOOKUP(H1931, 'RM &amp; SF'!B:H, 7, 0)</f>
        <v>4.6721213030918281E-3</v>
      </c>
      <c r="M1931" s="7">
        <f t="shared" si="98"/>
        <v>1.4016363909275484</v>
      </c>
      <c r="N1931" s="4" t="s">
        <v>825</v>
      </c>
      <c r="O1931" s="4">
        <f>VLOOKUP(B1931, 'All Menu'!B:L, 6, 0)</f>
        <v>4.7413793103448283</v>
      </c>
      <c r="P1931" s="6">
        <f>VLOOKUP(B1931, 'All Menu'!B:L, 9, 0)</f>
        <v>1.6773279540549295</v>
      </c>
      <c r="Q1931" s="14">
        <f>VLOOKUP(B1931, 'All Menu'!B:M, 12, 0)</f>
        <v>0.64623628605386951</v>
      </c>
      <c r="R1931" s="173">
        <f t="shared" si="97"/>
        <v>0</v>
      </c>
    </row>
    <row r="1932" spans="1:18" ht="14" hidden="1">
      <c r="A1932" s="78" t="s">
        <v>3068</v>
      </c>
      <c r="B1932" s="220" t="s">
        <v>965</v>
      </c>
      <c r="C1932" s="185"/>
      <c r="D1932" s="103" t="str">
        <f>VLOOKUP(B1932, 'All Menu'!B:M, 4, 0)</f>
        <v>وجبة شيش</v>
      </c>
      <c r="E1932" s="30" t="str">
        <f>VLOOKUP(B1932, 'All Menu'!B:M, 2, 0)</f>
        <v>قسم المشاوي</v>
      </c>
      <c r="F1932" s="103" t="str">
        <f>VLOOKUP(B1932, 'All Menu'!B:M, 3, 0)</f>
        <v>المشاوي سفري</v>
      </c>
      <c r="G1932" s="90" t="s">
        <v>2331</v>
      </c>
      <c r="H1932" s="219" t="s">
        <v>530</v>
      </c>
      <c r="I1932" s="110" t="str">
        <f>VLOOKUP(H1932, 'RM &amp; SF'!B:H, 2, 0)</f>
        <v>خبز صاج</v>
      </c>
      <c r="J1932" s="184" t="str">
        <f>VLOOKUP(H1932, 'RM &amp; SF'!B:E, 4, 0)</f>
        <v>غم</v>
      </c>
      <c r="K1932" s="12">
        <v>200</v>
      </c>
      <c r="L1932" s="13">
        <f>VLOOKUP(H1932, 'RM &amp; SF'!B:H, 7, 0)</f>
        <v>1.8806451612903227E-4</v>
      </c>
      <c r="M1932" s="7">
        <f t="shared" si="98"/>
        <v>3.7612903225806453E-2</v>
      </c>
      <c r="N1932" s="4" t="s">
        <v>825</v>
      </c>
      <c r="O1932" s="4">
        <f>VLOOKUP(B1932, 'All Menu'!B:L, 6, 0)</f>
        <v>4.7413793103448283</v>
      </c>
      <c r="P1932" s="6">
        <f>VLOOKUP(B1932, 'All Menu'!B:L, 9, 0)</f>
        <v>1.6773279540549295</v>
      </c>
      <c r="Q1932" s="14">
        <f>VLOOKUP(B1932, 'All Menu'!B:M, 12, 0)</f>
        <v>0.64623628605386951</v>
      </c>
      <c r="R1932" s="173">
        <f t="shared" si="97"/>
        <v>0</v>
      </c>
    </row>
    <row r="1933" spans="1:18" ht="14" hidden="1">
      <c r="A1933" s="78" t="s">
        <v>3068</v>
      </c>
      <c r="B1933" s="220" t="s">
        <v>965</v>
      </c>
      <c r="C1933" s="185"/>
      <c r="D1933" s="103" t="str">
        <f>VLOOKUP(B1933, 'All Menu'!B:M, 4, 0)</f>
        <v>وجبة شيش</v>
      </c>
      <c r="E1933" s="30" t="str">
        <f>VLOOKUP(B1933, 'All Menu'!B:M, 2, 0)</f>
        <v>قسم المشاوي</v>
      </c>
      <c r="F1933" s="103" t="str">
        <f>VLOOKUP(B1933, 'All Menu'!B:M, 3, 0)</f>
        <v>المشاوي سفري</v>
      </c>
      <c r="G1933" s="90" t="s">
        <v>2257</v>
      </c>
      <c r="H1933" s="188">
        <v>5281</v>
      </c>
      <c r="I1933" s="110" t="str">
        <f>VLOOKUP(H1933, 'RM &amp; SF'!B:H, 2, 0)</f>
        <v>بندوره مشاوي</v>
      </c>
      <c r="J1933" s="184" t="str">
        <f>VLOOKUP(H1933, 'RM &amp; SF'!B:E, 4, 0)</f>
        <v>غم</v>
      </c>
      <c r="K1933" s="12">
        <v>80</v>
      </c>
      <c r="L1933" s="13">
        <f>VLOOKUP(H1933, 'RM &amp; SF'!B:H, 7, 0)</f>
        <v>4.0000000000000002E-4</v>
      </c>
      <c r="M1933" s="7">
        <f t="shared" si="98"/>
        <v>3.2000000000000001E-2</v>
      </c>
      <c r="N1933" s="4" t="s">
        <v>825</v>
      </c>
      <c r="O1933" s="4">
        <f>VLOOKUP(B1933, 'All Menu'!B:L, 6, 0)</f>
        <v>4.7413793103448283</v>
      </c>
      <c r="P1933" s="6">
        <f>VLOOKUP(B1933, 'All Menu'!B:L, 9, 0)</f>
        <v>1.6773279540549295</v>
      </c>
      <c r="Q1933" s="14">
        <f>VLOOKUP(B1933, 'All Menu'!B:M, 12, 0)</f>
        <v>0.64623628605386951</v>
      </c>
      <c r="R1933" s="173">
        <f t="shared" si="97"/>
        <v>0</v>
      </c>
    </row>
    <row r="1934" spans="1:18" ht="14" hidden="1">
      <c r="A1934" s="78" t="s">
        <v>3068</v>
      </c>
      <c r="B1934" s="220" t="s">
        <v>965</v>
      </c>
      <c r="C1934" s="185"/>
      <c r="D1934" s="103" t="str">
        <f>VLOOKUP(B1934, 'All Menu'!B:M, 4, 0)</f>
        <v>وجبة شيش</v>
      </c>
      <c r="E1934" s="30" t="str">
        <f>VLOOKUP(B1934, 'All Menu'!B:M, 2, 0)</f>
        <v>قسم المشاوي</v>
      </c>
      <c r="F1934" s="103" t="str">
        <f>VLOOKUP(B1934, 'All Menu'!B:M, 3, 0)</f>
        <v>المشاوي سفري</v>
      </c>
      <c r="G1934" s="90" t="s">
        <v>2235</v>
      </c>
      <c r="H1934" s="188">
        <v>4504</v>
      </c>
      <c r="I1934" s="110" t="str">
        <f>VLOOKUP(H1934, 'RM &amp; SF'!B:H, 2, 0)</f>
        <v>بصل مشاوي (بصل بيبي)***</v>
      </c>
      <c r="J1934" s="184" t="str">
        <f>VLOOKUP(H1934, 'RM &amp; SF'!B:E, 4, 0)</f>
        <v>غم</v>
      </c>
      <c r="K1934" s="12">
        <v>70</v>
      </c>
      <c r="L1934" s="13">
        <f>VLOOKUP(H1934, 'RM &amp; SF'!B:H, 7, 0)</f>
        <v>3.5E-4</v>
      </c>
      <c r="M1934" s="7">
        <f t="shared" si="98"/>
        <v>2.4500000000000001E-2</v>
      </c>
      <c r="N1934" s="4" t="s">
        <v>825</v>
      </c>
      <c r="O1934" s="4">
        <f>VLOOKUP(B1934, 'All Menu'!B:L, 6, 0)</f>
        <v>4.7413793103448283</v>
      </c>
      <c r="P1934" s="6">
        <f>VLOOKUP(B1934, 'All Menu'!B:L, 9, 0)</f>
        <v>1.6773279540549295</v>
      </c>
      <c r="Q1934" s="14">
        <f>VLOOKUP(B1934, 'All Menu'!B:M, 12, 0)</f>
        <v>0.64623628605386951</v>
      </c>
      <c r="R1934" s="173">
        <f t="shared" si="97"/>
        <v>0</v>
      </c>
    </row>
    <row r="1935" spans="1:18" ht="14" hidden="1">
      <c r="A1935" s="78" t="s">
        <v>3068</v>
      </c>
      <c r="B1935" s="220" t="s">
        <v>965</v>
      </c>
      <c r="C1935" s="185"/>
      <c r="D1935" s="103" t="str">
        <f>VLOOKUP(B1935, 'All Menu'!B:M, 4, 0)</f>
        <v>وجبة شيش</v>
      </c>
      <c r="E1935" s="30" t="str">
        <f>VLOOKUP(B1935, 'All Menu'!B:M, 2, 0)</f>
        <v>قسم المشاوي</v>
      </c>
      <c r="F1935" s="103" t="str">
        <f>VLOOKUP(B1935, 'All Menu'!B:M, 3, 0)</f>
        <v>المشاوي سفري</v>
      </c>
      <c r="G1935" s="90" t="s">
        <v>2396</v>
      </c>
      <c r="H1935" s="219" t="s">
        <v>582</v>
      </c>
      <c r="I1935" s="110" t="str">
        <f>VLOOKUP(H1935, 'RM &amp; SF'!B:H, 2, 0)</f>
        <v>بيواز</v>
      </c>
      <c r="J1935" s="184" t="str">
        <f>VLOOKUP(H1935, 'RM &amp; SF'!B:E, 4, 0)</f>
        <v>غم</v>
      </c>
      <c r="K1935" s="12">
        <v>70</v>
      </c>
      <c r="L1935" s="13">
        <f>VLOOKUP(H1935, 'RM &amp; SF'!B:H, 7, 0)</f>
        <v>2.0666065869244635E-4</v>
      </c>
      <c r="M1935" s="7">
        <f t="shared" si="98"/>
        <v>1.4466246108471244E-2</v>
      </c>
      <c r="N1935" s="4" t="s">
        <v>825</v>
      </c>
      <c r="O1935" s="4">
        <f>VLOOKUP(B1935, 'All Menu'!B:L, 6, 0)</f>
        <v>4.7413793103448283</v>
      </c>
      <c r="P1935" s="6">
        <f>VLOOKUP(B1935, 'All Menu'!B:L, 9, 0)</f>
        <v>1.6773279540549295</v>
      </c>
      <c r="Q1935" s="14">
        <f>VLOOKUP(B1935, 'All Menu'!B:M, 12, 0)</f>
        <v>0.64623628605386951</v>
      </c>
      <c r="R1935" s="173">
        <f t="shared" si="97"/>
        <v>0</v>
      </c>
    </row>
    <row r="1936" spans="1:18" ht="14" hidden="1">
      <c r="A1936" s="78" t="s">
        <v>3068</v>
      </c>
      <c r="B1936" s="220" t="s">
        <v>965</v>
      </c>
      <c r="C1936" s="185"/>
      <c r="D1936" s="103" t="str">
        <f>VLOOKUP(B1936, 'All Menu'!B:M, 4, 0)</f>
        <v>وجبة شيش</v>
      </c>
      <c r="E1936" s="30" t="str">
        <f>VLOOKUP(B1936, 'All Menu'!B:M, 2, 0)</f>
        <v>قسم المشاوي</v>
      </c>
      <c r="F1936" s="103" t="str">
        <f>VLOOKUP(B1936, 'All Menu'!B:M, 3, 0)</f>
        <v>المشاوي سفري</v>
      </c>
      <c r="G1936" s="90" t="s">
        <v>2196</v>
      </c>
      <c r="H1936" s="188">
        <v>4346</v>
      </c>
      <c r="I1936" s="110" t="str">
        <f>VLOOKUP(H1936, 'RM &amp; SF'!B:H, 2, 0)</f>
        <v>صحن كرتون بيضوي مذهب 25 سم (رقم 1)*****</v>
      </c>
      <c r="J1936" s="184" t="str">
        <f>VLOOKUP(H1936, 'RM &amp; SF'!B:E, 4, 0)</f>
        <v>قطعة</v>
      </c>
      <c r="K1936" s="12">
        <v>1</v>
      </c>
      <c r="L1936" s="13">
        <f>VLOOKUP(H1936, 'RM &amp; SF'!B:H, 7, 0)</f>
        <v>7.4700000000000003E-2</v>
      </c>
      <c r="M1936" s="7">
        <f t="shared" si="98"/>
        <v>7.4700000000000003E-2</v>
      </c>
      <c r="N1936" s="4" t="s">
        <v>825</v>
      </c>
      <c r="O1936" s="4">
        <f>VLOOKUP(B1936, 'All Menu'!B:L, 6, 0)</f>
        <v>4.7413793103448283</v>
      </c>
      <c r="P1936" s="6">
        <f>VLOOKUP(B1936, 'All Menu'!B:L, 9, 0)</f>
        <v>1.6773279540549295</v>
      </c>
      <c r="Q1936" s="14">
        <f>VLOOKUP(B1936, 'All Menu'!B:M, 12, 0)</f>
        <v>0.64623628605386951</v>
      </c>
      <c r="R1936" s="173">
        <f t="shared" si="97"/>
        <v>0</v>
      </c>
    </row>
    <row r="1937" spans="1:18" ht="14" hidden="1">
      <c r="A1937" s="78" t="s">
        <v>3068</v>
      </c>
      <c r="B1937" s="220" t="s">
        <v>965</v>
      </c>
      <c r="C1937" s="185"/>
      <c r="D1937" s="103" t="str">
        <f>VLOOKUP(B1937, 'All Menu'!B:M, 4, 0)</f>
        <v>وجبة شيش</v>
      </c>
      <c r="E1937" s="30" t="str">
        <f>VLOOKUP(B1937, 'All Menu'!B:M, 2, 0)</f>
        <v>قسم المشاوي</v>
      </c>
      <c r="F1937" s="103" t="str">
        <f>VLOOKUP(B1937, 'All Menu'!B:M, 3, 0)</f>
        <v>المشاوي سفري</v>
      </c>
      <c r="G1937" s="90" t="s">
        <v>2194</v>
      </c>
      <c r="H1937" s="188">
        <v>4323</v>
      </c>
      <c r="I1937" s="110" t="str">
        <f>VLOOKUP(H1937, 'RM &amp; SF'!B:H, 2, 0)</f>
        <v>قصدير رول 45 سم*2كغ*****</v>
      </c>
      <c r="J1937" s="184" t="str">
        <f>VLOOKUP(H1937, 'RM &amp; SF'!B:E, 4, 0)</f>
        <v>غم</v>
      </c>
      <c r="K1937" s="12">
        <v>10</v>
      </c>
      <c r="L1937" s="13">
        <f>VLOOKUP(H1937, 'RM &amp; SF'!B:H, 7, 0)</f>
        <v>1.7240000000000001E-3</v>
      </c>
      <c r="M1937" s="7">
        <f t="shared" si="98"/>
        <v>1.7240000000000002E-2</v>
      </c>
      <c r="N1937" s="4" t="s">
        <v>825</v>
      </c>
      <c r="O1937" s="4">
        <f>VLOOKUP(B1937, 'All Menu'!B:L, 6, 0)</f>
        <v>4.7413793103448283</v>
      </c>
      <c r="P1937" s="6">
        <f>VLOOKUP(B1937, 'All Menu'!B:L, 9, 0)</f>
        <v>1.6773279540549295</v>
      </c>
      <c r="Q1937" s="14">
        <f>VLOOKUP(B1937, 'All Menu'!B:M, 12, 0)</f>
        <v>0.64623628605386951</v>
      </c>
      <c r="R1937" s="173">
        <f t="shared" si="97"/>
        <v>0</v>
      </c>
    </row>
    <row r="1938" spans="1:18" ht="14" hidden="1">
      <c r="A1938" s="78" t="s">
        <v>3068</v>
      </c>
      <c r="B1938" s="220" t="s">
        <v>965</v>
      </c>
      <c r="C1938" s="185"/>
      <c r="D1938" s="103" t="str">
        <f>VLOOKUP(B1938, 'All Menu'!B:M, 4, 0)</f>
        <v>وجبة شيش</v>
      </c>
      <c r="E1938" s="30" t="str">
        <f>VLOOKUP(B1938, 'All Menu'!B:M, 2, 0)</f>
        <v>قسم المشاوي</v>
      </c>
      <c r="F1938" s="103" t="str">
        <f>VLOOKUP(B1938, 'All Menu'!B:M, 3, 0)</f>
        <v>المشاوي سفري</v>
      </c>
      <c r="G1938" s="90" t="s">
        <v>2231</v>
      </c>
      <c r="H1938" s="188">
        <v>4499</v>
      </c>
      <c r="I1938" s="110" t="str">
        <f>VLOOKUP(H1938, 'RM &amp; SF'!B:H, 2, 0)</f>
        <v>فلفل حار اخضر*****</v>
      </c>
      <c r="J1938" s="184" t="str">
        <f>VLOOKUP(H1938, 'RM &amp; SF'!B:E, 4, 0)</f>
        <v>غم</v>
      </c>
      <c r="K1938" s="12">
        <v>40</v>
      </c>
      <c r="L1938" s="13">
        <f>VLOOKUP(H1938, 'RM &amp; SF'!B:H, 7, 0)</f>
        <v>5.0000000000000001E-4</v>
      </c>
      <c r="M1938" s="7">
        <f t="shared" si="98"/>
        <v>0.02</v>
      </c>
      <c r="N1938" s="4" t="s">
        <v>825</v>
      </c>
      <c r="O1938" s="4">
        <f>VLOOKUP(B1938, 'All Menu'!B:L, 6, 0)</f>
        <v>4.7413793103448283</v>
      </c>
      <c r="P1938" s="6">
        <f>VLOOKUP(B1938, 'All Menu'!B:L, 9, 0)</f>
        <v>1.6773279540549295</v>
      </c>
      <c r="Q1938" s="14">
        <f>VLOOKUP(B1938, 'All Menu'!B:M, 12, 0)</f>
        <v>0.64623628605386951</v>
      </c>
      <c r="R1938" s="173">
        <f t="shared" si="97"/>
        <v>0</v>
      </c>
    </row>
    <row r="1939" spans="1:18" ht="14" hidden="1">
      <c r="A1939" s="78" t="s">
        <v>3068</v>
      </c>
      <c r="B1939" s="220" t="s">
        <v>965</v>
      </c>
      <c r="C1939" s="185"/>
      <c r="D1939" s="103" t="str">
        <f>VLOOKUP(B1939, 'All Menu'!B:M, 4, 0)</f>
        <v>وجبة شيش</v>
      </c>
      <c r="E1939" s="30" t="str">
        <f>VLOOKUP(B1939, 'All Menu'!B:M, 2, 0)</f>
        <v>قسم المشاوي</v>
      </c>
      <c r="F1939" s="103" t="str">
        <f>VLOOKUP(B1939, 'All Menu'!B:M, 3, 0)</f>
        <v>المشاوي سفري</v>
      </c>
      <c r="G1939" s="90" t="s">
        <v>2193</v>
      </c>
      <c r="H1939" s="188">
        <v>4309</v>
      </c>
      <c r="I1939" s="110" t="str">
        <f>VLOOKUP(H1939, 'RM &amp; SF'!B:H, 2, 0)</f>
        <v>اكياس بلاستيك مطبوع 55 سم*****</v>
      </c>
      <c r="J1939" s="184" t="str">
        <f>VLOOKUP(H1939, 'RM &amp; SF'!B:E, 4, 0)</f>
        <v>قطعة</v>
      </c>
      <c r="K1939" s="12">
        <v>1</v>
      </c>
      <c r="L1939" s="13">
        <f>VLOOKUP(H1939, 'RM &amp; SF'!B:H, 7, 0)</f>
        <v>5.5172413793103454E-2</v>
      </c>
      <c r="M1939" s="7">
        <f t="shared" si="98"/>
        <v>5.5172413793103454E-2</v>
      </c>
      <c r="N1939" s="4" t="s">
        <v>825</v>
      </c>
      <c r="O1939" s="4">
        <f>VLOOKUP(B1939, 'All Menu'!B:L, 6, 0)</f>
        <v>4.7413793103448283</v>
      </c>
      <c r="P1939" s="6">
        <f>VLOOKUP(B1939, 'All Menu'!B:L, 9, 0)</f>
        <v>1.6773279540549295</v>
      </c>
      <c r="Q1939" s="14">
        <f>VLOOKUP(B1939, 'All Menu'!B:M, 12, 0)</f>
        <v>0.64623628605386951</v>
      </c>
      <c r="R1939" s="173">
        <f t="shared" si="97"/>
        <v>0</v>
      </c>
    </row>
    <row r="1940" spans="1:18" ht="14" hidden="1">
      <c r="A1940" s="78" t="s">
        <v>3070</v>
      </c>
      <c r="B1940" s="220" t="s">
        <v>966</v>
      </c>
      <c r="C1940" s="185"/>
      <c r="D1940" s="103" t="str">
        <f>VLOOKUP(B1940, 'All Menu'!B:M, 4, 0)</f>
        <v>وجبة مشكل</v>
      </c>
      <c r="E1940" s="30" t="str">
        <f>VLOOKUP(B1940, 'All Menu'!B:M, 2, 0)</f>
        <v>قسم المشاوي</v>
      </c>
      <c r="F1940" s="103" t="str">
        <f>VLOOKUP(B1940, 'All Menu'!B:M, 3, 0)</f>
        <v>المشاوي سفري</v>
      </c>
      <c r="G1940" s="90" t="s">
        <v>2453</v>
      </c>
      <c r="H1940" s="219" t="s">
        <v>536</v>
      </c>
      <c r="I1940" s="110" t="str">
        <f>VLOOKUP(H1940, 'RM &amp; SF'!B:H, 2, 0)</f>
        <v>كباب</v>
      </c>
      <c r="J1940" s="184" t="str">
        <f>VLOOKUP(H1940, 'RM &amp; SF'!B:E, 4, 0)</f>
        <v>غم</v>
      </c>
      <c r="K1940" s="12">
        <v>80</v>
      </c>
      <c r="L1940" s="13">
        <f>VLOOKUP(H1940, 'RM &amp; SF'!B:H, 7, 0)</f>
        <v>1.1636090242685134E-2</v>
      </c>
      <c r="M1940" s="7">
        <f t="shared" si="98"/>
        <v>0.93088721941481078</v>
      </c>
      <c r="N1940" s="4" t="s">
        <v>825</v>
      </c>
      <c r="O1940" s="4">
        <f>VLOOKUP(B1940, 'All Menu'!B:L, 6, 0)</f>
        <v>5.9913793103448283</v>
      </c>
      <c r="P1940" s="6">
        <f>VLOOKUP(B1940, 'All Menu'!B:L, 9, 0)</f>
        <v>3.6686979324224152</v>
      </c>
      <c r="Q1940" s="14">
        <f>VLOOKUP(B1940, 'All Menu'!B:M, 12, 0)</f>
        <v>0.38767056091942431</v>
      </c>
      <c r="R1940" s="173">
        <f t="shared" ref="R1940:R2002" si="99">C1940*K1940</f>
        <v>0</v>
      </c>
    </row>
    <row r="1941" spans="1:18" ht="14" hidden="1">
      <c r="A1941" s="78" t="s">
        <v>3070</v>
      </c>
      <c r="B1941" s="220" t="s">
        <v>966</v>
      </c>
      <c r="C1941" s="185"/>
      <c r="D1941" s="103" t="str">
        <f>VLOOKUP(B1941, 'All Menu'!B:M, 4, 0)</f>
        <v>وجبة مشكل</v>
      </c>
      <c r="E1941" s="30" t="str">
        <f>VLOOKUP(B1941, 'All Menu'!B:M, 2, 0)</f>
        <v>قسم المشاوي</v>
      </c>
      <c r="F1941" s="103" t="str">
        <f>VLOOKUP(B1941, 'All Menu'!B:M, 3, 0)</f>
        <v>المشاوي سفري</v>
      </c>
      <c r="G1941" s="90" t="s">
        <v>2452</v>
      </c>
      <c r="H1941" s="219" t="s">
        <v>528</v>
      </c>
      <c r="I1941" s="110" t="str">
        <f>VLOOKUP(H1941, 'RM &amp; SF'!B:H, 2, 0)</f>
        <v>شقف متبلة</v>
      </c>
      <c r="J1941" s="184" t="str">
        <f>VLOOKUP(H1941, 'RM &amp; SF'!B:E, 4, 0)</f>
        <v>غم</v>
      </c>
      <c r="K1941" s="12">
        <v>100</v>
      </c>
      <c r="L1941" s="13">
        <f>VLOOKUP(H1941, 'RM &amp; SF'!B:H, 7, 0)</f>
        <v>2.0415146666666665E-2</v>
      </c>
      <c r="M1941" s="7">
        <f t="shared" si="98"/>
        <v>2.0415146666666666</v>
      </c>
      <c r="N1941" s="4" t="s">
        <v>825</v>
      </c>
      <c r="O1941" s="4">
        <f>VLOOKUP(B1941, 'All Menu'!B:L, 6, 0)</f>
        <v>5.9913793103448283</v>
      </c>
      <c r="P1941" s="6">
        <f>VLOOKUP(B1941, 'All Menu'!B:L, 9, 0)</f>
        <v>3.6686979324224152</v>
      </c>
      <c r="Q1941" s="14">
        <f>VLOOKUP(B1941, 'All Menu'!B:M, 12, 0)</f>
        <v>0.38767056091942431</v>
      </c>
      <c r="R1941" s="173">
        <f t="shared" si="99"/>
        <v>0</v>
      </c>
    </row>
    <row r="1942" spans="1:18" ht="14" hidden="1">
      <c r="A1942" s="78" t="s">
        <v>3070</v>
      </c>
      <c r="B1942" s="220" t="s">
        <v>966</v>
      </c>
      <c r="C1942" s="185"/>
      <c r="D1942" s="103" t="str">
        <f>VLOOKUP(B1942, 'All Menu'!B:M, 4, 0)</f>
        <v>وجبة مشكل</v>
      </c>
      <c r="E1942" s="30" t="str">
        <f>VLOOKUP(B1942, 'All Menu'!B:M, 2, 0)</f>
        <v>قسم المشاوي</v>
      </c>
      <c r="F1942" s="103" t="str">
        <f>VLOOKUP(B1942, 'All Menu'!B:M, 3, 0)</f>
        <v>المشاوي سفري</v>
      </c>
      <c r="G1942" s="90" t="s">
        <v>2456</v>
      </c>
      <c r="H1942" s="219" t="s">
        <v>506</v>
      </c>
      <c r="I1942" s="110" t="str">
        <f>VLOOKUP(H1942, 'RM &amp; SF'!B:H, 2, 0)</f>
        <v>شيش</v>
      </c>
      <c r="J1942" s="184" t="str">
        <f>VLOOKUP(H1942, 'RM &amp; SF'!B:E, 4, 0)</f>
        <v>غم</v>
      </c>
      <c r="K1942" s="12">
        <v>100</v>
      </c>
      <c r="L1942" s="13">
        <f>VLOOKUP(H1942, 'RM &amp; SF'!B:H, 7, 0)</f>
        <v>4.6721213030918281E-3</v>
      </c>
      <c r="M1942" s="7">
        <f t="shared" si="98"/>
        <v>0.46721213030918279</v>
      </c>
      <c r="N1942" s="4" t="s">
        <v>825</v>
      </c>
      <c r="O1942" s="4">
        <f>VLOOKUP(B1942, 'All Menu'!B:L, 6, 0)</f>
        <v>5.9913793103448283</v>
      </c>
      <c r="P1942" s="6">
        <f>VLOOKUP(B1942, 'All Menu'!B:L, 9, 0)</f>
        <v>3.6686979324224152</v>
      </c>
      <c r="Q1942" s="14">
        <f>VLOOKUP(B1942, 'All Menu'!B:M, 12, 0)</f>
        <v>0.38767056091942431</v>
      </c>
      <c r="R1942" s="173">
        <f t="shared" si="99"/>
        <v>0</v>
      </c>
    </row>
    <row r="1943" spans="1:18" ht="14" hidden="1">
      <c r="A1943" s="78" t="s">
        <v>3070</v>
      </c>
      <c r="B1943" s="220" t="s">
        <v>966</v>
      </c>
      <c r="C1943" s="185"/>
      <c r="D1943" s="103" t="str">
        <f>VLOOKUP(B1943, 'All Menu'!B:M, 4, 0)</f>
        <v>وجبة مشكل</v>
      </c>
      <c r="E1943" s="30" t="str">
        <f>VLOOKUP(B1943, 'All Menu'!B:M, 2, 0)</f>
        <v>قسم المشاوي</v>
      </c>
      <c r="F1943" s="103" t="str">
        <f>VLOOKUP(B1943, 'All Menu'!B:M, 3, 0)</f>
        <v>المشاوي سفري</v>
      </c>
      <c r="G1943" s="90" t="s">
        <v>2257</v>
      </c>
      <c r="H1943" s="188">
        <v>5281</v>
      </c>
      <c r="I1943" s="110" t="str">
        <f>VLOOKUP(H1943, 'RM &amp; SF'!B:H, 2, 0)</f>
        <v>بندوره مشاوي</v>
      </c>
      <c r="J1943" s="184" t="str">
        <f>VLOOKUP(H1943, 'RM &amp; SF'!B:E, 4, 0)</f>
        <v>غم</v>
      </c>
      <c r="K1943" s="12">
        <v>75</v>
      </c>
      <c r="L1943" s="13">
        <f>VLOOKUP(H1943, 'RM &amp; SF'!B:H, 7, 0)</f>
        <v>4.0000000000000002E-4</v>
      </c>
      <c r="M1943" s="7">
        <f t="shared" si="98"/>
        <v>3.0000000000000002E-2</v>
      </c>
      <c r="N1943" s="4" t="s">
        <v>825</v>
      </c>
      <c r="O1943" s="4">
        <f>VLOOKUP(B1943, 'All Menu'!B:L, 6, 0)</f>
        <v>5.9913793103448283</v>
      </c>
      <c r="P1943" s="6">
        <f>VLOOKUP(B1943, 'All Menu'!B:L, 9, 0)</f>
        <v>3.6686979324224152</v>
      </c>
      <c r="Q1943" s="14">
        <f>VLOOKUP(B1943, 'All Menu'!B:M, 12, 0)</f>
        <v>0.38767056091942431</v>
      </c>
      <c r="R1943" s="173">
        <f t="shared" si="99"/>
        <v>0</v>
      </c>
    </row>
    <row r="1944" spans="1:18" ht="14" hidden="1">
      <c r="A1944" s="78" t="s">
        <v>3070</v>
      </c>
      <c r="B1944" s="220" t="s">
        <v>966</v>
      </c>
      <c r="C1944" s="185"/>
      <c r="D1944" s="103" t="str">
        <f>VLOOKUP(B1944, 'All Menu'!B:M, 4, 0)</f>
        <v>وجبة مشكل</v>
      </c>
      <c r="E1944" s="30" t="str">
        <f>VLOOKUP(B1944, 'All Menu'!B:M, 2, 0)</f>
        <v>قسم المشاوي</v>
      </c>
      <c r="F1944" s="103" t="str">
        <f>VLOOKUP(B1944, 'All Menu'!B:M, 3, 0)</f>
        <v>المشاوي سفري</v>
      </c>
      <c r="G1944" s="90" t="s">
        <v>2235</v>
      </c>
      <c r="H1944" s="188">
        <v>4504</v>
      </c>
      <c r="I1944" s="110" t="str">
        <f>VLOOKUP(H1944, 'RM &amp; SF'!B:H, 2, 0)</f>
        <v>بصل مشاوي (بصل بيبي)***</v>
      </c>
      <c r="J1944" s="184" t="str">
        <f>VLOOKUP(H1944, 'RM &amp; SF'!B:E, 4, 0)</f>
        <v>غم</v>
      </c>
      <c r="K1944" s="12">
        <v>75</v>
      </c>
      <c r="L1944" s="13">
        <f>VLOOKUP(H1944, 'RM &amp; SF'!B:H, 7, 0)</f>
        <v>3.5E-4</v>
      </c>
      <c r="M1944" s="7">
        <f t="shared" si="98"/>
        <v>2.6249999999999999E-2</v>
      </c>
      <c r="N1944" s="4" t="s">
        <v>825</v>
      </c>
      <c r="O1944" s="4">
        <f>VLOOKUP(B1944, 'All Menu'!B:L, 6, 0)</f>
        <v>5.9913793103448283</v>
      </c>
      <c r="P1944" s="6">
        <f>VLOOKUP(B1944, 'All Menu'!B:L, 9, 0)</f>
        <v>3.6686979324224152</v>
      </c>
      <c r="Q1944" s="14">
        <f>VLOOKUP(B1944, 'All Menu'!B:M, 12, 0)</f>
        <v>0.38767056091942431</v>
      </c>
      <c r="R1944" s="173">
        <f t="shared" si="99"/>
        <v>0</v>
      </c>
    </row>
    <row r="1945" spans="1:18" ht="14" hidden="1">
      <c r="A1945" s="78" t="s">
        <v>3070</v>
      </c>
      <c r="B1945" s="220" t="s">
        <v>966</v>
      </c>
      <c r="C1945" s="185"/>
      <c r="D1945" s="103" t="str">
        <f>VLOOKUP(B1945, 'All Menu'!B:M, 4, 0)</f>
        <v>وجبة مشكل</v>
      </c>
      <c r="E1945" s="30" t="str">
        <f>VLOOKUP(B1945, 'All Menu'!B:M, 2, 0)</f>
        <v>قسم المشاوي</v>
      </c>
      <c r="F1945" s="103" t="str">
        <f>VLOOKUP(B1945, 'All Menu'!B:M, 3, 0)</f>
        <v>المشاوي سفري</v>
      </c>
      <c r="G1945" s="90" t="s">
        <v>2396</v>
      </c>
      <c r="H1945" s="219" t="s">
        <v>582</v>
      </c>
      <c r="I1945" s="110" t="str">
        <f>VLOOKUP(H1945, 'RM &amp; SF'!B:H, 2, 0)</f>
        <v>بيواز</v>
      </c>
      <c r="J1945" s="184" t="str">
        <f>VLOOKUP(H1945, 'RM &amp; SF'!B:E, 4, 0)</f>
        <v>غم</v>
      </c>
      <c r="K1945" s="12">
        <v>50</v>
      </c>
      <c r="L1945" s="13">
        <f>VLOOKUP(H1945, 'RM &amp; SF'!B:H, 7, 0)</f>
        <v>2.0666065869244635E-4</v>
      </c>
      <c r="M1945" s="7">
        <f t="shared" si="98"/>
        <v>1.0333032934622318E-2</v>
      </c>
      <c r="N1945" s="4" t="s">
        <v>825</v>
      </c>
      <c r="O1945" s="4">
        <f>VLOOKUP(B1945, 'All Menu'!B:L, 6, 0)</f>
        <v>5.9913793103448283</v>
      </c>
      <c r="P1945" s="6">
        <f>VLOOKUP(B1945, 'All Menu'!B:L, 9, 0)</f>
        <v>3.6686979324224152</v>
      </c>
      <c r="Q1945" s="14">
        <f>VLOOKUP(B1945, 'All Menu'!B:M, 12, 0)</f>
        <v>0.38767056091942431</v>
      </c>
      <c r="R1945" s="173">
        <f t="shared" si="99"/>
        <v>0</v>
      </c>
    </row>
    <row r="1946" spans="1:18" ht="14" hidden="1">
      <c r="A1946" s="78" t="s">
        <v>3070</v>
      </c>
      <c r="B1946" s="220" t="s">
        <v>966</v>
      </c>
      <c r="C1946" s="185"/>
      <c r="D1946" s="103" t="str">
        <f>VLOOKUP(B1946, 'All Menu'!B:M, 4, 0)</f>
        <v>وجبة مشكل</v>
      </c>
      <c r="E1946" s="30" t="str">
        <f>VLOOKUP(B1946, 'All Menu'!B:M, 2, 0)</f>
        <v>قسم المشاوي</v>
      </c>
      <c r="F1946" s="103" t="str">
        <f>VLOOKUP(B1946, 'All Menu'!B:M, 3, 0)</f>
        <v>المشاوي سفري</v>
      </c>
      <c r="G1946" s="90" t="s">
        <v>2196</v>
      </c>
      <c r="H1946" s="188">
        <v>4346</v>
      </c>
      <c r="I1946" s="110" t="str">
        <f>VLOOKUP(H1946, 'RM &amp; SF'!B:H, 2, 0)</f>
        <v>صحن كرتون بيضوي مذهب 25 سم (رقم 1)*****</v>
      </c>
      <c r="J1946" s="184" t="str">
        <f>VLOOKUP(H1946, 'RM &amp; SF'!B:E, 4, 0)</f>
        <v>قطعة</v>
      </c>
      <c r="K1946" s="12">
        <v>1</v>
      </c>
      <c r="L1946" s="13">
        <f>VLOOKUP(H1946, 'RM &amp; SF'!B:H, 7, 0)</f>
        <v>7.4700000000000003E-2</v>
      </c>
      <c r="M1946" s="7">
        <f t="shared" si="98"/>
        <v>7.4700000000000003E-2</v>
      </c>
      <c r="N1946" s="4" t="s">
        <v>825</v>
      </c>
      <c r="O1946" s="4">
        <f>VLOOKUP(B1946, 'All Menu'!B:L, 6, 0)</f>
        <v>5.9913793103448283</v>
      </c>
      <c r="P1946" s="6">
        <f>VLOOKUP(B1946, 'All Menu'!B:L, 9, 0)</f>
        <v>3.6686979324224152</v>
      </c>
      <c r="Q1946" s="14">
        <f>VLOOKUP(B1946, 'All Menu'!B:M, 12, 0)</f>
        <v>0.38767056091942431</v>
      </c>
      <c r="R1946" s="173">
        <f t="shared" si="99"/>
        <v>0</v>
      </c>
    </row>
    <row r="1947" spans="1:18" ht="14" hidden="1">
      <c r="A1947" s="78" t="s">
        <v>3070</v>
      </c>
      <c r="B1947" s="220" t="s">
        <v>966</v>
      </c>
      <c r="C1947" s="185"/>
      <c r="D1947" s="103" t="str">
        <f>VLOOKUP(B1947, 'All Menu'!B:M, 4, 0)</f>
        <v>وجبة مشكل</v>
      </c>
      <c r="E1947" s="30" t="str">
        <f>VLOOKUP(B1947, 'All Menu'!B:M, 2, 0)</f>
        <v>قسم المشاوي</v>
      </c>
      <c r="F1947" s="103" t="str">
        <f>VLOOKUP(B1947, 'All Menu'!B:M, 3, 0)</f>
        <v>المشاوي سفري</v>
      </c>
      <c r="G1947" s="90" t="s">
        <v>2194</v>
      </c>
      <c r="H1947" s="188">
        <v>4323</v>
      </c>
      <c r="I1947" s="110" t="str">
        <f>VLOOKUP(H1947, 'RM &amp; SF'!B:H, 2, 0)</f>
        <v>قصدير رول 45 سم*2كغ*****</v>
      </c>
      <c r="J1947" s="184" t="str">
        <f>VLOOKUP(H1947, 'RM &amp; SF'!B:E, 4, 0)</f>
        <v>غم</v>
      </c>
      <c r="K1947" s="12">
        <v>0.06</v>
      </c>
      <c r="L1947" s="13">
        <f>VLOOKUP(H1947, 'RM &amp; SF'!B:H, 7, 0)</f>
        <v>1.7240000000000001E-3</v>
      </c>
      <c r="M1947" s="7">
        <f t="shared" si="98"/>
        <v>1.0344E-4</v>
      </c>
      <c r="N1947" s="4" t="s">
        <v>825</v>
      </c>
      <c r="O1947" s="4">
        <f>VLOOKUP(B1947, 'All Menu'!B:L, 6, 0)</f>
        <v>5.9913793103448283</v>
      </c>
      <c r="P1947" s="6">
        <f>VLOOKUP(B1947, 'All Menu'!B:L, 9, 0)</f>
        <v>3.6686979324224152</v>
      </c>
      <c r="Q1947" s="14">
        <f>VLOOKUP(B1947, 'All Menu'!B:M, 12, 0)</f>
        <v>0.38767056091942431</v>
      </c>
      <c r="R1947" s="173">
        <f t="shared" si="99"/>
        <v>0</v>
      </c>
    </row>
    <row r="1948" spans="1:18" ht="14" hidden="1">
      <c r="A1948" s="78" t="s">
        <v>3070</v>
      </c>
      <c r="B1948" s="220" t="s">
        <v>966</v>
      </c>
      <c r="C1948" s="185"/>
      <c r="D1948" s="103" t="str">
        <f>VLOOKUP(B1948, 'All Menu'!B:M, 4, 0)</f>
        <v>وجبة مشكل</v>
      </c>
      <c r="E1948" s="30" t="str">
        <f>VLOOKUP(B1948, 'All Menu'!B:M, 2, 0)</f>
        <v>قسم المشاوي</v>
      </c>
      <c r="F1948" s="103" t="str">
        <f>VLOOKUP(B1948, 'All Menu'!B:M, 3, 0)</f>
        <v>المشاوي سفري</v>
      </c>
      <c r="G1948" s="90" t="s">
        <v>2397</v>
      </c>
      <c r="H1948" s="219" t="s">
        <v>580</v>
      </c>
      <c r="I1948" s="110" t="str">
        <f>VLOOKUP(H1948, 'RM &amp; SF'!B:H, 2, 0)</f>
        <v>طحينة مشاوي</v>
      </c>
      <c r="J1948" s="184" t="str">
        <f>VLOOKUP(H1948, 'RM &amp; SF'!B:E, 4, 0)</f>
        <v>غم</v>
      </c>
      <c r="K1948" s="12">
        <v>30</v>
      </c>
      <c r="L1948" s="13">
        <f>VLOOKUP(H1948, 'RM &amp; SF'!B:H, 7, 0)</f>
        <v>1.0841676434676436E-3</v>
      </c>
      <c r="M1948" s="7">
        <f t="shared" si="98"/>
        <v>3.2525029304029306E-2</v>
      </c>
      <c r="N1948" s="4" t="s">
        <v>825</v>
      </c>
      <c r="O1948" s="4">
        <f>VLOOKUP(B1948, 'All Menu'!B:L, 6, 0)</f>
        <v>5.9913793103448283</v>
      </c>
      <c r="P1948" s="6">
        <f>VLOOKUP(B1948, 'All Menu'!B:L, 9, 0)</f>
        <v>3.6686979324224152</v>
      </c>
      <c r="Q1948" s="14">
        <f>VLOOKUP(B1948, 'All Menu'!B:M, 12, 0)</f>
        <v>0.38767056091942431</v>
      </c>
      <c r="R1948" s="173">
        <f t="shared" si="99"/>
        <v>0</v>
      </c>
    </row>
    <row r="1949" spans="1:18" ht="14" hidden="1">
      <c r="A1949" s="78" t="s">
        <v>3070</v>
      </c>
      <c r="B1949" s="220" t="s">
        <v>966</v>
      </c>
      <c r="C1949" s="185"/>
      <c r="D1949" s="103" t="str">
        <f>VLOOKUP(B1949, 'All Menu'!B:M, 4, 0)</f>
        <v>وجبة مشكل</v>
      </c>
      <c r="E1949" s="30" t="str">
        <f>VLOOKUP(B1949, 'All Menu'!B:M, 2, 0)</f>
        <v>قسم المشاوي</v>
      </c>
      <c r="F1949" s="103" t="str">
        <f>VLOOKUP(B1949, 'All Menu'!B:M, 3, 0)</f>
        <v>المشاوي سفري</v>
      </c>
      <c r="G1949" s="90" t="s">
        <v>2193</v>
      </c>
      <c r="H1949" s="188">
        <v>4309</v>
      </c>
      <c r="I1949" s="110" t="str">
        <f>VLOOKUP(H1949, 'RM &amp; SF'!B:H, 2, 0)</f>
        <v>اكياس بلاستيك مطبوع 55 سم*****</v>
      </c>
      <c r="J1949" s="184" t="str">
        <f>VLOOKUP(H1949, 'RM &amp; SF'!B:E, 4, 0)</f>
        <v>قطعة</v>
      </c>
      <c r="K1949" s="12">
        <v>1</v>
      </c>
      <c r="L1949" s="13">
        <f>VLOOKUP(H1949, 'RM &amp; SF'!B:H, 7, 0)</f>
        <v>5.5172413793103454E-2</v>
      </c>
      <c r="M1949" s="7">
        <f t="shared" si="98"/>
        <v>5.5172413793103454E-2</v>
      </c>
      <c r="N1949" s="4" t="s">
        <v>825</v>
      </c>
      <c r="O1949" s="4">
        <f>VLOOKUP(B1949, 'All Menu'!B:L, 6, 0)</f>
        <v>5.9913793103448283</v>
      </c>
      <c r="P1949" s="6">
        <f>VLOOKUP(B1949, 'All Menu'!B:L, 9, 0)</f>
        <v>3.6686979324224152</v>
      </c>
      <c r="Q1949" s="14">
        <f>VLOOKUP(B1949, 'All Menu'!B:M, 12, 0)</f>
        <v>0.38767056091942431</v>
      </c>
      <c r="R1949" s="173">
        <f t="shared" si="99"/>
        <v>0</v>
      </c>
    </row>
    <row r="1950" spans="1:18" ht="14" hidden="1">
      <c r="A1950" s="78" t="s">
        <v>3067</v>
      </c>
      <c r="B1950" s="220" t="s">
        <v>967</v>
      </c>
      <c r="C1950" s="185"/>
      <c r="D1950" s="103" t="str">
        <f>VLOOKUP(B1950, 'All Menu'!B:M, 4, 0)</f>
        <v>وجبة شقف فردية</v>
      </c>
      <c r="E1950" s="30" t="str">
        <f>VLOOKUP(B1950, 'All Menu'!B:M, 2, 0)</f>
        <v>قسم المشاوي</v>
      </c>
      <c r="F1950" s="103" t="str">
        <f>VLOOKUP(B1950, 'All Menu'!B:M, 3, 0)</f>
        <v>المشاوي سفري</v>
      </c>
      <c r="G1950" s="90" t="s">
        <v>2452</v>
      </c>
      <c r="H1950" s="219" t="s">
        <v>528</v>
      </c>
      <c r="I1950" s="110" t="str">
        <f>VLOOKUP(H1950, 'RM &amp; SF'!B:H, 2, 0)</f>
        <v>شقف متبلة</v>
      </c>
      <c r="J1950" s="184" t="str">
        <f>VLOOKUP(H1950, 'RM &amp; SF'!B:E, 4, 0)</f>
        <v>غم</v>
      </c>
      <c r="K1950" s="12">
        <v>300</v>
      </c>
      <c r="L1950" s="13">
        <f>VLOOKUP(H1950, 'RM &amp; SF'!B:H, 7, 0)</f>
        <v>2.0415146666666665E-2</v>
      </c>
      <c r="M1950" s="7">
        <f t="shared" si="98"/>
        <v>6.1245439999999993</v>
      </c>
      <c r="N1950" s="4" t="s">
        <v>825</v>
      </c>
      <c r="O1950" s="4">
        <f>VLOOKUP(B1950, 'All Menu'!B:L, 6, 0)</f>
        <v>7.112068965517242</v>
      </c>
      <c r="P1950" s="6">
        <f>VLOOKUP(B1950, 'All Menu'!B:L, 9, 0)</f>
        <v>6.3656279160317544</v>
      </c>
      <c r="Q1950" s="14">
        <f>VLOOKUP(B1950, 'All Menu'!B:M, 12, 0)</f>
        <v>0.10495413544280795</v>
      </c>
      <c r="R1950" s="173">
        <f t="shared" si="99"/>
        <v>0</v>
      </c>
    </row>
    <row r="1951" spans="1:18" ht="14" hidden="1">
      <c r="A1951" s="78" t="s">
        <v>3067</v>
      </c>
      <c r="B1951" s="220" t="s">
        <v>967</v>
      </c>
      <c r="C1951" s="185"/>
      <c r="D1951" s="103" t="str">
        <f>VLOOKUP(B1951, 'All Menu'!B:M, 4, 0)</f>
        <v>وجبة شقف فردية</v>
      </c>
      <c r="E1951" s="30" t="str">
        <f>VLOOKUP(B1951, 'All Menu'!B:M, 2, 0)</f>
        <v>قسم المشاوي</v>
      </c>
      <c r="F1951" s="103" t="str">
        <f>VLOOKUP(B1951, 'All Menu'!B:M, 3, 0)</f>
        <v>المشاوي سفري</v>
      </c>
      <c r="G1951" s="90" t="s">
        <v>2257</v>
      </c>
      <c r="H1951" s="188">
        <v>5281</v>
      </c>
      <c r="I1951" s="110" t="str">
        <f>VLOOKUP(H1951, 'RM &amp; SF'!B:H, 2, 0)</f>
        <v>بندوره مشاوي</v>
      </c>
      <c r="J1951" s="184" t="str">
        <f>VLOOKUP(H1951, 'RM &amp; SF'!B:E, 4, 0)</f>
        <v>غم</v>
      </c>
      <c r="K1951" s="12">
        <v>75</v>
      </c>
      <c r="L1951" s="13">
        <f>VLOOKUP(H1951, 'RM &amp; SF'!B:H, 7, 0)</f>
        <v>4.0000000000000002E-4</v>
      </c>
      <c r="M1951" s="7">
        <f t="shared" si="98"/>
        <v>3.0000000000000002E-2</v>
      </c>
      <c r="N1951" s="4" t="s">
        <v>825</v>
      </c>
      <c r="O1951" s="4">
        <f>VLOOKUP(B1951, 'All Menu'!B:L, 6, 0)</f>
        <v>7.112068965517242</v>
      </c>
      <c r="P1951" s="6">
        <f>VLOOKUP(B1951, 'All Menu'!B:L, 9, 0)</f>
        <v>6.3656279160317544</v>
      </c>
      <c r="Q1951" s="14">
        <f>VLOOKUP(B1951, 'All Menu'!B:M, 12, 0)</f>
        <v>0.10495413544280795</v>
      </c>
      <c r="R1951" s="173">
        <f t="shared" si="99"/>
        <v>0</v>
      </c>
    </row>
    <row r="1952" spans="1:18" ht="14" hidden="1">
      <c r="A1952" s="78" t="s">
        <v>3067</v>
      </c>
      <c r="B1952" s="220" t="s">
        <v>967</v>
      </c>
      <c r="C1952" s="185"/>
      <c r="D1952" s="103" t="str">
        <f>VLOOKUP(B1952, 'All Menu'!B:M, 4, 0)</f>
        <v>وجبة شقف فردية</v>
      </c>
      <c r="E1952" s="30" t="str">
        <f>VLOOKUP(B1952, 'All Menu'!B:M, 2, 0)</f>
        <v>قسم المشاوي</v>
      </c>
      <c r="F1952" s="103" t="str">
        <f>VLOOKUP(B1952, 'All Menu'!B:M, 3, 0)</f>
        <v>المشاوي سفري</v>
      </c>
      <c r="G1952" s="90" t="s">
        <v>2235</v>
      </c>
      <c r="H1952" s="188">
        <v>4504</v>
      </c>
      <c r="I1952" s="110" t="str">
        <f>VLOOKUP(H1952, 'RM &amp; SF'!B:H, 2, 0)</f>
        <v>بصل مشاوي (بصل بيبي)***</v>
      </c>
      <c r="J1952" s="184" t="str">
        <f>VLOOKUP(H1952, 'RM &amp; SF'!B:E, 4, 0)</f>
        <v>غم</v>
      </c>
      <c r="K1952" s="12">
        <v>75</v>
      </c>
      <c r="L1952" s="13">
        <f>VLOOKUP(H1952, 'RM &amp; SF'!B:H, 7, 0)</f>
        <v>3.5E-4</v>
      </c>
      <c r="M1952" s="7">
        <f t="shared" si="98"/>
        <v>2.6249999999999999E-2</v>
      </c>
      <c r="N1952" s="4" t="s">
        <v>825</v>
      </c>
      <c r="O1952" s="4">
        <f>VLOOKUP(B1952, 'All Menu'!B:L, 6, 0)</f>
        <v>7.112068965517242</v>
      </c>
      <c r="P1952" s="6">
        <f>VLOOKUP(B1952, 'All Menu'!B:L, 9, 0)</f>
        <v>6.3656279160317544</v>
      </c>
      <c r="Q1952" s="14">
        <f>VLOOKUP(B1952, 'All Menu'!B:M, 12, 0)</f>
        <v>0.10495413544280795</v>
      </c>
      <c r="R1952" s="173">
        <f t="shared" si="99"/>
        <v>0</v>
      </c>
    </row>
    <row r="1953" spans="1:18" ht="14" hidden="1">
      <c r="A1953" s="78" t="s">
        <v>3067</v>
      </c>
      <c r="B1953" s="220" t="s">
        <v>967</v>
      </c>
      <c r="C1953" s="185"/>
      <c r="D1953" s="103" t="str">
        <f>VLOOKUP(B1953, 'All Menu'!B:M, 4, 0)</f>
        <v>وجبة شقف فردية</v>
      </c>
      <c r="E1953" s="30" t="str">
        <f>VLOOKUP(B1953, 'All Menu'!B:M, 2, 0)</f>
        <v>قسم المشاوي</v>
      </c>
      <c r="F1953" s="103" t="str">
        <f>VLOOKUP(B1953, 'All Menu'!B:M, 3, 0)</f>
        <v>المشاوي سفري</v>
      </c>
      <c r="G1953" s="90" t="s">
        <v>2196</v>
      </c>
      <c r="H1953" s="188">
        <v>4346</v>
      </c>
      <c r="I1953" s="110" t="str">
        <f>VLOOKUP(H1953, 'RM &amp; SF'!B:H, 2, 0)</f>
        <v>صحن كرتون بيضوي مذهب 25 سم (رقم 1)*****</v>
      </c>
      <c r="J1953" s="184" t="str">
        <f>VLOOKUP(H1953, 'RM &amp; SF'!B:E, 4, 0)</f>
        <v>قطعة</v>
      </c>
      <c r="K1953" s="12">
        <v>1</v>
      </c>
      <c r="L1953" s="13">
        <f>VLOOKUP(H1953, 'RM &amp; SF'!B:H, 7, 0)</f>
        <v>7.4700000000000003E-2</v>
      </c>
      <c r="M1953" s="7">
        <f t="shared" si="98"/>
        <v>7.4700000000000003E-2</v>
      </c>
      <c r="N1953" s="4" t="s">
        <v>825</v>
      </c>
      <c r="O1953" s="4">
        <f>VLOOKUP(B1953, 'All Menu'!B:L, 6, 0)</f>
        <v>7.112068965517242</v>
      </c>
      <c r="P1953" s="6">
        <f>VLOOKUP(B1953, 'All Menu'!B:L, 9, 0)</f>
        <v>6.3656279160317544</v>
      </c>
      <c r="Q1953" s="14">
        <f>VLOOKUP(B1953, 'All Menu'!B:M, 12, 0)</f>
        <v>0.10495413544280795</v>
      </c>
      <c r="R1953" s="173">
        <f t="shared" si="99"/>
        <v>0</v>
      </c>
    </row>
    <row r="1954" spans="1:18" ht="14" hidden="1">
      <c r="A1954" s="78" t="s">
        <v>3067</v>
      </c>
      <c r="B1954" s="220" t="s">
        <v>967</v>
      </c>
      <c r="C1954" s="185"/>
      <c r="D1954" s="103" t="str">
        <f>VLOOKUP(B1954, 'All Menu'!B:M, 4, 0)</f>
        <v>وجبة شقف فردية</v>
      </c>
      <c r="E1954" s="30" t="str">
        <f>VLOOKUP(B1954, 'All Menu'!B:M, 2, 0)</f>
        <v>قسم المشاوي</v>
      </c>
      <c r="F1954" s="103" t="str">
        <f>VLOOKUP(B1954, 'All Menu'!B:M, 3, 0)</f>
        <v>المشاوي سفري</v>
      </c>
      <c r="G1954" s="90" t="s">
        <v>2194</v>
      </c>
      <c r="H1954" s="188">
        <v>4323</v>
      </c>
      <c r="I1954" s="110" t="str">
        <f>VLOOKUP(H1954, 'RM &amp; SF'!B:H, 2, 0)</f>
        <v>قصدير رول 45 سم*2كغ*****</v>
      </c>
      <c r="J1954" s="184" t="str">
        <f>VLOOKUP(H1954, 'RM &amp; SF'!B:E, 4, 0)</f>
        <v>غم</v>
      </c>
      <c r="K1954" s="12">
        <v>0.06</v>
      </c>
      <c r="L1954" s="13">
        <f>VLOOKUP(H1954, 'RM &amp; SF'!B:H, 7, 0)</f>
        <v>1.7240000000000001E-3</v>
      </c>
      <c r="M1954" s="7">
        <f t="shared" si="98"/>
        <v>1.0344E-4</v>
      </c>
      <c r="N1954" s="4" t="s">
        <v>825</v>
      </c>
      <c r="O1954" s="4">
        <f>VLOOKUP(B1954, 'All Menu'!B:L, 6, 0)</f>
        <v>7.112068965517242</v>
      </c>
      <c r="P1954" s="6">
        <f>VLOOKUP(B1954, 'All Menu'!B:L, 9, 0)</f>
        <v>6.3656279160317544</v>
      </c>
      <c r="Q1954" s="14">
        <f>VLOOKUP(B1954, 'All Menu'!B:M, 12, 0)</f>
        <v>0.10495413544280795</v>
      </c>
      <c r="R1954" s="173">
        <f t="shared" si="99"/>
        <v>0</v>
      </c>
    </row>
    <row r="1955" spans="1:18" ht="14" hidden="1">
      <c r="A1955" s="78" t="s">
        <v>3067</v>
      </c>
      <c r="B1955" s="220" t="s">
        <v>967</v>
      </c>
      <c r="C1955" s="185"/>
      <c r="D1955" s="103" t="str">
        <f>VLOOKUP(B1955, 'All Menu'!B:M, 4, 0)</f>
        <v>وجبة شقف فردية</v>
      </c>
      <c r="E1955" s="30" t="str">
        <f>VLOOKUP(B1955, 'All Menu'!B:M, 2, 0)</f>
        <v>قسم المشاوي</v>
      </c>
      <c r="F1955" s="103" t="str">
        <f>VLOOKUP(B1955, 'All Menu'!B:M, 3, 0)</f>
        <v>المشاوي سفري</v>
      </c>
      <c r="G1955" s="90" t="s">
        <v>2193</v>
      </c>
      <c r="H1955" s="188">
        <v>4309</v>
      </c>
      <c r="I1955" s="110" t="str">
        <f>VLOOKUP(H1955, 'RM &amp; SF'!B:H, 2, 0)</f>
        <v>اكياس بلاستيك مطبوع 55 سم*****</v>
      </c>
      <c r="J1955" s="184" t="str">
        <f>VLOOKUP(H1955, 'RM &amp; SF'!B:E, 4, 0)</f>
        <v>قطعة</v>
      </c>
      <c r="K1955" s="12">
        <v>1</v>
      </c>
      <c r="L1955" s="13">
        <f>VLOOKUP(H1955, 'RM &amp; SF'!B:H, 7, 0)</f>
        <v>5.5172413793103454E-2</v>
      </c>
      <c r="M1955" s="7">
        <f t="shared" si="98"/>
        <v>5.5172413793103454E-2</v>
      </c>
      <c r="N1955" s="4" t="s">
        <v>825</v>
      </c>
      <c r="O1955" s="4">
        <f>VLOOKUP(B1955, 'All Menu'!B:L, 6, 0)</f>
        <v>7.112068965517242</v>
      </c>
      <c r="P1955" s="6">
        <f>VLOOKUP(B1955, 'All Menu'!B:L, 9, 0)</f>
        <v>6.3656279160317544</v>
      </c>
      <c r="Q1955" s="14">
        <f>VLOOKUP(B1955, 'All Menu'!B:M, 12, 0)</f>
        <v>0.10495413544280795</v>
      </c>
      <c r="R1955" s="173">
        <f t="shared" si="99"/>
        <v>0</v>
      </c>
    </row>
    <row r="1956" spans="1:18" ht="14" hidden="1">
      <c r="A1956" s="78" t="s">
        <v>3067</v>
      </c>
      <c r="B1956" s="220" t="s">
        <v>967</v>
      </c>
      <c r="C1956" s="185"/>
      <c r="D1956" s="103" t="str">
        <f>VLOOKUP(B1956, 'All Menu'!B:M, 4, 0)</f>
        <v>وجبة شقف فردية</v>
      </c>
      <c r="E1956" s="30" t="str">
        <f>VLOOKUP(B1956, 'All Menu'!B:M, 2, 0)</f>
        <v>قسم المشاوي</v>
      </c>
      <c r="F1956" s="103" t="str">
        <f>VLOOKUP(B1956, 'All Menu'!B:M, 3, 0)</f>
        <v>المشاوي سفري</v>
      </c>
      <c r="G1956" s="90" t="s">
        <v>2396</v>
      </c>
      <c r="H1956" s="219" t="s">
        <v>582</v>
      </c>
      <c r="I1956" s="110" t="str">
        <f>VLOOKUP(H1956, 'RM &amp; SF'!B:H, 2, 0)</f>
        <v>بيواز</v>
      </c>
      <c r="J1956" s="184" t="str">
        <f>VLOOKUP(H1956, 'RM &amp; SF'!B:E, 4, 0)</f>
        <v>غم</v>
      </c>
      <c r="K1956" s="12">
        <v>50</v>
      </c>
      <c r="L1956" s="13">
        <f>VLOOKUP(H1956, 'RM &amp; SF'!B:H, 7, 0)</f>
        <v>2.0666065869244635E-4</v>
      </c>
      <c r="M1956" s="7">
        <f t="shared" si="98"/>
        <v>1.0333032934622318E-2</v>
      </c>
      <c r="N1956" s="4" t="s">
        <v>825</v>
      </c>
      <c r="O1956" s="4">
        <f>VLOOKUP(B1956, 'All Menu'!B:L, 6, 0)</f>
        <v>7.112068965517242</v>
      </c>
      <c r="P1956" s="6">
        <f>VLOOKUP(B1956, 'All Menu'!B:L, 9, 0)</f>
        <v>6.3656279160317544</v>
      </c>
      <c r="Q1956" s="14">
        <f>VLOOKUP(B1956, 'All Menu'!B:M, 12, 0)</f>
        <v>0.10495413544280795</v>
      </c>
      <c r="R1956" s="173">
        <f t="shared" si="99"/>
        <v>0</v>
      </c>
    </row>
    <row r="1957" spans="1:18" ht="14" hidden="1">
      <c r="A1957" s="78" t="s">
        <v>3067</v>
      </c>
      <c r="B1957" s="220" t="s">
        <v>967</v>
      </c>
      <c r="C1957" s="185"/>
      <c r="D1957" s="103" t="str">
        <f>VLOOKUP(B1957, 'All Menu'!B:M, 4, 0)</f>
        <v>وجبة شقف فردية</v>
      </c>
      <c r="E1957" s="30" t="str">
        <f>VLOOKUP(B1957, 'All Menu'!B:M, 2, 0)</f>
        <v>قسم المشاوي</v>
      </c>
      <c r="F1957" s="103" t="str">
        <f>VLOOKUP(B1957, 'All Menu'!B:M, 3, 0)</f>
        <v>المشاوي سفري</v>
      </c>
      <c r="G1957" s="90" t="s">
        <v>2397</v>
      </c>
      <c r="H1957" s="219" t="s">
        <v>580</v>
      </c>
      <c r="I1957" s="110" t="str">
        <f>VLOOKUP(H1957, 'RM &amp; SF'!B:H, 2, 0)</f>
        <v>طحينة مشاوي</v>
      </c>
      <c r="J1957" s="184" t="str">
        <f>VLOOKUP(H1957, 'RM &amp; SF'!B:E, 4, 0)</f>
        <v>غم</v>
      </c>
      <c r="K1957" s="12">
        <v>30</v>
      </c>
      <c r="L1957" s="13">
        <f>VLOOKUP(H1957, 'RM &amp; SF'!B:H, 7, 0)</f>
        <v>1.0841676434676436E-3</v>
      </c>
      <c r="M1957" s="7">
        <f t="shared" si="98"/>
        <v>3.2525029304029306E-2</v>
      </c>
      <c r="N1957" s="4" t="s">
        <v>825</v>
      </c>
      <c r="O1957" s="4">
        <f>VLOOKUP(B1957, 'All Menu'!B:L, 6, 0)</f>
        <v>7.112068965517242</v>
      </c>
      <c r="P1957" s="6">
        <f>VLOOKUP(B1957, 'All Menu'!B:L, 9, 0)</f>
        <v>6.3656279160317544</v>
      </c>
      <c r="Q1957" s="14">
        <f>VLOOKUP(B1957, 'All Menu'!B:M, 12, 0)</f>
        <v>0.10495413544280795</v>
      </c>
      <c r="R1957" s="173">
        <f t="shared" si="99"/>
        <v>0</v>
      </c>
    </row>
    <row r="1958" spans="1:18" ht="14" hidden="1">
      <c r="A1958" s="78" t="s">
        <v>3067</v>
      </c>
      <c r="B1958" s="220" t="s">
        <v>967</v>
      </c>
      <c r="C1958" s="185"/>
      <c r="D1958" s="103" t="str">
        <f>VLOOKUP(B1958, 'All Menu'!B:M, 4, 0)</f>
        <v>وجبة شقف فردية</v>
      </c>
      <c r="E1958" s="30" t="str">
        <f>VLOOKUP(B1958, 'All Menu'!B:M, 2, 0)</f>
        <v>قسم المشاوي</v>
      </c>
      <c r="F1958" s="103" t="str">
        <f>VLOOKUP(B1958, 'All Menu'!B:M, 3, 0)</f>
        <v>المشاوي سفري</v>
      </c>
      <c r="G1958" s="90" t="s">
        <v>3058</v>
      </c>
      <c r="H1958" s="188">
        <v>4289</v>
      </c>
      <c r="I1958" s="110" t="str">
        <f>VLOOKUP(H1958, 'RM &amp; SF'!B:H, 2, 0)</f>
        <v>علب صوص دائري منفصل أسود 30 مل 1*100 حبة*****</v>
      </c>
      <c r="J1958" s="184" t="str">
        <f>VLOOKUP(H1958, 'RM &amp; SF'!B:E, 4, 0)</f>
        <v>قطعة</v>
      </c>
      <c r="K1958" s="12">
        <v>1</v>
      </c>
      <c r="L1958" s="13">
        <f>VLOOKUP(H1958, 'RM &amp; SF'!B:H, 7, 0)</f>
        <v>1.2E-2</v>
      </c>
      <c r="M1958" s="7">
        <f t="shared" si="98"/>
        <v>1.2E-2</v>
      </c>
      <c r="N1958" s="4" t="s">
        <v>825</v>
      </c>
      <c r="O1958" s="4">
        <f>VLOOKUP(B1958, 'All Menu'!B:L, 6, 0)</f>
        <v>7.112068965517242</v>
      </c>
      <c r="P1958" s="6">
        <f>VLOOKUP(B1958, 'All Menu'!B:L, 9, 0)</f>
        <v>6.3656279160317544</v>
      </c>
      <c r="Q1958" s="14">
        <f>VLOOKUP(B1958, 'All Menu'!B:M, 12, 0)</f>
        <v>0.10495413544280795</v>
      </c>
      <c r="R1958" s="173">
        <f t="shared" si="99"/>
        <v>0</v>
      </c>
    </row>
    <row r="1959" spans="1:18" ht="14" hidden="1">
      <c r="A1959" s="78" t="s">
        <v>2774</v>
      </c>
      <c r="B1959" s="220" t="s">
        <v>968</v>
      </c>
      <c r="C1959" s="185"/>
      <c r="D1959" s="103" t="str">
        <f>VLOOKUP(B1959, 'All Menu'!B:M, 4, 0)</f>
        <v>وجبة ريش فردية</v>
      </c>
      <c r="E1959" s="30" t="str">
        <f>VLOOKUP(B1959, 'All Menu'!B:M, 2, 0)</f>
        <v>قسم المشاوي</v>
      </c>
      <c r="F1959" s="103" t="str">
        <f>VLOOKUP(B1959, 'All Menu'!B:M, 3, 0)</f>
        <v>المشاوي سفري</v>
      </c>
      <c r="G1959" s="90" t="s">
        <v>3058</v>
      </c>
      <c r="H1959" s="188">
        <v>4614</v>
      </c>
      <c r="I1959" s="110" t="str">
        <f>VLOOKUP(H1959, 'RM &amp; SF'!B:H, 2, 0)</f>
        <v>ريش ضأن متبلة*****</v>
      </c>
      <c r="J1959" s="184" t="str">
        <f>VLOOKUP(H1959, 'RM &amp; SF'!B:E, 4, 0)</f>
        <v>غم</v>
      </c>
      <c r="K1959" s="12">
        <v>300</v>
      </c>
      <c r="L1959" s="13">
        <f>VLOOKUP(H1959, 'RM &amp; SF'!B:H, 7, 0)</f>
        <v>1.4E-2</v>
      </c>
      <c r="M1959" s="7">
        <f t="shared" si="98"/>
        <v>4.2</v>
      </c>
      <c r="N1959" s="4" t="s">
        <v>825</v>
      </c>
      <c r="O1959" s="4">
        <f>VLOOKUP(B1959, 'All Menu'!B:L, 6, 0)</f>
        <v>6.25</v>
      </c>
      <c r="P1959" s="6">
        <f>VLOOKUP(B1959, 'All Menu'!B:L, 9, 0)</f>
        <v>4.410333916031755</v>
      </c>
      <c r="Q1959" s="14">
        <f>VLOOKUP(B1959, 'All Menu'!B:M, 12, 0)</f>
        <v>0.29434657343491921</v>
      </c>
      <c r="R1959" s="173">
        <f t="shared" si="99"/>
        <v>0</v>
      </c>
    </row>
    <row r="1960" spans="1:18" ht="14" hidden="1">
      <c r="A1960" s="78" t="s">
        <v>2774</v>
      </c>
      <c r="B1960" s="220" t="s">
        <v>968</v>
      </c>
      <c r="C1960" s="185"/>
      <c r="D1960" s="103" t="str">
        <f>VLOOKUP(B1960, 'All Menu'!B:M, 4, 0)</f>
        <v>وجبة ريش فردية</v>
      </c>
      <c r="E1960" s="30" t="str">
        <f>VLOOKUP(B1960, 'All Menu'!B:M, 2, 0)</f>
        <v>قسم المشاوي</v>
      </c>
      <c r="F1960" s="103" t="str">
        <f>VLOOKUP(B1960, 'All Menu'!B:M, 3, 0)</f>
        <v>المشاوي سفري</v>
      </c>
      <c r="G1960" s="90" t="s">
        <v>2257</v>
      </c>
      <c r="H1960" s="188">
        <v>5281</v>
      </c>
      <c r="I1960" s="110" t="str">
        <f>VLOOKUP(H1960, 'RM &amp; SF'!B:H, 2, 0)</f>
        <v>بندوره مشاوي</v>
      </c>
      <c r="J1960" s="184" t="str">
        <f>VLOOKUP(H1960, 'RM &amp; SF'!B:E, 4, 0)</f>
        <v>غم</v>
      </c>
      <c r="K1960" s="12">
        <v>50</v>
      </c>
      <c r="L1960" s="13">
        <f>VLOOKUP(H1960, 'RM &amp; SF'!B:H, 7, 0)</f>
        <v>4.0000000000000002E-4</v>
      </c>
      <c r="M1960" s="7">
        <f t="shared" si="98"/>
        <v>0.02</v>
      </c>
      <c r="N1960" s="4" t="s">
        <v>825</v>
      </c>
      <c r="O1960" s="4">
        <f>VLOOKUP(B1960, 'All Menu'!B:L, 6, 0)</f>
        <v>6.25</v>
      </c>
      <c r="P1960" s="6">
        <f>VLOOKUP(B1960, 'All Menu'!B:L, 9, 0)</f>
        <v>4.410333916031755</v>
      </c>
      <c r="Q1960" s="14">
        <f>VLOOKUP(B1960, 'All Menu'!B:M, 12, 0)</f>
        <v>0.29434657343491921</v>
      </c>
      <c r="R1960" s="173">
        <f t="shared" si="99"/>
        <v>0</v>
      </c>
    </row>
    <row r="1961" spans="1:18" ht="14" hidden="1">
      <c r="A1961" s="78" t="s">
        <v>2774</v>
      </c>
      <c r="B1961" s="220" t="s">
        <v>968</v>
      </c>
      <c r="C1961" s="185"/>
      <c r="D1961" s="103" t="str">
        <f>VLOOKUP(B1961, 'All Menu'!B:M, 4, 0)</f>
        <v>وجبة ريش فردية</v>
      </c>
      <c r="E1961" s="30" t="str">
        <f>VLOOKUP(B1961, 'All Menu'!B:M, 2, 0)</f>
        <v>قسم المشاوي</v>
      </c>
      <c r="F1961" s="103" t="str">
        <f>VLOOKUP(B1961, 'All Menu'!B:M, 3, 0)</f>
        <v>المشاوي سفري</v>
      </c>
      <c r="G1961" s="90" t="s">
        <v>2235</v>
      </c>
      <c r="H1961" s="188">
        <v>4504</v>
      </c>
      <c r="I1961" s="110" t="str">
        <f>VLOOKUP(H1961, 'RM &amp; SF'!B:H, 2, 0)</f>
        <v>بصل مشاوي (بصل بيبي)***</v>
      </c>
      <c r="J1961" s="184" t="str">
        <f>VLOOKUP(H1961, 'RM &amp; SF'!B:E, 4, 0)</f>
        <v>غم</v>
      </c>
      <c r="K1961" s="12">
        <v>50</v>
      </c>
      <c r="L1961" s="13">
        <f>VLOOKUP(H1961, 'RM &amp; SF'!B:H, 7, 0)</f>
        <v>3.5E-4</v>
      </c>
      <c r="M1961" s="7">
        <f t="shared" si="98"/>
        <v>1.7499999999999998E-2</v>
      </c>
      <c r="N1961" s="4" t="s">
        <v>825</v>
      </c>
      <c r="O1961" s="4">
        <f>VLOOKUP(B1961, 'All Menu'!B:L, 6, 0)</f>
        <v>6.25</v>
      </c>
      <c r="P1961" s="6">
        <f>VLOOKUP(B1961, 'All Menu'!B:L, 9, 0)</f>
        <v>4.410333916031755</v>
      </c>
      <c r="Q1961" s="14">
        <f>VLOOKUP(B1961, 'All Menu'!B:M, 12, 0)</f>
        <v>0.29434657343491921</v>
      </c>
      <c r="R1961" s="173">
        <f t="shared" si="99"/>
        <v>0</v>
      </c>
    </row>
    <row r="1962" spans="1:18" ht="14" hidden="1">
      <c r="A1962" s="78" t="s">
        <v>2774</v>
      </c>
      <c r="B1962" s="220" t="s">
        <v>968</v>
      </c>
      <c r="C1962" s="185"/>
      <c r="D1962" s="103" t="str">
        <f>VLOOKUP(B1962, 'All Menu'!B:M, 4, 0)</f>
        <v>وجبة ريش فردية</v>
      </c>
      <c r="E1962" s="30" t="str">
        <f>VLOOKUP(B1962, 'All Menu'!B:M, 2, 0)</f>
        <v>قسم المشاوي</v>
      </c>
      <c r="F1962" s="103" t="str">
        <f>VLOOKUP(B1962, 'All Menu'!B:M, 3, 0)</f>
        <v>المشاوي سفري</v>
      </c>
      <c r="G1962" s="90" t="s">
        <v>2396</v>
      </c>
      <c r="H1962" s="219" t="s">
        <v>582</v>
      </c>
      <c r="I1962" s="110" t="str">
        <f>VLOOKUP(H1962, 'RM &amp; SF'!B:H, 2, 0)</f>
        <v>بيواز</v>
      </c>
      <c r="J1962" s="184" t="str">
        <f>VLOOKUP(H1962, 'RM &amp; SF'!B:E, 4, 0)</f>
        <v>غم</v>
      </c>
      <c r="K1962" s="12">
        <v>50</v>
      </c>
      <c r="L1962" s="13">
        <f>VLOOKUP(H1962, 'RM &amp; SF'!B:H, 7, 0)</f>
        <v>2.0666065869244635E-4</v>
      </c>
      <c r="M1962" s="7">
        <f t="shared" si="98"/>
        <v>1.0333032934622318E-2</v>
      </c>
      <c r="N1962" s="4" t="s">
        <v>825</v>
      </c>
      <c r="O1962" s="4">
        <f>VLOOKUP(B1962, 'All Menu'!B:L, 6, 0)</f>
        <v>6.25</v>
      </c>
      <c r="P1962" s="6">
        <f>VLOOKUP(B1962, 'All Menu'!B:L, 9, 0)</f>
        <v>4.410333916031755</v>
      </c>
      <c r="Q1962" s="14">
        <f>VLOOKUP(B1962, 'All Menu'!B:M, 12, 0)</f>
        <v>0.29434657343491921</v>
      </c>
      <c r="R1962" s="173">
        <f t="shared" si="99"/>
        <v>0</v>
      </c>
    </row>
    <row r="1963" spans="1:18" ht="14" hidden="1">
      <c r="A1963" s="78" t="s">
        <v>2774</v>
      </c>
      <c r="B1963" s="220" t="s">
        <v>968</v>
      </c>
      <c r="C1963" s="185"/>
      <c r="D1963" s="103" t="str">
        <f>VLOOKUP(B1963, 'All Menu'!B:M, 4, 0)</f>
        <v>وجبة ريش فردية</v>
      </c>
      <c r="E1963" s="30" t="str">
        <f>VLOOKUP(B1963, 'All Menu'!B:M, 2, 0)</f>
        <v>قسم المشاوي</v>
      </c>
      <c r="F1963" s="103" t="str">
        <f>VLOOKUP(B1963, 'All Menu'!B:M, 3, 0)</f>
        <v>المشاوي سفري</v>
      </c>
      <c r="G1963" s="90" t="s">
        <v>2196</v>
      </c>
      <c r="H1963" s="188">
        <v>4346</v>
      </c>
      <c r="I1963" s="110" t="str">
        <f>VLOOKUP(H1963, 'RM &amp; SF'!B:H, 2, 0)</f>
        <v>صحن كرتون بيضوي مذهب 25 سم (رقم 1)*****</v>
      </c>
      <c r="J1963" s="184" t="str">
        <f>VLOOKUP(H1963, 'RM &amp; SF'!B:E, 4, 0)</f>
        <v>قطعة</v>
      </c>
      <c r="K1963" s="12">
        <v>1</v>
      </c>
      <c r="L1963" s="13">
        <f>VLOOKUP(H1963, 'RM &amp; SF'!B:H, 7, 0)</f>
        <v>7.4700000000000003E-2</v>
      </c>
      <c r="M1963" s="7">
        <f t="shared" si="98"/>
        <v>7.4700000000000003E-2</v>
      </c>
      <c r="N1963" s="4" t="s">
        <v>825</v>
      </c>
      <c r="O1963" s="4">
        <f>VLOOKUP(B1963, 'All Menu'!B:L, 6, 0)</f>
        <v>6.25</v>
      </c>
      <c r="P1963" s="6">
        <f>VLOOKUP(B1963, 'All Menu'!B:L, 9, 0)</f>
        <v>4.410333916031755</v>
      </c>
      <c r="Q1963" s="14">
        <f>VLOOKUP(B1963, 'All Menu'!B:M, 12, 0)</f>
        <v>0.29434657343491921</v>
      </c>
      <c r="R1963" s="173">
        <f t="shared" si="99"/>
        <v>0</v>
      </c>
    </row>
    <row r="1964" spans="1:18" ht="14" hidden="1">
      <c r="A1964" s="78" t="s">
        <v>2774</v>
      </c>
      <c r="B1964" s="220" t="s">
        <v>968</v>
      </c>
      <c r="C1964" s="185"/>
      <c r="D1964" s="103" t="str">
        <f>VLOOKUP(B1964, 'All Menu'!B:M, 4, 0)</f>
        <v>وجبة ريش فردية</v>
      </c>
      <c r="E1964" s="30" t="str">
        <f>VLOOKUP(B1964, 'All Menu'!B:M, 2, 0)</f>
        <v>قسم المشاوي</v>
      </c>
      <c r="F1964" s="103" t="str">
        <f>VLOOKUP(B1964, 'All Menu'!B:M, 3, 0)</f>
        <v>المشاوي سفري</v>
      </c>
      <c r="G1964" s="90" t="s">
        <v>2194</v>
      </c>
      <c r="H1964" s="188">
        <v>4323</v>
      </c>
      <c r="I1964" s="110" t="str">
        <f>VLOOKUP(H1964, 'RM &amp; SF'!B:H, 2, 0)</f>
        <v>قصدير رول 45 سم*2كغ*****</v>
      </c>
      <c r="J1964" s="184" t="str">
        <f>VLOOKUP(H1964, 'RM &amp; SF'!B:E, 4, 0)</f>
        <v>غم</v>
      </c>
      <c r="K1964" s="12">
        <v>0.06</v>
      </c>
      <c r="L1964" s="13">
        <f>VLOOKUP(H1964, 'RM &amp; SF'!B:H, 7, 0)</f>
        <v>1.7240000000000001E-3</v>
      </c>
      <c r="M1964" s="7">
        <f t="shared" si="98"/>
        <v>1.0344E-4</v>
      </c>
      <c r="N1964" s="4" t="s">
        <v>825</v>
      </c>
      <c r="O1964" s="4">
        <f>VLOOKUP(B1964, 'All Menu'!B:L, 6, 0)</f>
        <v>6.25</v>
      </c>
      <c r="P1964" s="6">
        <f>VLOOKUP(B1964, 'All Menu'!B:L, 9, 0)</f>
        <v>4.410333916031755</v>
      </c>
      <c r="Q1964" s="14">
        <f>VLOOKUP(B1964, 'All Menu'!B:M, 12, 0)</f>
        <v>0.29434657343491921</v>
      </c>
      <c r="R1964" s="173">
        <f t="shared" si="99"/>
        <v>0</v>
      </c>
    </row>
    <row r="1965" spans="1:18" ht="14" hidden="1">
      <c r="A1965" s="78" t="s">
        <v>2774</v>
      </c>
      <c r="B1965" s="220" t="s">
        <v>968</v>
      </c>
      <c r="C1965" s="185"/>
      <c r="D1965" s="103" t="str">
        <f>VLOOKUP(B1965, 'All Menu'!B:M, 4, 0)</f>
        <v>وجبة ريش فردية</v>
      </c>
      <c r="E1965" s="30" t="str">
        <f>VLOOKUP(B1965, 'All Menu'!B:M, 2, 0)</f>
        <v>قسم المشاوي</v>
      </c>
      <c r="F1965" s="103" t="str">
        <f>VLOOKUP(B1965, 'All Menu'!B:M, 3, 0)</f>
        <v>المشاوي سفري</v>
      </c>
      <c r="G1965" s="90" t="s">
        <v>2397</v>
      </c>
      <c r="H1965" s="219" t="s">
        <v>580</v>
      </c>
      <c r="I1965" s="110" t="str">
        <f>VLOOKUP(H1965, 'RM &amp; SF'!B:H, 2, 0)</f>
        <v>طحينة مشاوي</v>
      </c>
      <c r="J1965" s="184" t="str">
        <f>VLOOKUP(H1965, 'RM &amp; SF'!B:E, 4, 0)</f>
        <v>غم</v>
      </c>
      <c r="K1965" s="12">
        <v>30</v>
      </c>
      <c r="L1965" s="13">
        <f>VLOOKUP(H1965, 'RM &amp; SF'!B:H, 7, 0)</f>
        <v>1.0841676434676436E-3</v>
      </c>
      <c r="M1965" s="7">
        <f t="shared" si="98"/>
        <v>3.2525029304029306E-2</v>
      </c>
      <c r="N1965" s="4" t="s">
        <v>825</v>
      </c>
      <c r="O1965" s="4">
        <f>VLOOKUP(B1965, 'All Menu'!B:L, 6, 0)</f>
        <v>6.25</v>
      </c>
      <c r="P1965" s="6">
        <f>VLOOKUP(B1965, 'All Menu'!B:L, 9, 0)</f>
        <v>4.410333916031755</v>
      </c>
      <c r="Q1965" s="14">
        <f>VLOOKUP(B1965, 'All Menu'!B:M, 12, 0)</f>
        <v>0.29434657343491921</v>
      </c>
      <c r="R1965" s="173">
        <f t="shared" si="99"/>
        <v>0</v>
      </c>
    </row>
    <row r="1966" spans="1:18" ht="14" hidden="1">
      <c r="A1966" s="78" t="s">
        <v>2774</v>
      </c>
      <c r="B1966" s="220" t="s">
        <v>968</v>
      </c>
      <c r="C1966" s="185"/>
      <c r="D1966" s="103" t="str">
        <f>VLOOKUP(B1966, 'All Menu'!B:M, 4, 0)</f>
        <v>وجبة ريش فردية</v>
      </c>
      <c r="E1966" s="30" t="str">
        <f>VLOOKUP(B1966, 'All Menu'!B:M, 2, 0)</f>
        <v>قسم المشاوي</v>
      </c>
      <c r="F1966" s="103" t="str">
        <f>VLOOKUP(B1966, 'All Menu'!B:M, 3, 0)</f>
        <v>المشاوي سفري</v>
      </c>
      <c r="G1966" s="90" t="s">
        <v>2193</v>
      </c>
      <c r="H1966" s="188">
        <v>4309</v>
      </c>
      <c r="I1966" s="110" t="str">
        <f>VLOOKUP(H1966, 'RM &amp; SF'!B:H, 2, 0)</f>
        <v>اكياس بلاستيك مطبوع 55 سم*****</v>
      </c>
      <c r="J1966" s="184" t="str">
        <f>VLOOKUP(H1966, 'RM &amp; SF'!B:E, 4, 0)</f>
        <v>قطعة</v>
      </c>
      <c r="K1966" s="12">
        <v>1</v>
      </c>
      <c r="L1966" s="13">
        <f>VLOOKUP(H1966, 'RM &amp; SF'!B:H, 7, 0)</f>
        <v>5.5172413793103454E-2</v>
      </c>
      <c r="M1966" s="7">
        <f t="shared" si="98"/>
        <v>5.5172413793103454E-2</v>
      </c>
      <c r="N1966" s="4" t="s">
        <v>825</v>
      </c>
      <c r="O1966" s="4">
        <f>VLOOKUP(B1966, 'All Menu'!B:L, 6, 0)</f>
        <v>6.25</v>
      </c>
      <c r="P1966" s="6">
        <f>VLOOKUP(B1966, 'All Menu'!B:L, 9, 0)</f>
        <v>4.410333916031755</v>
      </c>
      <c r="Q1966" s="14">
        <f>VLOOKUP(B1966, 'All Menu'!B:M, 12, 0)</f>
        <v>0.29434657343491921</v>
      </c>
      <c r="R1966" s="173">
        <f t="shared" si="99"/>
        <v>0</v>
      </c>
    </row>
    <row r="1967" spans="1:18" ht="14" hidden="1">
      <c r="A1967" s="78" t="s">
        <v>2775</v>
      </c>
      <c r="B1967" s="220" t="s">
        <v>970</v>
      </c>
      <c r="C1967" s="185"/>
      <c r="D1967" s="103" t="str">
        <f>VLOOKUP(B1967, 'All Menu'!B:M, 4, 0)</f>
        <v>وجبة كبدة خروف فردية</v>
      </c>
      <c r="E1967" s="30" t="str">
        <f>VLOOKUP(B1967, 'All Menu'!B:M, 2, 0)</f>
        <v>قسم المشاوي</v>
      </c>
      <c r="F1967" s="103" t="str">
        <f>VLOOKUP(B1967, 'All Menu'!B:M, 3, 0)</f>
        <v>المشاوي سفري</v>
      </c>
      <c r="G1967" s="90" t="s">
        <v>3058</v>
      </c>
      <c r="H1967" s="188">
        <v>1082</v>
      </c>
      <c r="I1967" s="110" t="str">
        <f>VLOOKUP(H1967, 'RM &amp; SF'!B:H, 2, 0)</f>
        <v>كبدة غنم</v>
      </c>
      <c r="J1967" s="184" t="str">
        <f>VLOOKUP(H1967, 'RM &amp; SF'!B:E, 4, 0)</f>
        <v>غم</v>
      </c>
      <c r="K1967" s="12">
        <v>300</v>
      </c>
      <c r="L1967" s="13">
        <f>VLOOKUP(H1967, 'RM &amp; SF'!B:H, 7, 0)</f>
        <v>7.0000000000000001E-3</v>
      </c>
      <c r="M1967" s="7">
        <f t="shared" si="98"/>
        <v>2.1</v>
      </c>
      <c r="N1967" s="4" t="s">
        <v>825</v>
      </c>
      <c r="O1967" s="4">
        <f>VLOOKUP(B1967, 'All Menu'!B:L, 6, 0)</f>
        <v>4.1379310344827589</v>
      </c>
      <c r="P1967" s="6">
        <f>VLOOKUP(B1967, 'All Menu'!B:L, 9, 0)</f>
        <v>2.3290839160317551</v>
      </c>
      <c r="Q1967" s="14">
        <f>VLOOKUP(B1967, 'All Menu'!B:M, 12, 0)</f>
        <v>0.43713805362565922</v>
      </c>
      <c r="R1967" s="173">
        <f t="shared" si="99"/>
        <v>0</v>
      </c>
    </row>
    <row r="1968" spans="1:18" ht="14" hidden="1">
      <c r="A1968" s="78" t="s">
        <v>2775</v>
      </c>
      <c r="B1968" s="220" t="s">
        <v>970</v>
      </c>
      <c r="C1968" s="185"/>
      <c r="D1968" s="103" t="str">
        <f>VLOOKUP(B1968, 'All Menu'!B:M, 4, 0)</f>
        <v>وجبة كبدة خروف فردية</v>
      </c>
      <c r="E1968" s="30" t="str">
        <f>VLOOKUP(B1968, 'All Menu'!B:M, 2, 0)</f>
        <v>قسم المشاوي</v>
      </c>
      <c r="F1968" s="103" t="str">
        <f>VLOOKUP(B1968, 'All Menu'!B:M, 3, 0)</f>
        <v>المشاوي سفري</v>
      </c>
      <c r="G1968" s="90" t="s">
        <v>2257</v>
      </c>
      <c r="H1968" s="188">
        <v>5281</v>
      </c>
      <c r="I1968" s="110" t="str">
        <f>VLOOKUP(H1968, 'RM &amp; SF'!B:H, 2, 0)</f>
        <v>بندوره مشاوي</v>
      </c>
      <c r="J1968" s="184" t="str">
        <f>VLOOKUP(H1968, 'RM &amp; SF'!B:E, 4, 0)</f>
        <v>غم</v>
      </c>
      <c r="K1968" s="12">
        <v>75</v>
      </c>
      <c r="L1968" s="13">
        <f>VLOOKUP(H1968, 'RM &amp; SF'!B:H, 7, 0)</f>
        <v>4.0000000000000002E-4</v>
      </c>
      <c r="M1968" s="7">
        <f t="shared" si="98"/>
        <v>3.0000000000000002E-2</v>
      </c>
      <c r="N1968" s="4" t="s">
        <v>825</v>
      </c>
      <c r="O1968" s="4">
        <f>VLOOKUP(B1968, 'All Menu'!B:L, 6, 0)</f>
        <v>4.1379310344827589</v>
      </c>
      <c r="P1968" s="6">
        <f>VLOOKUP(B1968, 'All Menu'!B:L, 9, 0)</f>
        <v>2.3290839160317551</v>
      </c>
      <c r="Q1968" s="14">
        <f>VLOOKUP(B1968, 'All Menu'!B:M, 12, 0)</f>
        <v>0.43713805362565922</v>
      </c>
      <c r="R1968" s="173">
        <f t="shared" si="99"/>
        <v>0</v>
      </c>
    </row>
    <row r="1969" spans="1:18" ht="14" hidden="1">
      <c r="A1969" s="78" t="s">
        <v>2775</v>
      </c>
      <c r="B1969" s="220" t="s">
        <v>970</v>
      </c>
      <c r="C1969" s="185"/>
      <c r="D1969" s="103" t="str">
        <f>VLOOKUP(B1969, 'All Menu'!B:M, 4, 0)</f>
        <v>وجبة كبدة خروف فردية</v>
      </c>
      <c r="E1969" s="30" t="str">
        <f>VLOOKUP(B1969, 'All Menu'!B:M, 2, 0)</f>
        <v>قسم المشاوي</v>
      </c>
      <c r="F1969" s="103" t="str">
        <f>VLOOKUP(B1969, 'All Menu'!B:M, 3, 0)</f>
        <v>المشاوي سفري</v>
      </c>
      <c r="G1969" s="90" t="s">
        <v>2235</v>
      </c>
      <c r="H1969" s="188">
        <v>4504</v>
      </c>
      <c r="I1969" s="110" t="str">
        <f>VLOOKUP(H1969, 'RM &amp; SF'!B:H, 2, 0)</f>
        <v>بصل مشاوي (بصل بيبي)***</v>
      </c>
      <c r="J1969" s="184" t="str">
        <f>VLOOKUP(H1969, 'RM &amp; SF'!B:E, 4, 0)</f>
        <v>غم</v>
      </c>
      <c r="K1969" s="12">
        <v>75</v>
      </c>
      <c r="L1969" s="13">
        <f>VLOOKUP(H1969, 'RM &amp; SF'!B:H, 7, 0)</f>
        <v>3.5E-4</v>
      </c>
      <c r="M1969" s="7">
        <f t="shared" si="98"/>
        <v>2.6249999999999999E-2</v>
      </c>
      <c r="N1969" s="4" t="s">
        <v>825</v>
      </c>
      <c r="O1969" s="4">
        <f>VLOOKUP(B1969, 'All Menu'!B:L, 6, 0)</f>
        <v>4.1379310344827589</v>
      </c>
      <c r="P1969" s="6">
        <f>VLOOKUP(B1969, 'All Menu'!B:L, 9, 0)</f>
        <v>2.3290839160317551</v>
      </c>
      <c r="Q1969" s="14">
        <f>VLOOKUP(B1969, 'All Menu'!B:M, 12, 0)</f>
        <v>0.43713805362565922</v>
      </c>
      <c r="R1969" s="173">
        <f t="shared" si="99"/>
        <v>0</v>
      </c>
    </row>
    <row r="1970" spans="1:18" ht="14" hidden="1">
      <c r="A1970" s="78" t="s">
        <v>2775</v>
      </c>
      <c r="B1970" s="220" t="s">
        <v>970</v>
      </c>
      <c r="C1970" s="185"/>
      <c r="D1970" s="103" t="str">
        <f>VLOOKUP(B1970, 'All Menu'!B:M, 4, 0)</f>
        <v>وجبة كبدة خروف فردية</v>
      </c>
      <c r="E1970" s="30" t="str">
        <f>VLOOKUP(B1970, 'All Menu'!B:M, 2, 0)</f>
        <v>قسم المشاوي</v>
      </c>
      <c r="F1970" s="103" t="str">
        <f>VLOOKUP(B1970, 'All Menu'!B:M, 3, 0)</f>
        <v>المشاوي سفري</v>
      </c>
      <c r="G1970" s="90" t="s">
        <v>2396</v>
      </c>
      <c r="H1970" s="219" t="s">
        <v>582</v>
      </c>
      <c r="I1970" s="110" t="str">
        <f>VLOOKUP(H1970, 'RM &amp; SF'!B:H, 2, 0)</f>
        <v>بيواز</v>
      </c>
      <c r="J1970" s="184" t="str">
        <f>VLOOKUP(H1970, 'RM &amp; SF'!B:E, 4, 0)</f>
        <v>غم</v>
      </c>
      <c r="K1970" s="12">
        <v>50</v>
      </c>
      <c r="L1970" s="13">
        <f>VLOOKUP(H1970, 'RM &amp; SF'!B:H, 7, 0)</f>
        <v>2.0666065869244635E-4</v>
      </c>
      <c r="M1970" s="7">
        <f t="shared" si="98"/>
        <v>1.0333032934622318E-2</v>
      </c>
      <c r="N1970" s="4" t="s">
        <v>825</v>
      </c>
      <c r="O1970" s="4">
        <f>VLOOKUP(B1970, 'All Menu'!B:L, 6, 0)</f>
        <v>4.1379310344827589</v>
      </c>
      <c r="P1970" s="6">
        <f>VLOOKUP(B1970, 'All Menu'!B:L, 9, 0)</f>
        <v>2.3290839160317551</v>
      </c>
      <c r="Q1970" s="14">
        <f>VLOOKUP(B1970, 'All Menu'!B:M, 12, 0)</f>
        <v>0.43713805362565922</v>
      </c>
      <c r="R1970" s="173">
        <f t="shared" si="99"/>
        <v>0</v>
      </c>
    </row>
    <row r="1971" spans="1:18" ht="14" hidden="1">
      <c r="A1971" s="78" t="s">
        <v>2775</v>
      </c>
      <c r="B1971" s="220" t="s">
        <v>970</v>
      </c>
      <c r="C1971" s="185"/>
      <c r="D1971" s="103" t="str">
        <f>VLOOKUP(B1971, 'All Menu'!B:M, 4, 0)</f>
        <v>وجبة كبدة خروف فردية</v>
      </c>
      <c r="E1971" s="30" t="str">
        <f>VLOOKUP(B1971, 'All Menu'!B:M, 2, 0)</f>
        <v>قسم المشاوي</v>
      </c>
      <c r="F1971" s="103" t="str">
        <f>VLOOKUP(B1971, 'All Menu'!B:M, 3, 0)</f>
        <v>المشاوي سفري</v>
      </c>
      <c r="G1971" s="90" t="s">
        <v>2196</v>
      </c>
      <c r="H1971" s="188">
        <v>4346</v>
      </c>
      <c r="I1971" s="110" t="str">
        <f>VLOOKUP(H1971, 'RM &amp; SF'!B:H, 2, 0)</f>
        <v>صحن كرتون بيضوي مذهب 25 سم (رقم 1)*****</v>
      </c>
      <c r="J1971" s="184" t="str">
        <f>VLOOKUP(H1971, 'RM &amp; SF'!B:E, 4, 0)</f>
        <v>قطعة</v>
      </c>
      <c r="K1971" s="12">
        <v>1</v>
      </c>
      <c r="L1971" s="13">
        <f>VLOOKUP(H1971, 'RM &amp; SF'!B:H, 7, 0)</f>
        <v>7.4700000000000003E-2</v>
      </c>
      <c r="M1971" s="7">
        <f t="shared" si="98"/>
        <v>7.4700000000000003E-2</v>
      </c>
      <c r="N1971" s="4" t="s">
        <v>825</v>
      </c>
      <c r="O1971" s="4">
        <f>VLOOKUP(B1971, 'All Menu'!B:L, 6, 0)</f>
        <v>4.1379310344827589</v>
      </c>
      <c r="P1971" s="6">
        <f>VLOOKUP(B1971, 'All Menu'!B:L, 9, 0)</f>
        <v>2.3290839160317551</v>
      </c>
      <c r="Q1971" s="14">
        <f>VLOOKUP(B1971, 'All Menu'!B:M, 12, 0)</f>
        <v>0.43713805362565922</v>
      </c>
      <c r="R1971" s="173">
        <f t="shared" si="99"/>
        <v>0</v>
      </c>
    </row>
    <row r="1972" spans="1:18" ht="14" hidden="1">
      <c r="A1972" s="78" t="s">
        <v>2775</v>
      </c>
      <c r="B1972" s="220" t="s">
        <v>970</v>
      </c>
      <c r="C1972" s="185"/>
      <c r="D1972" s="103" t="str">
        <f>VLOOKUP(B1972, 'All Menu'!B:M, 4, 0)</f>
        <v>وجبة كبدة خروف فردية</v>
      </c>
      <c r="E1972" s="30" t="str">
        <f>VLOOKUP(B1972, 'All Menu'!B:M, 2, 0)</f>
        <v>قسم المشاوي</v>
      </c>
      <c r="F1972" s="103" t="str">
        <f>VLOOKUP(B1972, 'All Menu'!B:M, 3, 0)</f>
        <v>المشاوي سفري</v>
      </c>
      <c r="G1972" s="90" t="s">
        <v>2194</v>
      </c>
      <c r="H1972" s="188">
        <v>4323</v>
      </c>
      <c r="I1972" s="110" t="str">
        <f>VLOOKUP(H1972, 'RM &amp; SF'!B:H, 2, 0)</f>
        <v>قصدير رول 45 سم*2كغ*****</v>
      </c>
      <c r="J1972" s="184" t="str">
        <f>VLOOKUP(H1972, 'RM &amp; SF'!B:E, 4, 0)</f>
        <v>غم</v>
      </c>
      <c r="K1972" s="12">
        <v>0.06</v>
      </c>
      <c r="L1972" s="13">
        <f>VLOOKUP(H1972, 'RM &amp; SF'!B:H, 7, 0)</f>
        <v>1.7240000000000001E-3</v>
      </c>
      <c r="M1972" s="7">
        <f t="shared" si="98"/>
        <v>1.0344E-4</v>
      </c>
      <c r="N1972" s="4" t="s">
        <v>825</v>
      </c>
      <c r="O1972" s="4">
        <f>VLOOKUP(B1972, 'All Menu'!B:L, 6, 0)</f>
        <v>4.1379310344827589</v>
      </c>
      <c r="P1972" s="6">
        <f>VLOOKUP(B1972, 'All Menu'!B:L, 9, 0)</f>
        <v>2.3290839160317551</v>
      </c>
      <c r="Q1972" s="14">
        <f>VLOOKUP(B1972, 'All Menu'!B:M, 12, 0)</f>
        <v>0.43713805362565922</v>
      </c>
      <c r="R1972" s="173">
        <f t="shared" si="99"/>
        <v>0</v>
      </c>
    </row>
    <row r="1973" spans="1:18" ht="14" hidden="1">
      <c r="A1973" s="78" t="s">
        <v>2775</v>
      </c>
      <c r="B1973" s="220" t="s">
        <v>970</v>
      </c>
      <c r="C1973" s="185"/>
      <c r="D1973" s="103" t="str">
        <f>VLOOKUP(B1973, 'All Menu'!B:M, 4, 0)</f>
        <v>وجبة كبدة خروف فردية</v>
      </c>
      <c r="E1973" s="30" t="str">
        <f>VLOOKUP(B1973, 'All Menu'!B:M, 2, 0)</f>
        <v>قسم المشاوي</v>
      </c>
      <c r="F1973" s="103" t="str">
        <f>VLOOKUP(B1973, 'All Menu'!B:M, 3, 0)</f>
        <v>المشاوي سفري</v>
      </c>
      <c r="G1973" s="90" t="s">
        <v>2397</v>
      </c>
      <c r="H1973" s="219" t="s">
        <v>580</v>
      </c>
      <c r="I1973" s="110" t="str">
        <f>VLOOKUP(H1973, 'RM &amp; SF'!B:H, 2, 0)</f>
        <v>طحينة مشاوي</v>
      </c>
      <c r="J1973" s="184" t="str">
        <f>VLOOKUP(H1973, 'RM &amp; SF'!B:E, 4, 0)</f>
        <v>غم</v>
      </c>
      <c r="K1973" s="12">
        <v>30</v>
      </c>
      <c r="L1973" s="13">
        <f>VLOOKUP(H1973, 'RM &amp; SF'!B:H, 7, 0)</f>
        <v>1.0841676434676436E-3</v>
      </c>
      <c r="M1973" s="7">
        <f t="shared" si="98"/>
        <v>3.2525029304029306E-2</v>
      </c>
      <c r="N1973" s="4" t="s">
        <v>825</v>
      </c>
      <c r="O1973" s="4">
        <f>VLOOKUP(B1973, 'All Menu'!B:L, 6, 0)</f>
        <v>4.1379310344827589</v>
      </c>
      <c r="P1973" s="6">
        <f>VLOOKUP(B1973, 'All Menu'!B:L, 9, 0)</f>
        <v>2.3290839160317551</v>
      </c>
      <c r="Q1973" s="14">
        <f>VLOOKUP(B1973, 'All Menu'!B:M, 12, 0)</f>
        <v>0.43713805362565922</v>
      </c>
      <c r="R1973" s="173">
        <f t="shared" si="99"/>
        <v>0</v>
      </c>
    </row>
    <row r="1974" spans="1:18" ht="14" hidden="1">
      <c r="A1974" s="78" t="s">
        <v>2775</v>
      </c>
      <c r="B1974" s="220" t="s">
        <v>970</v>
      </c>
      <c r="C1974" s="185"/>
      <c r="D1974" s="103" t="str">
        <f>VLOOKUP(B1974, 'All Menu'!B:M, 4, 0)</f>
        <v>وجبة كبدة خروف فردية</v>
      </c>
      <c r="E1974" s="30" t="str">
        <f>VLOOKUP(B1974, 'All Menu'!B:M, 2, 0)</f>
        <v>قسم المشاوي</v>
      </c>
      <c r="F1974" s="103" t="str">
        <f>VLOOKUP(B1974, 'All Menu'!B:M, 3, 0)</f>
        <v>المشاوي سفري</v>
      </c>
      <c r="G1974" s="90" t="s">
        <v>2193</v>
      </c>
      <c r="H1974" s="188">
        <v>4309</v>
      </c>
      <c r="I1974" s="110" t="str">
        <f>VLOOKUP(H1974, 'RM &amp; SF'!B:H, 2, 0)</f>
        <v>اكياس بلاستيك مطبوع 55 سم*****</v>
      </c>
      <c r="J1974" s="184" t="str">
        <f>VLOOKUP(H1974, 'RM &amp; SF'!B:E, 4, 0)</f>
        <v>قطعة</v>
      </c>
      <c r="K1974" s="12">
        <v>1</v>
      </c>
      <c r="L1974" s="13">
        <f>VLOOKUP(H1974, 'RM &amp; SF'!B:H, 7, 0)</f>
        <v>5.5172413793103454E-2</v>
      </c>
      <c r="M1974" s="7">
        <f t="shared" si="98"/>
        <v>5.5172413793103454E-2</v>
      </c>
      <c r="N1974" s="4" t="s">
        <v>825</v>
      </c>
      <c r="O1974" s="4">
        <f>VLOOKUP(B1974, 'All Menu'!B:L, 6, 0)</f>
        <v>4.1379310344827589</v>
      </c>
      <c r="P1974" s="6">
        <f>VLOOKUP(B1974, 'All Menu'!B:L, 9, 0)</f>
        <v>2.3290839160317551</v>
      </c>
      <c r="Q1974" s="14">
        <f>VLOOKUP(B1974, 'All Menu'!B:M, 12, 0)</f>
        <v>0.43713805362565922</v>
      </c>
      <c r="R1974" s="173">
        <f t="shared" si="99"/>
        <v>0</v>
      </c>
    </row>
    <row r="1975" spans="1:18" ht="14" hidden="1">
      <c r="A1975" s="78" t="s">
        <v>2764</v>
      </c>
      <c r="B1975" s="220" t="s">
        <v>971</v>
      </c>
      <c r="C1975" s="185"/>
      <c r="D1975" s="103" t="str">
        <f>VLOOKUP(B1975, 'All Menu'!B:M, 4, 0)</f>
        <v>ساندويش كباب عادي</v>
      </c>
      <c r="E1975" s="30" t="str">
        <f>VLOOKUP(B1975, 'All Menu'!B:M, 2, 0)</f>
        <v>قسم المشاوي</v>
      </c>
      <c r="F1975" s="103" t="str">
        <f>VLOOKUP(B1975, 'All Menu'!B:M, 3, 0)</f>
        <v>المشاوي سفري2</v>
      </c>
      <c r="G1975" s="90" t="s">
        <v>2429</v>
      </c>
      <c r="H1975" s="219" t="s">
        <v>610</v>
      </c>
      <c r="I1975" s="110" t="str">
        <f>VLOOKUP(H1975, 'RM &amp; SF'!B:H, 2, 0)</f>
        <v>كباب الساندويش</v>
      </c>
      <c r="J1975" s="184" t="str">
        <f>VLOOKUP(H1975, 'RM &amp; SF'!B:E, 4, 0)</f>
        <v>غم</v>
      </c>
      <c r="K1975" s="12">
        <v>120</v>
      </c>
      <c r="L1975" s="13">
        <f>VLOOKUP(H1975, 'RM &amp; SF'!B:H, 7, 0)</f>
        <v>6.0066783033033031E-3</v>
      </c>
      <c r="M1975" s="7">
        <f t="shared" si="98"/>
        <v>0.7208013963963964</v>
      </c>
      <c r="N1975" s="4" t="s">
        <v>825</v>
      </c>
      <c r="O1975" s="4">
        <f>VLOOKUP(B1975, 'All Menu'!B:L, 6, 0)</f>
        <v>1.9396551724137931</v>
      </c>
      <c r="P1975" s="6">
        <f>VLOOKUP(B1975, 'All Menu'!B:L, 9, 0)</f>
        <v>0.9825894471323211</v>
      </c>
      <c r="Q1975" s="14">
        <f>VLOOKUP(B1975, 'All Menu'!B:M, 12, 0)</f>
        <v>0.49342055170067001</v>
      </c>
      <c r="R1975" s="173">
        <f t="shared" si="99"/>
        <v>0</v>
      </c>
    </row>
    <row r="1976" spans="1:18" ht="14" hidden="1">
      <c r="A1976" s="78" t="s">
        <v>2764</v>
      </c>
      <c r="B1976" s="220" t="s">
        <v>971</v>
      </c>
      <c r="C1976" s="185"/>
      <c r="D1976" s="103" t="str">
        <f>VLOOKUP(B1976, 'All Menu'!B:M, 4, 0)</f>
        <v>ساندويش كباب عادي</v>
      </c>
      <c r="E1976" s="30" t="str">
        <f>VLOOKUP(B1976, 'All Menu'!B:M, 2, 0)</f>
        <v>قسم المشاوي</v>
      </c>
      <c r="F1976" s="103" t="str">
        <f>VLOOKUP(B1976, 'All Menu'!B:M, 3, 0)</f>
        <v>المشاوي سفري2</v>
      </c>
      <c r="G1976" s="90" t="s">
        <v>2331</v>
      </c>
      <c r="H1976" s="219" t="s">
        <v>530</v>
      </c>
      <c r="I1976" s="110" t="str">
        <f>VLOOKUP(H1976, 'RM &amp; SF'!B:H, 2, 0)</f>
        <v>خبز صاج</v>
      </c>
      <c r="J1976" s="184" t="str">
        <f>VLOOKUP(H1976, 'RM &amp; SF'!B:E, 4, 0)</f>
        <v>غم</v>
      </c>
      <c r="K1976" s="12">
        <v>90</v>
      </c>
      <c r="L1976" s="13">
        <f>VLOOKUP(H1976, 'RM &amp; SF'!B:H, 7, 0)</f>
        <v>1.8806451612903227E-4</v>
      </c>
      <c r="M1976" s="7">
        <f t="shared" si="98"/>
        <v>1.6925806451612905E-2</v>
      </c>
      <c r="N1976" s="4" t="s">
        <v>825</v>
      </c>
      <c r="O1976" s="4">
        <f>VLOOKUP(B1976, 'All Menu'!B:L, 6, 0)</f>
        <v>1.9396551724137931</v>
      </c>
      <c r="P1976" s="6">
        <f>VLOOKUP(B1976, 'All Menu'!B:L, 9, 0)</f>
        <v>0.9825894471323211</v>
      </c>
      <c r="Q1976" s="14">
        <f>VLOOKUP(B1976, 'All Menu'!B:M, 12, 0)</f>
        <v>0.49342055170067001</v>
      </c>
      <c r="R1976" s="173">
        <f t="shared" si="99"/>
        <v>0</v>
      </c>
    </row>
    <row r="1977" spans="1:18" ht="14" hidden="1">
      <c r="A1977" s="78" t="s">
        <v>2764</v>
      </c>
      <c r="B1977" s="220" t="s">
        <v>971</v>
      </c>
      <c r="C1977" s="185"/>
      <c r="D1977" s="103" t="str">
        <f>VLOOKUP(B1977, 'All Menu'!B:M, 4, 0)</f>
        <v>ساندويش كباب عادي</v>
      </c>
      <c r="E1977" s="30" t="str">
        <f>VLOOKUP(B1977, 'All Menu'!B:M, 2, 0)</f>
        <v>قسم المشاوي</v>
      </c>
      <c r="F1977" s="103" t="str">
        <f>VLOOKUP(B1977, 'All Menu'!B:M, 3, 0)</f>
        <v>المشاوي سفري2</v>
      </c>
      <c r="G1977" s="90" t="s">
        <v>2397</v>
      </c>
      <c r="H1977" s="219" t="s">
        <v>580</v>
      </c>
      <c r="I1977" s="110" t="str">
        <f>VLOOKUP(H1977, 'RM &amp; SF'!B:H, 2, 0)</f>
        <v>طحينة مشاوي</v>
      </c>
      <c r="J1977" s="184" t="str">
        <f>VLOOKUP(H1977, 'RM &amp; SF'!B:E, 4, 0)</f>
        <v>غم</v>
      </c>
      <c r="K1977" s="12">
        <v>38</v>
      </c>
      <c r="L1977" s="13">
        <f>VLOOKUP(H1977, 'RM &amp; SF'!B:H, 7, 0)</f>
        <v>1.0841676434676436E-3</v>
      </c>
      <c r="M1977" s="7">
        <f t="shared" si="98"/>
        <v>4.1198370451770452E-2</v>
      </c>
      <c r="N1977" s="4" t="s">
        <v>825</v>
      </c>
      <c r="O1977" s="4">
        <f>VLOOKUP(B1977, 'All Menu'!B:L, 6, 0)</f>
        <v>1.9396551724137931</v>
      </c>
      <c r="P1977" s="6">
        <f>VLOOKUP(B1977, 'All Menu'!B:L, 9, 0)</f>
        <v>0.9825894471323211</v>
      </c>
      <c r="Q1977" s="14">
        <f>VLOOKUP(B1977, 'All Menu'!B:M, 12, 0)</f>
        <v>0.49342055170067001</v>
      </c>
      <c r="R1977" s="173">
        <f t="shared" si="99"/>
        <v>0</v>
      </c>
    </row>
    <row r="1978" spans="1:18" ht="14" hidden="1">
      <c r="A1978" s="78" t="s">
        <v>2764</v>
      </c>
      <c r="B1978" s="220" t="s">
        <v>971</v>
      </c>
      <c r="C1978" s="185"/>
      <c r="D1978" s="103" t="str">
        <f>VLOOKUP(B1978, 'All Menu'!B:M, 4, 0)</f>
        <v>ساندويش كباب عادي</v>
      </c>
      <c r="E1978" s="30" t="str">
        <f>VLOOKUP(B1978, 'All Menu'!B:M, 2, 0)</f>
        <v>قسم المشاوي</v>
      </c>
      <c r="F1978" s="103" t="str">
        <f>VLOOKUP(B1978, 'All Menu'!B:M, 3, 0)</f>
        <v>المشاوي سفري2</v>
      </c>
      <c r="G1978" s="90" t="s">
        <v>2257</v>
      </c>
      <c r="H1978" s="188">
        <v>5281</v>
      </c>
      <c r="I1978" s="110" t="str">
        <f>VLOOKUP(H1978, 'RM &amp; SF'!B:H, 2, 0)</f>
        <v>بندوره مشاوي</v>
      </c>
      <c r="J1978" s="184" t="str">
        <f>VLOOKUP(H1978, 'RM &amp; SF'!B:E, 4, 0)</f>
        <v>غم</v>
      </c>
      <c r="K1978" s="12">
        <v>20</v>
      </c>
      <c r="L1978" s="13">
        <f>VLOOKUP(H1978, 'RM &amp; SF'!B:H, 7, 0)</f>
        <v>4.0000000000000002E-4</v>
      </c>
      <c r="M1978" s="7">
        <f t="shared" si="98"/>
        <v>8.0000000000000002E-3</v>
      </c>
      <c r="N1978" s="4" t="s">
        <v>825</v>
      </c>
      <c r="O1978" s="4">
        <f>VLOOKUP(B1978, 'All Menu'!B:L, 6, 0)</f>
        <v>1.9396551724137931</v>
      </c>
      <c r="P1978" s="6">
        <f>VLOOKUP(B1978, 'All Menu'!B:L, 9, 0)</f>
        <v>0.9825894471323211</v>
      </c>
      <c r="Q1978" s="14">
        <f>VLOOKUP(B1978, 'All Menu'!B:M, 12, 0)</f>
        <v>0.49342055170067001</v>
      </c>
      <c r="R1978" s="173">
        <f t="shared" si="99"/>
        <v>0</v>
      </c>
    </row>
    <row r="1979" spans="1:18" ht="14" hidden="1">
      <c r="A1979" s="78" t="s">
        <v>2764</v>
      </c>
      <c r="B1979" s="220" t="s">
        <v>971</v>
      </c>
      <c r="C1979" s="185"/>
      <c r="D1979" s="103" t="str">
        <f>VLOOKUP(B1979, 'All Menu'!B:M, 4, 0)</f>
        <v>ساندويش كباب عادي</v>
      </c>
      <c r="E1979" s="30" t="str">
        <f>VLOOKUP(B1979, 'All Menu'!B:M, 2, 0)</f>
        <v>قسم المشاوي</v>
      </c>
      <c r="F1979" s="103" t="str">
        <f>VLOOKUP(B1979, 'All Menu'!B:M, 3, 0)</f>
        <v>المشاوي سفري2</v>
      </c>
      <c r="G1979" s="90" t="s">
        <v>2396</v>
      </c>
      <c r="H1979" s="219" t="s">
        <v>582</v>
      </c>
      <c r="I1979" s="110" t="str">
        <f>VLOOKUP(H1979, 'RM &amp; SF'!B:H, 2, 0)</f>
        <v>بيواز</v>
      </c>
      <c r="J1979" s="184" t="str">
        <f>VLOOKUP(H1979, 'RM &amp; SF'!B:E, 4, 0)</f>
        <v>غم</v>
      </c>
      <c r="K1979" s="12">
        <v>21</v>
      </c>
      <c r="L1979" s="13">
        <f>VLOOKUP(H1979, 'RM &amp; SF'!B:H, 7, 0)</f>
        <v>2.0666065869244635E-4</v>
      </c>
      <c r="M1979" s="7">
        <f t="shared" si="98"/>
        <v>4.3398738325413737E-3</v>
      </c>
      <c r="N1979" s="4" t="s">
        <v>825</v>
      </c>
      <c r="O1979" s="4">
        <f>VLOOKUP(B1979, 'All Menu'!B:L, 6, 0)</f>
        <v>1.9396551724137931</v>
      </c>
      <c r="P1979" s="6">
        <f>VLOOKUP(B1979, 'All Menu'!B:L, 9, 0)</f>
        <v>0.9825894471323211</v>
      </c>
      <c r="Q1979" s="14">
        <f>VLOOKUP(B1979, 'All Menu'!B:M, 12, 0)</f>
        <v>0.49342055170067001</v>
      </c>
      <c r="R1979" s="173">
        <f t="shared" si="99"/>
        <v>0</v>
      </c>
    </row>
    <row r="1980" spans="1:18" ht="14" hidden="1">
      <c r="A1980" s="78" t="s">
        <v>2764</v>
      </c>
      <c r="B1980" s="220" t="s">
        <v>971</v>
      </c>
      <c r="C1980" s="185"/>
      <c r="D1980" s="103" t="str">
        <f>VLOOKUP(B1980, 'All Menu'!B:M, 4, 0)</f>
        <v>ساندويش كباب عادي</v>
      </c>
      <c r="E1980" s="30" t="str">
        <f>VLOOKUP(B1980, 'All Menu'!B:M, 2, 0)</f>
        <v>قسم المشاوي</v>
      </c>
      <c r="F1980" s="103" t="str">
        <f>VLOOKUP(B1980, 'All Menu'!B:M, 3, 0)</f>
        <v>المشاوي سفري2</v>
      </c>
      <c r="G1980" s="90" t="s">
        <v>2257</v>
      </c>
      <c r="H1980" s="188">
        <v>5281</v>
      </c>
      <c r="I1980" s="110" t="str">
        <f>VLOOKUP(H1980, 'RM &amp; SF'!B:H, 2, 0)</f>
        <v>بندوره مشاوي</v>
      </c>
      <c r="J1980" s="184" t="str">
        <f>VLOOKUP(H1980, 'RM &amp; SF'!B:E, 4, 0)</f>
        <v>غم</v>
      </c>
      <c r="K1980" s="12">
        <v>43</v>
      </c>
      <c r="L1980" s="13">
        <f>VLOOKUP(H1980, 'RM &amp; SF'!B:H, 7, 0)</f>
        <v>4.0000000000000002E-4</v>
      </c>
      <c r="M1980" s="7">
        <f t="shared" si="98"/>
        <v>1.72E-2</v>
      </c>
      <c r="N1980" s="4" t="s">
        <v>825</v>
      </c>
      <c r="O1980" s="4">
        <f>VLOOKUP(B1980, 'All Menu'!B:L, 6, 0)</f>
        <v>1.9396551724137931</v>
      </c>
      <c r="P1980" s="6">
        <f>VLOOKUP(B1980, 'All Menu'!B:L, 9, 0)</f>
        <v>0.9825894471323211</v>
      </c>
      <c r="Q1980" s="14">
        <f>VLOOKUP(B1980, 'All Menu'!B:M, 12, 0)</f>
        <v>0.49342055170067001</v>
      </c>
      <c r="R1980" s="173">
        <f t="shared" si="99"/>
        <v>0</v>
      </c>
    </row>
    <row r="1981" spans="1:18" ht="14" hidden="1">
      <c r="A1981" s="78" t="s">
        <v>2764</v>
      </c>
      <c r="B1981" s="220" t="s">
        <v>971</v>
      </c>
      <c r="C1981" s="185"/>
      <c r="D1981" s="103" t="str">
        <f>VLOOKUP(B1981, 'All Menu'!B:M, 4, 0)</f>
        <v>ساندويش كباب عادي</v>
      </c>
      <c r="E1981" s="30" t="str">
        <f>VLOOKUP(B1981, 'All Menu'!B:M, 2, 0)</f>
        <v>قسم المشاوي</v>
      </c>
      <c r="F1981" s="103" t="str">
        <f>VLOOKUP(B1981, 'All Menu'!B:M, 3, 0)</f>
        <v>المشاوي سفري2</v>
      </c>
      <c r="G1981" s="90" t="s">
        <v>2194</v>
      </c>
      <c r="H1981" s="188">
        <v>4323</v>
      </c>
      <c r="I1981" s="110" t="str">
        <f>VLOOKUP(H1981, 'RM &amp; SF'!B:H, 2, 0)</f>
        <v>قصدير رول 45 سم*2كغ*****</v>
      </c>
      <c r="J1981" s="184" t="str">
        <f>VLOOKUP(H1981, 'RM &amp; SF'!B:E, 4, 0)</f>
        <v>غم</v>
      </c>
      <c r="K1981" s="12">
        <v>1</v>
      </c>
      <c r="L1981" s="13">
        <f>VLOOKUP(H1981, 'RM &amp; SF'!B:H, 7, 0)</f>
        <v>1.7240000000000001E-3</v>
      </c>
      <c r="M1981" s="7">
        <f t="shared" si="98"/>
        <v>1.7240000000000001E-3</v>
      </c>
      <c r="N1981" s="4" t="s">
        <v>825</v>
      </c>
      <c r="O1981" s="4">
        <f>VLOOKUP(B1981, 'All Menu'!B:L, 6, 0)</f>
        <v>1.9396551724137931</v>
      </c>
      <c r="P1981" s="6">
        <f>VLOOKUP(B1981, 'All Menu'!B:L, 9, 0)</f>
        <v>0.9825894471323211</v>
      </c>
      <c r="Q1981" s="14">
        <f>VLOOKUP(B1981, 'All Menu'!B:M, 12, 0)</f>
        <v>0.49342055170067001</v>
      </c>
      <c r="R1981" s="173">
        <f t="shared" si="99"/>
        <v>0</v>
      </c>
    </row>
    <row r="1982" spans="1:18" ht="14" hidden="1">
      <c r="A1982" s="78" t="s">
        <v>2764</v>
      </c>
      <c r="B1982" s="220" t="s">
        <v>971</v>
      </c>
      <c r="C1982" s="185"/>
      <c r="D1982" s="103" t="str">
        <f>VLOOKUP(B1982, 'All Menu'!B:M, 4, 0)</f>
        <v>ساندويش كباب عادي</v>
      </c>
      <c r="E1982" s="30" t="str">
        <f>VLOOKUP(B1982, 'All Menu'!B:M, 2, 0)</f>
        <v>قسم المشاوي</v>
      </c>
      <c r="F1982" s="103" t="str">
        <f>VLOOKUP(B1982, 'All Menu'!B:M, 3, 0)</f>
        <v>المشاوي سفري2</v>
      </c>
      <c r="G1982" s="90" t="s">
        <v>3058</v>
      </c>
      <c r="H1982" s="188">
        <v>4264</v>
      </c>
      <c r="I1982" s="110" t="str">
        <f>VLOOKUP(H1982, 'RM &amp; SF'!B:H, 2, 0)</f>
        <v>علب ساندوش (علب سناك) كرتون مطبوع 1*50 حبة*****</v>
      </c>
      <c r="J1982" s="184" t="str">
        <f>VLOOKUP(H1982, 'RM &amp; SF'!B:E, 4, 0)</f>
        <v>قطعة</v>
      </c>
      <c r="K1982" s="12">
        <v>1</v>
      </c>
      <c r="L1982" s="13">
        <f>VLOOKUP(H1982, 'RM &amp; SF'!B:H, 7, 0)</f>
        <v>0.1724</v>
      </c>
      <c r="M1982" s="7">
        <f t="shared" si="98"/>
        <v>0.1724</v>
      </c>
      <c r="N1982" s="4" t="s">
        <v>825</v>
      </c>
      <c r="O1982" s="4">
        <f>VLOOKUP(B1982, 'All Menu'!B:L, 6, 0)</f>
        <v>1.9396551724137931</v>
      </c>
      <c r="P1982" s="6">
        <f>VLOOKUP(B1982, 'All Menu'!B:L, 9, 0)</f>
        <v>0.9825894471323211</v>
      </c>
      <c r="Q1982" s="14">
        <f>VLOOKUP(B1982, 'All Menu'!B:M, 12, 0)</f>
        <v>0.49342055170067001</v>
      </c>
      <c r="R1982" s="173">
        <f t="shared" si="99"/>
        <v>0</v>
      </c>
    </row>
    <row r="1983" spans="1:18" ht="14" hidden="1">
      <c r="A1983" s="78" t="s">
        <v>2770</v>
      </c>
      <c r="B1983" s="220" t="s">
        <v>972</v>
      </c>
      <c r="C1983" s="185"/>
      <c r="D1983" s="103" t="str">
        <f>VLOOKUP(B1983, 'All Menu'!B:M, 4, 0)</f>
        <v>ساندويش كباب دجاج عادي</v>
      </c>
      <c r="E1983" s="30" t="str">
        <f>VLOOKUP(B1983, 'All Menu'!B:M, 2, 0)</f>
        <v>قسم المشاوي</v>
      </c>
      <c r="F1983" s="103" t="str">
        <f>VLOOKUP(B1983, 'All Menu'!B:M, 3, 0)</f>
        <v>المشاوي سفري2</v>
      </c>
      <c r="G1983" s="90" t="s">
        <v>2338</v>
      </c>
      <c r="H1983" s="219" t="s">
        <v>532</v>
      </c>
      <c r="I1983" s="110" t="str">
        <f>VLOOKUP(H1983, 'RM &amp; SF'!B:H, 2, 0)</f>
        <v>كباب دجاج</v>
      </c>
      <c r="J1983" s="184" t="str">
        <f>VLOOKUP(H1983, 'RM &amp; SF'!B:E, 4, 0)</f>
        <v>غم</v>
      </c>
      <c r="K1983" s="12">
        <v>100</v>
      </c>
      <c r="L1983" s="13">
        <f>VLOOKUP(H1983, 'RM &amp; SF'!B:H, 7, 0)</f>
        <v>3.8874234320164847E-3</v>
      </c>
      <c r="M1983" s="7">
        <f t="shared" si="98"/>
        <v>0.38874234320164847</v>
      </c>
      <c r="N1983" s="4" t="s">
        <v>825</v>
      </c>
      <c r="O1983" s="4">
        <f>VLOOKUP(B1983, 'All Menu'!B:L, 6, 0)</f>
        <v>1.2931034482758621</v>
      </c>
      <c r="P1983" s="6">
        <f>VLOOKUP(B1983, 'All Menu'!B:L, 9, 0)</f>
        <v>0.70647592238991186</v>
      </c>
      <c r="Q1983" s="14">
        <f>VLOOKUP(B1983, 'All Menu'!B:M, 12, 0)</f>
        <v>0.45365862001846818</v>
      </c>
      <c r="R1983" s="173">
        <f t="shared" si="99"/>
        <v>0</v>
      </c>
    </row>
    <row r="1984" spans="1:18" ht="14" hidden="1">
      <c r="A1984" s="78" t="s">
        <v>2770</v>
      </c>
      <c r="B1984" s="220" t="s">
        <v>972</v>
      </c>
      <c r="C1984" s="185"/>
      <c r="D1984" s="103" t="str">
        <f>VLOOKUP(B1984, 'All Menu'!B:M, 4, 0)</f>
        <v>ساندويش كباب دجاج عادي</v>
      </c>
      <c r="E1984" s="30" t="str">
        <f>VLOOKUP(B1984, 'All Menu'!B:M, 2, 0)</f>
        <v>قسم المشاوي</v>
      </c>
      <c r="F1984" s="103" t="str">
        <f>VLOOKUP(B1984, 'All Menu'!B:M, 3, 0)</f>
        <v>المشاوي سفري2</v>
      </c>
      <c r="G1984" s="90" t="s">
        <v>2331</v>
      </c>
      <c r="H1984" s="219" t="s">
        <v>530</v>
      </c>
      <c r="I1984" s="110" t="str">
        <f>VLOOKUP(H1984, 'RM &amp; SF'!B:H, 2, 0)</f>
        <v>خبز صاج</v>
      </c>
      <c r="J1984" s="184" t="str">
        <f>VLOOKUP(H1984, 'RM &amp; SF'!B:E, 4, 0)</f>
        <v>غم</v>
      </c>
      <c r="K1984" s="12">
        <v>100</v>
      </c>
      <c r="L1984" s="13">
        <f>VLOOKUP(H1984, 'RM &amp; SF'!B:H, 7, 0)</f>
        <v>1.8806451612903227E-4</v>
      </c>
      <c r="M1984" s="7">
        <f t="shared" si="98"/>
        <v>1.8806451612903227E-2</v>
      </c>
      <c r="N1984" s="4" t="s">
        <v>825</v>
      </c>
      <c r="O1984" s="4">
        <f>VLOOKUP(B1984, 'All Menu'!B:L, 6, 0)</f>
        <v>1.2931034482758621</v>
      </c>
      <c r="P1984" s="6">
        <f>VLOOKUP(B1984, 'All Menu'!B:L, 9, 0)</f>
        <v>0.70647592238991186</v>
      </c>
      <c r="Q1984" s="14">
        <f>VLOOKUP(B1984, 'All Menu'!B:M, 12, 0)</f>
        <v>0.45365862001846818</v>
      </c>
      <c r="R1984" s="173">
        <f t="shared" si="99"/>
        <v>0</v>
      </c>
    </row>
    <row r="1985" spans="1:18" ht="14" hidden="1">
      <c r="A1985" s="78" t="s">
        <v>2770</v>
      </c>
      <c r="B1985" s="220" t="s">
        <v>972</v>
      </c>
      <c r="C1985" s="185"/>
      <c r="D1985" s="103" t="str">
        <f>VLOOKUP(B1985, 'All Menu'!B:M, 4, 0)</f>
        <v>ساندويش كباب دجاج عادي</v>
      </c>
      <c r="E1985" s="30" t="str">
        <f>VLOOKUP(B1985, 'All Menu'!B:M, 2, 0)</f>
        <v>قسم المشاوي</v>
      </c>
      <c r="F1985" s="103" t="str">
        <f>VLOOKUP(B1985, 'All Menu'!B:M, 3, 0)</f>
        <v>المشاوي سفري2</v>
      </c>
      <c r="G1985" s="90" t="s">
        <v>2296</v>
      </c>
      <c r="H1985" s="188">
        <v>4866</v>
      </c>
      <c r="I1985" s="110" t="str">
        <f>VLOOKUP(H1985, 'RM &amp; SF'!B:H, 2, 0)</f>
        <v>*****مخلل خيار شرائح 10 كغ</v>
      </c>
      <c r="J1985" s="184" t="str">
        <f>VLOOKUP(H1985, 'RM &amp; SF'!B:E, 4, 0)</f>
        <v>غم</v>
      </c>
      <c r="K1985" s="12">
        <v>8</v>
      </c>
      <c r="L1985" s="13">
        <f>VLOOKUP(H1985, 'RM &amp; SF'!B:H, 7, 0)</f>
        <v>1E-3</v>
      </c>
      <c r="M1985" s="7">
        <f t="shared" si="98"/>
        <v>8.0000000000000002E-3</v>
      </c>
      <c r="N1985" s="4" t="s">
        <v>825</v>
      </c>
      <c r="O1985" s="4">
        <f>VLOOKUP(B1985, 'All Menu'!B:L, 6, 0)</f>
        <v>1.2931034482758621</v>
      </c>
      <c r="P1985" s="6">
        <f>VLOOKUP(B1985, 'All Menu'!B:L, 9, 0)</f>
        <v>0.70647592238991186</v>
      </c>
      <c r="Q1985" s="14">
        <f>VLOOKUP(B1985, 'All Menu'!B:M, 12, 0)</f>
        <v>0.45365862001846818</v>
      </c>
      <c r="R1985" s="173">
        <f t="shared" si="99"/>
        <v>0</v>
      </c>
    </row>
    <row r="1986" spans="1:18" ht="14" hidden="1">
      <c r="A1986" s="78" t="s">
        <v>2770</v>
      </c>
      <c r="B1986" s="220" t="s">
        <v>972</v>
      </c>
      <c r="C1986" s="185"/>
      <c r="D1986" s="103" t="str">
        <f>VLOOKUP(B1986, 'All Menu'!B:M, 4, 0)</f>
        <v>ساندويش كباب دجاج عادي</v>
      </c>
      <c r="E1986" s="30" t="str">
        <f>VLOOKUP(B1986, 'All Menu'!B:M, 2, 0)</f>
        <v>قسم المشاوي</v>
      </c>
      <c r="F1986" s="103" t="str">
        <f>VLOOKUP(B1986, 'All Menu'!B:M, 3, 0)</f>
        <v>المشاوي سفري2</v>
      </c>
      <c r="G1986" s="90" t="s">
        <v>3058</v>
      </c>
      <c r="H1986" s="188">
        <v>4517</v>
      </c>
      <c r="I1986" s="110" t="str">
        <f>VLOOKUP(H1986, 'RM &amp; SF'!B:H, 2, 0)</f>
        <v>خس بلدي*****</v>
      </c>
      <c r="J1986" s="184" t="str">
        <f>VLOOKUP(H1986, 'RM &amp; SF'!B:E, 4, 0)</f>
        <v>غم</v>
      </c>
      <c r="K1986" s="12">
        <v>20</v>
      </c>
      <c r="L1986" s="13">
        <f>VLOOKUP(H1986, 'RM &amp; SF'!B:H, 7, 0)</f>
        <v>5.0000000000000001E-4</v>
      </c>
      <c r="M1986" s="7">
        <f t="shared" si="98"/>
        <v>0.01</v>
      </c>
      <c r="N1986" s="4" t="s">
        <v>825</v>
      </c>
      <c r="O1986" s="4">
        <f>VLOOKUP(B1986, 'All Menu'!B:L, 6, 0)</f>
        <v>1.2931034482758621</v>
      </c>
      <c r="P1986" s="6">
        <f>VLOOKUP(B1986, 'All Menu'!B:L, 9, 0)</f>
        <v>0.70647592238991186</v>
      </c>
      <c r="Q1986" s="14">
        <f>VLOOKUP(B1986, 'All Menu'!B:M, 12, 0)</f>
        <v>0.45365862001846818</v>
      </c>
      <c r="R1986" s="173">
        <f t="shared" si="99"/>
        <v>0</v>
      </c>
    </row>
    <row r="1987" spans="1:18" ht="14" hidden="1">
      <c r="A1987" s="78" t="s">
        <v>2770</v>
      </c>
      <c r="B1987" s="220" t="s">
        <v>972</v>
      </c>
      <c r="C1987" s="185"/>
      <c r="D1987" s="103" t="str">
        <f>VLOOKUP(B1987, 'All Menu'!B:M, 4, 0)</f>
        <v>ساندويش كباب دجاج عادي</v>
      </c>
      <c r="E1987" s="30" t="str">
        <f>VLOOKUP(B1987, 'All Menu'!B:M, 2, 0)</f>
        <v>قسم المشاوي</v>
      </c>
      <c r="F1987" s="103" t="str">
        <f>VLOOKUP(B1987, 'All Menu'!B:M, 3, 0)</f>
        <v>المشاوي سفري2</v>
      </c>
      <c r="G1987" s="90" t="s">
        <v>2325</v>
      </c>
      <c r="H1987" s="219" t="s">
        <v>534</v>
      </c>
      <c r="I1987" s="110" t="str">
        <f>VLOOKUP(H1987, 'RM &amp; SF'!B:H, 2, 0)</f>
        <v>مثومه</v>
      </c>
      <c r="J1987" s="184" t="str">
        <f>VLOOKUP(H1987, 'RM &amp; SF'!B:E, 4, 0)</f>
        <v>غم</v>
      </c>
      <c r="K1987" s="12">
        <v>50</v>
      </c>
      <c r="L1987" s="13">
        <f>VLOOKUP(H1987, 'RM &amp; SF'!B:H, 7, 0)</f>
        <v>6.6564092227821051E-4</v>
      </c>
      <c r="M1987" s="7">
        <f t="shared" si="98"/>
        <v>3.3282046113910523E-2</v>
      </c>
      <c r="N1987" s="4" t="s">
        <v>825</v>
      </c>
      <c r="O1987" s="4">
        <f>VLOOKUP(B1987, 'All Menu'!B:L, 6, 0)</f>
        <v>1.2931034482758621</v>
      </c>
      <c r="P1987" s="6">
        <f>VLOOKUP(B1987, 'All Menu'!B:L, 9, 0)</f>
        <v>0.70647592238991186</v>
      </c>
      <c r="Q1987" s="14">
        <f>VLOOKUP(B1987, 'All Menu'!B:M, 12, 0)</f>
        <v>0.45365862001846818</v>
      </c>
      <c r="R1987" s="173">
        <f t="shared" si="99"/>
        <v>0</v>
      </c>
    </row>
    <row r="1988" spans="1:18" ht="14" hidden="1">
      <c r="A1988" s="78" t="s">
        <v>2770</v>
      </c>
      <c r="B1988" s="220" t="s">
        <v>972</v>
      </c>
      <c r="C1988" s="185"/>
      <c r="D1988" s="103" t="str">
        <f>VLOOKUP(B1988, 'All Menu'!B:M, 4, 0)</f>
        <v>ساندويش كباب دجاج عادي</v>
      </c>
      <c r="E1988" s="30" t="str">
        <f>VLOOKUP(B1988, 'All Menu'!B:M, 2, 0)</f>
        <v>قسم المشاوي</v>
      </c>
      <c r="F1988" s="103" t="str">
        <f>VLOOKUP(B1988, 'All Menu'!B:M, 3, 0)</f>
        <v>المشاوي سفري2</v>
      </c>
      <c r="G1988" s="90" t="s">
        <v>3058</v>
      </c>
      <c r="H1988" s="188">
        <v>4264</v>
      </c>
      <c r="I1988" s="110" t="str">
        <f>VLOOKUP(H1988, 'RM &amp; SF'!B:H, 2, 0)</f>
        <v>علب ساندوش (علب سناك) كرتون مطبوع 1*50 حبة*****</v>
      </c>
      <c r="J1988" s="184" t="str">
        <f>VLOOKUP(H1988, 'RM &amp; SF'!B:E, 4, 0)</f>
        <v>قطعة</v>
      </c>
      <c r="K1988" s="12">
        <v>1</v>
      </c>
      <c r="L1988" s="13">
        <f>VLOOKUP(H1988, 'RM &amp; SF'!B:H, 7, 0)</f>
        <v>0.1724</v>
      </c>
      <c r="M1988" s="7">
        <f t="shared" si="98"/>
        <v>0.1724</v>
      </c>
      <c r="N1988" s="4" t="s">
        <v>825</v>
      </c>
      <c r="O1988" s="4">
        <f>VLOOKUP(B1988, 'All Menu'!B:L, 6, 0)</f>
        <v>1.2931034482758621</v>
      </c>
      <c r="P1988" s="6">
        <f>VLOOKUP(B1988, 'All Menu'!B:L, 9, 0)</f>
        <v>0.70647592238991186</v>
      </c>
      <c r="Q1988" s="14">
        <f>VLOOKUP(B1988, 'All Menu'!B:M, 12, 0)</f>
        <v>0.45365862001846818</v>
      </c>
      <c r="R1988" s="173">
        <f t="shared" si="99"/>
        <v>0</v>
      </c>
    </row>
    <row r="1989" spans="1:18" ht="14" hidden="1">
      <c r="A1989" s="78" t="s">
        <v>2770</v>
      </c>
      <c r="B1989" s="220" t="s">
        <v>972</v>
      </c>
      <c r="C1989" s="185"/>
      <c r="D1989" s="103" t="str">
        <f>VLOOKUP(B1989, 'All Menu'!B:M, 4, 0)</f>
        <v>ساندويش كباب دجاج عادي</v>
      </c>
      <c r="E1989" s="30" t="str">
        <f>VLOOKUP(B1989, 'All Menu'!B:M, 2, 0)</f>
        <v>قسم المشاوي</v>
      </c>
      <c r="F1989" s="103" t="str">
        <f>VLOOKUP(B1989, 'All Menu'!B:M, 3, 0)</f>
        <v>المشاوي سفري2</v>
      </c>
      <c r="G1989" s="90" t="s">
        <v>2325</v>
      </c>
      <c r="H1989" s="219" t="s">
        <v>534</v>
      </c>
      <c r="I1989" s="110" t="str">
        <f>VLOOKUP(H1989, 'RM &amp; SF'!B:H, 2, 0)</f>
        <v>مثومه</v>
      </c>
      <c r="J1989" s="184" t="str">
        <f>VLOOKUP(H1989, 'RM &amp; SF'!B:E, 4, 0)</f>
        <v>غم</v>
      </c>
      <c r="K1989" s="12">
        <v>30</v>
      </c>
      <c r="L1989" s="13">
        <f>VLOOKUP(H1989, 'RM &amp; SF'!B:H, 7, 0)</f>
        <v>6.6564092227821051E-4</v>
      </c>
      <c r="M1989" s="7">
        <f t="shared" si="98"/>
        <v>1.9969227668346315E-2</v>
      </c>
      <c r="N1989" s="4" t="s">
        <v>825</v>
      </c>
      <c r="O1989" s="4">
        <f>VLOOKUP(B1989, 'All Menu'!B:L, 6, 0)</f>
        <v>1.2931034482758621</v>
      </c>
      <c r="P1989" s="6">
        <f>VLOOKUP(B1989, 'All Menu'!B:L, 9, 0)</f>
        <v>0.70647592238991186</v>
      </c>
      <c r="Q1989" s="14">
        <f>VLOOKUP(B1989, 'All Menu'!B:M, 12, 0)</f>
        <v>0.45365862001846818</v>
      </c>
      <c r="R1989" s="173">
        <f t="shared" si="99"/>
        <v>0</v>
      </c>
    </row>
    <row r="1990" spans="1:18" ht="14" hidden="1">
      <c r="A1990" s="78" t="s">
        <v>2770</v>
      </c>
      <c r="B1990" s="220" t="s">
        <v>972</v>
      </c>
      <c r="C1990" s="185"/>
      <c r="D1990" s="103" t="str">
        <f>VLOOKUP(B1990, 'All Menu'!B:M, 4, 0)</f>
        <v>ساندويش كباب دجاج عادي</v>
      </c>
      <c r="E1990" s="30" t="str">
        <f>VLOOKUP(B1990, 'All Menu'!B:M, 2, 0)</f>
        <v>قسم المشاوي</v>
      </c>
      <c r="F1990" s="103" t="str">
        <f>VLOOKUP(B1990, 'All Menu'!B:M, 3, 0)</f>
        <v>المشاوي سفري2</v>
      </c>
      <c r="G1990" s="90" t="s">
        <v>2193</v>
      </c>
      <c r="H1990" s="188">
        <v>4309</v>
      </c>
      <c r="I1990" s="110" t="str">
        <f>VLOOKUP(H1990, 'RM &amp; SF'!B:H, 2, 0)</f>
        <v>اكياس بلاستيك مطبوع 55 سم*****</v>
      </c>
      <c r="J1990" s="184" t="str">
        <f>VLOOKUP(H1990, 'RM &amp; SF'!B:E, 4, 0)</f>
        <v>قطعة</v>
      </c>
      <c r="K1990" s="12">
        <v>1</v>
      </c>
      <c r="L1990" s="13">
        <f>VLOOKUP(H1990, 'RM &amp; SF'!B:H, 7, 0)</f>
        <v>5.5172413793103454E-2</v>
      </c>
      <c r="M1990" s="7">
        <f t="shared" si="98"/>
        <v>5.5172413793103454E-2</v>
      </c>
      <c r="N1990" s="4" t="s">
        <v>825</v>
      </c>
      <c r="O1990" s="4">
        <f>VLOOKUP(B1990, 'All Menu'!B:L, 6, 0)</f>
        <v>1.2931034482758621</v>
      </c>
      <c r="P1990" s="6">
        <f>VLOOKUP(B1990, 'All Menu'!B:L, 9, 0)</f>
        <v>0.70647592238991186</v>
      </c>
      <c r="Q1990" s="14">
        <f>VLOOKUP(B1990, 'All Menu'!B:M, 12, 0)</f>
        <v>0.45365862001846818</v>
      </c>
      <c r="R1990" s="173">
        <f t="shared" si="99"/>
        <v>0</v>
      </c>
    </row>
    <row r="1991" spans="1:18" ht="14" hidden="1">
      <c r="A1991" s="78" t="s">
        <v>2770</v>
      </c>
      <c r="B1991" s="220" t="s">
        <v>972</v>
      </c>
      <c r="C1991" s="185"/>
      <c r="D1991" s="103" t="str">
        <f>VLOOKUP(B1991, 'All Menu'!B:M, 4, 0)</f>
        <v>ساندويش كباب دجاج عادي</v>
      </c>
      <c r="E1991" s="30" t="str">
        <f>VLOOKUP(B1991, 'All Menu'!B:M, 2, 0)</f>
        <v>قسم المشاوي</v>
      </c>
      <c r="F1991" s="103" t="str">
        <f>VLOOKUP(B1991, 'All Menu'!B:M, 3, 0)</f>
        <v>المشاوي سفري2</v>
      </c>
      <c r="G1991" s="90" t="s">
        <v>2194</v>
      </c>
      <c r="H1991" s="188">
        <v>4323</v>
      </c>
      <c r="I1991" s="110" t="str">
        <f>VLOOKUP(H1991, 'RM &amp; SF'!B:H, 2, 0)</f>
        <v>قصدير رول 45 سم*2كغ*****</v>
      </c>
      <c r="J1991" s="184" t="str">
        <f>VLOOKUP(H1991, 'RM &amp; SF'!B:E, 4, 0)</f>
        <v>غم</v>
      </c>
      <c r="K1991" s="12">
        <v>0.06</v>
      </c>
      <c r="L1991" s="13">
        <f>VLOOKUP(H1991, 'RM &amp; SF'!B:H, 7, 0)</f>
        <v>1.7240000000000001E-3</v>
      </c>
      <c r="M1991" s="7">
        <f t="shared" si="98"/>
        <v>1.0344E-4</v>
      </c>
      <c r="N1991" s="4" t="s">
        <v>825</v>
      </c>
      <c r="O1991" s="4">
        <f>VLOOKUP(B1991, 'All Menu'!B:L, 6, 0)</f>
        <v>1.2931034482758621</v>
      </c>
      <c r="P1991" s="6">
        <f>VLOOKUP(B1991, 'All Menu'!B:L, 9, 0)</f>
        <v>0.70647592238991186</v>
      </c>
      <c r="Q1991" s="14">
        <f>VLOOKUP(B1991, 'All Menu'!B:M, 12, 0)</f>
        <v>0.45365862001846818</v>
      </c>
      <c r="R1991" s="173">
        <f t="shared" si="99"/>
        <v>0</v>
      </c>
    </row>
    <row r="1992" spans="1:18" ht="14" hidden="1">
      <c r="A1992" s="78" t="s">
        <v>2771</v>
      </c>
      <c r="B1992" s="220" t="s">
        <v>973</v>
      </c>
      <c r="C1992" s="185"/>
      <c r="D1992" s="103" t="str">
        <f>VLOOKUP(B1992, 'All Menu'!B:M, 4, 0)</f>
        <v>ساندويش كباب دجاج سوبر</v>
      </c>
      <c r="E1992" s="30" t="str">
        <f>VLOOKUP(B1992, 'All Menu'!B:M, 2, 0)</f>
        <v>قسم المشاوي</v>
      </c>
      <c r="F1992" s="103" t="str">
        <f>VLOOKUP(B1992, 'All Menu'!B:M, 3, 0)</f>
        <v>المشاوي سفري2</v>
      </c>
      <c r="G1992" s="90" t="s">
        <v>2338</v>
      </c>
      <c r="H1992" s="219" t="s">
        <v>532</v>
      </c>
      <c r="I1992" s="110" t="str">
        <f>VLOOKUP(H1992, 'RM &amp; SF'!B:H, 2, 0)</f>
        <v>كباب دجاج</v>
      </c>
      <c r="J1992" s="184" t="str">
        <f>VLOOKUP(H1992, 'RM &amp; SF'!B:E, 4, 0)</f>
        <v>غم</v>
      </c>
      <c r="K1992" s="12">
        <v>200</v>
      </c>
      <c r="L1992" s="13">
        <f>VLOOKUP(H1992, 'RM &amp; SF'!B:H, 7, 0)</f>
        <v>3.8874234320164847E-3</v>
      </c>
      <c r="M1992" s="7">
        <f t="shared" si="98"/>
        <v>0.77748468640329693</v>
      </c>
      <c r="N1992" s="4" t="s">
        <v>825</v>
      </c>
      <c r="O1992" s="4">
        <f>VLOOKUP(B1992, 'All Menu'!B:L, 6, 0)</f>
        <v>2.3706896551724141</v>
      </c>
      <c r="P1992" s="6">
        <f>VLOOKUP(B1992, 'All Menu'!B:L, 9, 0)</f>
        <v>1.1667698255915604</v>
      </c>
      <c r="Q1992" s="14">
        <f>VLOOKUP(B1992, 'All Menu'!B:M, 12, 0)</f>
        <v>0.50783527356865099</v>
      </c>
      <c r="R1992" s="173">
        <f t="shared" si="99"/>
        <v>0</v>
      </c>
    </row>
    <row r="1993" spans="1:18" ht="14" hidden="1">
      <c r="A1993" s="78" t="s">
        <v>2771</v>
      </c>
      <c r="B1993" s="220" t="s">
        <v>973</v>
      </c>
      <c r="C1993" s="185"/>
      <c r="D1993" s="103" t="str">
        <f>VLOOKUP(B1993, 'All Menu'!B:M, 4, 0)</f>
        <v>ساندويش كباب دجاج سوبر</v>
      </c>
      <c r="E1993" s="30" t="str">
        <f>VLOOKUP(B1993, 'All Menu'!B:M, 2, 0)</f>
        <v>قسم المشاوي</v>
      </c>
      <c r="F1993" s="103" t="str">
        <f>VLOOKUP(B1993, 'All Menu'!B:M, 3, 0)</f>
        <v>المشاوي سفري2</v>
      </c>
      <c r="G1993" s="90" t="s">
        <v>2331</v>
      </c>
      <c r="H1993" s="219" t="s">
        <v>530</v>
      </c>
      <c r="I1993" s="110" t="str">
        <f>VLOOKUP(H1993, 'RM &amp; SF'!B:H, 2, 0)</f>
        <v>خبز صاج</v>
      </c>
      <c r="J1993" s="184" t="str">
        <f>VLOOKUP(H1993, 'RM &amp; SF'!B:E, 4, 0)</f>
        <v>غم</v>
      </c>
      <c r="K1993" s="12">
        <v>100</v>
      </c>
      <c r="L1993" s="13">
        <f>VLOOKUP(H1993, 'RM &amp; SF'!B:H, 7, 0)</f>
        <v>1.8806451612903227E-4</v>
      </c>
      <c r="M1993" s="7">
        <f t="shared" ref="M1993:M2055" si="100">L1993*K1993</f>
        <v>1.8806451612903227E-2</v>
      </c>
      <c r="N1993" s="4" t="s">
        <v>825</v>
      </c>
      <c r="O1993" s="4">
        <f>VLOOKUP(B1993, 'All Menu'!B:L, 6, 0)</f>
        <v>2.3706896551724141</v>
      </c>
      <c r="P1993" s="6">
        <f>VLOOKUP(B1993, 'All Menu'!B:L, 9, 0)</f>
        <v>1.1667698255915604</v>
      </c>
      <c r="Q1993" s="14">
        <f>VLOOKUP(B1993, 'All Menu'!B:M, 12, 0)</f>
        <v>0.50783527356865099</v>
      </c>
      <c r="R1993" s="173">
        <f t="shared" si="99"/>
        <v>0</v>
      </c>
    </row>
    <row r="1994" spans="1:18" ht="14" hidden="1">
      <c r="A1994" s="78" t="s">
        <v>2771</v>
      </c>
      <c r="B1994" s="220" t="s">
        <v>973</v>
      </c>
      <c r="C1994" s="185"/>
      <c r="D1994" s="103" t="str">
        <f>VLOOKUP(B1994, 'All Menu'!B:M, 4, 0)</f>
        <v>ساندويش كباب دجاج سوبر</v>
      </c>
      <c r="E1994" s="30" t="str">
        <f>VLOOKUP(B1994, 'All Menu'!B:M, 2, 0)</f>
        <v>قسم المشاوي</v>
      </c>
      <c r="F1994" s="103" t="str">
        <f>VLOOKUP(B1994, 'All Menu'!B:M, 3, 0)</f>
        <v>المشاوي سفري2</v>
      </c>
      <c r="G1994" s="90" t="s">
        <v>2296</v>
      </c>
      <c r="H1994" s="188">
        <v>4866</v>
      </c>
      <c r="I1994" s="110" t="str">
        <f>VLOOKUP(H1994, 'RM &amp; SF'!B:H, 2, 0)</f>
        <v>*****مخلل خيار شرائح 10 كغ</v>
      </c>
      <c r="J1994" s="184" t="str">
        <f>VLOOKUP(H1994, 'RM &amp; SF'!B:E, 4, 0)</f>
        <v>غم</v>
      </c>
      <c r="K1994" s="12">
        <v>15</v>
      </c>
      <c r="L1994" s="13">
        <f>VLOOKUP(H1994, 'RM &amp; SF'!B:H, 7, 0)</f>
        <v>1E-3</v>
      </c>
      <c r="M1994" s="7">
        <f t="shared" si="100"/>
        <v>1.4999999999999999E-2</v>
      </c>
      <c r="N1994" s="4" t="s">
        <v>825</v>
      </c>
      <c r="O1994" s="4">
        <f>VLOOKUP(B1994, 'All Menu'!B:L, 6, 0)</f>
        <v>2.3706896551724141</v>
      </c>
      <c r="P1994" s="6">
        <f>VLOOKUP(B1994, 'All Menu'!B:L, 9, 0)</f>
        <v>1.1667698255915604</v>
      </c>
      <c r="Q1994" s="14">
        <f>VLOOKUP(B1994, 'All Menu'!B:M, 12, 0)</f>
        <v>0.50783527356865099</v>
      </c>
      <c r="R1994" s="173">
        <f t="shared" si="99"/>
        <v>0</v>
      </c>
    </row>
    <row r="1995" spans="1:18" ht="14" hidden="1">
      <c r="A1995" s="78" t="s">
        <v>2771</v>
      </c>
      <c r="B1995" s="220" t="s">
        <v>973</v>
      </c>
      <c r="C1995" s="185"/>
      <c r="D1995" s="103" t="str">
        <f>VLOOKUP(B1995, 'All Menu'!B:M, 4, 0)</f>
        <v>ساندويش كباب دجاج سوبر</v>
      </c>
      <c r="E1995" s="30" t="str">
        <f>VLOOKUP(B1995, 'All Menu'!B:M, 2, 0)</f>
        <v>قسم المشاوي</v>
      </c>
      <c r="F1995" s="103" t="str">
        <f>VLOOKUP(B1995, 'All Menu'!B:M, 3, 0)</f>
        <v>المشاوي سفري2</v>
      </c>
      <c r="G1995" s="90" t="s">
        <v>3058</v>
      </c>
      <c r="H1995" s="188">
        <v>4517</v>
      </c>
      <c r="I1995" s="110" t="str">
        <f>VLOOKUP(H1995, 'RM &amp; SF'!B:H, 2, 0)</f>
        <v>خس بلدي*****</v>
      </c>
      <c r="J1995" s="184" t="str">
        <f>VLOOKUP(H1995, 'RM &amp; SF'!B:E, 4, 0)</f>
        <v>غم</v>
      </c>
      <c r="K1995" s="12">
        <v>20</v>
      </c>
      <c r="L1995" s="13">
        <f>VLOOKUP(H1995, 'RM &amp; SF'!B:H, 7, 0)</f>
        <v>5.0000000000000001E-4</v>
      </c>
      <c r="M1995" s="7">
        <f t="shared" si="100"/>
        <v>0.01</v>
      </c>
      <c r="N1995" s="4" t="s">
        <v>825</v>
      </c>
      <c r="O1995" s="4">
        <f>VLOOKUP(B1995, 'All Menu'!B:L, 6, 0)</f>
        <v>2.3706896551724141</v>
      </c>
      <c r="P1995" s="6">
        <f>VLOOKUP(B1995, 'All Menu'!B:L, 9, 0)</f>
        <v>1.1667698255915604</v>
      </c>
      <c r="Q1995" s="14">
        <f>VLOOKUP(B1995, 'All Menu'!B:M, 12, 0)</f>
        <v>0.50783527356865099</v>
      </c>
      <c r="R1995" s="173">
        <f t="shared" si="99"/>
        <v>0</v>
      </c>
    </row>
    <row r="1996" spans="1:18" ht="14" hidden="1">
      <c r="A1996" s="78" t="s">
        <v>2771</v>
      </c>
      <c r="B1996" s="220" t="s">
        <v>973</v>
      </c>
      <c r="C1996" s="185"/>
      <c r="D1996" s="103" t="str">
        <f>VLOOKUP(B1996, 'All Menu'!B:M, 4, 0)</f>
        <v>ساندويش كباب دجاج سوبر</v>
      </c>
      <c r="E1996" s="30" t="str">
        <f>VLOOKUP(B1996, 'All Menu'!B:M, 2, 0)</f>
        <v>قسم المشاوي</v>
      </c>
      <c r="F1996" s="103" t="str">
        <f>VLOOKUP(B1996, 'All Menu'!B:M, 3, 0)</f>
        <v>المشاوي سفري2</v>
      </c>
      <c r="G1996" s="90" t="s">
        <v>2325</v>
      </c>
      <c r="H1996" s="219" t="s">
        <v>534</v>
      </c>
      <c r="I1996" s="110" t="str">
        <f>VLOOKUP(H1996, 'RM &amp; SF'!B:H, 2, 0)</f>
        <v>مثومه</v>
      </c>
      <c r="J1996" s="184" t="str">
        <f>VLOOKUP(H1996, 'RM &amp; SF'!B:E, 4, 0)</f>
        <v>غم</v>
      </c>
      <c r="K1996" s="12">
        <v>50</v>
      </c>
      <c r="L1996" s="13">
        <f>VLOOKUP(H1996, 'RM &amp; SF'!B:H, 7, 0)</f>
        <v>6.6564092227821051E-4</v>
      </c>
      <c r="M1996" s="7">
        <f t="shared" si="100"/>
        <v>3.3282046113910523E-2</v>
      </c>
      <c r="N1996" s="4" t="s">
        <v>825</v>
      </c>
      <c r="O1996" s="4">
        <f>VLOOKUP(B1996, 'All Menu'!B:L, 6, 0)</f>
        <v>2.3706896551724141</v>
      </c>
      <c r="P1996" s="6">
        <f>VLOOKUP(B1996, 'All Menu'!B:L, 9, 0)</f>
        <v>1.1667698255915604</v>
      </c>
      <c r="Q1996" s="14">
        <f>VLOOKUP(B1996, 'All Menu'!B:M, 12, 0)</f>
        <v>0.50783527356865099</v>
      </c>
      <c r="R1996" s="173">
        <f t="shared" si="99"/>
        <v>0</v>
      </c>
    </row>
    <row r="1997" spans="1:18" ht="14" hidden="1">
      <c r="A1997" s="78" t="s">
        <v>2771</v>
      </c>
      <c r="B1997" s="220" t="s">
        <v>973</v>
      </c>
      <c r="C1997" s="185"/>
      <c r="D1997" s="103" t="str">
        <f>VLOOKUP(B1997, 'All Menu'!B:M, 4, 0)</f>
        <v>ساندويش كباب دجاج سوبر</v>
      </c>
      <c r="E1997" s="30" t="str">
        <f>VLOOKUP(B1997, 'All Menu'!B:M, 2, 0)</f>
        <v>قسم المشاوي</v>
      </c>
      <c r="F1997" s="103" t="str">
        <f>VLOOKUP(B1997, 'All Menu'!B:M, 3, 0)</f>
        <v>المشاوي سفري2</v>
      </c>
      <c r="G1997" s="90" t="s">
        <v>3058</v>
      </c>
      <c r="H1997" s="188">
        <v>4264</v>
      </c>
      <c r="I1997" s="110" t="str">
        <f>VLOOKUP(H1997, 'RM &amp; SF'!B:H, 2, 0)</f>
        <v>علب ساندوش (علب سناك) كرتون مطبوع 1*50 حبة*****</v>
      </c>
      <c r="J1997" s="184" t="str">
        <f>VLOOKUP(H1997, 'RM &amp; SF'!B:E, 4, 0)</f>
        <v>قطعة</v>
      </c>
      <c r="K1997" s="12">
        <v>1</v>
      </c>
      <c r="L1997" s="13">
        <f>VLOOKUP(H1997, 'RM &amp; SF'!B:H, 7, 0)</f>
        <v>0.1724</v>
      </c>
      <c r="M1997" s="7">
        <f t="shared" si="100"/>
        <v>0.1724</v>
      </c>
      <c r="N1997" s="4" t="s">
        <v>825</v>
      </c>
      <c r="O1997" s="4">
        <f>VLOOKUP(B1997, 'All Menu'!B:L, 6, 0)</f>
        <v>2.3706896551724141</v>
      </c>
      <c r="P1997" s="6">
        <f>VLOOKUP(B1997, 'All Menu'!B:L, 9, 0)</f>
        <v>1.1667698255915604</v>
      </c>
      <c r="Q1997" s="14">
        <f>VLOOKUP(B1997, 'All Menu'!B:M, 12, 0)</f>
        <v>0.50783527356865099</v>
      </c>
      <c r="R1997" s="173">
        <f t="shared" si="99"/>
        <v>0</v>
      </c>
    </row>
    <row r="1998" spans="1:18" ht="14" hidden="1">
      <c r="A1998" s="78" t="s">
        <v>2771</v>
      </c>
      <c r="B1998" s="220" t="s">
        <v>973</v>
      </c>
      <c r="C1998" s="185"/>
      <c r="D1998" s="103" t="str">
        <f>VLOOKUP(B1998, 'All Menu'!B:M, 4, 0)</f>
        <v>ساندويش كباب دجاج سوبر</v>
      </c>
      <c r="E1998" s="30" t="str">
        <f>VLOOKUP(B1998, 'All Menu'!B:M, 2, 0)</f>
        <v>قسم المشاوي</v>
      </c>
      <c r="F1998" s="103" t="str">
        <f>VLOOKUP(B1998, 'All Menu'!B:M, 3, 0)</f>
        <v>المشاوي سفري2</v>
      </c>
      <c r="G1998" s="90" t="s">
        <v>2325</v>
      </c>
      <c r="H1998" s="219" t="s">
        <v>534</v>
      </c>
      <c r="I1998" s="110" t="str">
        <f>VLOOKUP(H1998, 'RM &amp; SF'!B:H, 2, 0)</f>
        <v>مثومه</v>
      </c>
      <c r="J1998" s="184" t="str">
        <f>VLOOKUP(H1998, 'RM &amp; SF'!B:E, 4, 0)</f>
        <v>غم</v>
      </c>
      <c r="K1998" s="12">
        <v>30</v>
      </c>
      <c r="L1998" s="13">
        <f>VLOOKUP(H1998, 'RM &amp; SF'!B:H, 7, 0)</f>
        <v>6.6564092227821051E-4</v>
      </c>
      <c r="M1998" s="7">
        <f t="shared" si="100"/>
        <v>1.9969227668346315E-2</v>
      </c>
      <c r="N1998" s="4" t="s">
        <v>825</v>
      </c>
      <c r="O1998" s="4">
        <f>VLOOKUP(B1998, 'All Menu'!B:L, 6, 0)</f>
        <v>2.3706896551724141</v>
      </c>
      <c r="P1998" s="6">
        <f>VLOOKUP(B1998, 'All Menu'!B:L, 9, 0)</f>
        <v>1.1667698255915604</v>
      </c>
      <c r="Q1998" s="14">
        <f>VLOOKUP(B1998, 'All Menu'!B:M, 12, 0)</f>
        <v>0.50783527356865099</v>
      </c>
      <c r="R1998" s="173">
        <f t="shared" si="99"/>
        <v>0</v>
      </c>
    </row>
    <row r="1999" spans="1:18" ht="14" hidden="1">
      <c r="A1999" s="78" t="s">
        <v>2771</v>
      </c>
      <c r="B1999" s="220" t="s">
        <v>973</v>
      </c>
      <c r="C1999" s="185"/>
      <c r="D1999" s="103" t="str">
        <f>VLOOKUP(B1999, 'All Menu'!B:M, 4, 0)</f>
        <v>ساندويش كباب دجاج سوبر</v>
      </c>
      <c r="E1999" s="30" t="str">
        <f>VLOOKUP(B1999, 'All Menu'!B:M, 2, 0)</f>
        <v>قسم المشاوي</v>
      </c>
      <c r="F1999" s="103" t="str">
        <f>VLOOKUP(B1999, 'All Menu'!B:M, 3, 0)</f>
        <v>المشاوي سفري2</v>
      </c>
      <c r="G1999" s="90" t="s">
        <v>3058</v>
      </c>
      <c r="H1999" s="219">
        <v>5280</v>
      </c>
      <c r="I1999" s="110" t="str">
        <f>VLOOKUP(H1999, 'RM &amp; SF'!B:H, 2, 0)</f>
        <v>ورق مع قصدير مطبوع*****</v>
      </c>
      <c r="J1999" s="184" t="str">
        <f>VLOOKUP(H1999, 'RM &amp; SF'!B:E, 4, 0)</f>
        <v>قطعة</v>
      </c>
      <c r="K1999" s="12">
        <v>1</v>
      </c>
      <c r="L1999" s="13">
        <f>VLOOKUP(H1999, 'RM &amp; SF'!B:H, 7, 0)</f>
        <v>6.4655000000000004E-2</v>
      </c>
      <c r="M1999" s="7">
        <f t="shared" ref="M1999" si="101">L1999*K1999</f>
        <v>6.4655000000000004E-2</v>
      </c>
      <c r="N1999" s="4" t="s">
        <v>825</v>
      </c>
      <c r="O1999" s="4">
        <f>VLOOKUP(B1999, 'All Menu'!B:L, 6, 0)</f>
        <v>2.3706896551724141</v>
      </c>
      <c r="P1999" s="6">
        <f>VLOOKUP(B1999, 'All Menu'!B:L, 9, 0)</f>
        <v>1.1667698255915604</v>
      </c>
      <c r="Q1999" s="14">
        <f>VLOOKUP(B1999, 'All Menu'!B:M, 12, 0)</f>
        <v>0.50783527356865099</v>
      </c>
      <c r="R1999" s="173">
        <f t="shared" ref="R1999" si="102">C1999*K1999</f>
        <v>0</v>
      </c>
    </row>
    <row r="2000" spans="1:18" ht="14" hidden="1">
      <c r="A2000" s="78" t="s">
        <v>2771</v>
      </c>
      <c r="B2000" s="220" t="s">
        <v>973</v>
      </c>
      <c r="C2000" s="185"/>
      <c r="D2000" s="103" t="str">
        <f>VLOOKUP(B2000, 'All Menu'!B:M, 4, 0)</f>
        <v>ساندويش كباب دجاج سوبر</v>
      </c>
      <c r="E2000" s="30" t="str">
        <f>VLOOKUP(B2000, 'All Menu'!B:M, 2, 0)</f>
        <v>قسم المشاوي</v>
      </c>
      <c r="F2000" s="103" t="str">
        <f>VLOOKUP(B2000, 'All Menu'!B:M, 3, 0)</f>
        <v>المشاوي سفري2</v>
      </c>
      <c r="G2000" s="90" t="s">
        <v>2193</v>
      </c>
      <c r="H2000" s="188">
        <v>4309</v>
      </c>
      <c r="I2000" s="110" t="str">
        <f>VLOOKUP(H2000, 'RM &amp; SF'!B:H, 2, 0)</f>
        <v>اكياس بلاستيك مطبوع 55 سم*****</v>
      </c>
      <c r="J2000" s="184" t="str">
        <f>VLOOKUP(H2000, 'RM &amp; SF'!B:E, 4, 0)</f>
        <v>قطعة</v>
      </c>
      <c r="K2000" s="12">
        <v>1</v>
      </c>
      <c r="L2000" s="13">
        <f>VLOOKUP(H2000, 'RM &amp; SF'!B:H, 7, 0)</f>
        <v>5.5172413793103454E-2</v>
      </c>
      <c r="M2000" s="7">
        <f t="shared" si="100"/>
        <v>5.5172413793103454E-2</v>
      </c>
      <c r="N2000" s="4" t="s">
        <v>825</v>
      </c>
      <c r="O2000" s="4">
        <f>VLOOKUP(B2000, 'All Menu'!B:L, 6, 0)</f>
        <v>2.3706896551724141</v>
      </c>
      <c r="P2000" s="6">
        <f>VLOOKUP(B2000, 'All Menu'!B:L, 9, 0)</f>
        <v>1.1667698255915604</v>
      </c>
      <c r="Q2000" s="14">
        <f>VLOOKUP(B2000, 'All Menu'!B:M, 12, 0)</f>
        <v>0.50783527356865099</v>
      </c>
      <c r="R2000" s="173">
        <f t="shared" si="99"/>
        <v>0</v>
      </c>
    </row>
    <row r="2001" spans="1:18" ht="14" hidden="1">
      <c r="A2001" s="78" t="s">
        <v>2744</v>
      </c>
      <c r="B2001" s="220" t="s">
        <v>974</v>
      </c>
      <c r="C2001" s="185"/>
      <c r="D2001" s="103" t="str">
        <f>VLOOKUP(B2001, 'All Menu'!B:M, 4, 0)</f>
        <v>ساندويش كبدة خاروف سوبر</v>
      </c>
      <c r="E2001" s="30" t="str">
        <f>VLOOKUP(B2001, 'All Menu'!B:M, 2, 0)</f>
        <v>قسم المشاوي</v>
      </c>
      <c r="F2001" s="103" t="str">
        <f>VLOOKUP(B2001, 'All Menu'!B:M, 3, 0)</f>
        <v>المشاوي سفري2</v>
      </c>
      <c r="G2001" s="90" t="s">
        <v>3058</v>
      </c>
      <c r="H2001" s="188">
        <v>1082</v>
      </c>
      <c r="I2001" s="110" t="str">
        <f>VLOOKUP(H2001, 'RM &amp; SF'!B:H, 2, 0)</f>
        <v>كبدة غنم</v>
      </c>
      <c r="J2001" s="184" t="str">
        <f>VLOOKUP(H2001, 'RM &amp; SF'!B:E, 4, 0)</f>
        <v>غم</v>
      </c>
      <c r="K2001" s="12">
        <v>200</v>
      </c>
      <c r="L2001" s="13">
        <f>VLOOKUP(H2001, 'RM &amp; SF'!B:H, 7, 0)</f>
        <v>7.0000000000000001E-3</v>
      </c>
      <c r="M2001" s="7">
        <f t="shared" si="100"/>
        <v>1.4000000000000001</v>
      </c>
      <c r="N2001" s="4" t="s">
        <v>825</v>
      </c>
      <c r="O2001" s="4">
        <f>VLOOKUP(B2001, 'All Menu'!B:L, 6, 0)</f>
        <v>3.2327586206896552</v>
      </c>
      <c r="P2001" s="6">
        <f>VLOOKUP(B2001, 'All Menu'!B:L, 9, 0)</f>
        <v>1.6932071544708096</v>
      </c>
      <c r="Q2001" s="14">
        <f>VLOOKUP(B2001, 'All Menu'!B:M, 12, 0)</f>
        <v>0.47623458688369624</v>
      </c>
      <c r="R2001" s="173">
        <f t="shared" si="99"/>
        <v>0</v>
      </c>
    </row>
    <row r="2002" spans="1:18" ht="14" hidden="1">
      <c r="A2002" s="78" t="s">
        <v>2744</v>
      </c>
      <c r="B2002" s="220" t="s">
        <v>974</v>
      </c>
      <c r="C2002" s="185"/>
      <c r="D2002" s="103" t="str">
        <f>VLOOKUP(B2002, 'All Menu'!B:M, 4, 0)</f>
        <v>ساندويش كبدة خاروف سوبر</v>
      </c>
      <c r="E2002" s="30" t="str">
        <f>VLOOKUP(B2002, 'All Menu'!B:M, 2, 0)</f>
        <v>قسم المشاوي</v>
      </c>
      <c r="F2002" s="103" t="str">
        <f>VLOOKUP(B2002, 'All Menu'!B:M, 3, 0)</f>
        <v>المشاوي سفري2</v>
      </c>
      <c r="G2002" s="90" t="s">
        <v>2396</v>
      </c>
      <c r="H2002" s="219" t="s">
        <v>582</v>
      </c>
      <c r="I2002" s="110" t="str">
        <f>VLOOKUP(H2002, 'RM &amp; SF'!B:H, 2, 0)</f>
        <v>بيواز</v>
      </c>
      <c r="J2002" s="184" t="str">
        <f>VLOOKUP(H2002, 'RM &amp; SF'!B:E, 4, 0)</f>
        <v>غم</v>
      </c>
      <c r="K2002" s="12">
        <v>30</v>
      </c>
      <c r="L2002" s="13">
        <f>VLOOKUP(H2002, 'RM &amp; SF'!B:H, 7, 0)</f>
        <v>2.0666065869244635E-4</v>
      </c>
      <c r="M2002" s="7">
        <f t="shared" si="100"/>
        <v>6.1998197607733901E-3</v>
      </c>
      <c r="N2002" s="4" t="s">
        <v>825</v>
      </c>
      <c r="O2002" s="4">
        <f>VLOOKUP(B2002, 'All Menu'!B:L, 6, 0)</f>
        <v>3.2327586206896552</v>
      </c>
      <c r="P2002" s="6">
        <f>VLOOKUP(B2002, 'All Menu'!B:L, 9, 0)</f>
        <v>1.6932071544708096</v>
      </c>
      <c r="Q2002" s="14">
        <f>VLOOKUP(B2002, 'All Menu'!B:M, 12, 0)</f>
        <v>0.47623458688369624</v>
      </c>
      <c r="R2002" s="173">
        <f t="shared" si="99"/>
        <v>0</v>
      </c>
    </row>
    <row r="2003" spans="1:18" ht="14" hidden="1">
      <c r="A2003" s="78" t="s">
        <v>2744</v>
      </c>
      <c r="B2003" s="220" t="s">
        <v>974</v>
      </c>
      <c r="C2003" s="185"/>
      <c r="D2003" s="103" t="str">
        <f>VLOOKUP(B2003, 'All Menu'!B:M, 4, 0)</f>
        <v>ساندويش كبدة خاروف سوبر</v>
      </c>
      <c r="E2003" s="30" t="str">
        <f>VLOOKUP(B2003, 'All Menu'!B:M, 2, 0)</f>
        <v>قسم المشاوي</v>
      </c>
      <c r="F2003" s="103" t="str">
        <f>VLOOKUP(B2003, 'All Menu'!B:M, 3, 0)</f>
        <v>المشاوي سفري2</v>
      </c>
      <c r="G2003" s="90" t="s">
        <v>2257</v>
      </c>
      <c r="H2003" s="188">
        <v>5281</v>
      </c>
      <c r="I2003" s="110" t="str">
        <f>VLOOKUP(H2003, 'RM &amp; SF'!B:H, 2, 0)</f>
        <v>بندوره مشاوي</v>
      </c>
      <c r="J2003" s="184" t="str">
        <f>VLOOKUP(H2003, 'RM &amp; SF'!B:E, 4, 0)</f>
        <v>غم</v>
      </c>
      <c r="K2003" s="12">
        <v>20</v>
      </c>
      <c r="L2003" s="13">
        <f>VLOOKUP(H2003, 'RM &amp; SF'!B:H, 7, 0)</f>
        <v>4.0000000000000002E-4</v>
      </c>
      <c r="M2003" s="7">
        <f t="shared" si="100"/>
        <v>8.0000000000000002E-3</v>
      </c>
      <c r="N2003" s="4" t="s">
        <v>825</v>
      </c>
      <c r="O2003" s="4">
        <f>VLOOKUP(B2003, 'All Menu'!B:L, 6, 0)</f>
        <v>3.2327586206896552</v>
      </c>
      <c r="P2003" s="6">
        <f>VLOOKUP(B2003, 'All Menu'!B:L, 9, 0)</f>
        <v>1.6932071544708096</v>
      </c>
      <c r="Q2003" s="14">
        <f>VLOOKUP(B2003, 'All Menu'!B:M, 12, 0)</f>
        <v>0.47623458688369624</v>
      </c>
      <c r="R2003" s="173">
        <f t="shared" ref="R2003:R2065" si="103">C2003*K2003</f>
        <v>0</v>
      </c>
    </row>
    <row r="2004" spans="1:18" ht="14" hidden="1">
      <c r="A2004" s="78" t="s">
        <v>2744</v>
      </c>
      <c r="B2004" s="220" t="s">
        <v>974</v>
      </c>
      <c r="C2004" s="185"/>
      <c r="D2004" s="103" t="str">
        <f>VLOOKUP(B2004, 'All Menu'!B:M, 4, 0)</f>
        <v>ساندويش كبدة خاروف سوبر</v>
      </c>
      <c r="E2004" s="30" t="str">
        <f>VLOOKUP(B2004, 'All Menu'!B:M, 2, 0)</f>
        <v>قسم المشاوي</v>
      </c>
      <c r="F2004" s="103" t="str">
        <f>VLOOKUP(B2004, 'All Menu'!B:M, 3, 0)</f>
        <v>المشاوي سفري2</v>
      </c>
      <c r="G2004" s="90" t="s">
        <v>2331</v>
      </c>
      <c r="H2004" s="219" t="s">
        <v>530</v>
      </c>
      <c r="I2004" s="110" t="str">
        <f>VLOOKUP(H2004, 'RM &amp; SF'!B:H, 2, 0)</f>
        <v>خبز صاج</v>
      </c>
      <c r="J2004" s="184" t="str">
        <f>VLOOKUP(H2004, 'RM &amp; SF'!B:E, 4, 0)</f>
        <v>غم</v>
      </c>
      <c r="K2004" s="12">
        <v>100</v>
      </c>
      <c r="L2004" s="13">
        <f>VLOOKUP(H2004, 'RM &amp; SF'!B:H, 7, 0)</f>
        <v>1.8806451612903227E-4</v>
      </c>
      <c r="M2004" s="7">
        <f t="shared" si="100"/>
        <v>1.8806451612903227E-2</v>
      </c>
      <c r="N2004" s="4" t="s">
        <v>825</v>
      </c>
      <c r="O2004" s="4">
        <f>VLOOKUP(B2004, 'All Menu'!B:L, 6, 0)</f>
        <v>3.2327586206896552</v>
      </c>
      <c r="P2004" s="6">
        <f>VLOOKUP(B2004, 'All Menu'!B:L, 9, 0)</f>
        <v>1.6932071544708096</v>
      </c>
      <c r="Q2004" s="14">
        <f>VLOOKUP(B2004, 'All Menu'!B:M, 12, 0)</f>
        <v>0.47623458688369624</v>
      </c>
      <c r="R2004" s="173">
        <f t="shared" si="103"/>
        <v>0</v>
      </c>
    </row>
    <row r="2005" spans="1:18" ht="14" hidden="1">
      <c r="A2005" s="78" t="s">
        <v>2744</v>
      </c>
      <c r="B2005" s="220" t="s">
        <v>974</v>
      </c>
      <c r="C2005" s="185"/>
      <c r="D2005" s="103" t="str">
        <f>VLOOKUP(B2005, 'All Menu'!B:M, 4, 0)</f>
        <v>ساندويش كبدة خاروف سوبر</v>
      </c>
      <c r="E2005" s="30" t="str">
        <f>VLOOKUP(B2005, 'All Menu'!B:M, 2, 0)</f>
        <v>قسم المشاوي</v>
      </c>
      <c r="F2005" s="103" t="str">
        <f>VLOOKUP(B2005, 'All Menu'!B:M, 3, 0)</f>
        <v>المشاوي سفري2</v>
      </c>
      <c r="G2005" s="90" t="s">
        <v>3058</v>
      </c>
      <c r="H2005" s="188">
        <v>4264</v>
      </c>
      <c r="I2005" s="110" t="str">
        <f>VLOOKUP(H2005, 'RM &amp; SF'!B:H, 2, 0)</f>
        <v>علب ساندوش (علب سناك) كرتون مطبوع 1*50 حبة*****</v>
      </c>
      <c r="J2005" s="184" t="str">
        <f>VLOOKUP(H2005, 'RM &amp; SF'!B:E, 4, 0)</f>
        <v>قطعة</v>
      </c>
      <c r="K2005" s="12">
        <v>1</v>
      </c>
      <c r="L2005" s="13">
        <f>VLOOKUP(H2005, 'RM &amp; SF'!B:H, 7, 0)</f>
        <v>0.1724</v>
      </c>
      <c r="M2005" s="7">
        <f t="shared" si="100"/>
        <v>0.1724</v>
      </c>
      <c r="N2005" s="4" t="s">
        <v>825</v>
      </c>
      <c r="O2005" s="4">
        <f>VLOOKUP(B2005, 'All Menu'!B:L, 6, 0)</f>
        <v>3.2327586206896552</v>
      </c>
      <c r="P2005" s="6">
        <f>VLOOKUP(B2005, 'All Menu'!B:L, 9, 0)</f>
        <v>1.6932071544708096</v>
      </c>
      <c r="Q2005" s="14">
        <f>VLOOKUP(B2005, 'All Menu'!B:M, 12, 0)</f>
        <v>0.47623458688369624</v>
      </c>
      <c r="R2005" s="173">
        <f t="shared" si="103"/>
        <v>0</v>
      </c>
    </row>
    <row r="2006" spans="1:18" ht="14" hidden="1">
      <c r="A2006" s="78" t="s">
        <v>2744</v>
      </c>
      <c r="B2006" s="220" t="s">
        <v>974</v>
      </c>
      <c r="C2006" s="185"/>
      <c r="D2006" s="103" t="str">
        <f>VLOOKUP(B2006, 'All Menu'!B:M, 4, 0)</f>
        <v>ساندويش كبدة خاروف سوبر</v>
      </c>
      <c r="E2006" s="30" t="str">
        <f>VLOOKUP(B2006, 'All Menu'!B:M, 2, 0)</f>
        <v>قسم المشاوي</v>
      </c>
      <c r="F2006" s="103" t="str">
        <f>VLOOKUP(B2006, 'All Menu'!B:M, 3, 0)</f>
        <v>المشاوي سفري2</v>
      </c>
      <c r="G2006" s="90" t="s">
        <v>2397</v>
      </c>
      <c r="H2006" s="219" t="s">
        <v>580</v>
      </c>
      <c r="I2006" s="110" t="str">
        <f>VLOOKUP(H2006, 'RM &amp; SF'!B:H, 2, 0)</f>
        <v>طحينة مشاوي</v>
      </c>
      <c r="J2006" s="184" t="str">
        <f>VLOOKUP(H2006, 'RM &amp; SF'!B:E, 4, 0)</f>
        <v>غم</v>
      </c>
      <c r="K2006" s="12">
        <v>30</v>
      </c>
      <c r="L2006" s="13">
        <f>VLOOKUP(H2006, 'RM &amp; SF'!B:H, 7, 0)</f>
        <v>1.0841676434676436E-3</v>
      </c>
      <c r="M2006" s="7">
        <f t="shared" si="100"/>
        <v>3.2525029304029306E-2</v>
      </c>
      <c r="N2006" s="4" t="s">
        <v>825</v>
      </c>
      <c r="O2006" s="4">
        <f>VLOOKUP(B2006, 'All Menu'!B:L, 6, 0)</f>
        <v>3.2327586206896552</v>
      </c>
      <c r="P2006" s="6">
        <f>VLOOKUP(B2006, 'All Menu'!B:L, 9, 0)</f>
        <v>1.6932071544708096</v>
      </c>
      <c r="Q2006" s="14">
        <f>VLOOKUP(B2006, 'All Menu'!B:M, 12, 0)</f>
        <v>0.47623458688369624</v>
      </c>
      <c r="R2006" s="173">
        <f t="shared" si="103"/>
        <v>0</v>
      </c>
    </row>
    <row r="2007" spans="1:18" ht="14" hidden="1">
      <c r="A2007" s="78" t="s">
        <v>2744</v>
      </c>
      <c r="B2007" s="220" t="s">
        <v>974</v>
      </c>
      <c r="C2007" s="185"/>
      <c r="D2007" s="103" t="str">
        <f>VLOOKUP(B2007, 'All Menu'!B:M, 4, 0)</f>
        <v>ساندويش كبدة خاروف سوبر</v>
      </c>
      <c r="E2007" s="30" t="str">
        <f>VLOOKUP(B2007, 'All Menu'!B:M, 2, 0)</f>
        <v>قسم المشاوي</v>
      </c>
      <c r="F2007" s="103" t="str">
        <f>VLOOKUP(B2007, 'All Menu'!B:M, 3, 0)</f>
        <v>المشاوي سفري2</v>
      </c>
      <c r="G2007" s="90" t="s">
        <v>2193</v>
      </c>
      <c r="H2007" s="188">
        <v>4309</v>
      </c>
      <c r="I2007" s="110" t="str">
        <f>VLOOKUP(H2007, 'RM &amp; SF'!B:H, 2, 0)</f>
        <v>اكياس بلاستيك مطبوع 55 سم*****</v>
      </c>
      <c r="J2007" s="184" t="str">
        <f>VLOOKUP(H2007, 'RM &amp; SF'!B:E, 4, 0)</f>
        <v>قطعة</v>
      </c>
      <c r="K2007" s="12">
        <v>1</v>
      </c>
      <c r="L2007" s="13">
        <f>VLOOKUP(H2007, 'RM &amp; SF'!B:H, 7, 0)</f>
        <v>5.5172413793103454E-2</v>
      </c>
      <c r="M2007" s="7">
        <f t="shared" si="100"/>
        <v>5.5172413793103454E-2</v>
      </c>
      <c r="N2007" s="4" t="s">
        <v>825</v>
      </c>
      <c r="O2007" s="4">
        <f>VLOOKUP(B2007, 'All Menu'!B:L, 6, 0)</f>
        <v>3.2327586206896552</v>
      </c>
      <c r="P2007" s="6">
        <f>VLOOKUP(B2007, 'All Menu'!B:L, 9, 0)</f>
        <v>1.6932071544708096</v>
      </c>
      <c r="Q2007" s="14">
        <f>VLOOKUP(B2007, 'All Menu'!B:M, 12, 0)</f>
        <v>0.47623458688369624</v>
      </c>
      <c r="R2007" s="173">
        <f t="shared" si="103"/>
        <v>0</v>
      </c>
    </row>
    <row r="2008" spans="1:18" ht="14" hidden="1">
      <c r="A2008" s="78" t="s">
        <v>2744</v>
      </c>
      <c r="B2008" s="220" t="s">
        <v>974</v>
      </c>
      <c r="C2008" s="185"/>
      <c r="D2008" s="103" t="str">
        <f>VLOOKUP(B2008, 'All Menu'!B:M, 4, 0)</f>
        <v>ساندويش كبدة خاروف سوبر</v>
      </c>
      <c r="E2008" s="30" t="str">
        <f>VLOOKUP(B2008, 'All Menu'!B:M, 2, 0)</f>
        <v>قسم المشاوي</v>
      </c>
      <c r="F2008" s="103" t="str">
        <f>VLOOKUP(B2008, 'All Menu'!B:M, 3, 0)</f>
        <v>المشاوي سفري2</v>
      </c>
      <c r="G2008" s="90" t="s">
        <v>2194</v>
      </c>
      <c r="H2008" s="188">
        <v>4323</v>
      </c>
      <c r="I2008" s="110" t="str">
        <f>VLOOKUP(H2008, 'RM &amp; SF'!B:H, 2, 0)</f>
        <v>قصدير رول 45 سم*2كغ*****</v>
      </c>
      <c r="J2008" s="184" t="str">
        <f>VLOOKUP(H2008, 'RM &amp; SF'!B:E, 4, 0)</f>
        <v>غم</v>
      </c>
      <c r="K2008" s="12">
        <v>0.06</v>
      </c>
      <c r="L2008" s="13">
        <f>VLOOKUP(H2008, 'RM &amp; SF'!B:H, 7, 0)</f>
        <v>1.7240000000000001E-3</v>
      </c>
      <c r="M2008" s="7">
        <f t="shared" si="100"/>
        <v>1.0344E-4</v>
      </c>
      <c r="N2008" s="4" t="s">
        <v>825</v>
      </c>
      <c r="O2008" s="4">
        <f>VLOOKUP(B2008, 'All Menu'!B:L, 6, 0)</f>
        <v>3.2327586206896552</v>
      </c>
      <c r="P2008" s="6">
        <f>VLOOKUP(B2008, 'All Menu'!B:L, 9, 0)</f>
        <v>1.6932071544708096</v>
      </c>
      <c r="Q2008" s="14">
        <f>VLOOKUP(B2008, 'All Menu'!B:M, 12, 0)</f>
        <v>0.47623458688369624</v>
      </c>
      <c r="R2008" s="173">
        <f t="shared" si="103"/>
        <v>0</v>
      </c>
    </row>
    <row r="2009" spans="1:18" ht="14" hidden="1">
      <c r="A2009" s="78" t="s">
        <v>2765</v>
      </c>
      <c r="B2009" s="220" t="s">
        <v>975</v>
      </c>
      <c r="C2009" s="185"/>
      <c r="D2009" s="103" t="str">
        <f>VLOOKUP(B2009, 'All Menu'!B:M, 4, 0)</f>
        <v>ساندويش كباب سوبر</v>
      </c>
      <c r="E2009" s="30" t="str">
        <f>VLOOKUP(B2009, 'All Menu'!B:M, 2, 0)</f>
        <v>قسم المشاوي</v>
      </c>
      <c r="F2009" s="103" t="str">
        <f>VLOOKUP(B2009, 'All Menu'!B:M, 3, 0)</f>
        <v>المشاوي سفري2</v>
      </c>
      <c r="G2009" s="90" t="s">
        <v>2429</v>
      </c>
      <c r="H2009" s="219" t="s">
        <v>610</v>
      </c>
      <c r="I2009" s="110" t="str">
        <f>VLOOKUP(H2009, 'RM &amp; SF'!B:H, 2, 0)</f>
        <v>كباب الساندويش</v>
      </c>
      <c r="J2009" s="184" t="str">
        <f>VLOOKUP(H2009, 'RM &amp; SF'!B:E, 4, 0)</f>
        <v>غم</v>
      </c>
      <c r="K2009" s="12">
        <v>240</v>
      </c>
      <c r="L2009" s="13">
        <f>VLOOKUP(H2009, 'RM &amp; SF'!B:H, 7, 0)</f>
        <v>6.0066783033033031E-3</v>
      </c>
      <c r="M2009" s="7">
        <f t="shared" si="100"/>
        <v>1.4416027927927928</v>
      </c>
      <c r="N2009" s="4" t="s">
        <v>825</v>
      </c>
      <c r="O2009" s="4">
        <f>VLOOKUP(B2009, 'All Menu'!B:L, 6, 0)</f>
        <v>2.8017241379310347</v>
      </c>
      <c r="P2009" s="6">
        <f>VLOOKUP(B2009, 'All Menu'!B:L, 9, 0)</f>
        <v>1.7564933001329548</v>
      </c>
      <c r="Q2009" s="14">
        <f>VLOOKUP(B2009, 'All Menu'!B:M, 12, 0)</f>
        <v>0.37306700672177617</v>
      </c>
      <c r="R2009" s="173">
        <f t="shared" si="103"/>
        <v>0</v>
      </c>
    </row>
    <row r="2010" spans="1:18" ht="14" hidden="1">
      <c r="A2010" s="78" t="s">
        <v>2765</v>
      </c>
      <c r="B2010" s="220" t="s">
        <v>975</v>
      </c>
      <c r="C2010" s="185"/>
      <c r="D2010" s="103" t="str">
        <f>VLOOKUP(B2010, 'All Menu'!B:M, 4, 0)</f>
        <v>ساندويش كباب سوبر</v>
      </c>
      <c r="E2010" s="30" t="str">
        <f>VLOOKUP(B2010, 'All Menu'!B:M, 2, 0)</f>
        <v>قسم المشاوي</v>
      </c>
      <c r="F2010" s="103" t="str">
        <f>VLOOKUP(B2010, 'All Menu'!B:M, 3, 0)</f>
        <v>المشاوي سفري2</v>
      </c>
      <c r="G2010" s="90" t="s">
        <v>2331</v>
      </c>
      <c r="H2010" s="219" t="s">
        <v>530</v>
      </c>
      <c r="I2010" s="110" t="str">
        <f>VLOOKUP(H2010, 'RM &amp; SF'!B:H, 2, 0)</f>
        <v>خبز صاج</v>
      </c>
      <c r="J2010" s="184" t="str">
        <f>VLOOKUP(H2010, 'RM &amp; SF'!B:E, 4, 0)</f>
        <v>غم</v>
      </c>
      <c r="K2010" s="12">
        <v>100</v>
      </c>
      <c r="L2010" s="13">
        <f>VLOOKUP(H2010, 'RM &amp; SF'!B:H, 7, 0)</f>
        <v>1.8806451612903227E-4</v>
      </c>
      <c r="M2010" s="7">
        <f t="shared" si="100"/>
        <v>1.8806451612903227E-2</v>
      </c>
      <c r="N2010" s="4" t="s">
        <v>825</v>
      </c>
      <c r="O2010" s="4">
        <f>VLOOKUP(B2010, 'All Menu'!B:L, 6, 0)</f>
        <v>2.8017241379310347</v>
      </c>
      <c r="P2010" s="6">
        <f>VLOOKUP(B2010, 'All Menu'!B:L, 9, 0)</f>
        <v>1.7564933001329548</v>
      </c>
      <c r="Q2010" s="14">
        <f>VLOOKUP(B2010, 'All Menu'!B:M, 12, 0)</f>
        <v>0.37306700672177617</v>
      </c>
      <c r="R2010" s="173">
        <f t="shared" si="103"/>
        <v>0</v>
      </c>
    </row>
    <row r="2011" spans="1:18" ht="14" hidden="1">
      <c r="A2011" s="78" t="s">
        <v>2765</v>
      </c>
      <c r="B2011" s="220" t="s">
        <v>975</v>
      </c>
      <c r="C2011" s="185"/>
      <c r="D2011" s="103" t="str">
        <f>VLOOKUP(B2011, 'All Menu'!B:M, 4, 0)</f>
        <v>ساندويش كباب سوبر</v>
      </c>
      <c r="E2011" s="30" t="str">
        <f>VLOOKUP(B2011, 'All Menu'!B:M, 2, 0)</f>
        <v>قسم المشاوي</v>
      </c>
      <c r="F2011" s="103" t="str">
        <f>VLOOKUP(B2011, 'All Menu'!B:M, 3, 0)</f>
        <v>المشاوي سفري2</v>
      </c>
      <c r="G2011" s="90" t="s">
        <v>2397</v>
      </c>
      <c r="H2011" s="219" t="s">
        <v>580</v>
      </c>
      <c r="I2011" s="110" t="str">
        <f>VLOOKUP(H2011, 'RM &amp; SF'!B:H, 2, 0)</f>
        <v>طحينة مشاوي</v>
      </c>
      <c r="J2011" s="184" t="str">
        <f>VLOOKUP(H2011, 'RM &amp; SF'!B:E, 4, 0)</f>
        <v>غم</v>
      </c>
      <c r="K2011" s="12">
        <v>50</v>
      </c>
      <c r="L2011" s="13">
        <f>VLOOKUP(H2011, 'RM &amp; SF'!B:H, 7, 0)</f>
        <v>1.0841676434676436E-3</v>
      </c>
      <c r="M2011" s="7">
        <f t="shared" si="100"/>
        <v>5.4208382173382176E-2</v>
      </c>
      <c r="N2011" s="4" t="s">
        <v>825</v>
      </c>
      <c r="O2011" s="4">
        <f>VLOOKUP(B2011, 'All Menu'!B:L, 6, 0)</f>
        <v>2.8017241379310347</v>
      </c>
      <c r="P2011" s="6">
        <f>VLOOKUP(B2011, 'All Menu'!B:L, 9, 0)</f>
        <v>1.7564933001329548</v>
      </c>
      <c r="Q2011" s="14">
        <f>VLOOKUP(B2011, 'All Menu'!B:M, 12, 0)</f>
        <v>0.37306700672177617</v>
      </c>
      <c r="R2011" s="173">
        <f t="shared" si="103"/>
        <v>0</v>
      </c>
    </row>
    <row r="2012" spans="1:18" ht="14" hidden="1">
      <c r="A2012" s="78" t="s">
        <v>2765</v>
      </c>
      <c r="B2012" s="220" t="s">
        <v>975</v>
      </c>
      <c r="C2012" s="185"/>
      <c r="D2012" s="103" t="str">
        <f>VLOOKUP(B2012, 'All Menu'!B:M, 4, 0)</f>
        <v>ساندويش كباب سوبر</v>
      </c>
      <c r="E2012" s="30" t="str">
        <f>VLOOKUP(B2012, 'All Menu'!B:M, 2, 0)</f>
        <v>قسم المشاوي</v>
      </c>
      <c r="F2012" s="103" t="str">
        <f>VLOOKUP(B2012, 'All Menu'!B:M, 3, 0)</f>
        <v>المشاوي سفري2</v>
      </c>
      <c r="G2012" s="90" t="s">
        <v>2396</v>
      </c>
      <c r="H2012" s="219" t="s">
        <v>582</v>
      </c>
      <c r="I2012" s="110" t="str">
        <f>VLOOKUP(H2012, 'RM &amp; SF'!B:H, 2, 0)</f>
        <v>بيواز</v>
      </c>
      <c r="J2012" s="184" t="str">
        <f>VLOOKUP(H2012, 'RM &amp; SF'!B:E, 4, 0)</f>
        <v>غم</v>
      </c>
      <c r="K2012" s="12">
        <v>30</v>
      </c>
      <c r="L2012" s="13">
        <f>VLOOKUP(H2012, 'RM &amp; SF'!B:H, 7, 0)</f>
        <v>2.0666065869244635E-4</v>
      </c>
      <c r="M2012" s="7">
        <f t="shared" si="100"/>
        <v>6.1998197607733901E-3</v>
      </c>
      <c r="N2012" s="4" t="s">
        <v>825</v>
      </c>
      <c r="O2012" s="4">
        <f>VLOOKUP(B2012, 'All Menu'!B:L, 6, 0)</f>
        <v>2.8017241379310347</v>
      </c>
      <c r="P2012" s="6">
        <f>VLOOKUP(B2012, 'All Menu'!B:L, 9, 0)</f>
        <v>1.7564933001329548</v>
      </c>
      <c r="Q2012" s="14">
        <f>VLOOKUP(B2012, 'All Menu'!B:M, 12, 0)</f>
        <v>0.37306700672177617</v>
      </c>
      <c r="R2012" s="173">
        <f t="shared" si="103"/>
        <v>0</v>
      </c>
    </row>
    <row r="2013" spans="1:18" ht="14" hidden="1">
      <c r="A2013" s="78" t="s">
        <v>2765</v>
      </c>
      <c r="B2013" s="220" t="s">
        <v>975</v>
      </c>
      <c r="C2013" s="185"/>
      <c r="D2013" s="103" t="str">
        <f>VLOOKUP(B2013, 'All Menu'!B:M, 4, 0)</f>
        <v>ساندويش كباب سوبر</v>
      </c>
      <c r="E2013" s="30" t="str">
        <f>VLOOKUP(B2013, 'All Menu'!B:M, 2, 0)</f>
        <v>قسم المشاوي</v>
      </c>
      <c r="F2013" s="103" t="str">
        <f>VLOOKUP(B2013, 'All Menu'!B:M, 3, 0)</f>
        <v>المشاوي سفري2</v>
      </c>
      <c r="G2013" s="90" t="s">
        <v>2257</v>
      </c>
      <c r="H2013" s="188">
        <v>5281</v>
      </c>
      <c r="I2013" s="110" t="str">
        <f>VLOOKUP(H2013, 'RM &amp; SF'!B:H, 2, 0)</f>
        <v>بندوره مشاوي</v>
      </c>
      <c r="J2013" s="184" t="str">
        <f>VLOOKUP(H2013, 'RM &amp; SF'!B:E, 4, 0)</f>
        <v>غم</v>
      </c>
      <c r="K2013" s="12">
        <v>20</v>
      </c>
      <c r="L2013" s="13">
        <f>VLOOKUP(H2013, 'RM &amp; SF'!B:H, 7, 0)</f>
        <v>4.0000000000000002E-4</v>
      </c>
      <c r="M2013" s="7">
        <f t="shared" si="100"/>
        <v>8.0000000000000002E-3</v>
      </c>
      <c r="N2013" s="4" t="s">
        <v>825</v>
      </c>
      <c r="O2013" s="4">
        <f>VLOOKUP(B2013, 'All Menu'!B:L, 6, 0)</f>
        <v>2.8017241379310347</v>
      </c>
      <c r="P2013" s="6">
        <f>VLOOKUP(B2013, 'All Menu'!B:L, 9, 0)</f>
        <v>1.7564933001329548</v>
      </c>
      <c r="Q2013" s="14">
        <f>VLOOKUP(B2013, 'All Menu'!B:M, 12, 0)</f>
        <v>0.37306700672177617</v>
      </c>
      <c r="R2013" s="173">
        <f t="shared" si="103"/>
        <v>0</v>
      </c>
    </row>
    <row r="2014" spans="1:18" ht="14" hidden="1">
      <c r="A2014" s="78" t="s">
        <v>2765</v>
      </c>
      <c r="B2014" s="220" t="s">
        <v>975</v>
      </c>
      <c r="C2014" s="185"/>
      <c r="D2014" s="103" t="str">
        <f>VLOOKUP(B2014, 'All Menu'!B:M, 4, 0)</f>
        <v>ساندويش كباب سوبر</v>
      </c>
      <c r="E2014" s="30" t="str">
        <f>VLOOKUP(B2014, 'All Menu'!B:M, 2, 0)</f>
        <v>قسم المشاوي</v>
      </c>
      <c r="F2014" s="103" t="str">
        <f>VLOOKUP(B2014, 'All Menu'!B:M, 3, 0)</f>
        <v>المشاوي سفري2</v>
      </c>
      <c r="G2014" s="90" t="s">
        <v>2194</v>
      </c>
      <c r="H2014" s="188">
        <v>4323</v>
      </c>
      <c r="I2014" s="110" t="str">
        <f>VLOOKUP(H2014, 'RM &amp; SF'!B:H, 2, 0)</f>
        <v>قصدير رول 45 سم*2كغ*****</v>
      </c>
      <c r="J2014" s="184" t="str">
        <f>VLOOKUP(H2014, 'RM &amp; SF'!B:E, 4, 0)</f>
        <v>غم</v>
      </c>
      <c r="K2014" s="12">
        <v>0.06</v>
      </c>
      <c r="L2014" s="13">
        <f>VLOOKUP(H2014, 'RM &amp; SF'!B:H, 7, 0)</f>
        <v>1.7240000000000001E-3</v>
      </c>
      <c r="M2014" s="7">
        <f t="shared" si="100"/>
        <v>1.0344E-4</v>
      </c>
      <c r="N2014" s="4" t="s">
        <v>825</v>
      </c>
      <c r="O2014" s="4">
        <f>VLOOKUP(B2014, 'All Menu'!B:L, 6, 0)</f>
        <v>2.8017241379310347</v>
      </c>
      <c r="P2014" s="6">
        <f>VLOOKUP(B2014, 'All Menu'!B:L, 9, 0)</f>
        <v>1.7564933001329548</v>
      </c>
      <c r="Q2014" s="14">
        <f>VLOOKUP(B2014, 'All Menu'!B:M, 12, 0)</f>
        <v>0.37306700672177617</v>
      </c>
      <c r="R2014" s="173">
        <f t="shared" si="103"/>
        <v>0</v>
      </c>
    </row>
    <row r="2015" spans="1:18" ht="14" hidden="1">
      <c r="A2015" s="78" t="s">
        <v>2765</v>
      </c>
      <c r="B2015" s="220" t="s">
        <v>975</v>
      </c>
      <c r="C2015" s="185"/>
      <c r="D2015" s="103" t="str">
        <f>VLOOKUP(B2015, 'All Menu'!B:M, 4, 0)</f>
        <v>ساندويش كباب سوبر</v>
      </c>
      <c r="E2015" s="30" t="str">
        <f>VLOOKUP(B2015, 'All Menu'!B:M, 2, 0)</f>
        <v>قسم المشاوي</v>
      </c>
      <c r="F2015" s="103" t="str">
        <f>VLOOKUP(B2015, 'All Menu'!B:M, 3, 0)</f>
        <v>المشاوي سفري2</v>
      </c>
      <c r="G2015" s="90" t="s">
        <v>3058</v>
      </c>
      <c r="H2015" s="188">
        <v>4264</v>
      </c>
      <c r="I2015" s="110" t="str">
        <f>VLOOKUP(H2015, 'RM &amp; SF'!B:H, 2, 0)</f>
        <v>علب ساندوش (علب سناك) كرتون مطبوع 1*50 حبة*****</v>
      </c>
      <c r="J2015" s="184" t="str">
        <f>VLOOKUP(H2015, 'RM &amp; SF'!B:E, 4, 0)</f>
        <v>قطعة</v>
      </c>
      <c r="K2015" s="12">
        <v>1</v>
      </c>
      <c r="L2015" s="13">
        <f>VLOOKUP(H2015, 'RM &amp; SF'!B:H, 7, 0)</f>
        <v>0.1724</v>
      </c>
      <c r="M2015" s="7">
        <f t="shared" si="100"/>
        <v>0.1724</v>
      </c>
      <c r="N2015" s="4" t="s">
        <v>825</v>
      </c>
      <c r="O2015" s="4">
        <f>VLOOKUP(B2015, 'All Menu'!B:L, 6, 0)</f>
        <v>2.8017241379310347</v>
      </c>
      <c r="P2015" s="6">
        <f>VLOOKUP(B2015, 'All Menu'!B:L, 9, 0)</f>
        <v>1.7564933001329548</v>
      </c>
      <c r="Q2015" s="14">
        <f>VLOOKUP(B2015, 'All Menu'!B:M, 12, 0)</f>
        <v>0.37306700672177617</v>
      </c>
      <c r="R2015" s="173">
        <f t="shared" si="103"/>
        <v>0</v>
      </c>
    </row>
    <row r="2016" spans="1:18" ht="14" hidden="1">
      <c r="A2016" s="78" t="s">
        <v>2765</v>
      </c>
      <c r="B2016" s="220" t="s">
        <v>975</v>
      </c>
      <c r="C2016" s="185"/>
      <c r="D2016" s="103" t="str">
        <f>VLOOKUP(B2016, 'All Menu'!B:M, 4, 0)</f>
        <v>ساندويش كباب سوبر</v>
      </c>
      <c r="E2016" s="30" t="str">
        <f>VLOOKUP(B2016, 'All Menu'!B:M, 2, 0)</f>
        <v>قسم المشاوي</v>
      </c>
      <c r="F2016" s="103" t="str">
        <f>VLOOKUP(B2016, 'All Menu'!B:M, 3, 0)</f>
        <v>المشاوي سفري2</v>
      </c>
      <c r="G2016" s="90" t="s">
        <v>2193</v>
      </c>
      <c r="H2016" s="188">
        <v>4309</v>
      </c>
      <c r="I2016" s="110" t="str">
        <f>VLOOKUP(H2016, 'RM &amp; SF'!B:H, 2, 0)</f>
        <v>اكياس بلاستيك مطبوع 55 سم*****</v>
      </c>
      <c r="J2016" s="184" t="str">
        <f>VLOOKUP(H2016, 'RM &amp; SF'!B:E, 4, 0)</f>
        <v>قطعة</v>
      </c>
      <c r="K2016" s="12">
        <v>1</v>
      </c>
      <c r="L2016" s="13">
        <f>VLOOKUP(H2016, 'RM &amp; SF'!B:H, 7, 0)</f>
        <v>5.5172413793103454E-2</v>
      </c>
      <c r="M2016" s="7">
        <f t="shared" si="100"/>
        <v>5.5172413793103454E-2</v>
      </c>
      <c r="N2016" s="4" t="s">
        <v>825</v>
      </c>
      <c r="O2016" s="4">
        <f>VLOOKUP(B2016, 'All Menu'!B:L, 6, 0)</f>
        <v>2.8017241379310347</v>
      </c>
      <c r="P2016" s="6">
        <f>VLOOKUP(B2016, 'All Menu'!B:L, 9, 0)</f>
        <v>1.7564933001329548</v>
      </c>
      <c r="Q2016" s="14">
        <f>VLOOKUP(B2016, 'All Menu'!B:M, 12, 0)</f>
        <v>0.37306700672177617</v>
      </c>
      <c r="R2016" s="173">
        <f t="shared" si="103"/>
        <v>0</v>
      </c>
    </row>
    <row r="2017" spans="1:18" ht="14" hidden="1">
      <c r="A2017" s="78" t="s">
        <v>2766</v>
      </c>
      <c r="B2017" s="220" t="s">
        <v>976</v>
      </c>
      <c r="C2017" s="185"/>
      <c r="D2017" s="103" t="str">
        <f>VLOOKUP(B2017, 'All Menu'!B:M, 4, 0)</f>
        <v>ساندويش شقف عادي</v>
      </c>
      <c r="E2017" s="30" t="str">
        <f>VLOOKUP(B2017, 'All Menu'!B:M, 2, 0)</f>
        <v>قسم المشاوي</v>
      </c>
      <c r="F2017" s="103" t="str">
        <f>VLOOKUP(B2017, 'All Menu'!B:M, 3, 0)</f>
        <v>المشاوي سفري2</v>
      </c>
      <c r="G2017" s="90" t="s">
        <v>2452</v>
      </c>
      <c r="H2017" s="219" t="s">
        <v>528</v>
      </c>
      <c r="I2017" s="110" t="str">
        <f>VLOOKUP(H2017, 'RM &amp; SF'!B:H, 2, 0)</f>
        <v>شقف متبلة</v>
      </c>
      <c r="J2017" s="184" t="str">
        <f>VLOOKUP(H2017, 'RM &amp; SF'!B:E, 4, 0)</f>
        <v>غم</v>
      </c>
      <c r="K2017" s="12">
        <v>100</v>
      </c>
      <c r="L2017" s="13">
        <f>VLOOKUP(H2017, 'RM &amp; SF'!B:H, 7, 0)</f>
        <v>2.0415146666666665E-2</v>
      </c>
      <c r="M2017" s="7">
        <f t="shared" si="100"/>
        <v>2.0415146666666666</v>
      </c>
      <c r="N2017" s="4" t="s">
        <v>825</v>
      </c>
      <c r="O2017" s="4">
        <f>VLOOKUP(B2017, 'All Menu'!B:L, 6, 0)</f>
        <v>2.8017241379310347</v>
      </c>
      <c r="P2017" s="6">
        <f>VLOOKUP(B2017, 'All Menu'!B:L, 9, 0)</f>
        <v>2.3988635967239338</v>
      </c>
      <c r="Q2017" s="14">
        <f>VLOOKUP(B2017, 'All Menu'!B:M, 12, 0)</f>
        <v>0.14379022393853447</v>
      </c>
      <c r="R2017" s="173">
        <f t="shared" si="103"/>
        <v>0</v>
      </c>
    </row>
    <row r="2018" spans="1:18" ht="14" hidden="1">
      <c r="A2018" s="78" t="s">
        <v>2766</v>
      </c>
      <c r="B2018" s="220" t="s">
        <v>976</v>
      </c>
      <c r="C2018" s="185"/>
      <c r="D2018" s="103" t="str">
        <f>VLOOKUP(B2018, 'All Menu'!B:M, 4, 0)</f>
        <v>ساندويش شقف عادي</v>
      </c>
      <c r="E2018" s="30" t="str">
        <f>VLOOKUP(B2018, 'All Menu'!B:M, 2, 0)</f>
        <v>قسم المشاوي</v>
      </c>
      <c r="F2018" s="103" t="str">
        <f>VLOOKUP(B2018, 'All Menu'!B:M, 3, 0)</f>
        <v>المشاوي سفري2</v>
      </c>
      <c r="G2018" s="90" t="s">
        <v>2257</v>
      </c>
      <c r="H2018" s="188">
        <v>5281</v>
      </c>
      <c r="I2018" s="110" t="str">
        <f>VLOOKUP(H2018, 'RM &amp; SF'!B:H, 2, 0)</f>
        <v>بندوره مشاوي</v>
      </c>
      <c r="J2018" s="184" t="str">
        <f>VLOOKUP(H2018, 'RM &amp; SF'!B:E, 4, 0)</f>
        <v>غم</v>
      </c>
      <c r="K2018" s="12">
        <v>20</v>
      </c>
      <c r="L2018" s="13">
        <f>VLOOKUP(H2018, 'RM &amp; SF'!B:H, 7, 0)</f>
        <v>4.0000000000000002E-4</v>
      </c>
      <c r="M2018" s="7">
        <f t="shared" si="100"/>
        <v>8.0000000000000002E-3</v>
      </c>
      <c r="N2018" s="4" t="s">
        <v>825</v>
      </c>
      <c r="O2018" s="4">
        <f>VLOOKUP(B2018, 'All Menu'!B:L, 6, 0)</f>
        <v>2.8017241379310347</v>
      </c>
      <c r="P2018" s="6">
        <f>VLOOKUP(B2018, 'All Menu'!B:L, 9, 0)</f>
        <v>2.3988635967239338</v>
      </c>
      <c r="Q2018" s="14">
        <f>VLOOKUP(B2018, 'All Menu'!B:M, 12, 0)</f>
        <v>0.14379022393853447</v>
      </c>
      <c r="R2018" s="173">
        <f t="shared" si="103"/>
        <v>0</v>
      </c>
    </row>
    <row r="2019" spans="1:18" ht="14" hidden="1">
      <c r="A2019" s="78" t="s">
        <v>2766</v>
      </c>
      <c r="B2019" s="220" t="s">
        <v>976</v>
      </c>
      <c r="C2019" s="185"/>
      <c r="D2019" s="103" t="str">
        <f>VLOOKUP(B2019, 'All Menu'!B:M, 4, 0)</f>
        <v>ساندويش شقف عادي</v>
      </c>
      <c r="E2019" s="30" t="str">
        <f>VLOOKUP(B2019, 'All Menu'!B:M, 2, 0)</f>
        <v>قسم المشاوي</v>
      </c>
      <c r="F2019" s="103" t="str">
        <f>VLOOKUP(B2019, 'All Menu'!B:M, 3, 0)</f>
        <v>المشاوي سفري2</v>
      </c>
      <c r="G2019" s="90" t="s">
        <v>2396</v>
      </c>
      <c r="H2019" s="219" t="s">
        <v>582</v>
      </c>
      <c r="I2019" s="110" t="str">
        <f>VLOOKUP(H2019, 'RM &amp; SF'!B:H, 2, 0)</f>
        <v>بيواز</v>
      </c>
      <c r="J2019" s="184" t="str">
        <f>VLOOKUP(H2019, 'RM &amp; SF'!B:E, 4, 0)</f>
        <v>غم</v>
      </c>
      <c r="K2019" s="12">
        <v>20</v>
      </c>
      <c r="L2019" s="13">
        <f>VLOOKUP(H2019, 'RM &amp; SF'!B:H, 7, 0)</f>
        <v>2.0666065869244635E-4</v>
      </c>
      <c r="M2019" s="7">
        <f t="shared" si="100"/>
        <v>4.1332131738489267E-3</v>
      </c>
      <c r="N2019" s="4" t="s">
        <v>825</v>
      </c>
      <c r="O2019" s="4">
        <f>VLOOKUP(B2019, 'All Menu'!B:L, 6, 0)</f>
        <v>2.8017241379310347</v>
      </c>
      <c r="P2019" s="6">
        <f>VLOOKUP(B2019, 'All Menu'!B:L, 9, 0)</f>
        <v>2.3988635967239338</v>
      </c>
      <c r="Q2019" s="14">
        <f>VLOOKUP(B2019, 'All Menu'!B:M, 12, 0)</f>
        <v>0.14379022393853447</v>
      </c>
      <c r="R2019" s="173">
        <f t="shared" si="103"/>
        <v>0</v>
      </c>
    </row>
    <row r="2020" spans="1:18" ht="14" hidden="1">
      <c r="A2020" s="78" t="s">
        <v>2766</v>
      </c>
      <c r="B2020" s="220" t="s">
        <v>976</v>
      </c>
      <c r="C2020" s="185"/>
      <c r="D2020" s="103" t="str">
        <f>VLOOKUP(B2020, 'All Menu'!B:M, 4, 0)</f>
        <v>ساندويش شقف عادي</v>
      </c>
      <c r="E2020" s="30" t="str">
        <f>VLOOKUP(B2020, 'All Menu'!B:M, 2, 0)</f>
        <v>قسم المشاوي</v>
      </c>
      <c r="F2020" s="103" t="str">
        <f>VLOOKUP(B2020, 'All Menu'!B:M, 3, 0)</f>
        <v>المشاوي سفري2</v>
      </c>
      <c r="G2020" s="90" t="s">
        <v>2397</v>
      </c>
      <c r="H2020" s="219" t="s">
        <v>580</v>
      </c>
      <c r="I2020" s="110" t="str">
        <f>VLOOKUP(H2020, 'RM &amp; SF'!B:H, 2, 0)</f>
        <v>طحينة مشاوي</v>
      </c>
      <c r="J2020" s="184" t="str">
        <f>VLOOKUP(H2020, 'RM &amp; SF'!B:E, 4, 0)</f>
        <v>غم</v>
      </c>
      <c r="K2020" s="12">
        <v>50</v>
      </c>
      <c r="L2020" s="13">
        <f>VLOOKUP(H2020, 'RM &amp; SF'!B:H, 7, 0)</f>
        <v>1.0841676434676436E-3</v>
      </c>
      <c r="M2020" s="7">
        <f t="shared" si="100"/>
        <v>5.4208382173382176E-2</v>
      </c>
      <c r="N2020" s="4" t="s">
        <v>825</v>
      </c>
      <c r="O2020" s="4">
        <f>VLOOKUP(B2020, 'All Menu'!B:L, 6, 0)</f>
        <v>2.8017241379310347</v>
      </c>
      <c r="P2020" s="6">
        <f>VLOOKUP(B2020, 'All Menu'!B:L, 9, 0)</f>
        <v>2.3988635967239338</v>
      </c>
      <c r="Q2020" s="14">
        <f>VLOOKUP(B2020, 'All Menu'!B:M, 12, 0)</f>
        <v>0.14379022393853447</v>
      </c>
      <c r="R2020" s="173">
        <f t="shared" si="103"/>
        <v>0</v>
      </c>
    </row>
    <row r="2021" spans="1:18" ht="14" hidden="1">
      <c r="A2021" s="78" t="s">
        <v>2766</v>
      </c>
      <c r="B2021" s="220" t="s">
        <v>976</v>
      </c>
      <c r="C2021" s="185"/>
      <c r="D2021" s="103" t="str">
        <f>VLOOKUP(B2021, 'All Menu'!B:M, 4, 0)</f>
        <v>ساندويش شقف عادي</v>
      </c>
      <c r="E2021" s="30" t="str">
        <f>VLOOKUP(B2021, 'All Menu'!B:M, 2, 0)</f>
        <v>قسم المشاوي</v>
      </c>
      <c r="F2021" s="103" t="str">
        <f>VLOOKUP(B2021, 'All Menu'!B:M, 3, 0)</f>
        <v>المشاوي سفري2</v>
      </c>
      <c r="G2021" s="90" t="s">
        <v>2331</v>
      </c>
      <c r="H2021" s="219" t="s">
        <v>530</v>
      </c>
      <c r="I2021" s="110" t="str">
        <f>VLOOKUP(H2021, 'RM &amp; SF'!B:H, 2, 0)</f>
        <v>خبز صاج</v>
      </c>
      <c r="J2021" s="184" t="str">
        <f>VLOOKUP(H2021, 'RM &amp; SF'!B:E, 4, 0)</f>
        <v>غم</v>
      </c>
      <c r="K2021" s="12">
        <v>100</v>
      </c>
      <c r="L2021" s="13">
        <f>VLOOKUP(H2021, 'RM &amp; SF'!B:H, 7, 0)</f>
        <v>1.8806451612903227E-4</v>
      </c>
      <c r="M2021" s="7">
        <f t="shared" si="100"/>
        <v>1.8806451612903227E-2</v>
      </c>
      <c r="N2021" s="4" t="s">
        <v>825</v>
      </c>
      <c r="O2021" s="4">
        <f>VLOOKUP(B2021, 'All Menu'!B:L, 6, 0)</f>
        <v>2.8017241379310347</v>
      </c>
      <c r="P2021" s="6">
        <f>VLOOKUP(B2021, 'All Menu'!B:L, 9, 0)</f>
        <v>2.3988635967239338</v>
      </c>
      <c r="Q2021" s="14">
        <f>VLOOKUP(B2021, 'All Menu'!B:M, 12, 0)</f>
        <v>0.14379022393853447</v>
      </c>
      <c r="R2021" s="173">
        <f t="shared" si="103"/>
        <v>0</v>
      </c>
    </row>
    <row r="2022" spans="1:18" ht="14" hidden="1">
      <c r="A2022" s="78" t="s">
        <v>2766</v>
      </c>
      <c r="B2022" s="220" t="s">
        <v>976</v>
      </c>
      <c r="C2022" s="185"/>
      <c r="D2022" s="103" t="str">
        <f>VLOOKUP(B2022, 'All Menu'!B:M, 4, 0)</f>
        <v>ساندويش شقف عادي</v>
      </c>
      <c r="E2022" s="30" t="str">
        <f>VLOOKUP(B2022, 'All Menu'!B:M, 2, 0)</f>
        <v>قسم المشاوي</v>
      </c>
      <c r="F2022" s="103" t="str">
        <f>VLOOKUP(B2022, 'All Menu'!B:M, 3, 0)</f>
        <v>المشاوي سفري2</v>
      </c>
      <c r="G2022" s="90" t="s">
        <v>3058</v>
      </c>
      <c r="H2022" s="188">
        <v>4264</v>
      </c>
      <c r="I2022" s="110" t="str">
        <f>VLOOKUP(H2022, 'RM &amp; SF'!B:H, 2, 0)</f>
        <v>علب ساندوش (علب سناك) كرتون مطبوع 1*50 حبة*****</v>
      </c>
      <c r="J2022" s="184" t="str">
        <f>VLOOKUP(H2022, 'RM &amp; SF'!B:E, 4, 0)</f>
        <v>قطعة</v>
      </c>
      <c r="K2022" s="12">
        <v>1</v>
      </c>
      <c r="L2022" s="13">
        <f>VLOOKUP(H2022, 'RM &amp; SF'!B:H, 7, 0)</f>
        <v>0.1724</v>
      </c>
      <c r="M2022" s="7">
        <f t="shared" si="100"/>
        <v>0.1724</v>
      </c>
      <c r="N2022" s="4" t="s">
        <v>825</v>
      </c>
      <c r="O2022" s="4">
        <f>VLOOKUP(B2022, 'All Menu'!B:L, 6, 0)</f>
        <v>2.8017241379310347</v>
      </c>
      <c r="P2022" s="6">
        <f>VLOOKUP(B2022, 'All Menu'!B:L, 9, 0)</f>
        <v>2.3988635967239338</v>
      </c>
      <c r="Q2022" s="14">
        <f>VLOOKUP(B2022, 'All Menu'!B:M, 12, 0)</f>
        <v>0.14379022393853447</v>
      </c>
      <c r="R2022" s="173">
        <f t="shared" si="103"/>
        <v>0</v>
      </c>
    </row>
    <row r="2023" spans="1:18" ht="14" hidden="1">
      <c r="A2023" s="78" t="s">
        <v>2766</v>
      </c>
      <c r="B2023" s="220" t="s">
        <v>976</v>
      </c>
      <c r="C2023" s="185"/>
      <c r="D2023" s="103" t="str">
        <f>VLOOKUP(B2023, 'All Menu'!B:M, 4, 0)</f>
        <v>ساندويش شقف عادي</v>
      </c>
      <c r="E2023" s="30" t="str">
        <f>VLOOKUP(B2023, 'All Menu'!B:M, 2, 0)</f>
        <v>قسم المشاوي</v>
      </c>
      <c r="F2023" s="103" t="str">
        <f>VLOOKUP(B2023, 'All Menu'!B:M, 3, 0)</f>
        <v>المشاوي سفري2</v>
      </c>
      <c r="G2023" s="90" t="s">
        <v>2193</v>
      </c>
      <c r="H2023" s="188">
        <v>4309</v>
      </c>
      <c r="I2023" s="110" t="str">
        <f>VLOOKUP(H2023, 'RM &amp; SF'!B:H, 2, 0)</f>
        <v>اكياس بلاستيك مطبوع 55 سم*****</v>
      </c>
      <c r="J2023" s="184" t="str">
        <f>VLOOKUP(H2023, 'RM &amp; SF'!B:E, 4, 0)</f>
        <v>قطعة</v>
      </c>
      <c r="K2023" s="12">
        <v>1</v>
      </c>
      <c r="L2023" s="13">
        <f>VLOOKUP(H2023, 'RM &amp; SF'!B:H, 7, 0)</f>
        <v>5.5172413793103454E-2</v>
      </c>
      <c r="M2023" s="7">
        <f t="shared" si="100"/>
        <v>5.5172413793103454E-2</v>
      </c>
      <c r="N2023" s="4" t="s">
        <v>825</v>
      </c>
      <c r="O2023" s="4">
        <f>VLOOKUP(B2023, 'All Menu'!B:L, 6, 0)</f>
        <v>2.8017241379310347</v>
      </c>
      <c r="P2023" s="6">
        <f>VLOOKUP(B2023, 'All Menu'!B:L, 9, 0)</f>
        <v>2.3988635967239338</v>
      </c>
      <c r="Q2023" s="14">
        <f>VLOOKUP(B2023, 'All Menu'!B:M, 12, 0)</f>
        <v>0.14379022393853447</v>
      </c>
      <c r="R2023" s="173">
        <f t="shared" si="103"/>
        <v>0</v>
      </c>
    </row>
    <row r="2024" spans="1:18" ht="14" hidden="1">
      <c r="A2024" s="78" t="s">
        <v>2766</v>
      </c>
      <c r="B2024" s="220" t="s">
        <v>976</v>
      </c>
      <c r="C2024" s="185"/>
      <c r="D2024" s="103" t="str">
        <f>VLOOKUP(B2024, 'All Menu'!B:M, 4, 0)</f>
        <v>ساندويش شقف عادي</v>
      </c>
      <c r="E2024" s="30" t="str">
        <f>VLOOKUP(B2024, 'All Menu'!B:M, 2, 0)</f>
        <v>قسم المشاوي</v>
      </c>
      <c r="F2024" s="103" t="str">
        <f>VLOOKUP(B2024, 'All Menu'!B:M, 3, 0)</f>
        <v>المشاوي سفري2</v>
      </c>
      <c r="G2024" s="90" t="s">
        <v>2397</v>
      </c>
      <c r="H2024" s="219" t="s">
        <v>580</v>
      </c>
      <c r="I2024" s="110" t="str">
        <f>VLOOKUP(H2024, 'RM &amp; SF'!B:H, 2, 0)</f>
        <v>طحينة مشاوي</v>
      </c>
      <c r="J2024" s="184" t="str">
        <f>VLOOKUP(H2024, 'RM &amp; SF'!B:E, 4, 0)</f>
        <v>غم</v>
      </c>
      <c r="K2024" s="12">
        <v>30</v>
      </c>
      <c r="L2024" s="13">
        <f>VLOOKUP(H2024, 'RM &amp; SF'!B:H, 7, 0)</f>
        <v>1.0841676434676436E-3</v>
      </c>
      <c r="M2024" s="7">
        <f t="shared" si="100"/>
        <v>3.2525029304029306E-2</v>
      </c>
      <c r="N2024" s="4" t="s">
        <v>825</v>
      </c>
      <c r="O2024" s="4">
        <f>VLOOKUP(B2024, 'All Menu'!B:L, 6, 0)</f>
        <v>2.8017241379310347</v>
      </c>
      <c r="P2024" s="6">
        <f>VLOOKUP(B2024, 'All Menu'!B:L, 9, 0)</f>
        <v>2.3988635967239338</v>
      </c>
      <c r="Q2024" s="14">
        <f>VLOOKUP(B2024, 'All Menu'!B:M, 12, 0)</f>
        <v>0.14379022393853447</v>
      </c>
      <c r="R2024" s="173">
        <f t="shared" si="103"/>
        <v>0</v>
      </c>
    </row>
    <row r="2025" spans="1:18" ht="14" hidden="1">
      <c r="A2025" s="78" t="s">
        <v>2766</v>
      </c>
      <c r="B2025" s="220" t="s">
        <v>976</v>
      </c>
      <c r="C2025" s="185"/>
      <c r="D2025" s="103" t="str">
        <f>VLOOKUP(B2025, 'All Menu'!B:M, 4, 0)</f>
        <v>ساندويش شقف عادي</v>
      </c>
      <c r="E2025" s="30" t="str">
        <f>VLOOKUP(B2025, 'All Menu'!B:M, 2, 0)</f>
        <v>قسم المشاوي</v>
      </c>
      <c r="F2025" s="103" t="str">
        <f>VLOOKUP(B2025, 'All Menu'!B:M, 3, 0)</f>
        <v>المشاوي سفري2</v>
      </c>
      <c r="G2025" s="90" t="s">
        <v>3058</v>
      </c>
      <c r="H2025" s="188">
        <v>4289</v>
      </c>
      <c r="I2025" s="110" t="str">
        <f>VLOOKUP(H2025, 'RM &amp; SF'!B:H, 2, 0)</f>
        <v>علب صوص دائري منفصل أسود 30 مل 1*100 حبة*****</v>
      </c>
      <c r="J2025" s="184" t="str">
        <f>VLOOKUP(H2025, 'RM &amp; SF'!B:E, 4, 0)</f>
        <v>قطعة</v>
      </c>
      <c r="K2025" s="12">
        <v>1</v>
      </c>
      <c r="L2025" s="13">
        <f>VLOOKUP(H2025, 'RM &amp; SF'!B:H, 7, 0)</f>
        <v>1.2E-2</v>
      </c>
      <c r="M2025" s="7">
        <f t="shared" si="100"/>
        <v>1.2E-2</v>
      </c>
      <c r="N2025" s="4" t="s">
        <v>825</v>
      </c>
      <c r="O2025" s="4">
        <f>VLOOKUP(B2025, 'All Menu'!B:L, 6, 0)</f>
        <v>2.8017241379310347</v>
      </c>
      <c r="P2025" s="6">
        <f>VLOOKUP(B2025, 'All Menu'!B:L, 9, 0)</f>
        <v>2.3988635967239338</v>
      </c>
      <c r="Q2025" s="14">
        <f>VLOOKUP(B2025, 'All Menu'!B:M, 12, 0)</f>
        <v>0.14379022393853447</v>
      </c>
      <c r="R2025" s="173">
        <f t="shared" si="103"/>
        <v>0</v>
      </c>
    </row>
    <row r="2026" spans="1:18" ht="14" hidden="1">
      <c r="A2026" s="78" t="s">
        <v>2766</v>
      </c>
      <c r="B2026" s="220" t="s">
        <v>976</v>
      </c>
      <c r="C2026" s="185"/>
      <c r="D2026" s="103" t="str">
        <f>VLOOKUP(B2026, 'All Menu'!B:M, 4, 0)</f>
        <v>ساندويش شقف عادي</v>
      </c>
      <c r="E2026" s="30" t="str">
        <f>VLOOKUP(B2026, 'All Menu'!B:M, 2, 0)</f>
        <v>قسم المشاوي</v>
      </c>
      <c r="F2026" s="103" t="str">
        <f>VLOOKUP(B2026, 'All Menu'!B:M, 3, 0)</f>
        <v>المشاوي سفري2</v>
      </c>
      <c r="G2026" s="90" t="s">
        <v>2194</v>
      </c>
      <c r="H2026" s="188">
        <v>4323</v>
      </c>
      <c r="I2026" s="110" t="str">
        <f>VLOOKUP(H2026, 'RM &amp; SF'!B:H, 2, 0)</f>
        <v>قصدير رول 45 سم*2كغ*****</v>
      </c>
      <c r="J2026" s="184" t="str">
        <f>VLOOKUP(H2026, 'RM &amp; SF'!B:E, 4, 0)</f>
        <v>غم</v>
      </c>
      <c r="K2026" s="12">
        <v>0.06</v>
      </c>
      <c r="L2026" s="13">
        <f>VLOOKUP(H2026, 'RM &amp; SF'!B:H, 7, 0)</f>
        <v>1.7240000000000001E-3</v>
      </c>
      <c r="M2026" s="7">
        <f t="shared" si="100"/>
        <v>1.0344E-4</v>
      </c>
      <c r="N2026" s="4" t="s">
        <v>825</v>
      </c>
      <c r="O2026" s="4">
        <f>VLOOKUP(B2026, 'All Menu'!B:L, 6, 0)</f>
        <v>2.8017241379310347</v>
      </c>
      <c r="P2026" s="6">
        <f>VLOOKUP(B2026, 'All Menu'!B:L, 9, 0)</f>
        <v>2.3988635967239338</v>
      </c>
      <c r="Q2026" s="14">
        <f>VLOOKUP(B2026, 'All Menu'!B:M, 12, 0)</f>
        <v>0.14379022393853447</v>
      </c>
      <c r="R2026" s="173">
        <f t="shared" si="103"/>
        <v>0</v>
      </c>
    </row>
    <row r="2027" spans="1:18" ht="14" hidden="1">
      <c r="A2027" s="78" t="s">
        <v>2772</v>
      </c>
      <c r="B2027" s="220" t="s">
        <v>977</v>
      </c>
      <c r="C2027" s="185"/>
      <c r="D2027" s="103" t="str">
        <f>VLOOKUP(B2027, 'All Menu'!B:M, 4, 0)</f>
        <v>ساندويش حمادة سوبر</v>
      </c>
      <c r="E2027" s="30" t="str">
        <f>VLOOKUP(B2027, 'All Menu'!B:M, 2, 0)</f>
        <v>قسم المشاوي</v>
      </c>
      <c r="F2027" s="103" t="str">
        <f>VLOOKUP(B2027, 'All Menu'!B:M, 3, 0)</f>
        <v>المشاوي سفري2</v>
      </c>
      <c r="G2027" s="90" t="s">
        <v>2429</v>
      </c>
      <c r="H2027" s="219" t="s">
        <v>610</v>
      </c>
      <c r="I2027" s="110" t="str">
        <f>VLOOKUP(H2027, 'RM &amp; SF'!B:H, 2, 0)</f>
        <v>كباب الساندويش</v>
      </c>
      <c r="J2027" s="184" t="str">
        <f>VLOOKUP(H2027, 'RM &amp; SF'!B:E, 4, 0)</f>
        <v>غم</v>
      </c>
      <c r="K2027" s="12">
        <v>120</v>
      </c>
      <c r="L2027" s="13">
        <f>VLOOKUP(H2027, 'RM &amp; SF'!B:H, 7, 0)</f>
        <v>6.0066783033033031E-3</v>
      </c>
      <c r="M2027" s="7">
        <f t="shared" si="100"/>
        <v>0.7208013963963964</v>
      </c>
      <c r="N2027" s="4" t="s">
        <v>825</v>
      </c>
      <c r="O2027" s="4">
        <f>VLOOKUP(B2027, 'All Menu'!B:L, 6, 0)</f>
        <v>3.6637931034482762</v>
      </c>
      <c r="P2027" s="6">
        <f>VLOOKUP(B2027, 'All Menu'!B:L, 9, 0)</f>
        <v>3.1797157827930547</v>
      </c>
      <c r="Q2027" s="14">
        <f>VLOOKUP(B2027, 'All Menu'!B:M, 12, 0)</f>
        <v>0.13212463340236635</v>
      </c>
      <c r="R2027" s="173">
        <f t="shared" si="103"/>
        <v>0</v>
      </c>
    </row>
    <row r="2028" spans="1:18" ht="14" hidden="1">
      <c r="A2028" s="78" t="s">
        <v>2772</v>
      </c>
      <c r="B2028" s="220" t="s">
        <v>977</v>
      </c>
      <c r="C2028" s="185"/>
      <c r="D2028" s="103" t="str">
        <f>VLOOKUP(B2028, 'All Menu'!B:M, 4, 0)</f>
        <v>ساندويش حمادة سوبر</v>
      </c>
      <c r="E2028" s="30" t="str">
        <f>VLOOKUP(B2028, 'All Menu'!B:M, 2, 0)</f>
        <v>قسم المشاوي</v>
      </c>
      <c r="F2028" s="103" t="str">
        <f>VLOOKUP(B2028, 'All Menu'!B:M, 3, 0)</f>
        <v>المشاوي سفري2</v>
      </c>
      <c r="G2028" s="90" t="s">
        <v>2452</v>
      </c>
      <c r="H2028" s="219" t="s">
        <v>528</v>
      </c>
      <c r="I2028" s="110" t="str">
        <f>VLOOKUP(H2028, 'RM &amp; SF'!B:H, 2, 0)</f>
        <v>شقف متبلة</v>
      </c>
      <c r="J2028" s="184" t="str">
        <f>VLOOKUP(H2028, 'RM &amp; SF'!B:E, 4, 0)</f>
        <v>غم</v>
      </c>
      <c r="K2028" s="12">
        <v>100</v>
      </c>
      <c r="L2028" s="13">
        <f>VLOOKUP(H2028, 'RM &amp; SF'!B:H, 7, 0)</f>
        <v>2.0415146666666665E-2</v>
      </c>
      <c r="M2028" s="7">
        <f t="shared" si="100"/>
        <v>2.0415146666666666</v>
      </c>
      <c r="N2028" s="4" t="s">
        <v>825</v>
      </c>
      <c r="O2028" s="4">
        <f>VLOOKUP(B2028, 'All Menu'!B:L, 6, 0)</f>
        <v>3.6637931034482762</v>
      </c>
      <c r="P2028" s="6">
        <f>VLOOKUP(B2028, 'All Menu'!B:L, 9, 0)</f>
        <v>3.1797157827930547</v>
      </c>
      <c r="Q2028" s="14">
        <f>VLOOKUP(B2028, 'All Menu'!B:M, 12, 0)</f>
        <v>0.13212463340236635</v>
      </c>
      <c r="R2028" s="173">
        <f t="shared" si="103"/>
        <v>0</v>
      </c>
    </row>
    <row r="2029" spans="1:18" ht="14" hidden="1">
      <c r="A2029" s="78" t="s">
        <v>2772</v>
      </c>
      <c r="B2029" s="220" t="s">
        <v>977</v>
      </c>
      <c r="C2029" s="185"/>
      <c r="D2029" s="103" t="str">
        <f>VLOOKUP(B2029, 'All Menu'!B:M, 4, 0)</f>
        <v>ساندويش حمادة سوبر</v>
      </c>
      <c r="E2029" s="30" t="str">
        <f>VLOOKUP(B2029, 'All Menu'!B:M, 2, 0)</f>
        <v>قسم المشاوي</v>
      </c>
      <c r="F2029" s="103" t="str">
        <f>VLOOKUP(B2029, 'All Menu'!B:M, 3, 0)</f>
        <v>المشاوي سفري2</v>
      </c>
      <c r="G2029" s="90" t="s">
        <v>2397</v>
      </c>
      <c r="H2029" s="219" t="s">
        <v>580</v>
      </c>
      <c r="I2029" s="110" t="str">
        <f>VLOOKUP(H2029, 'RM &amp; SF'!B:H, 2, 0)</f>
        <v>طحينة مشاوي</v>
      </c>
      <c r="J2029" s="184" t="str">
        <f>VLOOKUP(H2029, 'RM &amp; SF'!B:E, 4, 0)</f>
        <v>غم</v>
      </c>
      <c r="K2029" s="12">
        <v>70</v>
      </c>
      <c r="L2029" s="13">
        <f>VLOOKUP(H2029, 'RM &amp; SF'!B:H, 7, 0)</f>
        <v>1.0841676434676436E-3</v>
      </c>
      <c r="M2029" s="7">
        <f t="shared" si="100"/>
        <v>7.5891735042735053E-2</v>
      </c>
      <c r="N2029" s="4" t="s">
        <v>825</v>
      </c>
      <c r="O2029" s="4">
        <f>VLOOKUP(B2029, 'All Menu'!B:L, 6, 0)</f>
        <v>3.6637931034482762</v>
      </c>
      <c r="P2029" s="6">
        <f>VLOOKUP(B2029, 'All Menu'!B:L, 9, 0)</f>
        <v>3.1797157827930547</v>
      </c>
      <c r="Q2029" s="14">
        <f>VLOOKUP(B2029, 'All Menu'!B:M, 12, 0)</f>
        <v>0.13212463340236635</v>
      </c>
      <c r="R2029" s="173">
        <f t="shared" si="103"/>
        <v>0</v>
      </c>
    </row>
    <row r="2030" spans="1:18" ht="14" hidden="1">
      <c r="A2030" s="78" t="s">
        <v>2772</v>
      </c>
      <c r="B2030" s="220" t="s">
        <v>977</v>
      </c>
      <c r="C2030" s="185"/>
      <c r="D2030" s="103" t="str">
        <f>VLOOKUP(B2030, 'All Menu'!B:M, 4, 0)</f>
        <v>ساندويش حمادة سوبر</v>
      </c>
      <c r="E2030" s="30" t="str">
        <f>VLOOKUP(B2030, 'All Menu'!B:M, 2, 0)</f>
        <v>قسم المشاوي</v>
      </c>
      <c r="F2030" s="103" t="str">
        <f>VLOOKUP(B2030, 'All Menu'!B:M, 3, 0)</f>
        <v>المشاوي سفري2</v>
      </c>
      <c r="G2030" s="90" t="s">
        <v>2257</v>
      </c>
      <c r="H2030" s="188">
        <v>5281</v>
      </c>
      <c r="I2030" s="110" t="str">
        <f>VLOOKUP(H2030, 'RM &amp; SF'!B:H, 2, 0)</f>
        <v>بندوره مشاوي</v>
      </c>
      <c r="J2030" s="184" t="str">
        <f>VLOOKUP(H2030, 'RM &amp; SF'!B:E, 4, 0)</f>
        <v>غم</v>
      </c>
      <c r="K2030" s="12">
        <v>75</v>
      </c>
      <c r="L2030" s="13">
        <f>VLOOKUP(H2030, 'RM &amp; SF'!B:H, 7, 0)</f>
        <v>4.0000000000000002E-4</v>
      </c>
      <c r="M2030" s="7">
        <f t="shared" si="100"/>
        <v>3.0000000000000002E-2</v>
      </c>
      <c r="N2030" s="4" t="s">
        <v>825</v>
      </c>
      <c r="O2030" s="4">
        <f>VLOOKUP(B2030, 'All Menu'!B:L, 6, 0)</f>
        <v>3.6637931034482762</v>
      </c>
      <c r="P2030" s="6">
        <f>VLOOKUP(B2030, 'All Menu'!B:L, 9, 0)</f>
        <v>3.1797157827930547</v>
      </c>
      <c r="Q2030" s="14">
        <f>VLOOKUP(B2030, 'All Menu'!B:M, 12, 0)</f>
        <v>0.13212463340236635</v>
      </c>
      <c r="R2030" s="173">
        <f t="shared" si="103"/>
        <v>0</v>
      </c>
    </row>
    <row r="2031" spans="1:18" ht="14" hidden="1">
      <c r="A2031" s="78" t="s">
        <v>2772</v>
      </c>
      <c r="B2031" s="220" t="s">
        <v>977</v>
      </c>
      <c r="C2031" s="185"/>
      <c r="D2031" s="103" t="str">
        <f>VLOOKUP(B2031, 'All Menu'!B:M, 4, 0)</f>
        <v>ساندويش حمادة سوبر</v>
      </c>
      <c r="E2031" s="30" t="str">
        <f>VLOOKUP(B2031, 'All Menu'!B:M, 2, 0)</f>
        <v>قسم المشاوي</v>
      </c>
      <c r="F2031" s="103" t="str">
        <f>VLOOKUP(B2031, 'All Menu'!B:M, 3, 0)</f>
        <v>المشاوي سفري2</v>
      </c>
      <c r="G2031" s="90" t="s">
        <v>2235</v>
      </c>
      <c r="H2031" s="188">
        <v>4504</v>
      </c>
      <c r="I2031" s="110" t="str">
        <f>VLOOKUP(H2031, 'RM &amp; SF'!B:H, 2, 0)</f>
        <v>بصل مشاوي (بصل بيبي)***</v>
      </c>
      <c r="J2031" s="184" t="str">
        <f>VLOOKUP(H2031, 'RM &amp; SF'!B:E, 4, 0)</f>
        <v>غم</v>
      </c>
      <c r="K2031" s="12">
        <v>75</v>
      </c>
      <c r="L2031" s="13">
        <f>VLOOKUP(H2031, 'RM &amp; SF'!B:H, 7, 0)</f>
        <v>3.5E-4</v>
      </c>
      <c r="M2031" s="7">
        <f t="shared" si="100"/>
        <v>2.6249999999999999E-2</v>
      </c>
      <c r="N2031" s="4" t="s">
        <v>825</v>
      </c>
      <c r="O2031" s="4">
        <f>VLOOKUP(B2031, 'All Menu'!B:L, 6, 0)</f>
        <v>3.6637931034482762</v>
      </c>
      <c r="P2031" s="6">
        <f>VLOOKUP(B2031, 'All Menu'!B:L, 9, 0)</f>
        <v>3.1797157827930547</v>
      </c>
      <c r="Q2031" s="14">
        <f>VLOOKUP(B2031, 'All Menu'!B:M, 12, 0)</f>
        <v>0.13212463340236635</v>
      </c>
      <c r="R2031" s="173">
        <f t="shared" si="103"/>
        <v>0</v>
      </c>
    </row>
    <row r="2032" spans="1:18" ht="14" hidden="1">
      <c r="A2032" s="78" t="s">
        <v>2772</v>
      </c>
      <c r="B2032" s="220" t="s">
        <v>977</v>
      </c>
      <c r="C2032" s="185"/>
      <c r="D2032" s="103" t="str">
        <f>VLOOKUP(B2032, 'All Menu'!B:M, 4, 0)</f>
        <v>ساندويش حمادة سوبر</v>
      </c>
      <c r="E2032" s="30" t="str">
        <f>VLOOKUP(B2032, 'All Menu'!B:M, 2, 0)</f>
        <v>قسم المشاوي</v>
      </c>
      <c r="F2032" s="103" t="str">
        <f>VLOOKUP(B2032, 'All Menu'!B:M, 3, 0)</f>
        <v>المشاوي سفري2</v>
      </c>
      <c r="G2032" s="90" t="s">
        <v>2331</v>
      </c>
      <c r="H2032" s="219" t="s">
        <v>530</v>
      </c>
      <c r="I2032" s="110" t="str">
        <f>VLOOKUP(H2032, 'RM &amp; SF'!B:H, 2, 0)</f>
        <v>خبز صاج</v>
      </c>
      <c r="J2032" s="184" t="str">
        <f>VLOOKUP(H2032, 'RM &amp; SF'!B:E, 4, 0)</f>
        <v>غم</v>
      </c>
      <c r="K2032" s="12">
        <v>200</v>
      </c>
      <c r="L2032" s="13">
        <f>VLOOKUP(H2032, 'RM &amp; SF'!B:H, 7, 0)</f>
        <v>1.8806451612903227E-4</v>
      </c>
      <c r="M2032" s="7">
        <f t="shared" si="100"/>
        <v>3.7612903225806453E-2</v>
      </c>
      <c r="N2032" s="4" t="s">
        <v>825</v>
      </c>
      <c r="O2032" s="4">
        <f>VLOOKUP(B2032, 'All Menu'!B:L, 6, 0)</f>
        <v>3.6637931034482762</v>
      </c>
      <c r="P2032" s="6">
        <f>VLOOKUP(B2032, 'All Menu'!B:L, 9, 0)</f>
        <v>3.1797157827930547</v>
      </c>
      <c r="Q2032" s="14">
        <f>VLOOKUP(B2032, 'All Menu'!B:M, 12, 0)</f>
        <v>0.13212463340236635</v>
      </c>
      <c r="R2032" s="173">
        <f t="shared" si="103"/>
        <v>0</v>
      </c>
    </row>
    <row r="2033" spans="1:18" ht="14" hidden="1">
      <c r="A2033" s="78" t="s">
        <v>2772</v>
      </c>
      <c r="B2033" s="220" t="s">
        <v>977</v>
      </c>
      <c r="C2033" s="185"/>
      <c r="D2033" s="103" t="str">
        <f>VLOOKUP(B2033, 'All Menu'!B:M, 4, 0)</f>
        <v>ساندويش حمادة سوبر</v>
      </c>
      <c r="E2033" s="30" t="str">
        <f>VLOOKUP(B2033, 'All Menu'!B:M, 2, 0)</f>
        <v>قسم المشاوي</v>
      </c>
      <c r="F2033" s="103" t="str">
        <f>VLOOKUP(B2033, 'All Menu'!B:M, 3, 0)</f>
        <v>المشاوي سفري2</v>
      </c>
      <c r="G2033" s="90" t="s">
        <v>3058</v>
      </c>
      <c r="H2033" s="188">
        <v>4264</v>
      </c>
      <c r="I2033" s="110" t="str">
        <f>VLOOKUP(H2033, 'RM &amp; SF'!B:H, 2, 0)</f>
        <v>علب ساندوش (علب سناك) كرتون مطبوع 1*50 حبة*****</v>
      </c>
      <c r="J2033" s="184" t="str">
        <f>VLOOKUP(H2033, 'RM &amp; SF'!B:E, 4, 0)</f>
        <v>قطعة</v>
      </c>
      <c r="K2033" s="12">
        <v>1</v>
      </c>
      <c r="L2033" s="13">
        <f>VLOOKUP(H2033, 'RM &amp; SF'!B:H, 7, 0)</f>
        <v>0.1724</v>
      </c>
      <c r="M2033" s="7">
        <f t="shared" si="100"/>
        <v>0.1724</v>
      </c>
      <c r="N2033" s="4" t="s">
        <v>825</v>
      </c>
      <c r="O2033" s="4">
        <f>VLOOKUP(B2033, 'All Menu'!B:L, 6, 0)</f>
        <v>3.6637931034482762</v>
      </c>
      <c r="P2033" s="6">
        <f>VLOOKUP(B2033, 'All Menu'!B:L, 9, 0)</f>
        <v>3.1797157827930547</v>
      </c>
      <c r="Q2033" s="14">
        <f>VLOOKUP(B2033, 'All Menu'!B:M, 12, 0)</f>
        <v>0.13212463340236635</v>
      </c>
      <c r="R2033" s="173">
        <f t="shared" si="103"/>
        <v>0</v>
      </c>
    </row>
    <row r="2034" spans="1:18" ht="14" hidden="1">
      <c r="A2034" s="78" t="s">
        <v>2772</v>
      </c>
      <c r="B2034" s="220" t="s">
        <v>977</v>
      </c>
      <c r="C2034" s="185"/>
      <c r="D2034" s="103" t="str">
        <f>VLOOKUP(B2034, 'All Menu'!B:M, 4, 0)</f>
        <v>ساندويش حمادة سوبر</v>
      </c>
      <c r="E2034" s="30" t="str">
        <f>VLOOKUP(B2034, 'All Menu'!B:M, 2, 0)</f>
        <v>قسم المشاوي</v>
      </c>
      <c r="F2034" s="103" t="str">
        <f>VLOOKUP(B2034, 'All Menu'!B:M, 3, 0)</f>
        <v>المشاوي سفري2</v>
      </c>
      <c r="G2034" s="90" t="s">
        <v>2325</v>
      </c>
      <c r="H2034" s="219" t="s">
        <v>534</v>
      </c>
      <c r="I2034" s="110" t="str">
        <f>VLOOKUP(H2034, 'RM &amp; SF'!B:H, 2, 0)</f>
        <v>مثومه</v>
      </c>
      <c r="J2034" s="184" t="str">
        <f>VLOOKUP(H2034, 'RM &amp; SF'!B:E, 4, 0)</f>
        <v>غم</v>
      </c>
      <c r="K2034" s="12">
        <v>30</v>
      </c>
      <c r="L2034" s="13">
        <f>VLOOKUP(H2034, 'RM &amp; SF'!B:H, 7, 0)</f>
        <v>6.6564092227821051E-4</v>
      </c>
      <c r="M2034" s="7">
        <f t="shared" si="100"/>
        <v>1.9969227668346315E-2</v>
      </c>
      <c r="N2034" s="4" t="s">
        <v>825</v>
      </c>
      <c r="O2034" s="4">
        <f>VLOOKUP(B2034, 'All Menu'!B:L, 6, 0)</f>
        <v>3.6637931034482762</v>
      </c>
      <c r="P2034" s="6">
        <f>VLOOKUP(B2034, 'All Menu'!B:L, 9, 0)</f>
        <v>3.1797157827930547</v>
      </c>
      <c r="Q2034" s="14">
        <f>VLOOKUP(B2034, 'All Menu'!B:M, 12, 0)</f>
        <v>0.13212463340236635</v>
      </c>
      <c r="R2034" s="173">
        <f t="shared" si="103"/>
        <v>0</v>
      </c>
    </row>
    <row r="2035" spans="1:18" ht="14" hidden="1">
      <c r="A2035" s="78" t="s">
        <v>2772</v>
      </c>
      <c r="B2035" s="220" t="s">
        <v>977</v>
      </c>
      <c r="C2035" s="185"/>
      <c r="D2035" s="103" t="str">
        <f>VLOOKUP(B2035, 'All Menu'!B:M, 4, 0)</f>
        <v>ساندويش حمادة سوبر</v>
      </c>
      <c r="E2035" s="30" t="str">
        <f>VLOOKUP(B2035, 'All Menu'!B:M, 2, 0)</f>
        <v>قسم المشاوي</v>
      </c>
      <c r="F2035" s="103" t="str">
        <f>VLOOKUP(B2035, 'All Menu'!B:M, 3, 0)</f>
        <v>المشاوي سفري2</v>
      </c>
      <c r="G2035" s="90" t="s">
        <v>2193</v>
      </c>
      <c r="H2035" s="188">
        <v>4309</v>
      </c>
      <c r="I2035" s="110" t="str">
        <f>VLOOKUP(H2035, 'RM &amp; SF'!B:H, 2, 0)</f>
        <v>اكياس بلاستيك مطبوع 55 سم*****</v>
      </c>
      <c r="J2035" s="184" t="str">
        <f>VLOOKUP(H2035, 'RM &amp; SF'!B:E, 4, 0)</f>
        <v>قطعة</v>
      </c>
      <c r="K2035" s="12">
        <v>1</v>
      </c>
      <c r="L2035" s="13">
        <f>VLOOKUP(H2035, 'RM &amp; SF'!B:H, 7, 0)</f>
        <v>5.5172413793103454E-2</v>
      </c>
      <c r="M2035" s="7">
        <f t="shared" si="100"/>
        <v>5.5172413793103454E-2</v>
      </c>
      <c r="N2035" s="4" t="s">
        <v>825</v>
      </c>
      <c r="O2035" s="4">
        <f>VLOOKUP(B2035, 'All Menu'!B:L, 6, 0)</f>
        <v>3.6637931034482762</v>
      </c>
      <c r="P2035" s="6">
        <f>VLOOKUP(B2035, 'All Menu'!B:L, 9, 0)</f>
        <v>3.1797157827930547</v>
      </c>
      <c r="Q2035" s="14">
        <f>VLOOKUP(B2035, 'All Menu'!B:M, 12, 0)</f>
        <v>0.13212463340236635</v>
      </c>
      <c r="R2035" s="173">
        <f t="shared" si="103"/>
        <v>0</v>
      </c>
    </row>
    <row r="2036" spans="1:18" ht="14" hidden="1">
      <c r="A2036" s="78" t="s">
        <v>2772</v>
      </c>
      <c r="B2036" s="220" t="s">
        <v>977</v>
      </c>
      <c r="C2036" s="185"/>
      <c r="D2036" s="103" t="str">
        <f>VLOOKUP(B2036, 'All Menu'!B:M, 4, 0)</f>
        <v>ساندويش حمادة سوبر</v>
      </c>
      <c r="E2036" s="30" t="str">
        <f>VLOOKUP(B2036, 'All Menu'!B:M, 2, 0)</f>
        <v>قسم المشاوي</v>
      </c>
      <c r="F2036" s="103" t="str">
        <f>VLOOKUP(B2036, 'All Menu'!B:M, 3, 0)</f>
        <v>المشاوي سفري2</v>
      </c>
      <c r="G2036" s="90" t="s">
        <v>2194</v>
      </c>
      <c r="H2036" s="188">
        <v>4323</v>
      </c>
      <c r="I2036" s="110" t="str">
        <f>VLOOKUP(H2036, 'RM &amp; SF'!B:H, 2, 0)</f>
        <v>قصدير رول 45 سم*2كغ*****</v>
      </c>
      <c r="J2036" s="184" t="str">
        <f>VLOOKUP(H2036, 'RM &amp; SF'!B:E, 4, 0)</f>
        <v>غم</v>
      </c>
      <c r="K2036" s="12">
        <v>0.06</v>
      </c>
      <c r="L2036" s="13">
        <f>VLOOKUP(H2036, 'RM &amp; SF'!B:H, 7, 0)</f>
        <v>1.7240000000000001E-3</v>
      </c>
      <c r="M2036" s="7">
        <f t="shared" si="100"/>
        <v>1.0344E-4</v>
      </c>
      <c r="N2036" s="4" t="s">
        <v>825</v>
      </c>
      <c r="O2036" s="4">
        <f>VLOOKUP(B2036, 'All Menu'!B:L, 6, 0)</f>
        <v>3.6637931034482762</v>
      </c>
      <c r="P2036" s="6">
        <f>VLOOKUP(B2036, 'All Menu'!B:L, 9, 0)</f>
        <v>3.1797157827930547</v>
      </c>
      <c r="Q2036" s="14">
        <f>VLOOKUP(B2036, 'All Menu'!B:M, 12, 0)</f>
        <v>0.13212463340236635</v>
      </c>
      <c r="R2036" s="173">
        <f t="shared" si="103"/>
        <v>0</v>
      </c>
    </row>
    <row r="2037" spans="1:18" ht="14" hidden="1">
      <c r="A2037" s="78" t="s">
        <v>2743</v>
      </c>
      <c r="B2037" s="220" t="s">
        <v>978</v>
      </c>
      <c r="C2037" s="185"/>
      <c r="D2037" s="103" t="str">
        <f>VLOOKUP(B2037, 'All Menu'!B:M, 4, 0)</f>
        <v>ساندويش كبدة خاروف عادي</v>
      </c>
      <c r="E2037" s="30" t="str">
        <f>VLOOKUP(B2037, 'All Menu'!B:M, 2, 0)</f>
        <v>قسم المشاوي</v>
      </c>
      <c r="F2037" s="103" t="str">
        <f>VLOOKUP(B2037, 'All Menu'!B:M, 3, 0)</f>
        <v>المشاوي سفري2</v>
      </c>
      <c r="G2037" s="90" t="s">
        <v>3058</v>
      </c>
      <c r="H2037" s="188">
        <v>1082</v>
      </c>
      <c r="I2037" s="110" t="str">
        <f>VLOOKUP(H2037, 'RM &amp; SF'!B:H, 2, 0)</f>
        <v>كبدة غنم</v>
      </c>
      <c r="J2037" s="184" t="str">
        <f>VLOOKUP(H2037, 'RM &amp; SF'!B:E, 4, 0)</f>
        <v>غم</v>
      </c>
      <c r="K2037" s="12">
        <v>100</v>
      </c>
      <c r="L2037" s="13">
        <f>VLOOKUP(H2037, 'RM &amp; SF'!B:H, 7, 0)</f>
        <v>7.0000000000000001E-3</v>
      </c>
      <c r="M2037" s="7">
        <f t="shared" si="100"/>
        <v>0.70000000000000007</v>
      </c>
      <c r="N2037" s="4" t="s">
        <v>825</v>
      </c>
      <c r="O2037" s="4">
        <f>VLOOKUP(B2037, 'All Menu'!B:L, 6, 0)</f>
        <v>1.7241379310344829</v>
      </c>
      <c r="P2037" s="6">
        <f>VLOOKUP(B2037, 'All Menu'!B:L, 9, 0)</f>
        <v>0.99520715447080943</v>
      </c>
      <c r="Q2037" s="14">
        <f>VLOOKUP(B2037, 'All Menu'!B:M, 12, 0)</f>
        <v>0.42277985040693056</v>
      </c>
      <c r="R2037" s="173">
        <f t="shared" si="103"/>
        <v>0</v>
      </c>
    </row>
    <row r="2038" spans="1:18" ht="14" hidden="1">
      <c r="A2038" s="78" t="s">
        <v>2743</v>
      </c>
      <c r="B2038" s="220" t="s">
        <v>978</v>
      </c>
      <c r="C2038" s="185"/>
      <c r="D2038" s="103" t="str">
        <f>VLOOKUP(B2038, 'All Menu'!B:M, 4, 0)</f>
        <v>ساندويش كبدة خاروف عادي</v>
      </c>
      <c r="E2038" s="30" t="str">
        <f>VLOOKUP(B2038, 'All Menu'!B:M, 2, 0)</f>
        <v>قسم المشاوي</v>
      </c>
      <c r="F2038" s="103" t="str">
        <f>VLOOKUP(B2038, 'All Menu'!B:M, 3, 0)</f>
        <v>المشاوي سفري2</v>
      </c>
      <c r="G2038" s="90" t="s">
        <v>2396</v>
      </c>
      <c r="H2038" s="219" t="s">
        <v>582</v>
      </c>
      <c r="I2038" s="110" t="str">
        <f>VLOOKUP(H2038, 'RM &amp; SF'!B:H, 2, 0)</f>
        <v>بيواز</v>
      </c>
      <c r="J2038" s="184" t="str">
        <f>VLOOKUP(H2038, 'RM &amp; SF'!B:E, 4, 0)</f>
        <v>غم</v>
      </c>
      <c r="K2038" s="12">
        <v>30</v>
      </c>
      <c r="L2038" s="13">
        <f>VLOOKUP(H2038, 'RM &amp; SF'!B:H, 7, 0)</f>
        <v>2.0666065869244635E-4</v>
      </c>
      <c r="M2038" s="7">
        <f t="shared" si="100"/>
        <v>6.1998197607733901E-3</v>
      </c>
      <c r="N2038" s="4" t="s">
        <v>825</v>
      </c>
      <c r="O2038" s="4">
        <f>VLOOKUP(B2038, 'All Menu'!B:L, 6, 0)</f>
        <v>1.7241379310344829</v>
      </c>
      <c r="P2038" s="6">
        <f>VLOOKUP(B2038, 'All Menu'!B:L, 9, 0)</f>
        <v>0.99520715447080943</v>
      </c>
      <c r="Q2038" s="14">
        <f>VLOOKUP(B2038, 'All Menu'!B:M, 12, 0)</f>
        <v>0.42277985040693056</v>
      </c>
      <c r="R2038" s="173">
        <f t="shared" si="103"/>
        <v>0</v>
      </c>
    </row>
    <row r="2039" spans="1:18" ht="14" hidden="1">
      <c r="A2039" s="78" t="s">
        <v>2743</v>
      </c>
      <c r="B2039" s="220" t="s">
        <v>978</v>
      </c>
      <c r="C2039" s="185"/>
      <c r="D2039" s="103" t="str">
        <f>VLOOKUP(B2039, 'All Menu'!B:M, 4, 0)</f>
        <v>ساندويش كبدة خاروف عادي</v>
      </c>
      <c r="E2039" s="30" t="str">
        <f>VLOOKUP(B2039, 'All Menu'!B:M, 2, 0)</f>
        <v>قسم المشاوي</v>
      </c>
      <c r="F2039" s="103" t="str">
        <f>VLOOKUP(B2039, 'All Menu'!B:M, 3, 0)</f>
        <v>المشاوي سفري2</v>
      </c>
      <c r="G2039" s="90" t="s">
        <v>2309</v>
      </c>
      <c r="H2039" s="188">
        <v>4491</v>
      </c>
      <c r="I2039" s="110" t="str">
        <f>VLOOKUP(H2039, 'RM &amp; SF'!B:H, 2, 0)</f>
        <v>بندورة جامدة*****</v>
      </c>
      <c r="J2039" s="184" t="str">
        <f>VLOOKUP(H2039, 'RM &amp; SF'!B:E, 4, 0)</f>
        <v>غم</v>
      </c>
      <c r="K2039" s="12">
        <v>20</v>
      </c>
      <c r="L2039" s="13">
        <f>VLOOKUP(H2039, 'RM &amp; SF'!B:H, 7, 0)</f>
        <v>5.0000000000000001E-4</v>
      </c>
      <c r="M2039" s="7">
        <f t="shared" si="100"/>
        <v>0.01</v>
      </c>
      <c r="N2039" s="4" t="s">
        <v>825</v>
      </c>
      <c r="O2039" s="4">
        <f>VLOOKUP(B2039, 'All Menu'!B:L, 6, 0)</f>
        <v>1.7241379310344829</v>
      </c>
      <c r="P2039" s="6">
        <f>VLOOKUP(B2039, 'All Menu'!B:L, 9, 0)</f>
        <v>0.99520715447080943</v>
      </c>
      <c r="Q2039" s="14">
        <f>VLOOKUP(B2039, 'All Menu'!B:M, 12, 0)</f>
        <v>0.42277985040693056</v>
      </c>
      <c r="R2039" s="173">
        <f t="shared" si="103"/>
        <v>0</v>
      </c>
    </row>
    <row r="2040" spans="1:18" ht="14" hidden="1">
      <c r="A2040" s="78" t="s">
        <v>2743</v>
      </c>
      <c r="B2040" s="220" t="s">
        <v>978</v>
      </c>
      <c r="C2040" s="185"/>
      <c r="D2040" s="103" t="str">
        <f>VLOOKUP(B2040, 'All Menu'!B:M, 4, 0)</f>
        <v>ساندويش كبدة خاروف عادي</v>
      </c>
      <c r="E2040" s="30" t="str">
        <f>VLOOKUP(B2040, 'All Menu'!B:M, 2, 0)</f>
        <v>قسم المشاوي</v>
      </c>
      <c r="F2040" s="103" t="str">
        <f>VLOOKUP(B2040, 'All Menu'!B:M, 3, 0)</f>
        <v>المشاوي سفري2</v>
      </c>
      <c r="G2040" s="90" t="s">
        <v>2331</v>
      </c>
      <c r="H2040" s="219" t="s">
        <v>530</v>
      </c>
      <c r="I2040" s="110" t="str">
        <f>VLOOKUP(H2040, 'RM &amp; SF'!B:H, 2, 0)</f>
        <v>خبز صاج</v>
      </c>
      <c r="J2040" s="184" t="str">
        <f>VLOOKUP(H2040, 'RM &amp; SF'!B:E, 4, 0)</f>
        <v>غم</v>
      </c>
      <c r="K2040" s="12">
        <v>100</v>
      </c>
      <c r="L2040" s="13">
        <f>VLOOKUP(H2040, 'RM &amp; SF'!B:H, 7, 0)</f>
        <v>1.8806451612903227E-4</v>
      </c>
      <c r="M2040" s="7">
        <f t="shared" si="100"/>
        <v>1.8806451612903227E-2</v>
      </c>
      <c r="N2040" s="4" t="s">
        <v>825</v>
      </c>
      <c r="O2040" s="4">
        <f>VLOOKUP(B2040, 'All Menu'!B:L, 6, 0)</f>
        <v>1.7241379310344829</v>
      </c>
      <c r="P2040" s="6">
        <f>VLOOKUP(B2040, 'All Menu'!B:L, 9, 0)</f>
        <v>0.99520715447080943</v>
      </c>
      <c r="Q2040" s="14">
        <f>VLOOKUP(B2040, 'All Menu'!B:M, 12, 0)</f>
        <v>0.42277985040693056</v>
      </c>
      <c r="R2040" s="173">
        <f t="shared" si="103"/>
        <v>0</v>
      </c>
    </row>
    <row r="2041" spans="1:18" ht="14" hidden="1">
      <c r="A2041" s="78" t="s">
        <v>2743</v>
      </c>
      <c r="B2041" s="220" t="s">
        <v>978</v>
      </c>
      <c r="C2041" s="185"/>
      <c r="D2041" s="103" t="str">
        <f>VLOOKUP(B2041, 'All Menu'!B:M, 4, 0)</f>
        <v>ساندويش كبدة خاروف عادي</v>
      </c>
      <c r="E2041" s="30" t="str">
        <f>VLOOKUP(B2041, 'All Menu'!B:M, 2, 0)</f>
        <v>قسم المشاوي</v>
      </c>
      <c r="F2041" s="103" t="str">
        <f>VLOOKUP(B2041, 'All Menu'!B:M, 3, 0)</f>
        <v>المشاوي سفري2</v>
      </c>
      <c r="G2041" s="90" t="s">
        <v>3058</v>
      </c>
      <c r="H2041" s="188">
        <v>4264</v>
      </c>
      <c r="I2041" s="110" t="str">
        <f>VLOOKUP(H2041, 'RM &amp; SF'!B:H, 2, 0)</f>
        <v>علب ساندوش (علب سناك) كرتون مطبوع 1*50 حبة*****</v>
      </c>
      <c r="J2041" s="184" t="str">
        <f>VLOOKUP(H2041, 'RM &amp; SF'!B:E, 4, 0)</f>
        <v>قطعة</v>
      </c>
      <c r="K2041" s="12">
        <v>1</v>
      </c>
      <c r="L2041" s="13">
        <f>VLOOKUP(H2041, 'RM &amp; SF'!B:H, 7, 0)</f>
        <v>0.1724</v>
      </c>
      <c r="M2041" s="7">
        <f t="shared" si="100"/>
        <v>0.1724</v>
      </c>
      <c r="N2041" s="4" t="s">
        <v>825</v>
      </c>
      <c r="O2041" s="4">
        <f>VLOOKUP(B2041, 'All Menu'!B:L, 6, 0)</f>
        <v>1.7241379310344829</v>
      </c>
      <c r="P2041" s="6">
        <f>VLOOKUP(B2041, 'All Menu'!B:L, 9, 0)</f>
        <v>0.99520715447080943</v>
      </c>
      <c r="Q2041" s="14">
        <f>VLOOKUP(B2041, 'All Menu'!B:M, 12, 0)</f>
        <v>0.42277985040693056</v>
      </c>
      <c r="R2041" s="173">
        <f t="shared" si="103"/>
        <v>0</v>
      </c>
    </row>
    <row r="2042" spans="1:18" ht="14" hidden="1">
      <c r="A2042" s="78" t="s">
        <v>2743</v>
      </c>
      <c r="B2042" s="220" t="s">
        <v>978</v>
      </c>
      <c r="C2042" s="185"/>
      <c r="D2042" s="103" t="str">
        <f>VLOOKUP(B2042, 'All Menu'!B:M, 4, 0)</f>
        <v>ساندويش كبدة خاروف عادي</v>
      </c>
      <c r="E2042" s="30" t="str">
        <f>VLOOKUP(B2042, 'All Menu'!B:M, 2, 0)</f>
        <v>قسم المشاوي</v>
      </c>
      <c r="F2042" s="103" t="str">
        <f>VLOOKUP(B2042, 'All Menu'!B:M, 3, 0)</f>
        <v>المشاوي سفري2</v>
      </c>
      <c r="G2042" s="90" t="s">
        <v>2397</v>
      </c>
      <c r="H2042" s="219" t="s">
        <v>580</v>
      </c>
      <c r="I2042" s="110" t="str">
        <f>VLOOKUP(H2042, 'RM &amp; SF'!B:H, 2, 0)</f>
        <v>طحينة مشاوي</v>
      </c>
      <c r="J2042" s="184" t="str">
        <f>VLOOKUP(H2042, 'RM &amp; SF'!B:E, 4, 0)</f>
        <v>غم</v>
      </c>
      <c r="K2042" s="12">
        <v>30</v>
      </c>
      <c r="L2042" s="13">
        <f>VLOOKUP(H2042, 'RM &amp; SF'!B:H, 7, 0)</f>
        <v>1.0841676434676436E-3</v>
      </c>
      <c r="M2042" s="7">
        <f t="shared" si="100"/>
        <v>3.2525029304029306E-2</v>
      </c>
      <c r="N2042" s="4" t="s">
        <v>825</v>
      </c>
      <c r="O2042" s="4">
        <f>VLOOKUP(B2042, 'All Menu'!B:L, 6, 0)</f>
        <v>1.7241379310344829</v>
      </c>
      <c r="P2042" s="6">
        <f>VLOOKUP(B2042, 'All Menu'!B:L, 9, 0)</f>
        <v>0.99520715447080943</v>
      </c>
      <c r="Q2042" s="14">
        <f>VLOOKUP(B2042, 'All Menu'!B:M, 12, 0)</f>
        <v>0.42277985040693056</v>
      </c>
      <c r="R2042" s="173">
        <f t="shared" si="103"/>
        <v>0</v>
      </c>
    </row>
    <row r="2043" spans="1:18" ht="14" hidden="1">
      <c r="A2043" s="78" t="s">
        <v>2743</v>
      </c>
      <c r="B2043" s="220" t="s">
        <v>978</v>
      </c>
      <c r="C2043" s="185"/>
      <c r="D2043" s="103" t="str">
        <f>VLOOKUP(B2043, 'All Menu'!B:M, 4, 0)</f>
        <v>ساندويش كبدة خاروف عادي</v>
      </c>
      <c r="E2043" s="30" t="str">
        <f>VLOOKUP(B2043, 'All Menu'!B:M, 2, 0)</f>
        <v>قسم المشاوي</v>
      </c>
      <c r="F2043" s="103" t="str">
        <f>VLOOKUP(B2043, 'All Menu'!B:M, 3, 0)</f>
        <v>المشاوي سفري2</v>
      </c>
      <c r="G2043" s="90" t="s">
        <v>2193</v>
      </c>
      <c r="H2043" s="188">
        <v>4309</v>
      </c>
      <c r="I2043" s="110" t="str">
        <f>VLOOKUP(H2043, 'RM &amp; SF'!B:H, 2, 0)</f>
        <v>اكياس بلاستيك مطبوع 55 سم*****</v>
      </c>
      <c r="J2043" s="184" t="str">
        <f>VLOOKUP(H2043, 'RM &amp; SF'!B:E, 4, 0)</f>
        <v>قطعة</v>
      </c>
      <c r="K2043" s="12">
        <v>1</v>
      </c>
      <c r="L2043" s="13">
        <f>VLOOKUP(H2043, 'RM &amp; SF'!B:H, 7, 0)</f>
        <v>5.5172413793103454E-2</v>
      </c>
      <c r="M2043" s="7">
        <f t="shared" si="100"/>
        <v>5.5172413793103454E-2</v>
      </c>
      <c r="N2043" s="4" t="s">
        <v>825</v>
      </c>
      <c r="O2043" s="4">
        <f>VLOOKUP(B2043, 'All Menu'!B:L, 6, 0)</f>
        <v>1.7241379310344829</v>
      </c>
      <c r="P2043" s="6">
        <f>VLOOKUP(B2043, 'All Menu'!B:L, 9, 0)</f>
        <v>0.99520715447080943</v>
      </c>
      <c r="Q2043" s="14">
        <f>VLOOKUP(B2043, 'All Menu'!B:M, 12, 0)</f>
        <v>0.42277985040693056</v>
      </c>
      <c r="R2043" s="173">
        <f t="shared" si="103"/>
        <v>0</v>
      </c>
    </row>
    <row r="2044" spans="1:18" ht="14" hidden="1">
      <c r="A2044" s="78" t="s">
        <v>2743</v>
      </c>
      <c r="B2044" s="220" t="s">
        <v>978</v>
      </c>
      <c r="C2044" s="185"/>
      <c r="D2044" s="103" t="str">
        <f>VLOOKUP(B2044, 'All Menu'!B:M, 4, 0)</f>
        <v>ساندويش كبدة خاروف عادي</v>
      </c>
      <c r="E2044" s="30" t="str">
        <f>VLOOKUP(B2044, 'All Menu'!B:M, 2, 0)</f>
        <v>قسم المشاوي</v>
      </c>
      <c r="F2044" s="103" t="str">
        <f>VLOOKUP(B2044, 'All Menu'!B:M, 3, 0)</f>
        <v>المشاوي سفري2</v>
      </c>
      <c r="G2044" s="90" t="s">
        <v>2194</v>
      </c>
      <c r="H2044" s="188">
        <v>4323</v>
      </c>
      <c r="I2044" s="110" t="str">
        <f>VLOOKUP(H2044, 'RM &amp; SF'!B:H, 2, 0)</f>
        <v>قصدير رول 45 سم*2كغ*****</v>
      </c>
      <c r="J2044" s="184" t="str">
        <f>VLOOKUP(H2044, 'RM &amp; SF'!B:E, 4, 0)</f>
        <v>غم</v>
      </c>
      <c r="K2044" s="12">
        <v>0.06</v>
      </c>
      <c r="L2044" s="13">
        <f>VLOOKUP(H2044, 'RM &amp; SF'!B:H, 7, 0)</f>
        <v>1.7240000000000001E-3</v>
      </c>
      <c r="M2044" s="7">
        <f t="shared" si="100"/>
        <v>1.0344E-4</v>
      </c>
      <c r="N2044" s="4" t="s">
        <v>825</v>
      </c>
      <c r="O2044" s="4">
        <f>VLOOKUP(B2044, 'All Menu'!B:L, 6, 0)</f>
        <v>1.7241379310344829</v>
      </c>
      <c r="P2044" s="6">
        <f>VLOOKUP(B2044, 'All Menu'!B:L, 9, 0)</f>
        <v>0.99520715447080943</v>
      </c>
      <c r="Q2044" s="14">
        <f>VLOOKUP(B2044, 'All Menu'!B:M, 12, 0)</f>
        <v>0.42277985040693056</v>
      </c>
      <c r="R2044" s="173">
        <f t="shared" si="103"/>
        <v>0</v>
      </c>
    </row>
    <row r="2045" spans="1:18" ht="14" hidden="1">
      <c r="A2045" s="78" t="s">
        <v>2768</v>
      </c>
      <c r="B2045" s="220" t="s">
        <v>979</v>
      </c>
      <c r="C2045" s="185"/>
      <c r="D2045" s="103" t="str">
        <f>VLOOKUP(B2045, 'All Menu'!B:M, 4, 0)</f>
        <v>ساندويش شيش عادي</v>
      </c>
      <c r="E2045" s="30" t="str">
        <f>VLOOKUP(B2045, 'All Menu'!B:M, 2, 0)</f>
        <v>قسم المشاوي</v>
      </c>
      <c r="F2045" s="103" t="str">
        <f>VLOOKUP(B2045, 'All Menu'!B:M, 3, 0)</f>
        <v>المشاوي سفري2</v>
      </c>
      <c r="G2045" s="90" t="s">
        <v>2456</v>
      </c>
      <c r="H2045" s="219" t="s">
        <v>506</v>
      </c>
      <c r="I2045" s="110" t="str">
        <f>VLOOKUP(H2045, 'RM &amp; SF'!B:H, 2, 0)</f>
        <v>شيش</v>
      </c>
      <c r="J2045" s="184" t="str">
        <f>VLOOKUP(H2045, 'RM &amp; SF'!B:E, 4, 0)</f>
        <v>غم</v>
      </c>
      <c r="K2045" s="12">
        <v>100</v>
      </c>
      <c r="L2045" s="13">
        <f>VLOOKUP(H2045, 'RM &amp; SF'!B:H, 7, 0)</f>
        <v>4.6721213030918281E-3</v>
      </c>
      <c r="M2045" s="7">
        <f t="shared" si="100"/>
        <v>0.46721213030918279</v>
      </c>
      <c r="N2045" s="4" t="s">
        <v>825</v>
      </c>
      <c r="O2045" s="4">
        <f>VLOOKUP(B2045, 'All Menu'!B:L, 6, 0)</f>
        <v>1.9396551724137931</v>
      </c>
      <c r="P2045" s="6">
        <f>VLOOKUP(B2045, 'All Menu'!B:L, 9, 0)</f>
        <v>0.77954251079060299</v>
      </c>
      <c r="Q2045" s="14">
        <f>VLOOKUP(B2045, 'All Menu'!B:M, 12, 0)</f>
        <v>0.59810252777017803</v>
      </c>
      <c r="R2045" s="173">
        <f t="shared" si="103"/>
        <v>0</v>
      </c>
    </row>
    <row r="2046" spans="1:18" ht="14" hidden="1">
      <c r="A2046" s="78" t="s">
        <v>2768</v>
      </c>
      <c r="B2046" s="220" t="s">
        <v>979</v>
      </c>
      <c r="C2046" s="185"/>
      <c r="D2046" s="103" t="str">
        <f>VLOOKUP(B2046, 'All Menu'!B:M, 4, 0)</f>
        <v>ساندويش شيش عادي</v>
      </c>
      <c r="E2046" s="30" t="str">
        <f>VLOOKUP(B2046, 'All Menu'!B:M, 2, 0)</f>
        <v>قسم المشاوي</v>
      </c>
      <c r="F2046" s="103" t="str">
        <f>VLOOKUP(B2046, 'All Menu'!B:M, 3, 0)</f>
        <v>المشاوي سفري2</v>
      </c>
      <c r="G2046" s="90" t="s">
        <v>3058</v>
      </c>
      <c r="H2046" s="219" t="s">
        <v>3057</v>
      </c>
      <c r="I2046" s="110" t="str">
        <f>VLOOKUP(H2046, 'RM &amp; SF'!B:H, 2, 0)</f>
        <v>صوص ساندويش</v>
      </c>
      <c r="J2046" s="184" t="str">
        <f>VLOOKUP(H2046, 'RM &amp; SF'!B:E, 4, 0)</f>
        <v>غم</v>
      </c>
      <c r="K2046" s="12">
        <v>20</v>
      </c>
      <c r="L2046" s="13">
        <f>VLOOKUP(H2046, 'RM &amp; SF'!B:H, 7, 0)</f>
        <v>2.2283059346557385E-3</v>
      </c>
      <c r="M2046" s="7">
        <f t="shared" ref="M2046" si="104">L2046*K2046</f>
        <v>4.4566118693114769E-2</v>
      </c>
      <c r="N2046" s="4" t="s">
        <v>825</v>
      </c>
      <c r="O2046" s="4">
        <f>VLOOKUP(B2046, 'All Menu'!B:L, 6, 0)</f>
        <v>1.9396551724137931</v>
      </c>
      <c r="P2046" s="6">
        <f>VLOOKUP(B2046, 'All Menu'!B:L, 9, 0)</f>
        <v>0.77954251079060299</v>
      </c>
      <c r="Q2046" s="14">
        <f>VLOOKUP(B2046, 'All Menu'!B:M, 12, 0)</f>
        <v>0.59810252777017803</v>
      </c>
      <c r="R2046" s="173">
        <f t="shared" ref="R2046" si="105">C2046*K2046</f>
        <v>0</v>
      </c>
    </row>
    <row r="2047" spans="1:18" ht="14" hidden="1">
      <c r="A2047" s="78" t="s">
        <v>2768</v>
      </c>
      <c r="B2047" s="220" t="s">
        <v>979</v>
      </c>
      <c r="C2047" s="185"/>
      <c r="D2047" s="103" t="str">
        <f>VLOOKUP(B2047, 'All Menu'!B:M, 4, 0)</f>
        <v>ساندويش شيش عادي</v>
      </c>
      <c r="E2047" s="30" t="str">
        <f>VLOOKUP(B2047, 'All Menu'!B:M, 2, 0)</f>
        <v>قسم المشاوي</v>
      </c>
      <c r="F2047" s="103" t="str">
        <f>VLOOKUP(B2047, 'All Menu'!B:M, 3, 0)</f>
        <v>المشاوي سفري2</v>
      </c>
      <c r="G2047" s="90" t="s">
        <v>2331</v>
      </c>
      <c r="H2047" s="219" t="s">
        <v>530</v>
      </c>
      <c r="I2047" s="110" t="str">
        <f>VLOOKUP(H2047, 'RM &amp; SF'!B:H, 2, 0)</f>
        <v>خبز صاج</v>
      </c>
      <c r="J2047" s="184" t="str">
        <f>VLOOKUP(H2047, 'RM &amp; SF'!B:E, 4, 0)</f>
        <v>غم</v>
      </c>
      <c r="K2047" s="12">
        <v>90</v>
      </c>
      <c r="L2047" s="13">
        <f>VLOOKUP(H2047, 'RM &amp; SF'!B:H, 7, 0)</f>
        <v>1.8806451612903227E-4</v>
      </c>
      <c r="M2047" s="7">
        <f t="shared" si="100"/>
        <v>1.6925806451612905E-2</v>
      </c>
      <c r="N2047" s="4" t="s">
        <v>825</v>
      </c>
      <c r="O2047" s="4">
        <f>VLOOKUP(B2047, 'All Menu'!B:L, 6, 0)</f>
        <v>1.9396551724137931</v>
      </c>
      <c r="P2047" s="6">
        <f>VLOOKUP(B2047, 'All Menu'!B:L, 9, 0)</f>
        <v>0.77954251079060299</v>
      </c>
      <c r="Q2047" s="14">
        <f>VLOOKUP(B2047, 'All Menu'!B:M, 12, 0)</f>
        <v>0.59810252777017803</v>
      </c>
      <c r="R2047" s="173">
        <f t="shared" si="103"/>
        <v>0</v>
      </c>
    </row>
    <row r="2048" spans="1:18" ht="14" hidden="1">
      <c r="A2048" s="78" t="s">
        <v>2768</v>
      </c>
      <c r="B2048" s="220" t="s">
        <v>979</v>
      </c>
      <c r="C2048" s="185"/>
      <c r="D2048" s="103" t="str">
        <f>VLOOKUP(B2048, 'All Menu'!B:M, 4, 0)</f>
        <v>ساندويش شيش عادي</v>
      </c>
      <c r="E2048" s="30" t="str">
        <f>VLOOKUP(B2048, 'All Menu'!B:M, 2, 0)</f>
        <v>قسم المشاوي</v>
      </c>
      <c r="F2048" s="103" t="str">
        <f>VLOOKUP(B2048, 'All Menu'!B:M, 3, 0)</f>
        <v>المشاوي سفري2</v>
      </c>
      <c r="G2048" s="90" t="s">
        <v>2325</v>
      </c>
      <c r="H2048" s="219" t="s">
        <v>534</v>
      </c>
      <c r="I2048" s="110" t="str">
        <f>VLOOKUP(H2048, 'RM &amp; SF'!B:H, 2, 0)</f>
        <v>مثومه</v>
      </c>
      <c r="J2048" s="184" t="str">
        <f>VLOOKUP(H2048, 'RM &amp; SF'!B:E, 4, 0)</f>
        <v>غم</v>
      </c>
      <c r="K2048" s="12">
        <v>60</v>
      </c>
      <c r="L2048" s="13">
        <f>VLOOKUP(H2048, 'RM &amp; SF'!B:H, 7, 0)</f>
        <v>6.6564092227821051E-4</v>
      </c>
      <c r="M2048" s="7">
        <f t="shared" si="100"/>
        <v>3.993845533669263E-2</v>
      </c>
      <c r="N2048" s="4" t="s">
        <v>825</v>
      </c>
      <c r="O2048" s="4">
        <f>VLOOKUP(B2048, 'All Menu'!B:L, 6, 0)</f>
        <v>1.9396551724137931</v>
      </c>
      <c r="P2048" s="6">
        <f>VLOOKUP(B2048, 'All Menu'!B:L, 9, 0)</f>
        <v>0.77954251079060299</v>
      </c>
      <c r="Q2048" s="14">
        <f>VLOOKUP(B2048, 'All Menu'!B:M, 12, 0)</f>
        <v>0.59810252777017803</v>
      </c>
      <c r="R2048" s="173">
        <f t="shared" si="103"/>
        <v>0</v>
      </c>
    </row>
    <row r="2049" spans="1:18" ht="14" hidden="1">
      <c r="A2049" s="78" t="s">
        <v>2768</v>
      </c>
      <c r="B2049" s="220" t="s">
        <v>979</v>
      </c>
      <c r="C2049" s="185"/>
      <c r="D2049" s="103" t="str">
        <f>VLOOKUP(B2049, 'All Menu'!B:M, 4, 0)</f>
        <v>ساندويش شيش عادي</v>
      </c>
      <c r="E2049" s="30" t="str">
        <f>VLOOKUP(B2049, 'All Menu'!B:M, 2, 0)</f>
        <v>قسم المشاوي</v>
      </c>
      <c r="F2049" s="103" t="str">
        <f>VLOOKUP(B2049, 'All Menu'!B:M, 3, 0)</f>
        <v>المشاوي سفري2</v>
      </c>
      <c r="G2049" s="90" t="s">
        <v>2296</v>
      </c>
      <c r="H2049" s="188">
        <v>4866</v>
      </c>
      <c r="I2049" s="110" t="str">
        <f>VLOOKUP(H2049, 'RM &amp; SF'!B:H, 2, 0)</f>
        <v>*****مخلل خيار شرائح 10 كغ</v>
      </c>
      <c r="J2049" s="184" t="str">
        <f>VLOOKUP(H2049, 'RM &amp; SF'!B:E, 4, 0)</f>
        <v>غم</v>
      </c>
      <c r="K2049" s="12">
        <v>25</v>
      </c>
      <c r="L2049" s="13">
        <f>VLOOKUP(H2049, 'RM &amp; SF'!B:H, 7, 0)</f>
        <v>1E-3</v>
      </c>
      <c r="M2049" s="7">
        <f t="shared" si="100"/>
        <v>2.5000000000000001E-2</v>
      </c>
      <c r="N2049" s="4" t="s">
        <v>825</v>
      </c>
      <c r="O2049" s="4">
        <f>VLOOKUP(B2049, 'All Menu'!B:L, 6, 0)</f>
        <v>1.9396551724137931</v>
      </c>
      <c r="P2049" s="6">
        <f>VLOOKUP(B2049, 'All Menu'!B:L, 9, 0)</f>
        <v>0.77954251079060299</v>
      </c>
      <c r="Q2049" s="14">
        <f>VLOOKUP(B2049, 'All Menu'!B:M, 12, 0)</f>
        <v>0.59810252777017803</v>
      </c>
      <c r="R2049" s="173">
        <f t="shared" si="103"/>
        <v>0</v>
      </c>
    </row>
    <row r="2050" spans="1:18" ht="14" hidden="1">
      <c r="A2050" s="78" t="s">
        <v>2768</v>
      </c>
      <c r="B2050" s="220" t="s">
        <v>979</v>
      </c>
      <c r="C2050" s="185"/>
      <c r="D2050" s="103" t="str">
        <f>VLOOKUP(B2050, 'All Menu'!B:M, 4, 0)</f>
        <v>ساندويش شيش عادي</v>
      </c>
      <c r="E2050" s="30" t="str">
        <f>VLOOKUP(B2050, 'All Menu'!B:M, 2, 0)</f>
        <v>قسم المشاوي</v>
      </c>
      <c r="F2050" s="103" t="str">
        <f>VLOOKUP(B2050, 'All Menu'!B:M, 3, 0)</f>
        <v>المشاوي سفري2</v>
      </c>
      <c r="G2050" s="90" t="s">
        <v>3058</v>
      </c>
      <c r="H2050" s="188">
        <v>4517</v>
      </c>
      <c r="I2050" s="110" t="str">
        <f>VLOOKUP(H2050, 'RM &amp; SF'!B:H, 2, 0)</f>
        <v>خس بلدي*****</v>
      </c>
      <c r="J2050" s="184" t="str">
        <f>VLOOKUP(H2050, 'RM &amp; SF'!B:E, 4, 0)</f>
        <v>غم</v>
      </c>
      <c r="K2050" s="12">
        <v>27</v>
      </c>
      <c r="L2050" s="13">
        <f>VLOOKUP(H2050, 'RM &amp; SF'!B:H, 7, 0)</f>
        <v>5.0000000000000001E-4</v>
      </c>
      <c r="M2050" s="7">
        <f t="shared" si="100"/>
        <v>1.35E-2</v>
      </c>
      <c r="N2050" s="4" t="s">
        <v>825</v>
      </c>
      <c r="O2050" s="4">
        <f>VLOOKUP(B2050, 'All Menu'!B:L, 6, 0)</f>
        <v>1.9396551724137931</v>
      </c>
      <c r="P2050" s="6">
        <f>VLOOKUP(B2050, 'All Menu'!B:L, 9, 0)</f>
        <v>0.77954251079060299</v>
      </c>
      <c r="Q2050" s="14">
        <f>VLOOKUP(B2050, 'All Menu'!B:M, 12, 0)</f>
        <v>0.59810252777017803</v>
      </c>
      <c r="R2050" s="173">
        <f t="shared" si="103"/>
        <v>0</v>
      </c>
    </row>
    <row r="2051" spans="1:18" ht="14" hidden="1">
      <c r="A2051" s="78" t="s">
        <v>2768</v>
      </c>
      <c r="B2051" s="220" t="s">
        <v>979</v>
      </c>
      <c r="C2051" s="185"/>
      <c r="D2051" s="103" t="str">
        <f>VLOOKUP(B2051, 'All Menu'!B:M, 4, 0)</f>
        <v>ساندويش شيش عادي</v>
      </c>
      <c r="E2051" s="30" t="str">
        <f>VLOOKUP(B2051, 'All Menu'!B:M, 2, 0)</f>
        <v>قسم المشاوي</v>
      </c>
      <c r="F2051" s="103" t="str">
        <f>VLOOKUP(B2051, 'All Menu'!B:M, 3, 0)</f>
        <v>المشاوي سفري2</v>
      </c>
      <c r="G2051" s="90" t="s">
        <v>3058</v>
      </c>
      <c r="H2051" s="188">
        <v>4264</v>
      </c>
      <c r="I2051" s="110" t="str">
        <f>VLOOKUP(H2051, 'RM &amp; SF'!B:H, 2, 0)</f>
        <v>علب ساندوش (علب سناك) كرتون مطبوع 1*50 حبة*****</v>
      </c>
      <c r="J2051" s="184" t="str">
        <f>VLOOKUP(H2051, 'RM &amp; SF'!B:E, 4, 0)</f>
        <v>قطعة</v>
      </c>
      <c r="K2051" s="12">
        <v>1</v>
      </c>
      <c r="L2051" s="13">
        <f>VLOOKUP(H2051, 'RM &amp; SF'!B:H, 7, 0)</f>
        <v>0.1724</v>
      </c>
      <c r="M2051" s="7">
        <f t="shared" si="100"/>
        <v>0.1724</v>
      </c>
      <c r="N2051" s="4" t="s">
        <v>825</v>
      </c>
      <c r="O2051" s="4">
        <f>VLOOKUP(B2051, 'All Menu'!B:L, 6, 0)</f>
        <v>1.9396551724137931</v>
      </c>
      <c r="P2051" s="6">
        <f>VLOOKUP(B2051, 'All Menu'!B:L, 9, 0)</f>
        <v>0.77954251079060299</v>
      </c>
      <c r="Q2051" s="14">
        <f>VLOOKUP(B2051, 'All Menu'!B:M, 12, 0)</f>
        <v>0.59810252777017803</v>
      </c>
      <c r="R2051" s="173">
        <f t="shared" si="103"/>
        <v>0</v>
      </c>
    </row>
    <row r="2052" spans="1:18" ht="14" hidden="1">
      <c r="A2052" s="78" t="s">
        <v>2745</v>
      </c>
      <c r="B2052" s="220" t="s">
        <v>980</v>
      </c>
      <c r="C2052" s="185"/>
      <c r="D2052" s="103" t="str">
        <f>VLOOKUP(B2052, 'All Menu'!B:M, 4, 0)</f>
        <v>ساندويش لية عادي</v>
      </c>
      <c r="E2052" s="30" t="str">
        <f>VLOOKUP(B2052, 'All Menu'!B:M, 2, 0)</f>
        <v>قسم المشاوي</v>
      </c>
      <c r="F2052" s="103" t="str">
        <f>VLOOKUP(B2052, 'All Menu'!B:M, 3, 0)</f>
        <v>المشاوي سفري2</v>
      </c>
      <c r="G2052" s="90" t="s">
        <v>3058</v>
      </c>
      <c r="H2052" s="188">
        <v>4598</v>
      </c>
      <c r="I2052" s="110" t="str">
        <f>VLOOKUP(H2052, 'RM &amp; SF'!B:H, 2, 0)</f>
        <v>لية خروف نية*****</v>
      </c>
      <c r="J2052" s="184" t="str">
        <f>VLOOKUP(H2052, 'RM &amp; SF'!B:E, 4, 0)</f>
        <v>غم</v>
      </c>
      <c r="K2052" s="12">
        <v>100</v>
      </c>
      <c r="L2052" s="13">
        <f>VLOOKUP(H2052, 'RM &amp; SF'!B:H, 7, 0)</f>
        <v>5.0000000000000001E-3</v>
      </c>
      <c r="M2052" s="7">
        <f t="shared" si="100"/>
        <v>0.5</v>
      </c>
      <c r="N2052" s="4" t="s">
        <v>825</v>
      </c>
      <c r="O2052" s="4">
        <f>VLOOKUP(B2052, 'All Menu'!B:L, 6, 0)</f>
        <v>1.5086206896551726</v>
      </c>
      <c r="P2052" s="6">
        <f>VLOOKUP(B2052, 'All Menu'!B:L, 9, 0)</f>
        <v>0.78314054788388487</v>
      </c>
      <c r="Q2052" s="14">
        <f>VLOOKUP(B2052, 'All Menu'!B:M, 12, 0)</f>
        <v>0.48088969397411069</v>
      </c>
      <c r="R2052" s="173">
        <f t="shared" si="103"/>
        <v>0</v>
      </c>
    </row>
    <row r="2053" spans="1:18" ht="14" hidden="1">
      <c r="A2053" s="78" t="s">
        <v>2745</v>
      </c>
      <c r="B2053" s="220" t="s">
        <v>980</v>
      </c>
      <c r="C2053" s="185"/>
      <c r="D2053" s="103" t="str">
        <f>VLOOKUP(B2053, 'All Menu'!B:M, 4, 0)</f>
        <v>ساندويش لية عادي</v>
      </c>
      <c r="E2053" s="30" t="str">
        <f>VLOOKUP(B2053, 'All Menu'!B:M, 2, 0)</f>
        <v>قسم المشاوي</v>
      </c>
      <c r="F2053" s="103" t="str">
        <f>VLOOKUP(B2053, 'All Menu'!B:M, 3, 0)</f>
        <v>المشاوي سفري2</v>
      </c>
      <c r="G2053" s="90" t="s">
        <v>2396</v>
      </c>
      <c r="H2053" s="219" t="s">
        <v>582</v>
      </c>
      <c r="I2053" s="110" t="str">
        <f>VLOOKUP(H2053, 'RM &amp; SF'!B:H, 2, 0)</f>
        <v>بيواز</v>
      </c>
      <c r="J2053" s="184" t="str">
        <f>VLOOKUP(H2053, 'RM &amp; SF'!B:E, 4, 0)</f>
        <v>غم</v>
      </c>
      <c r="K2053" s="12">
        <v>20</v>
      </c>
      <c r="L2053" s="13">
        <f>VLOOKUP(H2053, 'RM &amp; SF'!B:H, 7, 0)</f>
        <v>2.0666065869244635E-4</v>
      </c>
      <c r="M2053" s="7">
        <f t="shared" si="100"/>
        <v>4.1332131738489267E-3</v>
      </c>
      <c r="N2053" s="4" t="s">
        <v>825</v>
      </c>
      <c r="O2053" s="4">
        <f>VLOOKUP(B2053, 'All Menu'!B:L, 6, 0)</f>
        <v>1.5086206896551726</v>
      </c>
      <c r="P2053" s="6">
        <f>VLOOKUP(B2053, 'All Menu'!B:L, 9, 0)</f>
        <v>0.78314054788388487</v>
      </c>
      <c r="Q2053" s="14">
        <f>VLOOKUP(B2053, 'All Menu'!B:M, 12, 0)</f>
        <v>0.48088969397411069</v>
      </c>
      <c r="R2053" s="173">
        <f t="shared" si="103"/>
        <v>0</v>
      </c>
    </row>
    <row r="2054" spans="1:18" ht="14" hidden="1">
      <c r="A2054" s="78" t="s">
        <v>2745</v>
      </c>
      <c r="B2054" s="220" t="s">
        <v>980</v>
      </c>
      <c r="C2054" s="185"/>
      <c r="D2054" s="103" t="str">
        <f>VLOOKUP(B2054, 'All Menu'!B:M, 4, 0)</f>
        <v>ساندويش لية عادي</v>
      </c>
      <c r="E2054" s="30" t="str">
        <f>VLOOKUP(B2054, 'All Menu'!B:M, 2, 0)</f>
        <v>قسم المشاوي</v>
      </c>
      <c r="F2054" s="103" t="str">
        <f>VLOOKUP(B2054, 'All Menu'!B:M, 3, 0)</f>
        <v>المشاوي سفري2</v>
      </c>
      <c r="G2054" s="90" t="s">
        <v>2397</v>
      </c>
      <c r="H2054" s="219" t="s">
        <v>580</v>
      </c>
      <c r="I2054" s="110" t="str">
        <f>VLOOKUP(H2054, 'RM &amp; SF'!B:H, 2, 0)</f>
        <v>طحينة مشاوي</v>
      </c>
      <c r="J2054" s="184" t="str">
        <f>VLOOKUP(H2054, 'RM &amp; SF'!B:E, 4, 0)</f>
        <v>غم</v>
      </c>
      <c r="K2054" s="12">
        <v>30</v>
      </c>
      <c r="L2054" s="13">
        <f>VLOOKUP(H2054, 'RM &amp; SF'!B:H, 7, 0)</f>
        <v>1.0841676434676436E-3</v>
      </c>
      <c r="M2054" s="7">
        <f t="shared" si="100"/>
        <v>3.2525029304029306E-2</v>
      </c>
      <c r="N2054" s="4" t="s">
        <v>825</v>
      </c>
      <c r="O2054" s="4">
        <f>VLOOKUP(B2054, 'All Menu'!B:L, 6, 0)</f>
        <v>1.5086206896551726</v>
      </c>
      <c r="P2054" s="6">
        <f>VLOOKUP(B2054, 'All Menu'!B:L, 9, 0)</f>
        <v>0.78314054788388487</v>
      </c>
      <c r="Q2054" s="14">
        <f>VLOOKUP(B2054, 'All Menu'!B:M, 12, 0)</f>
        <v>0.48088969397411069</v>
      </c>
      <c r="R2054" s="173">
        <f t="shared" si="103"/>
        <v>0</v>
      </c>
    </row>
    <row r="2055" spans="1:18" ht="14" hidden="1">
      <c r="A2055" s="78" t="s">
        <v>2745</v>
      </c>
      <c r="B2055" s="220" t="s">
        <v>980</v>
      </c>
      <c r="C2055" s="185"/>
      <c r="D2055" s="103" t="str">
        <f>VLOOKUP(B2055, 'All Menu'!B:M, 4, 0)</f>
        <v>ساندويش لية عادي</v>
      </c>
      <c r="E2055" s="30" t="str">
        <f>VLOOKUP(B2055, 'All Menu'!B:M, 2, 0)</f>
        <v>قسم المشاوي</v>
      </c>
      <c r="F2055" s="103" t="str">
        <f>VLOOKUP(B2055, 'All Menu'!B:M, 3, 0)</f>
        <v>المشاوي سفري2</v>
      </c>
      <c r="G2055" s="90" t="s">
        <v>2331</v>
      </c>
      <c r="H2055" s="219" t="s">
        <v>530</v>
      </c>
      <c r="I2055" s="110" t="str">
        <f>VLOOKUP(H2055, 'RM &amp; SF'!B:H, 2, 0)</f>
        <v>خبز صاج</v>
      </c>
      <c r="J2055" s="184" t="str">
        <f>VLOOKUP(H2055, 'RM &amp; SF'!B:E, 4, 0)</f>
        <v>غم</v>
      </c>
      <c r="K2055" s="12">
        <v>100</v>
      </c>
      <c r="L2055" s="13">
        <f>VLOOKUP(H2055, 'RM &amp; SF'!B:H, 7, 0)</f>
        <v>1.8806451612903227E-4</v>
      </c>
      <c r="M2055" s="7">
        <f t="shared" si="100"/>
        <v>1.8806451612903227E-2</v>
      </c>
      <c r="N2055" s="4" t="s">
        <v>825</v>
      </c>
      <c r="O2055" s="4">
        <f>VLOOKUP(B2055, 'All Menu'!B:L, 6, 0)</f>
        <v>1.5086206896551726</v>
      </c>
      <c r="P2055" s="6">
        <f>VLOOKUP(B2055, 'All Menu'!B:L, 9, 0)</f>
        <v>0.78314054788388487</v>
      </c>
      <c r="Q2055" s="14">
        <f>VLOOKUP(B2055, 'All Menu'!B:M, 12, 0)</f>
        <v>0.48088969397411069</v>
      </c>
      <c r="R2055" s="173">
        <f t="shared" si="103"/>
        <v>0</v>
      </c>
    </row>
    <row r="2056" spans="1:18" ht="14" hidden="1">
      <c r="A2056" s="78" t="s">
        <v>2745</v>
      </c>
      <c r="B2056" s="220" t="s">
        <v>980</v>
      </c>
      <c r="C2056" s="185"/>
      <c r="D2056" s="103" t="str">
        <f>VLOOKUP(B2056, 'All Menu'!B:M, 4, 0)</f>
        <v>ساندويش لية عادي</v>
      </c>
      <c r="E2056" s="30" t="str">
        <f>VLOOKUP(B2056, 'All Menu'!B:M, 2, 0)</f>
        <v>قسم المشاوي</v>
      </c>
      <c r="F2056" s="103" t="str">
        <f>VLOOKUP(B2056, 'All Menu'!B:M, 3, 0)</f>
        <v>المشاوي سفري2</v>
      </c>
      <c r="G2056" s="90" t="s">
        <v>3058</v>
      </c>
      <c r="H2056" s="188">
        <v>4264</v>
      </c>
      <c r="I2056" s="110" t="str">
        <f>VLOOKUP(H2056, 'RM &amp; SF'!B:H, 2, 0)</f>
        <v>علب ساندوش (علب سناك) كرتون مطبوع 1*50 حبة*****</v>
      </c>
      <c r="J2056" s="184" t="str">
        <f>VLOOKUP(H2056, 'RM &amp; SF'!B:E, 4, 0)</f>
        <v>قطعة</v>
      </c>
      <c r="K2056" s="12">
        <v>1</v>
      </c>
      <c r="L2056" s="13">
        <f>VLOOKUP(H2056, 'RM &amp; SF'!B:H, 7, 0)</f>
        <v>0.1724</v>
      </c>
      <c r="M2056" s="7">
        <f t="shared" ref="M2056:M2120" si="106">L2056*K2056</f>
        <v>0.1724</v>
      </c>
      <c r="N2056" s="4" t="s">
        <v>825</v>
      </c>
      <c r="O2056" s="4">
        <f>VLOOKUP(B2056, 'All Menu'!B:L, 6, 0)</f>
        <v>1.5086206896551726</v>
      </c>
      <c r="P2056" s="6">
        <f>VLOOKUP(B2056, 'All Menu'!B:L, 9, 0)</f>
        <v>0.78314054788388487</v>
      </c>
      <c r="Q2056" s="14">
        <f>VLOOKUP(B2056, 'All Menu'!B:M, 12, 0)</f>
        <v>0.48088969397411069</v>
      </c>
      <c r="R2056" s="173">
        <f t="shared" si="103"/>
        <v>0</v>
      </c>
    </row>
    <row r="2057" spans="1:18" ht="14" hidden="1">
      <c r="A2057" s="78" t="s">
        <v>2745</v>
      </c>
      <c r="B2057" s="220" t="s">
        <v>980</v>
      </c>
      <c r="C2057" s="185"/>
      <c r="D2057" s="103" t="str">
        <f>VLOOKUP(B2057, 'All Menu'!B:M, 4, 0)</f>
        <v>ساندويش لية عادي</v>
      </c>
      <c r="E2057" s="30" t="str">
        <f>VLOOKUP(B2057, 'All Menu'!B:M, 2, 0)</f>
        <v>قسم المشاوي</v>
      </c>
      <c r="F2057" s="103" t="str">
        <f>VLOOKUP(B2057, 'All Menu'!B:M, 3, 0)</f>
        <v>المشاوي سفري2</v>
      </c>
      <c r="G2057" s="90" t="s">
        <v>2193</v>
      </c>
      <c r="H2057" s="188">
        <v>4309</v>
      </c>
      <c r="I2057" s="110" t="str">
        <f>VLOOKUP(H2057, 'RM &amp; SF'!B:H, 2, 0)</f>
        <v>اكياس بلاستيك مطبوع 55 سم*****</v>
      </c>
      <c r="J2057" s="184" t="str">
        <f>VLOOKUP(H2057, 'RM &amp; SF'!B:E, 4, 0)</f>
        <v>قطعة</v>
      </c>
      <c r="K2057" s="12">
        <v>1</v>
      </c>
      <c r="L2057" s="13">
        <f>VLOOKUP(H2057, 'RM &amp; SF'!B:H, 7, 0)</f>
        <v>5.5172413793103454E-2</v>
      </c>
      <c r="M2057" s="7">
        <f t="shared" si="106"/>
        <v>5.5172413793103454E-2</v>
      </c>
      <c r="N2057" s="4" t="s">
        <v>825</v>
      </c>
      <c r="O2057" s="4">
        <f>VLOOKUP(B2057, 'All Menu'!B:L, 6, 0)</f>
        <v>1.5086206896551726</v>
      </c>
      <c r="P2057" s="6">
        <f>VLOOKUP(B2057, 'All Menu'!B:L, 9, 0)</f>
        <v>0.78314054788388487</v>
      </c>
      <c r="Q2057" s="14">
        <f>VLOOKUP(B2057, 'All Menu'!B:M, 12, 0)</f>
        <v>0.48088969397411069</v>
      </c>
      <c r="R2057" s="173">
        <f t="shared" si="103"/>
        <v>0</v>
      </c>
    </row>
    <row r="2058" spans="1:18" ht="14" hidden="1">
      <c r="A2058" s="78" t="s">
        <v>2745</v>
      </c>
      <c r="B2058" s="220" t="s">
        <v>980</v>
      </c>
      <c r="C2058" s="185"/>
      <c r="D2058" s="103" t="str">
        <f>VLOOKUP(B2058, 'All Menu'!B:M, 4, 0)</f>
        <v>ساندويش لية عادي</v>
      </c>
      <c r="E2058" s="30" t="str">
        <f>VLOOKUP(B2058, 'All Menu'!B:M, 2, 0)</f>
        <v>قسم المشاوي</v>
      </c>
      <c r="F2058" s="103" t="str">
        <f>VLOOKUP(B2058, 'All Menu'!B:M, 3, 0)</f>
        <v>المشاوي سفري2</v>
      </c>
      <c r="G2058" s="90" t="s">
        <v>2194</v>
      </c>
      <c r="H2058" s="188">
        <v>4323</v>
      </c>
      <c r="I2058" s="110" t="str">
        <f>VLOOKUP(H2058, 'RM &amp; SF'!B:H, 2, 0)</f>
        <v>قصدير رول 45 سم*2كغ*****</v>
      </c>
      <c r="J2058" s="184" t="str">
        <f>VLOOKUP(H2058, 'RM &amp; SF'!B:E, 4, 0)</f>
        <v>غم</v>
      </c>
      <c r="K2058" s="12">
        <v>0.06</v>
      </c>
      <c r="L2058" s="13">
        <f>VLOOKUP(H2058, 'RM &amp; SF'!B:H, 7, 0)</f>
        <v>1.7240000000000001E-3</v>
      </c>
      <c r="M2058" s="7">
        <f t="shared" si="106"/>
        <v>1.0344E-4</v>
      </c>
      <c r="N2058" s="4" t="s">
        <v>825</v>
      </c>
      <c r="O2058" s="4">
        <f>VLOOKUP(B2058, 'All Menu'!B:L, 6, 0)</f>
        <v>1.5086206896551726</v>
      </c>
      <c r="P2058" s="6">
        <f>VLOOKUP(B2058, 'All Menu'!B:L, 9, 0)</f>
        <v>0.78314054788388487</v>
      </c>
      <c r="Q2058" s="14">
        <f>VLOOKUP(B2058, 'All Menu'!B:M, 12, 0)</f>
        <v>0.48088969397411069</v>
      </c>
      <c r="R2058" s="173">
        <f t="shared" si="103"/>
        <v>0</v>
      </c>
    </row>
    <row r="2059" spans="1:18" ht="14" hidden="1">
      <c r="A2059" s="78" t="s">
        <v>2746</v>
      </c>
      <c r="B2059" s="220" t="s">
        <v>981</v>
      </c>
      <c r="C2059" s="185"/>
      <c r="D2059" s="103" t="str">
        <f>VLOOKUP(B2059, 'All Menu'!B:M, 4, 0)</f>
        <v>ساندويش لية سوبر</v>
      </c>
      <c r="E2059" s="30" t="str">
        <f>VLOOKUP(B2059, 'All Menu'!B:M, 2, 0)</f>
        <v>قسم المشاوي</v>
      </c>
      <c r="F2059" s="103" t="str">
        <f>VLOOKUP(B2059, 'All Menu'!B:M, 3, 0)</f>
        <v>المشاوي سفري2</v>
      </c>
      <c r="G2059" s="90" t="s">
        <v>3058</v>
      </c>
      <c r="H2059" s="188">
        <v>4598</v>
      </c>
      <c r="I2059" s="110" t="str">
        <f>VLOOKUP(H2059, 'RM &amp; SF'!B:H, 2, 0)</f>
        <v>لية خروف نية*****</v>
      </c>
      <c r="J2059" s="184" t="str">
        <f>VLOOKUP(H2059, 'RM &amp; SF'!B:E, 4, 0)</f>
        <v>غم</v>
      </c>
      <c r="K2059" s="12">
        <v>200</v>
      </c>
      <c r="L2059" s="13">
        <f>VLOOKUP(H2059, 'RM &amp; SF'!B:H, 7, 0)</f>
        <v>5.0000000000000001E-3</v>
      </c>
      <c r="M2059" s="7">
        <f t="shared" si="106"/>
        <v>1</v>
      </c>
      <c r="N2059" s="4" t="s">
        <v>825</v>
      </c>
      <c r="O2059" s="4">
        <f>VLOOKUP(B2059, 'All Menu'!B:L, 6, 0)</f>
        <v>2.7586206896551726</v>
      </c>
      <c r="P2059" s="6">
        <f>VLOOKUP(B2059, 'All Menu'!B:L, 9, 0)</f>
        <v>1.2831405478838851</v>
      </c>
      <c r="Q2059" s="14">
        <f>VLOOKUP(B2059, 'All Menu'!B:M, 12, 0)</f>
        <v>0.53486155139209168</v>
      </c>
      <c r="R2059" s="173">
        <f t="shared" si="103"/>
        <v>0</v>
      </c>
    </row>
    <row r="2060" spans="1:18" ht="14" hidden="1">
      <c r="A2060" s="78" t="s">
        <v>2746</v>
      </c>
      <c r="B2060" s="220" t="s">
        <v>981</v>
      </c>
      <c r="C2060" s="185"/>
      <c r="D2060" s="103" t="str">
        <f>VLOOKUP(B2060, 'All Menu'!B:M, 4, 0)</f>
        <v>ساندويش لية سوبر</v>
      </c>
      <c r="E2060" s="30" t="str">
        <f>VLOOKUP(B2060, 'All Menu'!B:M, 2, 0)</f>
        <v>قسم المشاوي</v>
      </c>
      <c r="F2060" s="103" t="str">
        <f>VLOOKUP(B2060, 'All Menu'!B:M, 3, 0)</f>
        <v>المشاوي سفري2</v>
      </c>
      <c r="G2060" s="90" t="s">
        <v>2396</v>
      </c>
      <c r="H2060" s="219" t="s">
        <v>582</v>
      </c>
      <c r="I2060" s="110" t="str">
        <f>VLOOKUP(H2060, 'RM &amp; SF'!B:H, 2, 0)</f>
        <v>بيواز</v>
      </c>
      <c r="J2060" s="184" t="str">
        <f>VLOOKUP(H2060, 'RM &amp; SF'!B:E, 4, 0)</f>
        <v>غم</v>
      </c>
      <c r="K2060" s="12">
        <v>20</v>
      </c>
      <c r="L2060" s="13">
        <f>VLOOKUP(H2060, 'RM &amp; SF'!B:H, 7, 0)</f>
        <v>2.0666065869244635E-4</v>
      </c>
      <c r="M2060" s="7">
        <f t="shared" si="106"/>
        <v>4.1332131738489267E-3</v>
      </c>
      <c r="N2060" s="4" t="s">
        <v>825</v>
      </c>
      <c r="O2060" s="4">
        <f>VLOOKUP(B2060, 'All Menu'!B:L, 6, 0)</f>
        <v>2.7586206896551726</v>
      </c>
      <c r="P2060" s="6">
        <f>VLOOKUP(B2060, 'All Menu'!B:L, 9, 0)</f>
        <v>1.2831405478838851</v>
      </c>
      <c r="Q2060" s="14">
        <f>VLOOKUP(B2060, 'All Menu'!B:M, 12, 0)</f>
        <v>0.53486155139209168</v>
      </c>
      <c r="R2060" s="173">
        <f t="shared" si="103"/>
        <v>0</v>
      </c>
    </row>
    <row r="2061" spans="1:18" ht="14" hidden="1">
      <c r="A2061" s="78" t="s">
        <v>2746</v>
      </c>
      <c r="B2061" s="220" t="s">
        <v>981</v>
      </c>
      <c r="C2061" s="185"/>
      <c r="D2061" s="103" t="str">
        <f>VLOOKUP(B2061, 'All Menu'!B:M, 4, 0)</f>
        <v>ساندويش لية سوبر</v>
      </c>
      <c r="E2061" s="30" t="str">
        <f>VLOOKUP(B2061, 'All Menu'!B:M, 2, 0)</f>
        <v>قسم المشاوي</v>
      </c>
      <c r="F2061" s="103" t="str">
        <f>VLOOKUP(B2061, 'All Menu'!B:M, 3, 0)</f>
        <v>المشاوي سفري2</v>
      </c>
      <c r="G2061" s="90" t="s">
        <v>2397</v>
      </c>
      <c r="H2061" s="219" t="s">
        <v>580</v>
      </c>
      <c r="I2061" s="110" t="str">
        <f>VLOOKUP(H2061, 'RM &amp; SF'!B:H, 2, 0)</f>
        <v>طحينة مشاوي</v>
      </c>
      <c r="J2061" s="184" t="str">
        <f>VLOOKUP(H2061, 'RM &amp; SF'!B:E, 4, 0)</f>
        <v>غم</v>
      </c>
      <c r="K2061" s="12">
        <v>30</v>
      </c>
      <c r="L2061" s="13">
        <f>VLOOKUP(H2061, 'RM &amp; SF'!B:H, 7, 0)</f>
        <v>1.0841676434676436E-3</v>
      </c>
      <c r="M2061" s="7">
        <f t="shared" si="106"/>
        <v>3.2525029304029306E-2</v>
      </c>
      <c r="N2061" s="4" t="s">
        <v>825</v>
      </c>
      <c r="O2061" s="4">
        <f>VLOOKUP(B2061, 'All Menu'!B:L, 6, 0)</f>
        <v>2.7586206896551726</v>
      </c>
      <c r="P2061" s="6">
        <f>VLOOKUP(B2061, 'All Menu'!B:L, 9, 0)</f>
        <v>1.2831405478838851</v>
      </c>
      <c r="Q2061" s="14">
        <f>VLOOKUP(B2061, 'All Menu'!B:M, 12, 0)</f>
        <v>0.53486155139209168</v>
      </c>
      <c r="R2061" s="173">
        <f t="shared" si="103"/>
        <v>0</v>
      </c>
    </row>
    <row r="2062" spans="1:18" ht="14" hidden="1">
      <c r="A2062" s="78" t="s">
        <v>2746</v>
      </c>
      <c r="B2062" s="220" t="s">
        <v>981</v>
      </c>
      <c r="C2062" s="185"/>
      <c r="D2062" s="103" t="str">
        <f>VLOOKUP(B2062, 'All Menu'!B:M, 4, 0)</f>
        <v>ساندويش لية سوبر</v>
      </c>
      <c r="E2062" s="30" t="str">
        <f>VLOOKUP(B2062, 'All Menu'!B:M, 2, 0)</f>
        <v>قسم المشاوي</v>
      </c>
      <c r="F2062" s="103" t="str">
        <f>VLOOKUP(B2062, 'All Menu'!B:M, 3, 0)</f>
        <v>المشاوي سفري2</v>
      </c>
      <c r="G2062" s="90" t="s">
        <v>2331</v>
      </c>
      <c r="H2062" s="219" t="s">
        <v>530</v>
      </c>
      <c r="I2062" s="110" t="str">
        <f>VLOOKUP(H2062, 'RM &amp; SF'!B:H, 2, 0)</f>
        <v>خبز صاج</v>
      </c>
      <c r="J2062" s="184" t="str">
        <f>VLOOKUP(H2062, 'RM &amp; SF'!B:E, 4, 0)</f>
        <v>غم</v>
      </c>
      <c r="K2062" s="12">
        <v>100</v>
      </c>
      <c r="L2062" s="13">
        <f>VLOOKUP(H2062, 'RM &amp; SF'!B:H, 7, 0)</f>
        <v>1.8806451612903227E-4</v>
      </c>
      <c r="M2062" s="7">
        <f t="shared" si="106"/>
        <v>1.8806451612903227E-2</v>
      </c>
      <c r="N2062" s="4" t="s">
        <v>825</v>
      </c>
      <c r="O2062" s="4">
        <f>VLOOKUP(B2062, 'All Menu'!B:L, 6, 0)</f>
        <v>2.7586206896551726</v>
      </c>
      <c r="P2062" s="6">
        <f>VLOOKUP(B2062, 'All Menu'!B:L, 9, 0)</f>
        <v>1.2831405478838851</v>
      </c>
      <c r="Q2062" s="14">
        <f>VLOOKUP(B2062, 'All Menu'!B:M, 12, 0)</f>
        <v>0.53486155139209168</v>
      </c>
      <c r="R2062" s="173">
        <f t="shared" si="103"/>
        <v>0</v>
      </c>
    </row>
    <row r="2063" spans="1:18" ht="14" hidden="1">
      <c r="A2063" s="78" t="s">
        <v>2746</v>
      </c>
      <c r="B2063" s="220" t="s">
        <v>981</v>
      </c>
      <c r="C2063" s="185"/>
      <c r="D2063" s="103" t="str">
        <f>VLOOKUP(B2063, 'All Menu'!B:M, 4, 0)</f>
        <v>ساندويش لية سوبر</v>
      </c>
      <c r="E2063" s="30" t="str">
        <f>VLOOKUP(B2063, 'All Menu'!B:M, 2, 0)</f>
        <v>قسم المشاوي</v>
      </c>
      <c r="F2063" s="103" t="str">
        <f>VLOOKUP(B2063, 'All Menu'!B:M, 3, 0)</f>
        <v>المشاوي سفري2</v>
      </c>
      <c r="G2063" s="90" t="s">
        <v>3058</v>
      </c>
      <c r="H2063" s="188">
        <v>4264</v>
      </c>
      <c r="I2063" s="110" t="str">
        <f>VLOOKUP(H2063, 'RM &amp; SF'!B:H, 2, 0)</f>
        <v>علب ساندوش (علب سناك) كرتون مطبوع 1*50 حبة*****</v>
      </c>
      <c r="J2063" s="184" t="str">
        <f>VLOOKUP(H2063, 'RM &amp; SF'!B:E, 4, 0)</f>
        <v>قطعة</v>
      </c>
      <c r="K2063" s="12">
        <v>1</v>
      </c>
      <c r="L2063" s="13">
        <f>VLOOKUP(H2063, 'RM &amp; SF'!B:H, 7, 0)</f>
        <v>0.1724</v>
      </c>
      <c r="M2063" s="7">
        <f t="shared" si="106"/>
        <v>0.1724</v>
      </c>
      <c r="N2063" s="4" t="s">
        <v>825</v>
      </c>
      <c r="O2063" s="4">
        <f>VLOOKUP(B2063, 'All Menu'!B:L, 6, 0)</f>
        <v>2.7586206896551726</v>
      </c>
      <c r="P2063" s="6">
        <f>VLOOKUP(B2063, 'All Menu'!B:L, 9, 0)</f>
        <v>1.2831405478838851</v>
      </c>
      <c r="Q2063" s="14">
        <f>VLOOKUP(B2063, 'All Menu'!B:M, 12, 0)</f>
        <v>0.53486155139209168</v>
      </c>
      <c r="R2063" s="173">
        <f t="shared" si="103"/>
        <v>0</v>
      </c>
    </row>
    <row r="2064" spans="1:18" ht="14" hidden="1">
      <c r="A2064" s="78" t="s">
        <v>2746</v>
      </c>
      <c r="B2064" s="220" t="s">
        <v>981</v>
      </c>
      <c r="C2064" s="185"/>
      <c r="D2064" s="103" t="str">
        <f>VLOOKUP(B2064, 'All Menu'!B:M, 4, 0)</f>
        <v>ساندويش لية سوبر</v>
      </c>
      <c r="E2064" s="30" t="str">
        <f>VLOOKUP(B2064, 'All Menu'!B:M, 2, 0)</f>
        <v>قسم المشاوي</v>
      </c>
      <c r="F2064" s="103" t="str">
        <f>VLOOKUP(B2064, 'All Menu'!B:M, 3, 0)</f>
        <v>المشاوي سفري2</v>
      </c>
      <c r="G2064" s="90" t="s">
        <v>2193</v>
      </c>
      <c r="H2064" s="188">
        <v>4309</v>
      </c>
      <c r="I2064" s="110" t="str">
        <f>VLOOKUP(H2064, 'RM &amp; SF'!B:H, 2, 0)</f>
        <v>اكياس بلاستيك مطبوع 55 سم*****</v>
      </c>
      <c r="J2064" s="184" t="str">
        <f>VLOOKUP(H2064, 'RM &amp; SF'!B:E, 4, 0)</f>
        <v>قطعة</v>
      </c>
      <c r="K2064" s="12">
        <v>1</v>
      </c>
      <c r="L2064" s="13">
        <f>VLOOKUP(H2064, 'RM &amp; SF'!B:H, 7, 0)</f>
        <v>5.5172413793103454E-2</v>
      </c>
      <c r="M2064" s="7">
        <f t="shared" si="106"/>
        <v>5.5172413793103454E-2</v>
      </c>
      <c r="N2064" s="4" t="s">
        <v>825</v>
      </c>
      <c r="O2064" s="4">
        <f>VLOOKUP(B2064, 'All Menu'!B:L, 6, 0)</f>
        <v>2.7586206896551726</v>
      </c>
      <c r="P2064" s="6">
        <f>VLOOKUP(B2064, 'All Menu'!B:L, 9, 0)</f>
        <v>1.2831405478838851</v>
      </c>
      <c r="Q2064" s="14">
        <f>VLOOKUP(B2064, 'All Menu'!B:M, 12, 0)</f>
        <v>0.53486155139209168</v>
      </c>
      <c r="R2064" s="173">
        <f t="shared" si="103"/>
        <v>0</v>
      </c>
    </row>
    <row r="2065" spans="1:18" ht="14" hidden="1">
      <c r="A2065" s="78" t="s">
        <v>2746</v>
      </c>
      <c r="B2065" s="220" t="s">
        <v>981</v>
      </c>
      <c r="C2065" s="185"/>
      <c r="D2065" s="103" t="str">
        <f>VLOOKUP(B2065, 'All Menu'!B:M, 4, 0)</f>
        <v>ساندويش لية سوبر</v>
      </c>
      <c r="E2065" s="30" t="str">
        <f>VLOOKUP(B2065, 'All Menu'!B:M, 2, 0)</f>
        <v>قسم المشاوي</v>
      </c>
      <c r="F2065" s="103" t="str">
        <f>VLOOKUP(B2065, 'All Menu'!B:M, 3, 0)</f>
        <v>المشاوي سفري2</v>
      </c>
      <c r="G2065" s="90" t="s">
        <v>2194</v>
      </c>
      <c r="H2065" s="188">
        <v>4323</v>
      </c>
      <c r="I2065" s="110" t="str">
        <f>VLOOKUP(H2065, 'RM &amp; SF'!B:H, 2, 0)</f>
        <v>قصدير رول 45 سم*2كغ*****</v>
      </c>
      <c r="J2065" s="184" t="str">
        <f>VLOOKUP(H2065, 'RM &amp; SF'!B:E, 4, 0)</f>
        <v>غم</v>
      </c>
      <c r="K2065" s="12">
        <v>0.06</v>
      </c>
      <c r="L2065" s="13">
        <f>VLOOKUP(H2065, 'RM &amp; SF'!B:H, 7, 0)</f>
        <v>1.7240000000000001E-3</v>
      </c>
      <c r="M2065" s="7">
        <f t="shared" si="106"/>
        <v>1.0344E-4</v>
      </c>
      <c r="N2065" s="4" t="s">
        <v>825</v>
      </c>
      <c r="O2065" s="4">
        <f>VLOOKUP(B2065, 'All Menu'!B:L, 6, 0)</f>
        <v>2.7586206896551726</v>
      </c>
      <c r="P2065" s="6">
        <f>VLOOKUP(B2065, 'All Menu'!B:L, 9, 0)</f>
        <v>1.2831405478838851</v>
      </c>
      <c r="Q2065" s="14">
        <f>VLOOKUP(B2065, 'All Menu'!B:M, 12, 0)</f>
        <v>0.53486155139209168</v>
      </c>
      <c r="R2065" s="173">
        <f t="shared" si="103"/>
        <v>0</v>
      </c>
    </row>
    <row r="2066" spans="1:18" ht="14" hidden="1">
      <c r="A2066" s="78" t="s">
        <v>2767</v>
      </c>
      <c r="B2066" s="220" t="s">
        <v>982</v>
      </c>
      <c r="C2066" s="185"/>
      <c r="D2066" s="103" t="str">
        <f>VLOOKUP(B2066, 'All Menu'!B:M, 4, 0)</f>
        <v>ساندويش شقف سوبر</v>
      </c>
      <c r="E2066" s="30" t="str">
        <f>VLOOKUP(B2066, 'All Menu'!B:M, 2, 0)</f>
        <v>قسم المشاوي</v>
      </c>
      <c r="F2066" s="103" t="str">
        <f>VLOOKUP(B2066, 'All Menu'!B:M, 3, 0)</f>
        <v>المشاوي سفري2</v>
      </c>
      <c r="G2066" s="90" t="s">
        <v>2452</v>
      </c>
      <c r="H2066" s="219" t="s">
        <v>528</v>
      </c>
      <c r="I2066" s="110" t="str">
        <f>VLOOKUP(H2066, 'RM &amp; SF'!B:H, 2, 0)</f>
        <v>شقف متبلة</v>
      </c>
      <c r="J2066" s="184" t="str">
        <f>VLOOKUP(H2066, 'RM &amp; SF'!B:E, 4, 0)</f>
        <v>غم</v>
      </c>
      <c r="K2066" s="12">
        <v>200</v>
      </c>
      <c r="L2066" s="13">
        <f>VLOOKUP(H2066, 'RM &amp; SF'!B:H, 7, 0)</f>
        <v>2.0415146666666665E-2</v>
      </c>
      <c r="M2066" s="7">
        <f t="shared" si="106"/>
        <v>4.0830293333333332</v>
      </c>
      <c r="N2066" s="4" t="s">
        <v>825</v>
      </c>
      <c r="O2066" s="4">
        <f>VLOOKUP(B2066, 'All Menu'!B:L, 6, 0)</f>
        <v>4.9568965517241379</v>
      </c>
      <c r="P2066" s="6">
        <f>VLOOKUP(B2066, 'All Menu'!B:L, 9, 0)</f>
        <v>4.4283782633905995</v>
      </c>
      <c r="Q2066" s="14">
        <f>VLOOKUP(B2066, 'All Menu'!B:M, 12, 0)</f>
        <v>0.10662281990728775</v>
      </c>
      <c r="R2066" s="173">
        <f t="shared" ref="R2066:R2130" si="107">C2066*K2066</f>
        <v>0</v>
      </c>
    </row>
    <row r="2067" spans="1:18" ht="14" hidden="1">
      <c r="A2067" s="78" t="s">
        <v>2767</v>
      </c>
      <c r="B2067" s="220" t="s">
        <v>982</v>
      </c>
      <c r="C2067" s="185"/>
      <c r="D2067" s="103" t="str">
        <f>VLOOKUP(B2067, 'All Menu'!B:M, 4, 0)</f>
        <v>ساندويش شقف سوبر</v>
      </c>
      <c r="E2067" s="30" t="str">
        <f>VLOOKUP(B2067, 'All Menu'!B:M, 2, 0)</f>
        <v>قسم المشاوي</v>
      </c>
      <c r="F2067" s="103" t="str">
        <f>VLOOKUP(B2067, 'All Menu'!B:M, 3, 0)</f>
        <v>المشاوي سفري2</v>
      </c>
      <c r="G2067" s="90" t="s">
        <v>2257</v>
      </c>
      <c r="H2067" s="188">
        <v>5281</v>
      </c>
      <c r="I2067" s="110" t="str">
        <f>VLOOKUP(H2067, 'RM &amp; SF'!B:H, 2, 0)</f>
        <v>بندوره مشاوي</v>
      </c>
      <c r="J2067" s="184" t="str">
        <f>VLOOKUP(H2067, 'RM &amp; SF'!B:E, 4, 0)</f>
        <v>غم</v>
      </c>
      <c r="K2067" s="12">
        <v>20</v>
      </c>
      <c r="L2067" s="13">
        <f>VLOOKUP(H2067, 'RM &amp; SF'!B:H, 7, 0)</f>
        <v>4.0000000000000002E-4</v>
      </c>
      <c r="M2067" s="7">
        <f t="shared" si="106"/>
        <v>8.0000000000000002E-3</v>
      </c>
      <c r="N2067" s="4" t="s">
        <v>825</v>
      </c>
      <c r="O2067" s="4">
        <f>VLOOKUP(B2067, 'All Menu'!B:L, 6, 0)</f>
        <v>4.9568965517241379</v>
      </c>
      <c r="P2067" s="6">
        <f>VLOOKUP(B2067, 'All Menu'!B:L, 9, 0)</f>
        <v>4.4283782633905995</v>
      </c>
      <c r="Q2067" s="14">
        <f>VLOOKUP(B2067, 'All Menu'!B:M, 12, 0)</f>
        <v>0.10662281990728775</v>
      </c>
      <c r="R2067" s="173">
        <f t="shared" si="107"/>
        <v>0</v>
      </c>
    </row>
    <row r="2068" spans="1:18" ht="14" hidden="1">
      <c r="A2068" s="78" t="s">
        <v>2767</v>
      </c>
      <c r="B2068" s="220" t="s">
        <v>982</v>
      </c>
      <c r="C2068" s="185"/>
      <c r="D2068" s="103" t="str">
        <f>VLOOKUP(B2068, 'All Menu'!B:M, 4, 0)</f>
        <v>ساندويش شقف سوبر</v>
      </c>
      <c r="E2068" s="30" t="str">
        <f>VLOOKUP(B2068, 'All Menu'!B:M, 2, 0)</f>
        <v>قسم المشاوي</v>
      </c>
      <c r="F2068" s="103" t="str">
        <f>VLOOKUP(B2068, 'All Menu'!B:M, 3, 0)</f>
        <v>المشاوي سفري2</v>
      </c>
      <c r="G2068" s="90" t="s">
        <v>2396</v>
      </c>
      <c r="H2068" s="219" t="s">
        <v>582</v>
      </c>
      <c r="I2068" s="110" t="str">
        <f>VLOOKUP(H2068, 'RM &amp; SF'!B:H, 2, 0)</f>
        <v>بيواز</v>
      </c>
      <c r="J2068" s="184" t="str">
        <f>VLOOKUP(H2068, 'RM &amp; SF'!B:E, 4, 0)</f>
        <v>غم</v>
      </c>
      <c r="K2068" s="12">
        <v>20</v>
      </c>
      <c r="L2068" s="13">
        <f>VLOOKUP(H2068, 'RM &amp; SF'!B:H, 7, 0)</f>
        <v>2.0666065869244635E-4</v>
      </c>
      <c r="M2068" s="7">
        <f t="shared" si="106"/>
        <v>4.1332131738489267E-3</v>
      </c>
      <c r="N2068" s="4" t="s">
        <v>825</v>
      </c>
      <c r="O2068" s="4">
        <f>VLOOKUP(B2068, 'All Menu'!B:L, 6, 0)</f>
        <v>4.9568965517241379</v>
      </c>
      <c r="P2068" s="6">
        <f>VLOOKUP(B2068, 'All Menu'!B:L, 9, 0)</f>
        <v>4.4283782633905995</v>
      </c>
      <c r="Q2068" s="14">
        <f>VLOOKUP(B2068, 'All Menu'!B:M, 12, 0)</f>
        <v>0.10662281990728775</v>
      </c>
      <c r="R2068" s="173">
        <f t="shared" si="107"/>
        <v>0</v>
      </c>
    </row>
    <row r="2069" spans="1:18" ht="14" hidden="1">
      <c r="A2069" s="78" t="s">
        <v>2767</v>
      </c>
      <c r="B2069" s="220" t="s">
        <v>982</v>
      </c>
      <c r="C2069" s="185"/>
      <c r="D2069" s="103" t="str">
        <f>VLOOKUP(B2069, 'All Menu'!B:M, 4, 0)</f>
        <v>ساندويش شقف سوبر</v>
      </c>
      <c r="E2069" s="30" t="str">
        <f>VLOOKUP(B2069, 'All Menu'!B:M, 2, 0)</f>
        <v>قسم المشاوي</v>
      </c>
      <c r="F2069" s="103" t="str">
        <f>VLOOKUP(B2069, 'All Menu'!B:M, 3, 0)</f>
        <v>المشاوي سفري2</v>
      </c>
      <c r="G2069" s="90" t="s">
        <v>2397</v>
      </c>
      <c r="H2069" s="219" t="s">
        <v>580</v>
      </c>
      <c r="I2069" s="110" t="str">
        <f>VLOOKUP(H2069, 'RM &amp; SF'!B:H, 2, 0)</f>
        <v>طحينة مشاوي</v>
      </c>
      <c r="J2069" s="184" t="str">
        <f>VLOOKUP(H2069, 'RM &amp; SF'!B:E, 4, 0)</f>
        <v>غم</v>
      </c>
      <c r="K2069" s="12">
        <v>50</v>
      </c>
      <c r="L2069" s="13">
        <f>VLOOKUP(H2069, 'RM &amp; SF'!B:H, 7, 0)</f>
        <v>1.0841676434676436E-3</v>
      </c>
      <c r="M2069" s="7">
        <f t="shared" si="106"/>
        <v>5.4208382173382176E-2</v>
      </c>
      <c r="N2069" s="4" t="s">
        <v>825</v>
      </c>
      <c r="O2069" s="4">
        <f>VLOOKUP(B2069, 'All Menu'!B:L, 6, 0)</f>
        <v>4.9568965517241379</v>
      </c>
      <c r="P2069" s="6">
        <f>VLOOKUP(B2069, 'All Menu'!B:L, 9, 0)</f>
        <v>4.4283782633905995</v>
      </c>
      <c r="Q2069" s="14">
        <f>VLOOKUP(B2069, 'All Menu'!B:M, 12, 0)</f>
        <v>0.10662281990728775</v>
      </c>
      <c r="R2069" s="173">
        <f t="shared" si="107"/>
        <v>0</v>
      </c>
    </row>
    <row r="2070" spans="1:18" ht="14" hidden="1">
      <c r="A2070" s="78" t="s">
        <v>2767</v>
      </c>
      <c r="B2070" s="220" t="s">
        <v>982</v>
      </c>
      <c r="C2070" s="185"/>
      <c r="D2070" s="103" t="str">
        <f>VLOOKUP(B2070, 'All Menu'!B:M, 4, 0)</f>
        <v>ساندويش شقف سوبر</v>
      </c>
      <c r="E2070" s="30" t="str">
        <f>VLOOKUP(B2070, 'All Menu'!B:M, 2, 0)</f>
        <v>قسم المشاوي</v>
      </c>
      <c r="F2070" s="103" t="str">
        <f>VLOOKUP(B2070, 'All Menu'!B:M, 3, 0)</f>
        <v>المشاوي سفري2</v>
      </c>
      <c r="G2070" s="90" t="s">
        <v>2331</v>
      </c>
      <c r="H2070" s="219" t="s">
        <v>530</v>
      </c>
      <c r="I2070" s="110" t="str">
        <f>VLOOKUP(H2070, 'RM &amp; SF'!B:H, 2, 0)</f>
        <v>خبز صاج</v>
      </c>
      <c r="J2070" s="184" t="str">
        <f>VLOOKUP(H2070, 'RM &amp; SF'!B:E, 4, 0)</f>
        <v>غم</v>
      </c>
      <c r="K2070" s="12">
        <v>100</v>
      </c>
      <c r="L2070" s="13">
        <f>VLOOKUP(H2070, 'RM &amp; SF'!B:H, 7, 0)</f>
        <v>1.8806451612903227E-4</v>
      </c>
      <c r="M2070" s="7">
        <f t="shared" si="106"/>
        <v>1.8806451612903227E-2</v>
      </c>
      <c r="N2070" s="4" t="s">
        <v>825</v>
      </c>
      <c r="O2070" s="4">
        <f>VLOOKUP(B2070, 'All Menu'!B:L, 6, 0)</f>
        <v>4.9568965517241379</v>
      </c>
      <c r="P2070" s="6">
        <f>VLOOKUP(B2070, 'All Menu'!B:L, 9, 0)</f>
        <v>4.4283782633905995</v>
      </c>
      <c r="Q2070" s="14">
        <f>VLOOKUP(B2070, 'All Menu'!B:M, 12, 0)</f>
        <v>0.10662281990728775</v>
      </c>
      <c r="R2070" s="173">
        <f t="shared" si="107"/>
        <v>0</v>
      </c>
    </row>
    <row r="2071" spans="1:18" ht="14" hidden="1">
      <c r="A2071" s="78" t="s">
        <v>2767</v>
      </c>
      <c r="B2071" s="220" t="s">
        <v>982</v>
      </c>
      <c r="C2071" s="185"/>
      <c r="D2071" s="103" t="str">
        <f>VLOOKUP(B2071, 'All Menu'!B:M, 4, 0)</f>
        <v>ساندويش شقف سوبر</v>
      </c>
      <c r="E2071" s="30" t="str">
        <f>VLOOKUP(B2071, 'All Menu'!B:M, 2, 0)</f>
        <v>قسم المشاوي</v>
      </c>
      <c r="F2071" s="103" t="str">
        <f>VLOOKUP(B2071, 'All Menu'!B:M, 3, 0)</f>
        <v>المشاوي سفري2</v>
      </c>
      <c r="G2071" s="90" t="s">
        <v>2397</v>
      </c>
      <c r="H2071" s="219" t="s">
        <v>580</v>
      </c>
      <c r="I2071" s="110" t="str">
        <f>VLOOKUP(H2071, 'RM &amp; SF'!B:H, 2, 0)</f>
        <v>طحينة مشاوي</v>
      </c>
      <c r="J2071" s="184" t="str">
        <f>VLOOKUP(H2071, 'RM &amp; SF'!B:E, 4, 0)</f>
        <v>غم</v>
      </c>
      <c r="K2071" s="12">
        <v>30</v>
      </c>
      <c r="L2071" s="13">
        <f>VLOOKUP(H2071, 'RM &amp; SF'!B:H, 7, 0)</f>
        <v>1.0841676434676436E-3</v>
      </c>
      <c r="M2071" s="7">
        <f t="shared" si="106"/>
        <v>3.2525029304029306E-2</v>
      </c>
      <c r="N2071" s="4" t="s">
        <v>825</v>
      </c>
      <c r="O2071" s="4">
        <f>VLOOKUP(B2071, 'All Menu'!B:L, 6, 0)</f>
        <v>4.9568965517241379</v>
      </c>
      <c r="P2071" s="6">
        <f>VLOOKUP(B2071, 'All Menu'!B:L, 9, 0)</f>
        <v>4.4283782633905995</v>
      </c>
      <c r="Q2071" s="14">
        <f>VLOOKUP(B2071, 'All Menu'!B:M, 12, 0)</f>
        <v>0.10662281990728775</v>
      </c>
      <c r="R2071" s="173">
        <f t="shared" si="107"/>
        <v>0</v>
      </c>
    </row>
    <row r="2072" spans="1:18" ht="14" hidden="1">
      <c r="A2072" s="78" t="s">
        <v>2767</v>
      </c>
      <c r="B2072" s="220" t="s">
        <v>982</v>
      </c>
      <c r="C2072" s="185"/>
      <c r="D2072" s="103" t="str">
        <f>VLOOKUP(B2072, 'All Menu'!B:M, 4, 0)</f>
        <v>ساندويش شقف سوبر</v>
      </c>
      <c r="E2072" s="30" t="str">
        <f>VLOOKUP(B2072, 'All Menu'!B:M, 2, 0)</f>
        <v>قسم المشاوي</v>
      </c>
      <c r="F2072" s="103" t="str">
        <f>VLOOKUP(B2072, 'All Menu'!B:M, 3, 0)</f>
        <v>المشاوي سفري2</v>
      </c>
      <c r="G2072" s="90" t="s">
        <v>3058</v>
      </c>
      <c r="H2072" s="188">
        <v>4264</v>
      </c>
      <c r="I2072" s="110" t="str">
        <f>VLOOKUP(H2072, 'RM &amp; SF'!B:H, 2, 0)</f>
        <v>علب ساندوش (علب سناك) كرتون مطبوع 1*50 حبة*****</v>
      </c>
      <c r="J2072" s="184" t="str">
        <f>VLOOKUP(H2072, 'RM &amp; SF'!B:E, 4, 0)</f>
        <v>قطعة</v>
      </c>
      <c r="K2072" s="12">
        <v>1</v>
      </c>
      <c r="L2072" s="13">
        <f>VLOOKUP(H2072, 'RM &amp; SF'!B:H, 7, 0)</f>
        <v>0.1724</v>
      </c>
      <c r="M2072" s="7">
        <f t="shared" si="106"/>
        <v>0.1724</v>
      </c>
      <c r="N2072" s="4" t="s">
        <v>825</v>
      </c>
      <c r="O2072" s="4">
        <f>VLOOKUP(B2072, 'All Menu'!B:L, 6, 0)</f>
        <v>4.9568965517241379</v>
      </c>
      <c r="P2072" s="6">
        <f>VLOOKUP(B2072, 'All Menu'!B:L, 9, 0)</f>
        <v>4.4283782633905995</v>
      </c>
      <c r="Q2072" s="14">
        <f>VLOOKUP(B2072, 'All Menu'!B:M, 12, 0)</f>
        <v>0.10662281990728775</v>
      </c>
      <c r="R2072" s="173">
        <f t="shared" si="107"/>
        <v>0</v>
      </c>
    </row>
    <row r="2073" spans="1:18" ht="14" hidden="1">
      <c r="A2073" s="78" t="s">
        <v>2767</v>
      </c>
      <c r="B2073" s="220" t="s">
        <v>982</v>
      </c>
      <c r="C2073" s="185"/>
      <c r="D2073" s="103" t="str">
        <f>VLOOKUP(B2073, 'All Menu'!B:M, 4, 0)</f>
        <v>ساندويش شقف سوبر</v>
      </c>
      <c r="E2073" s="30" t="str">
        <f>VLOOKUP(B2073, 'All Menu'!B:M, 2, 0)</f>
        <v>قسم المشاوي</v>
      </c>
      <c r="F2073" s="103" t="str">
        <f>VLOOKUP(B2073, 'All Menu'!B:M, 3, 0)</f>
        <v>المشاوي سفري2</v>
      </c>
      <c r="G2073" s="90" t="s">
        <v>2193</v>
      </c>
      <c r="H2073" s="188">
        <v>4309</v>
      </c>
      <c r="I2073" s="110" t="str">
        <f>VLOOKUP(H2073, 'RM &amp; SF'!B:H, 2, 0)</f>
        <v>اكياس بلاستيك مطبوع 55 سم*****</v>
      </c>
      <c r="J2073" s="184" t="str">
        <f>VLOOKUP(H2073, 'RM &amp; SF'!B:E, 4, 0)</f>
        <v>قطعة</v>
      </c>
      <c r="K2073" s="12">
        <v>1</v>
      </c>
      <c r="L2073" s="13">
        <f>VLOOKUP(H2073, 'RM &amp; SF'!B:H, 7, 0)</f>
        <v>5.5172413793103454E-2</v>
      </c>
      <c r="M2073" s="7">
        <f t="shared" si="106"/>
        <v>5.5172413793103454E-2</v>
      </c>
      <c r="N2073" s="4" t="s">
        <v>825</v>
      </c>
      <c r="O2073" s="4">
        <f>VLOOKUP(B2073, 'All Menu'!B:L, 6, 0)</f>
        <v>4.9568965517241379</v>
      </c>
      <c r="P2073" s="6">
        <f>VLOOKUP(B2073, 'All Menu'!B:L, 9, 0)</f>
        <v>4.4283782633905995</v>
      </c>
      <c r="Q2073" s="14">
        <f>VLOOKUP(B2073, 'All Menu'!B:M, 12, 0)</f>
        <v>0.10662281990728775</v>
      </c>
      <c r="R2073" s="173">
        <f t="shared" si="107"/>
        <v>0</v>
      </c>
    </row>
    <row r="2074" spans="1:18" ht="14" hidden="1">
      <c r="A2074" s="78" t="s">
        <v>2767</v>
      </c>
      <c r="B2074" s="220" t="s">
        <v>982</v>
      </c>
      <c r="C2074" s="185"/>
      <c r="D2074" s="103" t="str">
        <f>VLOOKUP(B2074, 'All Menu'!B:M, 4, 0)</f>
        <v>ساندويش شقف سوبر</v>
      </c>
      <c r="E2074" s="30" t="str">
        <f>VLOOKUP(B2074, 'All Menu'!B:M, 2, 0)</f>
        <v>قسم المشاوي</v>
      </c>
      <c r="F2074" s="103" t="str">
        <f>VLOOKUP(B2074, 'All Menu'!B:M, 3, 0)</f>
        <v>المشاوي سفري2</v>
      </c>
      <c r="G2074" s="90" t="s">
        <v>2194</v>
      </c>
      <c r="H2074" s="188">
        <v>4323</v>
      </c>
      <c r="I2074" s="110" t="str">
        <f>VLOOKUP(H2074, 'RM &amp; SF'!B:H, 2, 0)</f>
        <v>قصدير رول 45 سم*2كغ*****</v>
      </c>
      <c r="J2074" s="184" t="str">
        <f>VLOOKUP(H2074, 'RM &amp; SF'!B:E, 4, 0)</f>
        <v>غم</v>
      </c>
      <c r="K2074" s="12">
        <v>0.06</v>
      </c>
      <c r="L2074" s="13">
        <f>VLOOKUP(H2074, 'RM &amp; SF'!B:H, 7, 0)</f>
        <v>1.7240000000000001E-3</v>
      </c>
      <c r="M2074" s="7">
        <f t="shared" si="106"/>
        <v>1.0344E-4</v>
      </c>
      <c r="N2074" s="4" t="s">
        <v>825</v>
      </c>
      <c r="O2074" s="4">
        <f>VLOOKUP(B2074, 'All Menu'!B:L, 6, 0)</f>
        <v>4.9568965517241379</v>
      </c>
      <c r="P2074" s="6">
        <f>VLOOKUP(B2074, 'All Menu'!B:L, 9, 0)</f>
        <v>4.4283782633905995</v>
      </c>
      <c r="Q2074" s="14">
        <f>VLOOKUP(B2074, 'All Menu'!B:M, 12, 0)</f>
        <v>0.10662281990728775</v>
      </c>
      <c r="R2074" s="173">
        <f t="shared" si="107"/>
        <v>0</v>
      </c>
    </row>
    <row r="2075" spans="1:18" ht="14" hidden="1">
      <c r="A2075" s="78" t="s">
        <v>2769</v>
      </c>
      <c r="B2075" s="220" t="s">
        <v>983</v>
      </c>
      <c r="C2075" s="185"/>
      <c r="D2075" s="103" t="str">
        <f>VLOOKUP(B2075, 'All Menu'!B:M, 4, 0)</f>
        <v>ساندويش شيش سوبر</v>
      </c>
      <c r="E2075" s="30" t="str">
        <f>VLOOKUP(B2075, 'All Menu'!B:M, 2, 0)</f>
        <v>قسم المشاوي</v>
      </c>
      <c r="F2075" s="103" t="str">
        <f>VLOOKUP(B2075, 'All Menu'!B:M, 3, 0)</f>
        <v>المشاوي سفري2</v>
      </c>
      <c r="G2075" s="90" t="s">
        <v>2456</v>
      </c>
      <c r="H2075" s="219" t="s">
        <v>506</v>
      </c>
      <c r="I2075" s="110" t="str">
        <f>VLOOKUP(H2075, 'RM &amp; SF'!B:H, 2, 0)</f>
        <v>شيش</v>
      </c>
      <c r="J2075" s="184" t="str">
        <f>VLOOKUP(H2075, 'RM &amp; SF'!B:E, 4, 0)</f>
        <v>غم</v>
      </c>
      <c r="K2075" s="12">
        <v>200</v>
      </c>
      <c r="L2075" s="13">
        <f>VLOOKUP(H2075, 'RM &amp; SF'!B:H, 7, 0)</f>
        <v>4.6721213030918281E-3</v>
      </c>
      <c r="M2075" s="7">
        <f t="shared" si="106"/>
        <v>0.93442426061836559</v>
      </c>
      <c r="N2075" s="4" t="s">
        <v>825</v>
      </c>
      <c r="O2075" s="4">
        <f>VLOOKUP(B2075, 'All Menu'!B:L, 6, 0)</f>
        <v>3.2327586206896552</v>
      </c>
      <c r="P2075" s="6">
        <f>VLOOKUP(B2075, 'All Menu'!B:L, 9, 0)</f>
        <v>1.2707311640531975</v>
      </c>
      <c r="Q2075" s="14">
        <f>VLOOKUP(B2075, 'All Menu'!B:M, 12, 0)</f>
        <v>0.60692049325287756</v>
      </c>
      <c r="R2075" s="173">
        <f t="shared" si="107"/>
        <v>0</v>
      </c>
    </row>
    <row r="2076" spans="1:18" ht="14" hidden="1">
      <c r="A2076" s="78" t="s">
        <v>2769</v>
      </c>
      <c r="B2076" s="220" t="s">
        <v>983</v>
      </c>
      <c r="C2076" s="185"/>
      <c r="D2076" s="103" t="str">
        <f>VLOOKUP(B2076, 'All Menu'!B:M, 4, 0)</f>
        <v>ساندويش شيش سوبر</v>
      </c>
      <c r="E2076" s="30" t="str">
        <f>VLOOKUP(B2076, 'All Menu'!B:M, 2, 0)</f>
        <v>قسم المشاوي</v>
      </c>
      <c r="F2076" s="103" t="str">
        <f>VLOOKUP(B2076, 'All Menu'!B:M, 3, 0)</f>
        <v>المشاوي سفري2</v>
      </c>
      <c r="G2076" s="90" t="s">
        <v>3058</v>
      </c>
      <c r="H2076" s="219" t="s">
        <v>3057</v>
      </c>
      <c r="I2076" s="110" t="str">
        <f>VLOOKUP(H2076, 'RM &amp; SF'!B:H, 2, 0)</f>
        <v>صوص ساندويش</v>
      </c>
      <c r="J2076" s="184" t="str">
        <f>VLOOKUP(H2076, 'RM &amp; SF'!B:E, 4, 0)</f>
        <v>غم</v>
      </c>
      <c r="K2076" s="12">
        <v>30</v>
      </c>
      <c r="L2076" s="13">
        <f>VLOOKUP(H2076, 'RM &amp; SF'!B:H, 7, 0)</f>
        <v>2.2283059346557385E-3</v>
      </c>
      <c r="M2076" s="7">
        <f t="shared" ref="M2076" si="108">L2076*K2076</f>
        <v>6.684917803967215E-2</v>
      </c>
      <c r="N2076" s="4" t="s">
        <v>825</v>
      </c>
      <c r="O2076" s="4">
        <f>VLOOKUP(B2076, 'All Menu'!B:L, 6, 0)</f>
        <v>3.2327586206896552</v>
      </c>
      <c r="P2076" s="6">
        <f>VLOOKUP(B2076, 'All Menu'!B:L, 9, 0)</f>
        <v>1.2707311640531975</v>
      </c>
      <c r="Q2076" s="14">
        <f>VLOOKUP(B2076, 'All Menu'!B:M, 12, 0)</f>
        <v>0.60692049325287756</v>
      </c>
      <c r="R2076" s="173">
        <f t="shared" ref="R2076" si="109">C2076*K2076</f>
        <v>0</v>
      </c>
    </row>
    <row r="2077" spans="1:18" ht="14" hidden="1">
      <c r="A2077" s="78" t="s">
        <v>2769</v>
      </c>
      <c r="B2077" s="220" t="s">
        <v>983</v>
      </c>
      <c r="C2077" s="185"/>
      <c r="D2077" s="103" t="str">
        <f>VLOOKUP(B2077, 'All Menu'!B:M, 4, 0)</f>
        <v>ساندويش شيش سوبر</v>
      </c>
      <c r="E2077" s="30" t="str">
        <f>VLOOKUP(B2077, 'All Menu'!B:M, 2, 0)</f>
        <v>قسم المشاوي</v>
      </c>
      <c r="F2077" s="103" t="str">
        <f>VLOOKUP(B2077, 'All Menu'!B:M, 3, 0)</f>
        <v>المشاوي سفري2</v>
      </c>
      <c r="G2077" s="90" t="s">
        <v>2331</v>
      </c>
      <c r="H2077" s="219" t="s">
        <v>530</v>
      </c>
      <c r="I2077" s="110" t="str">
        <f>VLOOKUP(H2077, 'RM &amp; SF'!B:H, 2, 0)</f>
        <v>خبز صاج</v>
      </c>
      <c r="J2077" s="184" t="str">
        <f>VLOOKUP(H2077, 'RM &amp; SF'!B:E, 4, 0)</f>
        <v>غم</v>
      </c>
      <c r="K2077" s="12">
        <v>100</v>
      </c>
      <c r="L2077" s="13">
        <f>VLOOKUP(H2077, 'RM &amp; SF'!B:H, 7, 0)</f>
        <v>1.8806451612903227E-4</v>
      </c>
      <c r="M2077" s="7">
        <f t="shared" si="106"/>
        <v>1.8806451612903227E-2</v>
      </c>
      <c r="N2077" s="4" t="s">
        <v>825</v>
      </c>
      <c r="O2077" s="4">
        <f>VLOOKUP(B2077, 'All Menu'!B:L, 6, 0)</f>
        <v>3.2327586206896552</v>
      </c>
      <c r="P2077" s="6">
        <f>VLOOKUP(B2077, 'All Menu'!B:L, 9, 0)</f>
        <v>1.2707311640531975</v>
      </c>
      <c r="Q2077" s="14">
        <f>VLOOKUP(B2077, 'All Menu'!B:M, 12, 0)</f>
        <v>0.60692049325287756</v>
      </c>
      <c r="R2077" s="173">
        <f t="shared" si="107"/>
        <v>0</v>
      </c>
    </row>
    <row r="2078" spans="1:18" ht="14" hidden="1">
      <c r="A2078" s="78" t="s">
        <v>2769</v>
      </c>
      <c r="B2078" s="220" t="s">
        <v>983</v>
      </c>
      <c r="C2078" s="185"/>
      <c r="D2078" s="103" t="str">
        <f>VLOOKUP(B2078, 'All Menu'!B:M, 4, 0)</f>
        <v>ساندويش شيش سوبر</v>
      </c>
      <c r="E2078" s="30" t="str">
        <f>VLOOKUP(B2078, 'All Menu'!B:M, 2, 0)</f>
        <v>قسم المشاوي</v>
      </c>
      <c r="F2078" s="103" t="str">
        <f>VLOOKUP(B2078, 'All Menu'!B:M, 3, 0)</f>
        <v>المشاوي سفري2</v>
      </c>
      <c r="G2078" s="90" t="s">
        <v>2325</v>
      </c>
      <c r="H2078" s="219" t="s">
        <v>534</v>
      </c>
      <c r="I2078" s="110" t="str">
        <f>VLOOKUP(H2078, 'RM &amp; SF'!B:H, 2, 0)</f>
        <v>مثومه</v>
      </c>
      <c r="J2078" s="184" t="str">
        <f>VLOOKUP(H2078, 'RM &amp; SF'!B:E, 4, 0)</f>
        <v>غم</v>
      </c>
      <c r="K2078" s="12">
        <v>50</v>
      </c>
      <c r="L2078" s="13">
        <f>VLOOKUP(H2078, 'RM &amp; SF'!B:H, 7, 0)</f>
        <v>6.6564092227821051E-4</v>
      </c>
      <c r="M2078" s="7">
        <f t="shared" si="106"/>
        <v>3.3282046113910523E-2</v>
      </c>
      <c r="N2078" s="4" t="s">
        <v>825</v>
      </c>
      <c r="O2078" s="4">
        <f>VLOOKUP(B2078, 'All Menu'!B:L, 6, 0)</f>
        <v>3.2327586206896552</v>
      </c>
      <c r="P2078" s="6">
        <f>VLOOKUP(B2078, 'All Menu'!B:L, 9, 0)</f>
        <v>1.2707311640531975</v>
      </c>
      <c r="Q2078" s="14">
        <f>VLOOKUP(B2078, 'All Menu'!B:M, 12, 0)</f>
        <v>0.60692049325287756</v>
      </c>
      <c r="R2078" s="173">
        <f t="shared" si="107"/>
        <v>0</v>
      </c>
    </row>
    <row r="2079" spans="1:18" ht="14" hidden="1">
      <c r="A2079" s="78" t="s">
        <v>2769</v>
      </c>
      <c r="B2079" s="220" t="s">
        <v>983</v>
      </c>
      <c r="C2079" s="185"/>
      <c r="D2079" s="103" t="str">
        <f>VLOOKUP(B2079, 'All Menu'!B:M, 4, 0)</f>
        <v>ساندويش شيش سوبر</v>
      </c>
      <c r="E2079" s="30" t="str">
        <f>VLOOKUP(B2079, 'All Menu'!B:M, 2, 0)</f>
        <v>قسم المشاوي</v>
      </c>
      <c r="F2079" s="103" t="str">
        <f>VLOOKUP(B2079, 'All Menu'!B:M, 3, 0)</f>
        <v>المشاوي سفري2</v>
      </c>
      <c r="G2079" s="90" t="s">
        <v>2296</v>
      </c>
      <c r="H2079" s="188">
        <v>4866</v>
      </c>
      <c r="I2079" s="110" t="str">
        <f>VLOOKUP(H2079, 'RM &amp; SF'!B:H, 2, 0)</f>
        <v>*****مخلل خيار شرائح 10 كغ</v>
      </c>
      <c r="J2079" s="184" t="str">
        <f>VLOOKUP(H2079, 'RM &amp; SF'!B:E, 4, 0)</f>
        <v>غم</v>
      </c>
      <c r="K2079" s="12">
        <v>20</v>
      </c>
      <c r="L2079" s="13">
        <f>VLOOKUP(H2079, 'RM &amp; SF'!B:H, 7, 0)</f>
        <v>1E-3</v>
      </c>
      <c r="M2079" s="7">
        <f t="shared" si="106"/>
        <v>0.02</v>
      </c>
      <c r="N2079" s="4" t="s">
        <v>825</v>
      </c>
      <c r="O2079" s="4">
        <f>VLOOKUP(B2079, 'All Menu'!B:L, 6, 0)</f>
        <v>3.2327586206896552</v>
      </c>
      <c r="P2079" s="6">
        <f>VLOOKUP(B2079, 'All Menu'!B:L, 9, 0)</f>
        <v>1.2707311640531975</v>
      </c>
      <c r="Q2079" s="14">
        <f>VLOOKUP(B2079, 'All Menu'!B:M, 12, 0)</f>
        <v>0.60692049325287756</v>
      </c>
      <c r="R2079" s="173">
        <f t="shared" si="107"/>
        <v>0</v>
      </c>
    </row>
    <row r="2080" spans="1:18" ht="14" hidden="1">
      <c r="A2080" s="78" t="s">
        <v>2769</v>
      </c>
      <c r="B2080" s="220" t="s">
        <v>983</v>
      </c>
      <c r="C2080" s="185"/>
      <c r="D2080" s="103" t="str">
        <f>VLOOKUP(B2080, 'All Menu'!B:M, 4, 0)</f>
        <v>ساندويش شيش سوبر</v>
      </c>
      <c r="E2080" s="30" t="str">
        <f>VLOOKUP(B2080, 'All Menu'!B:M, 2, 0)</f>
        <v>قسم المشاوي</v>
      </c>
      <c r="F2080" s="103" t="str">
        <f>VLOOKUP(B2080, 'All Menu'!B:M, 3, 0)</f>
        <v>المشاوي سفري2</v>
      </c>
      <c r="G2080" s="90" t="s">
        <v>3058</v>
      </c>
      <c r="H2080" s="188">
        <v>4517</v>
      </c>
      <c r="I2080" s="110" t="str">
        <f>VLOOKUP(H2080, 'RM &amp; SF'!B:H, 2, 0)</f>
        <v>خس بلدي*****</v>
      </c>
      <c r="J2080" s="184" t="str">
        <f>VLOOKUP(H2080, 'RM &amp; SF'!B:E, 4, 0)</f>
        <v>غم</v>
      </c>
      <c r="K2080" s="12">
        <v>10</v>
      </c>
      <c r="L2080" s="13">
        <f>VLOOKUP(H2080, 'RM &amp; SF'!B:H, 7, 0)</f>
        <v>5.0000000000000001E-4</v>
      </c>
      <c r="M2080" s="7">
        <f t="shared" si="106"/>
        <v>5.0000000000000001E-3</v>
      </c>
      <c r="N2080" s="4" t="s">
        <v>825</v>
      </c>
      <c r="O2080" s="4">
        <f>VLOOKUP(B2080, 'All Menu'!B:L, 6, 0)</f>
        <v>3.2327586206896552</v>
      </c>
      <c r="P2080" s="6">
        <f>VLOOKUP(B2080, 'All Menu'!B:L, 9, 0)</f>
        <v>1.2707311640531975</v>
      </c>
      <c r="Q2080" s="14">
        <f>VLOOKUP(B2080, 'All Menu'!B:M, 12, 0)</f>
        <v>0.60692049325287756</v>
      </c>
      <c r="R2080" s="173">
        <f t="shared" si="107"/>
        <v>0</v>
      </c>
    </row>
    <row r="2081" spans="1:18" ht="14" hidden="1">
      <c r="A2081" s="78" t="s">
        <v>2769</v>
      </c>
      <c r="B2081" s="220" t="s">
        <v>983</v>
      </c>
      <c r="C2081" s="185"/>
      <c r="D2081" s="103" t="str">
        <f>VLOOKUP(B2081, 'All Menu'!B:M, 4, 0)</f>
        <v>ساندويش شيش سوبر</v>
      </c>
      <c r="E2081" s="30" t="str">
        <f>VLOOKUP(B2081, 'All Menu'!B:M, 2, 0)</f>
        <v>قسم المشاوي</v>
      </c>
      <c r="F2081" s="103" t="str">
        <f>VLOOKUP(B2081, 'All Menu'!B:M, 3, 0)</f>
        <v>المشاوي سفري2</v>
      </c>
      <c r="G2081" s="90" t="s">
        <v>3058</v>
      </c>
      <c r="H2081" s="188">
        <v>4264</v>
      </c>
      <c r="I2081" s="110" t="str">
        <f>VLOOKUP(H2081, 'RM &amp; SF'!B:H, 2, 0)</f>
        <v>علب ساندوش (علب سناك) كرتون مطبوع 1*50 حبة*****</v>
      </c>
      <c r="J2081" s="184" t="str">
        <f>VLOOKUP(H2081, 'RM &amp; SF'!B:E, 4, 0)</f>
        <v>قطعة</v>
      </c>
      <c r="K2081" s="12">
        <v>1</v>
      </c>
      <c r="L2081" s="13">
        <f>VLOOKUP(H2081, 'RM &amp; SF'!B:H, 7, 0)</f>
        <v>0.1724</v>
      </c>
      <c r="M2081" s="7">
        <f t="shared" si="106"/>
        <v>0.1724</v>
      </c>
      <c r="N2081" s="4" t="s">
        <v>825</v>
      </c>
      <c r="O2081" s="4">
        <f>VLOOKUP(B2081, 'All Menu'!B:L, 6, 0)</f>
        <v>3.2327586206896552</v>
      </c>
      <c r="P2081" s="6">
        <f>VLOOKUP(B2081, 'All Menu'!B:L, 9, 0)</f>
        <v>1.2707311640531975</v>
      </c>
      <c r="Q2081" s="14">
        <f>VLOOKUP(B2081, 'All Menu'!B:M, 12, 0)</f>
        <v>0.60692049325287756</v>
      </c>
      <c r="R2081" s="173">
        <f t="shared" si="107"/>
        <v>0</v>
      </c>
    </row>
    <row r="2082" spans="1:18" ht="14" hidden="1">
      <c r="A2082" s="78" t="s">
        <v>2769</v>
      </c>
      <c r="B2082" s="220" t="s">
        <v>983</v>
      </c>
      <c r="C2082" s="185"/>
      <c r="D2082" s="103" t="str">
        <f>VLOOKUP(B2082, 'All Menu'!B:M, 4, 0)</f>
        <v>ساندويش شيش سوبر</v>
      </c>
      <c r="E2082" s="30" t="str">
        <f>VLOOKUP(B2082, 'All Menu'!B:M, 2, 0)</f>
        <v>قسم المشاوي</v>
      </c>
      <c r="F2082" s="103" t="str">
        <f>VLOOKUP(B2082, 'All Menu'!B:M, 3, 0)</f>
        <v>المشاوي سفري2</v>
      </c>
      <c r="G2082" s="90" t="s">
        <v>2325</v>
      </c>
      <c r="H2082" s="219" t="s">
        <v>534</v>
      </c>
      <c r="I2082" s="110" t="str">
        <f>VLOOKUP(H2082, 'RM &amp; SF'!B:H, 2, 0)</f>
        <v>مثومه</v>
      </c>
      <c r="J2082" s="184" t="str">
        <f>VLOOKUP(H2082, 'RM &amp; SF'!B:E, 4, 0)</f>
        <v>غم</v>
      </c>
      <c r="K2082" s="12">
        <v>30</v>
      </c>
      <c r="L2082" s="13">
        <f>VLOOKUP(H2082, 'RM &amp; SF'!B:H, 7, 0)</f>
        <v>6.6564092227821051E-4</v>
      </c>
      <c r="M2082" s="7">
        <f t="shared" si="106"/>
        <v>1.9969227668346315E-2</v>
      </c>
      <c r="N2082" s="4" t="s">
        <v>825</v>
      </c>
      <c r="O2082" s="4">
        <f>VLOOKUP(B2082, 'All Menu'!B:L, 6, 0)</f>
        <v>3.2327586206896552</v>
      </c>
      <c r="P2082" s="6">
        <f>VLOOKUP(B2082, 'All Menu'!B:L, 9, 0)</f>
        <v>1.2707311640531975</v>
      </c>
      <c r="Q2082" s="14">
        <f>VLOOKUP(B2082, 'All Menu'!B:M, 12, 0)</f>
        <v>0.60692049325287756</v>
      </c>
      <c r="R2082" s="173">
        <f t="shared" si="107"/>
        <v>0</v>
      </c>
    </row>
    <row r="2083" spans="1:18" ht="14" hidden="1">
      <c r="A2083" s="78" t="s">
        <v>2742</v>
      </c>
      <c r="B2083" s="220" t="s">
        <v>984</v>
      </c>
      <c r="C2083" s="185"/>
      <c r="D2083" s="103" t="str">
        <f>VLOOKUP(B2083, 'All Menu'!B:M, 4, 0)</f>
        <v>ساندويش خصاوي سوبر</v>
      </c>
      <c r="E2083" s="30" t="str">
        <f>VLOOKUP(B2083, 'All Menu'!B:M, 2, 0)</f>
        <v>قسم المشاوي</v>
      </c>
      <c r="F2083" s="103" t="str">
        <f>VLOOKUP(B2083, 'All Menu'!B:M, 3, 0)</f>
        <v>المشاوي سفري</v>
      </c>
      <c r="G2083" s="90" t="s">
        <v>3058</v>
      </c>
      <c r="H2083" s="188">
        <v>4764</v>
      </c>
      <c r="I2083" s="110" t="str">
        <f>VLOOKUP(H2083, 'RM &amp; SF'!B:H, 2, 0)</f>
        <v>سقط خروف ني (خصاوي)*****</v>
      </c>
      <c r="J2083" s="184" t="str">
        <f>VLOOKUP(H2083, 'RM &amp; SF'!B:E, 4, 0)</f>
        <v>غم</v>
      </c>
      <c r="K2083" s="12">
        <v>120</v>
      </c>
      <c r="L2083" s="13">
        <f>VLOOKUP(H2083, 'RM &amp; SF'!B:H, 7, 0)</f>
        <v>5.0000000000000001E-3</v>
      </c>
      <c r="M2083" s="7">
        <f t="shared" si="106"/>
        <v>0.6</v>
      </c>
      <c r="N2083" s="4" t="s">
        <v>825</v>
      </c>
      <c r="O2083" s="4">
        <f>VLOOKUP(B2083, 'All Menu'!B:L, 6, 0)</f>
        <v>2.1551724137931036</v>
      </c>
      <c r="P2083" s="6">
        <f>VLOOKUP(B2083, 'All Menu'!B:L, 9, 0)</f>
        <v>0.89710371447080939</v>
      </c>
      <c r="Q2083" s="14">
        <f>VLOOKUP(B2083, 'All Menu'!B:M, 12, 0)</f>
        <v>0.58374387648554449</v>
      </c>
      <c r="R2083" s="173">
        <f t="shared" si="107"/>
        <v>0</v>
      </c>
    </row>
    <row r="2084" spans="1:18" ht="14" hidden="1">
      <c r="A2084" s="78" t="s">
        <v>2742</v>
      </c>
      <c r="B2084" s="220" t="s">
        <v>984</v>
      </c>
      <c r="C2084" s="185"/>
      <c r="D2084" s="103" t="str">
        <f>VLOOKUP(B2084, 'All Menu'!B:M, 4, 0)</f>
        <v>ساندويش خصاوي سوبر</v>
      </c>
      <c r="E2084" s="30" t="str">
        <f>VLOOKUP(B2084, 'All Menu'!B:M, 2, 0)</f>
        <v>قسم المشاوي</v>
      </c>
      <c r="F2084" s="103" t="str">
        <f>VLOOKUP(B2084, 'All Menu'!B:M, 3, 0)</f>
        <v>المشاوي سفري</v>
      </c>
      <c r="G2084" s="90" t="s">
        <v>2331</v>
      </c>
      <c r="H2084" s="219" t="s">
        <v>530</v>
      </c>
      <c r="I2084" s="110" t="str">
        <f>VLOOKUP(H2084, 'RM &amp; SF'!B:H, 2, 0)</f>
        <v>خبز صاج</v>
      </c>
      <c r="J2084" s="184" t="str">
        <f>VLOOKUP(H2084, 'RM &amp; SF'!B:E, 4, 0)</f>
        <v>غم</v>
      </c>
      <c r="K2084" s="12">
        <v>100</v>
      </c>
      <c r="L2084" s="13">
        <f>VLOOKUP(H2084, 'RM &amp; SF'!B:H, 7, 0)</f>
        <v>1.8806451612903227E-4</v>
      </c>
      <c r="M2084" s="7">
        <f t="shared" si="106"/>
        <v>1.8806451612903227E-2</v>
      </c>
      <c r="N2084" s="4" t="s">
        <v>825</v>
      </c>
      <c r="O2084" s="4">
        <f>VLOOKUP(B2084, 'All Menu'!B:L, 6, 0)</f>
        <v>2.1551724137931036</v>
      </c>
      <c r="P2084" s="6">
        <f>VLOOKUP(B2084, 'All Menu'!B:L, 9, 0)</f>
        <v>0.89710371447080939</v>
      </c>
      <c r="Q2084" s="14">
        <f>VLOOKUP(B2084, 'All Menu'!B:M, 12, 0)</f>
        <v>0.58374387648554449</v>
      </c>
      <c r="R2084" s="173">
        <f t="shared" si="107"/>
        <v>0</v>
      </c>
    </row>
    <row r="2085" spans="1:18" ht="14" hidden="1">
      <c r="A2085" s="78" t="s">
        <v>2742</v>
      </c>
      <c r="B2085" s="220" t="s">
        <v>984</v>
      </c>
      <c r="C2085" s="185"/>
      <c r="D2085" s="103" t="str">
        <f>VLOOKUP(B2085, 'All Menu'!B:M, 4, 0)</f>
        <v>ساندويش خصاوي سوبر</v>
      </c>
      <c r="E2085" s="30" t="str">
        <f>VLOOKUP(B2085, 'All Menu'!B:M, 2, 0)</f>
        <v>قسم المشاوي</v>
      </c>
      <c r="F2085" s="103" t="str">
        <f>VLOOKUP(B2085, 'All Menu'!B:M, 3, 0)</f>
        <v>المشاوي سفري</v>
      </c>
      <c r="G2085" s="90" t="s">
        <v>2397</v>
      </c>
      <c r="H2085" s="219" t="s">
        <v>580</v>
      </c>
      <c r="I2085" s="110" t="str">
        <f>VLOOKUP(H2085, 'RM &amp; SF'!B:H, 2, 0)</f>
        <v>طحينة مشاوي</v>
      </c>
      <c r="J2085" s="184" t="str">
        <f>VLOOKUP(H2085, 'RM &amp; SF'!B:E, 4, 0)</f>
        <v>غم</v>
      </c>
      <c r="K2085" s="12">
        <v>30</v>
      </c>
      <c r="L2085" s="13">
        <f>VLOOKUP(H2085, 'RM &amp; SF'!B:H, 7, 0)</f>
        <v>1.0841676434676436E-3</v>
      </c>
      <c r="M2085" s="7">
        <f t="shared" si="106"/>
        <v>3.2525029304029306E-2</v>
      </c>
      <c r="N2085" s="4" t="s">
        <v>825</v>
      </c>
      <c r="O2085" s="4">
        <f>VLOOKUP(B2085, 'All Menu'!B:L, 6, 0)</f>
        <v>2.1551724137931036</v>
      </c>
      <c r="P2085" s="6">
        <f>VLOOKUP(B2085, 'All Menu'!B:L, 9, 0)</f>
        <v>0.89710371447080939</v>
      </c>
      <c r="Q2085" s="14">
        <f>VLOOKUP(B2085, 'All Menu'!B:M, 12, 0)</f>
        <v>0.58374387648554449</v>
      </c>
      <c r="R2085" s="173">
        <f t="shared" si="107"/>
        <v>0</v>
      </c>
    </row>
    <row r="2086" spans="1:18" ht="14" hidden="1">
      <c r="A2086" s="78" t="s">
        <v>2742</v>
      </c>
      <c r="B2086" s="220" t="s">
        <v>984</v>
      </c>
      <c r="C2086" s="185"/>
      <c r="D2086" s="103" t="str">
        <f>VLOOKUP(B2086, 'All Menu'!B:M, 4, 0)</f>
        <v>ساندويش خصاوي سوبر</v>
      </c>
      <c r="E2086" s="30" t="str">
        <f>VLOOKUP(B2086, 'All Menu'!B:M, 2, 0)</f>
        <v>قسم المشاوي</v>
      </c>
      <c r="F2086" s="103" t="str">
        <f>VLOOKUP(B2086, 'All Menu'!B:M, 3, 0)</f>
        <v>المشاوي سفري</v>
      </c>
      <c r="G2086" s="90" t="s">
        <v>3058</v>
      </c>
      <c r="H2086" s="188">
        <v>4289</v>
      </c>
      <c r="I2086" s="110" t="str">
        <f>VLOOKUP(H2086, 'RM &amp; SF'!B:H, 2, 0)</f>
        <v>علب صوص دائري منفصل أسود 30 مل 1*100 حبة*****</v>
      </c>
      <c r="J2086" s="184" t="str">
        <f>VLOOKUP(H2086, 'RM &amp; SF'!B:E, 4, 0)</f>
        <v>قطعة</v>
      </c>
      <c r="K2086" s="12">
        <v>1</v>
      </c>
      <c r="L2086" s="13">
        <f>VLOOKUP(H2086, 'RM &amp; SF'!B:H, 7, 0)</f>
        <v>1.2E-2</v>
      </c>
      <c r="M2086" s="7">
        <f t="shared" si="106"/>
        <v>1.2E-2</v>
      </c>
      <c r="N2086" s="4" t="s">
        <v>825</v>
      </c>
      <c r="O2086" s="4">
        <f>VLOOKUP(B2086, 'All Menu'!B:L, 6, 0)</f>
        <v>2.1551724137931036</v>
      </c>
      <c r="P2086" s="6">
        <f>VLOOKUP(B2086, 'All Menu'!B:L, 9, 0)</f>
        <v>0.89710371447080939</v>
      </c>
      <c r="Q2086" s="14">
        <f>VLOOKUP(B2086, 'All Menu'!B:M, 12, 0)</f>
        <v>0.58374387648554449</v>
      </c>
      <c r="R2086" s="173">
        <f t="shared" si="107"/>
        <v>0</v>
      </c>
    </row>
    <row r="2087" spans="1:18" ht="14" hidden="1">
      <c r="A2087" s="78" t="s">
        <v>2742</v>
      </c>
      <c r="B2087" s="220" t="s">
        <v>984</v>
      </c>
      <c r="C2087" s="185"/>
      <c r="D2087" s="103" t="str">
        <f>VLOOKUP(B2087, 'All Menu'!B:M, 4, 0)</f>
        <v>ساندويش خصاوي سوبر</v>
      </c>
      <c r="E2087" s="30" t="str">
        <f>VLOOKUP(B2087, 'All Menu'!B:M, 2, 0)</f>
        <v>قسم المشاوي</v>
      </c>
      <c r="F2087" s="103" t="str">
        <f>VLOOKUP(B2087, 'All Menu'!B:M, 3, 0)</f>
        <v>المشاوي سفري</v>
      </c>
      <c r="G2087" s="90" t="s">
        <v>2396</v>
      </c>
      <c r="H2087" s="219" t="s">
        <v>582</v>
      </c>
      <c r="I2087" s="110" t="str">
        <f>VLOOKUP(H2087, 'RM &amp; SF'!B:H, 2, 0)</f>
        <v>بيواز</v>
      </c>
      <c r="J2087" s="184" t="str">
        <f>VLOOKUP(H2087, 'RM &amp; SF'!B:E, 4, 0)</f>
        <v>غم</v>
      </c>
      <c r="K2087" s="12">
        <v>30</v>
      </c>
      <c r="L2087" s="13">
        <f>VLOOKUP(H2087, 'RM &amp; SF'!B:H, 7, 0)</f>
        <v>2.0666065869244635E-4</v>
      </c>
      <c r="M2087" s="7">
        <f t="shared" si="106"/>
        <v>6.1998197607733901E-3</v>
      </c>
      <c r="N2087" s="4" t="s">
        <v>825</v>
      </c>
      <c r="O2087" s="4">
        <f>VLOOKUP(B2087, 'All Menu'!B:L, 6, 0)</f>
        <v>2.1551724137931036</v>
      </c>
      <c r="P2087" s="6">
        <f>VLOOKUP(B2087, 'All Menu'!B:L, 9, 0)</f>
        <v>0.89710371447080939</v>
      </c>
      <c r="Q2087" s="14">
        <f>VLOOKUP(B2087, 'All Menu'!B:M, 12, 0)</f>
        <v>0.58374387648554449</v>
      </c>
      <c r="R2087" s="173">
        <f t="shared" si="107"/>
        <v>0</v>
      </c>
    </row>
    <row r="2088" spans="1:18" ht="14" hidden="1">
      <c r="A2088" s="78" t="s">
        <v>2742</v>
      </c>
      <c r="B2088" s="220" t="s">
        <v>984</v>
      </c>
      <c r="C2088" s="185"/>
      <c r="D2088" s="103" t="str">
        <f>VLOOKUP(B2088, 'All Menu'!B:M, 4, 0)</f>
        <v>ساندويش خصاوي سوبر</v>
      </c>
      <c r="E2088" s="30" t="str">
        <f>VLOOKUP(B2088, 'All Menu'!B:M, 2, 0)</f>
        <v>قسم المشاوي</v>
      </c>
      <c r="F2088" s="103" t="str">
        <f>VLOOKUP(B2088, 'All Menu'!B:M, 3, 0)</f>
        <v>المشاوي سفري</v>
      </c>
      <c r="G2088" s="90" t="s">
        <v>3058</v>
      </c>
      <c r="H2088" s="188">
        <v>4264</v>
      </c>
      <c r="I2088" s="110" t="str">
        <f>VLOOKUP(H2088, 'RM &amp; SF'!B:H, 2, 0)</f>
        <v>علب ساندوش (علب سناك) كرتون مطبوع 1*50 حبة*****</v>
      </c>
      <c r="J2088" s="184" t="str">
        <f>VLOOKUP(H2088, 'RM &amp; SF'!B:E, 4, 0)</f>
        <v>قطعة</v>
      </c>
      <c r="K2088" s="12">
        <v>1</v>
      </c>
      <c r="L2088" s="13">
        <f>VLOOKUP(H2088, 'RM &amp; SF'!B:H, 7, 0)</f>
        <v>0.1724</v>
      </c>
      <c r="M2088" s="7">
        <f t="shared" si="106"/>
        <v>0.1724</v>
      </c>
      <c r="N2088" s="4" t="s">
        <v>825</v>
      </c>
      <c r="O2088" s="4">
        <f>VLOOKUP(B2088, 'All Menu'!B:L, 6, 0)</f>
        <v>2.1551724137931036</v>
      </c>
      <c r="P2088" s="6">
        <f>VLOOKUP(B2088, 'All Menu'!B:L, 9, 0)</f>
        <v>0.89710371447080939</v>
      </c>
      <c r="Q2088" s="14">
        <f>VLOOKUP(B2088, 'All Menu'!B:M, 12, 0)</f>
        <v>0.58374387648554449</v>
      </c>
      <c r="R2088" s="173">
        <f t="shared" si="107"/>
        <v>0</v>
      </c>
    </row>
    <row r="2089" spans="1:18" ht="14" hidden="1">
      <c r="A2089" s="78" t="s">
        <v>2742</v>
      </c>
      <c r="B2089" s="220" t="s">
        <v>984</v>
      </c>
      <c r="C2089" s="185"/>
      <c r="D2089" s="103" t="str">
        <f>VLOOKUP(B2089, 'All Menu'!B:M, 4, 0)</f>
        <v>ساندويش خصاوي سوبر</v>
      </c>
      <c r="E2089" s="30" t="str">
        <f>VLOOKUP(B2089, 'All Menu'!B:M, 2, 0)</f>
        <v>قسم المشاوي</v>
      </c>
      <c r="F2089" s="103" t="str">
        <f>VLOOKUP(B2089, 'All Menu'!B:M, 3, 0)</f>
        <v>المشاوي سفري</v>
      </c>
      <c r="G2089" s="90" t="s">
        <v>2193</v>
      </c>
      <c r="H2089" s="188">
        <v>4309</v>
      </c>
      <c r="I2089" s="110" t="str">
        <f>VLOOKUP(H2089, 'RM &amp; SF'!B:H, 2, 0)</f>
        <v>اكياس بلاستيك مطبوع 55 سم*****</v>
      </c>
      <c r="J2089" s="184" t="str">
        <f>VLOOKUP(H2089, 'RM &amp; SF'!B:E, 4, 0)</f>
        <v>قطعة</v>
      </c>
      <c r="K2089" s="12">
        <v>1</v>
      </c>
      <c r="L2089" s="13">
        <f>VLOOKUP(H2089, 'RM &amp; SF'!B:H, 7, 0)</f>
        <v>5.5172413793103454E-2</v>
      </c>
      <c r="M2089" s="7">
        <f t="shared" si="106"/>
        <v>5.5172413793103454E-2</v>
      </c>
      <c r="N2089" s="4" t="s">
        <v>825</v>
      </c>
      <c r="O2089" s="4">
        <f>VLOOKUP(B2089, 'All Menu'!B:L, 6, 0)</f>
        <v>2.1551724137931036</v>
      </c>
      <c r="P2089" s="6">
        <f>VLOOKUP(B2089, 'All Menu'!B:L, 9, 0)</f>
        <v>0.89710371447080939</v>
      </c>
      <c r="Q2089" s="14">
        <f>VLOOKUP(B2089, 'All Menu'!B:M, 12, 0)</f>
        <v>0.58374387648554449</v>
      </c>
      <c r="R2089" s="173">
        <f t="shared" si="107"/>
        <v>0</v>
      </c>
    </row>
    <row r="2090" spans="1:18" ht="14" hidden="1">
      <c r="A2090" s="78" t="s">
        <v>2773</v>
      </c>
      <c r="B2090" s="220" t="s">
        <v>985</v>
      </c>
      <c r="C2090" s="185"/>
      <c r="D2090" s="103" t="str">
        <f>VLOOKUP(B2090, 'All Menu'!B:M, 4, 0)</f>
        <v>ساندويش نخاعات سوبر</v>
      </c>
      <c r="E2090" s="30" t="str">
        <f>VLOOKUP(B2090, 'All Menu'!B:M, 2, 0)</f>
        <v>قسم المشاوي</v>
      </c>
      <c r="F2090" s="103" t="str">
        <f>VLOOKUP(B2090, 'All Menu'!B:M, 3, 0)</f>
        <v>المشاوي سفري2</v>
      </c>
      <c r="G2090" s="90" t="s">
        <v>3058</v>
      </c>
      <c r="H2090" s="188">
        <v>5066</v>
      </c>
      <c r="I2090" s="110" t="str">
        <f>VLOOKUP(H2090, 'RM &amp; SF'!B:H, 2, 0)</f>
        <v>نخاعات نية*****</v>
      </c>
      <c r="J2090" s="184" t="str">
        <f>VLOOKUP(H2090, 'RM &amp; SF'!B:E, 4, 0)</f>
        <v>قطعة</v>
      </c>
      <c r="K2090" s="12">
        <v>2</v>
      </c>
      <c r="L2090" s="13">
        <f>VLOOKUP(H2090, 'RM &amp; SF'!B:H, 7, 0)</f>
        <v>1.25</v>
      </c>
      <c r="M2090" s="7">
        <f t="shared" si="106"/>
        <v>2.5</v>
      </c>
      <c r="N2090" s="4" t="s">
        <v>825</v>
      </c>
      <c r="O2090" s="4">
        <f>VLOOKUP(B2090, 'All Menu'!B:L, 6, 0)</f>
        <v>3.0172413793103452</v>
      </c>
      <c r="P2090" s="6">
        <f>VLOOKUP(B2090, 'All Menu'!B:L, 9, 0)</f>
        <v>2.8033576186383069</v>
      </c>
      <c r="Q2090" s="14">
        <f>VLOOKUP(B2090, 'All Menu'!B:M, 12, 0)</f>
        <v>7.0887189251304106E-2</v>
      </c>
      <c r="R2090" s="173">
        <f t="shared" si="107"/>
        <v>0</v>
      </c>
    </row>
    <row r="2091" spans="1:18" ht="14" hidden="1">
      <c r="A2091" s="78" t="s">
        <v>2773</v>
      </c>
      <c r="B2091" s="220" t="s">
        <v>985</v>
      </c>
      <c r="C2091" s="185"/>
      <c r="D2091" s="103" t="str">
        <f>VLOOKUP(B2091, 'All Menu'!B:M, 4, 0)</f>
        <v>ساندويش نخاعات سوبر</v>
      </c>
      <c r="E2091" s="30" t="str">
        <f>VLOOKUP(B2091, 'All Menu'!B:M, 2, 0)</f>
        <v>قسم المشاوي</v>
      </c>
      <c r="F2091" s="103" t="str">
        <f>VLOOKUP(B2091, 'All Menu'!B:M, 3, 0)</f>
        <v>المشاوي سفري2</v>
      </c>
      <c r="G2091" s="90" t="s">
        <v>2331</v>
      </c>
      <c r="H2091" s="219" t="s">
        <v>530</v>
      </c>
      <c r="I2091" s="110" t="str">
        <f>VLOOKUP(H2091, 'RM &amp; SF'!B:H, 2, 0)</f>
        <v>خبز صاج</v>
      </c>
      <c r="J2091" s="184" t="str">
        <f>VLOOKUP(H2091, 'RM &amp; SF'!B:E, 4, 0)</f>
        <v>غم</v>
      </c>
      <c r="K2091" s="12">
        <v>200</v>
      </c>
      <c r="L2091" s="13">
        <f>VLOOKUP(H2091, 'RM &amp; SF'!B:H, 7, 0)</f>
        <v>1.8806451612903227E-4</v>
      </c>
      <c r="M2091" s="7">
        <f t="shared" si="106"/>
        <v>3.7612903225806453E-2</v>
      </c>
      <c r="N2091" s="4" t="s">
        <v>825</v>
      </c>
      <c r="O2091" s="4">
        <f>VLOOKUP(B2091, 'All Menu'!B:L, 6, 0)</f>
        <v>3.0172413793103452</v>
      </c>
      <c r="P2091" s="6">
        <f>VLOOKUP(B2091, 'All Menu'!B:L, 9, 0)</f>
        <v>2.8033576186383069</v>
      </c>
      <c r="Q2091" s="14">
        <f>VLOOKUP(B2091, 'All Menu'!B:M, 12, 0)</f>
        <v>7.0887189251304106E-2</v>
      </c>
      <c r="R2091" s="173">
        <f t="shared" si="107"/>
        <v>0</v>
      </c>
    </row>
    <row r="2092" spans="1:18" ht="14" hidden="1">
      <c r="A2092" s="78" t="s">
        <v>2773</v>
      </c>
      <c r="B2092" s="220" t="s">
        <v>985</v>
      </c>
      <c r="C2092" s="185"/>
      <c r="D2092" s="103" t="str">
        <f>VLOOKUP(B2092, 'All Menu'!B:M, 4, 0)</f>
        <v>ساندويش نخاعات سوبر</v>
      </c>
      <c r="E2092" s="30" t="str">
        <f>VLOOKUP(B2092, 'All Menu'!B:M, 2, 0)</f>
        <v>قسم المشاوي</v>
      </c>
      <c r="F2092" s="103" t="str">
        <f>VLOOKUP(B2092, 'All Menu'!B:M, 3, 0)</f>
        <v>المشاوي سفري2</v>
      </c>
      <c r="G2092" s="90" t="s">
        <v>2396</v>
      </c>
      <c r="H2092" s="219" t="s">
        <v>582</v>
      </c>
      <c r="I2092" s="110" t="str">
        <f>VLOOKUP(H2092, 'RM &amp; SF'!B:H, 2, 0)</f>
        <v>بيواز</v>
      </c>
      <c r="J2092" s="184" t="str">
        <f>VLOOKUP(H2092, 'RM &amp; SF'!B:E, 4, 0)</f>
        <v>غم</v>
      </c>
      <c r="K2092" s="12">
        <v>70</v>
      </c>
      <c r="L2092" s="13">
        <f>VLOOKUP(H2092, 'RM &amp; SF'!B:H, 7, 0)</f>
        <v>2.0666065869244635E-4</v>
      </c>
      <c r="M2092" s="7">
        <f t="shared" si="106"/>
        <v>1.4466246108471244E-2</v>
      </c>
      <c r="N2092" s="4" t="s">
        <v>825</v>
      </c>
      <c r="O2092" s="4">
        <f>VLOOKUP(B2092, 'All Menu'!B:L, 6, 0)</f>
        <v>3.0172413793103452</v>
      </c>
      <c r="P2092" s="6">
        <f>VLOOKUP(B2092, 'All Menu'!B:L, 9, 0)</f>
        <v>2.8033576186383069</v>
      </c>
      <c r="Q2092" s="14">
        <f>VLOOKUP(B2092, 'All Menu'!B:M, 12, 0)</f>
        <v>7.0887189251304106E-2</v>
      </c>
      <c r="R2092" s="173">
        <f t="shared" si="107"/>
        <v>0</v>
      </c>
    </row>
    <row r="2093" spans="1:18" ht="14" hidden="1">
      <c r="A2093" s="78" t="s">
        <v>2773</v>
      </c>
      <c r="B2093" s="220" t="s">
        <v>985</v>
      </c>
      <c r="C2093" s="185"/>
      <c r="D2093" s="103" t="str">
        <f>VLOOKUP(B2093, 'All Menu'!B:M, 4, 0)</f>
        <v>ساندويش نخاعات سوبر</v>
      </c>
      <c r="E2093" s="30" t="str">
        <f>VLOOKUP(B2093, 'All Menu'!B:M, 2, 0)</f>
        <v>قسم المشاوي</v>
      </c>
      <c r="F2093" s="103" t="str">
        <f>VLOOKUP(B2093, 'All Menu'!B:M, 3, 0)</f>
        <v>المشاوي سفري2</v>
      </c>
      <c r="G2093" s="90" t="s">
        <v>2257</v>
      </c>
      <c r="H2093" s="188">
        <v>5281</v>
      </c>
      <c r="I2093" s="110" t="str">
        <f>VLOOKUP(H2093, 'RM &amp; SF'!B:H, 2, 0)</f>
        <v>بندوره مشاوي</v>
      </c>
      <c r="J2093" s="184" t="str">
        <f>VLOOKUP(H2093, 'RM &amp; SF'!B:E, 4, 0)</f>
        <v>غم</v>
      </c>
      <c r="K2093" s="12">
        <v>20</v>
      </c>
      <c r="L2093" s="13">
        <f>VLOOKUP(H2093, 'RM &amp; SF'!B:H, 7, 0)</f>
        <v>4.0000000000000002E-4</v>
      </c>
      <c r="M2093" s="7">
        <f t="shared" si="106"/>
        <v>8.0000000000000002E-3</v>
      </c>
      <c r="N2093" s="4" t="s">
        <v>825</v>
      </c>
      <c r="O2093" s="4">
        <f>VLOOKUP(B2093, 'All Menu'!B:L, 6, 0)</f>
        <v>3.0172413793103452</v>
      </c>
      <c r="P2093" s="6">
        <f>VLOOKUP(B2093, 'All Menu'!B:L, 9, 0)</f>
        <v>2.8033576186383069</v>
      </c>
      <c r="Q2093" s="14">
        <f>VLOOKUP(B2093, 'All Menu'!B:M, 12, 0)</f>
        <v>7.0887189251304106E-2</v>
      </c>
      <c r="R2093" s="173">
        <f t="shared" si="107"/>
        <v>0</v>
      </c>
    </row>
    <row r="2094" spans="1:18" ht="14" hidden="1">
      <c r="A2094" s="78" t="s">
        <v>2773</v>
      </c>
      <c r="B2094" s="220" t="s">
        <v>985</v>
      </c>
      <c r="C2094" s="185"/>
      <c r="D2094" s="103" t="str">
        <f>VLOOKUP(B2094, 'All Menu'!B:M, 4, 0)</f>
        <v>ساندويش نخاعات سوبر</v>
      </c>
      <c r="E2094" s="30" t="str">
        <f>VLOOKUP(B2094, 'All Menu'!B:M, 2, 0)</f>
        <v>قسم المشاوي</v>
      </c>
      <c r="F2094" s="103" t="str">
        <f>VLOOKUP(B2094, 'All Menu'!B:M, 3, 0)</f>
        <v>المشاوي سفري2</v>
      </c>
      <c r="G2094" s="90" t="s">
        <v>2397</v>
      </c>
      <c r="H2094" s="219" t="s">
        <v>580</v>
      </c>
      <c r="I2094" s="110" t="str">
        <f>VLOOKUP(H2094, 'RM &amp; SF'!B:H, 2, 0)</f>
        <v>طحينة مشاوي</v>
      </c>
      <c r="J2094" s="184" t="str">
        <f>VLOOKUP(H2094, 'RM &amp; SF'!B:E, 4, 0)</f>
        <v>غم</v>
      </c>
      <c r="K2094" s="12">
        <v>30</v>
      </c>
      <c r="L2094" s="13">
        <f>VLOOKUP(H2094, 'RM &amp; SF'!B:H, 7, 0)</f>
        <v>1.0841676434676436E-3</v>
      </c>
      <c r="M2094" s="7">
        <f t="shared" si="106"/>
        <v>3.2525029304029306E-2</v>
      </c>
      <c r="N2094" s="4" t="s">
        <v>825</v>
      </c>
      <c r="O2094" s="4">
        <f>VLOOKUP(B2094, 'All Menu'!B:L, 6, 0)</f>
        <v>3.0172413793103452</v>
      </c>
      <c r="P2094" s="6">
        <f>VLOOKUP(B2094, 'All Menu'!B:L, 9, 0)</f>
        <v>2.8033576186383069</v>
      </c>
      <c r="Q2094" s="14">
        <f>VLOOKUP(B2094, 'All Menu'!B:M, 12, 0)</f>
        <v>7.0887189251304106E-2</v>
      </c>
      <c r="R2094" s="173">
        <f t="shared" si="107"/>
        <v>0</v>
      </c>
    </row>
    <row r="2095" spans="1:18" ht="14" hidden="1">
      <c r="A2095" s="78" t="s">
        <v>2773</v>
      </c>
      <c r="B2095" s="220" t="s">
        <v>985</v>
      </c>
      <c r="C2095" s="185"/>
      <c r="D2095" s="103" t="str">
        <f>VLOOKUP(B2095, 'All Menu'!B:M, 4, 0)</f>
        <v>ساندويش نخاعات سوبر</v>
      </c>
      <c r="E2095" s="30" t="str">
        <f>VLOOKUP(B2095, 'All Menu'!B:M, 2, 0)</f>
        <v>قسم المشاوي</v>
      </c>
      <c r="F2095" s="103" t="str">
        <f>VLOOKUP(B2095, 'All Menu'!B:M, 3, 0)</f>
        <v>المشاوي سفري2</v>
      </c>
      <c r="G2095" s="90" t="s">
        <v>3058</v>
      </c>
      <c r="H2095" s="188">
        <v>4289</v>
      </c>
      <c r="I2095" s="110" t="str">
        <f>VLOOKUP(H2095, 'RM &amp; SF'!B:H, 2, 0)</f>
        <v>علب صوص دائري منفصل أسود 30 مل 1*100 حبة*****</v>
      </c>
      <c r="J2095" s="184" t="str">
        <f>VLOOKUP(H2095, 'RM &amp; SF'!B:E, 4, 0)</f>
        <v>قطعة</v>
      </c>
      <c r="K2095" s="12">
        <v>1</v>
      </c>
      <c r="L2095" s="13">
        <f>VLOOKUP(H2095, 'RM &amp; SF'!B:H, 7, 0)</f>
        <v>1.2E-2</v>
      </c>
      <c r="M2095" s="7">
        <f t="shared" si="106"/>
        <v>1.2E-2</v>
      </c>
      <c r="N2095" s="4" t="s">
        <v>825</v>
      </c>
      <c r="O2095" s="4">
        <f>VLOOKUP(B2095, 'All Menu'!B:L, 6, 0)</f>
        <v>3.0172413793103452</v>
      </c>
      <c r="P2095" s="6">
        <f>VLOOKUP(B2095, 'All Menu'!B:L, 9, 0)</f>
        <v>2.8033576186383069</v>
      </c>
      <c r="Q2095" s="14">
        <f>VLOOKUP(B2095, 'All Menu'!B:M, 12, 0)</f>
        <v>7.0887189251304106E-2</v>
      </c>
      <c r="R2095" s="173">
        <f t="shared" si="107"/>
        <v>0</v>
      </c>
    </row>
    <row r="2096" spans="1:18" ht="14" hidden="1">
      <c r="A2096" s="78" t="s">
        <v>2773</v>
      </c>
      <c r="B2096" s="220" t="s">
        <v>985</v>
      </c>
      <c r="C2096" s="185"/>
      <c r="D2096" s="103" t="str">
        <f>VLOOKUP(B2096, 'All Menu'!B:M, 4, 0)</f>
        <v>ساندويش نخاعات سوبر</v>
      </c>
      <c r="E2096" s="30" t="str">
        <f>VLOOKUP(B2096, 'All Menu'!B:M, 2, 0)</f>
        <v>قسم المشاوي</v>
      </c>
      <c r="F2096" s="103" t="str">
        <f>VLOOKUP(B2096, 'All Menu'!B:M, 3, 0)</f>
        <v>المشاوي سفري2</v>
      </c>
      <c r="G2096" s="90" t="s">
        <v>2194</v>
      </c>
      <c r="H2096" s="188">
        <v>4323</v>
      </c>
      <c r="I2096" s="110" t="str">
        <f>VLOOKUP(H2096, 'RM &amp; SF'!B:H, 2, 0)</f>
        <v>قصدير رول 45 سم*2كغ*****</v>
      </c>
      <c r="J2096" s="184" t="str">
        <f>VLOOKUP(H2096, 'RM &amp; SF'!B:E, 4, 0)</f>
        <v>غم</v>
      </c>
      <c r="K2096" s="12">
        <v>0.06</v>
      </c>
      <c r="L2096" s="13">
        <f>VLOOKUP(H2096, 'RM &amp; SF'!B:H, 7, 0)</f>
        <v>1.7240000000000001E-3</v>
      </c>
      <c r="M2096" s="7">
        <f t="shared" si="106"/>
        <v>1.0344E-4</v>
      </c>
      <c r="N2096" s="4" t="s">
        <v>825</v>
      </c>
      <c r="O2096" s="4">
        <f>VLOOKUP(B2096, 'All Menu'!B:L, 6, 0)</f>
        <v>3.0172413793103452</v>
      </c>
      <c r="P2096" s="6">
        <f>VLOOKUP(B2096, 'All Menu'!B:L, 9, 0)</f>
        <v>2.8033576186383069</v>
      </c>
      <c r="Q2096" s="14">
        <f>VLOOKUP(B2096, 'All Menu'!B:M, 12, 0)</f>
        <v>7.0887189251304106E-2</v>
      </c>
      <c r="R2096" s="173">
        <f t="shared" si="107"/>
        <v>0</v>
      </c>
    </row>
    <row r="2097" spans="1:18" ht="14" hidden="1">
      <c r="A2097" s="78" t="s">
        <v>2773</v>
      </c>
      <c r="B2097" s="220" t="s">
        <v>985</v>
      </c>
      <c r="C2097" s="185"/>
      <c r="D2097" s="103" t="str">
        <f>VLOOKUP(B2097, 'All Menu'!B:M, 4, 0)</f>
        <v>ساندويش نخاعات سوبر</v>
      </c>
      <c r="E2097" s="30" t="str">
        <f>VLOOKUP(B2097, 'All Menu'!B:M, 2, 0)</f>
        <v>قسم المشاوي</v>
      </c>
      <c r="F2097" s="103" t="str">
        <f>VLOOKUP(B2097, 'All Menu'!B:M, 3, 0)</f>
        <v>المشاوي سفري2</v>
      </c>
      <c r="G2097" s="90" t="s">
        <v>3058</v>
      </c>
      <c r="H2097" s="188">
        <v>4264</v>
      </c>
      <c r="I2097" s="110" t="str">
        <f>VLOOKUP(H2097, 'RM &amp; SF'!B:H, 2, 0)</f>
        <v>علب ساندوش (علب سناك) كرتون مطبوع 1*50 حبة*****</v>
      </c>
      <c r="J2097" s="184" t="str">
        <f>VLOOKUP(H2097, 'RM &amp; SF'!B:E, 4, 0)</f>
        <v>قطعة</v>
      </c>
      <c r="K2097" s="12">
        <v>1</v>
      </c>
      <c r="L2097" s="13">
        <f>VLOOKUP(H2097, 'RM &amp; SF'!B:H, 7, 0)</f>
        <v>0.1724</v>
      </c>
      <c r="M2097" s="7">
        <f t="shared" si="106"/>
        <v>0.1724</v>
      </c>
      <c r="N2097" s="4" t="s">
        <v>825</v>
      </c>
      <c r="O2097" s="4">
        <f>VLOOKUP(B2097, 'All Menu'!B:L, 6, 0)</f>
        <v>3.0172413793103452</v>
      </c>
      <c r="P2097" s="6">
        <f>VLOOKUP(B2097, 'All Menu'!B:L, 9, 0)</f>
        <v>2.8033576186383069</v>
      </c>
      <c r="Q2097" s="14">
        <f>VLOOKUP(B2097, 'All Menu'!B:M, 12, 0)</f>
        <v>7.0887189251304106E-2</v>
      </c>
      <c r="R2097" s="173">
        <f t="shared" si="107"/>
        <v>0</v>
      </c>
    </row>
    <row r="2098" spans="1:18" ht="14" hidden="1">
      <c r="A2098" s="78" t="s">
        <v>2773</v>
      </c>
      <c r="B2098" s="220" t="s">
        <v>985</v>
      </c>
      <c r="C2098" s="185"/>
      <c r="D2098" s="103" t="str">
        <f>VLOOKUP(B2098, 'All Menu'!B:M, 4, 0)</f>
        <v>ساندويش نخاعات سوبر</v>
      </c>
      <c r="E2098" s="30" t="str">
        <f>VLOOKUP(B2098, 'All Menu'!B:M, 2, 0)</f>
        <v>قسم المشاوي</v>
      </c>
      <c r="F2098" s="103" t="str">
        <f>VLOOKUP(B2098, 'All Menu'!B:M, 3, 0)</f>
        <v>المشاوي سفري2</v>
      </c>
      <c r="G2098" s="90" t="s">
        <v>2239</v>
      </c>
      <c r="H2098" s="188">
        <v>4513</v>
      </c>
      <c r="I2098" s="110" t="str">
        <f>VLOOKUP(H2098, 'RM &amp; SF'!B:H, 2, 0)</f>
        <v>ليمون اصفر*****</v>
      </c>
      <c r="J2098" s="184" t="str">
        <f>VLOOKUP(H2098, 'RM &amp; SF'!B:E, 4, 0)</f>
        <v>غم</v>
      </c>
      <c r="K2098" s="12">
        <v>15</v>
      </c>
      <c r="L2098" s="13">
        <f>VLOOKUP(H2098, 'RM &amp; SF'!B:H, 7, 0)</f>
        <v>1.75E-3</v>
      </c>
      <c r="M2098" s="7">
        <f t="shared" si="106"/>
        <v>2.6249999999999999E-2</v>
      </c>
      <c r="N2098" s="4" t="s">
        <v>825</v>
      </c>
      <c r="O2098" s="4">
        <f>VLOOKUP(B2098, 'All Menu'!B:L, 6, 0)</f>
        <v>3.0172413793103452</v>
      </c>
      <c r="P2098" s="6">
        <f>VLOOKUP(B2098, 'All Menu'!B:L, 9, 0)</f>
        <v>2.8033576186383069</v>
      </c>
      <c r="Q2098" s="14">
        <f>VLOOKUP(B2098, 'All Menu'!B:M, 12, 0)</f>
        <v>7.0887189251304106E-2</v>
      </c>
      <c r="R2098" s="173">
        <f t="shared" si="107"/>
        <v>0</v>
      </c>
    </row>
    <row r="2099" spans="1:18" ht="14" hidden="1">
      <c r="A2099" s="78" t="s">
        <v>2761</v>
      </c>
      <c r="B2099" s="220" t="s">
        <v>986</v>
      </c>
      <c r="C2099" s="185"/>
      <c r="D2099" s="103" t="str">
        <f>VLOOKUP(B2099, 'All Menu'!B:M, 4, 0)</f>
        <v>جناح مشوي سيخ 6 قطع</v>
      </c>
      <c r="E2099" s="30" t="str">
        <f>VLOOKUP(B2099, 'All Menu'!B:M, 2, 0)</f>
        <v>قسم المشاوي</v>
      </c>
      <c r="F2099" s="103" t="str">
        <f>VLOOKUP(B2099, 'All Menu'!B:M, 3, 0)</f>
        <v>المشاوي سفري</v>
      </c>
      <c r="G2099" s="90" t="s">
        <v>2311</v>
      </c>
      <c r="H2099" s="188">
        <v>4583</v>
      </c>
      <c r="I2099" s="110" t="str">
        <f>VLOOKUP(H2099, 'RM &amp; SF'!B:H, 2, 0)</f>
        <v>اجنحة دجاج طازجة دلمونتي*****</v>
      </c>
      <c r="J2099" s="184" t="str">
        <f>VLOOKUP(H2099, 'RM &amp; SF'!B:E, 4, 0)</f>
        <v>غم</v>
      </c>
      <c r="K2099" s="12">
        <v>400</v>
      </c>
      <c r="L2099" s="13">
        <f>VLOOKUP(H2099, 'RM &amp; SF'!B:H, 7, 0)</f>
        <v>1.8E-3</v>
      </c>
      <c r="M2099" s="7">
        <f t="shared" si="106"/>
        <v>0.72</v>
      </c>
      <c r="N2099" s="4" t="s">
        <v>825</v>
      </c>
      <c r="O2099" s="4">
        <f>VLOOKUP(B2099, 'All Menu'!B:L, 6, 0)</f>
        <v>2.5862068965517242</v>
      </c>
      <c r="P2099" s="6">
        <f>VLOOKUP(B2099, 'All Menu'!B:L, 9, 0)</f>
        <v>0.99476165692158713</v>
      </c>
      <c r="Q2099" s="14">
        <f>VLOOKUP(B2099, 'All Menu'!B:M, 12, 0)</f>
        <v>0.61535882599031966</v>
      </c>
      <c r="R2099" s="173">
        <f t="shared" si="107"/>
        <v>0</v>
      </c>
    </row>
    <row r="2100" spans="1:18" ht="14" hidden="1">
      <c r="A2100" s="78" t="s">
        <v>2761</v>
      </c>
      <c r="B2100" s="220" t="s">
        <v>986</v>
      </c>
      <c r="C2100" s="185"/>
      <c r="D2100" s="103" t="str">
        <f>VLOOKUP(B2100, 'All Menu'!B:M, 4, 0)</f>
        <v>جناح مشوي سيخ 6 قطع</v>
      </c>
      <c r="E2100" s="30" t="str">
        <f>VLOOKUP(B2100, 'All Menu'!B:M, 2, 0)</f>
        <v>قسم المشاوي</v>
      </c>
      <c r="F2100" s="103" t="str">
        <f>VLOOKUP(B2100, 'All Menu'!B:M, 3, 0)</f>
        <v>المشاوي سفري</v>
      </c>
      <c r="G2100" s="90" t="s">
        <v>2235</v>
      </c>
      <c r="H2100" s="188">
        <v>4504</v>
      </c>
      <c r="I2100" s="110" t="str">
        <f>VLOOKUP(H2100, 'RM &amp; SF'!B:H, 2, 0)</f>
        <v>بصل مشاوي (بصل بيبي)***</v>
      </c>
      <c r="J2100" s="184" t="str">
        <f>VLOOKUP(H2100, 'RM &amp; SF'!B:E, 4, 0)</f>
        <v>غم</v>
      </c>
      <c r="K2100" s="12">
        <v>20</v>
      </c>
      <c r="L2100" s="13">
        <f>VLOOKUP(H2100, 'RM &amp; SF'!B:H, 7, 0)</f>
        <v>3.5E-4</v>
      </c>
      <c r="M2100" s="7">
        <f t="shared" si="106"/>
        <v>7.0000000000000001E-3</v>
      </c>
      <c r="N2100" s="4" t="s">
        <v>825</v>
      </c>
      <c r="O2100" s="4">
        <f>VLOOKUP(B2100, 'All Menu'!B:L, 6, 0)</f>
        <v>2.5862068965517242</v>
      </c>
      <c r="P2100" s="6">
        <f>VLOOKUP(B2100, 'All Menu'!B:L, 9, 0)</f>
        <v>0.99476165692158713</v>
      </c>
      <c r="Q2100" s="14">
        <f>VLOOKUP(B2100, 'All Menu'!B:M, 12, 0)</f>
        <v>0.61535882599031966</v>
      </c>
      <c r="R2100" s="173">
        <f t="shared" si="107"/>
        <v>0</v>
      </c>
    </row>
    <row r="2101" spans="1:18" ht="14" hidden="1">
      <c r="A2101" s="78" t="s">
        <v>2761</v>
      </c>
      <c r="B2101" s="220" t="s">
        <v>986</v>
      </c>
      <c r="C2101" s="185"/>
      <c r="D2101" s="103" t="str">
        <f>VLOOKUP(B2101, 'All Menu'!B:M, 4, 0)</f>
        <v>جناح مشوي سيخ 6 قطع</v>
      </c>
      <c r="E2101" s="30" t="str">
        <f>VLOOKUP(B2101, 'All Menu'!B:M, 2, 0)</f>
        <v>قسم المشاوي</v>
      </c>
      <c r="F2101" s="103" t="str">
        <f>VLOOKUP(B2101, 'All Menu'!B:M, 3, 0)</f>
        <v>المشاوي سفري</v>
      </c>
      <c r="G2101" s="90" t="s">
        <v>2309</v>
      </c>
      <c r="H2101" s="188">
        <v>4491</v>
      </c>
      <c r="I2101" s="110" t="str">
        <f>VLOOKUP(H2101, 'RM &amp; SF'!B:H, 2, 0)</f>
        <v>بندورة جامدة*****</v>
      </c>
      <c r="J2101" s="184" t="str">
        <f>VLOOKUP(H2101, 'RM &amp; SF'!B:E, 4, 0)</f>
        <v>غم</v>
      </c>
      <c r="K2101" s="12">
        <v>30</v>
      </c>
      <c r="L2101" s="13">
        <f>VLOOKUP(H2101, 'RM &amp; SF'!B:H, 7, 0)</f>
        <v>5.0000000000000001E-4</v>
      </c>
      <c r="M2101" s="7">
        <f t="shared" si="106"/>
        <v>1.4999999999999999E-2</v>
      </c>
      <c r="N2101" s="4" t="s">
        <v>825</v>
      </c>
      <c r="O2101" s="4">
        <f>VLOOKUP(B2101, 'All Menu'!B:L, 6, 0)</f>
        <v>2.5862068965517242</v>
      </c>
      <c r="P2101" s="6">
        <f>VLOOKUP(B2101, 'All Menu'!B:L, 9, 0)</f>
        <v>0.99476165692158713</v>
      </c>
      <c r="Q2101" s="14">
        <f>VLOOKUP(B2101, 'All Menu'!B:M, 12, 0)</f>
        <v>0.61535882599031966</v>
      </c>
      <c r="R2101" s="173">
        <f t="shared" si="107"/>
        <v>0</v>
      </c>
    </row>
    <row r="2102" spans="1:18" ht="14" hidden="1">
      <c r="A2102" s="78" t="s">
        <v>2761</v>
      </c>
      <c r="B2102" s="220" t="s">
        <v>986</v>
      </c>
      <c r="C2102" s="185"/>
      <c r="D2102" s="103" t="str">
        <f>VLOOKUP(B2102, 'All Menu'!B:M, 4, 0)</f>
        <v>جناح مشوي سيخ 6 قطع</v>
      </c>
      <c r="E2102" s="30" t="str">
        <f>VLOOKUP(B2102, 'All Menu'!B:M, 2, 0)</f>
        <v>قسم المشاوي</v>
      </c>
      <c r="F2102" s="103" t="str">
        <f>VLOOKUP(B2102, 'All Menu'!B:M, 3, 0)</f>
        <v>المشاوي سفري</v>
      </c>
      <c r="G2102" s="90" t="s">
        <v>2396</v>
      </c>
      <c r="H2102" s="219" t="s">
        <v>582</v>
      </c>
      <c r="I2102" s="110" t="str">
        <f>VLOOKUP(H2102, 'RM &amp; SF'!B:H, 2, 0)</f>
        <v>بيواز</v>
      </c>
      <c r="J2102" s="184" t="str">
        <f>VLOOKUP(H2102, 'RM &amp; SF'!B:E, 4, 0)</f>
        <v>غم</v>
      </c>
      <c r="K2102" s="12">
        <v>20</v>
      </c>
      <c r="L2102" s="13">
        <f>VLOOKUP(H2102, 'RM &amp; SF'!B:H, 7, 0)</f>
        <v>2.0666065869244635E-4</v>
      </c>
      <c r="M2102" s="7">
        <f t="shared" si="106"/>
        <v>4.1332131738489267E-3</v>
      </c>
      <c r="N2102" s="4" t="s">
        <v>825</v>
      </c>
      <c r="O2102" s="4">
        <f>VLOOKUP(B2102, 'All Menu'!B:L, 6, 0)</f>
        <v>2.5862068965517242</v>
      </c>
      <c r="P2102" s="6">
        <f>VLOOKUP(B2102, 'All Menu'!B:L, 9, 0)</f>
        <v>0.99476165692158713</v>
      </c>
      <c r="Q2102" s="14">
        <f>VLOOKUP(B2102, 'All Menu'!B:M, 12, 0)</f>
        <v>0.61535882599031966</v>
      </c>
      <c r="R2102" s="173">
        <f t="shared" si="107"/>
        <v>0</v>
      </c>
    </row>
    <row r="2103" spans="1:18" ht="14" hidden="1">
      <c r="A2103" s="78" t="s">
        <v>2761</v>
      </c>
      <c r="B2103" s="220" t="s">
        <v>986</v>
      </c>
      <c r="C2103" s="185"/>
      <c r="D2103" s="103" t="str">
        <f>VLOOKUP(B2103, 'All Menu'!B:M, 4, 0)</f>
        <v>جناح مشوي سيخ 6 قطع</v>
      </c>
      <c r="E2103" s="30" t="str">
        <f>VLOOKUP(B2103, 'All Menu'!B:M, 2, 0)</f>
        <v>قسم المشاوي</v>
      </c>
      <c r="F2103" s="103" t="str">
        <f>VLOOKUP(B2103, 'All Menu'!B:M, 3, 0)</f>
        <v>المشاوي سفري</v>
      </c>
      <c r="G2103" s="90" t="s">
        <v>2196</v>
      </c>
      <c r="H2103" s="188">
        <v>4346</v>
      </c>
      <c r="I2103" s="110" t="str">
        <f>VLOOKUP(H2103, 'RM &amp; SF'!B:H, 2, 0)</f>
        <v>صحن كرتون بيضوي مذهب 25 سم (رقم 1)*****</v>
      </c>
      <c r="J2103" s="184" t="str">
        <f>VLOOKUP(H2103, 'RM &amp; SF'!B:E, 4, 0)</f>
        <v>قطعة</v>
      </c>
      <c r="K2103" s="12">
        <v>1</v>
      </c>
      <c r="L2103" s="13">
        <f>VLOOKUP(H2103, 'RM &amp; SF'!B:H, 7, 0)</f>
        <v>7.4700000000000003E-2</v>
      </c>
      <c r="M2103" s="7">
        <f t="shared" si="106"/>
        <v>7.4700000000000003E-2</v>
      </c>
      <c r="N2103" s="4" t="s">
        <v>825</v>
      </c>
      <c r="O2103" s="4">
        <f>VLOOKUP(B2103, 'All Menu'!B:L, 6, 0)</f>
        <v>2.5862068965517242</v>
      </c>
      <c r="P2103" s="6">
        <f>VLOOKUP(B2103, 'All Menu'!B:L, 9, 0)</f>
        <v>0.99476165692158713</v>
      </c>
      <c r="Q2103" s="14">
        <f>VLOOKUP(B2103, 'All Menu'!B:M, 12, 0)</f>
        <v>0.61535882599031966</v>
      </c>
      <c r="R2103" s="173">
        <f t="shared" si="107"/>
        <v>0</v>
      </c>
    </row>
    <row r="2104" spans="1:18" ht="14" hidden="1">
      <c r="A2104" s="78" t="s">
        <v>2761</v>
      </c>
      <c r="B2104" s="220" t="s">
        <v>986</v>
      </c>
      <c r="C2104" s="185"/>
      <c r="D2104" s="103" t="str">
        <f>VLOOKUP(B2104, 'All Menu'!B:M, 4, 0)</f>
        <v>جناح مشوي سيخ 6 قطع</v>
      </c>
      <c r="E2104" s="30" t="str">
        <f>VLOOKUP(B2104, 'All Menu'!B:M, 2, 0)</f>
        <v>قسم المشاوي</v>
      </c>
      <c r="F2104" s="103" t="str">
        <f>VLOOKUP(B2104, 'All Menu'!B:M, 3, 0)</f>
        <v>المشاوي سفري</v>
      </c>
      <c r="G2104" s="90" t="s">
        <v>2194</v>
      </c>
      <c r="H2104" s="188">
        <v>4323</v>
      </c>
      <c r="I2104" s="110" t="str">
        <f>VLOOKUP(H2104, 'RM &amp; SF'!B:H, 2, 0)</f>
        <v>قصدير رول 45 سم*2كغ*****</v>
      </c>
      <c r="J2104" s="184" t="str">
        <f>VLOOKUP(H2104, 'RM &amp; SF'!B:E, 4, 0)</f>
        <v>غم</v>
      </c>
      <c r="K2104" s="12">
        <v>0.06</v>
      </c>
      <c r="L2104" s="13">
        <f>VLOOKUP(H2104, 'RM &amp; SF'!B:H, 7, 0)</f>
        <v>1.7240000000000001E-3</v>
      </c>
      <c r="M2104" s="7">
        <f t="shared" si="106"/>
        <v>1.0344E-4</v>
      </c>
      <c r="N2104" s="4" t="s">
        <v>825</v>
      </c>
      <c r="O2104" s="4">
        <f>VLOOKUP(B2104, 'All Menu'!B:L, 6, 0)</f>
        <v>2.5862068965517242</v>
      </c>
      <c r="P2104" s="6">
        <f>VLOOKUP(B2104, 'All Menu'!B:L, 9, 0)</f>
        <v>0.99476165692158713</v>
      </c>
      <c r="Q2104" s="14">
        <f>VLOOKUP(B2104, 'All Menu'!B:M, 12, 0)</f>
        <v>0.61535882599031966</v>
      </c>
      <c r="R2104" s="173">
        <f t="shared" si="107"/>
        <v>0</v>
      </c>
    </row>
    <row r="2105" spans="1:18" ht="14" hidden="1">
      <c r="A2105" s="78" t="s">
        <v>2761</v>
      </c>
      <c r="B2105" s="220" t="s">
        <v>986</v>
      </c>
      <c r="C2105" s="185"/>
      <c r="D2105" s="103" t="str">
        <f>VLOOKUP(B2105, 'All Menu'!B:M, 4, 0)</f>
        <v>جناح مشوي سيخ 6 قطع</v>
      </c>
      <c r="E2105" s="30" t="str">
        <f>VLOOKUP(B2105, 'All Menu'!B:M, 2, 0)</f>
        <v>قسم المشاوي</v>
      </c>
      <c r="F2105" s="103" t="str">
        <f>VLOOKUP(B2105, 'All Menu'!B:M, 3, 0)</f>
        <v>المشاوي سفري</v>
      </c>
      <c r="G2105" s="90" t="s">
        <v>2325</v>
      </c>
      <c r="H2105" s="219" t="s">
        <v>534</v>
      </c>
      <c r="I2105" s="110" t="str">
        <f>VLOOKUP(H2105, 'RM &amp; SF'!B:H, 2, 0)</f>
        <v>مثومه</v>
      </c>
      <c r="J2105" s="184" t="str">
        <f>VLOOKUP(H2105, 'RM &amp; SF'!B:E, 4, 0)</f>
        <v>غم</v>
      </c>
      <c r="K2105" s="12">
        <v>150</v>
      </c>
      <c r="L2105" s="13">
        <f>VLOOKUP(H2105, 'RM &amp; SF'!B:H, 7, 0)</f>
        <v>6.6564092227821051E-4</v>
      </c>
      <c r="M2105" s="7">
        <f t="shared" si="106"/>
        <v>9.9846138341731575E-2</v>
      </c>
      <c r="N2105" s="4" t="s">
        <v>825</v>
      </c>
      <c r="O2105" s="4">
        <f>VLOOKUP(B2105, 'All Menu'!B:L, 6, 0)</f>
        <v>2.5862068965517242</v>
      </c>
      <c r="P2105" s="6">
        <f>VLOOKUP(B2105, 'All Menu'!B:L, 9, 0)</f>
        <v>0.99476165692158713</v>
      </c>
      <c r="Q2105" s="14">
        <f>VLOOKUP(B2105, 'All Menu'!B:M, 12, 0)</f>
        <v>0.61535882599031966</v>
      </c>
      <c r="R2105" s="173">
        <f t="shared" si="107"/>
        <v>0</v>
      </c>
    </row>
    <row r="2106" spans="1:18" ht="14" hidden="1">
      <c r="A2106" s="78" t="s">
        <v>2761</v>
      </c>
      <c r="B2106" s="220" t="s">
        <v>986</v>
      </c>
      <c r="C2106" s="185"/>
      <c r="D2106" s="103" t="str">
        <f>VLOOKUP(B2106, 'All Menu'!B:M, 4, 0)</f>
        <v>جناح مشوي سيخ 6 قطع</v>
      </c>
      <c r="E2106" s="30" t="str">
        <f>VLOOKUP(B2106, 'All Menu'!B:M, 2, 0)</f>
        <v>قسم المشاوي</v>
      </c>
      <c r="F2106" s="103" t="str">
        <f>VLOOKUP(B2106, 'All Menu'!B:M, 3, 0)</f>
        <v>المشاوي سفري</v>
      </c>
      <c r="G2106" s="90" t="s">
        <v>2331</v>
      </c>
      <c r="H2106" s="219" t="s">
        <v>530</v>
      </c>
      <c r="I2106" s="110" t="str">
        <f>VLOOKUP(H2106, 'RM &amp; SF'!B:H, 2, 0)</f>
        <v>خبز صاج</v>
      </c>
      <c r="J2106" s="184" t="str">
        <f>VLOOKUP(H2106, 'RM &amp; SF'!B:E, 4, 0)</f>
        <v>غم</v>
      </c>
      <c r="K2106" s="12">
        <v>100</v>
      </c>
      <c r="L2106" s="13">
        <f>VLOOKUP(H2106, 'RM &amp; SF'!B:H, 7, 0)</f>
        <v>1.8806451612903227E-4</v>
      </c>
      <c r="M2106" s="7">
        <f t="shared" si="106"/>
        <v>1.8806451612903227E-2</v>
      </c>
      <c r="N2106" s="4" t="s">
        <v>825</v>
      </c>
      <c r="O2106" s="4">
        <f>VLOOKUP(B2106, 'All Menu'!B:L, 6, 0)</f>
        <v>2.5862068965517242</v>
      </c>
      <c r="P2106" s="6">
        <f>VLOOKUP(B2106, 'All Menu'!B:L, 9, 0)</f>
        <v>0.99476165692158713</v>
      </c>
      <c r="Q2106" s="14">
        <f>VLOOKUP(B2106, 'All Menu'!B:M, 12, 0)</f>
        <v>0.61535882599031966</v>
      </c>
      <c r="R2106" s="173">
        <f t="shared" si="107"/>
        <v>0</v>
      </c>
    </row>
    <row r="2107" spans="1:18" ht="14" hidden="1">
      <c r="A2107" s="78" t="s">
        <v>2761</v>
      </c>
      <c r="B2107" s="220" t="s">
        <v>986</v>
      </c>
      <c r="C2107" s="185"/>
      <c r="D2107" s="103" t="str">
        <f>VLOOKUP(B2107, 'All Menu'!B:M, 4, 0)</f>
        <v>جناح مشوي سيخ 6 قطع</v>
      </c>
      <c r="E2107" s="30" t="str">
        <f>VLOOKUP(B2107, 'All Menu'!B:M, 2, 0)</f>
        <v>قسم المشاوي</v>
      </c>
      <c r="F2107" s="103" t="str">
        <f>VLOOKUP(B2107, 'All Menu'!B:M, 3, 0)</f>
        <v>المشاوي سفري</v>
      </c>
      <c r="G2107" s="90" t="s">
        <v>2193</v>
      </c>
      <c r="H2107" s="188">
        <v>4309</v>
      </c>
      <c r="I2107" s="110" t="str">
        <f>VLOOKUP(H2107, 'RM &amp; SF'!B:H, 2, 0)</f>
        <v>اكياس بلاستيك مطبوع 55 سم*****</v>
      </c>
      <c r="J2107" s="184" t="str">
        <f>VLOOKUP(H2107, 'RM &amp; SF'!B:E, 4, 0)</f>
        <v>قطعة</v>
      </c>
      <c r="K2107" s="12">
        <v>1</v>
      </c>
      <c r="L2107" s="13">
        <f>VLOOKUP(H2107, 'RM &amp; SF'!B:H, 7, 0)</f>
        <v>5.5172413793103454E-2</v>
      </c>
      <c r="M2107" s="7">
        <f t="shared" si="106"/>
        <v>5.5172413793103454E-2</v>
      </c>
      <c r="N2107" s="4" t="s">
        <v>825</v>
      </c>
      <c r="O2107" s="4">
        <f>VLOOKUP(B2107, 'All Menu'!B:L, 6, 0)</f>
        <v>2.5862068965517242</v>
      </c>
      <c r="P2107" s="6">
        <f>VLOOKUP(B2107, 'All Menu'!B:L, 9, 0)</f>
        <v>0.99476165692158713</v>
      </c>
      <c r="Q2107" s="14">
        <f>VLOOKUP(B2107, 'All Menu'!B:M, 12, 0)</f>
        <v>0.61535882599031966</v>
      </c>
      <c r="R2107" s="173">
        <f t="shared" si="107"/>
        <v>0</v>
      </c>
    </row>
    <row r="2108" spans="1:18" ht="14" hidden="1">
      <c r="A2108" s="78" t="s">
        <v>2748</v>
      </c>
      <c r="B2108" s="220" t="s">
        <v>1067</v>
      </c>
      <c r="C2108" s="185"/>
      <c r="D2108" s="103" t="str">
        <f>VLOOKUP(B2108, 'All Menu'!B:M, 4, 0)</f>
        <v>مشاوي مشكلة / 1 كيلو</v>
      </c>
      <c r="E2108" s="30" t="str">
        <f>VLOOKUP(B2108, 'All Menu'!B:M, 2, 0)</f>
        <v>قسم المشاوي</v>
      </c>
      <c r="F2108" s="103" t="str">
        <f>VLOOKUP(B2108, 'All Menu'!B:M, 3, 0)</f>
        <v>المشاوي سفري</v>
      </c>
      <c r="G2108" s="90" t="s">
        <v>2453</v>
      </c>
      <c r="H2108" s="219" t="s">
        <v>536</v>
      </c>
      <c r="I2108" s="110" t="str">
        <f>VLOOKUP(H2108, 'RM &amp; SF'!B:H, 2, 0)</f>
        <v>كباب</v>
      </c>
      <c r="J2108" s="184" t="str">
        <f>VLOOKUP(H2108, 'RM &amp; SF'!B:E, 4, 0)</f>
        <v>غم</v>
      </c>
      <c r="K2108" s="12">
        <v>400</v>
      </c>
      <c r="L2108" s="13">
        <f>VLOOKUP(H2108, 'RM &amp; SF'!B:H, 7, 0)</f>
        <v>1.1636090242685134E-2</v>
      </c>
      <c r="M2108" s="7">
        <f t="shared" si="106"/>
        <v>4.6544360970740533</v>
      </c>
      <c r="N2108" s="4" t="s">
        <v>825</v>
      </c>
      <c r="O2108" s="4">
        <f>VLOOKUP(B2108, 'All Menu'!B:L, 6, 0)</f>
        <v>18.53448275862069</v>
      </c>
      <c r="P2108" s="6">
        <f>VLOOKUP(B2108, 'All Menu'!B:L, 9, 0)</f>
        <v>13.396247348151649</v>
      </c>
      <c r="Q2108" s="14">
        <f>VLOOKUP(B2108, 'All Menu'!B:M, 12, 0)</f>
        <v>0.27722572447181804</v>
      </c>
      <c r="R2108" s="173">
        <f t="shared" si="107"/>
        <v>0</v>
      </c>
    </row>
    <row r="2109" spans="1:18" ht="14" hidden="1">
      <c r="A2109" s="78" t="s">
        <v>2748</v>
      </c>
      <c r="B2109" s="220" t="s">
        <v>1067</v>
      </c>
      <c r="C2109" s="185"/>
      <c r="D2109" s="103" t="str">
        <f>VLOOKUP(B2109, 'All Menu'!B:M, 4, 0)</f>
        <v>مشاوي مشكلة / 1 كيلو</v>
      </c>
      <c r="E2109" s="30" t="str">
        <f>VLOOKUP(B2109, 'All Menu'!B:M, 2, 0)</f>
        <v>قسم المشاوي</v>
      </c>
      <c r="F2109" s="103" t="str">
        <f>VLOOKUP(B2109, 'All Menu'!B:M, 3, 0)</f>
        <v>المشاوي سفري</v>
      </c>
      <c r="G2109" s="90" t="s">
        <v>2456</v>
      </c>
      <c r="H2109" s="219" t="s">
        <v>506</v>
      </c>
      <c r="I2109" s="110" t="str">
        <f>VLOOKUP(H2109, 'RM &amp; SF'!B:H, 2, 0)</f>
        <v>شيش</v>
      </c>
      <c r="J2109" s="184" t="str">
        <f>VLOOKUP(H2109, 'RM &amp; SF'!B:E, 4, 0)</f>
        <v>غم</v>
      </c>
      <c r="K2109" s="12">
        <v>300</v>
      </c>
      <c r="L2109" s="13">
        <f>VLOOKUP(H2109, 'RM &amp; SF'!B:H, 7, 0)</f>
        <v>4.6721213030918281E-3</v>
      </c>
      <c r="M2109" s="7">
        <f t="shared" si="106"/>
        <v>1.4016363909275484</v>
      </c>
      <c r="N2109" s="4" t="s">
        <v>825</v>
      </c>
      <c r="O2109" s="4">
        <f>VLOOKUP(B2109, 'All Menu'!B:L, 6, 0)</f>
        <v>18.53448275862069</v>
      </c>
      <c r="P2109" s="6">
        <f>VLOOKUP(B2109, 'All Menu'!B:L, 9, 0)</f>
        <v>13.396247348151649</v>
      </c>
      <c r="Q2109" s="14">
        <f>VLOOKUP(B2109, 'All Menu'!B:M, 12, 0)</f>
        <v>0.27722572447181804</v>
      </c>
      <c r="R2109" s="173">
        <f t="shared" si="107"/>
        <v>0</v>
      </c>
    </row>
    <row r="2110" spans="1:18" ht="14" hidden="1">
      <c r="A2110" s="78" t="s">
        <v>2748</v>
      </c>
      <c r="B2110" s="220" t="s">
        <v>1067</v>
      </c>
      <c r="C2110" s="185"/>
      <c r="D2110" s="103" t="str">
        <f>VLOOKUP(B2110, 'All Menu'!B:M, 4, 0)</f>
        <v>مشاوي مشكلة / 1 كيلو</v>
      </c>
      <c r="E2110" s="30" t="str">
        <f>VLOOKUP(B2110, 'All Menu'!B:M, 2, 0)</f>
        <v>قسم المشاوي</v>
      </c>
      <c r="F2110" s="103" t="str">
        <f>VLOOKUP(B2110, 'All Menu'!B:M, 3, 0)</f>
        <v>المشاوي سفري</v>
      </c>
      <c r="G2110" s="90" t="s">
        <v>2452</v>
      </c>
      <c r="H2110" s="219" t="s">
        <v>528</v>
      </c>
      <c r="I2110" s="110" t="str">
        <f>VLOOKUP(H2110, 'RM &amp; SF'!B:H, 2, 0)</f>
        <v>شقف متبلة</v>
      </c>
      <c r="J2110" s="184" t="str">
        <f>VLOOKUP(H2110, 'RM &amp; SF'!B:E, 4, 0)</f>
        <v>غم</v>
      </c>
      <c r="K2110" s="12">
        <v>300</v>
      </c>
      <c r="L2110" s="13">
        <f>VLOOKUP(H2110, 'RM &amp; SF'!B:H, 7, 0)</f>
        <v>2.0415146666666665E-2</v>
      </c>
      <c r="M2110" s="7">
        <f t="shared" si="106"/>
        <v>6.1245439999999993</v>
      </c>
      <c r="N2110" s="4" t="s">
        <v>825</v>
      </c>
      <c r="O2110" s="4">
        <f>VLOOKUP(B2110, 'All Menu'!B:L, 6, 0)</f>
        <v>18.53448275862069</v>
      </c>
      <c r="P2110" s="6">
        <f>VLOOKUP(B2110, 'All Menu'!B:L, 9, 0)</f>
        <v>13.396247348151649</v>
      </c>
      <c r="Q2110" s="14">
        <f>VLOOKUP(B2110, 'All Menu'!B:M, 12, 0)</f>
        <v>0.27722572447181804</v>
      </c>
      <c r="R2110" s="173">
        <f t="shared" si="107"/>
        <v>0</v>
      </c>
    </row>
    <row r="2111" spans="1:18" ht="14" hidden="1">
      <c r="A2111" s="78" t="s">
        <v>2748</v>
      </c>
      <c r="B2111" s="220" t="s">
        <v>1067</v>
      </c>
      <c r="C2111" s="185"/>
      <c r="D2111" s="103" t="str">
        <f>VLOOKUP(B2111, 'All Menu'!B:M, 4, 0)</f>
        <v>مشاوي مشكلة / 1 كيلو</v>
      </c>
      <c r="E2111" s="30" t="str">
        <f>VLOOKUP(B2111, 'All Menu'!B:M, 2, 0)</f>
        <v>قسم المشاوي</v>
      </c>
      <c r="F2111" s="103" t="str">
        <f>VLOOKUP(B2111, 'All Menu'!B:M, 3, 0)</f>
        <v>المشاوي سفري</v>
      </c>
      <c r="G2111" s="90" t="s">
        <v>2235</v>
      </c>
      <c r="H2111" s="188">
        <v>4504</v>
      </c>
      <c r="I2111" s="110" t="str">
        <f>VLOOKUP(H2111, 'RM &amp; SF'!B:H, 2, 0)</f>
        <v>بصل مشاوي (بصل بيبي)***</v>
      </c>
      <c r="J2111" s="184" t="str">
        <f>VLOOKUP(H2111, 'RM &amp; SF'!B:E, 4, 0)</f>
        <v>غم</v>
      </c>
      <c r="K2111" s="12">
        <v>200</v>
      </c>
      <c r="L2111" s="13">
        <f>VLOOKUP(H2111, 'RM &amp; SF'!B:H, 7, 0)</f>
        <v>3.5E-4</v>
      </c>
      <c r="M2111" s="7">
        <f t="shared" si="106"/>
        <v>6.9999999999999993E-2</v>
      </c>
      <c r="N2111" s="4" t="s">
        <v>825</v>
      </c>
      <c r="O2111" s="4">
        <f>VLOOKUP(B2111, 'All Menu'!B:L, 6, 0)</f>
        <v>18.53448275862069</v>
      </c>
      <c r="P2111" s="6">
        <f>VLOOKUP(B2111, 'All Menu'!B:L, 9, 0)</f>
        <v>13.396247348151649</v>
      </c>
      <c r="Q2111" s="14">
        <f>VLOOKUP(B2111, 'All Menu'!B:M, 12, 0)</f>
        <v>0.27722572447181804</v>
      </c>
      <c r="R2111" s="173">
        <f t="shared" si="107"/>
        <v>0</v>
      </c>
    </row>
    <row r="2112" spans="1:18" ht="14" hidden="1">
      <c r="A2112" s="78" t="s">
        <v>2748</v>
      </c>
      <c r="B2112" s="220" t="s">
        <v>1067</v>
      </c>
      <c r="C2112" s="185"/>
      <c r="D2112" s="103" t="str">
        <f>VLOOKUP(B2112, 'All Menu'!B:M, 4, 0)</f>
        <v>مشاوي مشكلة / 1 كيلو</v>
      </c>
      <c r="E2112" s="30" t="str">
        <f>VLOOKUP(B2112, 'All Menu'!B:M, 2, 0)</f>
        <v>قسم المشاوي</v>
      </c>
      <c r="F2112" s="103" t="str">
        <f>VLOOKUP(B2112, 'All Menu'!B:M, 3, 0)</f>
        <v>المشاوي سفري</v>
      </c>
      <c r="G2112" s="90" t="s">
        <v>2257</v>
      </c>
      <c r="H2112" s="188">
        <v>5281</v>
      </c>
      <c r="I2112" s="110" t="str">
        <f>VLOOKUP(H2112, 'RM &amp; SF'!B:H, 2, 0)</f>
        <v>بندوره مشاوي</v>
      </c>
      <c r="J2112" s="184" t="str">
        <f>VLOOKUP(H2112, 'RM &amp; SF'!B:E, 4, 0)</f>
        <v>غم</v>
      </c>
      <c r="K2112" s="12">
        <v>200</v>
      </c>
      <c r="L2112" s="13">
        <f>VLOOKUP(H2112, 'RM &amp; SF'!B:H, 7, 0)</f>
        <v>4.0000000000000002E-4</v>
      </c>
      <c r="M2112" s="7">
        <f t="shared" si="106"/>
        <v>0.08</v>
      </c>
      <c r="N2112" s="4" t="s">
        <v>825</v>
      </c>
      <c r="O2112" s="4">
        <f>VLOOKUP(B2112, 'All Menu'!B:L, 6, 0)</f>
        <v>18.53448275862069</v>
      </c>
      <c r="P2112" s="6">
        <f>VLOOKUP(B2112, 'All Menu'!B:L, 9, 0)</f>
        <v>13.396247348151649</v>
      </c>
      <c r="Q2112" s="14">
        <f>VLOOKUP(B2112, 'All Menu'!B:M, 12, 0)</f>
        <v>0.27722572447181804</v>
      </c>
      <c r="R2112" s="173">
        <f t="shared" si="107"/>
        <v>0</v>
      </c>
    </row>
    <row r="2113" spans="1:18" ht="14" hidden="1">
      <c r="A2113" s="78" t="s">
        <v>2748</v>
      </c>
      <c r="B2113" s="220" t="s">
        <v>1067</v>
      </c>
      <c r="C2113" s="185"/>
      <c r="D2113" s="103" t="str">
        <f>VLOOKUP(B2113, 'All Menu'!B:M, 4, 0)</f>
        <v>مشاوي مشكلة / 1 كيلو</v>
      </c>
      <c r="E2113" s="30" t="str">
        <f>VLOOKUP(B2113, 'All Menu'!B:M, 2, 0)</f>
        <v>قسم المشاوي</v>
      </c>
      <c r="F2113" s="103" t="str">
        <f>VLOOKUP(B2113, 'All Menu'!B:M, 3, 0)</f>
        <v>المشاوي سفري</v>
      </c>
      <c r="G2113" s="90" t="s">
        <v>2396</v>
      </c>
      <c r="H2113" s="219" t="s">
        <v>582</v>
      </c>
      <c r="I2113" s="110" t="str">
        <f>VLOOKUP(H2113, 'RM &amp; SF'!B:H, 2, 0)</f>
        <v>بيواز</v>
      </c>
      <c r="J2113" s="184" t="str">
        <f>VLOOKUP(H2113, 'RM &amp; SF'!B:E, 4, 0)</f>
        <v>غم</v>
      </c>
      <c r="K2113" s="12">
        <v>50</v>
      </c>
      <c r="L2113" s="13">
        <f>VLOOKUP(H2113, 'RM &amp; SF'!B:H, 7, 0)</f>
        <v>2.0666065869244635E-4</v>
      </c>
      <c r="M2113" s="7">
        <f t="shared" si="106"/>
        <v>1.0333032934622318E-2</v>
      </c>
      <c r="N2113" s="4" t="s">
        <v>825</v>
      </c>
      <c r="O2113" s="4">
        <f>VLOOKUP(B2113, 'All Menu'!B:L, 6, 0)</f>
        <v>18.53448275862069</v>
      </c>
      <c r="P2113" s="6">
        <f>VLOOKUP(B2113, 'All Menu'!B:L, 9, 0)</f>
        <v>13.396247348151649</v>
      </c>
      <c r="Q2113" s="14">
        <f>VLOOKUP(B2113, 'All Menu'!B:M, 12, 0)</f>
        <v>0.27722572447181804</v>
      </c>
      <c r="R2113" s="173">
        <f t="shared" si="107"/>
        <v>0</v>
      </c>
    </row>
    <row r="2114" spans="1:18" ht="14" hidden="1">
      <c r="A2114" s="78" t="s">
        <v>2748</v>
      </c>
      <c r="B2114" s="220" t="s">
        <v>1067</v>
      </c>
      <c r="C2114" s="185"/>
      <c r="D2114" s="103" t="str">
        <f>VLOOKUP(B2114, 'All Menu'!B:M, 4, 0)</f>
        <v>مشاوي مشكلة / 1 كيلو</v>
      </c>
      <c r="E2114" s="30" t="str">
        <f>VLOOKUP(B2114, 'All Menu'!B:M, 2, 0)</f>
        <v>قسم المشاوي</v>
      </c>
      <c r="F2114" s="103" t="str">
        <f>VLOOKUP(B2114, 'All Menu'!B:M, 3, 0)</f>
        <v>المشاوي سفري</v>
      </c>
      <c r="G2114" s="90" t="s">
        <v>2331</v>
      </c>
      <c r="H2114" s="219" t="s">
        <v>530</v>
      </c>
      <c r="I2114" s="110" t="str">
        <f>VLOOKUP(H2114, 'RM &amp; SF'!B:H, 2, 0)</f>
        <v>خبز صاج</v>
      </c>
      <c r="J2114" s="184" t="str">
        <f>VLOOKUP(H2114, 'RM &amp; SF'!B:E, 4, 0)</f>
        <v>غم</v>
      </c>
      <c r="K2114" s="12">
        <v>400</v>
      </c>
      <c r="L2114" s="13">
        <f>VLOOKUP(H2114, 'RM &amp; SF'!B:H, 7, 0)</f>
        <v>1.8806451612903227E-4</v>
      </c>
      <c r="M2114" s="7">
        <f t="shared" si="106"/>
        <v>7.5225806451612906E-2</v>
      </c>
      <c r="N2114" s="4" t="s">
        <v>825</v>
      </c>
      <c r="O2114" s="4">
        <f>VLOOKUP(B2114, 'All Menu'!B:L, 6, 0)</f>
        <v>18.53448275862069</v>
      </c>
      <c r="P2114" s="6">
        <f>VLOOKUP(B2114, 'All Menu'!B:L, 9, 0)</f>
        <v>13.396247348151649</v>
      </c>
      <c r="Q2114" s="14">
        <f>VLOOKUP(B2114, 'All Menu'!B:M, 12, 0)</f>
        <v>0.27722572447181804</v>
      </c>
      <c r="R2114" s="173">
        <f t="shared" si="107"/>
        <v>0</v>
      </c>
    </row>
    <row r="2115" spans="1:18" ht="14" hidden="1">
      <c r="A2115" s="78" t="s">
        <v>2748</v>
      </c>
      <c r="B2115" s="220" t="s">
        <v>1067</v>
      </c>
      <c r="C2115" s="185"/>
      <c r="D2115" s="103" t="str">
        <f>VLOOKUP(B2115, 'All Menu'!B:M, 4, 0)</f>
        <v>مشاوي مشكلة / 1 كيلو</v>
      </c>
      <c r="E2115" s="30" t="str">
        <f>VLOOKUP(B2115, 'All Menu'!B:M, 2, 0)</f>
        <v>قسم المشاوي</v>
      </c>
      <c r="F2115" s="103" t="str">
        <f>VLOOKUP(B2115, 'All Menu'!B:M, 3, 0)</f>
        <v>المشاوي سفري</v>
      </c>
      <c r="G2115" s="90" t="s">
        <v>2231</v>
      </c>
      <c r="H2115" s="188">
        <v>4499</v>
      </c>
      <c r="I2115" s="110" t="str">
        <f>VLOOKUP(H2115, 'RM &amp; SF'!B:H, 2, 0)</f>
        <v>فلفل حار اخضر*****</v>
      </c>
      <c r="J2115" s="184" t="str">
        <f>VLOOKUP(H2115, 'RM &amp; SF'!B:E, 4, 0)</f>
        <v>غم</v>
      </c>
      <c r="K2115" s="12">
        <v>100</v>
      </c>
      <c r="L2115" s="13">
        <f>VLOOKUP(H2115, 'RM &amp; SF'!B:H, 7, 0)</f>
        <v>5.0000000000000001E-4</v>
      </c>
      <c r="M2115" s="7">
        <f t="shared" si="106"/>
        <v>0.05</v>
      </c>
      <c r="N2115" s="4" t="s">
        <v>825</v>
      </c>
      <c r="O2115" s="4">
        <f>VLOOKUP(B2115, 'All Menu'!B:L, 6, 0)</f>
        <v>18.53448275862069</v>
      </c>
      <c r="P2115" s="6">
        <f>VLOOKUP(B2115, 'All Menu'!B:L, 9, 0)</f>
        <v>13.396247348151649</v>
      </c>
      <c r="Q2115" s="14">
        <f>VLOOKUP(B2115, 'All Menu'!B:M, 12, 0)</f>
        <v>0.27722572447181804</v>
      </c>
      <c r="R2115" s="173">
        <f t="shared" si="107"/>
        <v>0</v>
      </c>
    </row>
    <row r="2116" spans="1:18" ht="14" hidden="1">
      <c r="A2116" s="78" t="s">
        <v>2748</v>
      </c>
      <c r="B2116" s="220" t="s">
        <v>1067</v>
      </c>
      <c r="C2116" s="185"/>
      <c r="D2116" s="103" t="str">
        <f>VLOOKUP(B2116, 'All Menu'!B:M, 4, 0)</f>
        <v>مشاوي مشكلة / 1 كيلو</v>
      </c>
      <c r="E2116" s="30" t="str">
        <f>VLOOKUP(B2116, 'All Menu'!B:M, 2, 0)</f>
        <v>قسم المشاوي</v>
      </c>
      <c r="F2116" s="103" t="str">
        <f>VLOOKUP(B2116, 'All Menu'!B:M, 3, 0)</f>
        <v>المشاوي سفري</v>
      </c>
      <c r="G2116" s="90" t="s">
        <v>2194</v>
      </c>
      <c r="H2116" s="188">
        <v>4323</v>
      </c>
      <c r="I2116" s="110" t="str">
        <f>VLOOKUP(H2116, 'RM &amp; SF'!B:H, 2, 0)</f>
        <v>قصدير رول 45 سم*2كغ*****</v>
      </c>
      <c r="J2116" s="184" t="str">
        <f>VLOOKUP(H2116, 'RM &amp; SF'!B:E, 4, 0)</f>
        <v>غم</v>
      </c>
      <c r="K2116" s="12">
        <v>1</v>
      </c>
      <c r="L2116" s="13">
        <f>VLOOKUP(H2116, 'RM &amp; SF'!B:H, 7, 0)</f>
        <v>1.7240000000000001E-3</v>
      </c>
      <c r="M2116" s="7">
        <f t="shared" si="106"/>
        <v>1.7240000000000001E-3</v>
      </c>
      <c r="N2116" s="4" t="s">
        <v>825</v>
      </c>
      <c r="O2116" s="4">
        <f>VLOOKUP(B2116, 'All Menu'!B:L, 6, 0)</f>
        <v>18.53448275862069</v>
      </c>
      <c r="P2116" s="6">
        <f>VLOOKUP(B2116, 'All Menu'!B:L, 9, 0)</f>
        <v>13.396247348151649</v>
      </c>
      <c r="Q2116" s="14">
        <f>VLOOKUP(B2116, 'All Menu'!B:M, 12, 0)</f>
        <v>0.27722572447181804</v>
      </c>
      <c r="R2116" s="173">
        <f t="shared" si="107"/>
        <v>0</v>
      </c>
    </row>
    <row r="2117" spans="1:18" ht="14" hidden="1">
      <c r="A2117" s="78" t="s">
        <v>2748</v>
      </c>
      <c r="B2117" s="220" t="s">
        <v>1067</v>
      </c>
      <c r="C2117" s="185"/>
      <c r="D2117" s="103" t="str">
        <f>VLOOKUP(B2117, 'All Menu'!B:M, 4, 0)</f>
        <v>مشاوي مشكلة / 1 كيلو</v>
      </c>
      <c r="E2117" s="30" t="str">
        <f>VLOOKUP(B2117, 'All Menu'!B:M, 2, 0)</f>
        <v>قسم المشاوي</v>
      </c>
      <c r="F2117" s="103" t="str">
        <f>VLOOKUP(B2117, 'All Menu'!B:M, 3, 0)</f>
        <v>المشاوي سفري</v>
      </c>
      <c r="G2117" s="90" t="s">
        <v>2198</v>
      </c>
      <c r="H2117" s="188">
        <v>4348</v>
      </c>
      <c r="I2117" s="110" t="str">
        <f>VLOOKUP(H2117, 'RM &amp; SF'!B:H, 2, 0)</f>
        <v>صحن كرتون بيضوي مذهب 42 سم (رقم 3)*****</v>
      </c>
      <c r="J2117" s="184" t="str">
        <f>VLOOKUP(H2117, 'RM &amp; SF'!B:E, 4, 0)</f>
        <v>قطعة</v>
      </c>
      <c r="K2117" s="12">
        <v>1</v>
      </c>
      <c r="L2117" s="13">
        <f>VLOOKUP(H2117, 'RM &amp; SF'!B:H, 7, 0)</f>
        <v>0.29299999999999998</v>
      </c>
      <c r="M2117" s="7">
        <f t="shared" si="106"/>
        <v>0.29299999999999998</v>
      </c>
      <c r="N2117" s="4" t="s">
        <v>825</v>
      </c>
      <c r="O2117" s="4">
        <f>VLOOKUP(B2117, 'All Menu'!B:L, 6, 0)</f>
        <v>18.53448275862069</v>
      </c>
      <c r="P2117" s="6">
        <f>VLOOKUP(B2117, 'All Menu'!B:L, 9, 0)</f>
        <v>13.396247348151649</v>
      </c>
      <c r="Q2117" s="14">
        <f>VLOOKUP(B2117, 'All Menu'!B:M, 12, 0)</f>
        <v>0.27722572447181804</v>
      </c>
      <c r="R2117" s="173">
        <f t="shared" si="107"/>
        <v>0</v>
      </c>
    </row>
    <row r="2118" spans="1:18" ht="14" hidden="1">
      <c r="A2118" s="78" t="s">
        <v>2748</v>
      </c>
      <c r="B2118" s="220" t="s">
        <v>1067</v>
      </c>
      <c r="C2118" s="185"/>
      <c r="D2118" s="103" t="str">
        <f>VLOOKUP(B2118, 'All Menu'!B:M, 4, 0)</f>
        <v>مشاوي مشكلة / 1 كيلو</v>
      </c>
      <c r="E2118" s="30" t="str">
        <f>VLOOKUP(B2118, 'All Menu'!B:M, 2, 0)</f>
        <v>قسم المشاوي</v>
      </c>
      <c r="F2118" s="103" t="str">
        <f>VLOOKUP(B2118, 'All Menu'!B:M, 3, 0)</f>
        <v>المشاوي سفري</v>
      </c>
      <c r="G2118" s="90" t="s">
        <v>3058</v>
      </c>
      <c r="H2118" s="188">
        <v>4269</v>
      </c>
      <c r="I2118" s="110" t="str">
        <f>VLOOKUP(H2118, 'RM &amp; SF'!B:H, 2, 0)</f>
        <v>بكجات مشاوي مطبوع رقم 3 1*50 حبة*****</v>
      </c>
      <c r="J2118" s="184" t="str">
        <f>VLOOKUP(H2118, 'RM &amp; SF'!B:E, 4, 0)</f>
        <v>قطعة</v>
      </c>
      <c r="K2118" s="12">
        <v>1</v>
      </c>
      <c r="L2118" s="13">
        <f>VLOOKUP(H2118, 'RM &amp; SF'!B:H, 7, 0)</f>
        <v>0.37068965517241381</v>
      </c>
      <c r="M2118" s="7">
        <f t="shared" si="106"/>
        <v>0.37068965517241381</v>
      </c>
      <c r="N2118" s="4" t="s">
        <v>825</v>
      </c>
      <c r="O2118" s="4">
        <f>VLOOKUP(B2118, 'All Menu'!B:L, 6, 0)</f>
        <v>18.53448275862069</v>
      </c>
      <c r="P2118" s="6">
        <f>VLOOKUP(B2118, 'All Menu'!B:L, 9, 0)</f>
        <v>13.396247348151649</v>
      </c>
      <c r="Q2118" s="14">
        <f>VLOOKUP(B2118, 'All Menu'!B:M, 12, 0)</f>
        <v>0.27722572447181804</v>
      </c>
      <c r="R2118" s="173">
        <f t="shared" si="107"/>
        <v>0</v>
      </c>
    </row>
    <row r="2119" spans="1:18" ht="14" hidden="1">
      <c r="A2119" s="78" t="s">
        <v>2748</v>
      </c>
      <c r="B2119" s="220" t="s">
        <v>1067</v>
      </c>
      <c r="C2119" s="185"/>
      <c r="D2119" s="103" t="str">
        <f>VLOOKUP(B2119, 'All Menu'!B:M, 4, 0)</f>
        <v>مشاوي مشكلة / 1 كيلو</v>
      </c>
      <c r="E2119" s="30" t="str">
        <f>VLOOKUP(B2119, 'All Menu'!B:M, 2, 0)</f>
        <v>قسم المشاوي</v>
      </c>
      <c r="F2119" s="103" t="str">
        <f>VLOOKUP(B2119, 'All Menu'!B:M, 3, 0)</f>
        <v>المشاوي سفري</v>
      </c>
      <c r="G2119" s="90" t="s">
        <v>2404</v>
      </c>
      <c r="H2119" s="219" t="s">
        <v>488</v>
      </c>
      <c r="I2119" s="110" t="str">
        <f>VLOOKUP(H2119, 'RM &amp; SF'!B:H, 2, 0)</f>
        <v>حمص</v>
      </c>
      <c r="J2119" s="184" t="str">
        <f>VLOOKUP(H2119, 'RM &amp; SF'!B:E, 4, 0)</f>
        <v>غم</v>
      </c>
      <c r="K2119" s="12">
        <v>200</v>
      </c>
      <c r="L2119" s="13">
        <f>VLOOKUP(H2119, 'RM &amp; SF'!B:H, 7, 0)</f>
        <v>1.3232918279569891E-3</v>
      </c>
      <c r="M2119" s="7">
        <f t="shared" si="106"/>
        <v>0.26465836559139783</v>
      </c>
      <c r="N2119" s="4" t="s">
        <v>825</v>
      </c>
      <c r="O2119" s="4">
        <f>VLOOKUP(B2119, 'All Menu'!B:L, 6, 0)</f>
        <v>18.53448275862069</v>
      </c>
      <c r="P2119" s="6">
        <f>VLOOKUP(B2119, 'All Menu'!B:L, 9, 0)</f>
        <v>13.396247348151649</v>
      </c>
      <c r="Q2119" s="14">
        <f>VLOOKUP(B2119, 'All Menu'!B:M, 12, 0)</f>
        <v>0.27722572447181804</v>
      </c>
      <c r="R2119" s="173">
        <f t="shared" si="107"/>
        <v>0</v>
      </c>
    </row>
    <row r="2120" spans="1:18" ht="14" hidden="1">
      <c r="A2120" s="78" t="s">
        <v>2747</v>
      </c>
      <c r="B2120" s="220" t="s">
        <v>1068</v>
      </c>
      <c r="C2120" s="185"/>
      <c r="D2120" s="103" t="str">
        <f>VLOOKUP(B2120, 'All Menu'!B:M, 4, 0)</f>
        <v>مشاوي مشكلة / 0.5 ك</v>
      </c>
      <c r="E2120" s="30" t="str">
        <f>VLOOKUP(B2120, 'All Menu'!B:M, 2, 0)</f>
        <v>قسم المشاوي</v>
      </c>
      <c r="F2120" s="103" t="str">
        <f>VLOOKUP(B2120, 'All Menu'!B:M, 3, 0)</f>
        <v>المشاوي سفري</v>
      </c>
      <c r="G2120" s="90" t="s">
        <v>2453</v>
      </c>
      <c r="H2120" s="219" t="s">
        <v>536</v>
      </c>
      <c r="I2120" s="110" t="str">
        <f>VLOOKUP(H2120, 'RM &amp; SF'!B:H, 2, 0)</f>
        <v>كباب</v>
      </c>
      <c r="J2120" s="184" t="str">
        <f>VLOOKUP(H2120, 'RM &amp; SF'!B:E, 4, 0)</f>
        <v>غم</v>
      </c>
      <c r="K2120" s="12">
        <v>200</v>
      </c>
      <c r="L2120" s="13">
        <f>VLOOKUP(H2120, 'RM &amp; SF'!B:H, 7, 0)</f>
        <v>1.1636090242685134E-2</v>
      </c>
      <c r="M2120" s="7">
        <f t="shared" si="106"/>
        <v>2.3272180485370266</v>
      </c>
      <c r="N2120" s="4" t="s">
        <v>825</v>
      </c>
      <c r="O2120" s="4">
        <f>VLOOKUP(B2120, 'All Menu'!B:L, 6, 0)</f>
        <v>10.129310344827587</v>
      </c>
      <c r="P2120" s="6">
        <f>VLOOKUP(B2120, 'All Menu'!B:L, 9, 0)</f>
        <v>8.5399233888278197</v>
      </c>
      <c r="Q2120" s="14">
        <f>VLOOKUP(B2120, 'All Menu'!B:M, 12, 0)</f>
        <v>0.1569096909752962</v>
      </c>
      <c r="R2120" s="173">
        <f t="shared" si="107"/>
        <v>0</v>
      </c>
    </row>
    <row r="2121" spans="1:18" ht="14" hidden="1">
      <c r="A2121" s="78" t="s">
        <v>2747</v>
      </c>
      <c r="B2121" s="220" t="s">
        <v>1068</v>
      </c>
      <c r="C2121" s="185"/>
      <c r="D2121" s="103" t="str">
        <f>VLOOKUP(B2121, 'All Menu'!B:M, 4, 0)</f>
        <v>مشاوي مشكلة / 0.5 ك</v>
      </c>
      <c r="E2121" s="30" t="str">
        <f>VLOOKUP(B2121, 'All Menu'!B:M, 2, 0)</f>
        <v>قسم المشاوي</v>
      </c>
      <c r="F2121" s="103" t="str">
        <f>VLOOKUP(B2121, 'All Menu'!B:M, 3, 0)</f>
        <v>المشاوي سفري</v>
      </c>
      <c r="G2121" s="90" t="s">
        <v>2456</v>
      </c>
      <c r="H2121" s="219" t="s">
        <v>506</v>
      </c>
      <c r="I2121" s="110" t="str">
        <f>VLOOKUP(H2121, 'RM &amp; SF'!B:H, 2, 0)</f>
        <v>شيش</v>
      </c>
      <c r="J2121" s="184" t="str">
        <f>VLOOKUP(H2121, 'RM &amp; SF'!B:E, 4, 0)</f>
        <v>غم</v>
      </c>
      <c r="K2121" s="12">
        <v>200</v>
      </c>
      <c r="L2121" s="13">
        <f>VLOOKUP(H2121, 'RM &amp; SF'!B:H, 7, 0)</f>
        <v>4.6721213030918281E-3</v>
      </c>
      <c r="M2121" s="7">
        <f t="shared" ref="M2121:M2183" si="110">L2121*K2121</f>
        <v>0.93442426061836559</v>
      </c>
      <c r="N2121" s="4" t="s">
        <v>825</v>
      </c>
      <c r="O2121" s="4">
        <f>VLOOKUP(B2121, 'All Menu'!B:L, 6, 0)</f>
        <v>10.129310344827587</v>
      </c>
      <c r="P2121" s="6">
        <f>VLOOKUP(B2121, 'All Menu'!B:L, 9, 0)</f>
        <v>8.5399233888278197</v>
      </c>
      <c r="Q2121" s="14">
        <f>VLOOKUP(B2121, 'All Menu'!B:M, 12, 0)</f>
        <v>0.1569096909752962</v>
      </c>
      <c r="R2121" s="173">
        <f t="shared" si="107"/>
        <v>0</v>
      </c>
    </row>
    <row r="2122" spans="1:18" ht="14" hidden="1">
      <c r="A2122" s="78" t="s">
        <v>2747</v>
      </c>
      <c r="B2122" s="220" t="s">
        <v>1068</v>
      </c>
      <c r="C2122" s="185"/>
      <c r="D2122" s="103" t="str">
        <f>VLOOKUP(B2122, 'All Menu'!B:M, 4, 0)</f>
        <v>مشاوي مشكلة / 0.5 ك</v>
      </c>
      <c r="E2122" s="30" t="str">
        <f>VLOOKUP(B2122, 'All Menu'!B:M, 2, 0)</f>
        <v>قسم المشاوي</v>
      </c>
      <c r="F2122" s="103" t="str">
        <f>VLOOKUP(B2122, 'All Menu'!B:M, 3, 0)</f>
        <v>المشاوي سفري</v>
      </c>
      <c r="G2122" s="90" t="s">
        <v>2452</v>
      </c>
      <c r="H2122" s="219" t="s">
        <v>528</v>
      </c>
      <c r="I2122" s="110" t="str">
        <f>VLOOKUP(H2122, 'RM &amp; SF'!B:H, 2, 0)</f>
        <v>شقف متبلة</v>
      </c>
      <c r="J2122" s="184" t="str">
        <f>VLOOKUP(H2122, 'RM &amp; SF'!B:E, 4, 0)</f>
        <v>غم</v>
      </c>
      <c r="K2122" s="12">
        <v>200</v>
      </c>
      <c r="L2122" s="13">
        <f>VLOOKUP(H2122, 'RM &amp; SF'!B:H, 7, 0)</f>
        <v>2.0415146666666665E-2</v>
      </c>
      <c r="M2122" s="7">
        <f t="shared" si="110"/>
        <v>4.0830293333333332</v>
      </c>
      <c r="N2122" s="4" t="s">
        <v>825</v>
      </c>
      <c r="O2122" s="4">
        <f>VLOOKUP(B2122, 'All Menu'!B:L, 6, 0)</f>
        <v>10.129310344827587</v>
      </c>
      <c r="P2122" s="6">
        <f>VLOOKUP(B2122, 'All Menu'!B:L, 9, 0)</f>
        <v>8.5399233888278197</v>
      </c>
      <c r="Q2122" s="14">
        <f>VLOOKUP(B2122, 'All Menu'!B:M, 12, 0)</f>
        <v>0.1569096909752962</v>
      </c>
      <c r="R2122" s="173">
        <f t="shared" si="107"/>
        <v>0</v>
      </c>
    </row>
    <row r="2123" spans="1:18" ht="14" hidden="1">
      <c r="A2123" s="78" t="s">
        <v>2747</v>
      </c>
      <c r="B2123" s="220" t="s">
        <v>1068</v>
      </c>
      <c r="C2123" s="185"/>
      <c r="D2123" s="103" t="str">
        <f>VLOOKUP(B2123, 'All Menu'!B:M, 4, 0)</f>
        <v>مشاوي مشكلة / 0.5 ك</v>
      </c>
      <c r="E2123" s="30" t="str">
        <f>VLOOKUP(B2123, 'All Menu'!B:M, 2, 0)</f>
        <v>قسم المشاوي</v>
      </c>
      <c r="F2123" s="103" t="str">
        <f>VLOOKUP(B2123, 'All Menu'!B:M, 3, 0)</f>
        <v>المشاوي سفري</v>
      </c>
      <c r="G2123" s="90" t="s">
        <v>2235</v>
      </c>
      <c r="H2123" s="188">
        <v>4504</v>
      </c>
      <c r="I2123" s="110" t="str">
        <f>VLOOKUP(H2123, 'RM &amp; SF'!B:H, 2, 0)</f>
        <v>بصل مشاوي (بصل بيبي)***</v>
      </c>
      <c r="J2123" s="184" t="str">
        <f>VLOOKUP(H2123, 'RM &amp; SF'!B:E, 4, 0)</f>
        <v>غم</v>
      </c>
      <c r="K2123" s="12">
        <v>50</v>
      </c>
      <c r="L2123" s="13">
        <f>VLOOKUP(H2123, 'RM &amp; SF'!B:H, 7, 0)</f>
        <v>3.5E-4</v>
      </c>
      <c r="M2123" s="7">
        <f t="shared" si="110"/>
        <v>1.7499999999999998E-2</v>
      </c>
      <c r="N2123" s="4" t="s">
        <v>825</v>
      </c>
      <c r="O2123" s="4">
        <f>VLOOKUP(B2123, 'All Menu'!B:L, 6, 0)</f>
        <v>10.129310344827587</v>
      </c>
      <c r="P2123" s="6">
        <f>VLOOKUP(B2123, 'All Menu'!B:L, 9, 0)</f>
        <v>8.5399233888278197</v>
      </c>
      <c r="Q2123" s="14">
        <f>VLOOKUP(B2123, 'All Menu'!B:M, 12, 0)</f>
        <v>0.1569096909752962</v>
      </c>
      <c r="R2123" s="173">
        <f t="shared" si="107"/>
        <v>0</v>
      </c>
    </row>
    <row r="2124" spans="1:18" ht="14" hidden="1">
      <c r="A2124" s="78" t="s">
        <v>2747</v>
      </c>
      <c r="B2124" s="220" t="s">
        <v>1068</v>
      </c>
      <c r="C2124" s="185"/>
      <c r="D2124" s="103" t="str">
        <f>VLOOKUP(B2124, 'All Menu'!B:M, 4, 0)</f>
        <v>مشاوي مشكلة / 0.5 ك</v>
      </c>
      <c r="E2124" s="30" t="str">
        <f>VLOOKUP(B2124, 'All Menu'!B:M, 2, 0)</f>
        <v>قسم المشاوي</v>
      </c>
      <c r="F2124" s="103" t="str">
        <f>VLOOKUP(B2124, 'All Menu'!B:M, 3, 0)</f>
        <v>المشاوي سفري</v>
      </c>
      <c r="G2124" s="90" t="s">
        <v>2257</v>
      </c>
      <c r="H2124" s="188">
        <v>5281</v>
      </c>
      <c r="I2124" s="110" t="str">
        <f>VLOOKUP(H2124, 'RM &amp; SF'!B:H, 2, 0)</f>
        <v>بندوره مشاوي</v>
      </c>
      <c r="J2124" s="184" t="str">
        <f>VLOOKUP(H2124, 'RM &amp; SF'!B:E, 4, 0)</f>
        <v>غم</v>
      </c>
      <c r="K2124" s="12">
        <v>50</v>
      </c>
      <c r="L2124" s="13">
        <f>VLOOKUP(H2124, 'RM &amp; SF'!B:H, 7, 0)</f>
        <v>4.0000000000000002E-4</v>
      </c>
      <c r="M2124" s="7">
        <f t="shared" si="110"/>
        <v>0.02</v>
      </c>
      <c r="N2124" s="4" t="s">
        <v>825</v>
      </c>
      <c r="O2124" s="4">
        <f>VLOOKUP(B2124, 'All Menu'!B:L, 6, 0)</f>
        <v>10.129310344827587</v>
      </c>
      <c r="P2124" s="6">
        <f>VLOOKUP(B2124, 'All Menu'!B:L, 9, 0)</f>
        <v>8.5399233888278197</v>
      </c>
      <c r="Q2124" s="14">
        <f>VLOOKUP(B2124, 'All Menu'!B:M, 12, 0)</f>
        <v>0.1569096909752962</v>
      </c>
      <c r="R2124" s="173">
        <f t="shared" si="107"/>
        <v>0</v>
      </c>
    </row>
    <row r="2125" spans="1:18" ht="14" hidden="1">
      <c r="A2125" s="78" t="s">
        <v>2747</v>
      </c>
      <c r="B2125" s="220" t="s">
        <v>1068</v>
      </c>
      <c r="C2125" s="185"/>
      <c r="D2125" s="103" t="str">
        <f>VLOOKUP(B2125, 'All Menu'!B:M, 4, 0)</f>
        <v>مشاوي مشكلة / 0.5 ك</v>
      </c>
      <c r="E2125" s="30" t="str">
        <f>VLOOKUP(B2125, 'All Menu'!B:M, 2, 0)</f>
        <v>قسم المشاوي</v>
      </c>
      <c r="F2125" s="103" t="str">
        <f>VLOOKUP(B2125, 'All Menu'!B:M, 3, 0)</f>
        <v>المشاوي سفري</v>
      </c>
      <c r="G2125" s="90" t="s">
        <v>2396</v>
      </c>
      <c r="H2125" s="219" t="s">
        <v>582</v>
      </c>
      <c r="I2125" s="110" t="str">
        <f>VLOOKUP(H2125, 'RM &amp; SF'!B:H, 2, 0)</f>
        <v>بيواز</v>
      </c>
      <c r="J2125" s="184" t="str">
        <f>VLOOKUP(H2125, 'RM &amp; SF'!B:E, 4, 0)</f>
        <v>غم</v>
      </c>
      <c r="K2125" s="12">
        <v>20</v>
      </c>
      <c r="L2125" s="13">
        <f>VLOOKUP(H2125, 'RM &amp; SF'!B:H, 7, 0)</f>
        <v>2.0666065869244635E-4</v>
      </c>
      <c r="M2125" s="7">
        <f t="shared" si="110"/>
        <v>4.1332131738489267E-3</v>
      </c>
      <c r="N2125" s="4" t="s">
        <v>825</v>
      </c>
      <c r="O2125" s="4">
        <f>VLOOKUP(B2125, 'All Menu'!B:L, 6, 0)</f>
        <v>10.129310344827587</v>
      </c>
      <c r="P2125" s="6">
        <f>VLOOKUP(B2125, 'All Menu'!B:L, 9, 0)</f>
        <v>8.5399233888278197</v>
      </c>
      <c r="Q2125" s="14">
        <f>VLOOKUP(B2125, 'All Menu'!B:M, 12, 0)</f>
        <v>0.1569096909752962</v>
      </c>
      <c r="R2125" s="173">
        <f t="shared" si="107"/>
        <v>0</v>
      </c>
    </row>
    <row r="2126" spans="1:18" ht="14" hidden="1">
      <c r="A2126" s="78" t="s">
        <v>2747</v>
      </c>
      <c r="B2126" s="220" t="s">
        <v>1068</v>
      </c>
      <c r="C2126" s="185"/>
      <c r="D2126" s="103" t="str">
        <f>VLOOKUP(B2126, 'All Menu'!B:M, 4, 0)</f>
        <v>مشاوي مشكلة / 0.5 ك</v>
      </c>
      <c r="E2126" s="30" t="str">
        <f>VLOOKUP(B2126, 'All Menu'!B:M, 2, 0)</f>
        <v>قسم المشاوي</v>
      </c>
      <c r="F2126" s="103" t="str">
        <f>VLOOKUP(B2126, 'All Menu'!B:M, 3, 0)</f>
        <v>المشاوي سفري</v>
      </c>
      <c r="G2126" s="90" t="s">
        <v>2331</v>
      </c>
      <c r="H2126" s="219" t="s">
        <v>530</v>
      </c>
      <c r="I2126" s="110" t="str">
        <f>VLOOKUP(H2126, 'RM &amp; SF'!B:H, 2, 0)</f>
        <v>خبز صاج</v>
      </c>
      <c r="J2126" s="184" t="str">
        <f>VLOOKUP(H2126, 'RM &amp; SF'!B:E, 4, 0)</f>
        <v>غم</v>
      </c>
      <c r="K2126" s="12">
        <v>200</v>
      </c>
      <c r="L2126" s="13">
        <f>VLOOKUP(H2126, 'RM &amp; SF'!B:H, 7, 0)</f>
        <v>1.8806451612903227E-4</v>
      </c>
      <c r="M2126" s="7">
        <f t="shared" si="110"/>
        <v>3.7612903225806453E-2</v>
      </c>
      <c r="N2126" s="4" t="s">
        <v>825</v>
      </c>
      <c r="O2126" s="4">
        <f>VLOOKUP(B2126, 'All Menu'!B:L, 6, 0)</f>
        <v>10.129310344827587</v>
      </c>
      <c r="P2126" s="6">
        <f>VLOOKUP(B2126, 'All Menu'!B:L, 9, 0)</f>
        <v>8.5399233888278197</v>
      </c>
      <c r="Q2126" s="14">
        <f>VLOOKUP(B2126, 'All Menu'!B:M, 12, 0)</f>
        <v>0.1569096909752962</v>
      </c>
      <c r="R2126" s="173">
        <f t="shared" si="107"/>
        <v>0</v>
      </c>
    </row>
    <row r="2127" spans="1:18" ht="14" hidden="1">
      <c r="A2127" s="78" t="s">
        <v>2747</v>
      </c>
      <c r="B2127" s="220" t="s">
        <v>1068</v>
      </c>
      <c r="C2127" s="185"/>
      <c r="D2127" s="103" t="str">
        <f>VLOOKUP(B2127, 'All Menu'!B:M, 4, 0)</f>
        <v>مشاوي مشكلة / 0.5 ك</v>
      </c>
      <c r="E2127" s="30" t="str">
        <f>VLOOKUP(B2127, 'All Menu'!B:M, 2, 0)</f>
        <v>قسم المشاوي</v>
      </c>
      <c r="F2127" s="103" t="str">
        <f>VLOOKUP(B2127, 'All Menu'!B:M, 3, 0)</f>
        <v>المشاوي سفري</v>
      </c>
      <c r="G2127" s="90" t="s">
        <v>2231</v>
      </c>
      <c r="H2127" s="188">
        <v>4499</v>
      </c>
      <c r="I2127" s="110" t="str">
        <f>VLOOKUP(H2127, 'RM &amp; SF'!B:H, 2, 0)</f>
        <v>فلفل حار اخضر*****</v>
      </c>
      <c r="J2127" s="184" t="str">
        <f>VLOOKUP(H2127, 'RM &amp; SF'!B:E, 4, 0)</f>
        <v>غم</v>
      </c>
      <c r="K2127" s="12">
        <v>40</v>
      </c>
      <c r="L2127" s="13">
        <f>VLOOKUP(H2127, 'RM &amp; SF'!B:H, 7, 0)</f>
        <v>5.0000000000000001E-4</v>
      </c>
      <c r="M2127" s="7">
        <f t="shared" si="110"/>
        <v>0.02</v>
      </c>
      <c r="N2127" s="4" t="s">
        <v>825</v>
      </c>
      <c r="O2127" s="4">
        <f>VLOOKUP(B2127, 'All Menu'!B:L, 6, 0)</f>
        <v>10.129310344827587</v>
      </c>
      <c r="P2127" s="6">
        <f>VLOOKUP(B2127, 'All Menu'!B:L, 9, 0)</f>
        <v>8.5399233888278197</v>
      </c>
      <c r="Q2127" s="14">
        <f>VLOOKUP(B2127, 'All Menu'!B:M, 12, 0)</f>
        <v>0.1569096909752962</v>
      </c>
      <c r="R2127" s="173">
        <f t="shared" si="107"/>
        <v>0</v>
      </c>
    </row>
    <row r="2128" spans="1:18" ht="14" hidden="1">
      <c r="A2128" s="78" t="s">
        <v>2747</v>
      </c>
      <c r="B2128" s="220" t="s">
        <v>1068</v>
      </c>
      <c r="C2128" s="185"/>
      <c r="D2128" s="103" t="str">
        <f>VLOOKUP(B2128, 'All Menu'!B:M, 4, 0)</f>
        <v>مشاوي مشكلة / 0.5 ك</v>
      </c>
      <c r="E2128" s="30" t="str">
        <f>VLOOKUP(B2128, 'All Menu'!B:M, 2, 0)</f>
        <v>قسم المشاوي</v>
      </c>
      <c r="F2128" s="103" t="str">
        <f>VLOOKUP(B2128, 'All Menu'!B:M, 3, 0)</f>
        <v>المشاوي سفري</v>
      </c>
      <c r="G2128" s="90" t="s">
        <v>2352</v>
      </c>
      <c r="H2128" s="219" t="s">
        <v>730</v>
      </c>
      <c r="I2128" s="110" t="str">
        <f>VLOOKUP(H2128, 'RM &amp; SF'!B:H, 2, 0)</f>
        <v>علبة حمص سفري 250غم</v>
      </c>
      <c r="J2128" s="184" t="str">
        <f>VLOOKUP(H2128, 'RM &amp; SF'!B:E, 4, 0)</f>
        <v>قطعة</v>
      </c>
      <c r="K2128" s="12">
        <v>1</v>
      </c>
      <c r="L2128" s="13">
        <f>VLOOKUP(H2128, 'RM &amp; SF'!B:H, 7, 0)</f>
        <v>0.43221253476702504</v>
      </c>
      <c r="M2128" s="7">
        <f t="shared" si="110"/>
        <v>0.43221253476702504</v>
      </c>
      <c r="N2128" s="4" t="s">
        <v>825</v>
      </c>
      <c r="O2128" s="4">
        <f>VLOOKUP(B2128, 'All Menu'!B:L, 6, 0)</f>
        <v>10.129310344827587</v>
      </c>
      <c r="P2128" s="6">
        <f>VLOOKUP(B2128, 'All Menu'!B:L, 9, 0)</f>
        <v>8.5399233888278197</v>
      </c>
      <c r="Q2128" s="14">
        <f>VLOOKUP(B2128, 'All Menu'!B:M, 12, 0)</f>
        <v>0.1569096909752962</v>
      </c>
      <c r="R2128" s="173">
        <f t="shared" si="107"/>
        <v>0</v>
      </c>
    </row>
    <row r="2129" spans="1:18" ht="14" hidden="1">
      <c r="A2129" s="78" t="s">
        <v>2747</v>
      </c>
      <c r="B2129" s="220" t="s">
        <v>1068</v>
      </c>
      <c r="C2129" s="185"/>
      <c r="D2129" s="103" t="str">
        <f>VLOOKUP(B2129, 'All Menu'!B:M, 4, 0)</f>
        <v>مشاوي مشكلة / 0.5 ك</v>
      </c>
      <c r="E2129" s="30" t="str">
        <f>VLOOKUP(B2129, 'All Menu'!B:M, 2, 0)</f>
        <v>قسم المشاوي</v>
      </c>
      <c r="F2129" s="103" t="str">
        <f>VLOOKUP(B2129, 'All Menu'!B:M, 3, 0)</f>
        <v>المشاوي سفري</v>
      </c>
      <c r="G2129" s="90" t="s">
        <v>2194</v>
      </c>
      <c r="H2129" s="188">
        <v>4323</v>
      </c>
      <c r="I2129" s="110" t="str">
        <f>VLOOKUP(H2129, 'RM &amp; SF'!B:H, 2, 0)</f>
        <v>قصدير رول 45 سم*2كغ*****</v>
      </c>
      <c r="J2129" s="184" t="str">
        <f>VLOOKUP(H2129, 'RM &amp; SF'!B:E, 4, 0)</f>
        <v>غم</v>
      </c>
      <c r="K2129" s="12">
        <v>0.06</v>
      </c>
      <c r="L2129" s="13">
        <f>VLOOKUP(H2129, 'RM &amp; SF'!B:H, 7, 0)</f>
        <v>1.7240000000000001E-3</v>
      </c>
      <c r="M2129" s="7">
        <f t="shared" si="110"/>
        <v>1.0344E-4</v>
      </c>
      <c r="N2129" s="4" t="s">
        <v>825</v>
      </c>
      <c r="O2129" s="4">
        <f>VLOOKUP(B2129, 'All Menu'!B:L, 6, 0)</f>
        <v>10.129310344827587</v>
      </c>
      <c r="P2129" s="6">
        <f>VLOOKUP(B2129, 'All Menu'!B:L, 9, 0)</f>
        <v>8.5399233888278197</v>
      </c>
      <c r="Q2129" s="14">
        <f>VLOOKUP(B2129, 'All Menu'!B:M, 12, 0)</f>
        <v>0.1569096909752962</v>
      </c>
      <c r="R2129" s="173">
        <f t="shared" si="107"/>
        <v>0</v>
      </c>
    </row>
    <row r="2130" spans="1:18" ht="14" hidden="1">
      <c r="A2130" s="78" t="s">
        <v>2747</v>
      </c>
      <c r="B2130" s="220" t="s">
        <v>1068</v>
      </c>
      <c r="C2130" s="185"/>
      <c r="D2130" s="103" t="str">
        <f>VLOOKUP(B2130, 'All Menu'!B:M, 4, 0)</f>
        <v>مشاوي مشكلة / 0.5 ك</v>
      </c>
      <c r="E2130" s="30" t="str">
        <f>VLOOKUP(B2130, 'All Menu'!B:M, 2, 0)</f>
        <v>قسم المشاوي</v>
      </c>
      <c r="F2130" s="103" t="str">
        <f>VLOOKUP(B2130, 'All Menu'!B:M, 3, 0)</f>
        <v>المشاوي سفري</v>
      </c>
      <c r="G2130" s="90" t="s">
        <v>2198</v>
      </c>
      <c r="H2130" s="188">
        <v>4348</v>
      </c>
      <c r="I2130" s="110" t="str">
        <f>VLOOKUP(H2130, 'RM &amp; SF'!B:H, 2, 0)</f>
        <v>صحن كرتون بيضوي مذهب 42 سم (رقم 3)*****</v>
      </c>
      <c r="J2130" s="184" t="str">
        <f>VLOOKUP(H2130, 'RM &amp; SF'!B:E, 4, 0)</f>
        <v>قطعة</v>
      </c>
      <c r="K2130" s="12">
        <v>1</v>
      </c>
      <c r="L2130" s="13">
        <f>VLOOKUP(H2130, 'RM &amp; SF'!B:H, 7, 0)</f>
        <v>0.29299999999999998</v>
      </c>
      <c r="M2130" s="7">
        <f t="shared" si="110"/>
        <v>0.29299999999999998</v>
      </c>
      <c r="N2130" s="4" t="s">
        <v>825</v>
      </c>
      <c r="O2130" s="4">
        <f>VLOOKUP(B2130, 'All Menu'!B:L, 6, 0)</f>
        <v>10.129310344827587</v>
      </c>
      <c r="P2130" s="6">
        <f>VLOOKUP(B2130, 'All Menu'!B:L, 9, 0)</f>
        <v>8.5399233888278197</v>
      </c>
      <c r="Q2130" s="14">
        <f>VLOOKUP(B2130, 'All Menu'!B:M, 12, 0)</f>
        <v>0.1569096909752962</v>
      </c>
      <c r="R2130" s="173">
        <f t="shared" si="107"/>
        <v>0</v>
      </c>
    </row>
    <row r="2131" spans="1:18" ht="14" hidden="1">
      <c r="A2131" s="78" t="s">
        <v>2747</v>
      </c>
      <c r="B2131" s="220" t="s">
        <v>1068</v>
      </c>
      <c r="C2131" s="185"/>
      <c r="D2131" s="103" t="str">
        <f>VLOOKUP(B2131, 'All Menu'!B:M, 4, 0)</f>
        <v>مشاوي مشكلة / 0.5 ك</v>
      </c>
      <c r="E2131" s="30" t="str">
        <f>VLOOKUP(B2131, 'All Menu'!B:M, 2, 0)</f>
        <v>قسم المشاوي</v>
      </c>
      <c r="F2131" s="103" t="str">
        <f>VLOOKUP(B2131, 'All Menu'!B:M, 3, 0)</f>
        <v>المشاوي سفري</v>
      </c>
      <c r="G2131" s="90" t="s">
        <v>3058</v>
      </c>
      <c r="H2131" s="188">
        <v>4269</v>
      </c>
      <c r="I2131" s="110" t="str">
        <f>VLOOKUP(H2131, 'RM &amp; SF'!B:H, 2, 0)</f>
        <v>بكجات مشاوي مطبوع رقم 3 1*50 حبة*****</v>
      </c>
      <c r="J2131" s="184" t="str">
        <f>VLOOKUP(H2131, 'RM &amp; SF'!B:E, 4, 0)</f>
        <v>قطعة</v>
      </c>
      <c r="K2131" s="12">
        <v>1</v>
      </c>
      <c r="L2131" s="13">
        <f>VLOOKUP(H2131, 'RM &amp; SF'!B:H, 7, 0)</f>
        <v>0.37068965517241381</v>
      </c>
      <c r="M2131" s="7">
        <f t="shared" si="110"/>
        <v>0.37068965517241381</v>
      </c>
      <c r="N2131" s="4" t="s">
        <v>825</v>
      </c>
      <c r="O2131" s="4">
        <f>VLOOKUP(B2131, 'All Menu'!B:L, 6, 0)</f>
        <v>10.129310344827587</v>
      </c>
      <c r="P2131" s="6">
        <f>VLOOKUP(B2131, 'All Menu'!B:L, 9, 0)</f>
        <v>8.5399233888278197</v>
      </c>
      <c r="Q2131" s="14">
        <f>VLOOKUP(B2131, 'All Menu'!B:M, 12, 0)</f>
        <v>0.1569096909752962</v>
      </c>
      <c r="R2131" s="173">
        <f t="shared" ref="R2131:R2193" si="111">C2131*K2131</f>
        <v>0</v>
      </c>
    </row>
    <row r="2132" spans="1:18" ht="14" hidden="1">
      <c r="A2132" s="78" t="s">
        <v>2778</v>
      </c>
      <c r="B2132" s="220" t="s">
        <v>1136</v>
      </c>
      <c r="C2132" s="185"/>
      <c r="D2132" s="103" t="str">
        <f>VLOOKUP(B2132, 'All Menu'!B:M, 4, 0)</f>
        <v>سيخ كباب</v>
      </c>
      <c r="E2132" s="30" t="str">
        <f>VLOOKUP(B2132, 'All Menu'!B:M, 2, 0)</f>
        <v>قسم المشاوي</v>
      </c>
      <c r="F2132" s="103" t="str">
        <f>VLOOKUP(B2132, 'All Menu'!B:M, 3, 0)</f>
        <v>المشاوي سفري2</v>
      </c>
      <c r="G2132" s="90" t="s">
        <v>2453</v>
      </c>
      <c r="H2132" s="219" t="s">
        <v>536</v>
      </c>
      <c r="I2132" s="110" t="str">
        <f>VLOOKUP(H2132, 'RM &amp; SF'!B:H, 2, 0)</f>
        <v>كباب</v>
      </c>
      <c r="J2132" s="184" t="str">
        <f>VLOOKUP(H2132, 'RM &amp; SF'!B:E, 4, 0)</f>
        <v>غم</v>
      </c>
      <c r="K2132" s="12">
        <v>100</v>
      </c>
      <c r="L2132" s="13">
        <f>VLOOKUP(H2132, 'RM &amp; SF'!B:H, 7, 0)</f>
        <v>1.1636090242685134E-2</v>
      </c>
      <c r="M2132" s="7">
        <f t="shared" si="110"/>
        <v>1.1636090242685133</v>
      </c>
      <c r="N2132" s="4" t="s">
        <v>825</v>
      </c>
      <c r="O2132" s="4">
        <f>VLOOKUP(B2132, 'All Menu'!B:L, 6, 0)</f>
        <v>1.9396551724137931</v>
      </c>
      <c r="P2132" s="6">
        <f>VLOOKUP(B2132, 'All Menu'!B:L, 9, 0)</f>
        <v>1.1636090242685133</v>
      </c>
      <c r="Q2132" s="14">
        <f>VLOOKUP(B2132, 'All Menu'!B:M, 12, 0)</f>
        <v>0.4000949030437887</v>
      </c>
      <c r="R2132" s="173">
        <f t="shared" si="111"/>
        <v>0</v>
      </c>
    </row>
    <row r="2133" spans="1:18" ht="14" hidden="1">
      <c r="A2133" s="78" t="s">
        <v>2779</v>
      </c>
      <c r="B2133" s="220" t="s">
        <v>1137</v>
      </c>
      <c r="C2133" s="185"/>
      <c r="D2133" s="103" t="str">
        <f>VLOOKUP(B2133, 'All Menu'!B:M, 4, 0)</f>
        <v>سيخ لية</v>
      </c>
      <c r="E2133" s="30" t="str">
        <f>VLOOKUP(B2133, 'All Menu'!B:M, 2, 0)</f>
        <v>قسم المشاوي</v>
      </c>
      <c r="F2133" s="103" t="str">
        <f>VLOOKUP(B2133, 'All Menu'!B:M, 3, 0)</f>
        <v>المشاوي سفري2</v>
      </c>
      <c r="G2133" s="90" t="s">
        <v>3058</v>
      </c>
      <c r="H2133" s="188">
        <v>4598</v>
      </c>
      <c r="I2133" s="110" t="str">
        <f>VLOOKUP(H2133, 'RM &amp; SF'!B:H, 2, 0)</f>
        <v>لية خروف نية*****</v>
      </c>
      <c r="J2133" s="184" t="str">
        <f>VLOOKUP(H2133, 'RM &amp; SF'!B:E, 4, 0)</f>
        <v>غم</v>
      </c>
      <c r="K2133" s="12">
        <v>100</v>
      </c>
      <c r="L2133" s="13">
        <f>VLOOKUP(H2133, 'RM &amp; SF'!B:H, 7, 0)</f>
        <v>5.0000000000000001E-3</v>
      </c>
      <c r="M2133" s="7">
        <f t="shared" si="110"/>
        <v>0.5</v>
      </c>
      <c r="N2133" s="4" t="s">
        <v>825</v>
      </c>
      <c r="O2133" s="4">
        <f>VLOOKUP(B2133, 'All Menu'!B:L, 6, 0)</f>
        <v>1.7241379310344829</v>
      </c>
      <c r="P2133" s="6">
        <f>VLOOKUP(B2133, 'All Menu'!B:L, 9, 0)</f>
        <v>0.5</v>
      </c>
      <c r="Q2133" s="14">
        <f>VLOOKUP(B2133, 'All Menu'!B:M, 12, 0)</f>
        <v>0.71</v>
      </c>
      <c r="R2133" s="173">
        <f t="shared" si="111"/>
        <v>0</v>
      </c>
    </row>
    <row r="2134" spans="1:18" ht="14" hidden="1">
      <c r="A2134" s="78" t="s">
        <v>2780</v>
      </c>
      <c r="B2134" s="220" t="s">
        <v>1139</v>
      </c>
      <c r="C2134" s="185"/>
      <c r="D2134" s="103" t="str">
        <f>VLOOKUP(B2134, 'All Menu'!B:M, 4, 0)</f>
        <v>سيخ كبدة خروف</v>
      </c>
      <c r="E2134" s="30" t="str">
        <f>VLOOKUP(B2134, 'All Menu'!B:M, 2, 0)</f>
        <v>قسم المشاوي</v>
      </c>
      <c r="F2134" s="103" t="str">
        <f>VLOOKUP(B2134, 'All Menu'!B:M, 3, 0)</f>
        <v>المشاوي سفري2</v>
      </c>
      <c r="G2134" s="90" t="s">
        <v>3058</v>
      </c>
      <c r="H2134" s="188">
        <v>1082</v>
      </c>
      <c r="I2134" s="110" t="str">
        <f>VLOOKUP(H2134, 'RM &amp; SF'!B:H, 2, 0)</f>
        <v>كبدة غنم</v>
      </c>
      <c r="J2134" s="184" t="str">
        <f>VLOOKUP(H2134, 'RM &amp; SF'!B:E, 4, 0)</f>
        <v>غم</v>
      </c>
      <c r="K2134" s="12">
        <v>100</v>
      </c>
      <c r="L2134" s="13">
        <f>VLOOKUP(H2134, 'RM &amp; SF'!B:H, 7, 0)</f>
        <v>7.0000000000000001E-3</v>
      </c>
      <c r="M2134" s="7">
        <f t="shared" si="110"/>
        <v>0.70000000000000007</v>
      </c>
      <c r="N2134" s="4" t="s">
        <v>825</v>
      </c>
      <c r="O2134" s="4">
        <f>VLOOKUP(B2134, 'All Menu'!B:L, 6, 0)</f>
        <v>1.2931034482758621</v>
      </c>
      <c r="P2134" s="6">
        <f>VLOOKUP(B2134, 'All Menu'!B:L, 9, 0)</f>
        <v>0.70000000000000007</v>
      </c>
      <c r="Q2134" s="14">
        <f>VLOOKUP(B2134, 'All Menu'!B:M, 12, 0)</f>
        <v>0.45866666666666661</v>
      </c>
      <c r="R2134" s="173">
        <f t="shared" si="111"/>
        <v>0</v>
      </c>
    </row>
    <row r="2135" spans="1:18" ht="14" hidden="1">
      <c r="A2135" s="78" t="s">
        <v>2782</v>
      </c>
      <c r="B2135" s="220" t="s">
        <v>1140</v>
      </c>
      <c r="C2135" s="185"/>
      <c r="D2135" s="103" t="str">
        <f>VLOOKUP(B2135, 'All Menu'!B:M, 4, 0)</f>
        <v>سيخ بصل مشوي</v>
      </c>
      <c r="E2135" s="30" t="str">
        <f>VLOOKUP(B2135, 'All Menu'!B:M, 2, 0)</f>
        <v>قسم المشاوي</v>
      </c>
      <c r="F2135" s="103" t="str">
        <f>VLOOKUP(B2135, 'All Menu'!B:M, 3, 0)</f>
        <v>المشاوي سفري2</v>
      </c>
      <c r="G2135" s="90" t="s">
        <v>2235</v>
      </c>
      <c r="H2135" s="188">
        <v>4504</v>
      </c>
      <c r="I2135" s="110" t="str">
        <f>VLOOKUP(H2135, 'RM &amp; SF'!B:H, 2, 0)</f>
        <v>بصل مشاوي (بصل بيبي)***</v>
      </c>
      <c r="J2135" s="184" t="str">
        <f>VLOOKUP(H2135, 'RM &amp; SF'!B:E, 4, 0)</f>
        <v>غم</v>
      </c>
      <c r="K2135" s="12">
        <v>120</v>
      </c>
      <c r="L2135" s="13">
        <f>VLOOKUP(H2135, 'RM &amp; SF'!B:H, 7, 0)</f>
        <v>3.5E-4</v>
      </c>
      <c r="M2135" s="7">
        <f t="shared" si="110"/>
        <v>4.2000000000000003E-2</v>
      </c>
      <c r="N2135" s="4" t="s">
        <v>825</v>
      </c>
      <c r="O2135" s="4">
        <f>VLOOKUP(B2135, 'All Menu'!B:L, 6, 0)</f>
        <v>0.64655172413793105</v>
      </c>
      <c r="P2135" s="6">
        <f>VLOOKUP(B2135, 'All Menu'!B:L, 9, 0)</f>
        <v>0.11097000000000001</v>
      </c>
      <c r="Q2135" s="14">
        <f>VLOOKUP(B2135, 'All Menu'!B:M, 12, 0)</f>
        <v>0.82836639999999995</v>
      </c>
      <c r="R2135" s="173">
        <f t="shared" si="111"/>
        <v>0</v>
      </c>
    </row>
    <row r="2136" spans="1:18" ht="14" hidden="1">
      <c r="A2136" s="78" t="s">
        <v>2782</v>
      </c>
      <c r="B2136" s="220" t="s">
        <v>1140</v>
      </c>
      <c r="C2136" s="185"/>
      <c r="D2136" s="103" t="str">
        <f>VLOOKUP(B2136, 'All Menu'!B:M, 4, 0)</f>
        <v>سيخ بصل مشوي</v>
      </c>
      <c r="E2136" s="30" t="str">
        <f>VLOOKUP(B2136, 'All Menu'!B:M, 2, 0)</f>
        <v>قسم المشاوي</v>
      </c>
      <c r="F2136" s="103" t="str">
        <f>VLOOKUP(B2136, 'All Menu'!B:M, 3, 0)</f>
        <v>المشاوي سفري2</v>
      </c>
      <c r="G2136" s="90" t="s">
        <v>2201</v>
      </c>
      <c r="H2136" s="188">
        <v>4412</v>
      </c>
      <c r="I2136" s="110" t="str">
        <f>VLOOKUP(H2136, 'RM &amp; SF'!B:H, 2, 0)</f>
        <v>اسياخ شوي رفيع سفري 1*100 حبة*****</v>
      </c>
      <c r="J2136" s="184" t="str">
        <f>VLOOKUP(H2136, 'RM &amp; SF'!B:E, 4, 0)</f>
        <v>قطعة</v>
      </c>
      <c r="K2136" s="12">
        <v>1</v>
      </c>
      <c r="L2136" s="13">
        <f>VLOOKUP(H2136, 'RM &amp; SF'!B:H, 7, 0)</f>
        <v>6.8970000000000004E-2</v>
      </c>
      <c r="M2136" s="7">
        <f t="shared" si="110"/>
        <v>6.8970000000000004E-2</v>
      </c>
      <c r="N2136" s="4" t="s">
        <v>825</v>
      </c>
      <c r="O2136" s="4">
        <f>VLOOKUP(B2136, 'All Menu'!B:L, 6, 0)</f>
        <v>0.64655172413793105</v>
      </c>
      <c r="P2136" s="6">
        <f>VLOOKUP(B2136, 'All Menu'!B:L, 9, 0)</f>
        <v>0.11097000000000001</v>
      </c>
      <c r="Q2136" s="14">
        <f>VLOOKUP(B2136, 'All Menu'!B:M, 12, 0)</f>
        <v>0.82836639999999995</v>
      </c>
      <c r="R2136" s="173">
        <f t="shared" si="111"/>
        <v>0</v>
      </c>
    </row>
    <row r="2137" spans="1:18" ht="14" hidden="1">
      <c r="A2137" s="78" t="s">
        <v>2781</v>
      </c>
      <c r="B2137" s="220" t="s">
        <v>1141</v>
      </c>
      <c r="C2137" s="185"/>
      <c r="D2137" s="103" t="str">
        <f>VLOOKUP(B2137, 'All Menu'!B:M, 4, 0)</f>
        <v>سيخ بندورة مشوي</v>
      </c>
      <c r="E2137" s="30" t="str">
        <f>VLOOKUP(B2137, 'All Menu'!B:M, 2, 0)</f>
        <v>قسم المشاوي</v>
      </c>
      <c r="F2137" s="103" t="str">
        <f>VLOOKUP(B2137, 'All Menu'!B:M, 3, 0)</f>
        <v>المشاوي سفري2</v>
      </c>
      <c r="G2137" s="90" t="s">
        <v>2257</v>
      </c>
      <c r="H2137" s="188">
        <v>5281</v>
      </c>
      <c r="I2137" s="110" t="str">
        <f>VLOOKUP(H2137, 'RM &amp; SF'!B:H, 2, 0)</f>
        <v>بندوره مشاوي</v>
      </c>
      <c r="J2137" s="184" t="str">
        <f>VLOOKUP(H2137, 'RM &amp; SF'!B:E, 4, 0)</f>
        <v>غم</v>
      </c>
      <c r="K2137" s="12">
        <v>120</v>
      </c>
      <c r="L2137" s="13">
        <f>VLOOKUP(H2137, 'RM &amp; SF'!B:H, 7, 0)</f>
        <v>4.0000000000000002E-4</v>
      </c>
      <c r="M2137" s="7">
        <f t="shared" si="110"/>
        <v>4.8000000000000001E-2</v>
      </c>
      <c r="N2137" s="4" t="s">
        <v>825</v>
      </c>
      <c r="O2137" s="4">
        <f>VLOOKUP(B2137, 'All Menu'!B:L, 6, 0)</f>
        <v>0.64655172413793105</v>
      </c>
      <c r="P2137" s="6">
        <f>VLOOKUP(B2137, 'All Menu'!B:L, 9, 0)</f>
        <v>0.11697</v>
      </c>
      <c r="Q2137" s="14">
        <f>VLOOKUP(B2137, 'All Menu'!B:M, 12, 0)</f>
        <v>0.81908639999999999</v>
      </c>
      <c r="R2137" s="173">
        <f t="shared" si="111"/>
        <v>0</v>
      </c>
    </row>
    <row r="2138" spans="1:18" ht="14" hidden="1">
      <c r="A2138" s="78" t="s">
        <v>2781</v>
      </c>
      <c r="B2138" s="220" t="s">
        <v>1141</v>
      </c>
      <c r="C2138" s="185"/>
      <c r="D2138" s="103" t="str">
        <f>VLOOKUP(B2138, 'All Menu'!B:M, 4, 0)</f>
        <v>سيخ بندورة مشوي</v>
      </c>
      <c r="E2138" s="30" t="str">
        <f>VLOOKUP(B2138, 'All Menu'!B:M, 2, 0)</f>
        <v>قسم المشاوي</v>
      </c>
      <c r="F2138" s="103" t="str">
        <f>VLOOKUP(B2138, 'All Menu'!B:M, 3, 0)</f>
        <v>المشاوي سفري2</v>
      </c>
      <c r="G2138" s="90" t="s">
        <v>2201</v>
      </c>
      <c r="H2138" s="188">
        <v>4412</v>
      </c>
      <c r="I2138" s="110" t="str">
        <f>VLOOKUP(H2138, 'RM &amp; SF'!B:H, 2, 0)</f>
        <v>اسياخ شوي رفيع سفري 1*100 حبة*****</v>
      </c>
      <c r="J2138" s="184" t="str">
        <f>VLOOKUP(H2138, 'RM &amp; SF'!B:E, 4, 0)</f>
        <v>قطعة</v>
      </c>
      <c r="K2138" s="12">
        <v>1</v>
      </c>
      <c r="L2138" s="13">
        <f>VLOOKUP(H2138, 'RM &amp; SF'!B:H, 7, 0)</f>
        <v>6.8970000000000004E-2</v>
      </c>
      <c r="M2138" s="7">
        <f t="shared" si="110"/>
        <v>6.8970000000000004E-2</v>
      </c>
      <c r="N2138" s="4" t="s">
        <v>825</v>
      </c>
      <c r="O2138" s="4">
        <f>VLOOKUP(B2138, 'All Menu'!B:L, 6, 0)</f>
        <v>0.64655172413793105</v>
      </c>
      <c r="P2138" s="6">
        <f>VLOOKUP(B2138, 'All Menu'!B:L, 9, 0)</f>
        <v>0.11697</v>
      </c>
      <c r="Q2138" s="14">
        <f>VLOOKUP(B2138, 'All Menu'!B:M, 12, 0)</f>
        <v>0.81908639999999999</v>
      </c>
      <c r="R2138" s="173">
        <f t="shared" si="111"/>
        <v>0</v>
      </c>
    </row>
    <row r="2139" spans="1:18" ht="14" hidden="1">
      <c r="A2139" s="78" t="s">
        <v>2331</v>
      </c>
      <c r="B2139" s="220" t="s">
        <v>1181</v>
      </c>
      <c r="C2139" s="185"/>
      <c r="D2139" s="103" t="str">
        <f>VLOOKUP(B2139, 'All Menu'!B:M, 4, 0)</f>
        <v>خبز صاج</v>
      </c>
      <c r="E2139" s="30" t="str">
        <f>VLOOKUP(B2139, 'All Menu'!B:M, 2, 0)</f>
        <v>قسم المشاوي</v>
      </c>
      <c r="F2139" s="103" t="str">
        <f>VLOOKUP(B2139, 'All Menu'!B:M, 3, 0)</f>
        <v>المشاوي سفري2</v>
      </c>
      <c r="G2139" s="90" t="s">
        <v>2331</v>
      </c>
      <c r="H2139" s="219" t="s">
        <v>530</v>
      </c>
      <c r="I2139" s="110" t="str">
        <f>VLOOKUP(H2139, 'RM &amp; SF'!B:H, 2, 0)</f>
        <v>خبز صاج</v>
      </c>
      <c r="J2139" s="184" t="str">
        <f>VLOOKUP(H2139, 'RM &amp; SF'!B:E, 4, 0)</f>
        <v>غم</v>
      </c>
      <c r="K2139" s="12">
        <v>100</v>
      </c>
      <c r="L2139" s="13">
        <f>VLOOKUP(H2139, 'RM &amp; SF'!B:H, 7, 0)</f>
        <v>1.8806451612903227E-4</v>
      </c>
      <c r="M2139" s="7">
        <f t="shared" si="110"/>
        <v>1.8806451612903227E-2</v>
      </c>
      <c r="N2139" s="4" t="s">
        <v>825</v>
      </c>
      <c r="O2139" s="4">
        <f>VLOOKUP(B2139, 'All Menu'!B:L, 6, 0)</f>
        <v>8.6206896551724144E-2</v>
      </c>
      <c r="P2139" s="6">
        <f>VLOOKUP(B2139, 'All Menu'!B:L, 9, 0)</f>
        <v>1.8806451612903227E-2</v>
      </c>
      <c r="Q2139" s="14">
        <f>VLOOKUP(B2139, 'All Menu'!B:M, 12, 0)</f>
        <v>0.78184516129032255</v>
      </c>
      <c r="R2139" s="173">
        <f t="shared" si="111"/>
        <v>0</v>
      </c>
    </row>
    <row r="2140" spans="1:18" ht="14" hidden="1">
      <c r="A2140" s="78" t="s">
        <v>2776</v>
      </c>
      <c r="B2140" s="220" t="s">
        <v>1205</v>
      </c>
      <c r="C2140" s="185"/>
      <c r="D2140" s="103" t="str">
        <f>VLOOKUP(B2140, 'All Menu'!B:M, 4, 0)</f>
        <v>سيخ شيش</v>
      </c>
      <c r="E2140" s="30" t="str">
        <f>VLOOKUP(B2140, 'All Menu'!B:M, 2, 0)</f>
        <v>قسم المشاوي</v>
      </c>
      <c r="F2140" s="103" t="str">
        <f>VLOOKUP(B2140, 'All Menu'!B:M, 3, 0)</f>
        <v>المشاوي سفري2</v>
      </c>
      <c r="G2140" s="90" t="s">
        <v>2456</v>
      </c>
      <c r="H2140" s="219" t="s">
        <v>506</v>
      </c>
      <c r="I2140" s="110" t="str">
        <f>VLOOKUP(H2140, 'RM &amp; SF'!B:H, 2, 0)</f>
        <v>شيش</v>
      </c>
      <c r="J2140" s="184" t="str">
        <f>VLOOKUP(H2140, 'RM &amp; SF'!B:E, 4, 0)</f>
        <v>غم</v>
      </c>
      <c r="K2140" s="12">
        <v>100</v>
      </c>
      <c r="L2140" s="13">
        <f>VLOOKUP(H2140, 'RM &amp; SF'!B:H, 7, 0)</f>
        <v>4.6721213030918281E-3</v>
      </c>
      <c r="M2140" s="7">
        <f t="shared" si="110"/>
        <v>0.46721213030918279</v>
      </c>
      <c r="N2140" s="4" t="s">
        <v>825</v>
      </c>
      <c r="O2140" s="4">
        <f>VLOOKUP(B2140, 'All Menu'!B:L, 6, 0)</f>
        <v>1.7241379310344829</v>
      </c>
      <c r="P2140" s="6">
        <f>VLOOKUP(B2140, 'All Menu'!B:L, 9, 0)</f>
        <v>0.46721213030918279</v>
      </c>
      <c r="Q2140" s="14">
        <f>VLOOKUP(B2140, 'All Menu'!B:M, 12, 0)</f>
        <v>0.72901696442067399</v>
      </c>
      <c r="R2140" s="173">
        <f t="shared" si="111"/>
        <v>0</v>
      </c>
    </row>
    <row r="2141" spans="1:18" ht="14" hidden="1">
      <c r="A2141" s="78" t="s">
        <v>2777</v>
      </c>
      <c r="B2141" s="220" t="s">
        <v>1206</v>
      </c>
      <c r="C2141" s="185"/>
      <c r="D2141" s="103" t="str">
        <f>VLOOKUP(B2141, 'All Menu'!B:M, 4, 0)</f>
        <v>سيخ شقف</v>
      </c>
      <c r="E2141" s="30" t="str">
        <f>VLOOKUP(B2141, 'All Menu'!B:M, 2, 0)</f>
        <v>قسم المشاوي</v>
      </c>
      <c r="F2141" s="103" t="str">
        <f>VLOOKUP(B2141, 'All Menu'!B:M, 3, 0)</f>
        <v>المشاوي سفري2</v>
      </c>
      <c r="G2141" s="90" t="s">
        <v>2452</v>
      </c>
      <c r="H2141" s="219" t="s">
        <v>528</v>
      </c>
      <c r="I2141" s="110" t="str">
        <f>VLOOKUP(H2141, 'RM &amp; SF'!B:H, 2, 0)</f>
        <v>شقف متبلة</v>
      </c>
      <c r="J2141" s="184" t="str">
        <f>VLOOKUP(H2141, 'RM &amp; SF'!B:E, 4, 0)</f>
        <v>غم</v>
      </c>
      <c r="K2141" s="12">
        <v>100</v>
      </c>
      <c r="L2141" s="13">
        <f>VLOOKUP(H2141, 'RM &amp; SF'!B:H, 7, 0)</f>
        <v>2.0415146666666665E-2</v>
      </c>
      <c r="M2141" s="7">
        <f t="shared" si="110"/>
        <v>2.0415146666666666</v>
      </c>
      <c r="N2141" s="4" t="s">
        <v>825</v>
      </c>
      <c r="O2141" s="4">
        <f>VLOOKUP(B2141, 'All Menu'!B:L, 6, 0)</f>
        <v>2.3706896551724141</v>
      </c>
      <c r="P2141" s="6">
        <f>VLOOKUP(B2141, 'All Menu'!B:L, 9, 0)</f>
        <v>2.0415146666666666</v>
      </c>
      <c r="Q2141" s="14">
        <f>VLOOKUP(B2141, 'All Menu'!B:M, 12, 0)</f>
        <v>0.13885199515151531</v>
      </c>
      <c r="R2141" s="173">
        <f t="shared" si="111"/>
        <v>0</v>
      </c>
    </row>
    <row r="2142" spans="1:18" ht="14" hidden="1">
      <c r="A2142" s="78" t="s">
        <v>2784</v>
      </c>
      <c r="B2142" s="220" t="s">
        <v>1207</v>
      </c>
      <c r="C2142" s="185"/>
      <c r="D2142" s="103" t="str">
        <f>VLOOKUP(B2142, 'All Menu'!B:M, 4, 0)</f>
        <v>كومبو شيش</v>
      </c>
      <c r="E2142" s="30" t="str">
        <f>VLOOKUP(B2142, 'All Menu'!B:M, 2, 0)</f>
        <v>قسم المشاوي</v>
      </c>
      <c r="F2142" s="103" t="str">
        <f>VLOOKUP(B2142, 'All Menu'!B:M, 3, 0)</f>
        <v>المشاوي سفري2</v>
      </c>
      <c r="G2142" s="90" t="s">
        <v>2331</v>
      </c>
      <c r="H2142" s="219" t="s">
        <v>530</v>
      </c>
      <c r="I2142" s="110" t="str">
        <f>VLOOKUP(H2142, 'RM &amp; SF'!B:H, 2, 0)</f>
        <v>خبز صاج</v>
      </c>
      <c r="J2142" s="184" t="str">
        <f>VLOOKUP(H2142, 'RM &amp; SF'!B:E, 4, 0)</f>
        <v>غم</v>
      </c>
      <c r="K2142" s="12">
        <v>100</v>
      </c>
      <c r="L2142" s="13">
        <f>VLOOKUP(H2142, 'RM &amp; SF'!B:H, 7, 0)</f>
        <v>1.8806451612903227E-4</v>
      </c>
      <c r="M2142" s="7">
        <f t="shared" si="110"/>
        <v>1.8806451612903227E-2</v>
      </c>
      <c r="N2142" s="4" t="s">
        <v>825</v>
      </c>
      <c r="O2142" s="4">
        <f>VLOOKUP(B2142, 'All Menu'!B:L, 6, 0)</f>
        <v>2.5862068965517242</v>
      </c>
      <c r="P2142" s="6">
        <f>VLOOKUP(B2142, 'All Menu'!B:L, 9, 0)</f>
        <v>0.97973570949744626</v>
      </c>
      <c r="Q2142" s="14">
        <f>VLOOKUP(B2142, 'All Menu'!B:M, 12, 0)</f>
        <v>0.62116885899432073</v>
      </c>
      <c r="R2142" s="173">
        <f t="shared" si="111"/>
        <v>0</v>
      </c>
    </row>
    <row r="2143" spans="1:18" ht="14" hidden="1">
      <c r="A2143" s="78" t="s">
        <v>2784</v>
      </c>
      <c r="B2143" s="220" t="s">
        <v>1207</v>
      </c>
      <c r="C2143" s="185"/>
      <c r="D2143" s="103" t="str">
        <f>VLOOKUP(B2143, 'All Menu'!B:M, 4, 0)</f>
        <v>كومبو شيش</v>
      </c>
      <c r="E2143" s="30" t="str">
        <f>VLOOKUP(B2143, 'All Menu'!B:M, 2, 0)</f>
        <v>قسم المشاوي</v>
      </c>
      <c r="F2143" s="103" t="str">
        <f>VLOOKUP(B2143, 'All Menu'!B:M, 3, 0)</f>
        <v>المشاوي سفري2</v>
      </c>
      <c r="G2143" s="90" t="s">
        <v>2456</v>
      </c>
      <c r="H2143" s="219" t="s">
        <v>506</v>
      </c>
      <c r="I2143" s="110" t="str">
        <f>VLOOKUP(H2143, 'RM &amp; SF'!B:H, 2, 0)</f>
        <v>شيش</v>
      </c>
      <c r="J2143" s="184" t="str">
        <f>VLOOKUP(H2143, 'RM &amp; SF'!B:E, 4, 0)</f>
        <v>غم</v>
      </c>
      <c r="K2143" s="12">
        <v>100</v>
      </c>
      <c r="L2143" s="13">
        <f>VLOOKUP(H2143, 'RM &amp; SF'!B:H, 7, 0)</f>
        <v>4.6721213030918281E-3</v>
      </c>
      <c r="M2143" s="7">
        <f t="shared" si="110"/>
        <v>0.46721213030918279</v>
      </c>
      <c r="N2143" s="4" t="s">
        <v>825</v>
      </c>
      <c r="O2143" s="4">
        <f>VLOOKUP(B2143, 'All Menu'!B:L, 6, 0)</f>
        <v>2.5862068965517242</v>
      </c>
      <c r="P2143" s="6">
        <f>VLOOKUP(B2143, 'All Menu'!B:L, 9, 0)</f>
        <v>0.97973570949744626</v>
      </c>
      <c r="Q2143" s="14">
        <f>VLOOKUP(B2143, 'All Menu'!B:M, 12, 0)</f>
        <v>0.62116885899432073</v>
      </c>
      <c r="R2143" s="173">
        <f t="shared" si="111"/>
        <v>0</v>
      </c>
    </row>
    <row r="2144" spans="1:18" ht="14" hidden="1">
      <c r="A2144" s="78" t="s">
        <v>2784</v>
      </c>
      <c r="B2144" s="220" t="s">
        <v>1207</v>
      </c>
      <c r="C2144" s="185"/>
      <c r="D2144" s="103" t="str">
        <f>VLOOKUP(B2144, 'All Menu'!B:M, 4, 0)</f>
        <v>كومبو شيش</v>
      </c>
      <c r="E2144" s="30" t="str">
        <f>VLOOKUP(B2144, 'All Menu'!B:M, 2, 0)</f>
        <v>قسم المشاوي</v>
      </c>
      <c r="F2144" s="103" t="str">
        <f>VLOOKUP(B2144, 'All Menu'!B:M, 3, 0)</f>
        <v>المشاوي سفري2</v>
      </c>
      <c r="G2144" s="90" t="s">
        <v>3058</v>
      </c>
      <c r="H2144" s="188">
        <v>4517</v>
      </c>
      <c r="I2144" s="110" t="str">
        <f>VLOOKUP(H2144, 'RM &amp; SF'!B:H, 2, 0)</f>
        <v>خس بلدي*****</v>
      </c>
      <c r="J2144" s="184" t="str">
        <f>VLOOKUP(H2144, 'RM &amp; SF'!B:E, 4, 0)</f>
        <v>غم</v>
      </c>
      <c r="K2144" s="12">
        <v>10</v>
      </c>
      <c r="L2144" s="13">
        <f>VLOOKUP(H2144, 'RM &amp; SF'!B:H, 7, 0)</f>
        <v>5.0000000000000001E-4</v>
      </c>
      <c r="M2144" s="7">
        <f t="shared" si="110"/>
        <v>5.0000000000000001E-3</v>
      </c>
      <c r="N2144" s="4" t="s">
        <v>825</v>
      </c>
      <c r="O2144" s="4">
        <f>VLOOKUP(B2144, 'All Menu'!B:L, 6, 0)</f>
        <v>2.5862068965517242</v>
      </c>
      <c r="P2144" s="6">
        <f>VLOOKUP(B2144, 'All Menu'!B:L, 9, 0)</f>
        <v>0.97973570949744626</v>
      </c>
      <c r="Q2144" s="14">
        <f>VLOOKUP(B2144, 'All Menu'!B:M, 12, 0)</f>
        <v>0.62116885899432073</v>
      </c>
      <c r="R2144" s="173">
        <f t="shared" si="111"/>
        <v>0</v>
      </c>
    </row>
    <row r="2145" spans="1:18" ht="14" hidden="1">
      <c r="A2145" s="78" t="s">
        <v>2784</v>
      </c>
      <c r="B2145" s="220" t="s">
        <v>1207</v>
      </c>
      <c r="C2145" s="185"/>
      <c r="D2145" s="103" t="str">
        <f>VLOOKUP(B2145, 'All Menu'!B:M, 4, 0)</f>
        <v>كومبو شيش</v>
      </c>
      <c r="E2145" s="30" t="str">
        <f>VLOOKUP(B2145, 'All Menu'!B:M, 2, 0)</f>
        <v>قسم المشاوي</v>
      </c>
      <c r="F2145" s="103" t="str">
        <f>VLOOKUP(B2145, 'All Menu'!B:M, 3, 0)</f>
        <v>المشاوي سفري2</v>
      </c>
      <c r="G2145" s="90" t="s">
        <v>3058</v>
      </c>
      <c r="H2145" s="188">
        <v>4483</v>
      </c>
      <c r="I2145" s="110" t="str">
        <f>VLOOKUP(H2145, 'RM &amp; SF'!B:H, 2, 0)</f>
        <v>مخلل مشكل 10 كغ*****</v>
      </c>
      <c r="J2145" s="184" t="str">
        <f>VLOOKUP(H2145, 'RM &amp; SF'!B:E, 4, 0)</f>
        <v>غم</v>
      </c>
      <c r="K2145" s="12">
        <v>20</v>
      </c>
      <c r="L2145" s="13">
        <f>VLOOKUP(H2145, 'RM &amp; SF'!B:H, 7, 0)</f>
        <v>6.4999999999999997E-4</v>
      </c>
      <c r="M2145" s="7">
        <f t="shared" si="110"/>
        <v>1.2999999999999999E-2</v>
      </c>
      <c r="N2145" s="4" t="s">
        <v>825</v>
      </c>
      <c r="O2145" s="4">
        <f>VLOOKUP(B2145, 'All Menu'!B:L, 6, 0)</f>
        <v>2.5862068965517242</v>
      </c>
      <c r="P2145" s="6">
        <f>VLOOKUP(B2145, 'All Menu'!B:L, 9, 0)</f>
        <v>0.97973570949744626</v>
      </c>
      <c r="Q2145" s="14">
        <f>VLOOKUP(B2145, 'All Menu'!B:M, 12, 0)</f>
        <v>0.62116885899432073</v>
      </c>
      <c r="R2145" s="173">
        <f t="shared" si="111"/>
        <v>0</v>
      </c>
    </row>
    <row r="2146" spans="1:18" ht="14" hidden="1">
      <c r="A2146" s="78" t="s">
        <v>2784</v>
      </c>
      <c r="B2146" s="220" t="s">
        <v>1207</v>
      </c>
      <c r="C2146" s="185"/>
      <c r="D2146" s="103" t="str">
        <f>VLOOKUP(B2146, 'All Menu'!B:M, 4, 0)</f>
        <v>كومبو شيش</v>
      </c>
      <c r="E2146" s="30" t="str">
        <f>VLOOKUP(B2146, 'All Menu'!B:M, 2, 0)</f>
        <v>قسم المشاوي</v>
      </c>
      <c r="F2146" s="103" t="str">
        <f>VLOOKUP(B2146, 'All Menu'!B:M, 3, 0)</f>
        <v>المشاوي سفري2</v>
      </c>
      <c r="G2146" s="90" t="s">
        <v>2385</v>
      </c>
      <c r="H2146" s="219" t="s">
        <v>540</v>
      </c>
      <c r="I2146" s="110" t="str">
        <f>VLOOKUP(H2146, 'RM &amp; SF'!B:H, 2, 0)</f>
        <v xml:space="preserve">بطاطا مقلية </v>
      </c>
      <c r="J2146" s="184" t="str">
        <f>VLOOKUP(H2146, 'RM &amp; SF'!B:E, 4, 0)</f>
        <v>غم</v>
      </c>
      <c r="K2146" s="12">
        <v>150</v>
      </c>
      <c r="L2146" s="13">
        <f>VLOOKUP(H2146, 'RM &amp; SF'!B:H, 7, 0)</f>
        <v>7.9700000000000007E-4</v>
      </c>
      <c r="M2146" s="7">
        <f t="shared" si="110"/>
        <v>0.11955000000000002</v>
      </c>
      <c r="N2146" s="4" t="s">
        <v>825</v>
      </c>
      <c r="O2146" s="4">
        <f>VLOOKUP(B2146, 'All Menu'!B:L, 6, 0)</f>
        <v>2.5862068965517242</v>
      </c>
      <c r="P2146" s="6">
        <f>VLOOKUP(B2146, 'All Menu'!B:L, 9, 0)</f>
        <v>0.97973570949744626</v>
      </c>
      <c r="Q2146" s="14">
        <f>VLOOKUP(B2146, 'All Menu'!B:M, 12, 0)</f>
        <v>0.62116885899432073</v>
      </c>
      <c r="R2146" s="173">
        <f t="shared" si="111"/>
        <v>0</v>
      </c>
    </row>
    <row r="2147" spans="1:18" ht="14" hidden="1">
      <c r="A2147" s="78" t="s">
        <v>2784</v>
      </c>
      <c r="B2147" s="220" t="s">
        <v>1207</v>
      </c>
      <c r="C2147" s="185"/>
      <c r="D2147" s="103" t="str">
        <f>VLOOKUP(B2147, 'All Menu'!B:M, 4, 0)</f>
        <v>كومبو شيش</v>
      </c>
      <c r="E2147" s="30" t="str">
        <f>VLOOKUP(B2147, 'All Menu'!B:M, 2, 0)</f>
        <v>قسم المشاوي</v>
      </c>
      <c r="F2147" s="103" t="str">
        <f>VLOOKUP(B2147, 'All Menu'!B:M, 3, 0)</f>
        <v>المشاوي سفري2</v>
      </c>
      <c r="G2147" s="90" t="s">
        <v>2184</v>
      </c>
      <c r="H2147" s="188">
        <v>4265</v>
      </c>
      <c r="I2147" s="110" t="str">
        <f>VLOOKUP(H2147, 'RM &amp; SF'!B:H, 2, 0)</f>
        <v>علب بطاطا كرتون مطبوع 1*25 حبة*****</v>
      </c>
      <c r="J2147" s="184" t="str">
        <f>VLOOKUP(H2147, 'RM &amp; SF'!B:E, 4, 0)</f>
        <v>قطعة</v>
      </c>
      <c r="K2147" s="12">
        <v>1</v>
      </c>
      <c r="L2147" s="13">
        <f>VLOOKUP(H2147, 'RM &amp; SF'!B:H, 7, 0)</f>
        <v>6.0299999999999999E-2</v>
      </c>
      <c r="M2147" s="7">
        <f t="shared" si="110"/>
        <v>6.0299999999999999E-2</v>
      </c>
      <c r="N2147" s="4" t="s">
        <v>825</v>
      </c>
      <c r="O2147" s="4">
        <f>VLOOKUP(B2147, 'All Menu'!B:L, 6, 0)</f>
        <v>2.5862068965517242</v>
      </c>
      <c r="P2147" s="6">
        <f>VLOOKUP(B2147, 'All Menu'!B:L, 9, 0)</f>
        <v>0.97973570949744626</v>
      </c>
      <c r="Q2147" s="14">
        <f>VLOOKUP(B2147, 'All Menu'!B:M, 12, 0)</f>
        <v>0.62116885899432073</v>
      </c>
      <c r="R2147" s="173">
        <f t="shared" si="111"/>
        <v>0</v>
      </c>
    </row>
    <row r="2148" spans="1:18" ht="14" hidden="1">
      <c r="A2148" s="78" t="s">
        <v>2784</v>
      </c>
      <c r="B2148" s="220" t="s">
        <v>1207</v>
      </c>
      <c r="C2148" s="185"/>
      <c r="D2148" s="103" t="str">
        <f>VLOOKUP(B2148, 'All Menu'!B:M, 4, 0)</f>
        <v>كومبو شيش</v>
      </c>
      <c r="E2148" s="30" t="str">
        <f>VLOOKUP(B2148, 'All Menu'!B:M, 2, 0)</f>
        <v>قسم المشاوي</v>
      </c>
      <c r="F2148" s="103" t="str">
        <f>VLOOKUP(B2148, 'All Menu'!B:M, 3, 0)</f>
        <v>المشاوي سفري2</v>
      </c>
      <c r="G2148" s="90" t="s">
        <v>2325</v>
      </c>
      <c r="H2148" s="219" t="s">
        <v>534</v>
      </c>
      <c r="I2148" s="110" t="str">
        <f>VLOOKUP(H2148, 'RM &amp; SF'!B:H, 2, 0)</f>
        <v>مثومه</v>
      </c>
      <c r="J2148" s="184" t="str">
        <f>VLOOKUP(H2148, 'RM &amp; SF'!B:E, 4, 0)</f>
        <v>غم</v>
      </c>
      <c r="K2148" s="12">
        <v>50</v>
      </c>
      <c r="L2148" s="13">
        <f>VLOOKUP(H2148, 'RM &amp; SF'!B:H, 7, 0)</f>
        <v>6.6564092227821051E-4</v>
      </c>
      <c r="M2148" s="7">
        <f t="shared" si="110"/>
        <v>3.3282046113910523E-2</v>
      </c>
      <c r="N2148" s="4" t="s">
        <v>825</v>
      </c>
      <c r="O2148" s="4">
        <f>VLOOKUP(B2148, 'All Menu'!B:L, 6, 0)</f>
        <v>2.5862068965517242</v>
      </c>
      <c r="P2148" s="6">
        <f>VLOOKUP(B2148, 'All Menu'!B:L, 9, 0)</f>
        <v>0.97973570949744626</v>
      </c>
      <c r="Q2148" s="14">
        <f>VLOOKUP(B2148, 'All Menu'!B:M, 12, 0)</f>
        <v>0.62116885899432073</v>
      </c>
      <c r="R2148" s="173">
        <f t="shared" si="111"/>
        <v>0</v>
      </c>
    </row>
    <row r="2149" spans="1:18" ht="14" hidden="1">
      <c r="A2149" s="78" t="s">
        <v>2784</v>
      </c>
      <c r="B2149" s="220" t="s">
        <v>1207</v>
      </c>
      <c r="C2149" s="185"/>
      <c r="D2149" s="103" t="str">
        <f>VLOOKUP(B2149, 'All Menu'!B:M, 4, 0)</f>
        <v>كومبو شيش</v>
      </c>
      <c r="E2149" s="30" t="str">
        <f>VLOOKUP(B2149, 'All Menu'!B:M, 2, 0)</f>
        <v>قسم المشاوي</v>
      </c>
      <c r="F2149" s="103" t="str">
        <f>VLOOKUP(B2149, 'All Menu'!B:M, 3, 0)</f>
        <v>المشاوي سفري2</v>
      </c>
      <c r="G2149" s="90" t="s">
        <v>2325</v>
      </c>
      <c r="H2149" s="219" t="s">
        <v>534</v>
      </c>
      <c r="I2149" s="110" t="str">
        <f>VLOOKUP(H2149, 'RM &amp; SF'!B:H, 2, 0)</f>
        <v>مثومه</v>
      </c>
      <c r="J2149" s="184" t="str">
        <f>VLOOKUP(H2149, 'RM &amp; SF'!B:E, 4, 0)</f>
        <v>غم</v>
      </c>
      <c r="K2149" s="12">
        <v>30</v>
      </c>
      <c r="L2149" s="13">
        <f>VLOOKUP(H2149, 'RM &amp; SF'!B:H, 7, 0)</f>
        <v>6.6564092227821051E-4</v>
      </c>
      <c r="M2149" s="7">
        <f t="shared" si="110"/>
        <v>1.9969227668346315E-2</v>
      </c>
      <c r="N2149" s="4" t="s">
        <v>825</v>
      </c>
      <c r="O2149" s="4">
        <f>VLOOKUP(B2149, 'All Menu'!B:L, 6, 0)</f>
        <v>2.5862068965517242</v>
      </c>
      <c r="P2149" s="6">
        <f>VLOOKUP(B2149, 'All Menu'!B:L, 9, 0)</f>
        <v>0.97973570949744626</v>
      </c>
      <c r="Q2149" s="14">
        <f>VLOOKUP(B2149, 'All Menu'!B:M, 12, 0)</f>
        <v>0.62116885899432073</v>
      </c>
      <c r="R2149" s="173">
        <f t="shared" si="111"/>
        <v>0</v>
      </c>
    </row>
    <row r="2150" spans="1:18" ht="14" hidden="1">
      <c r="A2150" s="78" t="s">
        <v>2784</v>
      </c>
      <c r="B2150" s="220" t="s">
        <v>1207</v>
      </c>
      <c r="C2150" s="185"/>
      <c r="D2150" s="103" t="str">
        <f>VLOOKUP(B2150, 'All Menu'!B:M, 4, 0)</f>
        <v>كومبو شيش</v>
      </c>
      <c r="E2150" s="30" t="str">
        <f>VLOOKUP(B2150, 'All Menu'!B:M, 2, 0)</f>
        <v>قسم المشاوي</v>
      </c>
      <c r="F2150" s="103" t="str">
        <f>VLOOKUP(B2150, 'All Menu'!B:M, 3, 0)</f>
        <v>المشاوي سفري2</v>
      </c>
      <c r="G2150" s="90" t="s">
        <v>3058</v>
      </c>
      <c r="H2150" s="188">
        <v>4285</v>
      </c>
      <c r="I2150" s="110" t="str">
        <f>VLOOKUP(H2150, 'RM &amp; SF'!B:H, 2, 0)</f>
        <v>علب بلاستيك مربع متصل 150 مل*****</v>
      </c>
      <c r="J2150" s="184" t="str">
        <f>VLOOKUP(H2150, 'RM &amp; SF'!B:E, 4, 0)</f>
        <v>قطعة</v>
      </c>
      <c r="K2150" s="12">
        <v>1</v>
      </c>
      <c r="L2150" s="13">
        <f>VLOOKUP(H2150, 'RM &amp; SF'!B:H, 7, 0)</f>
        <v>1.494E-2</v>
      </c>
      <c r="M2150" s="7">
        <f t="shared" si="110"/>
        <v>1.494E-2</v>
      </c>
      <c r="N2150" s="4" t="s">
        <v>825</v>
      </c>
      <c r="O2150" s="4">
        <f>VLOOKUP(B2150, 'All Menu'!B:L, 6, 0)</f>
        <v>2.5862068965517242</v>
      </c>
      <c r="P2150" s="6">
        <f>VLOOKUP(B2150, 'All Menu'!B:L, 9, 0)</f>
        <v>0.97973570949744626</v>
      </c>
      <c r="Q2150" s="14">
        <f>VLOOKUP(B2150, 'All Menu'!B:M, 12, 0)</f>
        <v>0.62116885899432073</v>
      </c>
      <c r="R2150" s="173">
        <f t="shared" si="111"/>
        <v>0</v>
      </c>
    </row>
    <row r="2151" spans="1:18" ht="14" hidden="1">
      <c r="A2151" s="78" t="s">
        <v>2784</v>
      </c>
      <c r="B2151" s="220" t="s">
        <v>1207</v>
      </c>
      <c r="C2151" s="185"/>
      <c r="D2151" s="103" t="str">
        <f>VLOOKUP(B2151, 'All Menu'!B:M, 4, 0)</f>
        <v>كومبو شيش</v>
      </c>
      <c r="E2151" s="30" t="str">
        <f>VLOOKUP(B2151, 'All Menu'!B:M, 2, 0)</f>
        <v>قسم المشاوي</v>
      </c>
      <c r="F2151" s="103" t="str">
        <f>VLOOKUP(B2151, 'All Menu'!B:M, 3, 0)</f>
        <v>المشاوي سفري2</v>
      </c>
      <c r="G2151" s="90" t="s">
        <v>2194</v>
      </c>
      <c r="H2151" s="188">
        <v>4323</v>
      </c>
      <c r="I2151" s="110" t="str">
        <f>VLOOKUP(H2151, 'RM &amp; SF'!B:H, 2, 0)</f>
        <v>قصدير رول 45 سم*2كغ*****</v>
      </c>
      <c r="J2151" s="184" t="str">
        <f>VLOOKUP(H2151, 'RM &amp; SF'!B:E, 4, 0)</f>
        <v>غم</v>
      </c>
      <c r="K2151" s="12">
        <v>0.06</v>
      </c>
      <c r="L2151" s="13">
        <f>VLOOKUP(H2151, 'RM &amp; SF'!B:H, 7, 0)</f>
        <v>1.7240000000000001E-3</v>
      </c>
      <c r="M2151" s="7">
        <f t="shared" si="110"/>
        <v>1.0344E-4</v>
      </c>
      <c r="N2151" s="4" t="s">
        <v>825</v>
      </c>
      <c r="O2151" s="4">
        <f>VLOOKUP(B2151, 'All Menu'!B:L, 6, 0)</f>
        <v>2.5862068965517242</v>
      </c>
      <c r="P2151" s="6">
        <f>VLOOKUP(B2151, 'All Menu'!B:L, 9, 0)</f>
        <v>0.97973570949744626</v>
      </c>
      <c r="Q2151" s="14">
        <f>VLOOKUP(B2151, 'All Menu'!B:M, 12, 0)</f>
        <v>0.62116885899432073</v>
      </c>
      <c r="R2151" s="173">
        <f t="shared" si="111"/>
        <v>0</v>
      </c>
    </row>
    <row r="2152" spans="1:18" ht="14" hidden="1">
      <c r="A2152" s="78" t="s">
        <v>2784</v>
      </c>
      <c r="B2152" s="220" t="s">
        <v>1207</v>
      </c>
      <c r="C2152" s="185"/>
      <c r="D2152" s="103" t="str">
        <f>VLOOKUP(B2152, 'All Menu'!B:M, 4, 0)</f>
        <v>كومبو شيش</v>
      </c>
      <c r="E2152" s="30" t="str">
        <f>VLOOKUP(B2152, 'All Menu'!B:M, 2, 0)</f>
        <v>قسم المشاوي</v>
      </c>
      <c r="F2152" s="103" t="str">
        <f>VLOOKUP(B2152, 'All Menu'!B:M, 3, 0)</f>
        <v>المشاوي سفري2</v>
      </c>
      <c r="G2152" s="90" t="s">
        <v>3058</v>
      </c>
      <c r="H2152" s="188">
        <v>4264</v>
      </c>
      <c r="I2152" s="110" t="str">
        <f>VLOOKUP(H2152, 'RM &amp; SF'!B:H, 2, 0)</f>
        <v>علب ساندوش (علب سناك) كرتون مطبوع 1*50 حبة*****</v>
      </c>
      <c r="J2152" s="184" t="str">
        <f>VLOOKUP(H2152, 'RM &amp; SF'!B:E, 4, 0)</f>
        <v>قطعة</v>
      </c>
      <c r="K2152" s="12">
        <v>1</v>
      </c>
      <c r="L2152" s="13">
        <f>VLOOKUP(H2152, 'RM &amp; SF'!B:H, 7, 0)</f>
        <v>0.1724</v>
      </c>
      <c r="M2152" s="7">
        <f t="shared" si="110"/>
        <v>0.1724</v>
      </c>
      <c r="N2152" s="4" t="s">
        <v>825</v>
      </c>
      <c r="O2152" s="4">
        <f>VLOOKUP(B2152, 'All Menu'!B:L, 6, 0)</f>
        <v>2.5862068965517242</v>
      </c>
      <c r="P2152" s="6">
        <f>VLOOKUP(B2152, 'All Menu'!B:L, 9, 0)</f>
        <v>0.97973570949744626</v>
      </c>
      <c r="Q2152" s="14">
        <f>VLOOKUP(B2152, 'All Menu'!B:M, 12, 0)</f>
        <v>0.62116885899432073</v>
      </c>
      <c r="R2152" s="173">
        <f t="shared" si="111"/>
        <v>0</v>
      </c>
    </row>
    <row r="2153" spans="1:18" ht="14" hidden="1">
      <c r="A2153" s="78" t="s">
        <v>2784</v>
      </c>
      <c r="B2153" s="220" t="s">
        <v>1207</v>
      </c>
      <c r="C2153" s="185"/>
      <c r="D2153" s="103" t="str">
        <f>VLOOKUP(B2153, 'All Menu'!B:M, 4, 0)</f>
        <v>كومبو شيش</v>
      </c>
      <c r="E2153" s="30" t="str">
        <f>VLOOKUP(B2153, 'All Menu'!B:M, 2, 0)</f>
        <v>قسم المشاوي</v>
      </c>
      <c r="F2153" s="103" t="str">
        <f>VLOOKUP(B2153, 'All Menu'!B:M, 3, 0)</f>
        <v>المشاوي سفري2</v>
      </c>
      <c r="G2153" s="90" t="s">
        <v>2193</v>
      </c>
      <c r="H2153" s="188">
        <v>4309</v>
      </c>
      <c r="I2153" s="110" t="str">
        <f>VLOOKUP(H2153, 'RM &amp; SF'!B:H, 2, 0)</f>
        <v>اكياس بلاستيك مطبوع 55 سم*****</v>
      </c>
      <c r="J2153" s="184" t="str">
        <f>VLOOKUP(H2153, 'RM &amp; SF'!B:E, 4, 0)</f>
        <v>قطعة</v>
      </c>
      <c r="K2153" s="12">
        <v>1</v>
      </c>
      <c r="L2153" s="13">
        <f>VLOOKUP(H2153, 'RM &amp; SF'!B:H, 7, 0)</f>
        <v>5.5172413793103454E-2</v>
      </c>
      <c r="M2153" s="7">
        <f t="shared" si="110"/>
        <v>5.5172413793103454E-2</v>
      </c>
      <c r="N2153" s="4" t="s">
        <v>825</v>
      </c>
      <c r="O2153" s="4">
        <f>VLOOKUP(B2153, 'All Menu'!B:L, 6, 0)</f>
        <v>2.5862068965517242</v>
      </c>
      <c r="P2153" s="6">
        <f>VLOOKUP(B2153, 'All Menu'!B:L, 9, 0)</f>
        <v>0.97973570949744626</v>
      </c>
      <c r="Q2153" s="14">
        <f>VLOOKUP(B2153, 'All Menu'!B:M, 12, 0)</f>
        <v>0.62116885899432073</v>
      </c>
      <c r="R2153" s="173">
        <f t="shared" si="111"/>
        <v>0</v>
      </c>
    </row>
    <row r="2154" spans="1:18" ht="14" hidden="1">
      <c r="A2154" s="78" t="s">
        <v>2785</v>
      </c>
      <c r="B2154" s="220" t="s">
        <v>1208</v>
      </c>
      <c r="C2154" s="185"/>
      <c r="D2154" s="103" t="str">
        <f>VLOOKUP(B2154, 'All Menu'!B:M, 4, 0)</f>
        <v>كومبو كباب</v>
      </c>
      <c r="E2154" s="30" t="str">
        <f>VLOOKUP(B2154, 'All Menu'!B:M, 2, 0)</f>
        <v>قسم المشاوي</v>
      </c>
      <c r="F2154" s="103" t="str">
        <f>VLOOKUP(B2154, 'All Menu'!B:M, 3, 0)</f>
        <v>المشاوي سفري2</v>
      </c>
      <c r="G2154" s="90" t="s">
        <v>2429</v>
      </c>
      <c r="H2154" s="219" t="s">
        <v>610</v>
      </c>
      <c r="I2154" s="110" t="str">
        <f>VLOOKUP(H2154, 'RM &amp; SF'!B:H, 2, 0)</f>
        <v>كباب الساندويش</v>
      </c>
      <c r="J2154" s="184" t="str">
        <f>VLOOKUP(H2154, 'RM &amp; SF'!B:E, 4, 0)</f>
        <v>غم</v>
      </c>
      <c r="K2154" s="12">
        <v>120</v>
      </c>
      <c r="L2154" s="13">
        <f>VLOOKUP(H2154, 'RM &amp; SF'!B:H, 7, 0)</f>
        <v>6.0066783033033031E-3</v>
      </c>
      <c r="M2154" s="7">
        <f t="shared" si="110"/>
        <v>0.7208013963963964</v>
      </c>
      <c r="N2154" s="4" t="s">
        <v>825</v>
      </c>
      <c r="O2154" s="4">
        <f>VLOOKUP(B2154, 'All Menu'!B:L, 6, 0)</f>
        <v>2.8017241379310347</v>
      </c>
      <c r="P2154" s="6">
        <f>VLOOKUP(B2154, 'All Menu'!B:L, 9, 0)</f>
        <v>1.5244993528768931</v>
      </c>
      <c r="Q2154" s="14">
        <f>VLOOKUP(B2154, 'All Menu'!B:M, 12, 0)</f>
        <v>0.45587100020393972</v>
      </c>
      <c r="R2154" s="173">
        <f t="shared" si="111"/>
        <v>0</v>
      </c>
    </row>
    <row r="2155" spans="1:18" ht="14" hidden="1">
      <c r="A2155" s="78" t="s">
        <v>2785</v>
      </c>
      <c r="B2155" s="220" t="s">
        <v>1208</v>
      </c>
      <c r="C2155" s="185"/>
      <c r="D2155" s="103" t="str">
        <f>VLOOKUP(B2155, 'All Menu'!B:M, 4, 0)</f>
        <v>كومبو كباب</v>
      </c>
      <c r="E2155" s="30" t="str">
        <f>VLOOKUP(B2155, 'All Menu'!B:M, 2, 0)</f>
        <v>قسم المشاوي</v>
      </c>
      <c r="F2155" s="103" t="str">
        <f>VLOOKUP(B2155, 'All Menu'!B:M, 3, 0)</f>
        <v>المشاوي سفري2</v>
      </c>
      <c r="G2155" s="90" t="s">
        <v>2331</v>
      </c>
      <c r="H2155" s="219" t="s">
        <v>530</v>
      </c>
      <c r="I2155" s="110" t="str">
        <f>VLOOKUP(H2155, 'RM &amp; SF'!B:H, 2, 0)</f>
        <v>خبز صاج</v>
      </c>
      <c r="J2155" s="184" t="str">
        <f>VLOOKUP(H2155, 'RM &amp; SF'!B:E, 4, 0)</f>
        <v>غم</v>
      </c>
      <c r="K2155" s="12">
        <v>100</v>
      </c>
      <c r="L2155" s="13">
        <f>VLOOKUP(H2155, 'RM &amp; SF'!B:H, 7, 0)</f>
        <v>1.8806451612903227E-4</v>
      </c>
      <c r="M2155" s="7">
        <f t="shared" si="110"/>
        <v>1.8806451612903227E-2</v>
      </c>
      <c r="N2155" s="4" t="s">
        <v>825</v>
      </c>
      <c r="O2155" s="4">
        <f>VLOOKUP(B2155, 'All Menu'!B:L, 6, 0)</f>
        <v>2.8017241379310347</v>
      </c>
      <c r="P2155" s="6">
        <f>VLOOKUP(B2155, 'All Menu'!B:L, 9, 0)</f>
        <v>1.5244993528768931</v>
      </c>
      <c r="Q2155" s="14">
        <f>VLOOKUP(B2155, 'All Menu'!B:M, 12, 0)</f>
        <v>0.45587100020393972</v>
      </c>
      <c r="R2155" s="173">
        <f t="shared" si="111"/>
        <v>0</v>
      </c>
    </row>
    <row r="2156" spans="1:18" ht="14" hidden="1">
      <c r="A2156" s="78" t="s">
        <v>2785</v>
      </c>
      <c r="B2156" s="220" t="s">
        <v>1208</v>
      </c>
      <c r="C2156" s="185"/>
      <c r="D2156" s="103" t="str">
        <f>VLOOKUP(B2156, 'All Menu'!B:M, 4, 0)</f>
        <v>كومبو كباب</v>
      </c>
      <c r="E2156" s="30" t="str">
        <f>VLOOKUP(B2156, 'All Menu'!B:M, 2, 0)</f>
        <v>قسم المشاوي</v>
      </c>
      <c r="F2156" s="103" t="str">
        <f>VLOOKUP(B2156, 'All Menu'!B:M, 3, 0)</f>
        <v>المشاوي سفري2</v>
      </c>
      <c r="G2156" s="90" t="s">
        <v>2397</v>
      </c>
      <c r="H2156" s="219" t="s">
        <v>580</v>
      </c>
      <c r="I2156" s="110" t="str">
        <f>VLOOKUP(H2156, 'RM &amp; SF'!B:H, 2, 0)</f>
        <v>طحينة مشاوي</v>
      </c>
      <c r="J2156" s="184" t="str">
        <f>VLOOKUP(H2156, 'RM &amp; SF'!B:E, 4, 0)</f>
        <v>غم</v>
      </c>
      <c r="K2156" s="12">
        <v>50</v>
      </c>
      <c r="L2156" s="13">
        <f>VLOOKUP(H2156, 'RM &amp; SF'!B:H, 7, 0)</f>
        <v>1.0841676434676436E-3</v>
      </c>
      <c r="M2156" s="7">
        <f t="shared" si="110"/>
        <v>5.4208382173382176E-2</v>
      </c>
      <c r="N2156" s="4" t="s">
        <v>825</v>
      </c>
      <c r="O2156" s="4">
        <f>VLOOKUP(B2156, 'All Menu'!B:L, 6, 0)</f>
        <v>2.8017241379310347</v>
      </c>
      <c r="P2156" s="6">
        <f>VLOOKUP(B2156, 'All Menu'!B:L, 9, 0)</f>
        <v>1.5244993528768931</v>
      </c>
      <c r="Q2156" s="14">
        <f>VLOOKUP(B2156, 'All Menu'!B:M, 12, 0)</f>
        <v>0.45587100020393972</v>
      </c>
      <c r="R2156" s="173">
        <f t="shared" si="111"/>
        <v>0</v>
      </c>
    </row>
    <row r="2157" spans="1:18" ht="14" hidden="1">
      <c r="A2157" s="78" t="s">
        <v>2785</v>
      </c>
      <c r="B2157" s="220" t="s">
        <v>1208</v>
      </c>
      <c r="C2157" s="185"/>
      <c r="D2157" s="103" t="str">
        <f>VLOOKUP(B2157, 'All Menu'!B:M, 4, 0)</f>
        <v>كومبو كباب</v>
      </c>
      <c r="E2157" s="30" t="str">
        <f>VLOOKUP(B2157, 'All Menu'!B:M, 2, 0)</f>
        <v>قسم المشاوي</v>
      </c>
      <c r="F2157" s="103" t="str">
        <f>VLOOKUP(B2157, 'All Menu'!B:M, 3, 0)</f>
        <v>المشاوي سفري2</v>
      </c>
      <c r="G2157" s="90" t="s">
        <v>2257</v>
      </c>
      <c r="H2157" s="188">
        <v>5281</v>
      </c>
      <c r="I2157" s="110" t="str">
        <f>VLOOKUP(H2157, 'RM &amp; SF'!B:H, 2, 0)</f>
        <v>بندوره مشاوي</v>
      </c>
      <c r="J2157" s="184" t="str">
        <f>VLOOKUP(H2157, 'RM &amp; SF'!B:E, 4, 0)</f>
        <v>غم</v>
      </c>
      <c r="K2157" s="12">
        <v>20</v>
      </c>
      <c r="L2157" s="13">
        <f>VLOOKUP(H2157, 'RM &amp; SF'!B:H, 7, 0)</f>
        <v>4.0000000000000002E-4</v>
      </c>
      <c r="M2157" s="7">
        <f t="shared" si="110"/>
        <v>8.0000000000000002E-3</v>
      </c>
      <c r="N2157" s="4" t="s">
        <v>825</v>
      </c>
      <c r="O2157" s="4">
        <f>VLOOKUP(B2157, 'All Menu'!B:L, 6, 0)</f>
        <v>2.8017241379310347</v>
      </c>
      <c r="P2157" s="6">
        <f>VLOOKUP(B2157, 'All Menu'!B:L, 9, 0)</f>
        <v>1.5244993528768931</v>
      </c>
      <c r="Q2157" s="14">
        <f>VLOOKUP(B2157, 'All Menu'!B:M, 12, 0)</f>
        <v>0.45587100020393972</v>
      </c>
      <c r="R2157" s="173">
        <f t="shared" si="111"/>
        <v>0</v>
      </c>
    </row>
    <row r="2158" spans="1:18" ht="14" hidden="1">
      <c r="A2158" s="78" t="s">
        <v>2785</v>
      </c>
      <c r="B2158" s="220" t="s">
        <v>1208</v>
      </c>
      <c r="C2158" s="185"/>
      <c r="D2158" s="103" t="str">
        <f>VLOOKUP(B2158, 'All Menu'!B:M, 4, 0)</f>
        <v>كومبو كباب</v>
      </c>
      <c r="E2158" s="30" t="str">
        <f>VLOOKUP(B2158, 'All Menu'!B:M, 2, 0)</f>
        <v>قسم المشاوي</v>
      </c>
      <c r="F2158" s="103" t="str">
        <f>VLOOKUP(B2158, 'All Menu'!B:M, 3, 0)</f>
        <v>المشاوي سفري2</v>
      </c>
      <c r="G2158" s="90" t="s">
        <v>2396</v>
      </c>
      <c r="H2158" s="219" t="s">
        <v>582</v>
      </c>
      <c r="I2158" s="110" t="str">
        <f>VLOOKUP(H2158, 'RM &amp; SF'!B:H, 2, 0)</f>
        <v>بيواز</v>
      </c>
      <c r="J2158" s="184" t="str">
        <f>VLOOKUP(H2158, 'RM &amp; SF'!B:E, 4, 0)</f>
        <v>غم</v>
      </c>
      <c r="K2158" s="12">
        <v>50</v>
      </c>
      <c r="L2158" s="13">
        <f>VLOOKUP(H2158, 'RM &amp; SF'!B:H, 7, 0)</f>
        <v>2.0666065869244635E-4</v>
      </c>
      <c r="M2158" s="7">
        <f t="shared" si="110"/>
        <v>1.0333032934622318E-2</v>
      </c>
      <c r="N2158" s="4" t="s">
        <v>825</v>
      </c>
      <c r="O2158" s="4">
        <f>VLOOKUP(B2158, 'All Menu'!B:L, 6, 0)</f>
        <v>2.8017241379310347</v>
      </c>
      <c r="P2158" s="6">
        <f>VLOOKUP(B2158, 'All Menu'!B:L, 9, 0)</f>
        <v>1.5244993528768931</v>
      </c>
      <c r="Q2158" s="14">
        <f>VLOOKUP(B2158, 'All Menu'!B:M, 12, 0)</f>
        <v>0.45587100020393972</v>
      </c>
      <c r="R2158" s="173">
        <f t="shared" si="111"/>
        <v>0</v>
      </c>
    </row>
    <row r="2159" spans="1:18" ht="14" hidden="1">
      <c r="A2159" s="78" t="s">
        <v>2785</v>
      </c>
      <c r="B2159" s="220" t="s">
        <v>1208</v>
      </c>
      <c r="C2159" s="185"/>
      <c r="D2159" s="103" t="str">
        <f>VLOOKUP(B2159, 'All Menu'!B:M, 4, 0)</f>
        <v>كومبو كباب</v>
      </c>
      <c r="E2159" s="30" t="str">
        <f>VLOOKUP(B2159, 'All Menu'!B:M, 2, 0)</f>
        <v>قسم المشاوي</v>
      </c>
      <c r="F2159" s="103" t="str">
        <f>VLOOKUP(B2159, 'All Menu'!B:M, 3, 0)</f>
        <v>المشاوي سفري2</v>
      </c>
      <c r="G2159" s="90" t="s">
        <v>2257</v>
      </c>
      <c r="H2159" s="188">
        <v>5281</v>
      </c>
      <c r="I2159" s="110" t="str">
        <f>VLOOKUP(H2159, 'RM &amp; SF'!B:H, 2, 0)</f>
        <v>بندوره مشاوي</v>
      </c>
      <c r="J2159" s="184" t="str">
        <f>VLOOKUP(H2159, 'RM &amp; SF'!B:E, 4, 0)</f>
        <v>غم</v>
      </c>
      <c r="K2159" s="12">
        <v>20</v>
      </c>
      <c r="L2159" s="13">
        <f>VLOOKUP(H2159, 'RM &amp; SF'!B:H, 7, 0)</f>
        <v>4.0000000000000002E-4</v>
      </c>
      <c r="M2159" s="7">
        <f t="shared" si="110"/>
        <v>8.0000000000000002E-3</v>
      </c>
      <c r="N2159" s="4" t="s">
        <v>825</v>
      </c>
      <c r="O2159" s="4">
        <f>VLOOKUP(B2159, 'All Menu'!B:L, 6, 0)</f>
        <v>2.8017241379310347</v>
      </c>
      <c r="P2159" s="6">
        <f>VLOOKUP(B2159, 'All Menu'!B:L, 9, 0)</f>
        <v>1.5244993528768931</v>
      </c>
      <c r="Q2159" s="14">
        <f>VLOOKUP(B2159, 'All Menu'!B:M, 12, 0)</f>
        <v>0.45587100020393972</v>
      </c>
      <c r="R2159" s="173">
        <f t="shared" si="111"/>
        <v>0</v>
      </c>
    </row>
    <row r="2160" spans="1:18" ht="14" hidden="1">
      <c r="A2160" s="78" t="s">
        <v>2785</v>
      </c>
      <c r="B2160" s="220" t="s">
        <v>1208</v>
      </c>
      <c r="C2160" s="185"/>
      <c r="D2160" s="103" t="str">
        <f>VLOOKUP(B2160, 'All Menu'!B:M, 4, 0)</f>
        <v>كومبو كباب</v>
      </c>
      <c r="E2160" s="30" t="str">
        <f>VLOOKUP(B2160, 'All Menu'!B:M, 2, 0)</f>
        <v>قسم المشاوي</v>
      </c>
      <c r="F2160" s="103" t="str">
        <f>VLOOKUP(B2160, 'All Menu'!B:M, 3, 0)</f>
        <v>المشاوي سفري2</v>
      </c>
      <c r="G2160" s="90" t="s">
        <v>2194</v>
      </c>
      <c r="H2160" s="188">
        <v>4323</v>
      </c>
      <c r="I2160" s="110" t="str">
        <f>VLOOKUP(H2160, 'RM &amp; SF'!B:H, 2, 0)</f>
        <v>قصدير رول 45 سم*2كغ*****</v>
      </c>
      <c r="J2160" s="184" t="str">
        <f>VLOOKUP(H2160, 'RM &amp; SF'!B:E, 4, 0)</f>
        <v>غم</v>
      </c>
      <c r="K2160" s="12">
        <v>0.06</v>
      </c>
      <c r="L2160" s="13">
        <f>VLOOKUP(H2160, 'RM &amp; SF'!B:H, 7, 0)</f>
        <v>1.7240000000000001E-3</v>
      </c>
      <c r="M2160" s="7">
        <f t="shared" si="110"/>
        <v>1.0344E-4</v>
      </c>
      <c r="N2160" s="4" t="s">
        <v>825</v>
      </c>
      <c r="O2160" s="4">
        <f>VLOOKUP(B2160, 'All Menu'!B:L, 6, 0)</f>
        <v>2.8017241379310347</v>
      </c>
      <c r="P2160" s="6">
        <f>VLOOKUP(B2160, 'All Menu'!B:L, 9, 0)</f>
        <v>1.5244993528768931</v>
      </c>
      <c r="Q2160" s="14">
        <f>VLOOKUP(B2160, 'All Menu'!B:M, 12, 0)</f>
        <v>0.45587100020393972</v>
      </c>
      <c r="R2160" s="173">
        <f t="shared" si="111"/>
        <v>0</v>
      </c>
    </row>
    <row r="2161" spans="1:18" ht="14" hidden="1">
      <c r="A2161" s="78" t="s">
        <v>2785</v>
      </c>
      <c r="B2161" s="220" t="s">
        <v>1208</v>
      </c>
      <c r="C2161" s="185"/>
      <c r="D2161" s="103" t="str">
        <f>VLOOKUP(B2161, 'All Menu'!B:M, 4, 0)</f>
        <v>كومبو كباب</v>
      </c>
      <c r="E2161" s="30" t="str">
        <f>VLOOKUP(B2161, 'All Menu'!B:M, 2, 0)</f>
        <v>قسم المشاوي</v>
      </c>
      <c r="F2161" s="103" t="str">
        <f>VLOOKUP(B2161, 'All Menu'!B:M, 3, 0)</f>
        <v>المشاوي سفري2</v>
      </c>
      <c r="G2161" s="90" t="s">
        <v>3058</v>
      </c>
      <c r="H2161" s="188">
        <v>4264</v>
      </c>
      <c r="I2161" s="110" t="str">
        <f>VLOOKUP(H2161, 'RM &amp; SF'!B:H, 2, 0)</f>
        <v>علب ساندوش (علب سناك) كرتون مطبوع 1*50 حبة*****</v>
      </c>
      <c r="J2161" s="184" t="str">
        <f>VLOOKUP(H2161, 'RM &amp; SF'!B:E, 4, 0)</f>
        <v>قطعة</v>
      </c>
      <c r="K2161" s="12">
        <v>1</v>
      </c>
      <c r="L2161" s="13">
        <f>VLOOKUP(H2161, 'RM &amp; SF'!B:H, 7, 0)</f>
        <v>0.1724</v>
      </c>
      <c r="M2161" s="7">
        <f t="shared" si="110"/>
        <v>0.1724</v>
      </c>
      <c r="N2161" s="4" t="s">
        <v>825</v>
      </c>
      <c r="O2161" s="4">
        <f>VLOOKUP(B2161, 'All Menu'!B:L, 6, 0)</f>
        <v>2.8017241379310347</v>
      </c>
      <c r="P2161" s="6">
        <f>VLOOKUP(B2161, 'All Menu'!B:L, 9, 0)</f>
        <v>1.5244993528768931</v>
      </c>
      <c r="Q2161" s="14">
        <f>VLOOKUP(B2161, 'All Menu'!B:M, 12, 0)</f>
        <v>0.45587100020393972</v>
      </c>
      <c r="R2161" s="173">
        <f t="shared" si="111"/>
        <v>0</v>
      </c>
    </row>
    <row r="2162" spans="1:18" ht="14" hidden="1">
      <c r="A2162" s="78" t="s">
        <v>2785</v>
      </c>
      <c r="B2162" s="220" t="s">
        <v>1208</v>
      </c>
      <c r="C2162" s="185"/>
      <c r="D2162" s="103" t="str">
        <f>VLOOKUP(B2162, 'All Menu'!B:M, 4, 0)</f>
        <v>كومبو كباب</v>
      </c>
      <c r="E2162" s="30" t="str">
        <f>VLOOKUP(B2162, 'All Menu'!B:M, 2, 0)</f>
        <v>قسم المشاوي</v>
      </c>
      <c r="F2162" s="103" t="str">
        <f>VLOOKUP(B2162, 'All Menu'!B:M, 3, 0)</f>
        <v>المشاوي سفري2</v>
      </c>
      <c r="G2162" s="90" t="s">
        <v>2193</v>
      </c>
      <c r="H2162" s="188">
        <v>4309</v>
      </c>
      <c r="I2162" s="110" t="str">
        <f>VLOOKUP(H2162, 'RM &amp; SF'!B:H, 2, 0)</f>
        <v>اكياس بلاستيك مطبوع 55 سم*****</v>
      </c>
      <c r="J2162" s="184" t="str">
        <f>VLOOKUP(H2162, 'RM &amp; SF'!B:E, 4, 0)</f>
        <v>قطعة</v>
      </c>
      <c r="K2162" s="12">
        <v>1</v>
      </c>
      <c r="L2162" s="13">
        <f>VLOOKUP(H2162, 'RM &amp; SF'!B:H, 7, 0)</f>
        <v>5.5172413793103454E-2</v>
      </c>
      <c r="M2162" s="7">
        <f t="shared" si="110"/>
        <v>5.5172413793103454E-2</v>
      </c>
      <c r="N2162" s="4" t="s">
        <v>825</v>
      </c>
      <c r="O2162" s="4">
        <f>VLOOKUP(B2162, 'All Menu'!B:L, 6, 0)</f>
        <v>2.8017241379310347</v>
      </c>
      <c r="P2162" s="6">
        <f>VLOOKUP(B2162, 'All Menu'!B:L, 9, 0)</f>
        <v>1.5244993528768931</v>
      </c>
      <c r="Q2162" s="14">
        <f>VLOOKUP(B2162, 'All Menu'!B:M, 12, 0)</f>
        <v>0.45587100020393972</v>
      </c>
      <c r="R2162" s="173">
        <f t="shared" si="111"/>
        <v>0</v>
      </c>
    </row>
    <row r="2163" spans="1:18" ht="14" hidden="1">
      <c r="A2163" s="78" t="s">
        <v>2785</v>
      </c>
      <c r="B2163" s="220" t="s">
        <v>1208</v>
      </c>
      <c r="C2163" s="185"/>
      <c r="D2163" s="103" t="str">
        <f>VLOOKUP(B2163, 'All Menu'!B:M, 4, 0)</f>
        <v>كومبو كباب</v>
      </c>
      <c r="E2163" s="30" t="str">
        <f>VLOOKUP(B2163, 'All Menu'!B:M, 2, 0)</f>
        <v>قسم المشاوي</v>
      </c>
      <c r="F2163" s="103" t="str">
        <f>VLOOKUP(B2163, 'All Menu'!B:M, 3, 0)</f>
        <v>المشاوي سفري2</v>
      </c>
      <c r="G2163" s="90" t="s">
        <v>2397</v>
      </c>
      <c r="H2163" s="219" t="s">
        <v>580</v>
      </c>
      <c r="I2163" s="110" t="str">
        <f>VLOOKUP(H2163, 'RM &amp; SF'!B:H, 2, 0)</f>
        <v>طحينة مشاوي</v>
      </c>
      <c r="J2163" s="184" t="str">
        <f>VLOOKUP(H2163, 'RM &amp; SF'!B:E, 4, 0)</f>
        <v>غم</v>
      </c>
      <c r="K2163" s="12">
        <v>50</v>
      </c>
      <c r="L2163" s="13">
        <f>VLOOKUP(H2163, 'RM &amp; SF'!B:H, 7, 0)</f>
        <v>1.0841676434676436E-3</v>
      </c>
      <c r="M2163" s="7">
        <f t="shared" si="110"/>
        <v>5.4208382173382176E-2</v>
      </c>
      <c r="N2163" s="4" t="s">
        <v>825</v>
      </c>
      <c r="O2163" s="4">
        <f>VLOOKUP(B2163, 'All Menu'!B:L, 6, 0)</f>
        <v>2.8017241379310347</v>
      </c>
      <c r="P2163" s="6">
        <f>VLOOKUP(B2163, 'All Menu'!B:L, 9, 0)</f>
        <v>1.5244993528768931</v>
      </c>
      <c r="Q2163" s="14">
        <f>VLOOKUP(B2163, 'All Menu'!B:M, 12, 0)</f>
        <v>0.45587100020393972</v>
      </c>
      <c r="R2163" s="173">
        <f t="shared" si="111"/>
        <v>0</v>
      </c>
    </row>
    <row r="2164" spans="1:18" ht="14" hidden="1">
      <c r="A2164" s="78" t="s">
        <v>2785</v>
      </c>
      <c r="B2164" s="220" t="s">
        <v>1208</v>
      </c>
      <c r="C2164" s="185"/>
      <c r="D2164" s="103" t="str">
        <f>VLOOKUP(B2164, 'All Menu'!B:M, 4, 0)</f>
        <v>كومبو كباب</v>
      </c>
      <c r="E2164" s="30" t="str">
        <f>VLOOKUP(B2164, 'All Menu'!B:M, 2, 0)</f>
        <v>قسم المشاوي</v>
      </c>
      <c r="F2164" s="103" t="str">
        <f>VLOOKUP(B2164, 'All Menu'!B:M, 3, 0)</f>
        <v>المشاوي سفري2</v>
      </c>
      <c r="G2164" s="90" t="s">
        <v>3058</v>
      </c>
      <c r="H2164" s="188">
        <v>4285</v>
      </c>
      <c r="I2164" s="110" t="str">
        <f>VLOOKUP(H2164, 'RM &amp; SF'!B:H, 2, 0)</f>
        <v>علب بلاستيك مربع متصل 150 مل*****</v>
      </c>
      <c r="J2164" s="184" t="str">
        <f>VLOOKUP(H2164, 'RM &amp; SF'!B:E, 4, 0)</f>
        <v>قطعة</v>
      </c>
      <c r="K2164" s="12">
        <v>1</v>
      </c>
      <c r="L2164" s="13">
        <f>VLOOKUP(H2164, 'RM &amp; SF'!B:H, 7, 0)</f>
        <v>1.494E-2</v>
      </c>
      <c r="M2164" s="7">
        <f t="shared" si="110"/>
        <v>1.494E-2</v>
      </c>
      <c r="N2164" s="4" t="s">
        <v>825</v>
      </c>
      <c r="O2164" s="4">
        <f>VLOOKUP(B2164, 'All Menu'!B:L, 6, 0)</f>
        <v>2.8017241379310347</v>
      </c>
      <c r="P2164" s="6">
        <f>VLOOKUP(B2164, 'All Menu'!B:L, 9, 0)</f>
        <v>1.5244993528768931</v>
      </c>
      <c r="Q2164" s="14">
        <f>VLOOKUP(B2164, 'All Menu'!B:M, 12, 0)</f>
        <v>0.45587100020393972</v>
      </c>
      <c r="R2164" s="173">
        <f t="shared" si="111"/>
        <v>0</v>
      </c>
    </row>
    <row r="2165" spans="1:18" ht="14" hidden="1">
      <c r="A2165" s="78" t="s">
        <v>2785</v>
      </c>
      <c r="B2165" s="220" t="s">
        <v>1208</v>
      </c>
      <c r="C2165" s="185"/>
      <c r="D2165" s="103" t="str">
        <f>VLOOKUP(B2165, 'All Menu'!B:M, 4, 0)</f>
        <v>كومبو كباب</v>
      </c>
      <c r="E2165" s="30" t="str">
        <f>VLOOKUP(B2165, 'All Menu'!B:M, 2, 0)</f>
        <v>قسم المشاوي</v>
      </c>
      <c r="F2165" s="103" t="str">
        <f>VLOOKUP(B2165, 'All Menu'!B:M, 3, 0)</f>
        <v>المشاوي سفري2</v>
      </c>
      <c r="G2165" s="90" t="s">
        <v>2385</v>
      </c>
      <c r="H2165" s="219" t="s">
        <v>540</v>
      </c>
      <c r="I2165" s="110" t="str">
        <f>VLOOKUP(H2165, 'RM &amp; SF'!B:H, 2, 0)</f>
        <v xml:space="preserve">بطاطا مقلية </v>
      </c>
      <c r="J2165" s="184" t="str">
        <f>VLOOKUP(H2165, 'RM &amp; SF'!B:E, 4, 0)</f>
        <v>غم</v>
      </c>
      <c r="K2165" s="12">
        <v>150</v>
      </c>
      <c r="L2165" s="13">
        <f>VLOOKUP(H2165, 'RM &amp; SF'!B:H, 7, 0)</f>
        <v>7.9700000000000007E-4</v>
      </c>
      <c r="M2165" s="7">
        <f t="shared" si="110"/>
        <v>0.11955000000000002</v>
      </c>
      <c r="N2165" s="4" t="s">
        <v>825</v>
      </c>
      <c r="O2165" s="4">
        <f>VLOOKUP(B2165, 'All Menu'!B:L, 6, 0)</f>
        <v>2.8017241379310347</v>
      </c>
      <c r="P2165" s="6">
        <f>VLOOKUP(B2165, 'All Menu'!B:L, 9, 0)</f>
        <v>1.5244993528768931</v>
      </c>
      <c r="Q2165" s="14">
        <f>VLOOKUP(B2165, 'All Menu'!B:M, 12, 0)</f>
        <v>0.45587100020393972</v>
      </c>
      <c r="R2165" s="173">
        <f t="shared" si="111"/>
        <v>0</v>
      </c>
    </row>
    <row r="2166" spans="1:18" ht="14" hidden="1">
      <c r="A2166" s="78" t="s">
        <v>2785</v>
      </c>
      <c r="B2166" s="220" t="s">
        <v>1208</v>
      </c>
      <c r="C2166" s="185"/>
      <c r="D2166" s="103" t="str">
        <f>VLOOKUP(B2166, 'All Menu'!B:M, 4, 0)</f>
        <v>كومبو كباب</v>
      </c>
      <c r="E2166" s="30" t="str">
        <f>VLOOKUP(B2166, 'All Menu'!B:M, 2, 0)</f>
        <v>قسم المشاوي</v>
      </c>
      <c r="F2166" s="103" t="str">
        <f>VLOOKUP(B2166, 'All Menu'!B:M, 3, 0)</f>
        <v>المشاوي سفري2</v>
      </c>
      <c r="G2166" s="90" t="s">
        <v>2184</v>
      </c>
      <c r="H2166" s="188">
        <v>4265</v>
      </c>
      <c r="I2166" s="110" t="str">
        <f>VLOOKUP(H2166, 'RM &amp; SF'!B:H, 2, 0)</f>
        <v>علب بطاطا كرتون مطبوع 1*25 حبة*****</v>
      </c>
      <c r="J2166" s="184" t="str">
        <f>VLOOKUP(H2166, 'RM &amp; SF'!B:E, 4, 0)</f>
        <v>قطعة</v>
      </c>
      <c r="K2166" s="12">
        <v>1</v>
      </c>
      <c r="L2166" s="13">
        <f>VLOOKUP(H2166, 'RM &amp; SF'!B:H, 7, 0)</f>
        <v>6.0299999999999999E-2</v>
      </c>
      <c r="M2166" s="7">
        <f t="shared" si="110"/>
        <v>6.0299999999999999E-2</v>
      </c>
      <c r="N2166" s="4" t="s">
        <v>825</v>
      </c>
      <c r="O2166" s="4">
        <f>VLOOKUP(B2166, 'All Menu'!B:L, 6, 0)</f>
        <v>2.8017241379310347</v>
      </c>
      <c r="P2166" s="6">
        <f>VLOOKUP(B2166, 'All Menu'!B:L, 9, 0)</f>
        <v>1.5244993528768931</v>
      </c>
      <c r="Q2166" s="14">
        <f>VLOOKUP(B2166, 'All Menu'!B:M, 12, 0)</f>
        <v>0.45587100020393972</v>
      </c>
      <c r="R2166" s="173">
        <f t="shared" si="111"/>
        <v>0</v>
      </c>
    </row>
    <row r="2167" spans="1:18" ht="14" hidden="1">
      <c r="A2167" s="78" t="s">
        <v>2785</v>
      </c>
      <c r="B2167" s="220" t="s">
        <v>1208</v>
      </c>
      <c r="C2167" s="185"/>
      <c r="D2167" s="103" t="str">
        <f>VLOOKUP(B2167, 'All Menu'!B:M, 4, 0)</f>
        <v>كومبو كباب</v>
      </c>
      <c r="E2167" s="30" t="str">
        <f>VLOOKUP(B2167, 'All Menu'!B:M, 2, 0)</f>
        <v>قسم المشاوي</v>
      </c>
      <c r="F2167" s="103" t="str">
        <f>VLOOKUP(B2167, 'All Menu'!B:M, 3, 0)</f>
        <v>المشاوي سفري2</v>
      </c>
      <c r="G2167" s="90" t="s">
        <v>2194</v>
      </c>
      <c r="H2167" s="188">
        <v>4323</v>
      </c>
      <c r="I2167" s="110" t="str">
        <f>VLOOKUP(H2167, 'RM &amp; SF'!B:H, 2, 0)</f>
        <v>قصدير رول 45 سم*2كغ*****</v>
      </c>
      <c r="J2167" s="184" t="str">
        <f>VLOOKUP(H2167, 'RM &amp; SF'!B:E, 4, 0)</f>
        <v>غم</v>
      </c>
      <c r="K2167" s="12">
        <v>0.06</v>
      </c>
      <c r="L2167" s="13">
        <f>VLOOKUP(H2167, 'RM &amp; SF'!B:H, 7, 0)</f>
        <v>1.7240000000000001E-3</v>
      </c>
      <c r="M2167" s="7">
        <f t="shared" si="110"/>
        <v>1.0344E-4</v>
      </c>
      <c r="N2167" s="4" t="s">
        <v>825</v>
      </c>
      <c r="O2167" s="4">
        <f>VLOOKUP(B2167, 'All Menu'!B:L, 6, 0)</f>
        <v>2.8017241379310347</v>
      </c>
      <c r="P2167" s="6">
        <f>VLOOKUP(B2167, 'All Menu'!B:L, 9, 0)</f>
        <v>1.5244993528768931</v>
      </c>
      <c r="Q2167" s="14">
        <f>VLOOKUP(B2167, 'All Menu'!B:M, 12, 0)</f>
        <v>0.45587100020393972</v>
      </c>
      <c r="R2167" s="173">
        <f t="shared" si="111"/>
        <v>0</v>
      </c>
    </row>
    <row r="2168" spans="1:18" ht="14" hidden="1">
      <c r="A2168" s="78" t="s">
        <v>2785</v>
      </c>
      <c r="B2168" s="220" t="s">
        <v>1208</v>
      </c>
      <c r="C2168" s="185"/>
      <c r="D2168" s="103" t="str">
        <f>VLOOKUP(B2168, 'All Menu'!B:M, 4, 0)</f>
        <v>كومبو كباب</v>
      </c>
      <c r="E2168" s="30" t="str">
        <f>VLOOKUP(B2168, 'All Menu'!B:M, 2, 0)</f>
        <v>قسم المشاوي</v>
      </c>
      <c r="F2168" s="103" t="str">
        <f>VLOOKUP(B2168, 'All Menu'!B:M, 3, 0)</f>
        <v>المشاوي سفري2</v>
      </c>
      <c r="G2168" s="90" t="s">
        <v>3058</v>
      </c>
      <c r="H2168" s="188">
        <v>4264</v>
      </c>
      <c r="I2168" s="110" t="str">
        <f>VLOOKUP(H2168, 'RM &amp; SF'!B:H, 2, 0)</f>
        <v>علب ساندوش (علب سناك) كرتون مطبوع 1*50 حبة*****</v>
      </c>
      <c r="J2168" s="184" t="str">
        <f>VLOOKUP(H2168, 'RM &amp; SF'!B:E, 4, 0)</f>
        <v>قطعة</v>
      </c>
      <c r="K2168" s="12">
        <v>1</v>
      </c>
      <c r="L2168" s="13">
        <f>VLOOKUP(H2168, 'RM &amp; SF'!B:H, 7, 0)</f>
        <v>0.1724</v>
      </c>
      <c r="M2168" s="7">
        <f t="shared" si="110"/>
        <v>0.1724</v>
      </c>
      <c r="N2168" s="4" t="s">
        <v>825</v>
      </c>
      <c r="O2168" s="4">
        <f>VLOOKUP(B2168, 'All Menu'!B:L, 6, 0)</f>
        <v>2.8017241379310347</v>
      </c>
      <c r="P2168" s="6">
        <f>VLOOKUP(B2168, 'All Menu'!B:L, 9, 0)</f>
        <v>1.5244993528768931</v>
      </c>
      <c r="Q2168" s="14">
        <f>VLOOKUP(B2168, 'All Menu'!B:M, 12, 0)</f>
        <v>0.45587100020393972</v>
      </c>
      <c r="R2168" s="173">
        <f t="shared" si="111"/>
        <v>0</v>
      </c>
    </row>
    <row r="2169" spans="1:18" ht="14" hidden="1">
      <c r="A2169" s="78" t="s">
        <v>2785</v>
      </c>
      <c r="B2169" s="220" t="s">
        <v>1208</v>
      </c>
      <c r="C2169" s="185"/>
      <c r="D2169" s="103" t="str">
        <f>VLOOKUP(B2169, 'All Menu'!B:M, 4, 0)</f>
        <v>كومبو كباب</v>
      </c>
      <c r="E2169" s="30" t="str">
        <f>VLOOKUP(B2169, 'All Menu'!B:M, 2, 0)</f>
        <v>قسم المشاوي</v>
      </c>
      <c r="F2169" s="103" t="str">
        <f>VLOOKUP(B2169, 'All Menu'!B:M, 3, 0)</f>
        <v>المشاوي سفري2</v>
      </c>
      <c r="G2169" s="90" t="s">
        <v>2193</v>
      </c>
      <c r="H2169" s="188">
        <v>4309</v>
      </c>
      <c r="I2169" s="110" t="str">
        <f>VLOOKUP(H2169, 'RM &amp; SF'!B:H, 2, 0)</f>
        <v>اكياس بلاستيك مطبوع 55 سم*****</v>
      </c>
      <c r="J2169" s="184" t="str">
        <f>VLOOKUP(H2169, 'RM &amp; SF'!B:E, 4, 0)</f>
        <v>قطعة</v>
      </c>
      <c r="K2169" s="12">
        <v>1</v>
      </c>
      <c r="L2169" s="13">
        <f>VLOOKUP(H2169, 'RM &amp; SF'!B:H, 7, 0)</f>
        <v>5.5172413793103454E-2</v>
      </c>
      <c r="M2169" s="7">
        <f t="shared" si="110"/>
        <v>5.5172413793103454E-2</v>
      </c>
      <c r="N2169" s="4" t="s">
        <v>825</v>
      </c>
      <c r="O2169" s="4">
        <f>VLOOKUP(B2169, 'All Menu'!B:L, 6, 0)</f>
        <v>2.8017241379310347</v>
      </c>
      <c r="P2169" s="6">
        <f>VLOOKUP(B2169, 'All Menu'!B:L, 9, 0)</f>
        <v>1.5244993528768931</v>
      </c>
      <c r="Q2169" s="14">
        <f>VLOOKUP(B2169, 'All Menu'!B:M, 12, 0)</f>
        <v>0.45587100020393972</v>
      </c>
      <c r="R2169" s="173">
        <f t="shared" si="111"/>
        <v>0</v>
      </c>
    </row>
    <row r="2170" spans="1:18" ht="14" hidden="1">
      <c r="A2170" s="78" t="s">
        <v>2783</v>
      </c>
      <c r="B2170" s="220" t="s">
        <v>1222</v>
      </c>
      <c r="C2170" s="185"/>
      <c r="D2170" s="103" t="str">
        <f>VLOOKUP(B2170, 'All Menu'!B:M, 4, 0)</f>
        <v>خبز تركي</v>
      </c>
      <c r="E2170" s="30" t="str">
        <f>VLOOKUP(B2170, 'All Menu'!B:M, 2, 0)</f>
        <v>قسم المشاوي</v>
      </c>
      <c r="F2170" s="103" t="str">
        <f>VLOOKUP(B2170, 'All Menu'!B:M, 3, 0)</f>
        <v>المشاوي سفري2</v>
      </c>
      <c r="G2170" s="90" t="s">
        <v>2331</v>
      </c>
      <c r="H2170" s="219" t="s">
        <v>530</v>
      </c>
      <c r="I2170" s="110" t="str">
        <f>VLOOKUP(H2170, 'RM &amp; SF'!B:H, 2, 0)</f>
        <v>خبز صاج</v>
      </c>
      <c r="J2170" s="184" t="str">
        <f>VLOOKUP(H2170, 'RM &amp; SF'!B:E, 4, 0)</f>
        <v>غم</v>
      </c>
      <c r="K2170" s="12">
        <v>100</v>
      </c>
      <c r="L2170" s="13">
        <f>VLOOKUP(H2170, 'RM &amp; SF'!B:H, 7, 0)</f>
        <v>1.8806451612903227E-4</v>
      </c>
      <c r="M2170" s="7">
        <f t="shared" si="110"/>
        <v>1.8806451612903227E-2</v>
      </c>
      <c r="N2170" s="4" t="s">
        <v>825</v>
      </c>
      <c r="O2170" s="4">
        <f>VLOOKUP(B2170, 'All Menu'!B:L, 6, 0)</f>
        <v>0.25862068965517243</v>
      </c>
      <c r="P2170" s="6">
        <f>VLOOKUP(B2170, 'All Menu'!B:L, 9, 0)</f>
        <v>6.6138606586924442E-2</v>
      </c>
      <c r="Q2170" s="14">
        <f>VLOOKUP(B2170, 'All Menu'!B:M, 12, 0)</f>
        <v>0.74426405453055888</v>
      </c>
      <c r="R2170" s="173">
        <f t="shared" si="111"/>
        <v>0</v>
      </c>
    </row>
    <row r="2171" spans="1:18" ht="14" hidden="1">
      <c r="A2171" s="78" t="s">
        <v>2783</v>
      </c>
      <c r="B2171" s="220" t="s">
        <v>1222</v>
      </c>
      <c r="C2171" s="185"/>
      <c r="D2171" s="103" t="str">
        <f>VLOOKUP(B2171, 'All Menu'!B:M, 4, 0)</f>
        <v>خبز تركي</v>
      </c>
      <c r="E2171" s="30" t="str">
        <f>VLOOKUP(B2171, 'All Menu'!B:M, 2, 0)</f>
        <v>قسم المشاوي</v>
      </c>
      <c r="F2171" s="103" t="str">
        <f>VLOOKUP(B2171, 'All Menu'!B:M, 3, 0)</f>
        <v>المشاوي سفري2</v>
      </c>
      <c r="G2171" s="90" t="s">
        <v>2396</v>
      </c>
      <c r="H2171" s="219" t="s">
        <v>582</v>
      </c>
      <c r="I2171" s="110" t="str">
        <f>VLOOKUP(H2171, 'RM &amp; SF'!B:H, 2, 0)</f>
        <v>بيواز</v>
      </c>
      <c r="J2171" s="184" t="str">
        <f>VLOOKUP(H2171, 'RM &amp; SF'!B:E, 4, 0)</f>
        <v>غم</v>
      </c>
      <c r="K2171" s="12">
        <v>10</v>
      </c>
      <c r="L2171" s="13">
        <f>VLOOKUP(H2171, 'RM &amp; SF'!B:H, 7, 0)</f>
        <v>2.0666065869244635E-4</v>
      </c>
      <c r="M2171" s="7">
        <f t="shared" si="110"/>
        <v>2.0666065869244634E-3</v>
      </c>
      <c r="N2171" s="4" t="s">
        <v>825</v>
      </c>
      <c r="O2171" s="4">
        <f>VLOOKUP(B2171, 'All Menu'!B:L, 6, 0)</f>
        <v>0.25862068965517243</v>
      </c>
      <c r="P2171" s="6">
        <f>VLOOKUP(B2171, 'All Menu'!B:L, 9, 0)</f>
        <v>6.6138606586924442E-2</v>
      </c>
      <c r="Q2171" s="14">
        <f>VLOOKUP(B2171, 'All Menu'!B:M, 12, 0)</f>
        <v>0.74426405453055888</v>
      </c>
      <c r="R2171" s="173">
        <f t="shared" si="111"/>
        <v>0</v>
      </c>
    </row>
    <row r="2172" spans="1:18" ht="14" hidden="1">
      <c r="A2172" s="78" t="s">
        <v>2783</v>
      </c>
      <c r="B2172" s="220" t="s">
        <v>1222</v>
      </c>
      <c r="C2172" s="185"/>
      <c r="D2172" s="103" t="str">
        <f>VLOOKUP(B2172, 'All Menu'!B:M, 4, 0)</f>
        <v>خبز تركي</v>
      </c>
      <c r="E2172" s="30" t="str">
        <f>VLOOKUP(B2172, 'All Menu'!B:M, 2, 0)</f>
        <v>قسم المشاوي</v>
      </c>
      <c r="F2172" s="103" t="str">
        <f>VLOOKUP(B2172, 'All Menu'!B:M, 3, 0)</f>
        <v>المشاوي سفري2</v>
      </c>
      <c r="G2172" s="90" t="s">
        <v>2353</v>
      </c>
      <c r="H2172" s="219" t="s">
        <v>732</v>
      </c>
      <c r="I2172" s="110" t="str">
        <f>VLOOKUP(H2172, 'RM &amp; SF'!B:H, 2, 0)</f>
        <v>صوص خبز تركي</v>
      </c>
      <c r="J2172" s="184" t="str">
        <f>VLOOKUP(H2172, 'RM &amp; SF'!B:E, 4, 0)</f>
        <v>غم</v>
      </c>
      <c r="K2172" s="12">
        <v>20</v>
      </c>
      <c r="L2172" s="13">
        <f>VLOOKUP(H2172, 'RM &amp; SF'!B:H, 7, 0)</f>
        <v>2.2632774193548379E-3</v>
      </c>
      <c r="M2172" s="7">
        <f t="shared" si="110"/>
        <v>4.526554838709676E-2</v>
      </c>
      <c r="N2172" s="4" t="s">
        <v>825</v>
      </c>
      <c r="O2172" s="4">
        <f>VLOOKUP(B2172, 'All Menu'!B:L, 6, 0)</f>
        <v>0.25862068965517243</v>
      </c>
      <c r="P2172" s="6">
        <f>VLOOKUP(B2172, 'All Menu'!B:L, 9, 0)</f>
        <v>6.6138606586924442E-2</v>
      </c>
      <c r="Q2172" s="14">
        <f>VLOOKUP(B2172, 'All Menu'!B:M, 12, 0)</f>
        <v>0.74426405453055888</v>
      </c>
      <c r="R2172" s="173">
        <f t="shared" si="111"/>
        <v>0</v>
      </c>
    </row>
    <row r="2173" spans="1:18" ht="14" hidden="1">
      <c r="A2173" s="78" t="s">
        <v>2786</v>
      </c>
      <c r="B2173" s="220" t="s">
        <v>1275</v>
      </c>
      <c r="C2173" s="185"/>
      <c r="D2173" s="103" t="str">
        <f>VLOOKUP(B2173, 'All Menu'!B:M, 4, 0)</f>
        <v>اضافة حمص</v>
      </c>
      <c r="E2173" s="30" t="str">
        <f>VLOOKUP(B2173, 'All Menu'!B:M, 2, 0)</f>
        <v>قسم المشاوي</v>
      </c>
      <c r="F2173" s="103" t="str">
        <f>VLOOKUP(B2173, 'All Menu'!B:M, 3, 0)</f>
        <v>المشاوي سفري2</v>
      </c>
      <c r="G2173" s="90" t="s">
        <v>2404</v>
      </c>
      <c r="H2173" s="219" t="s">
        <v>488</v>
      </c>
      <c r="I2173" s="110" t="str">
        <f>VLOOKUP(H2173, 'RM &amp; SF'!B:H, 2, 0)</f>
        <v>حمص</v>
      </c>
      <c r="J2173" s="184" t="str">
        <f>VLOOKUP(H2173, 'RM &amp; SF'!B:E, 4, 0)</f>
        <v>غم</v>
      </c>
      <c r="K2173" s="12">
        <v>30</v>
      </c>
      <c r="L2173" s="13">
        <f>VLOOKUP(H2173, 'RM &amp; SF'!B:H, 7, 0)</f>
        <v>1.3232918279569891E-3</v>
      </c>
      <c r="M2173" s="7">
        <f t="shared" si="110"/>
        <v>3.9698754838709674E-2</v>
      </c>
      <c r="N2173" s="4" t="s">
        <v>825</v>
      </c>
      <c r="O2173" s="4">
        <f>VLOOKUP(B2173, 'All Menu'!B:L, 6, 0)</f>
        <v>0.12931034482758622</v>
      </c>
      <c r="P2173" s="6">
        <f>VLOOKUP(B2173, 'All Menu'!B:L, 9, 0)</f>
        <v>3.9698754838709674E-2</v>
      </c>
      <c r="Q2173" s="14">
        <f>VLOOKUP(B2173, 'All Menu'!B:M, 12, 0)</f>
        <v>0.69299629591397849</v>
      </c>
      <c r="R2173" s="173">
        <f t="shared" si="111"/>
        <v>0</v>
      </c>
    </row>
    <row r="2174" spans="1:18" ht="14" hidden="1">
      <c r="A2174" s="78" t="s">
        <v>3107</v>
      </c>
      <c r="B2174" s="220" t="s">
        <v>1277</v>
      </c>
      <c r="C2174" s="185"/>
      <c r="D2174" s="103" t="str">
        <f>VLOOKUP(B2174, 'All Menu'!B:M, 4, 0)</f>
        <v>سيخ لية</v>
      </c>
      <c r="E2174" s="30" t="str">
        <f>VLOOKUP(B2174, 'All Menu'!B:M, 2, 0)</f>
        <v>قسم المشاوي</v>
      </c>
      <c r="F2174" s="103" t="str">
        <f>VLOOKUP(B2174, 'All Menu'!B:M, 3, 0)</f>
        <v>المشاوي سفري2</v>
      </c>
      <c r="G2174" s="90" t="s">
        <v>3058</v>
      </c>
      <c r="H2174" s="188">
        <v>4598</v>
      </c>
      <c r="I2174" s="110" t="str">
        <f>VLOOKUP(H2174, 'RM &amp; SF'!B:H, 2, 0)</f>
        <v>لية خروف نية*****</v>
      </c>
      <c r="J2174" s="184" t="str">
        <f>VLOOKUP(H2174, 'RM &amp; SF'!B:E, 4, 0)</f>
        <v>غم</v>
      </c>
      <c r="K2174" s="12">
        <v>100</v>
      </c>
      <c r="L2174" s="13">
        <f>VLOOKUP(H2174, 'RM &amp; SF'!B:H, 7, 0)</f>
        <v>5.0000000000000001E-3</v>
      </c>
      <c r="M2174" s="7">
        <f t="shared" si="110"/>
        <v>0.5</v>
      </c>
      <c r="N2174" s="4" t="s">
        <v>825</v>
      </c>
      <c r="O2174" s="4">
        <f>VLOOKUP(B2174, 'All Menu'!B:L, 6, 0)</f>
        <v>1.2931034482758621</v>
      </c>
      <c r="P2174" s="6">
        <f>VLOOKUP(B2174, 'All Menu'!B:L, 9, 0)</f>
        <v>0.56896999999999998</v>
      </c>
      <c r="Q2174" s="14">
        <f>VLOOKUP(B2174, 'All Menu'!B:M, 12, 0)</f>
        <v>0.55999653333333332</v>
      </c>
      <c r="R2174" s="173">
        <f t="shared" si="111"/>
        <v>0</v>
      </c>
    </row>
    <row r="2175" spans="1:18" ht="14" hidden="1">
      <c r="A2175" s="78" t="s">
        <v>3107</v>
      </c>
      <c r="B2175" s="220" t="s">
        <v>1277</v>
      </c>
      <c r="C2175" s="185"/>
      <c r="D2175" s="103" t="str">
        <f>VLOOKUP(B2175, 'All Menu'!B:M, 4, 0)</f>
        <v>سيخ لية</v>
      </c>
      <c r="E2175" s="30" t="str">
        <f>VLOOKUP(B2175, 'All Menu'!B:M, 2, 0)</f>
        <v>قسم المشاوي</v>
      </c>
      <c r="F2175" s="103" t="str">
        <f>VLOOKUP(B2175, 'All Menu'!B:M, 3, 0)</f>
        <v>المشاوي سفري2</v>
      </c>
      <c r="G2175" s="90" t="s">
        <v>2201</v>
      </c>
      <c r="H2175" s="188">
        <v>4412</v>
      </c>
      <c r="I2175" s="110" t="str">
        <f>VLOOKUP(H2175, 'RM &amp; SF'!B:H, 2, 0)</f>
        <v>اسياخ شوي رفيع سفري 1*100 حبة*****</v>
      </c>
      <c r="J2175" s="184" t="str">
        <f>VLOOKUP(H2175, 'RM &amp; SF'!B:E, 4, 0)</f>
        <v>قطعة</v>
      </c>
      <c r="K2175" s="12">
        <v>1</v>
      </c>
      <c r="L2175" s="13">
        <f>VLOOKUP(H2175, 'RM &amp; SF'!B:H, 7, 0)</f>
        <v>6.8970000000000004E-2</v>
      </c>
      <c r="M2175" s="7">
        <f t="shared" si="110"/>
        <v>6.8970000000000004E-2</v>
      </c>
      <c r="N2175" s="4" t="s">
        <v>825</v>
      </c>
      <c r="O2175" s="4">
        <f>VLOOKUP(B2175, 'All Menu'!B:L, 6, 0)</f>
        <v>1.2931034482758621</v>
      </c>
      <c r="P2175" s="6">
        <f>VLOOKUP(B2175, 'All Menu'!B:L, 9, 0)</f>
        <v>0.56896999999999998</v>
      </c>
      <c r="Q2175" s="14">
        <f>VLOOKUP(B2175, 'All Menu'!B:M, 12, 0)</f>
        <v>0.55999653333333332</v>
      </c>
      <c r="R2175" s="173">
        <f t="shared" si="111"/>
        <v>0</v>
      </c>
    </row>
    <row r="2176" spans="1:18" ht="14" hidden="1">
      <c r="A2176" s="78" t="s">
        <v>2788</v>
      </c>
      <c r="B2176" s="220" t="s">
        <v>1278</v>
      </c>
      <c r="C2176" s="185"/>
      <c r="D2176" s="103" t="str">
        <f>VLOOKUP(B2176, 'All Menu'!B:M, 4, 0)</f>
        <v>سيخ فلفل مشوي</v>
      </c>
      <c r="E2176" s="30" t="str">
        <f>VLOOKUP(B2176, 'All Menu'!B:M, 2, 0)</f>
        <v>قسم المشاوي</v>
      </c>
      <c r="F2176" s="103" t="str">
        <f>VLOOKUP(B2176, 'All Menu'!B:M, 3, 0)</f>
        <v>المشاوي سفري2</v>
      </c>
      <c r="G2176" s="90" t="s">
        <v>2231</v>
      </c>
      <c r="H2176" s="188">
        <v>4499</v>
      </c>
      <c r="I2176" s="110" t="str">
        <f>VLOOKUP(H2176, 'RM &amp; SF'!B:H, 2, 0)</f>
        <v>فلفل حار اخضر*****</v>
      </c>
      <c r="J2176" s="184" t="str">
        <f>VLOOKUP(H2176, 'RM &amp; SF'!B:E, 4, 0)</f>
        <v>غم</v>
      </c>
      <c r="K2176" s="12">
        <v>110</v>
      </c>
      <c r="L2176" s="13">
        <f>VLOOKUP(H2176, 'RM &amp; SF'!B:H, 7, 0)</f>
        <v>5.0000000000000001E-4</v>
      </c>
      <c r="M2176" s="7">
        <f t="shared" si="110"/>
        <v>5.5E-2</v>
      </c>
      <c r="N2176" s="4" t="s">
        <v>825</v>
      </c>
      <c r="O2176" s="4">
        <f>VLOOKUP(B2176, 'All Menu'!B:L, 6, 0)</f>
        <v>0.64655172413793105</v>
      </c>
      <c r="P2176" s="6">
        <f>VLOOKUP(B2176, 'All Menu'!B:L, 9, 0)</f>
        <v>0.12397</v>
      </c>
      <c r="Q2176" s="14">
        <f>VLOOKUP(B2176, 'All Menu'!B:M, 12, 0)</f>
        <v>0.80825973333333334</v>
      </c>
      <c r="R2176" s="173">
        <f t="shared" si="111"/>
        <v>0</v>
      </c>
    </row>
    <row r="2177" spans="1:18" ht="14" hidden="1">
      <c r="A2177" s="78" t="s">
        <v>2788</v>
      </c>
      <c r="B2177" s="220" t="s">
        <v>1278</v>
      </c>
      <c r="C2177" s="185"/>
      <c r="D2177" s="103" t="str">
        <f>VLOOKUP(B2177, 'All Menu'!B:M, 4, 0)</f>
        <v>سيخ فلفل مشوي</v>
      </c>
      <c r="E2177" s="30" t="str">
        <f>VLOOKUP(B2177, 'All Menu'!B:M, 2, 0)</f>
        <v>قسم المشاوي</v>
      </c>
      <c r="F2177" s="103" t="str">
        <f>VLOOKUP(B2177, 'All Menu'!B:M, 3, 0)</f>
        <v>المشاوي سفري2</v>
      </c>
      <c r="G2177" s="90" t="s">
        <v>2201</v>
      </c>
      <c r="H2177" s="188">
        <v>4412</v>
      </c>
      <c r="I2177" s="110" t="str">
        <f>VLOOKUP(H2177, 'RM &amp; SF'!B:H, 2, 0)</f>
        <v>اسياخ شوي رفيع سفري 1*100 حبة*****</v>
      </c>
      <c r="J2177" s="184" t="str">
        <f>VLOOKUP(H2177, 'RM &amp; SF'!B:E, 4, 0)</f>
        <v>قطعة</v>
      </c>
      <c r="K2177" s="12">
        <v>1</v>
      </c>
      <c r="L2177" s="13">
        <f>VLOOKUP(H2177, 'RM &amp; SF'!B:H, 7, 0)</f>
        <v>6.8970000000000004E-2</v>
      </c>
      <c r="M2177" s="7">
        <f t="shared" si="110"/>
        <v>6.8970000000000004E-2</v>
      </c>
      <c r="N2177" s="4" t="s">
        <v>825</v>
      </c>
      <c r="O2177" s="4">
        <f>VLOOKUP(B2177, 'All Menu'!B:L, 6, 0)</f>
        <v>0.64655172413793105</v>
      </c>
      <c r="P2177" s="6">
        <f>VLOOKUP(B2177, 'All Menu'!B:L, 9, 0)</f>
        <v>0.12397</v>
      </c>
      <c r="Q2177" s="14">
        <f>VLOOKUP(B2177, 'All Menu'!B:M, 12, 0)</f>
        <v>0.80825973333333334</v>
      </c>
      <c r="R2177" s="173">
        <f t="shared" si="111"/>
        <v>0</v>
      </c>
    </row>
    <row r="2178" spans="1:18" ht="14" hidden="1">
      <c r="A2178" s="78" t="s">
        <v>2787</v>
      </c>
      <c r="B2178" s="220" t="s">
        <v>1289</v>
      </c>
      <c r="C2178" s="185"/>
      <c r="D2178" s="103" t="str">
        <f>VLOOKUP(B2178, 'All Menu'!B:M, 4, 0)</f>
        <v>اضافة بطاطا</v>
      </c>
      <c r="E2178" s="30" t="str">
        <f>VLOOKUP(B2178, 'All Menu'!B:M, 2, 0)</f>
        <v>قسم المشاوي</v>
      </c>
      <c r="F2178" s="103" t="str">
        <f>VLOOKUP(B2178, 'All Menu'!B:M, 3, 0)</f>
        <v>المشاوي سفري2</v>
      </c>
      <c r="G2178" s="90" t="s">
        <v>2385</v>
      </c>
      <c r="H2178" s="219" t="s">
        <v>540</v>
      </c>
      <c r="I2178" s="110" t="str">
        <f>VLOOKUP(H2178, 'RM &amp; SF'!B:H, 2, 0)</f>
        <v xml:space="preserve">بطاطا مقلية </v>
      </c>
      <c r="J2178" s="184" t="str">
        <f>VLOOKUP(H2178, 'RM &amp; SF'!B:E, 4, 0)</f>
        <v>غم</v>
      </c>
      <c r="K2178" s="12">
        <v>15</v>
      </c>
      <c r="L2178" s="13">
        <f>VLOOKUP(H2178, 'RM &amp; SF'!B:H, 7, 0)</f>
        <v>7.9700000000000007E-4</v>
      </c>
      <c r="M2178" s="7">
        <f t="shared" si="110"/>
        <v>1.1955E-2</v>
      </c>
      <c r="N2178" s="4" t="s">
        <v>825</v>
      </c>
      <c r="O2178" s="4">
        <f>VLOOKUP(B2178, 'All Menu'!B:L, 6, 0)</f>
        <v>0.12931034482758622</v>
      </c>
      <c r="P2178" s="6">
        <f>VLOOKUP(B2178, 'All Menu'!B:L, 9, 0)</f>
        <v>1.1955E-2</v>
      </c>
      <c r="Q2178" s="14">
        <f>VLOOKUP(B2178, 'All Menu'!B:M, 12, 0)</f>
        <v>0.90754800000000002</v>
      </c>
      <c r="R2178" s="173">
        <f t="shared" si="111"/>
        <v>0</v>
      </c>
    </row>
    <row r="2179" spans="1:18" ht="14" hidden="1">
      <c r="A2179" s="78" t="s">
        <v>2789</v>
      </c>
      <c r="B2179" s="220" t="s">
        <v>1297</v>
      </c>
      <c r="C2179" s="185"/>
      <c r="D2179" s="103" t="str">
        <f>VLOOKUP(B2179, 'All Menu'!B:M, 4, 0)</f>
        <v>ساندويش خصاوي</v>
      </c>
      <c r="E2179" s="30" t="str">
        <f>VLOOKUP(B2179, 'All Menu'!B:M, 2, 0)</f>
        <v>قسم المشاوي</v>
      </c>
      <c r="F2179" s="103" t="str">
        <f>VLOOKUP(B2179, 'All Menu'!B:M, 3, 0)</f>
        <v>المشاوي سفري2</v>
      </c>
      <c r="G2179" s="90" t="s">
        <v>2331</v>
      </c>
      <c r="H2179" s="219" t="s">
        <v>530</v>
      </c>
      <c r="I2179" s="110" t="str">
        <f>VLOOKUP(H2179, 'RM &amp; SF'!B:H, 2, 0)</f>
        <v>خبز صاج</v>
      </c>
      <c r="J2179" s="184" t="str">
        <f>VLOOKUP(H2179, 'RM &amp; SF'!B:E, 4, 0)</f>
        <v>غم</v>
      </c>
      <c r="K2179" s="22">
        <v>100</v>
      </c>
      <c r="L2179" s="13">
        <f>VLOOKUP(H2179, 'RM &amp; SF'!B:H, 7, 0)</f>
        <v>1.8806451612903227E-4</v>
      </c>
      <c r="M2179" s="15">
        <f t="shared" si="110"/>
        <v>1.8806451612903227E-2</v>
      </c>
      <c r="N2179" s="21" t="s">
        <v>825</v>
      </c>
      <c r="O2179" s="4">
        <f>VLOOKUP(B2179, 'All Menu'!B:L, 6, 0)</f>
        <v>1.7241379310344829</v>
      </c>
      <c r="P2179" s="6">
        <f>VLOOKUP(B2179, 'All Menu'!B:L, 9, 0)</f>
        <v>0.83102372051401119</v>
      </c>
      <c r="Q2179" s="14">
        <f>VLOOKUP(B2179, 'All Menu'!B:M, 12, 0)</f>
        <v>0.51800624210187352</v>
      </c>
      <c r="R2179" s="173">
        <f t="shared" si="111"/>
        <v>0</v>
      </c>
    </row>
    <row r="2180" spans="1:18" ht="14" hidden="1">
      <c r="A2180" s="78" t="s">
        <v>2789</v>
      </c>
      <c r="B2180" s="220" t="s">
        <v>1297</v>
      </c>
      <c r="C2180" s="185"/>
      <c r="D2180" s="103" t="str">
        <f>VLOOKUP(B2180, 'All Menu'!B:M, 4, 0)</f>
        <v>ساندويش خصاوي</v>
      </c>
      <c r="E2180" s="30" t="str">
        <f>VLOOKUP(B2180, 'All Menu'!B:M, 2, 0)</f>
        <v>قسم المشاوي</v>
      </c>
      <c r="F2180" s="103" t="str">
        <f>VLOOKUP(B2180, 'All Menu'!B:M, 3, 0)</f>
        <v>المشاوي سفري2</v>
      </c>
      <c r="G2180" s="90" t="s">
        <v>2396</v>
      </c>
      <c r="H2180" s="219" t="s">
        <v>582</v>
      </c>
      <c r="I2180" s="110" t="str">
        <f>VLOOKUP(H2180, 'RM &amp; SF'!B:H, 2, 0)</f>
        <v>بيواز</v>
      </c>
      <c r="J2180" s="184" t="str">
        <f>VLOOKUP(H2180, 'RM &amp; SF'!B:E, 4, 0)</f>
        <v>غم</v>
      </c>
      <c r="K2180" s="22">
        <v>50</v>
      </c>
      <c r="L2180" s="13">
        <f>VLOOKUP(H2180, 'RM &amp; SF'!B:H, 7, 0)</f>
        <v>2.0666065869244635E-4</v>
      </c>
      <c r="M2180" s="15">
        <f t="shared" si="110"/>
        <v>1.0333032934622318E-2</v>
      </c>
      <c r="N2180" s="21" t="s">
        <v>825</v>
      </c>
      <c r="O2180" s="4">
        <f>VLOOKUP(B2180, 'All Menu'!B:L, 6, 0)</f>
        <v>1.7241379310344829</v>
      </c>
      <c r="P2180" s="6">
        <f>VLOOKUP(B2180, 'All Menu'!B:L, 9, 0)</f>
        <v>0.83102372051401119</v>
      </c>
      <c r="Q2180" s="14">
        <f>VLOOKUP(B2180, 'All Menu'!B:M, 12, 0)</f>
        <v>0.51800624210187352</v>
      </c>
      <c r="R2180" s="173">
        <f t="shared" si="111"/>
        <v>0</v>
      </c>
    </row>
    <row r="2181" spans="1:18" ht="14" hidden="1">
      <c r="A2181" s="78" t="s">
        <v>2789</v>
      </c>
      <c r="B2181" s="220" t="s">
        <v>1297</v>
      </c>
      <c r="C2181" s="185"/>
      <c r="D2181" s="103" t="str">
        <f>VLOOKUP(B2181, 'All Menu'!B:M, 4, 0)</f>
        <v>ساندويش خصاوي</v>
      </c>
      <c r="E2181" s="30" t="str">
        <f>VLOOKUP(B2181, 'All Menu'!B:M, 2, 0)</f>
        <v>قسم المشاوي</v>
      </c>
      <c r="F2181" s="103" t="str">
        <f>VLOOKUP(B2181, 'All Menu'!B:M, 3, 0)</f>
        <v>المشاوي سفري2</v>
      </c>
      <c r="G2181" s="90" t="s">
        <v>2257</v>
      </c>
      <c r="H2181" s="221">
        <v>5281</v>
      </c>
      <c r="I2181" s="110" t="str">
        <f>VLOOKUP(H2181, 'RM &amp; SF'!B:H, 2, 0)</f>
        <v>بندوره مشاوي</v>
      </c>
      <c r="J2181" s="184" t="str">
        <f>VLOOKUP(H2181, 'RM &amp; SF'!B:E, 4, 0)</f>
        <v>غم</v>
      </c>
      <c r="K2181" s="22">
        <v>50</v>
      </c>
      <c r="L2181" s="13">
        <f>VLOOKUP(H2181, 'RM &amp; SF'!B:H, 7, 0)</f>
        <v>4.0000000000000002E-4</v>
      </c>
      <c r="M2181" s="15">
        <f t="shared" si="110"/>
        <v>0.02</v>
      </c>
      <c r="N2181" s="21" t="s">
        <v>825</v>
      </c>
      <c r="O2181" s="4">
        <f>VLOOKUP(B2181, 'All Menu'!B:L, 6, 0)</f>
        <v>1.7241379310344829</v>
      </c>
      <c r="P2181" s="6">
        <f>VLOOKUP(B2181, 'All Menu'!B:L, 9, 0)</f>
        <v>0.83102372051401119</v>
      </c>
      <c r="Q2181" s="14">
        <f>VLOOKUP(B2181, 'All Menu'!B:M, 12, 0)</f>
        <v>0.51800624210187352</v>
      </c>
      <c r="R2181" s="173">
        <f t="shared" si="111"/>
        <v>0</v>
      </c>
    </row>
    <row r="2182" spans="1:18" ht="14" hidden="1">
      <c r="A2182" s="78" t="s">
        <v>2789</v>
      </c>
      <c r="B2182" s="220" t="s">
        <v>1297</v>
      </c>
      <c r="C2182" s="185"/>
      <c r="D2182" s="103" t="str">
        <f>VLOOKUP(B2182, 'All Menu'!B:M, 4, 0)</f>
        <v>ساندويش خصاوي</v>
      </c>
      <c r="E2182" s="30" t="str">
        <f>VLOOKUP(B2182, 'All Menu'!B:M, 2, 0)</f>
        <v>قسم المشاوي</v>
      </c>
      <c r="F2182" s="103" t="str">
        <f>VLOOKUP(B2182, 'All Menu'!B:M, 3, 0)</f>
        <v>المشاوي سفري2</v>
      </c>
      <c r="G2182" s="90" t="s">
        <v>2397</v>
      </c>
      <c r="H2182" s="219" t="s">
        <v>580</v>
      </c>
      <c r="I2182" s="110" t="str">
        <f>VLOOKUP(H2182, 'RM &amp; SF'!B:H, 2, 0)</f>
        <v>طحينة مشاوي</v>
      </c>
      <c r="J2182" s="184" t="str">
        <f>VLOOKUP(H2182, 'RM &amp; SF'!B:E, 4, 0)</f>
        <v>غم</v>
      </c>
      <c r="K2182" s="22">
        <v>50</v>
      </c>
      <c r="L2182" s="13">
        <f>VLOOKUP(H2182, 'RM &amp; SF'!B:H, 7, 0)</f>
        <v>1.0841676434676436E-3</v>
      </c>
      <c r="M2182" s="15">
        <f t="shared" si="110"/>
        <v>5.4208382173382176E-2</v>
      </c>
      <c r="N2182" s="21" t="s">
        <v>825</v>
      </c>
      <c r="O2182" s="4">
        <f>VLOOKUP(B2182, 'All Menu'!B:L, 6, 0)</f>
        <v>1.7241379310344829</v>
      </c>
      <c r="P2182" s="6">
        <f>VLOOKUP(B2182, 'All Menu'!B:L, 9, 0)</f>
        <v>0.83102372051401119</v>
      </c>
      <c r="Q2182" s="14">
        <f>VLOOKUP(B2182, 'All Menu'!B:M, 12, 0)</f>
        <v>0.51800624210187352</v>
      </c>
      <c r="R2182" s="173">
        <f t="shared" si="111"/>
        <v>0</v>
      </c>
    </row>
    <row r="2183" spans="1:18" ht="14" hidden="1">
      <c r="A2183" s="78" t="s">
        <v>2789</v>
      </c>
      <c r="B2183" s="220" t="s">
        <v>1297</v>
      </c>
      <c r="C2183" s="185"/>
      <c r="D2183" s="103" t="str">
        <f>VLOOKUP(B2183, 'All Menu'!B:M, 4, 0)</f>
        <v>ساندويش خصاوي</v>
      </c>
      <c r="E2183" s="30" t="str">
        <f>VLOOKUP(B2183, 'All Menu'!B:M, 2, 0)</f>
        <v>قسم المشاوي</v>
      </c>
      <c r="F2183" s="103" t="str">
        <f>VLOOKUP(B2183, 'All Menu'!B:M, 3, 0)</f>
        <v>المشاوي سفري2</v>
      </c>
      <c r="G2183" s="90" t="s">
        <v>3058</v>
      </c>
      <c r="H2183" s="221">
        <v>4764</v>
      </c>
      <c r="I2183" s="110" t="str">
        <f>VLOOKUP(H2183, 'RM &amp; SF'!B:H, 2, 0)</f>
        <v>سقط خروف ني (خصاوي)*****</v>
      </c>
      <c r="J2183" s="184" t="str">
        <f>VLOOKUP(H2183, 'RM &amp; SF'!B:E, 4, 0)</f>
        <v>غم</v>
      </c>
      <c r="K2183" s="22">
        <v>100</v>
      </c>
      <c r="L2183" s="13">
        <f>VLOOKUP(H2183, 'RM &amp; SF'!B:H, 7, 0)</f>
        <v>5.0000000000000001E-3</v>
      </c>
      <c r="M2183" s="15">
        <f t="shared" si="110"/>
        <v>0.5</v>
      </c>
      <c r="N2183" s="21" t="s">
        <v>825</v>
      </c>
      <c r="O2183" s="4">
        <f>VLOOKUP(B2183, 'All Menu'!B:L, 6, 0)</f>
        <v>1.7241379310344829</v>
      </c>
      <c r="P2183" s="6">
        <f>VLOOKUP(B2183, 'All Menu'!B:L, 9, 0)</f>
        <v>0.83102372051401119</v>
      </c>
      <c r="Q2183" s="14">
        <f>VLOOKUP(B2183, 'All Menu'!B:M, 12, 0)</f>
        <v>0.51800624210187352</v>
      </c>
      <c r="R2183" s="173">
        <f t="shared" si="111"/>
        <v>0</v>
      </c>
    </row>
    <row r="2184" spans="1:18" ht="14" hidden="1">
      <c r="A2184" s="78" t="s">
        <v>2789</v>
      </c>
      <c r="B2184" s="220" t="s">
        <v>1297</v>
      </c>
      <c r="C2184" s="185"/>
      <c r="D2184" s="103" t="str">
        <f>VLOOKUP(B2184, 'All Menu'!B:M, 4, 0)</f>
        <v>ساندويش خصاوي</v>
      </c>
      <c r="E2184" s="30" t="str">
        <f>VLOOKUP(B2184, 'All Menu'!B:M, 2, 0)</f>
        <v>قسم المشاوي</v>
      </c>
      <c r="F2184" s="103" t="str">
        <f>VLOOKUP(B2184, 'All Menu'!B:M, 3, 0)</f>
        <v>المشاوي سفري2</v>
      </c>
      <c r="G2184" s="90" t="s">
        <v>3058</v>
      </c>
      <c r="H2184" s="224">
        <v>4264</v>
      </c>
      <c r="I2184" s="110" t="str">
        <f>VLOOKUP(H2184, 'RM &amp; SF'!B:H, 2, 0)</f>
        <v>علب ساندوش (علب سناك) كرتون مطبوع 1*50 حبة*****</v>
      </c>
      <c r="J2184" s="184" t="str">
        <f>VLOOKUP(H2184, 'RM &amp; SF'!B:E, 4, 0)</f>
        <v>قطعة</v>
      </c>
      <c r="K2184" s="19">
        <v>1</v>
      </c>
      <c r="L2184" s="13">
        <f>VLOOKUP(H2184, 'RM &amp; SF'!B:H, 7, 0)</f>
        <v>0.1724</v>
      </c>
      <c r="M2184" s="18">
        <f t="shared" ref="M2184:M2194" si="112">L2184*K2184</f>
        <v>0.1724</v>
      </c>
      <c r="N2184" s="24" t="s">
        <v>825</v>
      </c>
      <c r="O2184" s="4">
        <f>VLOOKUP(B2184, 'All Menu'!B:L, 6, 0)</f>
        <v>1.7241379310344829</v>
      </c>
      <c r="P2184" s="6">
        <f>VLOOKUP(B2184, 'All Menu'!B:L, 9, 0)</f>
        <v>0.83102372051401119</v>
      </c>
      <c r="Q2184" s="14">
        <f>VLOOKUP(B2184, 'All Menu'!B:M, 12, 0)</f>
        <v>0.51800624210187352</v>
      </c>
      <c r="R2184" s="173">
        <f t="shared" si="111"/>
        <v>0</v>
      </c>
    </row>
    <row r="2185" spans="1:18" ht="14" hidden="1">
      <c r="A2185" s="78" t="s">
        <v>2789</v>
      </c>
      <c r="B2185" s="220" t="s">
        <v>1297</v>
      </c>
      <c r="C2185" s="185"/>
      <c r="D2185" s="103" t="str">
        <f>VLOOKUP(B2185, 'All Menu'!B:M, 4, 0)</f>
        <v>ساندويش خصاوي</v>
      </c>
      <c r="E2185" s="30" t="str">
        <f>VLOOKUP(B2185, 'All Menu'!B:M, 2, 0)</f>
        <v>قسم المشاوي</v>
      </c>
      <c r="F2185" s="103" t="str">
        <f>VLOOKUP(B2185, 'All Menu'!B:M, 3, 0)</f>
        <v>المشاوي سفري2</v>
      </c>
      <c r="G2185" s="90" t="s">
        <v>2193</v>
      </c>
      <c r="H2185" s="224">
        <v>4309</v>
      </c>
      <c r="I2185" s="110" t="str">
        <f>VLOOKUP(H2185, 'RM &amp; SF'!B:H, 2, 0)</f>
        <v>اكياس بلاستيك مطبوع 55 سم*****</v>
      </c>
      <c r="J2185" s="184" t="str">
        <f>VLOOKUP(H2185, 'RM &amp; SF'!B:E, 4, 0)</f>
        <v>قطعة</v>
      </c>
      <c r="K2185" s="19">
        <v>1</v>
      </c>
      <c r="L2185" s="13">
        <f>VLOOKUP(H2185, 'RM &amp; SF'!B:H, 7, 0)</f>
        <v>5.5172413793103454E-2</v>
      </c>
      <c r="M2185" s="18">
        <f t="shared" si="112"/>
        <v>5.5172413793103454E-2</v>
      </c>
      <c r="N2185" s="24" t="s">
        <v>825</v>
      </c>
      <c r="O2185" s="4">
        <f>VLOOKUP(B2185, 'All Menu'!B:L, 6, 0)</f>
        <v>1.7241379310344829</v>
      </c>
      <c r="P2185" s="6">
        <f>VLOOKUP(B2185, 'All Menu'!B:L, 9, 0)</f>
        <v>0.83102372051401119</v>
      </c>
      <c r="Q2185" s="14">
        <f>VLOOKUP(B2185, 'All Menu'!B:M, 12, 0)</f>
        <v>0.51800624210187352</v>
      </c>
      <c r="R2185" s="173">
        <f t="shared" si="111"/>
        <v>0</v>
      </c>
    </row>
    <row r="2186" spans="1:18" ht="14" hidden="1">
      <c r="A2186" s="78" t="s">
        <v>2789</v>
      </c>
      <c r="B2186" s="220" t="s">
        <v>1297</v>
      </c>
      <c r="C2186" s="185"/>
      <c r="D2186" s="103" t="str">
        <f>VLOOKUP(B2186, 'All Menu'!B:M, 4, 0)</f>
        <v>ساندويش خصاوي</v>
      </c>
      <c r="E2186" s="30" t="str">
        <f>VLOOKUP(B2186, 'All Menu'!B:M, 2, 0)</f>
        <v>قسم المشاوي</v>
      </c>
      <c r="F2186" s="103" t="str">
        <f>VLOOKUP(B2186, 'All Menu'!B:M, 3, 0)</f>
        <v>المشاوي سفري2</v>
      </c>
      <c r="G2186" s="90" t="s">
        <v>2194</v>
      </c>
      <c r="H2186" s="224">
        <v>4323</v>
      </c>
      <c r="I2186" s="110" t="str">
        <f>VLOOKUP(H2186, 'RM &amp; SF'!B:H, 2, 0)</f>
        <v>قصدير رول 45 سم*2كغ*****</v>
      </c>
      <c r="J2186" s="184" t="str">
        <f>VLOOKUP(H2186, 'RM &amp; SF'!B:E, 4, 0)</f>
        <v>غم</v>
      </c>
      <c r="K2186" s="12">
        <v>0.06</v>
      </c>
      <c r="L2186" s="13">
        <f>VLOOKUP(H2186, 'RM &amp; SF'!B:H, 7, 0)</f>
        <v>1.7240000000000001E-3</v>
      </c>
      <c r="M2186" s="18">
        <f t="shared" si="112"/>
        <v>1.0344E-4</v>
      </c>
      <c r="N2186" s="24" t="s">
        <v>825</v>
      </c>
      <c r="O2186" s="4">
        <f>VLOOKUP(B2186, 'All Menu'!B:L, 6, 0)</f>
        <v>1.7241379310344829</v>
      </c>
      <c r="P2186" s="6">
        <f>VLOOKUP(B2186, 'All Menu'!B:L, 9, 0)</f>
        <v>0.83102372051401119</v>
      </c>
      <c r="Q2186" s="14">
        <f>VLOOKUP(B2186, 'All Menu'!B:M, 12, 0)</f>
        <v>0.51800624210187352</v>
      </c>
      <c r="R2186" s="173">
        <f t="shared" si="111"/>
        <v>0</v>
      </c>
    </row>
    <row r="2187" spans="1:18" ht="14" hidden="1">
      <c r="A2187" s="78" t="s">
        <v>2790</v>
      </c>
      <c r="B2187" s="220" t="s">
        <v>1298</v>
      </c>
      <c r="C2187" s="185"/>
      <c r="D2187" s="103" t="str">
        <f>VLOOKUP(B2187, 'All Menu'!B:M, 4, 0)</f>
        <v>ساندويش كلاوي</v>
      </c>
      <c r="E2187" s="30" t="str">
        <f>VLOOKUP(B2187, 'All Menu'!B:M, 2, 0)</f>
        <v>قسم المشاوي</v>
      </c>
      <c r="F2187" s="103" t="str">
        <f>VLOOKUP(B2187, 'All Menu'!B:M, 3, 0)</f>
        <v>المشاوي سفري2</v>
      </c>
      <c r="G2187" s="90" t="s">
        <v>2331</v>
      </c>
      <c r="H2187" s="219" t="s">
        <v>530</v>
      </c>
      <c r="I2187" s="110" t="str">
        <f>VLOOKUP(H2187, 'RM &amp; SF'!B:H, 2, 0)</f>
        <v>خبز صاج</v>
      </c>
      <c r="J2187" s="184" t="str">
        <f>VLOOKUP(H2187, 'RM &amp; SF'!B:E, 4, 0)</f>
        <v>غم</v>
      </c>
      <c r="K2187" s="22">
        <v>100</v>
      </c>
      <c r="L2187" s="13">
        <f>VLOOKUP(H2187, 'RM &amp; SF'!B:H, 7, 0)</f>
        <v>1.8806451612903227E-4</v>
      </c>
      <c r="M2187" s="15">
        <f t="shared" si="112"/>
        <v>1.8806451612903227E-2</v>
      </c>
      <c r="N2187" s="21" t="s">
        <v>825</v>
      </c>
      <c r="O2187" s="4">
        <f>VLOOKUP(B2187, 'All Menu'!B:L, 6, 0)</f>
        <v>1.7241379310344829</v>
      </c>
      <c r="P2187" s="6">
        <f>VLOOKUP(B2187, 'All Menu'!B:L, 9, 0)</f>
        <v>0.83102372051401119</v>
      </c>
      <c r="Q2187" s="14">
        <f>VLOOKUP(B2187, 'All Menu'!B:M, 12, 0)</f>
        <v>0.51800624210187352</v>
      </c>
      <c r="R2187" s="173">
        <f t="shared" si="111"/>
        <v>0</v>
      </c>
    </row>
    <row r="2188" spans="1:18" ht="14" hidden="1">
      <c r="A2188" s="78" t="s">
        <v>2790</v>
      </c>
      <c r="B2188" s="220" t="s">
        <v>1298</v>
      </c>
      <c r="C2188" s="185"/>
      <c r="D2188" s="103" t="str">
        <f>VLOOKUP(B2188, 'All Menu'!B:M, 4, 0)</f>
        <v>ساندويش كلاوي</v>
      </c>
      <c r="E2188" s="30" t="str">
        <f>VLOOKUP(B2188, 'All Menu'!B:M, 2, 0)</f>
        <v>قسم المشاوي</v>
      </c>
      <c r="F2188" s="103" t="str">
        <f>VLOOKUP(B2188, 'All Menu'!B:M, 3, 0)</f>
        <v>المشاوي سفري2</v>
      </c>
      <c r="G2188" s="90" t="s">
        <v>2396</v>
      </c>
      <c r="H2188" s="219" t="s">
        <v>582</v>
      </c>
      <c r="I2188" s="110" t="str">
        <f>VLOOKUP(H2188, 'RM &amp; SF'!B:H, 2, 0)</f>
        <v>بيواز</v>
      </c>
      <c r="J2188" s="184" t="str">
        <f>VLOOKUP(H2188, 'RM &amp; SF'!B:E, 4, 0)</f>
        <v>غم</v>
      </c>
      <c r="K2188" s="22">
        <v>50</v>
      </c>
      <c r="L2188" s="13">
        <f>VLOOKUP(H2188, 'RM &amp; SF'!B:H, 7, 0)</f>
        <v>2.0666065869244635E-4</v>
      </c>
      <c r="M2188" s="15">
        <f t="shared" si="112"/>
        <v>1.0333032934622318E-2</v>
      </c>
      <c r="N2188" s="21" t="s">
        <v>825</v>
      </c>
      <c r="O2188" s="4">
        <f>VLOOKUP(B2188, 'All Menu'!B:L, 6, 0)</f>
        <v>1.7241379310344829</v>
      </c>
      <c r="P2188" s="6">
        <f>VLOOKUP(B2188, 'All Menu'!B:L, 9, 0)</f>
        <v>0.83102372051401119</v>
      </c>
      <c r="Q2188" s="14">
        <f>VLOOKUP(B2188, 'All Menu'!B:M, 12, 0)</f>
        <v>0.51800624210187352</v>
      </c>
      <c r="R2188" s="173">
        <f t="shared" si="111"/>
        <v>0</v>
      </c>
    </row>
    <row r="2189" spans="1:18" ht="14" hidden="1">
      <c r="A2189" s="78" t="s">
        <v>2790</v>
      </c>
      <c r="B2189" s="220" t="s">
        <v>1298</v>
      </c>
      <c r="C2189" s="185"/>
      <c r="D2189" s="103" t="str">
        <f>VLOOKUP(B2189, 'All Menu'!B:M, 4, 0)</f>
        <v>ساندويش كلاوي</v>
      </c>
      <c r="E2189" s="30" t="str">
        <f>VLOOKUP(B2189, 'All Menu'!B:M, 2, 0)</f>
        <v>قسم المشاوي</v>
      </c>
      <c r="F2189" s="103" t="str">
        <f>VLOOKUP(B2189, 'All Menu'!B:M, 3, 0)</f>
        <v>المشاوي سفري2</v>
      </c>
      <c r="G2189" s="90" t="s">
        <v>2257</v>
      </c>
      <c r="H2189" s="221">
        <v>5281</v>
      </c>
      <c r="I2189" s="110" t="str">
        <f>VLOOKUP(H2189, 'RM &amp; SF'!B:H, 2, 0)</f>
        <v>بندوره مشاوي</v>
      </c>
      <c r="J2189" s="184" t="str">
        <f>VLOOKUP(H2189, 'RM &amp; SF'!B:E, 4, 0)</f>
        <v>غم</v>
      </c>
      <c r="K2189" s="22">
        <v>50</v>
      </c>
      <c r="L2189" s="13">
        <f>VLOOKUP(H2189, 'RM &amp; SF'!B:H, 7, 0)</f>
        <v>4.0000000000000002E-4</v>
      </c>
      <c r="M2189" s="15">
        <f t="shared" si="112"/>
        <v>0.02</v>
      </c>
      <c r="N2189" s="21" t="s">
        <v>825</v>
      </c>
      <c r="O2189" s="4">
        <f>VLOOKUP(B2189, 'All Menu'!B:L, 6, 0)</f>
        <v>1.7241379310344829</v>
      </c>
      <c r="P2189" s="6">
        <f>VLOOKUP(B2189, 'All Menu'!B:L, 9, 0)</f>
        <v>0.83102372051401119</v>
      </c>
      <c r="Q2189" s="14">
        <f>VLOOKUP(B2189, 'All Menu'!B:M, 12, 0)</f>
        <v>0.51800624210187352</v>
      </c>
      <c r="R2189" s="173">
        <f t="shared" si="111"/>
        <v>0</v>
      </c>
    </row>
    <row r="2190" spans="1:18" ht="14" hidden="1">
      <c r="A2190" s="78" t="s">
        <v>2790</v>
      </c>
      <c r="B2190" s="220" t="s">
        <v>1298</v>
      </c>
      <c r="C2190" s="185"/>
      <c r="D2190" s="103" t="str">
        <f>VLOOKUP(B2190, 'All Menu'!B:M, 4, 0)</f>
        <v>ساندويش كلاوي</v>
      </c>
      <c r="E2190" s="30" t="str">
        <f>VLOOKUP(B2190, 'All Menu'!B:M, 2, 0)</f>
        <v>قسم المشاوي</v>
      </c>
      <c r="F2190" s="103" t="str">
        <f>VLOOKUP(B2190, 'All Menu'!B:M, 3, 0)</f>
        <v>المشاوي سفري2</v>
      </c>
      <c r="G2190" s="90" t="s">
        <v>2397</v>
      </c>
      <c r="H2190" s="219" t="s">
        <v>580</v>
      </c>
      <c r="I2190" s="110" t="str">
        <f>VLOOKUP(H2190, 'RM &amp; SF'!B:H, 2, 0)</f>
        <v>طحينة مشاوي</v>
      </c>
      <c r="J2190" s="184" t="str">
        <f>VLOOKUP(H2190, 'RM &amp; SF'!B:E, 4, 0)</f>
        <v>غم</v>
      </c>
      <c r="K2190" s="22">
        <v>50</v>
      </c>
      <c r="L2190" s="13">
        <f>VLOOKUP(H2190, 'RM &amp; SF'!B:H, 7, 0)</f>
        <v>1.0841676434676436E-3</v>
      </c>
      <c r="M2190" s="15">
        <f t="shared" si="112"/>
        <v>5.4208382173382176E-2</v>
      </c>
      <c r="N2190" s="21" t="s">
        <v>825</v>
      </c>
      <c r="O2190" s="4">
        <f>VLOOKUP(B2190, 'All Menu'!B:L, 6, 0)</f>
        <v>1.7241379310344829</v>
      </c>
      <c r="P2190" s="6">
        <f>VLOOKUP(B2190, 'All Menu'!B:L, 9, 0)</f>
        <v>0.83102372051401119</v>
      </c>
      <c r="Q2190" s="14">
        <f>VLOOKUP(B2190, 'All Menu'!B:M, 12, 0)</f>
        <v>0.51800624210187352</v>
      </c>
      <c r="R2190" s="173">
        <f t="shared" si="111"/>
        <v>0</v>
      </c>
    </row>
    <row r="2191" spans="1:18" ht="14" hidden="1">
      <c r="A2191" s="78" t="s">
        <v>2790</v>
      </c>
      <c r="B2191" s="220" t="s">
        <v>1298</v>
      </c>
      <c r="C2191" s="185"/>
      <c r="D2191" s="103" t="str">
        <f>VLOOKUP(B2191, 'All Menu'!B:M, 4, 0)</f>
        <v>ساندويش كلاوي</v>
      </c>
      <c r="E2191" s="30" t="str">
        <f>VLOOKUP(B2191, 'All Menu'!B:M, 2, 0)</f>
        <v>قسم المشاوي</v>
      </c>
      <c r="F2191" s="103" t="str">
        <f>VLOOKUP(B2191, 'All Menu'!B:M, 3, 0)</f>
        <v>المشاوي سفري2</v>
      </c>
      <c r="G2191" s="90" t="s">
        <v>3058</v>
      </c>
      <c r="H2191" s="221">
        <v>4762</v>
      </c>
      <c r="I2191" s="110" t="str">
        <f>VLOOKUP(H2191, 'RM &amp; SF'!B:H, 2, 0)</f>
        <v>سقط خروف ني (كلاوي)*****</v>
      </c>
      <c r="J2191" s="184" t="str">
        <f>VLOOKUP(H2191, 'RM &amp; SF'!B:E, 4, 0)</f>
        <v>غم</v>
      </c>
      <c r="K2191" s="22">
        <v>100</v>
      </c>
      <c r="L2191" s="13">
        <f>VLOOKUP(H2191, 'RM &amp; SF'!B:H, 7, 0)</f>
        <v>5.0000000000000001E-3</v>
      </c>
      <c r="M2191" s="15">
        <f t="shared" si="112"/>
        <v>0.5</v>
      </c>
      <c r="N2191" s="21" t="s">
        <v>825</v>
      </c>
      <c r="O2191" s="4">
        <f>VLOOKUP(B2191, 'All Menu'!B:L, 6, 0)</f>
        <v>1.7241379310344829</v>
      </c>
      <c r="P2191" s="6">
        <f>VLOOKUP(B2191, 'All Menu'!B:L, 9, 0)</f>
        <v>0.83102372051401119</v>
      </c>
      <c r="Q2191" s="14">
        <f>VLOOKUP(B2191, 'All Menu'!B:M, 12, 0)</f>
        <v>0.51800624210187352</v>
      </c>
      <c r="R2191" s="173">
        <f t="shared" si="111"/>
        <v>0</v>
      </c>
    </row>
    <row r="2192" spans="1:18" ht="14" hidden="1">
      <c r="A2192" s="78" t="s">
        <v>2790</v>
      </c>
      <c r="B2192" s="220" t="s">
        <v>1298</v>
      </c>
      <c r="C2192" s="185"/>
      <c r="D2192" s="103" t="str">
        <f>VLOOKUP(B2192, 'All Menu'!B:M, 4, 0)</f>
        <v>ساندويش كلاوي</v>
      </c>
      <c r="E2192" s="30" t="str">
        <f>VLOOKUP(B2192, 'All Menu'!B:M, 2, 0)</f>
        <v>قسم المشاوي</v>
      </c>
      <c r="F2192" s="103" t="str">
        <f>VLOOKUP(B2192, 'All Menu'!B:M, 3, 0)</f>
        <v>المشاوي سفري2</v>
      </c>
      <c r="G2192" s="90" t="s">
        <v>3058</v>
      </c>
      <c r="H2192" s="224">
        <v>4264</v>
      </c>
      <c r="I2192" s="110" t="str">
        <f>VLOOKUP(H2192, 'RM &amp; SF'!B:H, 2, 0)</f>
        <v>علب ساندوش (علب سناك) كرتون مطبوع 1*50 حبة*****</v>
      </c>
      <c r="J2192" s="184" t="str">
        <f>VLOOKUP(H2192, 'RM &amp; SF'!B:E, 4, 0)</f>
        <v>قطعة</v>
      </c>
      <c r="K2192" s="19">
        <v>1</v>
      </c>
      <c r="L2192" s="13">
        <f>VLOOKUP(H2192, 'RM &amp; SF'!B:H, 7, 0)</f>
        <v>0.1724</v>
      </c>
      <c r="M2192" s="18">
        <f t="shared" si="112"/>
        <v>0.1724</v>
      </c>
      <c r="N2192" s="24" t="s">
        <v>825</v>
      </c>
      <c r="O2192" s="4">
        <f>VLOOKUP(B2192, 'All Menu'!B:L, 6, 0)</f>
        <v>1.7241379310344829</v>
      </c>
      <c r="P2192" s="6">
        <f>VLOOKUP(B2192, 'All Menu'!B:L, 9, 0)</f>
        <v>0.83102372051401119</v>
      </c>
      <c r="Q2192" s="14">
        <f>VLOOKUP(B2192, 'All Menu'!B:M, 12, 0)</f>
        <v>0.51800624210187352</v>
      </c>
      <c r="R2192" s="173">
        <f t="shared" si="111"/>
        <v>0</v>
      </c>
    </row>
    <row r="2193" spans="1:18" ht="14" hidden="1">
      <c r="A2193" s="78" t="s">
        <v>2790</v>
      </c>
      <c r="B2193" s="220" t="s">
        <v>1298</v>
      </c>
      <c r="C2193" s="185"/>
      <c r="D2193" s="103" t="str">
        <f>VLOOKUP(B2193, 'All Menu'!B:M, 4, 0)</f>
        <v>ساندويش كلاوي</v>
      </c>
      <c r="E2193" s="30" t="str">
        <f>VLOOKUP(B2193, 'All Menu'!B:M, 2, 0)</f>
        <v>قسم المشاوي</v>
      </c>
      <c r="F2193" s="103" t="str">
        <f>VLOOKUP(B2193, 'All Menu'!B:M, 3, 0)</f>
        <v>المشاوي سفري2</v>
      </c>
      <c r="G2193" s="90" t="s">
        <v>2193</v>
      </c>
      <c r="H2193" s="224">
        <v>4309</v>
      </c>
      <c r="I2193" s="110" t="str">
        <f>VLOOKUP(H2193, 'RM &amp; SF'!B:H, 2, 0)</f>
        <v>اكياس بلاستيك مطبوع 55 سم*****</v>
      </c>
      <c r="J2193" s="184" t="str">
        <f>VLOOKUP(H2193, 'RM &amp; SF'!B:E, 4, 0)</f>
        <v>قطعة</v>
      </c>
      <c r="K2193" s="19">
        <v>1</v>
      </c>
      <c r="L2193" s="13">
        <f>VLOOKUP(H2193, 'RM &amp; SF'!B:H, 7, 0)</f>
        <v>5.5172413793103454E-2</v>
      </c>
      <c r="M2193" s="18">
        <f t="shared" si="112"/>
        <v>5.5172413793103454E-2</v>
      </c>
      <c r="N2193" s="24" t="s">
        <v>825</v>
      </c>
      <c r="O2193" s="4">
        <f>VLOOKUP(B2193, 'All Menu'!B:L, 6, 0)</f>
        <v>1.7241379310344829</v>
      </c>
      <c r="P2193" s="6">
        <f>VLOOKUP(B2193, 'All Menu'!B:L, 9, 0)</f>
        <v>0.83102372051401119</v>
      </c>
      <c r="Q2193" s="14">
        <f>VLOOKUP(B2193, 'All Menu'!B:M, 12, 0)</f>
        <v>0.51800624210187352</v>
      </c>
      <c r="R2193" s="173">
        <f t="shared" si="111"/>
        <v>0</v>
      </c>
    </row>
    <row r="2194" spans="1:18" ht="14" hidden="1">
      <c r="A2194" s="78" t="s">
        <v>2790</v>
      </c>
      <c r="B2194" s="220" t="s">
        <v>1298</v>
      </c>
      <c r="C2194" s="185"/>
      <c r="D2194" s="103" t="str">
        <f>VLOOKUP(B2194, 'All Menu'!B:M, 4, 0)</f>
        <v>ساندويش كلاوي</v>
      </c>
      <c r="E2194" s="30" t="str">
        <f>VLOOKUP(B2194, 'All Menu'!B:M, 2, 0)</f>
        <v>قسم المشاوي</v>
      </c>
      <c r="F2194" s="103" t="str">
        <f>VLOOKUP(B2194, 'All Menu'!B:M, 3, 0)</f>
        <v>المشاوي سفري2</v>
      </c>
      <c r="G2194" s="90" t="s">
        <v>2194</v>
      </c>
      <c r="H2194" s="224">
        <v>4323</v>
      </c>
      <c r="I2194" s="110" t="str">
        <f>VLOOKUP(H2194, 'RM &amp; SF'!B:H, 2, 0)</f>
        <v>قصدير رول 45 سم*2كغ*****</v>
      </c>
      <c r="J2194" s="184" t="str">
        <f>VLOOKUP(H2194, 'RM &amp; SF'!B:E, 4, 0)</f>
        <v>غم</v>
      </c>
      <c r="K2194" s="12">
        <v>0.06</v>
      </c>
      <c r="L2194" s="13">
        <f>VLOOKUP(H2194, 'RM &amp; SF'!B:H, 7, 0)</f>
        <v>1.7240000000000001E-3</v>
      </c>
      <c r="M2194" s="18">
        <f t="shared" si="112"/>
        <v>1.0344E-4</v>
      </c>
      <c r="N2194" s="24" t="s">
        <v>825</v>
      </c>
      <c r="O2194" s="4">
        <f>VLOOKUP(B2194, 'All Menu'!B:L, 6, 0)</f>
        <v>1.7241379310344829</v>
      </c>
      <c r="P2194" s="6">
        <f>VLOOKUP(B2194, 'All Menu'!B:L, 9, 0)</f>
        <v>0.83102372051401119</v>
      </c>
      <c r="Q2194" s="14">
        <f>VLOOKUP(B2194, 'All Menu'!B:M, 12, 0)</f>
        <v>0.51800624210187352</v>
      </c>
      <c r="R2194" s="173">
        <f t="shared" ref="R2194:R2254" si="113">C2194*K2194</f>
        <v>0</v>
      </c>
    </row>
    <row r="2195" spans="1:18" ht="14" hidden="1">
      <c r="A2195" s="78" t="s">
        <v>2380</v>
      </c>
      <c r="B2195" s="220" t="s">
        <v>1899</v>
      </c>
      <c r="C2195" s="185"/>
      <c r="D2195" s="103" t="str">
        <f>VLOOKUP(B2195, 'All Menu'!B:M, 4, 0)</f>
        <v>دجاجة شواية</v>
      </c>
      <c r="E2195" s="30" t="str">
        <f>VLOOKUP(B2195, 'All Menu'!B:M, 2, 0)</f>
        <v>قسم المشاوي</v>
      </c>
      <c r="F2195" s="103" t="str">
        <f>VLOOKUP(B2195, 'All Menu'!B:M, 3, 0)</f>
        <v>المشاوي سفري2</v>
      </c>
      <c r="G2195" s="90" t="s">
        <v>2380</v>
      </c>
      <c r="H2195" s="219" t="s">
        <v>1905</v>
      </c>
      <c r="I2195" s="110" t="str">
        <f>VLOOKUP(H2195, 'RM &amp; SF'!B:H, 2, 0)</f>
        <v>دجاجة شواية</v>
      </c>
      <c r="J2195" s="184" t="str">
        <f>VLOOKUP(H2195, 'RM &amp; SF'!B:E, 4, 0)</f>
        <v>حبة</v>
      </c>
      <c r="K2195" s="12">
        <v>1</v>
      </c>
      <c r="L2195" s="13">
        <f>VLOOKUP(H2195, 'RM &amp; SF'!B:H, 7, 0)</f>
        <v>2.6476479954954959</v>
      </c>
      <c r="M2195" s="7">
        <f t="shared" ref="M2195:M2256" si="114">L2195*K2195</f>
        <v>2.6476479954954959</v>
      </c>
      <c r="N2195" s="4" t="s">
        <v>825</v>
      </c>
      <c r="O2195" s="4">
        <f>VLOOKUP(B2195, 'All Menu'!B:L, 6, 0)</f>
        <v>5.6034482758620694</v>
      </c>
      <c r="P2195" s="6">
        <f>VLOOKUP(B2195, 'All Menu'!B:L, 9, 0)</f>
        <v>3.3664918850821848</v>
      </c>
      <c r="Q2195" s="14">
        <f>VLOOKUP(B2195, 'All Menu'!B:M, 12, 0)</f>
        <v>0.39921067896994861</v>
      </c>
      <c r="R2195" s="173">
        <f t="shared" si="113"/>
        <v>0</v>
      </c>
    </row>
    <row r="2196" spans="1:18" ht="15.5" hidden="1">
      <c r="A2196" s="78" t="s">
        <v>2380</v>
      </c>
      <c r="B2196" s="220" t="s">
        <v>1899</v>
      </c>
      <c r="C2196" s="185"/>
      <c r="D2196" s="103" t="str">
        <f>VLOOKUP(B2196, 'All Menu'!B:M, 4, 0)</f>
        <v>دجاجة شواية</v>
      </c>
      <c r="E2196" s="30" t="str">
        <f>VLOOKUP(B2196, 'All Menu'!B:M, 2, 0)</f>
        <v>قسم المشاوي</v>
      </c>
      <c r="F2196" s="103" t="str">
        <f>VLOOKUP(B2196, 'All Menu'!B:M, 3, 0)</f>
        <v>المشاوي سفري2</v>
      </c>
      <c r="G2196" s="90" t="s">
        <v>3058</v>
      </c>
      <c r="H2196" s="112">
        <v>5418</v>
      </c>
      <c r="I2196" s="110" t="str">
        <f>VLOOKUP(H2196, 'RM &amp; SF'!B:H, 2, 0)</f>
        <v xml:space="preserve">بطاطا شرحات جاهزة </v>
      </c>
      <c r="J2196" s="184" t="str">
        <f>VLOOKUP(H2196, 'RM &amp; SF'!B:E, 4, 0)</f>
        <v>غم</v>
      </c>
      <c r="K2196" s="12">
        <v>200</v>
      </c>
      <c r="L2196" s="13">
        <f>VLOOKUP(H2196, 'RM &amp; SF'!B:H, 7, 0)</f>
        <v>8.6209999999999998E-4</v>
      </c>
      <c r="M2196" s="7">
        <f t="shared" si="114"/>
        <v>0.17241999999999999</v>
      </c>
      <c r="N2196" s="4" t="s">
        <v>825</v>
      </c>
      <c r="O2196" s="4">
        <f>VLOOKUP(B2196, 'All Menu'!B:L, 6, 0)</f>
        <v>5.6034482758620694</v>
      </c>
      <c r="P2196" s="6">
        <f>VLOOKUP(B2196, 'All Menu'!B:L, 9, 0)</f>
        <v>3.3664918850821848</v>
      </c>
      <c r="Q2196" s="14">
        <f>VLOOKUP(B2196, 'All Menu'!B:M, 12, 0)</f>
        <v>0.39921067896994861</v>
      </c>
      <c r="R2196" s="173">
        <f t="shared" si="113"/>
        <v>0</v>
      </c>
    </row>
    <row r="2197" spans="1:18" ht="14" hidden="1">
      <c r="A2197" s="78" t="s">
        <v>2380</v>
      </c>
      <c r="B2197" s="220" t="s">
        <v>1899</v>
      </c>
      <c r="C2197" s="185"/>
      <c r="D2197" s="103" t="str">
        <f>VLOOKUP(B2197, 'All Menu'!B:M, 4, 0)</f>
        <v>دجاجة شواية</v>
      </c>
      <c r="E2197" s="30" t="str">
        <f>VLOOKUP(B2197, 'All Menu'!B:M, 2, 0)</f>
        <v>قسم المشاوي</v>
      </c>
      <c r="F2197" s="103" t="str">
        <f>VLOOKUP(B2197, 'All Menu'!B:M, 3, 0)</f>
        <v>المشاوي سفري2</v>
      </c>
      <c r="G2197" s="90" t="s">
        <v>2331</v>
      </c>
      <c r="H2197" s="219" t="s">
        <v>530</v>
      </c>
      <c r="I2197" s="110" t="str">
        <f>VLOOKUP(H2197, 'RM &amp; SF'!B:H, 2, 0)</f>
        <v>خبز صاج</v>
      </c>
      <c r="J2197" s="184" t="str">
        <f>VLOOKUP(H2197, 'RM &amp; SF'!B:E, 4, 0)</f>
        <v>غم</v>
      </c>
      <c r="K2197" s="12">
        <v>180</v>
      </c>
      <c r="L2197" s="13">
        <f>VLOOKUP(H2197, 'RM &amp; SF'!B:H, 7, 0)</f>
        <v>1.8806451612903227E-4</v>
      </c>
      <c r="M2197" s="7">
        <f t="shared" si="114"/>
        <v>3.385161290322581E-2</v>
      </c>
      <c r="N2197" s="4" t="s">
        <v>825</v>
      </c>
      <c r="O2197" s="4">
        <f>VLOOKUP(B2197, 'All Menu'!B:L, 6, 0)</f>
        <v>5.6034482758620694</v>
      </c>
      <c r="P2197" s="6">
        <f>VLOOKUP(B2197, 'All Menu'!B:L, 9, 0)</f>
        <v>3.3664918850821848</v>
      </c>
      <c r="Q2197" s="14">
        <f>VLOOKUP(B2197, 'All Menu'!B:M, 12, 0)</f>
        <v>0.39921067896994861</v>
      </c>
      <c r="R2197" s="173">
        <f t="shared" si="113"/>
        <v>0</v>
      </c>
    </row>
    <row r="2198" spans="1:18" ht="14" hidden="1">
      <c r="A2198" s="78" t="s">
        <v>2380</v>
      </c>
      <c r="B2198" s="220" t="s">
        <v>1899</v>
      </c>
      <c r="C2198" s="185"/>
      <c r="D2198" s="103" t="str">
        <f>VLOOKUP(B2198, 'All Menu'!B:M, 4, 0)</f>
        <v>دجاجة شواية</v>
      </c>
      <c r="E2198" s="30" t="str">
        <f>VLOOKUP(B2198, 'All Menu'!B:M, 2, 0)</f>
        <v>قسم المشاوي</v>
      </c>
      <c r="F2198" s="103" t="str">
        <f>VLOOKUP(B2198, 'All Menu'!B:M, 3, 0)</f>
        <v>المشاوي سفري2</v>
      </c>
      <c r="G2198" s="90" t="s">
        <v>2325</v>
      </c>
      <c r="H2198" s="219" t="s">
        <v>534</v>
      </c>
      <c r="I2198" s="110" t="str">
        <f>VLOOKUP(H2198, 'RM &amp; SF'!B:H, 2, 0)</f>
        <v>مثومه</v>
      </c>
      <c r="J2198" s="184" t="str">
        <f>VLOOKUP(H2198, 'RM &amp; SF'!B:E, 4, 0)</f>
        <v>غم</v>
      </c>
      <c r="K2198" s="12">
        <v>300</v>
      </c>
      <c r="L2198" s="13">
        <f>VLOOKUP(H2198, 'RM &amp; SF'!B:H, 7, 0)</f>
        <v>6.6564092227821051E-4</v>
      </c>
      <c r="M2198" s="7">
        <f t="shared" si="114"/>
        <v>0.19969227668346315</v>
      </c>
      <c r="N2198" s="4" t="s">
        <v>825</v>
      </c>
      <c r="O2198" s="4">
        <f>VLOOKUP(B2198, 'All Menu'!B:L, 6, 0)</f>
        <v>5.6034482758620694</v>
      </c>
      <c r="P2198" s="6">
        <f>VLOOKUP(B2198, 'All Menu'!B:L, 9, 0)</f>
        <v>3.3664918850821848</v>
      </c>
      <c r="Q2198" s="14">
        <f>VLOOKUP(B2198, 'All Menu'!B:M, 12, 0)</f>
        <v>0.39921067896994861</v>
      </c>
      <c r="R2198" s="173">
        <f t="shared" si="113"/>
        <v>0</v>
      </c>
    </row>
    <row r="2199" spans="1:18" ht="14" hidden="1">
      <c r="A2199" s="78" t="s">
        <v>2380</v>
      </c>
      <c r="B2199" s="220" t="s">
        <v>1899</v>
      </c>
      <c r="C2199" s="185"/>
      <c r="D2199" s="198" t="str">
        <f>VLOOKUP(B2199, 'All Menu'!B:M, 4, 0)</f>
        <v>دجاجة شواية</v>
      </c>
      <c r="E2199" s="30" t="str">
        <f>VLOOKUP(B2199, 'All Menu'!B:M, 2, 0)</f>
        <v>قسم المشاوي</v>
      </c>
      <c r="F2199" s="103" t="str">
        <f>VLOOKUP(B2199, 'All Menu'!B:M, 3, 0)</f>
        <v>المشاوي سفري2</v>
      </c>
      <c r="G2199" s="90" t="s">
        <v>2409</v>
      </c>
      <c r="H2199" s="219" t="s">
        <v>578</v>
      </c>
      <c r="I2199" s="110" t="str">
        <f>VLOOKUP(H2199, 'RM &amp; SF'!B:H, 2, 0)</f>
        <v>علبة مخلل</v>
      </c>
      <c r="J2199" s="184" t="str">
        <f>VLOOKUP(H2199, 'RM &amp; SF'!B:E, 4, 0)</f>
        <v>قطعة</v>
      </c>
      <c r="K2199" s="12">
        <v>2</v>
      </c>
      <c r="L2199" s="13">
        <f>VLOOKUP(H2199, 'RM &amp; SF'!B:H, 7, 0)</f>
        <v>6.0440000000000001E-2</v>
      </c>
      <c r="M2199" s="7">
        <f t="shared" si="114"/>
        <v>0.12088</v>
      </c>
      <c r="N2199" s="4" t="s">
        <v>825</v>
      </c>
      <c r="O2199" s="4">
        <f>VLOOKUP(B2199, 'All Menu'!B:L, 6, 0)</f>
        <v>5.6034482758620694</v>
      </c>
      <c r="P2199" s="6">
        <f>VLOOKUP(B2199, 'All Menu'!B:L, 9, 0)</f>
        <v>3.3664918850821848</v>
      </c>
      <c r="Q2199" s="14">
        <f>VLOOKUP(B2199, 'All Menu'!B:M, 12, 0)</f>
        <v>0.39921067896994861</v>
      </c>
      <c r="R2199" s="173">
        <f t="shared" si="113"/>
        <v>0</v>
      </c>
    </row>
    <row r="2200" spans="1:18" ht="14" hidden="1">
      <c r="A2200" s="78" t="s">
        <v>2380</v>
      </c>
      <c r="B2200" s="220" t="s">
        <v>1899</v>
      </c>
      <c r="C2200" s="185"/>
      <c r="D2200" s="103" t="str">
        <f>VLOOKUP(B2200, 'All Menu'!B:M, 4, 0)</f>
        <v>دجاجة شواية</v>
      </c>
      <c r="E2200" s="30" t="str">
        <f>VLOOKUP(B2200, 'All Menu'!B:M, 2, 0)</f>
        <v>قسم المشاوي</v>
      </c>
      <c r="F2200" s="103" t="str">
        <f>VLOOKUP(B2200, 'All Menu'!B:M, 3, 0)</f>
        <v>المشاوي سفري2</v>
      </c>
      <c r="G2200" s="90" t="s">
        <v>2307</v>
      </c>
      <c r="H2200" s="219">
        <v>4284</v>
      </c>
      <c r="I2200" s="110" t="str">
        <f>VLOOKUP(H2200, 'RM &amp; SF'!B:H, 2, 0)</f>
        <v>علب سلطة بلاستيك شفاف (كرستال) دائرية متصل 500 مل*****</v>
      </c>
      <c r="J2200" s="184" t="str">
        <f>VLOOKUP(H2200, 'RM &amp; SF'!B:E, 4, 0)</f>
        <v>قطعة</v>
      </c>
      <c r="K2200" s="12">
        <v>1</v>
      </c>
      <c r="L2200" s="13">
        <f>VLOOKUP(H2200, 'RM &amp; SF'!B:H, 7, 0)</f>
        <v>6.7000000000000004E-2</v>
      </c>
      <c r="M2200" s="7">
        <f t="shared" si="114"/>
        <v>6.7000000000000004E-2</v>
      </c>
      <c r="N2200" s="4" t="s">
        <v>825</v>
      </c>
      <c r="O2200" s="4">
        <f>VLOOKUP(B2200, 'All Menu'!B:L, 6, 0)</f>
        <v>5.6034482758620694</v>
      </c>
      <c r="P2200" s="6">
        <f>VLOOKUP(B2200, 'All Menu'!B:L, 9, 0)</f>
        <v>3.3664918850821848</v>
      </c>
      <c r="Q2200" s="14">
        <f>VLOOKUP(B2200, 'All Menu'!B:M, 12, 0)</f>
        <v>0.39921067896994861</v>
      </c>
      <c r="R2200" s="173">
        <f t="shared" si="113"/>
        <v>0</v>
      </c>
    </row>
    <row r="2201" spans="1:18" ht="14" hidden="1">
      <c r="A2201" s="78" t="s">
        <v>2380</v>
      </c>
      <c r="B2201" s="220" t="s">
        <v>1899</v>
      </c>
      <c r="C2201" s="185"/>
      <c r="D2201" s="103" t="str">
        <f>VLOOKUP(B2201, 'All Menu'!B:M, 4, 0)</f>
        <v>دجاجة شواية</v>
      </c>
      <c r="E2201" s="30" t="str">
        <f>VLOOKUP(B2201, 'All Menu'!B:M, 2, 0)</f>
        <v>قسم المشاوي</v>
      </c>
      <c r="F2201" s="103" t="str">
        <f>VLOOKUP(B2201, 'All Menu'!B:M, 3, 0)</f>
        <v>المشاوي سفري2</v>
      </c>
      <c r="G2201" s="90" t="s">
        <v>3058</v>
      </c>
      <c r="H2201" s="219">
        <v>4280</v>
      </c>
      <c r="I2201" s="110" t="str">
        <f>VLOOKUP(H2201, 'RM &amp; SF'!B:H, 2, 0)</f>
        <v>علب ميكرويف مدورة اسود 500 مل RC2*****</v>
      </c>
      <c r="J2201" s="184" t="str">
        <f>VLOOKUP(H2201, 'RM &amp; SF'!B:E, 4, 0)</f>
        <v>قطعة</v>
      </c>
      <c r="K2201" s="12">
        <v>1</v>
      </c>
      <c r="L2201" s="13">
        <f>VLOOKUP(H2201, 'RM &amp; SF'!B:H, 7, 0)</f>
        <v>0.125</v>
      </c>
      <c r="M2201" s="7">
        <f t="shared" ref="M2201" si="115">L2201*K2201</f>
        <v>0.125</v>
      </c>
      <c r="N2201" s="4" t="s">
        <v>825</v>
      </c>
      <c r="O2201" s="4">
        <f>VLOOKUP(B2201, 'All Menu'!B:L, 6, 0)</f>
        <v>5.6034482758620694</v>
      </c>
      <c r="P2201" s="6">
        <f>VLOOKUP(B2201, 'All Menu'!B:L, 9, 0)</f>
        <v>3.3664918850821848</v>
      </c>
      <c r="Q2201" s="14">
        <f>VLOOKUP(B2201, 'All Menu'!B:M, 12, 0)</f>
        <v>0.39921067896994861</v>
      </c>
      <c r="R2201" s="173">
        <f t="shared" si="113"/>
        <v>0</v>
      </c>
    </row>
    <row r="2202" spans="1:18" ht="14" hidden="1">
      <c r="A2202" s="78" t="s">
        <v>2791</v>
      </c>
      <c r="B2202" s="220" t="s">
        <v>1900</v>
      </c>
      <c r="C2202" s="185"/>
      <c r="D2202" s="103" t="str">
        <f>VLOOKUP(B2202, 'All Menu'!B:M, 4, 0)</f>
        <v>نص دجاجة شواية</v>
      </c>
      <c r="E2202" s="30" t="str">
        <f>VLOOKUP(B2202, 'All Menu'!B:M, 2, 0)</f>
        <v>قسم المشاوي</v>
      </c>
      <c r="F2202" s="103" t="str">
        <f>VLOOKUP(B2202, 'All Menu'!B:M, 3, 0)</f>
        <v>المشاوي سفري2</v>
      </c>
      <c r="G2202" s="90" t="s">
        <v>2380</v>
      </c>
      <c r="H2202" s="219" t="s">
        <v>1905</v>
      </c>
      <c r="I2202" s="110" t="str">
        <f>VLOOKUP(H2202, 'RM &amp; SF'!B:H, 2, 0)</f>
        <v>دجاجة شواية</v>
      </c>
      <c r="J2202" s="184" t="str">
        <f>VLOOKUP(H2202, 'RM &amp; SF'!B:E, 4, 0)</f>
        <v>حبة</v>
      </c>
      <c r="K2202" s="12">
        <v>0.5</v>
      </c>
      <c r="L2202" s="13">
        <f>VLOOKUP(H2202, 'RM &amp; SF'!B:H, 7, 0)</f>
        <v>2.6476479954954959</v>
      </c>
      <c r="M2202" s="7">
        <f t="shared" si="114"/>
        <v>1.3238239977477479</v>
      </c>
      <c r="N2202" s="4" t="s">
        <v>825</v>
      </c>
      <c r="O2202" s="4">
        <f>VLOOKUP(B2202, 'All Menu'!B:L, 6, 0)</f>
        <v>3.2327586206896552</v>
      </c>
      <c r="P2202" s="6">
        <f>VLOOKUP(B2202, 'All Menu'!B:L, 9, 0)</f>
        <v>2.039611748992705</v>
      </c>
      <c r="Q2202" s="14">
        <f>VLOOKUP(B2202, 'All Menu'!B:M, 12, 0)</f>
        <v>0.36908009897825661</v>
      </c>
      <c r="R2202" s="173">
        <f t="shared" si="113"/>
        <v>0</v>
      </c>
    </row>
    <row r="2203" spans="1:18" ht="15.5" hidden="1">
      <c r="A2203" s="78" t="s">
        <v>2791</v>
      </c>
      <c r="B2203" s="220" t="s">
        <v>1900</v>
      </c>
      <c r="C2203" s="185"/>
      <c r="D2203" s="103" t="str">
        <f>VLOOKUP(B2203, 'All Menu'!B:M, 4, 0)</f>
        <v>نص دجاجة شواية</v>
      </c>
      <c r="E2203" s="30" t="str">
        <f>VLOOKUP(B2203, 'All Menu'!B:M, 2, 0)</f>
        <v>قسم المشاوي</v>
      </c>
      <c r="F2203" s="103" t="str">
        <f>VLOOKUP(B2203, 'All Menu'!B:M, 3, 0)</f>
        <v>المشاوي سفري2</v>
      </c>
      <c r="G2203" s="90" t="s">
        <v>3058</v>
      </c>
      <c r="H2203" s="112">
        <v>5418</v>
      </c>
      <c r="I2203" s="110" t="str">
        <f>VLOOKUP(H2203, 'RM &amp; SF'!B:H, 2, 0)</f>
        <v xml:space="preserve">بطاطا شرحات جاهزة </v>
      </c>
      <c r="J2203" s="184" t="str">
        <f>VLOOKUP(H2203, 'RM &amp; SF'!B:E, 4, 0)</f>
        <v>غم</v>
      </c>
      <c r="K2203" s="12">
        <v>100</v>
      </c>
      <c r="L2203" s="13">
        <f>VLOOKUP(H2203, 'RM &amp; SF'!B:H, 7, 0)</f>
        <v>8.6209999999999998E-4</v>
      </c>
      <c r="M2203" s="7">
        <f t="shared" si="114"/>
        <v>8.6209999999999995E-2</v>
      </c>
      <c r="N2203" s="4" t="s">
        <v>825</v>
      </c>
      <c r="O2203" s="4">
        <f>VLOOKUP(B2203, 'All Menu'!B:L, 6, 0)</f>
        <v>3.2327586206896552</v>
      </c>
      <c r="P2203" s="6">
        <f>VLOOKUP(B2203, 'All Menu'!B:L, 9, 0)</f>
        <v>2.039611748992705</v>
      </c>
      <c r="Q2203" s="14">
        <f>VLOOKUP(B2203, 'All Menu'!B:M, 12, 0)</f>
        <v>0.36908009897825661</v>
      </c>
      <c r="R2203" s="173">
        <f t="shared" si="113"/>
        <v>0</v>
      </c>
    </row>
    <row r="2204" spans="1:18" ht="14" hidden="1">
      <c r="A2204" s="78" t="s">
        <v>2791</v>
      </c>
      <c r="B2204" s="220" t="s">
        <v>1900</v>
      </c>
      <c r="C2204" s="185"/>
      <c r="D2204" s="103" t="str">
        <f>VLOOKUP(B2204, 'All Menu'!B:M, 4, 0)</f>
        <v>نص دجاجة شواية</v>
      </c>
      <c r="E2204" s="30" t="str">
        <f>VLOOKUP(B2204, 'All Menu'!B:M, 2, 0)</f>
        <v>قسم المشاوي</v>
      </c>
      <c r="F2204" s="103" t="str">
        <f>VLOOKUP(B2204, 'All Menu'!B:M, 3, 0)</f>
        <v>المشاوي سفري2</v>
      </c>
      <c r="G2204" s="90" t="s">
        <v>2331</v>
      </c>
      <c r="H2204" s="219" t="s">
        <v>530</v>
      </c>
      <c r="I2204" s="110" t="str">
        <f>VLOOKUP(H2204, 'RM &amp; SF'!B:H, 2, 0)</f>
        <v>خبز صاج</v>
      </c>
      <c r="J2204" s="184" t="str">
        <f>VLOOKUP(H2204, 'RM &amp; SF'!B:E, 4, 0)</f>
        <v>غم</v>
      </c>
      <c r="K2204" s="12">
        <v>180</v>
      </c>
      <c r="L2204" s="13">
        <f>VLOOKUP(H2204, 'RM &amp; SF'!B:H, 7, 0)</f>
        <v>1.8806451612903227E-4</v>
      </c>
      <c r="M2204" s="7">
        <f t="shared" si="114"/>
        <v>3.385161290322581E-2</v>
      </c>
      <c r="N2204" s="4" t="s">
        <v>825</v>
      </c>
      <c r="O2204" s="4">
        <f>VLOOKUP(B2204, 'All Menu'!B:L, 6, 0)</f>
        <v>3.2327586206896552</v>
      </c>
      <c r="P2204" s="6">
        <f>VLOOKUP(B2204, 'All Menu'!B:L, 9, 0)</f>
        <v>2.039611748992705</v>
      </c>
      <c r="Q2204" s="14">
        <f>VLOOKUP(B2204, 'All Menu'!B:M, 12, 0)</f>
        <v>0.36908009897825661</v>
      </c>
      <c r="R2204" s="173">
        <f t="shared" si="113"/>
        <v>0</v>
      </c>
    </row>
    <row r="2205" spans="1:18" ht="14" hidden="1">
      <c r="A2205" s="78" t="s">
        <v>2791</v>
      </c>
      <c r="B2205" s="220" t="s">
        <v>1900</v>
      </c>
      <c r="C2205" s="185"/>
      <c r="D2205" s="103" t="str">
        <f>VLOOKUP(B2205, 'All Menu'!B:M, 4, 0)</f>
        <v>نص دجاجة شواية</v>
      </c>
      <c r="E2205" s="30" t="str">
        <f>VLOOKUP(B2205, 'All Menu'!B:M, 2, 0)</f>
        <v>قسم المشاوي</v>
      </c>
      <c r="F2205" s="103" t="str">
        <f>VLOOKUP(B2205, 'All Menu'!B:M, 3, 0)</f>
        <v>المشاوي سفري2</v>
      </c>
      <c r="G2205" s="90" t="s">
        <v>2325</v>
      </c>
      <c r="H2205" s="219" t="s">
        <v>534</v>
      </c>
      <c r="I2205" s="110" t="str">
        <f>VLOOKUP(H2205, 'RM &amp; SF'!B:H, 2, 0)</f>
        <v>مثومه</v>
      </c>
      <c r="J2205" s="184" t="str">
        <f>VLOOKUP(H2205, 'RM &amp; SF'!B:E, 4, 0)</f>
        <v>غم</v>
      </c>
      <c r="K2205" s="12">
        <v>150</v>
      </c>
      <c r="L2205" s="13">
        <f>VLOOKUP(H2205, 'RM &amp; SF'!B:H, 7, 0)</f>
        <v>6.6564092227821051E-4</v>
      </c>
      <c r="M2205" s="7">
        <f t="shared" si="114"/>
        <v>9.9846138341731575E-2</v>
      </c>
      <c r="N2205" s="4" t="s">
        <v>825</v>
      </c>
      <c r="O2205" s="4">
        <f>VLOOKUP(B2205, 'All Menu'!B:L, 6, 0)</f>
        <v>3.2327586206896552</v>
      </c>
      <c r="P2205" s="6">
        <f>VLOOKUP(B2205, 'All Menu'!B:L, 9, 0)</f>
        <v>2.039611748992705</v>
      </c>
      <c r="Q2205" s="14">
        <f>VLOOKUP(B2205, 'All Menu'!B:M, 12, 0)</f>
        <v>0.36908009897825661</v>
      </c>
      <c r="R2205" s="173">
        <f t="shared" si="113"/>
        <v>0</v>
      </c>
    </row>
    <row r="2206" spans="1:18" ht="14" hidden="1">
      <c r="A2206" s="78" t="s">
        <v>2791</v>
      </c>
      <c r="B2206" s="220" t="s">
        <v>1900</v>
      </c>
      <c r="C2206" s="185"/>
      <c r="D2206" s="198" t="str">
        <f>VLOOKUP(B2206, 'All Menu'!B:M, 4, 0)</f>
        <v>نص دجاجة شواية</v>
      </c>
      <c r="E2206" s="30" t="str">
        <f>VLOOKUP(B2206, 'All Menu'!B:M, 2, 0)</f>
        <v>قسم المشاوي</v>
      </c>
      <c r="F2206" s="103" t="str">
        <f>VLOOKUP(B2206, 'All Menu'!B:M, 3, 0)</f>
        <v>المشاوي سفري2</v>
      </c>
      <c r="G2206" s="90" t="s">
        <v>2409</v>
      </c>
      <c r="H2206" s="219" t="s">
        <v>578</v>
      </c>
      <c r="I2206" s="110" t="str">
        <f>VLOOKUP(H2206, 'RM &amp; SF'!B:H, 2, 0)</f>
        <v>علبة مخلل</v>
      </c>
      <c r="J2206" s="184" t="str">
        <f>VLOOKUP(H2206, 'RM &amp; SF'!B:E, 4, 0)</f>
        <v>قطعة</v>
      </c>
      <c r="K2206" s="12">
        <v>1</v>
      </c>
      <c r="L2206" s="13">
        <f>VLOOKUP(H2206, 'RM &amp; SF'!B:H, 7, 0)</f>
        <v>6.0440000000000001E-2</v>
      </c>
      <c r="M2206" s="7">
        <f t="shared" si="114"/>
        <v>6.0440000000000001E-2</v>
      </c>
      <c r="N2206" s="4" t="s">
        <v>825</v>
      </c>
      <c r="O2206" s="4">
        <f>VLOOKUP(B2206, 'All Menu'!B:L, 6, 0)</f>
        <v>3.2327586206896552</v>
      </c>
      <c r="P2206" s="6">
        <f>VLOOKUP(B2206, 'All Menu'!B:L, 9, 0)</f>
        <v>2.039611748992705</v>
      </c>
      <c r="Q2206" s="14">
        <f>VLOOKUP(B2206, 'All Menu'!B:M, 12, 0)</f>
        <v>0.36908009897825661</v>
      </c>
      <c r="R2206" s="173">
        <f t="shared" si="113"/>
        <v>0</v>
      </c>
    </row>
    <row r="2207" spans="1:18" ht="14" hidden="1">
      <c r="A2207" s="78" t="s">
        <v>2791</v>
      </c>
      <c r="B2207" s="220" t="s">
        <v>1900</v>
      </c>
      <c r="C2207" s="185"/>
      <c r="D2207" s="198" t="str">
        <f>VLOOKUP(B2207, 'All Menu'!B:M, 4, 0)</f>
        <v>نص دجاجة شواية</v>
      </c>
      <c r="E2207" s="30" t="str">
        <f>VLOOKUP(B2207, 'All Menu'!B:M, 2, 0)</f>
        <v>قسم المشاوي</v>
      </c>
      <c r="F2207" s="103" t="str">
        <f>VLOOKUP(B2207, 'All Menu'!B:M, 3, 0)</f>
        <v>المشاوي سفري2</v>
      </c>
      <c r="G2207" s="90" t="s">
        <v>2409</v>
      </c>
      <c r="H2207" s="219" t="s">
        <v>578</v>
      </c>
      <c r="I2207" s="110" t="str">
        <f>VLOOKUP(H2207, 'RM &amp; SF'!B:H, 2, 0)</f>
        <v>علبة مخلل</v>
      </c>
      <c r="J2207" s="184" t="str">
        <f>VLOOKUP(H2207, 'RM &amp; SF'!B:E, 4, 0)</f>
        <v>قطعة</v>
      </c>
      <c r="K2207" s="12">
        <v>1</v>
      </c>
      <c r="L2207" s="13">
        <f>VLOOKUP(H2207, 'RM &amp; SF'!B:H, 7, 0)</f>
        <v>6.0440000000000001E-2</v>
      </c>
      <c r="M2207" s="7">
        <f t="shared" si="114"/>
        <v>6.0440000000000001E-2</v>
      </c>
      <c r="N2207" s="4" t="s">
        <v>825</v>
      </c>
      <c r="O2207" s="4">
        <f>VLOOKUP(B2207, 'All Menu'!B:L, 6, 0)</f>
        <v>3.2327586206896552</v>
      </c>
      <c r="P2207" s="6">
        <f>VLOOKUP(B2207, 'All Menu'!B:L, 9, 0)</f>
        <v>2.039611748992705</v>
      </c>
      <c r="Q2207" s="14">
        <f>VLOOKUP(B2207, 'All Menu'!B:M, 12, 0)</f>
        <v>0.36908009897825661</v>
      </c>
      <c r="R2207" s="173">
        <f t="shared" si="113"/>
        <v>0</v>
      </c>
    </row>
    <row r="2208" spans="1:18" ht="14" hidden="1">
      <c r="A2208" s="78" t="s">
        <v>2791</v>
      </c>
      <c r="B2208" s="220" t="s">
        <v>1900</v>
      </c>
      <c r="C2208" s="185"/>
      <c r="D2208" s="103" t="str">
        <f>VLOOKUP(B2208, 'All Menu'!B:M, 4, 0)</f>
        <v>نص دجاجة شواية</v>
      </c>
      <c r="E2208" s="30" t="str">
        <f>VLOOKUP(B2208, 'All Menu'!B:M, 2, 0)</f>
        <v>قسم المشاوي</v>
      </c>
      <c r="F2208" s="103" t="str">
        <f>VLOOKUP(B2208, 'All Menu'!B:M, 3, 0)</f>
        <v>المشاوي سفري2</v>
      </c>
      <c r="G2208" s="90" t="s">
        <v>3058</v>
      </c>
      <c r="H2208" s="219">
        <v>4280</v>
      </c>
      <c r="I2208" s="110" t="str">
        <f>VLOOKUP(H2208, 'RM &amp; SF'!B:H, 2, 0)</f>
        <v>علب ميكرويف مدورة اسود 500 مل RC2*****</v>
      </c>
      <c r="J2208" s="184" t="str">
        <f>VLOOKUP(H2208, 'RM &amp; SF'!B:E, 4, 0)</f>
        <v>قطعة</v>
      </c>
      <c r="K2208" s="12">
        <v>3</v>
      </c>
      <c r="L2208" s="13">
        <f>VLOOKUP(H2208, 'RM &amp; SF'!B:H, 7, 0)</f>
        <v>0.125</v>
      </c>
      <c r="M2208" s="7">
        <f t="shared" si="114"/>
        <v>0.375</v>
      </c>
      <c r="N2208" s="4" t="s">
        <v>825</v>
      </c>
      <c r="O2208" s="4">
        <f>VLOOKUP(B2208, 'All Menu'!B:L, 6, 0)</f>
        <v>3.2327586206896552</v>
      </c>
      <c r="P2208" s="6">
        <f>VLOOKUP(B2208, 'All Menu'!B:L, 9, 0)</f>
        <v>2.039611748992705</v>
      </c>
      <c r="Q2208" s="14">
        <f>VLOOKUP(B2208, 'All Menu'!B:M, 12, 0)</f>
        <v>0.36908009897825661</v>
      </c>
      <c r="R2208" s="173">
        <f t="shared" si="113"/>
        <v>0</v>
      </c>
    </row>
    <row r="2209" spans="1:18" ht="14" hidden="1">
      <c r="A2209" s="78" t="s">
        <v>2285</v>
      </c>
      <c r="B2209" s="220" t="s">
        <v>1142</v>
      </c>
      <c r="C2209" s="185"/>
      <c r="D2209" s="103" t="str">
        <f>VLOOKUP(B2209, 'All Menu'!B:M, 4, 0)</f>
        <v>مياه معدنية</v>
      </c>
      <c r="E2209" s="30" t="str">
        <f>VLOOKUP(B2209, 'All Menu'!B:M, 2, 0)</f>
        <v>قسم المشروبات</v>
      </c>
      <c r="F2209" s="103" t="str">
        <f>VLOOKUP(B2209, 'All Menu'!B:M, 3, 0)</f>
        <v>مشروبات سفري</v>
      </c>
      <c r="G2209" s="90" t="s">
        <v>2285</v>
      </c>
      <c r="H2209" s="188">
        <v>4169</v>
      </c>
      <c r="I2209" s="110" t="str">
        <f>VLOOKUP(H2209, 'RM &amp; SF'!B:H, 2, 0)</f>
        <v>مياه معدنية مطبوع 500 مل*****</v>
      </c>
      <c r="J2209" s="184" t="str">
        <f>VLOOKUP(H2209, 'RM &amp; SF'!B:E, 4, 0)</f>
        <v>قطعة</v>
      </c>
      <c r="K2209" s="12">
        <v>1</v>
      </c>
      <c r="L2209" s="13">
        <f>VLOOKUP(H2209, 'RM &amp; SF'!B:H, 7, 0)</f>
        <v>8.9833333333333334E-2</v>
      </c>
      <c r="M2209" s="7">
        <f t="shared" si="114"/>
        <v>8.9833333333333334E-2</v>
      </c>
      <c r="N2209" s="4" t="s">
        <v>825</v>
      </c>
      <c r="O2209" s="4">
        <f>VLOOKUP(B2209, 'All Menu'!B:L, 6, 0)</f>
        <v>0.30172413793103448</v>
      </c>
      <c r="P2209" s="6">
        <f>VLOOKUP(B2209, 'All Menu'!B:L, 9, 0)</f>
        <v>8.9833333333333334E-2</v>
      </c>
      <c r="Q2209" s="14">
        <f>VLOOKUP(B2209, 'All Menu'!B:M, 12, 0)</f>
        <v>0.70226666666666671</v>
      </c>
      <c r="R2209" s="173">
        <f t="shared" si="113"/>
        <v>0</v>
      </c>
    </row>
    <row r="2210" spans="1:18" ht="14" hidden="1">
      <c r="A2210" s="78" t="s">
        <v>2792</v>
      </c>
      <c r="B2210" s="220" t="s">
        <v>1143</v>
      </c>
      <c r="C2210" s="185"/>
      <c r="D2210" s="103" t="str">
        <f>VLOOKUP(B2210, 'All Menu'!B:M, 4, 0)</f>
        <v>ماتركس كولا</v>
      </c>
      <c r="E2210" s="30" t="str">
        <f>VLOOKUP(B2210, 'All Menu'!B:M, 2, 0)</f>
        <v>قسم المشروبات</v>
      </c>
      <c r="F2210" s="103" t="str">
        <f>VLOOKUP(B2210, 'All Menu'!B:M, 3, 0)</f>
        <v>مشروبات سفري</v>
      </c>
      <c r="G2210" s="90" t="s">
        <v>3058</v>
      </c>
      <c r="H2210" s="188">
        <v>4168</v>
      </c>
      <c r="I2210" s="110" t="str">
        <f>VLOOKUP(H2210, 'RM &amp; SF'!B:H, 2, 0)</f>
        <v>مشروب غازي ماتركس 250 مل*****</v>
      </c>
      <c r="J2210" s="184" t="str">
        <f>VLOOKUP(H2210, 'RM &amp; SF'!B:E, 4, 0)</f>
        <v>قطعة</v>
      </c>
      <c r="K2210" s="12">
        <v>1</v>
      </c>
      <c r="L2210" s="13">
        <f>VLOOKUP(H2210, 'RM &amp; SF'!B:H, 7, 0)</f>
        <v>0.13741666666666666</v>
      </c>
      <c r="M2210" s="7">
        <f t="shared" si="114"/>
        <v>0.13741666666666666</v>
      </c>
      <c r="N2210" s="4" t="s">
        <v>825</v>
      </c>
      <c r="O2210" s="4">
        <f>VLOOKUP(B2210, 'All Menu'!B:L, 6, 0)</f>
        <v>0.30172413793103448</v>
      </c>
      <c r="P2210" s="6">
        <f>VLOOKUP(B2210, 'All Menu'!B:L, 9, 0)</f>
        <v>0.13741666666666666</v>
      </c>
      <c r="Q2210" s="14">
        <f>VLOOKUP(B2210, 'All Menu'!B:M, 12, 0)</f>
        <v>0.5445619047619048</v>
      </c>
      <c r="R2210" s="173">
        <f t="shared" si="113"/>
        <v>0</v>
      </c>
    </row>
    <row r="2211" spans="1:18" ht="14" hidden="1">
      <c r="A2211" s="78" t="s">
        <v>2793</v>
      </c>
      <c r="B2211" s="220" t="s">
        <v>1144</v>
      </c>
      <c r="C2211" s="185"/>
      <c r="D2211" s="103" t="str">
        <f>VLOOKUP(B2211, 'All Menu'!B:M, 4, 0)</f>
        <v>ماتركس برتقال</v>
      </c>
      <c r="E2211" s="30" t="str">
        <f>VLOOKUP(B2211, 'All Menu'!B:M, 2, 0)</f>
        <v>قسم المشروبات</v>
      </c>
      <c r="F2211" s="103" t="str">
        <f>VLOOKUP(B2211, 'All Menu'!B:M, 3, 0)</f>
        <v>مشروبات سفري</v>
      </c>
      <c r="G2211" s="90" t="s">
        <v>3058</v>
      </c>
      <c r="H2211" s="188">
        <v>5354</v>
      </c>
      <c r="I2211" s="110" t="str">
        <f>VLOOKUP(H2211, 'RM &amp; SF'!B:H, 2, 0)</f>
        <v>مشروب غازي ماتركس اورانج 250مل*****</v>
      </c>
      <c r="J2211" s="184" t="str">
        <f>VLOOKUP(H2211, 'RM &amp; SF'!B:E, 4, 0)</f>
        <v>غم</v>
      </c>
      <c r="K2211" s="12">
        <v>1</v>
      </c>
      <c r="L2211" s="13">
        <f>VLOOKUP(H2211, 'RM &amp; SF'!B:H, 7, 0)</f>
        <v>0.13700000000000001</v>
      </c>
      <c r="M2211" s="7">
        <f t="shared" si="114"/>
        <v>0.13700000000000001</v>
      </c>
      <c r="N2211" s="4" t="s">
        <v>825</v>
      </c>
      <c r="O2211" s="4">
        <f>VLOOKUP(B2211, 'All Menu'!B:L, 6, 0)</f>
        <v>0.30172413793103448</v>
      </c>
      <c r="P2211" s="6">
        <f>VLOOKUP(B2211, 'All Menu'!B:L, 9, 0)</f>
        <v>0.13700000000000001</v>
      </c>
      <c r="Q2211" s="14">
        <f>VLOOKUP(B2211, 'All Menu'!B:M, 12, 0)</f>
        <v>0.54594285714285706</v>
      </c>
      <c r="R2211" s="173">
        <f t="shared" si="113"/>
        <v>0</v>
      </c>
    </row>
    <row r="2212" spans="1:18" ht="14" hidden="1">
      <c r="A2212" s="78" t="s">
        <v>2794</v>
      </c>
      <c r="B2212" s="220" t="s">
        <v>1145</v>
      </c>
      <c r="C2212" s="185"/>
      <c r="D2212" s="103" t="str">
        <f>VLOOKUP(B2212, 'All Menu'!B:M, 4, 0)</f>
        <v>ماتركس اب</v>
      </c>
      <c r="E2212" s="30" t="str">
        <f>VLOOKUP(B2212, 'All Menu'!B:M, 2, 0)</f>
        <v>قسم المشروبات</v>
      </c>
      <c r="F2212" s="103" t="str">
        <f>VLOOKUP(B2212, 'All Menu'!B:M, 3, 0)</f>
        <v>مشروبات سفري</v>
      </c>
      <c r="G2212" s="90" t="s">
        <v>3058</v>
      </c>
      <c r="H2212" s="188">
        <v>5306</v>
      </c>
      <c r="I2212" s="110" t="str">
        <f>VLOOKUP(H2212, 'RM &amp; SF'!B:H, 2, 0)</f>
        <v>مشروب غازي ماتركس اب 250مل*****</v>
      </c>
      <c r="J2212" s="184" t="str">
        <f>VLOOKUP(H2212, 'RM &amp; SF'!B:E, 4, 0)</f>
        <v>قطعة</v>
      </c>
      <c r="K2212" s="12">
        <v>1</v>
      </c>
      <c r="L2212" s="13">
        <f>VLOOKUP(H2212, 'RM &amp; SF'!B:H, 7, 0)</f>
        <v>0.13700000000000001</v>
      </c>
      <c r="M2212" s="7">
        <f t="shared" si="114"/>
        <v>0.13700000000000001</v>
      </c>
      <c r="N2212" s="4" t="s">
        <v>825</v>
      </c>
      <c r="O2212" s="4">
        <f>VLOOKUP(B2212, 'All Menu'!B:L, 6, 0)</f>
        <v>0.30172413793103448</v>
      </c>
      <c r="P2212" s="6">
        <f>VLOOKUP(B2212, 'All Menu'!B:L, 9, 0)</f>
        <v>0.13700000000000001</v>
      </c>
      <c r="Q2212" s="14">
        <f>VLOOKUP(B2212, 'All Menu'!B:M, 12, 0)</f>
        <v>0.54594285714285706</v>
      </c>
      <c r="R2212" s="173">
        <f t="shared" si="113"/>
        <v>0</v>
      </c>
    </row>
    <row r="2213" spans="1:18" ht="14" hidden="1">
      <c r="A2213" s="78" t="s">
        <v>2795</v>
      </c>
      <c r="B2213" s="220" t="s">
        <v>1146</v>
      </c>
      <c r="C2213" s="185"/>
      <c r="D2213" s="103" t="str">
        <f>VLOOKUP(B2213, 'All Menu'!B:M, 4, 0)</f>
        <v>كولا دايت</v>
      </c>
      <c r="E2213" s="30" t="str">
        <f>VLOOKUP(B2213, 'All Menu'!B:M, 2, 0)</f>
        <v>قسم المشروبات</v>
      </c>
      <c r="F2213" s="103" t="str">
        <f>VLOOKUP(B2213, 'All Menu'!B:M, 3, 0)</f>
        <v>مشروبات سفري</v>
      </c>
      <c r="G2213" s="90" t="s">
        <v>3058</v>
      </c>
      <c r="H2213" s="188">
        <v>5307</v>
      </c>
      <c r="I2213" s="110" t="str">
        <f>VLOOKUP(H2213, 'RM &amp; SF'!B:H, 2, 0)</f>
        <v>مشروب غازي ماتركس كولا زيرو 250مل*****</v>
      </c>
      <c r="J2213" s="184" t="str">
        <f>VLOOKUP(H2213, 'RM &amp; SF'!B:E, 4, 0)</f>
        <v>قطعة</v>
      </c>
      <c r="K2213" s="12">
        <v>1</v>
      </c>
      <c r="L2213" s="13">
        <f>VLOOKUP(H2213, 'RM &amp; SF'!B:H, 7, 0)</f>
        <v>0.13700000000000001</v>
      </c>
      <c r="M2213" s="7">
        <f t="shared" si="114"/>
        <v>0.13700000000000001</v>
      </c>
      <c r="N2213" s="4" t="s">
        <v>825</v>
      </c>
      <c r="O2213" s="4">
        <f>VLOOKUP(B2213, 'All Menu'!B:L, 6, 0)</f>
        <v>0.30172413793103448</v>
      </c>
      <c r="P2213" s="6">
        <f>VLOOKUP(B2213, 'All Menu'!B:L, 9, 0)</f>
        <v>0.13700000000000001</v>
      </c>
      <c r="Q2213" s="14">
        <f>VLOOKUP(B2213, 'All Menu'!B:M, 12, 0)</f>
        <v>0.54594285714285706</v>
      </c>
      <c r="R2213" s="173">
        <f t="shared" si="113"/>
        <v>0</v>
      </c>
    </row>
    <row r="2214" spans="1:18" ht="14" hidden="1">
      <c r="A2214" s="78" t="s">
        <v>2796</v>
      </c>
      <c r="B2214" s="220" t="s">
        <v>1147</v>
      </c>
      <c r="C2214" s="185"/>
      <c r="D2214" s="103" t="str">
        <f>VLOOKUP(B2214, 'All Menu'!B:M, 4, 0)</f>
        <v>ماتركس اب دايت</v>
      </c>
      <c r="E2214" s="30" t="str">
        <f>VLOOKUP(B2214, 'All Menu'!B:M, 2, 0)</f>
        <v>قسم المشروبات</v>
      </c>
      <c r="F2214" s="103" t="str">
        <f>VLOOKUP(B2214, 'All Menu'!B:M, 3, 0)</f>
        <v>مشروبات سفري</v>
      </c>
      <c r="G2214" s="90" t="s">
        <v>3058</v>
      </c>
      <c r="H2214" s="188">
        <v>5308</v>
      </c>
      <c r="I2214" s="110" t="str">
        <f>VLOOKUP(H2214, 'RM &amp; SF'!B:H, 2, 0)</f>
        <v>مشروب غازي ماتركس اب زيرو 250مل*****</v>
      </c>
      <c r="J2214" s="184" t="str">
        <f>VLOOKUP(H2214, 'RM &amp; SF'!B:E, 4, 0)</f>
        <v>قطعة</v>
      </c>
      <c r="K2214" s="12">
        <v>1</v>
      </c>
      <c r="L2214" s="13">
        <f>VLOOKUP(H2214, 'RM &amp; SF'!B:H, 7, 0)</f>
        <v>0.13700000000000001</v>
      </c>
      <c r="M2214" s="7">
        <f t="shared" si="114"/>
        <v>0.13700000000000001</v>
      </c>
      <c r="N2214" s="4" t="s">
        <v>825</v>
      </c>
      <c r="O2214" s="4">
        <f>VLOOKUP(B2214, 'All Menu'!B:L, 6, 0)</f>
        <v>0.30172413793103448</v>
      </c>
      <c r="P2214" s="6">
        <f>VLOOKUP(B2214, 'All Menu'!B:L, 9, 0)</f>
        <v>0.13700000000000001</v>
      </c>
      <c r="Q2214" s="14">
        <f>VLOOKUP(B2214, 'All Menu'!B:M, 12, 0)</f>
        <v>0.54594285714285706</v>
      </c>
      <c r="R2214" s="173">
        <f t="shared" si="113"/>
        <v>0</v>
      </c>
    </row>
    <row r="2215" spans="1:18" ht="14" hidden="1">
      <c r="A2215" s="78" t="s">
        <v>2797</v>
      </c>
      <c r="B2215" s="220" t="s">
        <v>1149</v>
      </c>
      <c r="C2215" s="185"/>
      <c r="D2215" s="103" t="str">
        <f>VLOOKUP(B2215, 'All Menu'!B:M, 4, 0)</f>
        <v>لبن عيران صغير</v>
      </c>
      <c r="E2215" s="30" t="str">
        <f>VLOOKUP(B2215, 'All Menu'!B:M, 2, 0)</f>
        <v>قسم المشروبات</v>
      </c>
      <c r="F2215" s="103" t="str">
        <f>VLOOKUP(B2215, 'All Menu'!B:M, 3, 0)</f>
        <v>مشروبات سفري</v>
      </c>
      <c r="G2215" s="90" t="s">
        <v>2298</v>
      </c>
      <c r="H2215" s="188">
        <v>5119</v>
      </c>
      <c r="I2215" s="110" t="str">
        <f>VLOOKUP(H2215, 'RM &amp; SF'!B:H, 2, 0)</f>
        <v>لبن عيران</v>
      </c>
      <c r="J2215" s="184" t="str">
        <f>VLOOKUP(H2215, 'RM &amp; SF'!B:E, 4, 0)</f>
        <v>قطعة</v>
      </c>
      <c r="K2215" s="12">
        <v>1</v>
      </c>
      <c r="L2215" s="13">
        <f>VLOOKUP(H2215, 'RM &amp; SF'!B:H, 7, 0)</f>
        <v>0.4</v>
      </c>
      <c r="M2215" s="7">
        <f t="shared" si="114"/>
        <v>0.4</v>
      </c>
      <c r="N2215" s="4" t="s">
        <v>825</v>
      </c>
      <c r="O2215" s="4">
        <f>VLOOKUP(B2215, 'All Menu'!B:L, 6, 0)</f>
        <v>0.43103448275862072</v>
      </c>
      <c r="P2215" s="6">
        <f>VLOOKUP(B2215, 'All Menu'!B:L, 9, 0)</f>
        <v>0.4</v>
      </c>
      <c r="Q2215" s="14">
        <f>VLOOKUP(B2215, 'All Menu'!B:M, 12, 0)</f>
        <v>7.2000000000000008E-2</v>
      </c>
      <c r="R2215" s="173">
        <f t="shared" si="113"/>
        <v>0</v>
      </c>
    </row>
    <row r="2216" spans="1:18" ht="14" hidden="1">
      <c r="A2216" s="78" t="s">
        <v>2798</v>
      </c>
      <c r="B2216" s="220" t="s">
        <v>1150</v>
      </c>
      <c r="C2216" s="185"/>
      <c r="D2216" s="103" t="str">
        <f>VLOOKUP(B2216, 'All Menu'!B:M, 4, 0)</f>
        <v>لبن عيران كبير</v>
      </c>
      <c r="E2216" s="30" t="str">
        <f>VLOOKUP(B2216, 'All Menu'!B:M, 2, 0)</f>
        <v>قسم المشروبات</v>
      </c>
      <c r="F2216" s="103" t="str">
        <f>VLOOKUP(B2216, 'All Menu'!B:M, 3, 0)</f>
        <v>مشروبات سفري</v>
      </c>
      <c r="G2216" s="90" t="s">
        <v>2171</v>
      </c>
      <c r="H2216" s="188">
        <v>4553</v>
      </c>
      <c r="I2216" s="110" t="str">
        <f>VLOOKUP(H2216, 'RM &amp; SF'!B:H, 2, 0)</f>
        <v>لبن مخيض 18 كغ*****</v>
      </c>
      <c r="J2216" s="184" t="str">
        <f>VLOOKUP(H2216, 'RM &amp; SF'!B:E, 4, 0)</f>
        <v>مل</v>
      </c>
      <c r="K2216" s="12">
        <v>1000</v>
      </c>
      <c r="L2216" s="13">
        <f>VLOOKUP(H2216, 'RM &amp; SF'!B:H, 7, 0)</f>
        <v>4.1999999999999996E-4</v>
      </c>
      <c r="M2216" s="7">
        <f t="shared" si="114"/>
        <v>0.42</v>
      </c>
      <c r="N2216" s="4" t="s">
        <v>825</v>
      </c>
      <c r="O2216" s="4">
        <f>VLOOKUP(B2216, 'All Menu'!B:L, 6, 0)</f>
        <v>1.2931034482758621</v>
      </c>
      <c r="P2216" s="6">
        <f>VLOOKUP(B2216, 'All Menu'!B:L, 9, 0)</f>
        <v>0.50141762452107275</v>
      </c>
      <c r="Q2216" s="14">
        <f>VLOOKUP(B2216, 'All Menu'!B:M, 12, 0)</f>
        <v>0.61223703703703714</v>
      </c>
      <c r="R2216" s="173">
        <f t="shared" si="113"/>
        <v>0</v>
      </c>
    </row>
    <row r="2217" spans="1:18" ht="14" hidden="1">
      <c r="A2217" s="78" t="s">
        <v>2798</v>
      </c>
      <c r="B2217" s="220" t="s">
        <v>1150</v>
      </c>
      <c r="C2217" s="185"/>
      <c r="D2217" s="103" t="str">
        <f>VLOOKUP(B2217, 'All Menu'!B:M, 4, 0)</f>
        <v>لبن عيران كبير</v>
      </c>
      <c r="E2217" s="30" t="str">
        <f>VLOOKUP(B2217, 'All Menu'!B:M, 2, 0)</f>
        <v>قسم المشروبات</v>
      </c>
      <c r="F2217" s="103" t="str">
        <f>VLOOKUP(B2217, 'All Menu'!B:M, 3, 0)</f>
        <v>مشروبات سفري</v>
      </c>
      <c r="G2217" s="90" t="s">
        <v>3058</v>
      </c>
      <c r="H2217" s="188">
        <v>5265</v>
      </c>
      <c r="I2217" s="110" t="str">
        <f>VLOOKUP(H2217, 'RM &amp; SF'!B:H, 2, 0)</f>
        <v>قناني 1 لتر*****</v>
      </c>
      <c r="J2217" s="184" t="str">
        <f>VLOOKUP(H2217, 'RM &amp; SF'!B:E, 4, 0)</f>
        <v>قطعة</v>
      </c>
      <c r="K2217" s="12">
        <v>1</v>
      </c>
      <c r="L2217" s="13">
        <f>VLOOKUP(H2217, 'RM &amp; SF'!B:H, 7, 0)</f>
        <v>8.1417624521072804E-2</v>
      </c>
      <c r="M2217" s="7">
        <f t="shared" si="114"/>
        <v>8.1417624521072804E-2</v>
      </c>
      <c r="N2217" s="4" t="s">
        <v>825</v>
      </c>
      <c r="O2217" s="4">
        <f>VLOOKUP(B2217, 'All Menu'!B:L, 6, 0)</f>
        <v>1.2931034482758621</v>
      </c>
      <c r="P2217" s="6">
        <f>VLOOKUP(B2217, 'All Menu'!B:L, 9, 0)</f>
        <v>0.50141762452107275</v>
      </c>
      <c r="Q2217" s="14">
        <f>VLOOKUP(B2217, 'All Menu'!B:M, 12, 0)</f>
        <v>0.61223703703703714</v>
      </c>
      <c r="R2217" s="173">
        <f t="shared" si="113"/>
        <v>0</v>
      </c>
    </row>
    <row r="2218" spans="1:18" ht="14" hidden="1">
      <c r="A2218" s="78" t="s">
        <v>2302</v>
      </c>
      <c r="B2218" s="220" t="s">
        <v>1217</v>
      </c>
      <c r="C2218" s="185"/>
      <c r="D2218" s="103" t="str">
        <f>VLOOKUP(B2218, 'All Menu'!B:M, 4, 0)</f>
        <v>عصير توت</v>
      </c>
      <c r="E2218" s="30" t="str">
        <f>VLOOKUP(B2218, 'All Menu'!B:M, 2, 0)</f>
        <v>قسم المشروبات</v>
      </c>
      <c r="F2218" s="103" t="str">
        <f>VLOOKUP(B2218, 'All Menu'!B:M, 3, 0)</f>
        <v>مشروبات سفري</v>
      </c>
      <c r="G2218" s="90" t="s">
        <v>2302</v>
      </c>
      <c r="H2218" s="188">
        <v>5203</v>
      </c>
      <c r="I2218" s="110" t="str">
        <f>VLOOKUP(H2218, 'RM &amp; SF'!B:H, 2, 0)</f>
        <v>*****عصير التوت المشكل مع سكر 300مل</v>
      </c>
      <c r="J2218" s="184" t="str">
        <f>VLOOKUP(H2218, 'RM &amp; SF'!B:E, 4, 0)</f>
        <v>قطعة</v>
      </c>
      <c r="K2218" s="12">
        <v>1</v>
      </c>
      <c r="L2218" s="13">
        <f>VLOOKUP(H2218, 'RM &amp; SF'!B:H, 7, 0)</f>
        <v>0.39200000000000002</v>
      </c>
      <c r="M2218" s="7">
        <f t="shared" si="114"/>
        <v>0.39200000000000002</v>
      </c>
      <c r="N2218" s="4" t="s">
        <v>825</v>
      </c>
      <c r="O2218" s="4">
        <f>VLOOKUP(B2218, 'All Menu'!B:L, 6, 0)</f>
        <v>0.51724137931034486</v>
      </c>
      <c r="P2218" s="6">
        <f>VLOOKUP(B2218, 'All Menu'!B:L, 9, 0)</f>
        <v>0.39200000000000002</v>
      </c>
      <c r="Q2218" s="14">
        <f>VLOOKUP(B2218, 'All Menu'!B:M, 12, 0)</f>
        <v>0.24213333333333337</v>
      </c>
      <c r="R2218" s="173">
        <f t="shared" si="113"/>
        <v>0</v>
      </c>
    </row>
    <row r="2219" spans="1:18" ht="14" hidden="1">
      <c r="A2219" s="78" t="s">
        <v>2299</v>
      </c>
      <c r="B2219" s="220" t="s">
        <v>1218</v>
      </c>
      <c r="C2219" s="185"/>
      <c r="D2219" s="103" t="str">
        <f>VLOOKUP(B2219, 'All Menu'!B:M, 4, 0)</f>
        <v>عصير ليمون</v>
      </c>
      <c r="E2219" s="30" t="str">
        <f>VLOOKUP(B2219, 'All Menu'!B:M, 2, 0)</f>
        <v>قسم المشروبات</v>
      </c>
      <c r="F2219" s="103" t="str">
        <f>VLOOKUP(B2219, 'All Menu'!B:M, 3, 0)</f>
        <v>مشروبات سفري</v>
      </c>
      <c r="G2219" s="90" t="s">
        <v>2299</v>
      </c>
      <c r="H2219" s="188">
        <v>5165</v>
      </c>
      <c r="I2219" s="110" t="str">
        <f>VLOOKUP(H2219, 'RM &amp; SF'!B:H, 2, 0)</f>
        <v>*****عصير الليمون مع اللب 300مل مع سكر</v>
      </c>
      <c r="J2219" s="184" t="str">
        <f>VLOOKUP(H2219, 'RM &amp; SF'!B:E, 4, 0)</f>
        <v>قطعة</v>
      </c>
      <c r="K2219" s="12">
        <v>1</v>
      </c>
      <c r="L2219" s="13">
        <f>VLOOKUP(H2219, 'RM &amp; SF'!B:H, 7, 0)</f>
        <v>0.32</v>
      </c>
      <c r="M2219" s="7">
        <f t="shared" si="114"/>
        <v>0.32</v>
      </c>
      <c r="N2219" s="4" t="s">
        <v>825</v>
      </c>
      <c r="O2219" s="4">
        <f>VLOOKUP(B2219, 'All Menu'!B:L, 6, 0)</f>
        <v>0.51724137931034486</v>
      </c>
      <c r="P2219" s="6">
        <f>VLOOKUP(B2219, 'All Menu'!B:L, 9, 0)</f>
        <v>0.32</v>
      </c>
      <c r="Q2219" s="14">
        <f>VLOOKUP(B2219, 'All Menu'!B:M, 12, 0)</f>
        <v>0.38133333333333336</v>
      </c>
      <c r="R2219" s="173">
        <f t="shared" si="113"/>
        <v>0</v>
      </c>
    </row>
    <row r="2220" spans="1:18" ht="14" hidden="1">
      <c r="A2220" s="78" t="s">
        <v>2799</v>
      </c>
      <c r="B2220" s="220" t="s">
        <v>1219</v>
      </c>
      <c r="C2220" s="185"/>
      <c r="D2220" s="103" t="str">
        <f>VLOOKUP(B2220, 'All Menu'!B:M, 4, 0)</f>
        <v>عصير برتقال</v>
      </c>
      <c r="E2220" s="30" t="str">
        <f>VLOOKUP(B2220, 'All Menu'!B:M, 2, 0)</f>
        <v>قسم المشروبات</v>
      </c>
      <c r="F2220" s="103" t="str">
        <f>VLOOKUP(B2220, 'All Menu'!B:M, 3, 0)</f>
        <v>مشروبات سفري</v>
      </c>
      <c r="G2220" s="90" t="s">
        <v>2301</v>
      </c>
      <c r="H2220" s="188">
        <v>5197</v>
      </c>
      <c r="I2220" s="110" t="str">
        <f>VLOOKUP(H2220, 'RM &amp; SF'!B:H, 2, 0)</f>
        <v>*****عصير برتقال بدون اضافة سكر 300مل</v>
      </c>
      <c r="J2220" s="184" t="str">
        <f>VLOOKUP(H2220, 'RM &amp; SF'!B:E, 4, 0)</f>
        <v>قطعة</v>
      </c>
      <c r="K2220" s="12">
        <v>1</v>
      </c>
      <c r="L2220" s="13">
        <f>VLOOKUP(H2220, 'RM &amp; SF'!B:H, 7, 0)</f>
        <v>0.39200000000000002</v>
      </c>
      <c r="M2220" s="7">
        <f t="shared" si="114"/>
        <v>0.39200000000000002</v>
      </c>
      <c r="N2220" s="4" t="s">
        <v>825</v>
      </c>
      <c r="O2220" s="4">
        <f>VLOOKUP(B2220, 'All Menu'!B:L, 6, 0)</f>
        <v>0.51724137931034486</v>
      </c>
      <c r="P2220" s="6">
        <f>VLOOKUP(B2220, 'All Menu'!B:L, 9, 0)</f>
        <v>0.39200000000000002</v>
      </c>
      <c r="Q2220" s="14">
        <f>VLOOKUP(B2220, 'All Menu'!B:M, 12, 0)</f>
        <v>0.24213333333333337</v>
      </c>
      <c r="R2220" s="173">
        <f t="shared" si="113"/>
        <v>0</v>
      </c>
    </row>
    <row r="2221" spans="1:18" ht="14" hidden="1">
      <c r="A2221" s="78" t="s">
        <v>2300</v>
      </c>
      <c r="B2221" s="220" t="s">
        <v>1220</v>
      </c>
      <c r="C2221" s="185"/>
      <c r="D2221" s="103" t="str">
        <f>VLOOKUP(B2221, 'All Menu'!B:M, 4, 0)</f>
        <v>عصير تفاح</v>
      </c>
      <c r="E2221" s="30" t="str">
        <f>VLOOKUP(B2221, 'All Menu'!B:M, 2, 0)</f>
        <v>قسم المشروبات</v>
      </c>
      <c r="F2221" s="103" t="str">
        <f>VLOOKUP(B2221, 'All Menu'!B:M, 3, 0)</f>
        <v>مشروبات سفري</v>
      </c>
      <c r="G2221" s="90" t="s">
        <v>2300</v>
      </c>
      <c r="H2221" s="188">
        <v>5196</v>
      </c>
      <c r="I2221" s="110" t="str">
        <f>VLOOKUP(H2221, 'RM &amp; SF'!B:H, 2, 0)</f>
        <v>*****عصير التفاح بدون اضافة سكر 300مل</v>
      </c>
      <c r="J2221" s="184" t="str">
        <f>VLOOKUP(H2221, 'RM &amp; SF'!B:E, 4, 0)</f>
        <v>قطعة</v>
      </c>
      <c r="K2221" s="12">
        <v>1</v>
      </c>
      <c r="L2221" s="13">
        <f>VLOOKUP(H2221, 'RM &amp; SF'!B:H, 7, 0)</f>
        <v>0.32</v>
      </c>
      <c r="M2221" s="7">
        <f t="shared" si="114"/>
        <v>0.32</v>
      </c>
      <c r="N2221" s="4" t="s">
        <v>825</v>
      </c>
      <c r="O2221" s="4">
        <f>VLOOKUP(B2221, 'All Menu'!B:L, 6, 0)</f>
        <v>0.51724137931034486</v>
      </c>
      <c r="P2221" s="6">
        <f>VLOOKUP(B2221, 'All Menu'!B:L, 9, 0)</f>
        <v>0.32</v>
      </c>
      <c r="Q2221" s="14">
        <f>VLOOKUP(B2221, 'All Menu'!B:M, 12, 0)</f>
        <v>0.38133333333333336</v>
      </c>
      <c r="R2221" s="173">
        <f t="shared" si="113"/>
        <v>0</v>
      </c>
    </row>
    <row r="2222" spans="1:18" ht="14" hidden="1">
      <c r="A2222" s="78" t="s">
        <v>3175</v>
      </c>
      <c r="B2222" s="220" t="s">
        <v>1290</v>
      </c>
      <c r="C2222" s="185"/>
      <c r="D2222" s="30" t="str">
        <f>VLOOKUP(B2222, 'All Menu'!B:M, 4, 0)</f>
        <v>لبن نعاج</v>
      </c>
      <c r="E2222" s="30" t="str">
        <f>VLOOKUP(B2222, 'All Menu'!B:M, 2, 0)</f>
        <v>قسم المشروبات</v>
      </c>
      <c r="F2222" s="103" t="str">
        <f>VLOOKUP(B2222, 'All Menu'!B:M, 3, 0)</f>
        <v>مشروبات سفري</v>
      </c>
      <c r="G2222" s="90" t="s">
        <v>3058</v>
      </c>
      <c r="H2222" s="188">
        <v>5325</v>
      </c>
      <c r="I2222" s="110" t="str">
        <f>VLOOKUP(H2222, 'RM &amp; SF'!B:H, 2, 0)</f>
        <v>لبن نعاج</v>
      </c>
      <c r="J2222" s="184" t="str">
        <f>VLOOKUP(H2222, 'RM &amp; SF'!B:E, 4, 0)</f>
        <v>قطعة</v>
      </c>
      <c r="K2222" s="12">
        <v>1</v>
      </c>
      <c r="L2222" s="13">
        <f>VLOOKUP(H2222, 'RM &amp; SF'!B:H, 7, 0)</f>
        <v>1.6</v>
      </c>
      <c r="M2222" s="7">
        <f t="shared" si="114"/>
        <v>1.6</v>
      </c>
      <c r="N2222" s="4" t="s">
        <v>825</v>
      </c>
      <c r="O2222" s="4">
        <f>VLOOKUP(B2222, 'All Menu'!B:L, 6, 0)</f>
        <v>2.1551724137931036</v>
      </c>
      <c r="P2222" s="6">
        <f>VLOOKUP(B2222, 'All Menu'!B:L, 9, 0)</f>
        <v>1.6</v>
      </c>
      <c r="Q2222" s="14">
        <f>VLOOKUP(B2222, 'All Menu'!B:M, 12, 0)</f>
        <v>0.25760000000000005</v>
      </c>
      <c r="R2222" s="173">
        <f t="shared" si="113"/>
        <v>0</v>
      </c>
    </row>
    <row r="2223" spans="1:18" ht="14" hidden="1">
      <c r="A2223" s="78" t="s">
        <v>2832</v>
      </c>
      <c r="B2223" s="220" t="s">
        <v>882</v>
      </c>
      <c r="C2223" s="185"/>
      <c r="D2223" s="103" t="str">
        <f>VLOOKUP(B2223, 'All Menu'!B:M, 4, 0)</f>
        <v>سلطة كولسو فردي</v>
      </c>
      <c r="E2223" s="30" t="str">
        <f>VLOOKUP(B2223, 'All Menu'!B:M, 2, 0)</f>
        <v>قسم المقبلات</v>
      </c>
      <c r="F2223" s="103" t="str">
        <f>VLOOKUP(B2223, 'All Menu'!B:M, 3, 0)</f>
        <v>سلطات سفري</v>
      </c>
      <c r="G2223" s="90" t="s">
        <v>2395</v>
      </c>
      <c r="H2223" s="219" t="s">
        <v>560</v>
      </c>
      <c r="I2223" s="110" t="str">
        <f>VLOOKUP(H2223, 'RM &amp; SF'!B:H, 2, 0)</f>
        <v>كولسلو</v>
      </c>
      <c r="J2223" s="184" t="str">
        <f>VLOOKUP(H2223, 'RM &amp; SF'!B:E, 4, 0)</f>
        <v>غم</v>
      </c>
      <c r="K2223" s="12">
        <v>300</v>
      </c>
      <c r="L2223" s="13">
        <f>VLOOKUP(H2223, 'RM &amp; SF'!B:H, 7, 0)</f>
        <v>1.2345483193277309E-3</v>
      </c>
      <c r="M2223" s="7">
        <f t="shared" si="114"/>
        <v>0.37036449579831926</v>
      </c>
      <c r="N2223" s="4" t="s">
        <v>825</v>
      </c>
      <c r="O2223" s="4">
        <f>VLOOKUP(B2223, 'All Menu'!B:L, 6, 0)</f>
        <v>1.7241379310344829</v>
      </c>
      <c r="P2223" s="6">
        <f>VLOOKUP(B2223, 'All Menu'!B:L, 9, 0)</f>
        <v>0.54531407563025203</v>
      </c>
      <c r="Q2223" s="14">
        <f>VLOOKUP(B2223, 'All Menu'!B:M, 12, 0)</f>
        <v>0.68371783613445392</v>
      </c>
      <c r="R2223" s="173">
        <f t="shared" si="113"/>
        <v>0</v>
      </c>
    </row>
    <row r="2224" spans="1:18" ht="14" hidden="1">
      <c r="A2224" s="78" t="s">
        <v>2832</v>
      </c>
      <c r="B2224" s="220" t="s">
        <v>882</v>
      </c>
      <c r="C2224" s="185"/>
      <c r="D2224" s="103" t="str">
        <f>VLOOKUP(B2224, 'All Menu'!B:M, 4, 0)</f>
        <v>سلطة كولسو فردي</v>
      </c>
      <c r="E2224" s="30" t="str">
        <f>VLOOKUP(B2224, 'All Menu'!B:M, 2, 0)</f>
        <v>قسم المقبلات</v>
      </c>
      <c r="F2224" s="103" t="str">
        <f>VLOOKUP(B2224, 'All Menu'!B:M, 3, 0)</f>
        <v>سلطات سفري</v>
      </c>
      <c r="G2224" s="90" t="s">
        <v>2256</v>
      </c>
      <c r="H2224" s="188">
        <v>4574</v>
      </c>
      <c r="I2224" s="110" t="str">
        <f>VLOOKUP(H2224, 'RM &amp; SF'!B:H, 2, 0)</f>
        <v>عصير برتقال طازج 2.5 لتر*****</v>
      </c>
      <c r="J2224" s="184" t="str">
        <f>VLOOKUP(H2224, 'RM &amp; SF'!B:E, 4, 0)</f>
        <v>مل</v>
      </c>
      <c r="K2224" s="12">
        <v>30</v>
      </c>
      <c r="L2224" s="13">
        <f>VLOOKUP(H2224, 'RM &amp; SF'!B:H, 7, 0)</f>
        <v>2E-3</v>
      </c>
      <c r="M2224" s="7">
        <f t="shared" si="114"/>
        <v>0.06</v>
      </c>
      <c r="N2224" s="4" t="s">
        <v>825</v>
      </c>
      <c r="O2224" s="4">
        <f>VLOOKUP(B2224, 'All Menu'!B:L, 6, 0)</f>
        <v>1.7241379310344829</v>
      </c>
      <c r="P2224" s="6">
        <f>VLOOKUP(B2224, 'All Menu'!B:L, 9, 0)</f>
        <v>0.54531407563025203</v>
      </c>
      <c r="Q2224" s="14">
        <f>VLOOKUP(B2224, 'All Menu'!B:M, 12, 0)</f>
        <v>0.68371783613445392</v>
      </c>
      <c r="R2224" s="173">
        <f t="shared" si="113"/>
        <v>0</v>
      </c>
    </row>
    <row r="2225" spans="1:18" ht="14" hidden="1">
      <c r="A2225" s="78" t="s">
        <v>2832</v>
      </c>
      <c r="B2225" s="220" t="s">
        <v>882</v>
      </c>
      <c r="C2225" s="185"/>
      <c r="D2225" s="103" t="str">
        <f>VLOOKUP(B2225, 'All Menu'!B:M, 4, 0)</f>
        <v>سلطة كولسو فردي</v>
      </c>
      <c r="E2225" s="30" t="str">
        <f>VLOOKUP(B2225, 'All Menu'!B:M, 2, 0)</f>
        <v>قسم المقبلات</v>
      </c>
      <c r="F2225" s="103" t="str">
        <f>VLOOKUP(B2225, 'All Menu'!B:M, 3, 0)</f>
        <v>سلطات سفري</v>
      </c>
      <c r="G2225" s="90" t="s">
        <v>2271</v>
      </c>
      <c r="H2225" s="188">
        <v>4034</v>
      </c>
      <c r="I2225" s="110" t="str">
        <f>VLOOKUP(H2225, 'RM &amp; SF'!B:H, 2, 0)</f>
        <v>اناناس شرائح 565 غم*****</v>
      </c>
      <c r="J2225" s="184" t="str">
        <f>VLOOKUP(H2225, 'RM &amp; SF'!B:E, 4, 0)</f>
        <v>غم</v>
      </c>
      <c r="K2225" s="12">
        <v>30</v>
      </c>
      <c r="L2225" s="13">
        <f>VLOOKUP(H2225, 'RM &amp; SF'!B:H, 7, 0)</f>
        <v>1.5983193277310924E-3</v>
      </c>
      <c r="M2225" s="7">
        <f t="shared" si="114"/>
        <v>4.7949579831932772E-2</v>
      </c>
      <c r="N2225" s="4" t="s">
        <v>825</v>
      </c>
      <c r="O2225" s="4">
        <f>VLOOKUP(B2225, 'All Menu'!B:L, 6, 0)</f>
        <v>1.7241379310344829</v>
      </c>
      <c r="P2225" s="6">
        <f>VLOOKUP(B2225, 'All Menu'!B:L, 9, 0)</f>
        <v>0.54531407563025203</v>
      </c>
      <c r="Q2225" s="14">
        <f>VLOOKUP(B2225, 'All Menu'!B:M, 12, 0)</f>
        <v>0.68371783613445392</v>
      </c>
      <c r="R2225" s="173">
        <f t="shared" si="113"/>
        <v>0</v>
      </c>
    </row>
    <row r="2226" spans="1:18" ht="14" hidden="1">
      <c r="A2226" s="78" t="s">
        <v>2832</v>
      </c>
      <c r="B2226" s="220" t="s">
        <v>882</v>
      </c>
      <c r="C2226" s="185"/>
      <c r="D2226" s="103" t="str">
        <f>VLOOKUP(B2226, 'All Menu'!B:M, 4, 0)</f>
        <v>سلطة كولسو فردي</v>
      </c>
      <c r="E2226" s="30" t="str">
        <f>VLOOKUP(B2226, 'All Menu'!B:M, 2, 0)</f>
        <v>قسم المقبلات</v>
      </c>
      <c r="F2226" s="103" t="str">
        <f>VLOOKUP(B2226, 'All Menu'!B:M, 3, 0)</f>
        <v>سلطات سفري</v>
      </c>
      <c r="G2226" s="90" t="s">
        <v>2307</v>
      </c>
      <c r="H2226" s="188">
        <v>4284</v>
      </c>
      <c r="I2226" s="110" t="str">
        <f>VLOOKUP(H2226, 'RM &amp; SF'!B:H, 2, 0)</f>
        <v>علب سلطة بلاستيك شفاف (كرستال) دائرية متصل 500 مل*****</v>
      </c>
      <c r="J2226" s="184" t="str">
        <f>VLOOKUP(H2226, 'RM &amp; SF'!B:E, 4, 0)</f>
        <v>قطعة</v>
      </c>
      <c r="K2226" s="12">
        <v>1</v>
      </c>
      <c r="L2226" s="13">
        <f>VLOOKUP(H2226, 'RM &amp; SF'!B:H, 7, 0)</f>
        <v>6.7000000000000004E-2</v>
      </c>
      <c r="M2226" s="7">
        <f t="shared" si="114"/>
        <v>6.7000000000000004E-2</v>
      </c>
      <c r="N2226" s="4" t="s">
        <v>825</v>
      </c>
      <c r="O2226" s="4">
        <f>VLOOKUP(B2226, 'All Menu'!B:L, 6, 0)</f>
        <v>1.7241379310344829</v>
      </c>
      <c r="P2226" s="6">
        <f>VLOOKUP(B2226, 'All Menu'!B:L, 9, 0)</f>
        <v>0.54531407563025203</v>
      </c>
      <c r="Q2226" s="14">
        <f>VLOOKUP(B2226, 'All Menu'!B:M, 12, 0)</f>
        <v>0.68371783613445392</v>
      </c>
      <c r="R2226" s="173">
        <f t="shared" si="113"/>
        <v>0</v>
      </c>
    </row>
    <row r="2227" spans="1:18" ht="14" hidden="1">
      <c r="A2227" s="78" t="s">
        <v>2820</v>
      </c>
      <c r="B2227" s="220" t="s">
        <v>883</v>
      </c>
      <c r="C2227" s="185"/>
      <c r="D2227" s="103" t="str">
        <f>VLOOKUP(B2227, 'All Menu'!B:M, 4, 0)</f>
        <v>تبولة فردي</v>
      </c>
      <c r="E2227" s="30" t="str">
        <f>VLOOKUP(B2227, 'All Menu'!B:M, 2, 0)</f>
        <v>قسم المقبلات</v>
      </c>
      <c r="F2227" s="103" t="str">
        <f>VLOOKUP(B2227, 'All Menu'!B:M, 3, 0)</f>
        <v>سلطات سفري</v>
      </c>
      <c r="G2227" s="90" t="s">
        <v>2443</v>
      </c>
      <c r="H2227" s="219" t="s">
        <v>664</v>
      </c>
      <c r="I2227" s="110" t="str">
        <f>VLOOKUP(H2227, 'RM &amp; SF'!B:H, 2, 0)</f>
        <v xml:space="preserve">ضربة تبولة </v>
      </c>
      <c r="J2227" s="184" t="str">
        <f>VLOOKUP(H2227, 'RM &amp; SF'!B:E, 4, 0)</f>
        <v>غم</v>
      </c>
      <c r="K2227" s="12">
        <v>190</v>
      </c>
      <c r="L2227" s="13">
        <f>VLOOKUP(H2227, 'RM &amp; SF'!B:H, 7, 0)</f>
        <v>1.9595000000000002E-4</v>
      </c>
      <c r="M2227" s="7">
        <f t="shared" si="114"/>
        <v>3.7230500000000007E-2</v>
      </c>
      <c r="N2227" s="4" t="s">
        <v>825</v>
      </c>
      <c r="O2227" s="4">
        <f>VLOOKUP(B2227, 'All Menu'!B:L, 6, 0)</f>
        <v>1.7241379310344829</v>
      </c>
      <c r="P2227" s="6">
        <f>VLOOKUP(B2227, 'All Menu'!B:L, 9, 0)</f>
        <v>0.19847362714776634</v>
      </c>
      <c r="Q2227" s="14">
        <f>VLOOKUP(B2227, 'All Menu'!B:M, 12, 0)</f>
        <v>0.88488529625429557</v>
      </c>
      <c r="R2227" s="173">
        <f t="shared" si="113"/>
        <v>0</v>
      </c>
    </row>
    <row r="2228" spans="1:18" ht="14" hidden="1">
      <c r="A2228" s="78" t="s">
        <v>2820</v>
      </c>
      <c r="B2228" s="220" t="s">
        <v>883</v>
      </c>
      <c r="C2228" s="185"/>
      <c r="D2228" s="103" t="str">
        <f>VLOOKUP(B2228, 'All Menu'!B:M, 4, 0)</f>
        <v>تبولة فردي</v>
      </c>
      <c r="E2228" s="30" t="str">
        <f>VLOOKUP(B2228, 'All Menu'!B:M, 2, 0)</f>
        <v>قسم المقبلات</v>
      </c>
      <c r="F2228" s="103" t="str">
        <f>VLOOKUP(B2228, 'All Menu'!B:M, 3, 0)</f>
        <v>سلطات سفري</v>
      </c>
      <c r="G2228" s="90" t="s">
        <v>2382</v>
      </c>
      <c r="H2228" s="219" t="s">
        <v>526</v>
      </c>
      <c r="I2228" s="110" t="str">
        <f>VLOOKUP(H2228, 'RM &amp; SF'!B:H, 2, 0)</f>
        <v>فنغريت صوص</v>
      </c>
      <c r="J2228" s="184" t="str">
        <f>VLOOKUP(H2228, 'RM &amp; SF'!B:E, 4, 0)</f>
        <v>غم</v>
      </c>
      <c r="K2228" s="12">
        <v>50</v>
      </c>
      <c r="L2228" s="13">
        <f>VLOOKUP(H2228, 'RM &amp; SF'!B:H, 7, 0)</f>
        <v>1.6448625429553263E-3</v>
      </c>
      <c r="M2228" s="7">
        <f t="shared" si="114"/>
        <v>8.2243127147766312E-2</v>
      </c>
      <c r="N2228" s="4" t="s">
        <v>825</v>
      </c>
      <c r="O2228" s="4">
        <f>VLOOKUP(B2228, 'All Menu'!B:L, 6, 0)</f>
        <v>1.7241379310344829</v>
      </c>
      <c r="P2228" s="6">
        <f>VLOOKUP(B2228, 'All Menu'!B:L, 9, 0)</f>
        <v>0.19847362714776634</v>
      </c>
      <c r="Q2228" s="14">
        <f>VLOOKUP(B2228, 'All Menu'!B:M, 12, 0)</f>
        <v>0.88488529625429557</v>
      </c>
      <c r="R2228" s="173">
        <f t="shared" si="113"/>
        <v>0</v>
      </c>
    </row>
    <row r="2229" spans="1:18" ht="14" hidden="1">
      <c r="A2229" s="78" t="s">
        <v>2820</v>
      </c>
      <c r="B2229" s="220" t="s">
        <v>883</v>
      </c>
      <c r="C2229" s="185"/>
      <c r="D2229" s="103" t="str">
        <f>VLOOKUP(B2229, 'All Menu'!B:M, 4, 0)</f>
        <v>تبولة فردي</v>
      </c>
      <c r="E2229" s="30" t="str">
        <f>VLOOKUP(B2229, 'All Menu'!B:M, 2, 0)</f>
        <v>قسم المقبلات</v>
      </c>
      <c r="F2229" s="103" t="str">
        <f>VLOOKUP(B2229, 'All Menu'!B:M, 3, 0)</f>
        <v>سلطات سفري</v>
      </c>
      <c r="G2229" s="90" t="s">
        <v>3058</v>
      </c>
      <c r="H2229" s="188">
        <v>4289</v>
      </c>
      <c r="I2229" s="110" t="str">
        <f>VLOOKUP(H2229, 'RM &amp; SF'!B:H, 2, 0)</f>
        <v>علب صوص دائري منفصل أسود 30 مل 1*100 حبة*****</v>
      </c>
      <c r="J2229" s="184" t="str">
        <f>VLOOKUP(H2229, 'RM &amp; SF'!B:E, 4, 0)</f>
        <v>قطعة</v>
      </c>
      <c r="K2229" s="12">
        <v>1</v>
      </c>
      <c r="L2229" s="13">
        <f>VLOOKUP(H2229, 'RM &amp; SF'!B:H, 7, 0)</f>
        <v>1.2E-2</v>
      </c>
      <c r="M2229" s="7">
        <f t="shared" si="114"/>
        <v>1.2E-2</v>
      </c>
      <c r="N2229" s="4" t="s">
        <v>825</v>
      </c>
      <c r="O2229" s="4">
        <f>VLOOKUP(B2229, 'All Menu'!B:L, 6, 0)</f>
        <v>1.7241379310344829</v>
      </c>
      <c r="P2229" s="6">
        <f>VLOOKUP(B2229, 'All Menu'!B:L, 9, 0)</f>
        <v>0.19847362714776634</v>
      </c>
      <c r="Q2229" s="14">
        <f>VLOOKUP(B2229, 'All Menu'!B:M, 12, 0)</f>
        <v>0.88488529625429557</v>
      </c>
      <c r="R2229" s="173">
        <f t="shared" si="113"/>
        <v>0</v>
      </c>
    </row>
    <row r="2230" spans="1:18" ht="14" hidden="1">
      <c r="A2230" s="78" t="s">
        <v>2820</v>
      </c>
      <c r="B2230" s="220" t="s">
        <v>883</v>
      </c>
      <c r="C2230" s="185"/>
      <c r="D2230" s="103" t="str">
        <f>VLOOKUP(B2230, 'All Menu'!B:M, 4, 0)</f>
        <v>تبولة فردي</v>
      </c>
      <c r="E2230" s="30" t="str">
        <f>VLOOKUP(B2230, 'All Menu'!B:M, 2, 0)</f>
        <v>قسم المقبلات</v>
      </c>
      <c r="F2230" s="103" t="str">
        <f>VLOOKUP(B2230, 'All Menu'!B:M, 3, 0)</f>
        <v>سلطات سفري</v>
      </c>
      <c r="G2230" s="90" t="s">
        <v>2307</v>
      </c>
      <c r="H2230" s="188">
        <v>4284</v>
      </c>
      <c r="I2230" s="110" t="str">
        <f>VLOOKUP(H2230, 'RM &amp; SF'!B:H, 2, 0)</f>
        <v>علب سلطة بلاستيك شفاف (كرستال) دائرية متصل 500 مل*****</v>
      </c>
      <c r="J2230" s="184" t="str">
        <f>VLOOKUP(H2230, 'RM &amp; SF'!B:E, 4, 0)</f>
        <v>قطعة</v>
      </c>
      <c r="K2230" s="12">
        <v>1</v>
      </c>
      <c r="L2230" s="13">
        <f>VLOOKUP(H2230, 'RM &amp; SF'!B:H, 7, 0)</f>
        <v>6.7000000000000004E-2</v>
      </c>
      <c r="M2230" s="7">
        <f t="shared" si="114"/>
        <v>6.7000000000000004E-2</v>
      </c>
      <c r="N2230" s="4" t="s">
        <v>825</v>
      </c>
      <c r="O2230" s="4">
        <f>VLOOKUP(B2230, 'All Menu'!B:L, 6, 0)</f>
        <v>1.7241379310344829</v>
      </c>
      <c r="P2230" s="6">
        <f>VLOOKUP(B2230, 'All Menu'!B:L, 9, 0)</f>
        <v>0.19847362714776634</v>
      </c>
      <c r="Q2230" s="14">
        <f>VLOOKUP(B2230, 'All Menu'!B:M, 12, 0)</f>
        <v>0.88488529625429557</v>
      </c>
      <c r="R2230" s="173">
        <f t="shared" si="113"/>
        <v>0</v>
      </c>
    </row>
    <row r="2231" spans="1:18" ht="14" hidden="1">
      <c r="A2231" s="78" t="s">
        <v>2834</v>
      </c>
      <c r="B2231" s="220" t="s">
        <v>884</v>
      </c>
      <c r="C2231" s="185"/>
      <c r="D2231" s="103" t="str">
        <f>VLOOKUP(B2231, 'All Menu'!B:M, 4, 0)</f>
        <v>سلطة جرجير فردي</v>
      </c>
      <c r="E2231" s="30" t="str">
        <f>VLOOKUP(B2231, 'All Menu'!B:M, 2, 0)</f>
        <v>قسم المقبلات</v>
      </c>
      <c r="F2231" s="103" t="str">
        <f>VLOOKUP(B2231, 'All Menu'!B:M, 3, 0)</f>
        <v>سلطات سفري</v>
      </c>
      <c r="G2231" s="90" t="s">
        <v>2252</v>
      </c>
      <c r="H2231" s="188">
        <v>4545</v>
      </c>
      <c r="I2231" s="110" t="str">
        <f>VLOOKUP(H2231, 'RM &amp; SF'!B:H, 2, 0)</f>
        <v>جرجير*****</v>
      </c>
      <c r="J2231" s="184" t="str">
        <f>VLOOKUP(H2231, 'RM &amp; SF'!B:E, 4, 0)</f>
        <v>غم</v>
      </c>
      <c r="K2231" s="12">
        <v>80</v>
      </c>
      <c r="L2231" s="13">
        <f>VLOOKUP(H2231, 'RM &amp; SF'!B:H, 7, 0)</f>
        <v>7.5000000000000002E-4</v>
      </c>
      <c r="M2231" s="7">
        <f t="shared" si="114"/>
        <v>0.06</v>
      </c>
      <c r="N2231" s="4" t="s">
        <v>825</v>
      </c>
      <c r="O2231" s="4">
        <f>VLOOKUP(B2231, 'All Menu'!B:L, 6, 0)</f>
        <v>1.5086206896551726</v>
      </c>
      <c r="P2231" s="6">
        <f>VLOOKUP(B2231, 'All Menu'!B:L, 9, 0)</f>
        <v>0.27673545612059258</v>
      </c>
      <c r="Q2231" s="14">
        <f>VLOOKUP(B2231, 'All Menu'!B:M, 12, 0)</f>
        <v>0.81656392622863583</v>
      </c>
      <c r="R2231" s="173">
        <f t="shared" si="113"/>
        <v>0</v>
      </c>
    </row>
    <row r="2232" spans="1:18" ht="14" hidden="1">
      <c r="A2232" s="78" t="s">
        <v>2834</v>
      </c>
      <c r="B2232" s="220" t="s">
        <v>884</v>
      </c>
      <c r="C2232" s="185"/>
      <c r="D2232" s="103" t="str">
        <f>VLOOKUP(B2232, 'All Menu'!B:M, 4, 0)</f>
        <v>سلطة جرجير فردي</v>
      </c>
      <c r="E2232" s="30" t="str">
        <f>VLOOKUP(B2232, 'All Menu'!B:M, 2, 0)</f>
        <v>قسم المقبلات</v>
      </c>
      <c r="F2232" s="103" t="str">
        <f>VLOOKUP(B2232, 'All Menu'!B:M, 3, 0)</f>
        <v>سلطات سفري</v>
      </c>
      <c r="G2232" s="90" t="s">
        <v>3058</v>
      </c>
      <c r="H2232" s="188">
        <v>4516</v>
      </c>
      <c r="I2232" s="110" t="str">
        <f>VLOOKUP(H2232, 'RM &amp; SF'!B:H, 2, 0)</f>
        <v>بندورة كرزية (بندورة شري)*****</v>
      </c>
      <c r="J2232" s="184" t="str">
        <f>VLOOKUP(H2232, 'RM &amp; SF'!B:E, 4, 0)</f>
        <v>غم</v>
      </c>
      <c r="K2232" s="12">
        <v>20</v>
      </c>
      <c r="L2232" s="13">
        <f>VLOOKUP(H2232, 'RM &amp; SF'!B:H, 7, 0)</f>
        <v>1.8749999999999999E-3</v>
      </c>
      <c r="M2232" s="7">
        <f t="shared" si="114"/>
        <v>3.7499999999999999E-2</v>
      </c>
      <c r="N2232" s="4" t="s">
        <v>825</v>
      </c>
      <c r="O2232" s="4">
        <f>VLOOKUP(B2232, 'All Menu'!B:L, 6, 0)</f>
        <v>1.5086206896551726</v>
      </c>
      <c r="P2232" s="6">
        <f>VLOOKUP(B2232, 'All Menu'!B:L, 9, 0)</f>
        <v>0.27673545612059258</v>
      </c>
      <c r="Q2232" s="14">
        <f>VLOOKUP(B2232, 'All Menu'!B:M, 12, 0)</f>
        <v>0.81656392622863583</v>
      </c>
      <c r="R2232" s="173">
        <f t="shared" si="113"/>
        <v>0</v>
      </c>
    </row>
    <row r="2233" spans="1:18" ht="14" hidden="1">
      <c r="A2233" s="78" t="s">
        <v>2834</v>
      </c>
      <c r="B2233" s="220" t="s">
        <v>884</v>
      </c>
      <c r="C2233" s="185"/>
      <c r="D2233" s="103" t="str">
        <f>VLOOKUP(B2233, 'All Menu'!B:M, 4, 0)</f>
        <v>سلطة جرجير فردي</v>
      </c>
      <c r="E2233" s="30" t="str">
        <f>VLOOKUP(B2233, 'All Menu'!B:M, 2, 0)</f>
        <v>قسم المقبلات</v>
      </c>
      <c r="F2233" s="103" t="str">
        <f>VLOOKUP(B2233, 'All Menu'!B:M, 3, 0)</f>
        <v>سلطات سفري</v>
      </c>
      <c r="G2233" s="90" t="s">
        <v>2271</v>
      </c>
      <c r="H2233" s="188">
        <v>4034</v>
      </c>
      <c r="I2233" s="110" t="str">
        <f>VLOOKUP(H2233, 'RM &amp; SF'!B:H, 2, 0)</f>
        <v>اناناس شرائح 565 غم*****</v>
      </c>
      <c r="J2233" s="184" t="str">
        <f>VLOOKUP(H2233, 'RM &amp; SF'!B:E, 4, 0)</f>
        <v>غم</v>
      </c>
      <c r="K2233" s="12">
        <v>30</v>
      </c>
      <c r="L2233" s="13">
        <f>VLOOKUP(H2233, 'RM &amp; SF'!B:H, 7, 0)</f>
        <v>1.5983193277310924E-3</v>
      </c>
      <c r="M2233" s="7">
        <f t="shared" si="114"/>
        <v>4.7949579831932772E-2</v>
      </c>
      <c r="N2233" s="4" t="s">
        <v>825</v>
      </c>
      <c r="O2233" s="4">
        <f>VLOOKUP(B2233, 'All Menu'!B:L, 6, 0)</f>
        <v>1.5086206896551726</v>
      </c>
      <c r="P2233" s="6">
        <f>VLOOKUP(B2233, 'All Menu'!B:L, 9, 0)</f>
        <v>0.27673545612059258</v>
      </c>
      <c r="Q2233" s="14">
        <f>VLOOKUP(B2233, 'All Menu'!B:M, 12, 0)</f>
        <v>0.81656392622863583</v>
      </c>
      <c r="R2233" s="173">
        <f t="shared" si="113"/>
        <v>0</v>
      </c>
    </row>
    <row r="2234" spans="1:18" ht="14" hidden="1">
      <c r="A2234" s="78" t="s">
        <v>2834</v>
      </c>
      <c r="B2234" s="220" t="s">
        <v>884</v>
      </c>
      <c r="C2234" s="185"/>
      <c r="D2234" s="103" t="str">
        <f>VLOOKUP(B2234, 'All Menu'!B:M, 4, 0)</f>
        <v>سلطة جرجير فردي</v>
      </c>
      <c r="E2234" s="30" t="str">
        <f>VLOOKUP(B2234, 'All Menu'!B:M, 2, 0)</f>
        <v>قسم المقبلات</v>
      </c>
      <c r="F2234" s="103" t="str">
        <f>VLOOKUP(B2234, 'All Menu'!B:M, 3, 0)</f>
        <v>سلطات سفري</v>
      </c>
      <c r="G2234" s="90" t="s">
        <v>2382</v>
      </c>
      <c r="H2234" s="219" t="s">
        <v>526</v>
      </c>
      <c r="I2234" s="110" t="str">
        <f>VLOOKUP(H2234, 'RM &amp; SF'!B:H, 2, 0)</f>
        <v>فنغريت صوص</v>
      </c>
      <c r="J2234" s="184" t="str">
        <f>VLOOKUP(H2234, 'RM &amp; SF'!B:E, 4, 0)</f>
        <v>غم</v>
      </c>
      <c r="K2234" s="12">
        <v>30</v>
      </c>
      <c r="L2234" s="13">
        <f>VLOOKUP(H2234, 'RM &amp; SF'!B:H, 7, 0)</f>
        <v>1.6448625429553263E-3</v>
      </c>
      <c r="M2234" s="7">
        <f t="shared" si="114"/>
        <v>4.9345876288659787E-2</v>
      </c>
      <c r="N2234" s="4" t="s">
        <v>825</v>
      </c>
      <c r="O2234" s="4">
        <f>VLOOKUP(B2234, 'All Menu'!B:L, 6, 0)</f>
        <v>1.5086206896551726</v>
      </c>
      <c r="P2234" s="6">
        <f>VLOOKUP(B2234, 'All Menu'!B:L, 9, 0)</f>
        <v>0.27673545612059258</v>
      </c>
      <c r="Q2234" s="14">
        <f>VLOOKUP(B2234, 'All Menu'!B:M, 12, 0)</f>
        <v>0.81656392622863583</v>
      </c>
      <c r="R2234" s="173">
        <f t="shared" si="113"/>
        <v>0</v>
      </c>
    </row>
    <row r="2235" spans="1:18" ht="14" hidden="1">
      <c r="A2235" s="78" t="s">
        <v>2834</v>
      </c>
      <c r="B2235" s="220" t="s">
        <v>884</v>
      </c>
      <c r="C2235" s="185"/>
      <c r="D2235" s="103" t="str">
        <f>VLOOKUP(B2235, 'All Menu'!B:M, 4, 0)</f>
        <v>سلطة جرجير فردي</v>
      </c>
      <c r="E2235" s="30" t="str">
        <f>VLOOKUP(B2235, 'All Menu'!B:M, 2, 0)</f>
        <v>قسم المقبلات</v>
      </c>
      <c r="F2235" s="103" t="str">
        <f>VLOOKUP(B2235, 'All Menu'!B:M, 3, 0)</f>
        <v>سلطات سفري</v>
      </c>
      <c r="G2235" s="90" t="s">
        <v>3058</v>
      </c>
      <c r="H2235" s="188">
        <v>4285</v>
      </c>
      <c r="I2235" s="110" t="str">
        <f>VLOOKUP(H2235, 'RM &amp; SF'!B:H, 2, 0)</f>
        <v>علب بلاستيك مربع متصل 150 مل*****</v>
      </c>
      <c r="J2235" s="184" t="str">
        <f>VLOOKUP(H2235, 'RM &amp; SF'!B:E, 4, 0)</f>
        <v>قطعة</v>
      </c>
      <c r="K2235" s="12">
        <v>1</v>
      </c>
      <c r="L2235" s="13">
        <f>VLOOKUP(H2235, 'RM &amp; SF'!B:H, 7, 0)</f>
        <v>1.494E-2</v>
      </c>
      <c r="M2235" s="7">
        <f t="shared" si="114"/>
        <v>1.494E-2</v>
      </c>
      <c r="N2235" s="4" t="s">
        <v>825</v>
      </c>
      <c r="O2235" s="4">
        <f>VLOOKUP(B2235, 'All Menu'!B:L, 6, 0)</f>
        <v>1.5086206896551726</v>
      </c>
      <c r="P2235" s="6">
        <f>VLOOKUP(B2235, 'All Menu'!B:L, 9, 0)</f>
        <v>0.27673545612059258</v>
      </c>
      <c r="Q2235" s="14">
        <f>VLOOKUP(B2235, 'All Menu'!B:M, 12, 0)</f>
        <v>0.81656392622863583</v>
      </c>
      <c r="R2235" s="173">
        <f t="shared" si="113"/>
        <v>0</v>
      </c>
    </row>
    <row r="2236" spans="1:18" ht="14" hidden="1">
      <c r="A2236" s="78" t="s">
        <v>2834</v>
      </c>
      <c r="B2236" s="220" t="s">
        <v>884</v>
      </c>
      <c r="C2236" s="185"/>
      <c r="D2236" s="103" t="str">
        <f>VLOOKUP(B2236, 'All Menu'!B:M, 4, 0)</f>
        <v>سلطة جرجير فردي</v>
      </c>
      <c r="E2236" s="30" t="str">
        <f>VLOOKUP(B2236, 'All Menu'!B:M, 2, 0)</f>
        <v>قسم المقبلات</v>
      </c>
      <c r="F2236" s="103" t="str">
        <f>VLOOKUP(B2236, 'All Menu'!B:M, 3, 0)</f>
        <v>سلطات سفري</v>
      </c>
      <c r="G2236" s="90" t="s">
        <v>2307</v>
      </c>
      <c r="H2236" s="188">
        <v>4284</v>
      </c>
      <c r="I2236" s="110" t="str">
        <f>VLOOKUP(H2236, 'RM &amp; SF'!B:H, 2, 0)</f>
        <v>علب سلطة بلاستيك شفاف (كرستال) دائرية متصل 500 مل*****</v>
      </c>
      <c r="J2236" s="184" t="str">
        <f>VLOOKUP(H2236, 'RM &amp; SF'!B:E, 4, 0)</f>
        <v>قطعة</v>
      </c>
      <c r="K2236" s="12">
        <v>1</v>
      </c>
      <c r="L2236" s="13">
        <f>VLOOKUP(H2236, 'RM &amp; SF'!B:H, 7, 0)</f>
        <v>6.7000000000000004E-2</v>
      </c>
      <c r="M2236" s="7">
        <f t="shared" si="114"/>
        <v>6.7000000000000004E-2</v>
      </c>
      <c r="N2236" s="4" t="s">
        <v>825</v>
      </c>
      <c r="O2236" s="4">
        <f>VLOOKUP(B2236, 'All Menu'!B:L, 6, 0)</f>
        <v>1.5086206896551726</v>
      </c>
      <c r="P2236" s="6">
        <f>VLOOKUP(B2236, 'All Menu'!B:L, 9, 0)</f>
        <v>0.27673545612059258</v>
      </c>
      <c r="Q2236" s="14">
        <f>VLOOKUP(B2236, 'All Menu'!B:M, 12, 0)</f>
        <v>0.81656392622863583</v>
      </c>
      <c r="R2236" s="173">
        <f t="shared" si="113"/>
        <v>0</v>
      </c>
    </row>
    <row r="2237" spans="1:18" ht="14" hidden="1">
      <c r="A2237" s="78" t="s">
        <v>2830</v>
      </c>
      <c r="B2237" s="220" t="s">
        <v>885</v>
      </c>
      <c r="C2237" s="185"/>
      <c r="D2237" s="103" t="str">
        <f>VLOOKUP(B2237, 'All Menu'!B:M, 4, 0)</f>
        <v>سلطة عربية فردي</v>
      </c>
      <c r="E2237" s="30" t="str">
        <f>VLOOKUP(B2237, 'All Menu'!B:M, 2, 0)</f>
        <v>قسم المقبلات</v>
      </c>
      <c r="F2237" s="103" t="str">
        <f>VLOOKUP(B2237, 'All Menu'!B:M, 3, 0)</f>
        <v>سلطات سفري</v>
      </c>
      <c r="G2237" s="90" t="s">
        <v>2442</v>
      </c>
      <c r="H2237" s="219" t="s">
        <v>660</v>
      </c>
      <c r="I2237" s="110" t="str">
        <f>VLOOKUP(H2237, 'RM &amp; SF'!B:H, 2, 0)</f>
        <v xml:space="preserve">ضربة عربية </v>
      </c>
      <c r="J2237" s="184" t="str">
        <f>VLOOKUP(H2237, 'RM &amp; SF'!B:E, 4, 0)</f>
        <v>غم</v>
      </c>
      <c r="K2237" s="12">
        <v>200</v>
      </c>
      <c r="L2237" s="13">
        <f>VLOOKUP(H2237, 'RM &amp; SF'!B:H, 7, 0)</f>
        <v>6.3000000000000003E-4</v>
      </c>
      <c r="M2237" s="7">
        <f t="shared" si="114"/>
        <v>0.126</v>
      </c>
      <c r="N2237" s="4" t="s">
        <v>825</v>
      </c>
      <c r="O2237" s="4">
        <f>VLOOKUP(B2237, 'All Menu'!B:L, 6, 0)</f>
        <v>1.2931034482758621</v>
      </c>
      <c r="P2237" s="6">
        <f>VLOOKUP(B2237, 'All Menu'!B:L, 9, 0)</f>
        <v>0.24234587628865978</v>
      </c>
      <c r="Q2237" s="14">
        <f>VLOOKUP(B2237, 'All Menu'!B:M, 12, 0)</f>
        <v>0.81258585567010322</v>
      </c>
      <c r="R2237" s="173">
        <f t="shared" si="113"/>
        <v>0</v>
      </c>
    </row>
    <row r="2238" spans="1:18" ht="14" hidden="1">
      <c r="A2238" s="78" t="s">
        <v>2830</v>
      </c>
      <c r="B2238" s="220" t="s">
        <v>885</v>
      </c>
      <c r="C2238" s="185"/>
      <c r="D2238" s="103" t="str">
        <f>VLOOKUP(B2238, 'All Menu'!B:M, 4, 0)</f>
        <v>سلطة عربية فردي</v>
      </c>
      <c r="E2238" s="30" t="str">
        <f>VLOOKUP(B2238, 'All Menu'!B:M, 2, 0)</f>
        <v>قسم المقبلات</v>
      </c>
      <c r="F2238" s="103" t="str">
        <f>VLOOKUP(B2238, 'All Menu'!B:M, 3, 0)</f>
        <v>سلطات سفري</v>
      </c>
      <c r="G2238" s="90" t="s">
        <v>2382</v>
      </c>
      <c r="H2238" s="219" t="s">
        <v>526</v>
      </c>
      <c r="I2238" s="110" t="str">
        <f>VLOOKUP(H2238, 'RM &amp; SF'!B:H, 2, 0)</f>
        <v>فنغريت صوص</v>
      </c>
      <c r="J2238" s="184" t="str">
        <f>VLOOKUP(H2238, 'RM &amp; SF'!B:E, 4, 0)</f>
        <v>غم</v>
      </c>
      <c r="K2238" s="12">
        <v>30</v>
      </c>
      <c r="L2238" s="13">
        <f>VLOOKUP(H2238, 'RM &amp; SF'!B:H, 7, 0)</f>
        <v>1.6448625429553263E-3</v>
      </c>
      <c r="M2238" s="7">
        <f t="shared" si="114"/>
        <v>4.9345876288659787E-2</v>
      </c>
      <c r="N2238" s="4" t="s">
        <v>825</v>
      </c>
      <c r="O2238" s="4">
        <f>VLOOKUP(B2238, 'All Menu'!B:L, 6, 0)</f>
        <v>1.2931034482758621</v>
      </c>
      <c r="P2238" s="6">
        <f>VLOOKUP(B2238, 'All Menu'!B:L, 9, 0)</f>
        <v>0.24234587628865978</v>
      </c>
      <c r="Q2238" s="14">
        <f>VLOOKUP(B2238, 'All Menu'!B:M, 12, 0)</f>
        <v>0.81258585567010322</v>
      </c>
      <c r="R2238" s="173">
        <f t="shared" si="113"/>
        <v>0</v>
      </c>
    </row>
    <row r="2239" spans="1:18" ht="14" hidden="1">
      <c r="A2239" s="78" t="s">
        <v>2830</v>
      </c>
      <c r="B2239" s="220" t="s">
        <v>885</v>
      </c>
      <c r="C2239" s="185"/>
      <c r="D2239" s="103" t="str">
        <f>VLOOKUP(B2239, 'All Menu'!B:M, 4, 0)</f>
        <v>سلطة عربية فردي</v>
      </c>
      <c r="E2239" s="30" t="str">
        <f>VLOOKUP(B2239, 'All Menu'!B:M, 2, 0)</f>
        <v>قسم المقبلات</v>
      </c>
      <c r="F2239" s="103" t="str">
        <f>VLOOKUP(B2239, 'All Menu'!B:M, 3, 0)</f>
        <v>سلطات سفري</v>
      </c>
      <c r="G2239" s="90" t="s">
        <v>2307</v>
      </c>
      <c r="H2239" s="188">
        <v>4284</v>
      </c>
      <c r="I2239" s="110" t="str">
        <f>VLOOKUP(H2239, 'RM &amp; SF'!B:H, 2, 0)</f>
        <v>علب سلطة بلاستيك شفاف (كرستال) دائرية متصل 500 مل*****</v>
      </c>
      <c r="J2239" s="184" t="str">
        <f>VLOOKUP(H2239, 'RM &amp; SF'!B:E, 4, 0)</f>
        <v>قطعة</v>
      </c>
      <c r="K2239" s="12">
        <v>1</v>
      </c>
      <c r="L2239" s="13">
        <f>VLOOKUP(H2239, 'RM &amp; SF'!B:H, 7, 0)</f>
        <v>6.7000000000000004E-2</v>
      </c>
      <c r="M2239" s="7">
        <f t="shared" si="114"/>
        <v>6.7000000000000004E-2</v>
      </c>
      <c r="N2239" s="4" t="s">
        <v>825</v>
      </c>
      <c r="O2239" s="4">
        <f>VLOOKUP(B2239, 'All Menu'!B:L, 6, 0)</f>
        <v>1.2931034482758621</v>
      </c>
      <c r="P2239" s="6">
        <f>VLOOKUP(B2239, 'All Menu'!B:L, 9, 0)</f>
        <v>0.24234587628865978</v>
      </c>
      <c r="Q2239" s="14">
        <f>VLOOKUP(B2239, 'All Menu'!B:M, 12, 0)</f>
        <v>0.81258585567010322</v>
      </c>
      <c r="R2239" s="173">
        <f t="shared" si="113"/>
        <v>0</v>
      </c>
    </row>
    <row r="2240" spans="1:18" ht="14" hidden="1">
      <c r="A2240" s="78" t="s">
        <v>2822</v>
      </c>
      <c r="B2240" s="220" t="s">
        <v>886</v>
      </c>
      <c r="C2240" s="185"/>
      <c r="D2240" s="103" t="str">
        <f>VLOOKUP(B2240, 'All Menu'!B:M, 4, 0)</f>
        <v>فتوش فردي</v>
      </c>
      <c r="E2240" s="30" t="str">
        <f>VLOOKUP(B2240, 'All Menu'!B:M, 2, 0)</f>
        <v>قسم المقبلات</v>
      </c>
      <c r="F2240" s="103" t="str">
        <f>VLOOKUP(B2240, 'All Menu'!B:M, 3, 0)</f>
        <v>سلطات سفري</v>
      </c>
      <c r="G2240" s="90" t="s">
        <v>2309</v>
      </c>
      <c r="H2240" s="188">
        <v>4491</v>
      </c>
      <c r="I2240" s="110" t="str">
        <f>VLOOKUP(H2240, 'RM &amp; SF'!B:H, 2, 0)</f>
        <v>بندورة جامدة*****</v>
      </c>
      <c r="J2240" s="184" t="str">
        <f>VLOOKUP(H2240, 'RM &amp; SF'!B:E, 4, 0)</f>
        <v>غم</v>
      </c>
      <c r="K2240" s="12">
        <v>100</v>
      </c>
      <c r="L2240" s="13">
        <f>VLOOKUP(H2240, 'RM &amp; SF'!B:H, 7, 0)</f>
        <v>5.0000000000000001E-4</v>
      </c>
      <c r="M2240" s="7">
        <f t="shared" si="114"/>
        <v>0.05</v>
      </c>
      <c r="N2240" s="4" t="s">
        <v>825</v>
      </c>
      <c r="O2240" s="4">
        <f>VLOOKUP(B2240, 'All Menu'!B:L, 6, 0)</f>
        <v>1.7241379310344829</v>
      </c>
      <c r="P2240" s="6">
        <f>VLOOKUP(B2240, 'All Menu'!B:L, 9, 0)</f>
        <v>0.30728885714285714</v>
      </c>
      <c r="Q2240" s="14">
        <f>VLOOKUP(B2240, 'All Menu'!B:M, 12, 0)</f>
        <v>0.82177246285714289</v>
      </c>
      <c r="R2240" s="173">
        <f t="shared" si="113"/>
        <v>0</v>
      </c>
    </row>
    <row r="2241" spans="1:18" ht="14" hidden="1">
      <c r="A2241" s="78" t="s">
        <v>2822</v>
      </c>
      <c r="B2241" s="220" t="s">
        <v>886</v>
      </c>
      <c r="C2241" s="185"/>
      <c r="D2241" s="103" t="str">
        <f>VLOOKUP(B2241, 'All Menu'!B:M, 4, 0)</f>
        <v>فتوش فردي</v>
      </c>
      <c r="E2241" s="30" t="str">
        <f>VLOOKUP(B2241, 'All Menu'!B:M, 2, 0)</f>
        <v>قسم المقبلات</v>
      </c>
      <c r="F2241" s="103" t="str">
        <f>VLOOKUP(B2241, 'All Menu'!B:M, 3, 0)</f>
        <v>سلطات سفري</v>
      </c>
      <c r="G2241" s="90" t="s">
        <v>2228</v>
      </c>
      <c r="H2241" s="188">
        <v>4493</v>
      </c>
      <c r="I2241" s="110" t="str">
        <f>VLOOKUP(H2241, 'RM &amp; SF'!B:H, 2, 0)</f>
        <v>خيار*****</v>
      </c>
      <c r="J2241" s="184" t="str">
        <f>VLOOKUP(H2241, 'RM &amp; SF'!B:E, 4, 0)</f>
        <v>غم</v>
      </c>
      <c r="K2241" s="12">
        <v>90</v>
      </c>
      <c r="L2241" s="13">
        <f>VLOOKUP(H2241, 'RM &amp; SF'!B:H, 7, 0)</f>
        <v>4.0000000000000002E-4</v>
      </c>
      <c r="M2241" s="7">
        <f t="shared" si="114"/>
        <v>3.6000000000000004E-2</v>
      </c>
      <c r="N2241" s="4" t="s">
        <v>825</v>
      </c>
      <c r="O2241" s="4">
        <f>VLOOKUP(B2241, 'All Menu'!B:L, 6, 0)</f>
        <v>1.7241379310344829</v>
      </c>
      <c r="P2241" s="6">
        <f>VLOOKUP(B2241, 'All Menu'!B:L, 9, 0)</f>
        <v>0.30728885714285714</v>
      </c>
      <c r="Q2241" s="14">
        <f>VLOOKUP(B2241, 'All Menu'!B:M, 12, 0)</f>
        <v>0.82177246285714289</v>
      </c>
      <c r="R2241" s="173">
        <f t="shared" si="113"/>
        <v>0</v>
      </c>
    </row>
    <row r="2242" spans="1:18" ht="14" hidden="1">
      <c r="A2242" s="78" t="s">
        <v>2822</v>
      </c>
      <c r="B2242" s="220" t="s">
        <v>886</v>
      </c>
      <c r="C2242" s="185"/>
      <c r="D2242" s="103" t="str">
        <f>VLOOKUP(B2242, 'All Menu'!B:M, 4, 0)</f>
        <v>فتوش فردي</v>
      </c>
      <c r="E2242" s="30" t="str">
        <f>VLOOKUP(B2242, 'All Menu'!B:M, 2, 0)</f>
        <v>قسم المقبلات</v>
      </c>
      <c r="F2242" s="103" t="str">
        <f>VLOOKUP(B2242, 'All Menu'!B:M, 3, 0)</f>
        <v>سلطات سفري</v>
      </c>
      <c r="G2242" s="90" t="s">
        <v>2233</v>
      </c>
      <c r="H2242" s="188">
        <v>4501</v>
      </c>
      <c r="I2242" s="110" t="str">
        <f>VLOOKUP(H2242, 'RM &amp; SF'!B:H, 2, 0)</f>
        <v>فلفل حلو احمر*****</v>
      </c>
      <c r="J2242" s="184" t="str">
        <f>VLOOKUP(H2242, 'RM &amp; SF'!B:E, 4, 0)</f>
        <v>غم</v>
      </c>
      <c r="K2242" s="12">
        <v>10</v>
      </c>
      <c r="L2242" s="13">
        <f>VLOOKUP(H2242, 'RM &amp; SF'!B:H, 7, 0)</f>
        <v>7.5000000000000002E-4</v>
      </c>
      <c r="M2242" s="7">
        <f t="shared" si="114"/>
        <v>7.4999999999999997E-3</v>
      </c>
      <c r="N2242" s="4" t="s">
        <v>825</v>
      </c>
      <c r="O2242" s="4">
        <f>VLOOKUP(B2242, 'All Menu'!B:L, 6, 0)</f>
        <v>1.7241379310344829</v>
      </c>
      <c r="P2242" s="6">
        <f>VLOOKUP(B2242, 'All Menu'!B:L, 9, 0)</f>
        <v>0.30728885714285714</v>
      </c>
      <c r="Q2242" s="14">
        <f>VLOOKUP(B2242, 'All Menu'!B:M, 12, 0)</f>
        <v>0.82177246285714289</v>
      </c>
      <c r="R2242" s="173">
        <f t="shared" si="113"/>
        <v>0</v>
      </c>
    </row>
    <row r="2243" spans="1:18" ht="14" hidden="1">
      <c r="A2243" s="78" t="s">
        <v>2822</v>
      </c>
      <c r="B2243" s="220" t="s">
        <v>886</v>
      </c>
      <c r="C2243" s="185"/>
      <c r="D2243" s="103" t="str">
        <f>VLOOKUP(B2243, 'All Menu'!B:M, 4, 0)</f>
        <v>فتوش فردي</v>
      </c>
      <c r="E2243" s="30" t="str">
        <f>VLOOKUP(B2243, 'All Menu'!B:M, 2, 0)</f>
        <v>قسم المقبلات</v>
      </c>
      <c r="F2243" s="103" t="str">
        <f>VLOOKUP(B2243, 'All Menu'!B:M, 3, 0)</f>
        <v>سلطات سفري</v>
      </c>
      <c r="G2243" s="90" t="s">
        <v>2254</v>
      </c>
      <c r="H2243" s="188">
        <v>4548</v>
      </c>
      <c r="I2243" s="110" t="str">
        <f>VLOOKUP(H2243, 'RM &amp; SF'!B:H, 2, 0)</f>
        <v>بقلة*****</v>
      </c>
      <c r="J2243" s="184" t="str">
        <f>VLOOKUP(H2243, 'RM &amp; SF'!B:E, 4, 0)</f>
        <v>غم</v>
      </c>
      <c r="K2243" s="29">
        <v>0.01</v>
      </c>
      <c r="L2243" s="13">
        <f>VLOOKUP(H2243, 'RM &amp; SF'!B:H, 7, 0)</f>
        <v>7.5000000000000002E-4</v>
      </c>
      <c r="M2243" s="7">
        <f t="shared" si="114"/>
        <v>7.5000000000000002E-6</v>
      </c>
      <c r="N2243" s="4" t="s">
        <v>825</v>
      </c>
      <c r="O2243" s="4">
        <f>VLOOKUP(B2243, 'All Menu'!B:L, 6, 0)</f>
        <v>1.7241379310344829</v>
      </c>
      <c r="P2243" s="6">
        <f>VLOOKUP(B2243, 'All Menu'!B:L, 9, 0)</f>
        <v>0.30728885714285714</v>
      </c>
      <c r="Q2243" s="14">
        <f>VLOOKUP(B2243, 'All Menu'!B:M, 12, 0)</f>
        <v>0.82177246285714289</v>
      </c>
      <c r="R2243" s="173">
        <f t="shared" si="113"/>
        <v>0</v>
      </c>
    </row>
    <row r="2244" spans="1:18" ht="14" hidden="1">
      <c r="A2244" s="78" t="s">
        <v>2822</v>
      </c>
      <c r="B2244" s="220" t="s">
        <v>886</v>
      </c>
      <c r="C2244" s="185"/>
      <c r="D2244" s="103" t="str">
        <f>VLOOKUP(B2244, 'All Menu'!B:M, 4, 0)</f>
        <v>فتوش فردي</v>
      </c>
      <c r="E2244" s="30" t="str">
        <f>VLOOKUP(B2244, 'All Menu'!B:M, 2, 0)</f>
        <v>قسم المقبلات</v>
      </c>
      <c r="F2244" s="103" t="str">
        <f>VLOOKUP(B2244, 'All Menu'!B:M, 3, 0)</f>
        <v>سلطات سفري</v>
      </c>
      <c r="G2244" s="90" t="s">
        <v>2251</v>
      </c>
      <c r="H2244" s="188">
        <v>4544</v>
      </c>
      <c r="I2244" s="110" t="str">
        <f>VLOOKUP(H2244, 'RM &amp; SF'!B:H, 2, 0)</f>
        <v>بقدونس*****</v>
      </c>
      <c r="J2244" s="184" t="str">
        <f>VLOOKUP(H2244, 'RM &amp; SF'!B:E, 4, 0)</f>
        <v>غم</v>
      </c>
      <c r="K2244" s="12">
        <v>20</v>
      </c>
      <c r="L2244" s="13">
        <f>VLOOKUP(H2244, 'RM &amp; SF'!B:H, 7, 0)</f>
        <v>7.5000000000000002E-4</v>
      </c>
      <c r="M2244" s="7">
        <f t="shared" si="114"/>
        <v>1.4999999999999999E-2</v>
      </c>
      <c r="N2244" s="4" t="s">
        <v>825</v>
      </c>
      <c r="O2244" s="4">
        <f>VLOOKUP(B2244, 'All Menu'!B:L, 6, 0)</f>
        <v>1.7241379310344829</v>
      </c>
      <c r="P2244" s="6">
        <f>VLOOKUP(B2244, 'All Menu'!B:L, 9, 0)</f>
        <v>0.30728885714285714</v>
      </c>
      <c r="Q2244" s="14">
        <f>VLOOKUP(B2244, 'All Menu'!B:M, 12, 0)</f>
        <v>0.82177246285714289</v>
      </c>
      <c r="R2244" s="173">
        <f t="shared" si="113"/>
        <v>0</v>
      </c>
    </row>
    <row r="2245" spans="1:18" ht="14" hidden="1">
      <c r="A2245" s="78" t="s">
        <v>2822</v>
      </c>
      <c r="B2245" s="220" t="s">
        <v>886</v>
      </c>
      <c r="C2245" s="185"/>
      <c r="D2245" s="103" t="str">
        <f>VLOOKUP(B2245, 'All Menu'!B:M, 4, 0)</f>
        <v>فتوش فردي</v>
      </c>
      <c r="E2245" s="30" t="str">
        <f>VLOOKUP(B2245, 'All Menu'!B:M, 2, 0)</f>
        <v>قسم المقبلات</v>
      </c>
      <c r="F2245" s="103" t="str">
        <f>VLOOKUP(B2245, 'All Menu'!B:M, 3, 0)</f>
        <v>سلطات سفري</v>
      </c>
      <c r="G2245" s="90" t="s">
        <v>2253</v>
      </c>
      <c r="H2245" s="188">
        <v>4547</v>
      </c>
      <c r="I2245" s="110" t="str">
        <f>VLOOKUP(H2245, 'RM &amp; SF'!B:H, 2, 0)</f>
        <v>نعنع*****</v>
      </c>
      <c r="J2245" s="184" t="str">
        <f>VLOOKUP(H2245, 'RM &amp; SF'!B:E, 4, 0)</f>
        <v>غم</v>
      </c>
      <c r="K2245" s="12">
        <v>0.02</v>
      </c>
      <c r="L2245" s="13">
        <f>VLOOKUP(H2245, 'RM &amp; SF'!B:H, 7, 0)</f>
        <v>7.5000000000000002E-4</v>
      </c>
      <c r="M2245" s="7">
        <f t="shared" si="114"/>
        <v>1.5E-5</v>
      </c>
      <c r="N2245" s="4" t="s">
        <v>825</v>
      </c>
      <c r="O2245" s="4">
        <f>VLOOKUP(B2245, 'All Menu'!B:L, 6, 0)</f>
        <v>1.7241379310344829</v>
      </c>
      <c r="P2245" s="6">
        <f>VLOOKUP(B2245, 'All Menu'!B:L, 9, 0)</f>
        <v>0.30728885714285714</v>
      </c>
      <c r="Q2245" s="14">
        <f>VLOOKUP(B2245, 'All Menu'!B:M, 12, 0)</f>
        <v>0.82177246285714289</v>
      </c>
      <c r="R2245" s="173">
        <f t="shared" si="113"/>
        <v>0</v>
      </c>
    </row>
    <row r="2246" spans="1:18" ht="14" hidden="1">
      <c r="A2246" s="78" t="s">
        <v>2822</v>
      </c>
      <c r="B2246" s="220" t="s">
        <v>886</v>
      </c>
      <c r="C2246" s="185"/>
      <c r="D2246" s="103" t="str">
        <f>VLOOKUP(B2246, 'All Menu'!B:M, 4, 0)</f>
        <v>فتوش فردي</v>
      </c>
      <c r="E2246" s="30" t="str">
        <f>VLOOKUP(B2246, 'All Menu'!B:M, 2, 0)</f>
        <v>قسم المقبلات</v>
      </c>
      <c r="F2246" s="103" t="str">
        <f>VLOOKUP(B2246, 'All Menu'!B:M, 3, 0)</f>
        <v>سلطات سفري</v>
      </c>
      <c r="G2246" s="90" t="s">
        <v>2439</v>
      </c>
      <c r="H2246" s="219" t="s">
        <v>654</v>
      </c>
      <c r="I2246" s="110" t="str">
        <f>VLOOKUP(H2246, 'RM &amp; SF'!B:H, 2, 0)</f>
        <v xml:space="preserve">صوص فتوش </v>
      </c>
      <c r="J2246" s="184" t="str">
        <f>VLOOKUP(H2246, 'RM &amp; SF'!B:E, 4, 0)</f>
        <v>غم</v>
      </c>
      <c r="K2246" s="12">
        <v>30</v>
      </c>
      <c r="L2246" s="13">
        <f>VLOOKUP(H2246, 'RM &amp; SF'!B:H, 7, 0)</f>
        <v>2.4714499999999996E-3</v>
      </c>
      <c r="M2246" s="7">
        <f t="shared" si="114"/>
        <v>7.4143499999999987E-2</v>
      </c>
      <c r="N2246" s="4" t="s">
        <v>825</v>
      </c>
      <c r="O2246" s="4">
        <f>VLOOKUP(B2246, 'All Menu'!B:L, 6, 0)</f>
        <v>1.7241379310344829</v>
      </c>
      <c r="P2246" s="6">
        <f>VLOOKUP(B2246, 'All Menu'!B:L, 9, 0)</f>
        <v>0.30728885714285714</v>
      </c>
      <c r="Q2246" s="14">
        <f>VLOOKUP(B2246, 'All Menu'!B:M, 12, 0)</f>
        <v>0.82177246285714289</v>
      </c>
      <c r="R2246" s="173">
        <f t="shared" si="113"/>
        <v>0</v>
      </c>
    </row>
    <row r="2247" spans="1:18" ht="14" hidden="1">
      <c r="A2247" s="78" t="s">
        <v>2822</v>
      </c>
      <c r="B2247" s="220" t="s">
        <v>886</v>
      </c>
      <c r="C2247" s="185"/>
      <c r="D2247" s="103" t="str">
        <f>VLOOKUP(B2247, 'All Menu'!B:M, 4, 0)</f>
        <v>فتوش فردي</v>
      </c>
      <c r="E2247" s="30" t="str">
        <f>VLOOKUP(B2247, 'All Menu'!B:M, 2, 0)</f>
        <v>قسم المقبلات</v>
      </c>
      <c r="F2247" s="103" t="str">
        <f>VLOOKUP(B2247, 'All Menu'!B:M, 3, 0)</f>
        <v>سلطات سفري</v>
      </c>
      <c r="G2247" s="90" t="s">
        <v>3058</v>
      </c>
      <c r="H2247" s="188">
        <v>4285</v>
      </c>
      <c r="I2247" s="110" t="str">
        <f>VLOOKUP(H2247, 'RM &amp; SF'!B:H, 2, 0)</f>
        <v>علب بلاستيك مربع متصل 150 مل*****</v>
      </c>
      <c r="J2247" s="184" t="str">
        <f>VLOOKUP(H2247, 'RM &amp; SF'!B:E, 4, 0)</f>
        <v>قطعة</v>
      </c>
      <c r="K2247" s="12">
        <v>1</v>
      </c>
      <c r="L2247" s="13">
        <f>VLOOKUP(H2247, 'RM &amp; SF'!B:H, 7, 0)</f>
        <v>1.494E-2</v>
      </c>
      <c r="M2247" s="7">
        <f t="shared" si="114"/>
        <v>1.494E-2</v>
      </c>
      <c r="N2247" s="4" t="s">
        <v>825</v>
      </c>
      <c r="O2247" s="4">
        <f>VLOOKUP(B2247, 'All Menu'!B:L, 6, 0)</f>
        <v>1.7241379310344829</v>
      </c>
      <c r="P2247" s="6">
        <f>VLOOKUP(B2247, 'All Menu'!B:L, 9, 0)</f>
        <v>0.30728885714285714</v>
      </c>
      <c r="Q2247" s="14">
        <f>VLOOKUP(B2247, 'All Menu'!B:M, 12, 0)</f>
        <v>0.82177246285714289</v>
      </c>
      <c r="R2247" s="173">
        <f t="shared" si="113"/>
        <v>0</v>
      </c>
    </row>
    <row r="2248" spans="1:18" ht="14" hidden="1">
      <c r="A2248" s="78" t="s">
        <v>2822</v>
      </c>
      <c r="B2248" s="220" t="s">
        <v>886</v>
      </c>
      <c r="C2248" s="185"/>
      <c r="D2248" s="103" t="str">
        <f>VLOOKUP(B2248, 'All Menu'!B:M, 4, 0)</f>
        <v>فتوش فردي</v>
      </c>
      <c r="E2248" s="30" t="str">
        <f>VLOOKUP(B2248, 'All Menu'!B:M, 2, 0)</f>
        <v>قسم المقبلات</v>
      </c>
      <c r="F2248" s="103" t="str">
        <f>VLOOKUP(B2248, 'All Menu'!B:M, 3, 0)</f>
        <v>سلطات سفري</v>
      </c>
      <c r="G2248" s="90" t="s">
        <v>2232</v>
      </c>
      <c r="H2248" s="188">
        <v>4500</v>
      </c>
      <c r="I2248" s="110" t="str">
        <f>VLOOKUP(H2248, 'RM &amp; SF'!B:H, 2, 0)</f>
        <v>فلفل حلو اخضر*****</v>
      </c>
      <c r="J2248" s="184" t="str">
        <f>VLOOKUP(H2248, 'RM &amp; SF'!B:E, 4, 0)</f>
        <v>غم</v>
      </c>
      <c r="K2248" s="12">
        <v>43</v>
      </c>
      <c r="L2248" s="13">
        <f>VLOOKUP(H2248, 'RM &amp; SF'!B:H, 7, 0)</f>
        <v>7.7999999999999999E-4</v>
      </c>
      <c r="M2248" s="7">
        <f t="shared" si="114"/>
        <v>3.354E-2</v>
      </c>
      <c r="N2248" s="4" t="s">
        <v>825</v>
      </c>
      <c r="O2248" s="4">
        <f>VLOOKUP(B2248, 'All Menu'!B:L, 6, 0)</f>
        <v>1.7241379310344829</v>
      </c>
      <c r="P2248" s="6">
        <f>VLOOKUP(B2248, 'All Menu'!B:L, 9, 0)</f>
        <v>0.30728885714285714</v>
      </c>
      <c r="Q2248" s="14">
        <f>VLOOKUP(B2248, 'All Menu'!B:M, 12, 0)</f>
        <v>0.82177246285714289</v>
      </c>
      <c r="R2248" s="173">
        <f t="shared" si="113"/>
        <v>0</v>
      </c>
    </row>
    <row r="2249" spans="1:18" ht="14" hidden="1">
      <c r="A2249" s="78" t="s">
        <v>2822</v>
      </c>
      <c r="B2249" s="220" t="s">
        <v>886</v>
      </c>
      <c r="C2249" s="185"/>
      <c r="D2249" s="103" t="str">
        <f>VLOOKUP(B2249, 'All Menu'!B:M, 4, 0)</f>
        <v>فتوش فردي</v>
      </c>
      <c r="E2249" s="30" t="str">
        <f>VLOOKUP(B2249, 'All Menu'!B:M, 2, 0)</f>
        <v>قسم المقبلات</v>
      </c>
      <c r="F2249" s="103" t="str">
        <f>VLOOKUP(B2249, 'All Menu'!B:M, 3, 0)</f>
        <v>سلطات سفري</v>
      </c>
      <c r="G2249" s="90" t="s">
        <v>2330</v>
      </c>
      <c r="H2249" s="219" t="s">
        <v>490</v>
      </c>
      <c r="I2249" s="110" t="str">
        <f>VLOOKUP(H2249, 'RM &amp; SF'!B:H, 2, 0)</f>
        <v>خبز مقلي</v>
      </c>
      <c r="J2249" s="184" t="str">
        <f>VLOOKUP(H2249, 'RM &amp; SF'!B:E, 4, 0)</f>
        <v>غم</v>
      </c>
      <c r="K2249" s="12">
        <v>40</v>
      </c>
      <c r="L2249" s="13">
        <f>VLOOKUP(H2249, 'RM &amp; SF'!B:H, 7, 0)</f>
        <v>2.2857142857142859E-4</v>
      </c>
      <c r="M2249" s="7">
        <f t="shared" si="114"/>
        <v>9.1428571428571435E-3</v>
      </c>
      <c r="N2249" s="4" t="s">
        <v>825</v>
      </c>
      <c r="O2249" s="4">
        <f>VLOOKUP(B2249, 'All Menu'!B:L, 6, 0)</f>
        <v>1.7241379310344829</v>
      </c>
      <c r="P2249" s="6">
        <f>VLOOKUP(B2249, 'All Menu'!B:L, 9, 0)</f>
        <v>0.30728885714285714</v>
      </c>
      <c r="Q2249" s="14">
        <f>VLOOKUP(B2249, 'All Menu'!B:M, 12, 0)</f>
        <v>0.82177246285714289</v>
      </c>
      <c r="R2249" s="173">
        <f t="shared" si="113"/>
        <v>0</v>
      </c>
    </row>
    <row r="2250" spans="1:18" ht="14" hidden="1">
      <c r="A2250" s="78" t="s">
        <v>2822</v>
      </c>
      <c r="B2250" s="220" t="s">
        <v>886</v>
      </c>
      <c r="C2250" s="185"/>
      <c r="D2250" s="103" t="str">
        <f>VLOOKUP(B2250, 'All Menu'!B:M, 4, 0)</f>
        <v>فتوش فردي</v>
      </c>
      <c r="E2250" s="30" t="str">
        <f>VLOOKUP(B2250, 'All Menu'!B:M, 2, 0)</f>
        <v>قسم المقبلات</v>
      </c>
      <c r="F2250" s="103" t="str">
        <f>VLOOKUP(B2250, 'All Menu'!B:M, 3, 0)</f>
        <v>سلطات سفري</v>
      </c>
      <c r="G2250" s="90" t="s">
        <v>2307</v>
      </c>
      <c r="H2250" s="188">
        <v>4284</v>
      </c>
      <c r="I2250" s="110" t="str">
        <f>VLOOKUP(H2250, 'RM &amp; SF'!B:H, 2, 0)</f>
        <v>علب سلطة بلاستيك شفاف (كرستال) دائرية متصل 500 مل*****</v>
      </c>
      <c r="J2250" s="184" t="str">
        <f>VLOOKUP(H2250, 'RM &amp; SF'!B:E, 4, 0)</f>
        <v>قطعة</v>
      </c>
      <c r="K2250" s="12">
        <v>1</v>
      </c>
      <c r="L2250" s="13">
        <f>VLOOKUP(H2250, 'RM &amp; SF'!B:H, 7, 0)</f>
        <v>6.7000000000000004E-2</v>
      </c>
      <c r="M2250" s="7">
        <f t="shared" si="114"/>
        <v>6.7000000000000004E-2</v>
      </c>
      <c r="N2250" s="4" t="s">
        <v>825</v>
      </c>
      <c r="O2250" s="4">
        <f>VLOOKUP(B2250, 'All Menu'!B:L, 6, 0)</f>
        <v>1.7241379310344829</v>
      </c>
      <c r="P2250" s="6">
        <f>VLOOKUP(B2250, 'All Menu'!B:L, 9, 0)</f>
        <v>0.30728885714285714</v>
      </c>
      <c r="Q2250" s="14">
        <f>VLOOKUP(B2250, 'All Menu'!B:M, 12, 0)</f>
        <v>0.82177246285714289</v>
      </c>
      <c r="R2250" s="173">
        <f t="shared" si="113"/>
        <v>0</v>
      </c>
    </row>
    <row r="2251" spans="1:18" ht="14" hidden="1">
      <c r="A2251" s="78" t="s">
        <v>2803</v>
      </c>
      <c r="B2251" s="220" t="s">
        <v>887</v>
      </c>
      <c r="C2251" s="185"/>
      <c r="D2251" s="103" t="str">
        <f>VLOOKUP(B2251, 'All Menu'!B:M, 4, 0)</f>
        <v>خيار بلبن</v>
      </c>
      <c r="E2251" s="30" t="str">
        <f>VLOOKUP(B2251, 'All Menu'!B:M, 2, 0)</f>
        <v>قسم المقبلات</v>
      </c>
      <c r="F2251" s="103" t="str">
        <f>VLOOKUP(B2251, 'All Menu'!B:M, 3, 0)</f>
        <v>المقبلات سفري</v>
      </c>
      <c r="G2251" s="90" t="s">
        <v>2228</v>
      </c>
      <c r="H2251" s="219" t="s">
        <v>566</v>
      </c>
      <c r="I2251" s="110" t="str">
        <f>VLOOKUP(H2251, 'RM &amp; SF'!B:H, 2, 0)</f>
        <v>خيار بلبن</v>
      </c>
      <c r="J2251" s="184" t="str">
        <f>VLOOKUP(H2251, 'RM &amp; SF'!B:E, 4, 0)</f>
        <v>غم</v>
      </c>
      <c r="K2251" s="12">
        <v>500</v>
      </c>
      <c r="L2251" s="13">
        <f>VLOOKUP(H2251, 'RM &amp; SF'!B:H, 7, 0)</f>
        <v>1.0121557958994094E-3</v>
      </c>
      <c r="M2251" s="7">
        <f t="shared" si="114"/>
        <v>0.5060778979497047</v>
      </c>
      <c r="N2251" s="4" t="s">
        <v>825</v>
      </c>
      <c r="O2251" s="4">
        <f>VLOOKUP(B2251, 'All Menu'!B:L, 6, 0)</f>
        <v>1.2931034482758621</v>
      </c>
      <c r="P2251" s="6">
        <f>VLOOKUP(B2251, 'All Menu'!B:L, 9, 0)</f>
        <v>0.6310778979497047</v>
      </c>
      <c r="Q2251" s="14">
        <f>VLOOKUP(B2251, 'All Menu'!B:M, 12, 0)</f>
        <v>0.51196642558556171</v>
      </c>
      <c r="R2251" s="173">
        <f t="shared" si="113"/>
        <v>0</v>
      </c>
    </row>
    <row r="2252" spans="1:18" ht="14" hidden="1">
      <c r="A2252" s="78" t="s">
        <v>2803</v>
      </c>
      <c r="B2252" s="220" t="s">
        <v>887</v>
      </c>
      <c r="C2252" s="185"/>
      <c r="D2252" s="103" t="str">
        <f>VLOOKUP(B2252, 'All Menu'!B:M, 4, 0)</f>
        <v>خيار بلبن</v>
      </c>
      <c r="E2252" s="30" t="str">
        <f>VLOOKUP(B2252, 'All Menu'!B:M, 2, 0)</f>
        <v>قسم المقبلات</v>
      </c>
      <c r="F2252" s="103" t="str">
        <f>VLOOKUP(B2252, 'All Menu'!B:M, 3, 0)</f>
        <v>المقبلات سفري</v>
      </c>
      <c r="G2252" s="90" t="s">
        <v>3058</v>
      </c>
      <c r="H2252" s="188">
        <v>4280</v>
      </c>
      <c r="I2252" s="110" t="str">
        <f>VLOOKUP(H2252, 'RM &amp; SF'!B:H, 2, 0)</f>
        <v>علب ميكرويف مدورة اسود 500 مل RC2*****</v>
      </c>
      <c r="J2252" s="184" t="str">
        <f>VLOOKUP(H2252, 'RM &amp; SF'!B:E, 4, 0)</f>
        <v>قطعة</v>
      </c>
      <c r="K2252" s="12">
        <v>1</v>
      </c>
      <c r="L2252" s="13">
        <f>VLOOKUP(H2252, 'RM &amp; SF'!B:H, 7, 0)</f>
        <v>0.125</v>
      </c>
      <c r="M2252" s="7">
        <f t="shared" si="114"/>
        <v>0.125</v>
      </c>
      <c r="N2252" s="4" t="s">
        <v>825</v>
      </c>
      <c r="O2252" s="4">
        <f>VLOOKUP(B2252, 'All Menu'!B:L, 6, 0)</f>
        <v>1.2931034482758621</v>
      </c>
      <c r="P2252" s="6">
        <f>VLOOKUP(B2252, 'All Menu'!B:L, 9, 0)</f>
        <v>0.6310778979497047</v>
      </c>
      <c r="Q2252" s="14">
        <f>VLOOKUP(B2252, 'All Menu'!B:M, 12, 0)</f>
        <v>0.51196642558556171</v>
      </c>
      <c r="R2252" s="173">
        <f t="shared" si="113"/>
        <v>0</v>
      </c>
    </row>
    <row r="2253" spans="1:18" ht="14" hidden="1">
      <c r="A2253" s="78" t="s">
        <v>2824</v>
      </c>
      <c r="B2253" s="220" t="s">
        <v>888</v>
      </c>
      <c r="C2253" s="185"/>
      <c r="D2253" s="103" t="str">
        <f>VLOOKUP(B2253, 'All Menu'!B:M, 4, 0)</f>
        <v>سيزر سالاد فردي</v>
      </c>
      <c r="E2253" s="30" t="str">
        <f>VLOOKUP(B2253, 'All Menu'!B:M, 2, 0)</f>
        <v>قسم المقبلات</v>
      </c>
      <c r="F2253" s="103" t="str">
        <f>VLOOKUP(B2253, 'All Menu'!B:M, 3, 0)</f>
        <v>سلطات سفري</v>
      </c>
      <c r="G2253" s="90" t="s">
        <v>2241</v>
      </c>
      <c r="H2253" s="188">
        <v>4518</v>
      </c>
      <c r="I2253" s="110" t="str">
        <f>VLOOKUP(H2253, 'RM &amp; SF'!B:H, 2, 0)</f>
        <v>خس ايسبرغ*****</v>
      </c>
      <c r="J2253" s="184" t="str">
        <f>VLOOKUP(H2253, 'RM &amp; SF'!B:E, 4, 0)</f>
        <v>غم</v>
      </c>
      <c r="K2253" s="12">
        <v>200</v>
      </c>
      <c r="L2253" s="13">
        <f>VLOOKUP(H2253, 'RM &amp; SF'!B:H, 7, 0)</f>
        <v>7.5000000000000002E-4</v>
      </c>
      <c r="M2253" s="7">
        <f t="shared" si="114"/>
        <v>0.15</v>
      </c>
      <c r="N2253" s="4" t="s">
        <v>825</v>
      </c>
      <c r="O2253" s="4">
        <f>VLOOKUP(B2253, 'All Menu'!B:L, 6, 0)</f>
        <v>1.7241379310344829</v>
      </c>
      <c r="P2253" s="6">
        <f>VLOOKUP(B2253, 'All Menu'!B:L, 9, 0)</f>
        <v>0.53857280476190472</v>
      </c>
      <c r="Q2253" s="14">
        <f>VLOOKUP(B2253, 'All Menu'!B:M, 12, 0)</f>
        <v>0.68762777323809532</v>
      </c>
      <c r="R2253" s="173">
        <f t="shared" si="113"/>
        <v>0</v>
      </c>
    </row>
    <row r="2254" spans="1:18" ht="14" hidden="1">
      <c r="A2254" s="78" t="s">
        <v>2824</v>
      </c>
      <c r="B2254" s="220" t="s">
        <v>888</v>
      </c>
      <c r="C2254" s="185"/>
      <c r="D2254" s="103" t="str">
        <f>VLOOKUP(B2254, 'All Menu'!B:M, 4, 0)</f>
        <v>سيزر سالاد فردي</v>
      </c>
      <c r="E2254" s="30" t="str">
        <f>VLOOKUP(B2254, 'All Menu'!B:M, 2, 0)</f>
        <v>قسم المقبلات</v>
      </c>
      <c r="F2254" s="103" t="str">
        <f>VLOOKUP(B2254, 'All Menu'!B:M, 3, 0)</f>
        <v>سلطات سفري</v>
      </c>
      <c r="G2254" s="90" t="s">
        <v>2308</v>
      </c>
      <c r="H2254" s="188">
        <v>4787</v>
      </c>
      <c r="I2254" s="110" t="str">
        <f>VLOOKUP(H2254, 'RM &amp; SF'!B:H, 2, 0)</f>
        <v>خبز التوست بالحليب مشرح 600 غم*****</v>
      </c>
      <c r="J2254" s="184" t="str">
        <f>VLOOKUP(H2254, 'RM &amp; SF'!B:E, 4, 0)</f>
        <v>غم</v>
      </c>
      <c r="K2254" s="12">
        <v>10</v>
      </c>
      <c r="L2254" s="13">
        <f>VLOOKUP(H2254, 'RM &amp; SF'!B:H, 7, 0)</f>
        <v>2.08333E-3</v>
      </c>
      <c r="M2254" s="7">
        <f t="shared" si="114"/>
        <v>2.0833299999999999E-2</v>
      </c>
      <c r="N2254" s="4" t="s">
        <v>825</v>
      </c>
      <c r="O2254" s="4">
        <f>VLOOKUP(B2254, 'All Menu'!B:L, 6, 0)</f>
        <v>1.7241379310344829</v>
      </c>
      <c r="P2254" s="6">
        <f>VLOOKUP(B2254, 'All Menu'!B:L, 9, 0)</f>
        <v>0.53857280476190472</v>
      </c>
      <c r="Q2254" s="14">
        <f>VLOOKUP(B2254, 'All Menu'!B:M, 12, 0)</f>
        <v>0.68762777323809532</v>
      </c>
      <c r="R2254" s="173">
        <f t="shared" si="113"/>
        <v>0</v>
      </c>
    </row>
    <row r="2255" spans="1:18" ht="14" hidden="1">
      <c r="A2255" s="78" t="s">
        <v>2824</v>
      </c>
      <c r="B2255" s="220" t="s">
        <v>888</v>
      </c>
      <c r="C2255" s="185"/>
      <c r="D2255" s="103" t="str">
        <f>VLOOKUP(B2255, 'All Menu'!B:M, 4, 0)</f>
        <v>سيزر سالاد فردي</v>
      </c>
      <c r="E2255" s="30" t="str">
        <f>VLOOKUP(B2255, 'All Menu'!B:M, 2, 0)</f>
        <v>قسم المقبلات</v>
      </c>
      <c r="F2255" s="103" t="str">
        <f>VLOOKUP(B2255, 'All Menu'!B:M, 3, 0)</f>
        <v>سلطات سفري</v>
      </c>
      <c r="G2255" s="90" t="s">
        <v>2179</v>
      </c>
      <c r="H2255" s="188">
        <v>4560</v>
      </c>
      <c r="I2255" s="110" t="str">
        <f>VLOOKUP(H2255, 'RM &amp; SF'!B:H, 2, 0)</f>
        <v>جبنة بارميزان قالب*****</v>
      </c>
      <c r="J2255" s="184" t="str">
        <f>VLOOKUP(H2255, 'RM &amp; SF'!B:E, 4, 0)</f>
        <v>غم</v>
      </c>
      <c r="K2255" s="12">
        <v>20</v>
      </c>
      <c r="L2255" s="13">
        <f>VLOOKUP(H2255, 'RM &amp; SF'!B:H, 7, 0)</f>
        <v>6.5100000000000002E-3</v>
      </c>
      <c r="M2255" s="7">
        <f t="shared" si="114"/>
        <v>0.13020000000000001</v>
      </c>
      <c r="N2255" s="4" t="s">
        <v>825</v>
      </c>
      <c r="O2255" s="4">
        <f>VLOOKUP(B2255, 'All Menu'!B:L, 6, 0)</f>
        <v>1.7241379310344829</v>
      </c>
      <c r="P2255" s="6">
        <f>VLOOKUP(B2255, 'All Menu'!B:L, 9, 0)</f>
        <v>0.53857280476190472</v>
      </c>
      <c r="Q2255" s="14">
        <f>VLOOKUP(B2255, 'All Menu'!B:M, 12, 0)</f>
        <v>0.68762777323809532</v>
      </c>
      <c r="R2255" s="173">
        <f t="shared" ref="R2255:R2321" si="116">C2255*K2255</f>
        <v>0</v>
      </c>
    </row>
    <row r="2256" spans="1:18" ht="14" hidden="1">
      <c r="A2256" s="78" t="s">
        <v>2824</v>
      </c>
      <c r="B2256" s="220" t="s">
        <v>888</v>
      </c>
      <c r="C2256" s="185"/>
      <c r="D2256" s="103" t="str">
        <f>VLOOKUP(B2256, 'All Menu'!B:M, 4, 0)</f>
        <v>سيزر سالاد فردي</v>
      </c>
      <c r="E2256" s="30" t="str">
        <f>VLOOKUP(B2256, 'All Menu'!B:M, 2, 0)</f>
        <v>قسم المقبلات</v>
      </c>
      <c r="F2256" s="103" t="str">
        <f>VLOOKUP(B2256, 'All Menu'!B:M, 3, 0)</f>
        <v>سلطات سفري</v>
      </c>
      <c r="G2256" s="90" t="s">
        <v>2406</v>
      </c>
      <c r="H2256" s="219" t="s">
        <v>518</v>
      </c>
      <c r="I2256" s="110" t="str">
        <f>VLOOKUP(H2256, 'RM &amp; SF'!B:H, 2, 0)</f>
        <v>صوص سيزار</v>
      </c>
      <c r="J2256" s="184" t="str">
        <f>VLOOKUP(H2256, 'RM &amp; SF'!B:E, 4, 0)</f>
        <v>غم</v>
      </c>
      <c r="K2256" s="12">
        <v>40</v>
      </c>
      <c r="L2256" s="13">
        <f>VLOOKUP(H2256, 'RM &amp; SF'!B:H, 7, 0)</f>
        <v>3.8209876190476188E-3</v>
      </c>
      <c r="M2256" s="7">
        <f t="shared" si="114"/>
        <v>0.15283950476190475</v>
      </c>
      <c r="N2256" s="4" t="s">
        <v>825</v>
      </c>
      <c r="O2256" s="4">
        <f>VLOOKUP(B2256, 'All Menu'!B:L, 6, 0)</f>
        <v>1.7241379310344829</v>
      </c>
      <c r="P2256" s="6">
        <f>VLOOKUP(B2256, 'All Menu'!B:L, 9, 0)</f>
        <v>0.53857280476190472</v>
      </c>
      <c r="Q2256" s="14">
        <f>VLOOKUP(B2256, 'All Menu'!B:M, 12, 0)</f>
        <v>0.68762777323809532</v>
      </c>
      <c r="R2256" s="173">
        <f t="shared" si="116"/>
        <v>0</v>
      </c>
    </row>
    <row r="2257" spans="1:18" ht="14" hidden="1">
      <c r="A2257" s="78" t="s">
        <v>2824</v>
      </c>
      <c r="B2257" s="220" t="s">
        <v>888</v>
      </c>
      <c r="C2257" s="185"/>
      <c r="D2257" s="103" t="str">
        <f>VLOOKUP(B2257, 'All Menu'!B:M, 4, 0)</f>
        <v>سيزر سالاد فردي</v>
      </c>
      <c r="E2257" s="30" t="str">
        <f>VLOOKUP(B2257, 'All Menu'!B:M, 2, 0)</f>
        <v>قسم المقبلات</v>
      </c>
      <c r="F2257" s="103" t="str">
        <f>VLOOKUP(B2257, 'All Menu'!B:M, 3, 0)</f>
        <v>سلطات سفري</v>
      </c>
      <c r="G2257" s="90" t="s">
        <v>3058</v>
      </c>
      <c r="H2257" s="188">
        <v>4289</v>
      </c>
      <c r="I2257" s="110" t="str">
        <f>VLOOKUP(H2257, 'RM &amp; SF'!B:H, 2, 0)</f>
        <v>علب صوص دائري منفصل أسود 30 مل 1*100 حبة*****</v>
      </c>
      <c r="J2257" s="184" t="str">
        <f>VLOOKUP(H2257, 'RM &amp; SF'!B:E, 4, 0)</f>
        <v>قطعة</v>
      </c>
      <c r="K2257" s="12">
        <v>1</v>
      </c>
      <c r="L2257" s="13">
        <f>VLOOKUP(H2257, 'RM &amp; SF'!B:H, 7, 0)</f>
        <v>1.2E-2</v>
      </c>
      <c r="M2257" s="7">
        <f t="shared" ref="M2257:M2323" si="117">L2257*K2257</f>
        <v>1.2E-2</v>
      </c>
      <c r="N2257" s="4" t="s">
        <v>825</v>
      </c>
      <c r="O2257" s="4">
        <f>VLOOKUP(B2257, 'All Menu'!B:L, 6, 0)</f>
        <v>1.7241379310344829</v>
      </c>
      <c r="P2257" s="6">
        <f>VLOOKUP(B2257, 'All Menu'!B:L, 9, 0)</f>
        <v>0.53857280476190472</v>
      </c>
      <c r="Q2257" s="14">
        <f>VLOOKUP(B2257, 'All Menu'!B:M, 12, 0)</f>
        <v>0.68762777323809532</v>
      </c>
      <c r="R2257" s="173">
        <f t="shared" si="116"/>
        <v>0</v>
      </c>
    </row>
    <row r="2258" spans="1:18" ht="14" hidden="1">
      <c r="A2258" s="78" t="s">
        <v>2824</v>
      </c>
      <c r="B2258" s="220" t="s">
        <v>888</v>
      </c>
      <c r="C2258" s="185"/>
      <c r="D2258" s="103" t="str">
        <f>VLOOKUP(B2258, 'All Menu'!B:M, 4, 0)</f>
        <v>سيزر سالاد فردي</v>
      </c>
      <c r="E2258" s="30" t="str">
        <f>VLOOKUP(B2258, 'All Menu'!B:M, 2, 0)</f>
        <v>قسم المقبلات</v>
      </c>
      <c r="F2258" s="103" t="str">
        <f>VLOOKUP(B2258, 'All Menu'!B:M, 3, 0)</f>
        <v>سلطات سفري</v>
      </c>
      <c r="G2258" s="90" t="s">
        <v>2307</v>
      </c>
      <c r="H2258" s="188">
        <v>4284</v>
      </c>
      <c r="I2258" s="110" t="str">
        <f>VLOOKUP(H2258, 'RM &amp; SF'!B:H, 2, 0)</f>
        <v>علب سلطة بلاستيك شفاف (كرستال) دائرية متصل 500 مل*****</v>
      </c>
      <c r="J2258" s="184" t="str">
        <f>VLOOKUP(H2258, 'RM &amp; SF'!B:E, 4, 0)</f>
        <v>قطعة</v>
      </c>
      <c r="K2258" s="12">
        <v>1</v>
      </c>
      <c r="L2258" s="13">
        <f>VLOOKUP(H2258, 'RM &amp; SF'!B:H, 7, 0)</f>
        <v>6.7000000000000004E-2</v>
      </c>
      <c r="M2258" s="7">
        <f t="shared" si="117"/>
        <v>6.7000000000000004E-2</v>
      </c>
      <c r="N2258" s="4" t="s">
        <v>825</v>
      </c>
      <c r="O2258" s="4">
        <f>VLOOKUP(B2258, 'All Menu'!B:L, 6, 0)</f>
        <v>1.7241379310344829</v>
      </c>
      <c r="P2258" s="6">
        <f>VLOOKUP(B2258, 'All Menu'!B:L, 9, 0)</f>
        <v>0.53857280476190472</v>
      </c>
      <c r="Q2258" s="14">
        <f>VLOOKUP(B2258, 'All Menu'!B:M, 12, 0)</f>
        <v>0.68762777323809532</v>
      </c>
      <c r="R2258" s="173">
        <f t="shared" si="116"/>
        <v>0</v>
      </c>
    </row>
    <row r="2259" spans="1:18" ht="14" hidden="1">
      <c r="A2259" s="78" t="s">
        <v>2824</v>
      </c>
      <c r="B2259" s="220" t="s">
        <v>888</v>
      </c>
      <c r="C2259" s="185"/>
      <c r="D2259" s="103" t="str">
        <f>VLOOKUP(B2259, 'All Menu'!B:M, 4, 0)</f>
        <v>سيزر سالاد فردي</v>
      </c>
      <c r="E2259" s="30" t="str">
        <f>VLOOKUP(B2259, 'All Menu'!B:M, 2, 0)</f>
        <v>قسم المقبلات</v>
      </c>
      <c r="F2259" s="103" t="str">
        <f>VLOOKUP(B2259, 'All Menu'!B:M, 3, 0)</f>
        <v>سلطات سفري</v>
      </c>
      <c r="G2259" s="90" t="s">
        <v>3058</v>
      </c>
      <c r="H2259" s="188">
        <v>4425</v>
      </c>
      <c r="I2259" s="110" t="str">
        <f>VLOOKUP(H2259, 'RM &amp; SF'!B:H, 2, 0)</f>
        <v>ليبل المركزية دائري 5*5 سم*****</v>
      </c>
      <c r="J2259" s="184" t="str">
        <f>VLOOKUP(H2259, 'RM &amp; SF'!B:E, 4, 0)</f>
        <v>قطعة</v>
      </c>
      <c r="K2259" s="12">
        <v>1</v>
      </c>
      <c r="L2259" s="13">
        <f>VLOOKUP(H2259, 'RM &amp; SF'!B:H, 7, 0)</f>
        <v>5.7000000000000002E-3</v>
      </c>
      <c r="M2259" s="7">
        <f t="shared" si="117"/>
        <v>5.7000000000000002E-3</v>
      </c>
      <c r="N2259" s="4" t="s">
        <v>825</v>
      </c>
      <c r="O2259" s="4">
        <f>VLOOKUP(B2259, 'All Menu'!B:L, 6, 0)</f>
        <v>1.7241379310344829</v>
      </c>
      <c r="P2259" s="6">
        <f>VLOOKUP(B2259, 'All Menu'!B:L, 9, 0)</f>
        <v>0.53857280476190472</v>
      </c>
      <c r="Q2259" s="14">
        <f>VLOOKUP(B2259, 'All Menu'!B:M, 12, 0)</f>
        <v>0.68762777323809532</v>
      </c>
      <c r="R2259" s="173">
        <f t="shared" si="116"/>
        <v>0</v>
      </c>
    </row>
    <row r="2260" spans="1:18" ht="14" hidden="1">
      <c r="A2260" s="78" t="s">
        <v>2826</v>
      </c>
      <c r="B2260" s="220" t="s">
        <v>889</v>
      </c>
      <c r="C2260" s="185"/>
      <c r="D2260" s="103" t="str">
        <f>VLOOKUP(B2260, 'All Menu'!B:M, 4, 0)</f>
        <v>سيزر دجاج فردي</v>
      </c>
      <c r="E2260" s="30" t="str">
        <f>VLOOKUP(B2260, 'All Menu'!B:M, 2, 0)</f>
        <v>قسم المقبلات</v>
      </c>
      <c r="F2260" s="103" t="str">
        <f>VLOOKUP(B2260, 'All Menu'!B:M, 3, 0)</f>
        <v>سلطات سفري</v>
      </c>
      <c r="G2260" s="90" t="s">
        <v>2241</v>
      </c>
      <c r="H2260" s="188">
        <v>4518</v>
      </c>
      <c r="I2260" s="110" t="str">
        <f>VLOOKUP(H2260, 'RM &amp; SF'!B:H, 2, 0)</f>
        <v>خس ايسبرغ*****</v>
      </c>
      <c r="J2260" s="184" t="str">
        <f>VLOOKUP(H2260, 'RM &amp; SF'!B:E, 4, 0)</f>
        <v>غم</v>
      </c>
      <c r="K2260" s="12">
        <v>350</v>
      </c>
      <c r="L2260" s="13">
        <f>VLOOKUP(H2260, 'RM &amp; SF'!B:H, 7, 0)</f>
        <v>7.5000000000000002E-4</v>
      </c>
      <c r="M2260" s="7">
        <f t="shared" si="117"/>
        <v>0.26250000000000001</v>
      </c>
      <c r="N2260" s="4" t="s">
        <v>825</v>
      </c>
      <c r="O2260" s="4">
        <f>VLOOKUP(B2260, 'All Menu'!B:L, 6, 0)</f>
        <v>2.5862068965517242</v>
      </c>
      <c r="P2260" s="6">
        <f>VLOOKUP(B2260, 'All Menu'!B:L, 9, 0)</f>
        <v>1.1090192185550083</v>
      </c>
      <c r="Q2260" s="14">
        <f>VLOOKUP(B2260, 'All Menu'!B:M, 12, 0)</f>
        <v>0.57117923549206351</v>
      </c>
      <c r="R2260" s="173">
        <f t="shared" si="116"/>
        <v>0</v>
      </c>
    </row>
    <row r="2261" spans="1:18" ht="14" hidden="1">
      <c r="A2261" s="78" t="s">
        <v>2826</v>
      </c>
      <c r="B2261" s="220" t="s">
        <v>889</v>
      </c>
      <c r="C2261" s="185"/>
      <c r="D2261" s="103" t="str">
        <f>VLOOKUP(B2261, 'All Menu'!B:M, 4, 0)</f>
        <v>سيزر دجاج فردي</v>
      </c>
      <c r="E2261" s="30" t="str">
        <f>VLOOKUP(B2261, 'All Menu'!B:M, 2, 0)</f>
        <v>قسم المقبلات</v>
      </c>
      <c r="F2261" s="103" t="str">
        <f>VLOOKUP(B2261, 'All Menu'!B:M, 3, 0)</f>
        <v>سلطات سفري</v>
      </c>
      <c r="G2261" s="90" t="s">
        <v>2308</v>
      </c>
      <c r="H2261" s="188">
        <v>4787</v>
      </c>
      <c r="I2261" s="110" t="str">
        <f>VLOOKUP(H2261, 'RM &amp; SF'!B:H, 2, 0)</f>
        <v>خبز التوست بالحليب مشرح 600 غم*****</v>
      </c>
      <c r="J2261" s="184" t="str">
        <f>VLOOKUP(H2261, 'RM &amp; SF'!B:E, 4, 0)</f>
        <v>غم</v>
      </c>
      <c r="K2261" s="12">
        <v>10</v>
      </c>
      <c r="L2261" s="13">
        <f>VLOOKUP(H2261, 'RM &amp; SF'!B:H, 7, 0)</f>
        <v>2.08333E-3</v>
      </c>
      <c r="M2261" s="7">
        <f t="shared" si="117"/>
        <v>2.0833299999999999E-2</v>
      </c>
      <c r="N2261" s="4" t="s">
        <v>825</v>
      </c>
      <c r="O2261" s="4">
        <f>VLOOKUP(B2261, 'All Menu'!B:L, 6, 0)</f>
        <v>2.5862068965517242</v>
      </c>
      <c r="P2261" s="6">
        <f>VLOOKUP(B2261, 'All Menu'!B:L, 9, 0)</f>
        <v>1.1090192185550083</v>
      </c>
      <c r="Q2261" s="14">
        <f>VLOOKUP(B2261, 'All Menu'!B:M, 12, 0)</f>
        <v>0.57117923549206351</v>
      </c>
      <c r="R2261" s="173">
        <f t="shared" si="116"/>
        <v>0</v>
      </c>
    </row>
    <row r="2262" spans="1:18" ht="14" hidden="1">
      <c r="A2262" s="78" t="s">
        <v>2826</v>
      </c>
      <c r="B2262" s="220" t="s">
        <v>889</v>
      </c>
      <c r="C2262" s="185"/>
      <c r="D2262" s="103" t="str">
        <f>VLOOKUP(B2262, 'All Menu'!B:M, 4, 0)</f>
        <v>سيزر دجاج فردي</v>
      </c>
      <c r="E2262" s="30" t="str">
        <f>VLOOKUP(B2262, 'All Menu'!B:M, 2, 0)</f>
        <v>قسم المقبلات</v>
      </c>
      <c r="F2262" s="103" t="str">
        <f>VLOOKUP(B2262, 'All Menu'!B:M, 3, 0)</f>
        <v>سلطات سفري</v>
      </c>
      <c r="G2262" s="90" t="s">
        <v>2406</v>
      </c>
      <c r="H2262" s="219" t="s">
        <v>518</v>
      </c>
      <c r="I2262" s="110" t="str">
        <f>VLOOKUP(H2262, 'RM &amp; SF'!B:H, 2, 0)</f>
        <v>صوص سيزار</v>
      </c>
      <c r="J2262" s="184" t="str">
        <f>VLOOKUP(H2262, 'RM &amp; SF'!B:E, 4, 0)</f>
        <v>غم</v>
      </c>
      <c r="K2262" s="12">
        <v>40</v>
      </c>
      <c r="L2262" s="13">
        <f>VLOOKUP(H2262, 'RM &amp; SF'!B:H, 7, 0)</f>
        <v>3.8209876190476188E-3</v>
      </c>
      <c r="M2262" s="7">
        <f t="shared" si="117"/>
        <v>0.15283950476190475</v>
      </c>
      <c r="N2262" s="4" t="s">
        <v>825</v>
      </c>
      <c r="O2262" s="4">
        <f>VLOOKUP(B2262, 'All Menu'!B:L, 6, 0)</f>
        <v>2.5862068965517242</v>
      </c>
      <c r="P2262" s="6">
        <f>VLOOKUP(B2262, 'All Menu'!B:L, 9, 0)</f>
        <v>1.1090192185550083</v>
      </c>
      <c r="Q2262" s="14">
        <f>VLOOKUP(B2262, 'All Menu'!B:M, 12, 0)</f>
        <v>0.57117923549206351</v>
      </c>
      <c r="R2262" s="173">
        <f t="shared" si="116"/>
        <v>0</v>
      </c>
    </row>
    <row r="2263" spans="1:18" ht="14" hidden="1">
      <c r="A2263" s="78" t="s">
        <v>2826</v>
      </c>
      <c r="B2263" s="220" t="s">
        <v>889</v>
      </c>
      <c r="C2263" s="185"/>
      <c r="D2263" s="103" t="str">
        <f>VLOOKUP(B2263, 'All Menu'!B:M, 4, 0)</f>
        <v>سيزر دجاج فردي</v>
      </c>
      <c r="E2263" s="30" t="str">
        <f>VLOOKUP(B2263, 'All Menu'!B:M, 2, 0)</f>
        <v>قسم المقبلات</v>
      </c>
      <c r="F2263" s="103" t="str">
        <f>VLOOKUP(B2263, 'All Menu'!B:M, 3, 0)</f>
        <v>سلطات سفري</v>
      </c>
      <c r="G2263" s="90" t="s">
        <v>2179</v>
      </c>
      <c r="H2263" s="188">
        <v>4560</v>
      </c>
      <c r="I2263" s="110" t="str">
        <f>VLOOKUP(H2263, 'RM &amp; SF'!B:H, 2, 0)</f>
        <v>جبنة بارميزان قالب*****</v>
      </c>
      <c r="J2263" s="184" t="str">
        <f>VLOOKUP(H2263, 'RM &amp; SF'!B:E, 4, 0)</f>
        <v>غم</v>
      </c>
      <c r="K2263" s="12">
        <v>20</v>
      </c>
      <c r="L2263" s="13">
        <f>VLOOKUP(H2263, 'RM &amp; SF'!B:H, 7, 0)</f>
        <v>6.5100000000000002E-3</v>
      </c>
      <c r="M2263" s="7">
        <f t="shared" si="117"/>
        <v>0.13020000000000001</v>
      </c>
      <c r="N2263" s="4" t="s">
        <v>825</v>
      </c>
      <c r="O2263" s="4">
        <f>VLOOKUP(B2263, 'All Menu'!B:L, 6, 0)</f>
        <v>2.5862068965517242</v>
      </c>
      <c r="P2263" s="6">
        <f>VLOOKUP(B2263, 'All Menu'!B:L, 9, 0)</f>
        <v>1.1090192185550083</v>
      </c>
      <c r="Q2263" s="14">
        <f>VLOOKUP(B2263, 'All Menu'!B:M, 12, 0)</f>
        <v>0.57117923549206351</v>
      </c>
      <c r="R2263" s="173">
        <f t="shared" si="116"/>
        <v>0</v>
      </c>
    </row>
    <row r="2264" spans="1:18" ht="14" hidden="1">
      <c r="A2264" s="78" t="s">
        <v>2826</v>
      </c>
      <c r="B2264" s="220" t="s">
        <v>889</v>
      </c>
      <c r="C2264" s="185"/>
      <c r="D2264" s="103" t="str">
        <f>VLOOKUP(B2264, 'All Menu'!B:M, 4, 0)</f>
        <v>سيزر دجاج فردي</v>
      </c>
      <c r="E2264" s="30" t="str">
        <f>VLOOKUP(B2264, 'All Menu'!B:M, 2, 0)</f>
        <v>قسم المقبلات</v>
      </c>
      <c r="F2264" s="103" t="str">
        <f>VLOOKUP(B2264, 'All Menu'!B:M, 3, 0)</f>
        <v>سلطات سفري</v>
      </c>
      <c r="G2264" s="90" t="s">
        <v>2307</v>
      </c>
      <c r="H2264" s="188">
        <v>4284</v>
      </c>
      <c r="I2264" s="110" t="str">
        <f>VLOOKUP(H2264, 'RM &amp; SF'!B:H, 2, 0)</f>
        <v>علب سلطة بلاستيك شفاف (كرستال) دائرية متصل 500 مل*****</v>
      </c>
      <c r="J2264" s="184" t="str">
        <f>VLOOKUP(H2264, 'RM &amp; SF'!B:E, 4, 0)</f>
        <v>قطعة</v>
      </c>
      <c r="K2264" s="12">
        <v>1</v>
      </c>
      <c r="L2264" s="13">
        <f>VLOOKUP(H2264, 'RM &amp; SF'!B:H, 7, 0)</f>
        <v>6.7000000000000004E-2</v>
      </c>
      <c r="M2264" s="7">
        <f t="shared" si="117"/>
        <v>6.7000000000000004E-2</v>
      </c>
      <c r="N2264" s="4" t="s">
        <v>825</v>
      </c>
      <c r="O2264" s="4">
        <f>VLOOKUP(B2264, 'All Menu'!B:L, 6, 0)</f>
        <v>2.5862068965517242</v>
      </c>
      <c r="P2264" s="6">
        <f>VLOOKUP(B2264, 'All Menu'!B:L, 9, 0)</f>
        <v>1.1090192185550083</v>
      </c>
      <c r="Q2264" s="14">
        <f>VLOOKUP(B2264, 'All Menu'!B:M, 12, 0)</f>
        <v>0.57117923549206351</v>
      </c>
      <c r="R2264" s="173">
        <f t="shared" si="116"/>
        <v>0</v>
      </c>
    </row>
    <row r="2265" spans="1:18" ht="14" hidden="1">
      <c r="A2265" s="78" t="s">
        <v>2826</v>
      </c>
      <c r="B2265" s="220" t="s">
        <v>889</v>
      </c>
      <c r="C2265" s="185"/>
      <c r="D2265" s="103" t="str">
        <f>VLOOKUP(B2265, 'All Menu'!B:M, 4, 0)</f>
        <v>سيزر دجاج فردي</v>
      </c>
      <c r="E2265" s="30" t="str">
        <f>VLOOKUP(B2265, 'All Menu'!B:M, 2, 0)</f>
        <v>قسم المقبلات</v>
      </c>
      <c r="F2265" s="103" t="str">
        <f>VLOOKUP(B2265, 'All Menu'!B:M, 3, 0)</f>
        <v>سلطات سفري</v>
      </c>
      <c r="G2265" s="90" t="s">
        <v>3058</v>
      </c>
      <c r="H2265" s="188">
        <v>5386</v>
      </c>
      <c r="I2265" s="110" t="str">
        <f>VLOOKUP(H2265, 'RM &amp; SF'!B:H, 2, 0)</f>
        <v>مسحب الطاحونة - طلبات مارت</v>
      </c>
      <c r="J2265" s="184" t="str">
        <f>VLOOKUP(H2265, 'RM &amp; SF'!B:E, 4, 0)</f>
        <v>غم</v>
      </c>
      <c r="K2265" s="12">
        <v>100</v>
      </c>
      <c r="L2265" s="13">
        <f>VLOOKUP(H2265, 'RM &amp; SF'!B:H, 7, 0)</f>
        <v>4.2000000000000006E-3</v>
      </c>
      <c r="M2265" s="7">
        <f t="shared" si="117"/>
        <v>0.42000000000000004</v>
      </c>
      <c r="N2265" s="4" t="s">
        <v>825</v>
      </c>
      <c r="O2265" s="4">
        <f>VLOOKUP(B2265, 'All Menu'!B:L, 6, 0)</f>
        <v>2.5862068965517242</v>
      </c>
      <c r="P2265" s="6">
        <f>VLOOKUP(B2265, 'All Menu'!B:L, 9, 0)</f>
        <v>1.1090192185550083</v>
      </c>
      <c r="Q2265" s="14">
        <f>VLOOKUP(B2265, 'All Menu'!B:M, 12, 0)</f>
        <v>0.57117923549206351</v>
      </c>
      <c r="R2265" s="173">
        <f t="shared" si="116"/>
        <v>0</v>
      </c>
    </row>
    <row r="2266" spans="1:18" ht="14" hidden="1">
      <c r="A2266" s="78" t="s">
        <v>2826</v>
      </c>
      <c r="B2266" s="220" t="s">
        <v>889</v>
      </c>
      <c r="C2266" s="185"/>
      <c r="D2266" s="103" t="str">
        <f>VLOOKUP(B2266, 'All Menu'!B:M, 4, 0)</f>
        <v>سيزر دجاج فردي</v>
      </c>
      <c r="E2266" s="30" t="str">
        <f>VLOOKUP(B2266, 'All Menu'!B:M, 2, 0)</f>
        <v>قسم المقبلات</v>
      </c>
      <c r="F2266" s="103" t="str">
        <f>VLOOKUP(B2266, 'All Menu'!B:M, 3, 0)</f>
        <v>سلطات سفري</v>
      </c>
      <c r="G2266" s="90" t="s">
        <v>2195</v>
      </c>
      <c r="H2266" s="188">
        <v>4329</v>
      </c>
      <c r="I2266" s="110" t="str">
        <f>VLOOKUP(H2266, 'RM &amp; SF'!B:H, 2, 0)</f>
        <v>ملاعق بلاستيك مع معقم مطبوع 1*500 حبة*****</v>
      </c>
      <c r="J2266" s="184" t="str">
        <f>VLOOKUP(H2266, 'RM &amp; SF'!B:E, 4, 0)</f>
        <v>قطعة</v>
      </c>
      <c r="K2266" s="12">
        <v>1</v>
      </c>
      <c r="L2266" s="13">
        <f>VLOOKUP(H2266, 'RM &amp; SF'!B:H, 7, 0)</f>
        <v>4.7399999999999997E-4</v>
      </c>
      <c r="M2266" s="7">
        <f t="shared" si="117"/>
        <v>4.7399999999999997E-4</v>
      </c>
      <c r="N2266" s="4" t="s">
        <v>825</v>
      </c>
      <c r="O2266" s="4">
        <f>VLOOKUP(B2266, 'All Menu'!B:L, 6, 0)</f>
        <v>2.5862068965517242</v>
      </c>
      <c r="P2266" s="6">
        <f>VLOOKUP(B2266, 'All Menu'!B:L, 9, 0)</f>
        <v>1.1090192185550083</v>
      </c>
      <c r="Q2266" s="14">
        <f>VLOOKUP(B2266, 'All Menu'!B:M, 12, 0)</f>
        <v>0.57117923549206351</v>
      </c>
      <c r="R2266" s="173">
        <f t="shared" si="116"/>
        <v>0</v>
      </c>
    </row>
    <row r="2267" spans="1:18" ht="14" hidden="1">
      <c r="A2267" s="78" t="s">
        <v>2826</v>
      </c>
      <c r="B2267" s="220" t="s">
        <v>889</v>
      </c>
      <c r="C2267" s="185"/>
      <c r="D2267" s="103" t="str">
        <f>VLOOKUP(B2267, 'All Menu'!B:M, 4, 0)</f>
        <v>سيزر دجاج فردي</v>
      </c>
      <c r="E2267" s="30" t="str">
        <f>VLOOKUP(B2267, 'All Menu'!B:M, 2, 0)</f>
        <v>قسم المقبلات</v>
      </c>
      <c r="F2267" s="103" t="str">
        <f>VLOOKUP(B2267, 'All Menu'!B:M, 3, 0)</f>
        <v>سلطات سفري</v>
      </c>
      <c r="G2267" s="90" t="s">
        <v>2193</v>
      </c>
      <c r="H2267" s="188">
        <v>4309</v>
      </c>
      <c r="I2267" s="110" t="str">
        <f>VLOOKUP(H2267, 'RM &amp; SF'!B:H, 2, 0)</f>
        <v>اكياس بلاستيك مطبوع 55 سم*****</v>
      </c>
      <c r="J2267" s="184" t="str">
        <f>VLOOKUP(H2267, 'RM &amp; SF'!B:E, 4, 0)</f>
        <v>قطعة</v>
      </c>
      <c r="K2267" s="12">
        <v>1</v>
      </c>
      <c r="L2267" s="13">
        <f>VLOOKUP(H2267, 'RM &amp; SF'!B:H, 7, 0)</f>
        <v>5.5172413793103454E-2</v>
      </c>
      <c r="M2267" s="7">
        <f t="shared" si="117"/>
        <v>5.5172413793103454E-2</v>
      </c>
      <c r="N2267" s="4" t="s">
        <v>825</v>
      </c>
      <c r="O2267" s="4">
        <f>VLOOKUP(B2267, 'All Menu'!B:L, 6, 0)</f>
        <v>2.5862068965517242</v>
      </c>
      <c r="P2267" s="6">
        <f>VLOOKUP(B2267, 'All Menu'!B:L, 9, 0)</f>
        <v>1.1090192185550083</v>
      </c>
      <c r="Q2267" s="14">
        <f>VLOOKUP(B2267, 'All Menu'!B:M, 12, 0)</f>
        <v>0.57117923549206351</v>
      </c>
      <c r="R2267" s="173">
        <f t="shared" si="116"/>
        <v>0</v>
      </c>
    </row>
    <row r="2268" spans="1:18" ht="14" hidden="1">
      <c r="A2268" s="78" t="s">
        <v>2828</v>
      </c>
      <c r="B2268" s="220" t="s">
        <v>890</v>
      </c>
      <c r="C2268" s="185"/>
      <c r="D2268" s="103" t="str">
        <f>VLOOKUP(B2268, 'All Menu'!B:M, 4, 0)</f>
        <v>سلطة كينوا فردي</v>
      </c>
      <c r="E2268" s="30" t="str">
        <f>VLOOKUP(B2268, 'All Menu'!B:M, 2, 0)</f>
        <v>قسم المقبلات</v>
      </c>
      <c r="F2268" s="103" t="str">
        <f>VLOOKUP(B2268, 'All Menu'!B:M, 3, 0)</f>
        <v>سلطات سفري</v>
      </c>
      <c r="G2268" s="90" t="s">
        <v>3058</v>
      </c>
      <c r="H2268" s="188">
        <v>4208</v>
      </c>
      <c r="I2268" s="110" t="str">
        <f>VLOOKUP(H2268, 'RM &amp; SF'!B:H, 2, 0)</f>
        <v>كينوا ابيض*****</v>
      </c>
      <c r="J2268" s="184" t="str">
        <f>VLOOKUP(H2268, 'RM &amp; SF'!B:E, 4, 0)</f>
        <v>غم</v>
      </c>
      <c r="K2268" s="12">
        <v>50</v>
      </c>
      <c r="L2268" s="13">
        <f>VLOOKUP(H2268, 'RM &amp; SF'!B:H, 7, 0)</f>
        <v>3.6540000000000001E-3</v>
      </c>
      <c r="M2268" s="7">
        <f t="shared" si="117"/>
        <v>0.1827</v>
      </c>
      <c r="N2268" s="4" t="s">
        <v>825</v>
      </c>
      <c r="O2268" s="4">
        <f>VLOOKUP(B2268, 'All Menu'!B:L, 6, 0)</f>
        <v>2.5862068965517242</v>
      </c>
      <c r="P2268" s="6">
        <f>VLOOKUP(B2268, 'All Menu'!B:L, 9, 0)</f>
        <v>0.66348513538748821</v>
      </c>
      <c r="Q2268" s="14">
        <f>VLOOKUP(B2268, 'All Menu'!B:M, 12, 0)</f>
        <v>0.74345241431683795</v>
      </c>
      <c r="R2268" s="173">
        <f t="shared" si="116"/>
        <v>0</v>
      </c>
    </row>
    <row r="2269" spans="1:18" ht="14" hidden="1">
      <c r="A2269" s="78" t="s">
        <v>2828</v>
      </c>
      <c r="B2269" s="220" t="s">
        <v>890</v>
      </c>
      <c r="C2269" s="185"/>
      <c r="D2269" s="103" t="str">
        <f>VLOOKUP(B2269, 'All Menu'!B:M, 4, 0)</f>
        <v>سلطة كينوا فردي</v>
      </c>
      <c r="E2269" s="30" t="str">
        <f>VLOOKUP(B2269, 'All Menu'!B:M, 2, 0)</f>
        <v>قسم المقبلات</v>
      </c>
      <c r="F2269" s="103" t="str">
        <f>VLOOKUP(B2269, 'All Menu'!B:M, 3, 0)</f>
        <v>سلطات سفري</v>
      </c>
      <c r="G2269" s="90" t="s">
        <v>2410</v>
      </c>
      <c r="H2269" s="219" t="s">
        <v>524</v>
      </c>
      <c r="I2269" s="110" t="str">
        <f>VLOOKUP(H2269, 'RM &amp; SF'!B:H, 2, 0)</f>
        <v>صوص الكينوا</v>
      </c>
      <c r="J2269" s="184" t="str">
        <f>VLOOKUP(H2269, 'RM &amp; SF'!B:E, 4, 0)</f>
        <v>غم</v>
      </c>
      <c r="K2269" s="12">
        <v>40</v>
      </c>
      <c r="L2269" s="13">
        <f>VLOOKUP(H2269, 'RM &amp; SF'!B:H, 7, 0)</f>
        <v>2.7033888888888884E-3</v>
      </c>
      <c r="M2269" s="7">
        <f t="shared" si="117"/>
        <v>0.10813555555555554</v>
      </c>
      <c r="N2269" s="4" t="s">
        <v>825</v>
      </c>
      <c r="O2269" s="4">
        <f>VLOOKUP(B2269, 'All Menu'!B:L, 6, 0)</f>
        <v>2.5862068965517242</v>
      </c>
      <c r="P2269" s="6">
        <f>VLOOKUP(B2269, 'All Menu'!B:L, 9, 0)</f>
        <v>0.66348513538748821</v>
      </c>
      <c r="Q2269" s="14">
        <f>VLOOKUP(B2269, 'All Menu'!B:M, 12, 0)</f>
        <v>0.74345241431683795</v>
      </c>
      <c r="R2269" s="173">
        <f t="shared" si="116"/>
        <v>0</v>
      </c>
    </row>
    <row r="2270" spans="1:18" ht="14" hidden="1">
      <c r="A2270" s="78" t="s">
        <v>2828</v>
      </c>
      <c r="B2270" s="220" t="s">
        <v>890</v>
      </c>
      <c r="C2270" s="185"/>
      <c r="D2270" s="103" t="str">
        <f>VLOOKUP(B2270, 'All Menu'!B:M, 4, 0)</f>
        <v>سلطة كينوا فردي</v>
      </c>
      <c r="E2270" s="30" t="str">
        <f>VLOOKUP(B2270, 'All Menu'!B:M, 2, 0)</f>
        <v>قسم المقبلات</v>
      </c>
      <c r="F2270" s="103" t="str">
        <f>VLOOKUP(B2270, 'All Menu'!B:M, 3, 0)</f>
        <v>سلطات سفري</v>
      </c>
      <c r="G2270" s="90" t="s">
        <v>3058</v>
      </c>
      <c r="H2270" s="188">
        <v>4542</v>
      </c>
      <c r="I2270" s="110" t="str">
        <f>VLOOKUP(H2270, 'RM &amp; SF'!B:H, 2, 0)</f>
        <v>مانجا طازجة*****</v>
      </c>
      <c r="J2270" s="184" t="str">
        <f>VLOOKUP(H2270, 'RM &amp; SF'!B:E, 4, 0)</f>
        <v>غم</v>
      </c>
      <c r="K2270" s="12">
        <v>30</v>
      </c>
      <c r="L2270" s="13">
        <f>VLOOKUP(H2270, 'RM &amp; SF'!B:H, 7, 0)</f>
        <v>2.5000000000000001E-3</v>
      </c>
      <c r="M2270" s="7">
        <f t="shared" si="117"/>
        <v>7.4999999999999997E-2</v>
      </c>
      <c r="N2270" s="4" t="s">
        <v>825</v>
      </c>
      <c r="O2270" s="4">
        <f>VLOOKUP(B2270, 'All Menu'!B:L, 6, 0)</f>
        <v>2.5862068965517242</v>
      </c>
      <c r="P2270" s="6">
        <f>VLOOKUP(B2270, 'All Menu'!B:L, 9, 0)</f>
        <v>0.66348513538748821</v>
      </c>
      <c r="Q2270" s="14">
        <f>VLOOKUP(B2270, 'All Menu'!B:M, 12, 0)</f>
        <v>0.74345241431683795</v>
      </c>
      <c r="R2270" s="173">
        <f t="shared" si="116"/>
        <v>0</v>
      </c>
    </row>
    <row r="2271" spans="1:18" ht="14" hidden="1">
      <c r="A2271" s="78" t="s">
        <v>2828</v>
      </c>
      <c r="B2271" s="220" t="s">
        <v>890</v>
      </c>
      <c r="C2271" s="185"/>
      <c r="D2271" s="103" t="str">
        <f>VLOOKUP(B2271, 'All Menu'!B:M, 4, 0)</f>
        <v>سلطة كينوا فردي</v>
      </c>
      <c r="E2271" s="30" t="str">
        <f>VLOOKUP(B2271, 'All Menu'!B:M, 2, 0)</f>
        <v>قسم المقبلات</v>
      </c>
      <c r="F2271" s="103" t="str">
        <f>VLOOKUP(B2271, 'All Menu'!B:M, 3, 0)</f>
        <v>سلطات سفري</v>
      </c>
      <c r="G2271" s="90" t="s">
        <v>2271</v>
      </c>
      <c r="H2271" s="188">
        <v>4034</v>
      </c>
      <c r="I2271" s="110" t="str">
        <f>VLOOKUP(H2271, 'RM &amp; SF'!B:H, 2, 0)</f>
        <v>اناناس شرائح 565 غم*****</v>
      </c>
      <c r="J2271" s="184" t="str">
        <f>VLOOKUP(H2271, 'RM &amp; SF'!B:E, 4, 0)</f>
        <v>غم</v>
      </c>
      <c r="K2271" s="12">
        <v>30</v>
      </c>
      <c r="L2271" s="13">
        <f>VLOOKUP(H2271, 'RM &amp; SF'!B:H, 7, 0)</f>
        <v>1.5983193277310924E-3</v>
      </c>
      <c r="M2271" s="7">
        <f t="shared" si="117"/>
        <v>4.7949579831932772E-2</v>
      </c>
      <c r="N2271" s="4" t="s">
        <v>825</v>
      </c>
      <c r="O2271" s="4">
        <f>VLOOKUP(B2271, 'All Menu'!B:L, 6, 0)</f>
        <v>2.5862068965517242</v>
      </c>
      <c r="P2271" s="6">
        <f>VLOOKUP(B2271, 'All Menu'!B:L, 9, 0)</f>
        <v>0.66348513538748821</v>
      </c>
      <c r="Q2271" s="14">
        <f>VLOOKUP(B2271, 'All Menu'!B:M, 12, 0)</f>
        <v>0.74345241431683795</v>
      </c>
      <c r="R2271" s="173">
        <f t="shared" si="116"/>
        <v>0</v>
      </c>
    </row>
    <row r="2272" spans="1:18" ht="14" hidden="1">
      <c r="A2272" s="78" t="s">
        <v>2828</v>
      </c>
      <c r="B2272" s="220" t="s">
        <v>890</v>
      </c>
      <c r="C2272" s="185"/>
      <c r="D2272" s="103" t="str">
        <f>VLOOKUP(B2272, 'All Menu'!B:M, 4, 0)</f>
        <v>سلطة كينوا فردي</v>
      </c>
      <c r="E2272" s="30" t="str">
        <f>VLOOKUP(B2272, 'All Menu'!B:M, 2, 0)</f>
        <v>قسم المقبلات</v>
      </c>
      <c r="F2272" s="103" t="str">
        <f>VLOOKUP(B2272, 'All Menu'!B:M, 3, 0)</f>
        <v>سلطات سفري</v>
      </c>
      <c r="G2272" s="90" t="s">
        <v>2241</v>
      </c>
      <c r="H2272" s="188">
        <v>4518</v>
      </c>
      <c r="I2272" s="110" t="str">
        <f>VLOOKUP(H2272, 'RM &amp; SF'!B:H, 2, 0)</f>
        <v>خس ايسبرغ*****</v>
      </c>
      <c r="J2272" s="184" t="str">
        <f>VLOOKUP(H2272, 'RM &amp; SF'!B:E, 4, 0)</f>
        <v>غم</v>
      </c>
      <c r="K2272" s="12">
        <v>18</v>
      </c>
      <c r="L2272" s="13">
        <f>VLOOKUP(H2272, 'RM &amp; SF'!B:H, 7, 0)</f>
        <v>7.5000000000000002E-4</v>
      </c>
      <c r="M2272" s="7">
        <f t="shared" si="117"/>
        <v>1.35E-2</v>
      </c>
      <c r="N2272" s="4" t="s">
        <v>825</v>
      </c>
      <c r="O2272" s="4">
        <f>VLOOKUP(B2272, 'All Menu'!B:L, 6, 0)</f>
        <v>2.5862068965517242</v>
      </c>
      <c r="P2272" s="6">
        <f>VLOOKUP(B2272, 'All Menu'!B:L, 9, 0)</f>
        <v>0.66348513538748821</v>
      </c>
      <c r="Q2272" s="14">
        <f>VLOOKUP(B2272, 'All Menu'!B:M, 12, 0)</f>
        <v>0.74345241431683795</v>
      </c>
      <c r="R2272" s="173">
        <f t="shared" si="116"/>
        <v>0</v>
      </c>
    </row>
    <row r="2273" spans="1:18" ht="14" hidden="1">
      <c r="A2273" s="78" t="s">
        <v>2828</v>
      </c>
      <c r="B2273" s="220" t="s">
        <v>890</v>
      </c>
      <c r="C2273" s="185"/>
      <c r="D2273" s="103" t="str">
        <f>VLOOKUP(B2273, 'All Menu'!B:M, 4, 0)</f>
        <v>سلطة كينوا فردي</v>
      </c>
      <c r="E2273" s="30" t="str">
        <f>VLOOKUP(B2273, 'All Menu'!B:M, 2, 0)</f>
        <v>قسم المقبلات</v>
      </c>
      <c r="F2273" s="103" t="str">
        <f>VLOOKUP(B2273, 'All Menu'!B:M, 3, 0)</f>
        <v>سلطات سفري</v>
      </c>
      <c r="G2273" s="90" t="s">
        <v>2320</v>
      </c>
      <c r="H2273" s="188">
        <v>5291</v>
      </c>
      <c r="I2273" s="110" t="str">
        <f>VLOOKUP(H2273, 'RM &amp; SF'!B:H, 2, 0)</f>
        <v>تين مجفف (قطين)*****</v>
      </c>
      <c r="J2273" s="184" t="str">
        <f>VLOOKUP(H2273, 'RM &amp; SF'!B:E, 4, 0)</f>
        <v>غم</v>
      </c>
      <c r="K2273" s="12">
        <v>75</v>
      </c>
      <c r="L2273" s="13">
        <f>VLOOKUP(H2273, 'RM &amp; SF'!B:H, 7, 0)</f>
        <v>2.2559999999999998E-3</v>
      </c>
      <c r="M2273" s="7">
        <f t="shared" ref="M2273" si="118">L2273*K2273</f>
        <v>0.16919999999999999</v>
      </c>
      <c r="N2273" s="4" t="s">
        <v>825</v>
      </c>
      <c r="O2273" s="4">
        <f>VLOOKUP(B2273, 'All Menu'!B:L, 6, 0)</f>
        <v>2.5862068965517242</v>
      </c>
      <c r="P2273" s="6">
        <f>VLOOKUP(B2273, 'All Menu'!B:L, 9, 0)</f>
        <v>0.66348513538748821</v>
      </c>
      <c r="Q2273" s="14">
        <f>VLOOKUP(B2273, 'All Menu'!B:M, 12, 0)</f>
        <v>0.74345241431683795</v>
      </c>
      <c r="R2273" s="173">
        <f t="shared" ref="R2273" si="119">C2273*K2273</f>
        <v>0</v>
      </c>
    </row>
    <row r="2274" spans="1:18" ht="14" hidden="1">
      <c r="A2274" s="78" t="s">
        <v>2828</v>
      </c>
      <c r="B2274" s="220" t="s">
        <v>890</v>
      </c>
      <c r="C2274" s="185"/>
      <c r="D2274" s="103" t="str">
        <f>VLOOKUP(B2274, 'All Menu'!B:M, 4, 0)</f>
        <v>سلطة كينوا فردي</v>
      </c>
      <c r="E2274" s="30" t="str">
        <f>VLOOKUP(B2274, 'All Menu'!B:M, 2, 0)</f>
        <v>قسم المقبلات</v>
      </c>
      <c r="F2274" s="103" t="str">
        <f>VLOOKUP(B2274, 'All Menu'!B:M, 3, 0)</f>
        <v>سلطات سفري</v>
      </c>
      <c r="G2274" s="90" t="s">
        <v>2307</v>
      </c>
      <c r="H2274" s="188">
        <v>4284</v>
      </c>
      <c r="I2274" s="110" t="str">
        <f>VLOOKUP(H2274, 'RM &amp; SF'!B:H, 2, 0)</f>
        <v>علب سلطة بلاستيك شفاف (كرستال) دائرية متصل 500 مل*****</v>
      </c>
      <c r="J2274" s="184" t="str">
        <f>VLOOKUP(H2274, 'RM &amp; SF'!B:E, 4, 0)</f>
        <v>قطعة</v>
      </c>
      <c r="K2274" s="12">
        <v>1</v>
      </c>
      <c r="L2274" s="13">
        <f>VLOOKUP(H2274, 'RM &amp; SF'!B:H, 7, 0)</f>
        <v>6.7000000000000004E-2</v>
      </c>
      <c r="M2274" s="7">
        <f t="shared" si="117"/>
        <v>6.7000000000000004E-2</v>
      </c>
      <c r="N2274" s="4" t="s">
        <v>825</v>
      </c>
      <c r="O2274" s="4">
        <f>VLOOKUP(B2274, 'All Menu'!B:L, 6, 0)</f>
        <v>2.5862068965517242</v>
      </c>
      <c r="P2274" s="6">
        <f>VLOOKUP(B2274, 'All Menu'!B:L, 9, 0)</f>
        <v>0.66348513538748821</v>
      </c>
      <c r="Q2274" s="14">
        <f>VLOOKUP(B2274, 'All Menu'!B:M, 12, 0)</f>
        <v>0.74345241431683795</v>
      </c>
      <c r="R2274" s="173">
        <f t="shared" si="116"/>
        <v>0</v>
      </c>
    </row>
    <row r="2275" spans="1:18" ht="14" hidden="1">
      <c r="A2275" s="78" t="s">
        <v>3065</v>
      </c>
      <c r="B2275" s="220" t="s">
        <v>891</v>
      </c>
      <c r="C2275" s="185"/>
      <c r="D2275" s="103" t="str">
        <f>VLOOKUP(B2275, 'All Menu'!B:M, 4, 0)</f>
        <v>متبل</v>
      </c>
      <c r="E2275" s="30" t="str">
        <f>VLOOKUP(B2275, 'All Menu'!B:M, 2, 0)</f>
        <v>قسم المقبلات</v>
      </c>
      <c r="F2275" s="103" t="str">
        <f>VLOOKUP(B2275, 'All Menu'!B:M, 3, 0)</f>
        <v>المقبلات سفري</v>
      </c>
      <c r="G2275" s="90" t="s">
        <v>2449</v>
      </c>
      <c r="H2275" s="219" t="s">
        <v>514</v>
      </c>
      <c r="I2275" s="110" t="str">
        <f>VLOOKUP(H2275, 'RM &amp; SF'!B:H, 2, 0)</f>
        <v>متبل</v>
      </c>
      <c r="J2275" s="184" t="str">
        <f>VLOOKUP(H2275, 'RM &amp; SF'!B:E, 4, 0)</f>
        <v>غم</v>
      </c>
      <c r="K2275" s="12">
        <v>250</v>
      </c>
      <c r="L2275" s="13">
        <f>VLOOKUP(H2275, 'RM &amp; SF'!B:H, 7, 0)</f>
        <v>8.7110666895055388E-4</v>
      </c>
      <c r="M2275" s="7">
        <f t="shared" si="117"/>
        <v>0.21777666723763847</v>
      </c>
      <c r="N2275" s="4" t="s">
        <v>825</v>
      </c>
      <c r="O2275" s="4">
        <f>VLOOKUP(B2275, 'All Menu'!B:L, 6, 0)</f>
        <v>1.7241379310344829</v>
      </c>
      <c r="P2275" s="6">
        <f>VLOOKUP(B2275, 'All Menu'!B:L, 9, 0)</f>
        <v>0.32280166723763842</v>
      </c>
      <c r="Q2275" s="14">
        <f>VLOOKUP(B2275, 'All Menu'!B:M, 12, 0)</f>
        <v>0.8127750330021698</v>
      </c>
      <c r="R2275" s="173">
        <f t="shared" si="116"/>
        <v>0</v>
      </c>
    </row>
    <row r="2276" spans="1:18" ht="14" hidden="1">
      <c r="A2276" s="78" t="s">
        <v>3065</v>
      </c>
      <c r="B2276" s="220" t="s">
        <v>891</v>
      </c>
      <c r="C2276" s="185"/>
      <c r="D2276" s="103" t="str">
        <f>VLOOKUP(B2276, 'All Menu'!B:M, 4, 0)</f>
        <v>متبل</v>
      </c>
      <c r="E2276" s="30" t="str">
        <f>VLOOKUP(B2276, 'All Menu'!B:M, 2, 0)</f>
        <v>قسم المقبلات</v>
      </c>
      <c r="F2276" s="103" t="str">
        <f>VLOOKUP(B2276, 'All Menu'!B:M, 3, 0)</f>
        <v>المقبلات سفري</v>
      </c>
      <c r="G2276" s="90" t="s">
        <v>3058</v>
      </c>
      <c r="H2276" s="188">
        <v>4516</v>
      </c>
      <c r="I2276" s="110" t="str">
        <f>VLOOKUP(H2276, 'RM &amp; SF'!B:H, 2, 0)</f>
        <v>بندورة كرزية (بندورة شري)*****</v>
      </c>
      <c r="J2276" s="184" t="str">
        <f>VLOOKUP(H2276, 'RM &amp; SF'!B:E, 4, 0)</f>
        <v>غم</v>
      </c>
      <c r="K2276" s="12">
        <v>7</v>
      </c>
      <c r="L2276" s="13">
        <f>VLOOKUP(H2276, 'RM &amp; SF'!B:H, 7, 0)</f>
        <v>1.8749999999999999E-3</v>
      </c>
      <c r="M2276" s="7">
        <f t="shared" si="117"/>
        <v>1.3125E-2</v>
      </c>
      <c r="N2276" s="4" t="s">
        <v>825</v>
      </c>
      <c r="O2276" s="4">
        <f>VLOOKUP(B2276, 'All Menu'!B:L, 6, 0)</f>
        <v>1.7241379310344829</v>
      </c>
      <c r="P2276" s="6">
        <f>VLOOKUP(B2276, 'All Menu'!B:L, 9, 0)</f>
        <v>0.32280166723763842</v>
      </c>
      <c r="Q2276" s="14">
        <f>VLOOKUP(B2276, 'All Menu'!B:M, 12, 0)</f>
        <v>0.8127750330021698</v>
      </c>
      <c r="R2276" s="173">
        <f t="shared" si="116"/>
        <v>0</v>
      </c>
    </row>
    <row r="2277" spans="1:18" ht="14" hidden="1">
      <c r="A2277" s="78" t="s">
        <v>3065</v>
      </c>
      <c r="B2277" s="220" t="s">
        <v>891</v>
      </c>
      <c r="C2277" s="185"/>
      <c r="D2277" s="103" t="str">
        <f>VLOOKUP(B2277, 'All Menu'!B:M, 4, 0)</f>
        <v>متبل</v>
      </c>
      <c r="E2277" s="30" t="str">
        <f>VLOOKUP(B2277, 'All Menu'!B:M, 2, 0)</f>
        <v>قسم المقبلات</v>
      </c>
      <c r="F2277" s="103" t="str">
        <f>VLOOKUP(B2277, 'All Menu'!B:M, 3, 0)</f>
        <v>المقبلات سفري</v>
      </c>
      <c r="G2277" s="90" t="s">
        <v>2191</v>
      </c>
      <c r="H2277" s="188">
        <v>4282</v>
      </c>
      <c r="I2277" s="110" t="str">
        <f>VLOOKUP(H2277, 'RM &amp; SF'!B:H, 2, 0)</f>
        <v>علب سوشي اسود رقم 3*****</v>
      </c>
      <c r="J2277" s="184" t="str">
        <f>VLOOKUP(H2277, 'RM &amp; SF'!B:E, 4, 0)</f>
        <v>قطعة</v>
      </c>
      <c r="K2277" s="12">
        <v>1</v>
      </c>
      <c r="L2277" s="13">
        <f>VLOOKUP(H2277, 'RM &amp; SF'!B:H, 7, 0)</f>
        <v>8.6199999999999999E-2</v>
      </c>
      <c r="M2277" s="7">
        <f t="shared" si="117"/>
        <v>8.6199999999999999E-2</v>
      </c>
      <c r="N2277" s="4" t="s">
        <v>825</v>
      </c>
      <c r="O2277" s="4">
        <f>VLOOKUP(B2277, 'All Menu'!B:L, 6, 0)</f>
        <v>1.7241379310344829</v>
      </c>
      <c r="P2277" s="6">
        <f>VLOOKUP(B2277, 'All Menu'!B:L, 9, 0)</f>
        <v>0.32280166723763842</v>
      </c>
      <c r="Q2277" s="14">
        <f>VLOOKUP(B2277, 'All Menu'!B:M, 12, 0)</f>
        <v>0.8127750330021698</v>
      </c>
      <c r="R2277" s="173">
        <f t="shared" si="116"/>
        <v>0</v>
      </c>
    </row>
    <row r="2278" spans="1:18" ht="14" hidden="1">
      <c r="A2278" s="78" t="s">
        <v>3065</v>
      </c>
      <c r="B2278" s="220" t="s">
        <v>891</v>
      </c>
      <c r="C2278" s="185"/>
      <c r="D2278" s="103" t="str">
        <f>VLOOKUP(B2278, 'All Menu'!B:M, 4, 0)</f>
        <v>متبل</v>
      </c>
      <c r="E2278" s="30" t="str">
        <f>VLOOKUP(B2278, 'All Menu'!B:M, 2, 0)</f>
        <v>قسم المقبلات</v>
      </c>
      <c r="F2278" s="103" t="str">
        <f>VLOOKUP(B2278, 'All Menu'!B:M, 3, 0)</f>
        <v>المقبلات سفري</v>
      </c>
      <c r="G2278" s="90" t="s">
        <v>3058</v>
      </c>
      <c r="H2278" s="188">
        <v>4425</v>
      </c>
      <c r="I2278" s="110" t="str">
        <f>VLOOKUP(H2278, 'RM &amp; SF'!B:H, 2, 0)</f>
        <v>ليبل المركزية دائري 5*5 سم*****</v>
      </c>
      <c r="J2278" s="184" t="str">
        <f>VLOOKUP(H2278, 'RM &amp; SF'!B:E, 4, 0)</f>
        <v>قطعة</v>
      </c>
      <c r="K2278" s="12">
        <v>1</v>
      </c>
      <c r="L2278" s="13">
        <f>VLOOKUP(H2278, 'RM &amp; SF'!B:H, 7, 0)</f>
        <v>5.7000000000000002E-3</v>
      </c>
      <c r="M2278" s="7">
        <f t="shared" si="117"/>
        <v>5.7000000000000002E-3</v>
      </c>
      <c r="N2278" s="4" t="s">
        <v>825</v>
      </c>
      <c r="O2278" s="4">
        <f>VLOOKUP(B2278, 'All Menu'!B:L, 6, 0)</f>
        <v>1.7241379310344829</v>
      </c>
      <c r="P2278" s="6">
        <f>VLOOKUP(B2278, 'All Menu'!B:L, 9, 0)</f>
        <v>0.32280166723763842</v>
      </c>
      <c r="Q2278" s="14">
        <f>VLOOKUP(B2278, 'All Menu'!B:M, 12, 0)</f>
        <v>0.8127750330021698</v>
      </c>
      <c r="R2278" s="173">
        <f t="shared" si="116"/>
        <v>0</v>
      </c>
    </row>
    <row r="2279" spans="1:18" ht="14" hidden="1">
      <c r="A2279" s="78" t="s">
        <v>2801</v>
      </c>
      <c r="B2279" s="220" t="s">
        <v>892</v>
      </c>
      <c r="C2279" s="185"/>
      <c r="D2279" s="103" t="str">
        <f>VLOOKUP(B2279, 'All Menu'!B:M, 4, 0)</f>
        <v>يلنجي 10 قطع</v>
      </c>
      <c r="E2279" s="30" t="str">
        <f>VLOOKUP(B2279, 'All Menu'!B:M, 2, 0)</f>
        <v>قسم المقبلات</v>
      </c>
      <c r="F2279" s="103" t="str">
        <f>VLOOKUP(B2279, 'All Menu'!B:M, 3, 0)</f>
        <v>المقبلات سفري</v>
      </c>
      <c r="G2279" s="90" t="s">
        <v>2381</v>
      </c>
      <c r="H2279" s="219" t="s">
        <v>492</v>
      </c>
      <c r="I2279" s="110" t="str">
        <f>VLOOKUP(H2279, 'RM &amp; SF'!B:H, 2, 0)</f>
        <v>يلنجي بالحبة</v>
      </c>
      <c r="J2279" s="184" t="str">
        <f>VLOOKUP(H2279, 'RM &amp; SF'!B:E, 4, 0)</f>
        <v>قطعة</v>
      </c>
      <c r="K2279" s="12">
        <v>10</v>
      </c>
      <c r="L2279" s="13">
        <f>VLOOKUP(H2279, 'RM &amp; SF'!B:H, 7, 0)</f>
        <v>3.3316857762056666E-2</v>
      </c>
      <c r="M2279" s="7">
        <f t="shared" si="117"/>
        <v>0.33316857762056667</v>
      </c>
      <c r="N2279" s="4" t="s">
        <v>825</v>
      </c>
      <c r="O2279" s="4">
        <f>VLOOKUP(B2279, 'All Menu'!B:L, 6, 0)</f>
        <v>2.5862068965517242</v>
      </c>
      <c r="P2279" s="6">
        <f>VLOOKUP(B2279, 'All Menu'!B:L, 9, 0)</f>
        <v>0.47319357762056669</v>
      </c>
      <c r="Q2279" s="14">
        <f>VLOOKUP(B2279, 'All Menu'!B:M, 12, 0)</f>
        <v>0.81703181665338087</v>
      </c>
      <c r="R2279" s="173">
        <f t="shared" si="116"/>
        <v>0</v>
      </c>
    </row>
    <row r="2280" spans="1:18" ht="14" hidden="1">
      <c r="A2280" s="78" t="s">
        <v>2801</v>
      </c>
      <c r="B2280" s="220" t="s">
        <v>892</v>
      </c>
      <c r="C2280" s="185"/>
      <c r="D2280" s="103" t="str">
        <f>VLOOKUP(B2280, 'All Menu'!B:M, 4, 0)</f>
        <v>يلنجي 10 قطع</v>
      </c>
      <c r="E2280" s="30" t="str">
        <f>VLOOKUP(B2280, 'All Menu'!B:M, 2, 0)</f>
        <v>قسم المقبلات</v>
      </c>
      <c r="F2280" s="103" t="str">
        <f>VLOOKUP(B2280, 'All Menu'!B:M, 3, 0)</f>
        <v>المقبلات سفري</v>
      </c>
      <c r="G2280" s="90" t="s">
        <v>3058</v>
      </c>
      <c r="H2280" s="188">
        <v>4516</v>
      </c>
      <c r="I2280" s="110" t="str">
        <f>VLOOKUP(H2280, 'RM &amp; SF'!B:H, 2, 0)</f>
        <v>بندورة كرزية (بندورة شري)*****</v>
      </c>
      <c r="J2280" s="184" t="str">
        <f>VLOOKUP(H2280, 'RM &amp; SF'!B:E, 4, 0)</f>
        <v>غم</v>
      </c>
      <c r="K2280" s="12">
        <v>7</v>
      </c>
      <c r="L2280" s="13">
        <f>VLOOKUP(H2280, 'RM &amp; SF'!B:H, 7, 0)</f>
        <v>1.8749999999999999E-3</v>
      </c>
      <c r="M2280" s="7">
        <f t="shared" si="117"/>
        <v>1.3125E-2</v>
      </c>
      <c r="N2280" s="4" t="s">
        <v>825</v>
      </c>
      <c r="O2280" s="4">
        <f>VLOOKUP(B2280, 'All Menu'!B:L, 6, 0)</f>
        <v>2.5862068965517242</v>
      </c>
      <c r="P2280" s="6">
        <f>VLOOKUP(B2280, 'All Menu'!B:L, 9, 0)</f>
        <v>0.47319357762056669</v>
      </c>
      <c r="Q2280" s="14">
        <f>VLOOKUP(B2280, 'All Menu'!B:M, 12, 0)</f>
        <v>0.81703181665338087</v>
      </c>
      <c r="R2280" s="173">
        <f t="shared" si="116"/>
        <v>0</v>
      </c>
    </row>
    <row r="2281" spans="1:18" ht="14" hidden="1">
      <c r="A2281" s="78" t="s">
        <v>2801</v>
      </c>
      <c r="B2281" s="220" t="s">
        <v>892</v>
      </c>
      <c r="C2281" s="185"/>
      <c r="D2281" s="103" t="str">
        <f>VLOOKUP(B2281, 'All Menu'!B:M, 4, 0)</f>
        <v>يلنجي 10 قطع</v>
      </c>
      <c r="E2281" s="30" t="str">
        <f>VLOOKUP(B2281, 'All Menu'!B:M, 2, 0)</f>
        <v>قسم المقبلات</v>
      </c>
      <c r="F2281" s="103" t="str">
        <f>VLOOKUP(B2281, 'All Menu'!B:M, 3, 0)</f>
        <v>المقبلات سفري</v>
      </c>
      <c r="G2281" s="90" t="s">
        <v>2239</v>
      </c>
      <c r="H2281" s="188">
        <v>4513</v>
      </c>
      <c r="I2281" s="110" t="str">
        <f>VLOOKUP(H2281, 'RM &amp; SF'!B:H, 2, 0)</f>
        <v>ليمون اصفر*****</v>
      </c>
      <c r="J2281" s="184" t="str">
        <f>VLOOKUP(H2281, 'RM &amp; SF'!B:E, 4, 0)</f>
        <v>غم</v>
      </c>
      <c r="K2281" s="12">
        <v>20</v>
      </c>
      <c r="L2281" s="13">
        <f>VLOOKUP(H2281, 'RM &amp; SF'!B:H, 7, 0)</f>
        <v>1.75E-3</v>
      </c>
      <c r="M2281" s="7">
        <f t="shared" si="117"/>
        <v>3.5000000000000003E-2</v>
      </c>
      <c r="N2281" s="4" t="s">
        <v>825</v>
      </c>
      <c r="O2281" s="4">
        <f>VLOOKUP(B2281, 'All Menu'!B:L, 6, 0)</f>
        <v>2.5862068965517242</v>
      </c>
      <c r="P2281" s="6">
        <f>VLOOKUP(B2281, 'All Menu'!B:L, 9, 0)</f>
        <v>0.47319357762056669</v>
      </c>
      <c r="Q2281" s="14">
        <f>VLOOKUP(B2281, 'All Menu'!B:M, 12, 0)</f>
        <v>0.81703181665338087</v>
      </c>
      <c r="R2281" s="173">
        <f t="shared" si="116"/>
        <v>0</v>
      </c>
    </row>
    <row r="2282" spans="1:18" ht="14" hidden="1">
      <c r="A2282" s="78" t="s">
        <v>2801</v>
      </c>
      <c r="B2282" s="220" t="s">
        <v>892</v>
      </c>
      <c r="C2282" s="185"/>
      <c r="D2282" s="103" t="str">
        <f>VLOOKUP(B2282, 'All Menu'!B:M, 4, 0)</f>
        <v>يلنجي 10 قطع</v>
      </c>
      <c r="E2282" s="30" t="str">
        <f>VLOOKUP(B2282, 'All Menu'!B:M, 2, 0)</f>
        <v>قسم المقبلات</v>
      </c>
      <c r="F2282" s="103" t="str">
        <f>VLOOKUP(B2282, 'All Menu'!B:M, 3, 0)</f>
        <v>المقبلات سفري</v>
      </c>
      <c r="G2282" s="90" t="s">
        <v>2191</v>
      </c>
      <c r="H2282" s="188">
        <v>4282</v>
      </c>
      <c r="I2282" s="110" t="str">
        <f>VLOOKUP(H2282, 'RM &amp; SF'!B:H, 2, 0)</f>
        <v>علب سوشي اسود رقم 3*****</v>
      </c>
      <c r="J2282" s="184" t="str">
        <f>VLOOKUP(H2282, 'RM &amp; SF'!B:E, 4, 0)</f>
        <v>قطعة</v>
      </c>
      <c r="K2282" s="12">
        <v>1</v>
      </c>
      <c r="L2282" s="13">
        <f>VLOOKUP(H2282, 'RM &amp; SF'!B:H, 7, 0)</f>
        <v>8.6199999999999999E-2</v>
      </c>
      <c r="M2282" s="7">
        <f t="shared" si="117"/>
        <v>8.6199999999999999E-2</v>
      </c>
      <c r="N2282" s="4" t="s">
        <v>825</v>
      </c>
      <c r="O2282" s="4">
        <f>VLOOKUP(B2282, 'All Menu'!B:L, 6, 0)</f>
        <v>2.5862068965517242</v>
      </c>
      <c r="P2282" s="6">
        <f>VLOOKUP(B2282, 'All Menu'!B:L, 9, 0)</f>
        <v>0.47319357762056669</v>
      </c>
      <c r="Q2282" s="14">
        <f>VLOOKUP(B2282, 'All Menu'!B:M, 12, 0)</f>
        <v>0.81703181665338087</v>
      </c>
      <c r="R2282" s="173">
        <f t="shared" si="116"/>
        <v>0</v>
      </c>
    </row>
    <row r="2283" spans="1:18" ht="14" hidden="1">
      <c r="A2283" s="78" t="s">
        <v>2801</v>
      </c>
      <c r="B2283" s="220" t="s">
        <v>892</v>
      </c>
      <c r="C2283" s="185"/>
      <c r="D2283" s="103" t="str">
        <f>VLOOKUP(B2283, 'All Menu'!B:M, 4, 0)</f>
        <v>يلنجي 10 قطع</v>
      </c>
      <c r="E2283" s="30" t="str">
        <f>VLOOKUP(B2283, 'All Menu'!B:M, 2, 0)</f>
        <v>قسم المقبلات</v>
      </c>
      <c r="F2283" s="103" t="str">
        <f>VLOOKUP(B2283, 'All Menu'!B:M, 3, 0)</f>
        <v>المقبلات سفري</v>
      </c>
      <c r="G2283" s="90" t="s">
        <v>3058</v>
      </c>
      <c r="H2283" s="188">
        <v>4425</v>
      </c>
      <c r="I2283" s="110" t="str">
        <f>VLOOKUP(H2283, 'RM &amp; SF'!B:H, 2, 0)</f>
        <v>ليبل المركزية دائري 5*5 سم*****</v>
      </c>
      <c r="J2283" s="184" t="str">
        <f>VLOOKUP(H2283, 'RM &amp; SF'!B:E, 4, 0)</f>
        <v>قطعة</v>
      </c>
      <c r="K2283" s="12">
        <v>1</v>
      </c>
      <c r="L2283" s="13">
        <f>VLOOKUP(H2283, 'RM &amp; SF'!B:H, 7, 0)</f>
        <v>5.7000000000000002E-3</v>
      </c>
      <c r="M2283" s="7">
        <f t="shared" si="117"/>
        <v>5.7000000000000002E-3</v>
      </c>
      <c r="N2283" s="4" t="s">
        <v>825</v>
      </c>
      <c r="O2283" s="4">
        <f>VLOOKUP(B2283, 'All Menu'!B:L, 6, 0)</f>
        <v>2.5862068965517242</v>
      </c>
      <c r="P2283" s="6">
        <f>VLOOKUP(B2283, 'All Menu'!B:L, 9, 0)</f>
        <v>0.47319357762056669</v>
      </c>
      <c r="Q2283" s="14">
        <f>VLOOKUP(B2283, 'All Menu'!B:M, 12, 0)</f>
        <v>0.81703181665338087</v>
      </c>
      <c r="R2283" s="173">
        <f t="shared" si="116"/>
        <v>0</v>
      </c>
    </row>
    <row r="2284" spans="1:18" ht="14" hidden="1">
      <c r="A2284" s="78" t="s">
        <v>2808</v>
      </c>
      <c r="B2284" s="220" t="s">
        <v>893</v>
      </c>
      <c r="C2284" s="185"/>
      <c r="D2284" s="103" t="str">
        <f>VLOOKUP(B2284, 'All Menu'!B:M, 4, 0)</f>
        <v>كبة مقلية</v>
      </c>
      <c r="E2284" s="30" t="str">
        <f>VLOOKUP(B2284, 'All Menu'!B:M, 2, 0)</f>
        <v>قسم المقبلات</v>
      </c>
      <c r="F2284" s="103" t="str">
        <f>VLOOKUP(B2284, 'All Menu'!B:M, 3, 0)</f>
        <v>المقبلات سفري</v>
      </c>
      <c r="G2284" s="90" t="s">
        <v>2416</v>
      </c>
      <c r="H2284" s="219" t="s">
        <v>568</v>
      </c>
      <c r="I2284" s="110" t="str">
        <f>VLOOKUP(H2284, 'RM &amp; SF'!B:H, 2, 0)</f>
        <v>كبة مقلية</v>
      </c>
      <c r="J2284" s="184" t="str">
        <f>VLOOKUP(H2284, 'RM &amp; SF'!B:E, 4, 0)</f>
        <v>قطعة</v>
      </c>
      <c r="K2284" s="12">
        <v>1</v>
      </c>
      <c r="L2284" s="13">
        <f>VLOOKUP(H2284, 'RM &amp; SF'!B:H, 7, 0)</f>
        <v>0.6428704741052631</v>
      </c>
      <c r="M2284" s="7">
        <f t="shared" si="117"/>
        <v>0.6428704741052631</v>
      </c>
      <c r="N2284" s="4" t="s">
        <v>825</v>
      </c>
      <c r="O2284" s="4">
        <f>VLOOKUP(B2284, 'All Menu'!B:L, 6, 0)</f>
        <v>0.64655172413793105</v>
      </c>
      <c r="P2284" s="6">
        <f>VLOOKUP(B2284, 'All Menu'!B:L, 9, 0)</f>
        <v>0.74333047410526309</v>
      </c>
      <c r="Q2284" s="14">
        <f>VLOOKUP(B2284, 'All Menu'!B:M, 12, 0)</f>
        <v>-0.14968446661614024</v>
      </c>
      <c r="R2284" s="173">
        <f t="shared" si="116"/>
        <v>0</v>
      </c>
    </row>
    <row r="2285" spans="1:18" ht="14" hidden="1">
      <c r="A2285" s="78" t="s">
        <v>2808</v>
      </c>
      <c r="B2285" s="220" t="s">
        <v>893</v>
      </c>
      <c r="C2285" s="185"/>
      <c r="D2285" s="103" t="str">
        <f>VLOOKUP(B2285, 'All Menu'!B:M, 4, 0)</f>
        <v>كبة مقلية</v>
      </c>
      <c r="E2285" s="30" t="str">
        <f>VLOOKUP(B2285, 'All Menu'!B:M, 2, 0)</f>
        <v>قسم المقبلات</v>
      </c>
      <c r="F2285" s="103" t="str">
        <f>VLOOKUP(B2285, 'All Menu'!B:M, 3, 0)</f>
        <v>المقبلات سفري</v>
      </c>
      <c r="G2285" s="90" t="s">
        <v>2184</v>
      </c>
      <c r="H2285" s="188">
        <v>4265</v>
      </c>
      <c r="I2285" s="110" t="str">
        <f>VLOOKUP(H2285, 'RM &amp; SF'!B:H, 2, 0)</f>
        <v>علب بطاطا كرتون مطبوع 1*25 حبة*****</v>
      </c>
      <c r="J2285" s="184" t="str">
        <f>VLOOKUP(H2285, 'RM &amp; SF'!B:E, 4, 0)</f>
        <v>قطعة</v>
      </c>
      <c r="K2285" s="12">
        <v>1</v>
      </c>
      <c r="L2285" s="13">
        <f>VLOOKUP(H2285, 'RM &amp; SF'!B:H, 7, 0)</f>
        <v>6.0299999999999999E-2</v>
      </c>
      <c r="M2285" s="7">
        <f t="shared" si="117"/>
        <v>6.0299999999999999E-2</v>
      </c>
      <c r="N2285" s="4" t="s">
        <v>825</v>
      </c>
      <c r="O2285" s="4">
        <f>VLOOKUP(B2285, 'All Menu'!B:L, 6, 0)</f>
        <v>0.64655172413793105</v>
      </c>
      <c r="P2285" s="6">
        <f>VLOOKUP(B2285, 'All Menu'!B:L, 9, 0)</f>
        <v>0.74333047410526309</v>
      </c>
      <c r="Q2285" s="14">
        <f>VLOOKUP(B2285, 'All Menu'!B:M, 12, 0)</f>
        <v>-0.14968446661614024</v>
      </c>
      <c r="R2285" s="173">
        <f t="shared" si="116"/>
        <v>0</v>
      </c>
    </row>
    <row r="2286" spans="1:18" ht="14" hidden="1">
      <c r="A2286" s="78" t="s">
        <v>2808</v>
      </c>
      <c r="B2286" s="220" t="s">
        <v>893</v>
      </c>
      <c r="C2286" s="185"/>
      <c r="D2286" s="103" t="str">
        <f>VLOOKUP(B2286, 'All Menu'!B:M, 4, 0)</f>
        <v>كبة مقلية</v>
      </c>
      <c r="E2286" s="30" t="str">
        <f>VLOOKUP(B2286, 'All Menu'!B:M, 2, 0)</f>
        <v>قسم المقبلات</v>
      </c>
      <c r="F2286" s="103" t="str">
        <f>VLOOKUP(B2286, 'All Menu'!B:M, 3, 0)</f>
        <v>المقبلات سفري</v>
      </c>
      <c r="G2286" s="90" t="s">
        <v>3058</v>
      </c>
      <c r="H2286" s="188">
        <v>4517</v>
      </c>
      <c r="I2286" s="110" t="str">
        <f>VLOOKUP(H2286, 'RM &amp; SF'!B:H, 2, 0)</f>
        <v>خس بلدي*****</v>
      </c>
      <c r="J2286" s="184" t="str">
        <f>VLOOKUP(H2286, 'RM &amp; SF'!B:E, 4, 0)</f>
        <v>غم</v>
      </c>
      <c r="K2286" s="12">
        <v>20</v>
      </c>
      <c r="L2286" s="13">
        <f>VLOOKUP(H2286, 'RM &amp; SF'!B:H, 7, 0)</f>
        <v>5.0000000000000001E-4</v>
      </c>
      <c r="M2286" s="7">
        <f t="shared" si="117"/>
        <v>0.01</v>
      </c>
      <c r="N2286" s="4" t="s">
        <v>825</v>
      </c>
      <c r="O2286" s="4">
        <f>VLOOKUP(B2286, 'All Menu'!B:L, 6, 0)</f>
        <v>0.64655172413793105</v>
      </c>
      <c r="P2286" s="6">
        <f>VLOOKUP(B2286, 'All Menu'!B:L, 9, 0)</f>
        <v>0.74333047410526309</v>
      </c>
      <c r="Q2286" s="14">
        <f>VLOOKUP(B2286, 'All Menu'!B:M, 12, 0)</f>
        <v>-0.14968446661614024</v>
      </c>
      <c r="R2286" s="173">
        <f t="shared" si="116"/>
        <v>0</v>
      </c>
    </row>
    <row r="2287" spans="1:18" ht="14" hidden="1">
      <c r="A2287" s="78" t="s">
        <v>2808</v>
      </c>
      <c r="B2287" s="220" t="s">
        <v>893</v>
      </c>
      <c r="C2287" s="185"/>
      <c r="D2287" s="103" t="str">
        <f>VLOOKUP(B2287, 'All Menu'!B:M, 4, 0)</f>
        <v>كبة مقلية</v>
      </c>
      <c r="E2287" s="30" t="str">
        <f>VLOOKUP(B2287, 'All Menu'!B:M, 2, 0)</f>
        <v>قسم المقبلات</v>
      </c>
      <c r="F2287" s="103" t="str">
        <f>VLOOKUP(B2287, 'All Menu'!B:M, 3, 0)</f>
        <v>المقبلات سفري</v>
      </c>
      <c r="G2287" s="90" t="s">
        <v>2265</v>
      </c>
      <c r="H2287" s="188">
        <v>4006</v>
      </c>
      <c r="I2287" s="110" t="str">
        <f>VLOOKUP(H2287, 'RM &amp; SF'!B:H, 2, 0)</f>
        <v>دبس رمان 5 كغ (مادة أولية)*****</v>
      </c>
      <c r="J2287" s="184" t="str">
        <f>VLOOKUP(H2287, 'RM &amp; SF'!B:E, 4, 0)</f>
        <v>غم</v>
      </c>
      <c r="K2287" s="12">
        <v>20</v>
      </c>
      <c r="L2287" s="13">
        <f>VLOOKUP(H2287, 'RM &amp; SF'!B:H, 7, 0)</f>
        <v>1.508E-3</v>
      </c>
      <c r="M2287" s="7">
        <f t="shared" si="117"/>
        <v>3.0159999999999999E-2</v>
      </c>
      <c r="N2287" s="4" t="s">
        <v>825</v>
      </c>
      <c r="O2287" s="4">
        <f>VLOOKUP(B2287, 'All Menu'!B:L, 6, 0)</f>
        <v>0.64655172413793105</v>
      </c>
      <c r="P2287" s="6">
        <f>VLOOKUP(B2287, 'All Menu'!B:L, 9, 0)</f>
        <v>0.74333047410526309</v>
      </c>
      <c r="Q2287" s="14">
        <f>VLOOKUP(B2287, 'All Menu'!B:M, 12, 0)</f>
        <v>-0.14968446661614024</v>
      </c>
      <c r="R2287" s="173">
        <f t="shared" si="116"/>
        <v>0</v>
      </c>
    </row>
    <row r="2288" spans="1:18" ht="14" hidden="1">
      <c r="A2288" s="78" t="s">
        <v>3063</v>
      </c>
      <c r="B2288" s="220" t="s">
        <v>895</v>
      </c>
      <c r="C2288" s="185"/>
      <c r="D2288" s="103" t="str">
        <f>VLOOKUP(B2288, 'All Menu'!B:M, 4, 0)</f>
        <v>حمص</v>
      </c>
      <c r="E2288" s="30" t="str">
        <f>VLOOKUP(B2288, 'All Menu'!B:M, 2, 0)</f>
        <v>قسم المقبلات</v>
      </c>
      <c r="F2288" s="103" t="str">
        <f>VLOOKUP(B2288, 'All Menu'!B:M, 3, 0)</f>
        <v>المقبلات سفري</v>
      </c>
      <c r="G2288" s="90" t="s">
        <v>2404</v>
      </c>
      <c r="H2288" s="219" t="s">
        <v>488</v>
      </c>
      <c r="I2288" s="110" t="str">
        <f>VLOOKUP(H2288, 'RM &amp; SF'!B:H, 2, 0)</f>
        <v>حمص</v>
      </c>
      <c r="J2288" s="184" t="str">
        <f>VLOOKUP(H2288, 'RM &amp; SF'!B:E, 4, 0)</f>
        <v>غم</v>
      </c>
      <c r="K2288" s="12">
        <v>200</v>
      </c>
      <c r="L2288" s="13">
        <f>VLOOKUP(H2288, 'RM &amp; SF'!B:H, 7, 0)</f>
        <v>1.3232918279569891E-3</v>
      </c>
      <c r="M2288" s="7">
        <f t="shared" si="117"/>
        <v>0.26465836559139783</v>
      </c>
      <c r="N2288" s="4" t="s">
        <v>825</v>
      </c>
      <c r="O2288" s="4">
        <f>VLOOKUP(B2288, 'All Menu'!B:L, 6, 0)</f>
        <v>1.7241379310344829</v>
      </c>
      <c r="P2288" s="6">
        <f>VLOOKUP(B2288, 'All Menu'!B:L, 9, 0)</f>
        <v>0.37273836559139784</v>
      </c>
      <c r="Q2288" s="14">
        <f>VLOOKUP(B2288, 'All Menu'!B:M, 12, 0)</f>
        <v>0.78381174795698927</v>
      </c>
      <c r="R2288" s="173">
        <f t="shared" si="116"/>
        <v>0</v>
      </c>
    </row>
    <row r="2289" spans="1:18" ht="14" hidden="1">
      <c r="A2289" s="78" t="s">
        <v>3063</v>
      </c>
      <c r="B2289" s="220" t="s">
        <v>895</v>
      </c>
      <c r="C2289" s="185"/>
      <c r="D2289" s="103" t="str">
        <f>VLOOKUP(B2289, 'All Menu'!B:M, 4, 0)</f>
        <v>حمص</v>
      </c>
      <c r="E2289" s="30" t="str">
        <f>VLOOKUP(B2289, 'All Menu'!B:M, 2, 0)</f>
        <v>قسم المقبلات</v>
      </c>
      <c r="F2289" s="103" t="str">
        <f>VLOOKUP(B2289, 'All Menu'!B:M, 3, 0)</f>
        <v>المقبلات سفري</v>
      </c>
      <c r="G2289" s="90" t="s">
        <v>3058</v>
      </c>
      <c r="H2289" s="188">
        <v>4143</v>
      </c>
      <c r="I2289" s="110" t="str">
        <f>VLOOKUP(H2289, 'RM &amp; SF'!B:H, 2, 0)</f>
        <v>حمص حب نمرة 12*****</v>
      </c>
      <c r="J2289" s="184" t="str">
        <f>VLOOKUP(H2289, 'RM &amp; SF'!B:E, 4, 0)</f>
        <v>غم</v>
      </c>
      <c r="K2289" s="12">
        <v>7</v>
      </c>
      <c r="L2289" s="13">
        <f>VLOOKUP(H2289, 'RM &amp; SF'!B:H, 7, 0)</f>
        <v>1.24E-3</v>
      </c>
      <c r="M2289" s="7">
        <f t="shared" si="117"/>
        <v>8.6800000000000002E-3</v>
      </c>
      <c r="N2289" s="4" t="s">
        <v>825</v>
      </c>
      <c r="O2289" s="4">
        <f>VLOOKUP(B2289, 'All Menu'!B:L, 6, 0)</f>
        <v>1.7241379310344829</v>
      </c>
      <c r="P2289" s="6">
        <f>VLOOKUP(B2289, 'All Menu'!B:L, 9, 0)</f>
        <v>0.37273836559139784</v>
      </c>
      <c r="Q2289" s="14">
        <f>VLOOKUP(B2289, 'All Menu'!B:M, 12, 0)</f>
        <v>0.78381174795698927</v>
      </c>
      <c r="R2289" s="173">
        <f t="shared" si="116"/>
        <v>0</v>
      </c>
    </row>
    <row r="2290" spans="1:18" ht="14" hidden="1">
      <c r="A2290" s="78" t="s">
        <v>3063</v>
      </c>
      <c r="B2290" s="220" t="s">
        <v>895</v>
      </c>
      <c r="C2290" s="185"/>
      <c r="D2290" s="103" t="str">
        <f>VLOOKUP(B2290, 'All Menu'!B:M, 4, 0)</f>
        <v>حمص</v>
      </c>
      <c r="E2290" s="30" t="str">
        <f>VLOOKUP(B2290, 'All Menu'!B:M, 2, 0)</f>
        <v>قسم المقبلات</v>
      </c>
      <c r="F2290" s="103" t="str">
        <f>VLOOKUP(B2290, 'All Menu'!B:M, 3, 0)</f>
        <v>المقبلات سفري</v>
      </c>
      <c r="G2290" s="90" t="s">
        <v>2251</v>
      </c>
      <c r="H2290" s="188">
        <v>4544</v>
      </c>
      <c r="I2290" s="110" t="str">
        <f>VLOOKUP(H2290, 'RM &amp; SF'!B:H, 2, 0)</f>
        <v>بقدونس*****</v>
      </c>
      <c r="J2290" s="184" t="str">
        <f>VLOOKUP(H2290, 'RM &amp; SF'!B:E, 4, 0)</f>
        <v>غم</v>
      </c>
      <c r="K2290" s="12">
        <v>10</v>
      </c>
      <c r="L2290" s="13">
        <f>VLOOKUP(H2290, 'RM &amp; SF'!B:H, 7, 0)</f>
        <v>7.5000000000000002E-4</v>
      </c>
      <c r="M2290" s="7">
        <f t="shared" si="117"/>
        <v>7.4999999999999997E-3</v>
      </c>
      <c r="N2290" s="4" t="s">
        <v>825</v>
      </c>
      <c r="O2290" s="4">
        <f>VLOOKUP(B2290, 'All Menu'!B:L, 6, 0)</f>
        <v>1.7241379310344829</v>
      </c>
      <c r="P2290" s="6">
        <f>VLOOKUP(B2290, 'All Menu'!B:L, 9, 0)</f>
        <v>0.37273836559139784</v>
      </c>
      <c r="Q2290" s="14">
        <f>VLOOKUP(B2290, 'All Menu'!B:M, 12, 0)</f>
        <v>0.78381174795698927</v>
      </c>
      <c r="R2290" s="173">
        <f t="shared" si="116"/>
        <v>0</v>
      </c>
    </row>
    <row r="2291" spans="1:18" ht="14" hidden="1">
      <c r="A2291" s="78" t="s">
        <v>3063</v>
      </c>
      <c r="B2291" s="220" t="s">
        <v>895</v>
      </c>
      <c r="C2291" s="185"/>
      <c r="D2291" s="103" t="str">
        <f>VLOOKUP(B2291, 'All Menu'!B:M, 4, 0)</f>
        <v>حمص</v>
      </c>
      <c r="E2291" s="30" t="str">
        <f>VLOOKUP(B2291, 'All Menu'!B:M, 2, 0)</f>
        <v>قسم المقبلات</v>
      </c>
      <c r="F2291" s="103" t="str">
        <f>VLOOKUP(B2291, 'All Menu'!B:M, 3, 0)</f>
        <v>المقبلات سفري</v>
      </c>
      <c r="G2291" s="90" t="s">
        <v>2191</v>
      </c>
      <c r="H2291" s="188">
        <v>4282</v>
      </c>
      <c r="I2291" s="110" t="str">
        <f>VLOOKUP(H2291, 'RM &amp; SF'!B:H, 2, 0)</f>
        <v>علب سوشي اسود رقم 3*****</v>
      </c>
      <c r="J2291" s="184" t="str">
        <f>VLOOKUP(H2291, 'RM &amp; SF'!B:E, 4, 0)</f>
        <v>قطعة</v>
      </c>
      <c r="K2291" s="12">
        <v>1</v>
      </c>
      <c r="L2291" s="13">
        <f>VLOOKUP(H2291, 'RM &amp; SF'!B:H, 7, 0)</f>
        <v>8.6199999999999999E-2</v>
      </c>
      <c r="M2291" s="7">
        <f t="shared" si="117"/>
        <v>8.6199999999999999E-2</v>
      </c>
      <c r="N2291" s="4" t="s">
        <v>825</v>
      </c>
      <c r="O2291" s="4">
        <f>VLOOKUP(B2291, 'All Menu'!B:L, 6, 0)</f>
        <v>1.7241379310344829</v>
      </c>
      <c r="P2291" s="6">
        <f>VLOOKUP(B2291, 'All Menu'!B:L, 9, 0)</f>
        <v>0.37273836559139784</v>
      </c>
      <c r="Q2291" s="14">
        <f>VLOOKUP(B2291, 'All Menu'!B:M, 12, 0)</f>
        <v>0.78381174795698927</v>
      </c>
      <c r="R2291" s="173">
        <f t="shared" si="116"/>
        <v>0</v>
      </c>
    </row>
    <row r="2292" spans="1:18" ht="14" hidden="1">
      <c r="A2292" s="78" t="s">
        <v>3063</v>
      </c>
      <c r="B2292" s="220" t="s">
        <v>895</v>
      </c>
      <c r="C2292" s="185"/>
      <c r="D2292" s="103" t="str">
        <f>VLOOKUP(B2292, 'All Menu'!B:M, 4, 0)</f>
        <v>حمص</v>
      </c>
      <c r="E2292" s="30" t="str">
        <f>VLOOKUP(B2292, 'All Menu'!B:M, 2, 0)</f>
        <v>قسم المقبلات</v>
      </c>
      <c r="F2292" s="103" t="str">
        <f>VLOOKUP(B2292, 'All Menu'!B:M, 3, 0)</f>
        <v>المقبلات سفري</v>
      </c>
      <c r="G2292" s="90" t="s">
        <v>3058</v>
      </c>
      <c r="H2292" s="188">
        <v>4425</v>
      </c>
      <c r="I2292" s="110" t="str">
        <f>VLOOKUP(H2292, 'RM &amp; SF'!B:H, 2, 0)</f>
        <v>ليبل المركزية دائري 5*5 سم*****</v>
      </c>
      <c r="J2292" s="184" t="str">
        <f>VLOOKUP(H2292, 'RM &amp; SF'!B:E, 4, 0)</f>
        <v>قطعة</v>
      </c>
      <c r="K2292" s="12">
        <v>1</v>
      </c>
      <c r="L2292" s="13">
        <f>VLOOKUP(H2292, 'RM &amp; SF'!B:H, 7, 0)</f>
        <v>5.7000000000000002E-3</v>
      </c>
      <c r="M2292" s="7">
        <f t="shared" si="117"/>
        <v>5.7000000000000002E-3</v>
      </c>
      <c r="N2292" s="4" t="s">
        <v>825</v>
      </c>
      <c r="O2292" s="4">
        <f>VLOOKUP(B2292, 'All Menu'!B:L, 6, 0)</f>
        <v>1.7241379310344829</v>
      </c>
      <c r="P2292" s="6">
        <f>VLOOKUP(B2292, 'All Menu'!B:L, 9, 0)</f>
        <v>0.37273836559139784</v>
      </c>
      <c r="Q2292" s="14">
        <f>VLOOKUP(B2292, 'All Menu'!B:M, 12, 0)</f>
        <v>0.78381174795698927</v>
      </c>
      <c r="R2292" s="173">
        <f t="shared" si="116"/>
        <v>0</v>
      </c>
    </row>
    <row r="2293" spans="1:18" ht="14" hidden="1">
      <c r="A2293" s="78" t="s">
        <v>2802</v>
      </c>
      <c r="B2293" s="220" t="s">
        <v>896</v>
      </c>
      <c r="C2293" s="185"/>
      <c r="D2293" s="103" t="str">
        <f>VLOOKUP(B2293, 'All Menu'!B:M, 4, 0)</f>
        <v>بابا غنوج</v>
      </c>
      <c r="E2293" s="30" t="str">
        <f>VLOOKUP(B2293, 'All Menu'!B:M, 2, 0)</f>
        <v>قسم المقبلات</v>
      </c>
      <c r="F2293" s="103" t="str">
        <f>VLOOKUP(B2293, 'All Menu'!B:M, 3, 0)</f>
        <v>المقبلات سفري</v>
      </c>
      <c r="G2293" s="90" t="s">
        <v>2415</v>
      </c>
      <c r="H2293" s="219" t="s">
        <v>516</v>
      </c>
      <c r="I2293" s="110" t="str">
        <f>VLOOKUP(H2293, 'RM &amp; SF'!B:H, 2, 0)</f>
        <v>بابا غنوج</v>
      </c>
      <c r="J2293" s="184" t="str">
        <f>VLOOKUP(H2293, 'RM &amp; SF'!B:E, 4, 0)</f>
        <v>غم</v>
      </c>
      <c r="K2293" s="12">
        <v>250</v>
      </c>
      <c r="L2293" s="13">
        <f>VLOOKUP(H2293, 'RM &amp; SF'!B:H, 7, 0)</f>
        <v>5.9126169844020795E-4</v>
      </c>
      <c r="M2293" s="7">
        <f t="shared" si="117"/>
        <v>0.14781542461005198</v>
      </c>
      <c r="N2293" s="4" t="s">
        <v>825</v>
      </c>
      <c r="O2293" s="4">
        <f>VLOOKUP(B2293, 'All Menu'!B:L, 6, 0)</f>
        <v>2.1551724137931036</v>
      </c>
      <c r="P2293" s="6">
        <f>VLOOKUP(B2293, 'All Menu'!B:L, 9, 0)</f>
        <v>0.25284042461005196</v>
      </c>
      <c r="Q2293" s="14">
        <f>VLOOKUP(B2293, 'All Menu'!B:M, 12, 0)</f>
        <v>0.88268204298093589</v>
      </c>
      <c r="R2293" s="173">
        <f t="shared" si="116"/>
        <v>0</v>
      </c>
    </row>
    <row r="2294" spans="1:18" ht="14" hidden="1">
      <c r="A2294" s="78" t="s">
        <v>2802</v>
      </c>
      <c r="B2294" s="220" t="s">
        <v>896</v>
      </c>
      <c r="C2294" s="185"/>
      <c r="D2294" s="103" t="str">
        <f>VLOOKUP(B2294, 'All Menu'!B:M, 4, 0)</f>
        <v>بابا غنوج</v>
      </c>
      <c r="E2294" s="30" t="str">
        <f>VLOOKUP(B2294, 'All Menu'!B:M, 2, 0)</f>
        <v>قسم المقبلات</v>
      </c>
      <c r="F2294" s="103" t="str">
        <f>VLOOKUP(B2294, 'All Menu'!B:M, 3, 0)</f>
        <v>المقبلات سفري</v>
      </c>
      <c r="G2294" s="90" t="s">
        <v>3058</v>
      </c>
      <c r="H2294" s="188">
        <v>4516</v>
      </c>
      <c r="I2294" s="110" t="str">
        <f>VLOOKUP(H2294, 'RM &amp; SF'!B:H, 2, 0)</f>
        <v>بندورة كرزية (بندورة شري)*****</v>
      </c>
      <c r="J2294" s="184" t="str">
        <f>VLOOKUP(H2294, 'RM &amp; SF'!B:E, 4, 0)</f>
        <v>غم</v>
      </c>
      <c r="K2294" s="12">
        <v>7</v>
      </c>
      <c r="L2294" s="13">
        <f>VLOOKUP(H2294, 'RM &amp; SF'!B:H, 7, 0)</f>
        <v>1.8749999999999999E-3</v>
      </c>
      <c r="M2294" s="7">
        <f t="shared" si="117"/>
        <v>1.3125E-2</v>
      </c>
      <c r="N2294" s="4" t="s">
        <v>825</v>
      </c>
      <c r="O2294" s="4">
        <f>VLOOKUP(B2294, 'All Menu'!B:L, 6, 0)</f>
        <v>2.1551724137931036</v>
      </c>
      <c r="P2294" s="6">
        <f>VLOOKUP(B2294, 'All Menu'!B:L, 9, 0)</f>
        <v>0.25284042461005196</v>
      </c>
      <c r="Q2294" s="14">
        <f>VLOOKUP(B2294, 'All Menu'!B:M, 12, 0)</f>
        <v>0.88268204298093589</v>
      </c>
      <c r="R2294" s="173">
        <f t="shared" si="116"/>
        <v>0</v>
      </c>
    </row>
    <row r="2295" spans="1:18" ht="14" hidden="1">
      <c r="A2295" s="78" t="s">
        <v>2802</v>
      </c>
      <c r="B2295" s="220" t="s">
        <v>896</v>
      </c>
      <c r="C2295" s="185"/>
      <c r="D2295" s="103" t="str">
        <f>VLOOKUP(B2295, 'All Menu'!B:M, 4, 0)</f>
        <v>بابا غنوج</v>
      </c>
      <c r="E2295" s="30" t="str">
        <f>VLOOKUP(B2295, 'All Menu'!B:M, 2, 0)</f>
        <v>قسم المقبلات</v>
      </c>
      <c r="F2295" s="103" t="str">
        <f>VLOOKUP(B2295, 'All Menu'!B:M, 3, 0)</f>
        <v>المقبلات سفري</v>
      </c>
      <c r="G2295" s="90" t="s">
        <v>2191</v>
      </c>
      <c r="H2295" s="188">
        <v>4282</v>
      </c>
      <c r="I2295" s="110" t="str">
        <f>VLOOKUP(H2295, 'RM &amp; SF'!B:H, 2, 0)</f>
        <v>علب سوشي اسود رقم 3*****</v>
      </c>
      <c r="J2295" s="184" t="str">
        <f>VLOOKUP(H2295, 'RM &amp; SF'!B:E, 4, 0)</f>
        <v>قطعة</v>
      </c>
      <c r="K2295" s="12">
        <v>1</v>
      </c>
      <c r="L2295" s="13">
        <f>VLOOKUP(H2295, 'RM &amp; SF'!B:H, 7, 0)</f>
        <v>8.6199999999999999E-2</v>
      </c>
      <c r="M2295" s="7">
        <f t="shared" si="117"/>
        <v>8.6199999999999999E-2</v>
      </c>
      <c r="N2295" s="4" t="s">
        <v>825</v>
      </c>
      <c r="O2295" s="4">
        <f>VLOOKUP(B2295, 'All Menu'!B:L, 6, 0)</f>
        <v>2.1551724137931036</v>
      </c>
      <c r="P2295" s="6">
        <f>VLOOKUP(B2295, 'All Menu'!B:L, 9, 0)</f>
        <v>0.25284042461005196</v>
      </c>
      <c r="Q2295" s="14">
        <f>VLOOKUP(B2295, 'All Menu'!B:M, 12, 0)</f>
        <v>0.88268204298093589</v>
      </c>
      <c r="R2295" s="173">
        <f t="shared" si="116"/>
        <v>0</v>
      </c>
    </row>
    <row r="2296" spans="1:18" ht="14" hidden="1">
      <c r="A2296" s="78" t="s">
        <v>2802</v>
      </c>
      <c r="B2296" s="220" t="s">
        <v>896</v>
      </c>
      <c r="C2296" s="185"/>
      <c r="D2296" s="103" t="str">
        <f>VLOOKUP(B2296, 'All Menu'!B:M, 4, 0)</f>
        <v>بابا غنوج</v>
      </c>
      <c r="E2296" s="30" t="str">
        <f>VLOOKUP(B2296, 'All Menu'!B:M, 2, 0)</f>
        <v>قسم المقبلات</v>
      </c>
      <c r="F2296" s="103" t="str">
        <f>VLOOKUP(B2296, 'All Menu'!B:M, 3, 0)</f>
        <v>المقبلات سفري</v>
      </c>
      <c r="G2296" s="90" t="s">
        <v>3058</v>
      </c>
      <c r="H2296" s="188">
        <v>4425</v>
      </c>
      <c r="I2296" s="110" t="str">
        <f>VLOOKUP(H2296, 'RM &amp; SF'!B:H, 2, 0)</f>
        <v>ليبل المركزية دائري 5*5 سم*****</v>
      </c>
      <c r="J2296" s="184" t="str">
        <f>VLOOKUP(H2296, 'RM &amp; SF'!B:E, 4, 0)</f>
        <v>قطعة</v>
      </c>
      <c r="K2296" s="12">
        <v>1</v>
      </c>
      <c r="L2296" s="13">
        <f>VLOOKUP(H2296, 'RM &amp; SF'!B:H, 7, 0)</f>
        <v>5.7000000000000002E-3</v>
      </c>
      <c r="M2296" s="7">
        <f t="shared" si="117"/>
        <v>5.7000000000000002E-3</v>
      </c>
      <c r="N2296" s="4" t="s">
        <v>825</v>
      </c>
      <c r="O2296" s="4">
        <f>VLOOKUP(B2296, 'All Menu'!B:L, 6, 0)</f>
        <v>2.1551724137931036</v>
      </c>
      <c r="P2296" s="6">
        <f>VLOOKUP(B2296, 'All Menu'!B:L, 9, 0)</f>
        <v>0.25284042461005196</v>
      </c>
      <c r="Q2296" s="14">
        <f>VLOOKUP(B2296, 'All Menu'!B:M, 12, 0)</f>
        <v>0.88268204298093589</v>
      </c>
      <c r="R2296" s="173">
        <f t="shared" si="116"/>
        <v>0</v>
      </c>
    </row>
    <row r="2297" spans="1:18" ht="14" hidden="1">
      <c r="A2297" s="78" t="s">
        <v>2807</v>
      </c>
      <c r="B2297" s="220" t="s">
        <v>897</v>
      </c>
      <c r="C2297" s="185"/>
      <c r="D2297" s="103" t="str">
        <f>VLOOKUP(B2297, 'All Menu'!B:M, 4, 0)</f>
        <v>كبة مشوية</v>
      </c>
      <c r="E2297" s="30" t="str">
        <f>VLOOKUP(B2297, 'All Menu'!B:M, 2, 0)</f>
        <v>قسم المقبلات</v>
      </c>
      <c r="F2297" s="103" t="str">
        <f>VLOOKUP(B2297, 'All Menu'!B:M, 3, 0)</f>
        <v>المقبلات سفري</v>
      </c>
      <c r="G2297" s="90" t="s">
        <v>2408</v>
      </c>
      <c r="H2297" s="219" t="s">
        <v>572</v>
      </c>
      <c r="I2297" s="110" t="str">
        <f>VLOOKUP(H2297, 'RM &amp; SF'!B:H, 2, 0)</f>
        <v>كبة مشوية</v>
      </c>
      <c r="J2297" s="184" t="str">
        <f>VLOOKUP(H2297, 'RM &amp; SF'!B:E, 4, 0)</f>
        <v>قطعة</v>
      </c>
      <c r="K2297" s="12">
        <v>1</v>
      </c>
      <c r="L2297" s="13">
        <f>VLOOKUP(H2297, 'RM &amp; SF'!B:H, 7, 0)</f>
        <v>0.50639403004883443</v>
      </c>
      <c r="M2297" s="7">
        <f t="shared" si="117"/>
        <v>0.50639403004883443</v>
      </c>
      <c r="N2297" s="4" t="s">
        <v>825</v>
      </c>
      <c r="O2297" s="4">
        <f>VLOOKUP(B2297, 'All Menu'!B:L, 6, 0)</f>
        <v>1.0775862068965518</v>
      </c>
      <c r="P2297" s="6">
        <f>VLOOKUP(B2297, 'All Menu'!B:L, 9, 0)</f>
        <v>0.56669403004883445</v>
      </c>
      <c r="Q2297" s="14">
        <f>VLOOKUP(B2297, 'All Menu'!B:M, 12, 0)</f>
        <v>0.47410794011468166</v>
      </c>
      <c r="R2297" s="173">
        <f t="shared" si="116"/>
        <v>0</v>
      </c>
    </row>
    <row r="2298" spans="1:18" ht="14" hidden="1">
      <c r="A2298" s="78" t="s">
        <v>2807</v>
      </c>
      <c r="B2298" s="220" t="s">
        <v>897</v>
      </c>
      <c r="C2298" s="185"/>
      <c r="D2298" s="103" t="str">
        <f>VLOOKUP(B2298, 'All Menu'!B:M, 4, 0)</f>
        <v>كبة مشوية</v>
      </c>
      <c r="E2298" s="30" t="str">
        <f>VLOOKUP(B2298, 'All Menu'!B:M, 2, 0)</f>
        <v>قسم المقبلات</v>
      </c>
      <c r="F2298" s="103" t="str">
        <f>VLOOKUP(B2298, 'All Menu'!B:M, 3, 0)</f>
        <v>المقبلات سفري</v>
      </c>
      <c r="G2298" s="90" t="s">
        <v>2184</v>
      </c>
      <c r="H2298" s="188">
        <v>4265</v>
      </c>
      <c r="I2298" s="110" t="str">
        <f>VLOOKUP(H2298, 'RM &amp; SF'!B:H, 2, 0)</f>
        <v>علب بطاطا كرتون مطبوع 1*25 حبة*****</v>
      </c>
      <c r="J2298" s="184" t="str">
        <f>VLOOKUP(H2298, 'RM &amp; SF'!B:E, 4, 0)</f>
        <v>قطعة</v>
      </c>
      <c r="K2298" s="12">
        <v>1</v>
      </c>
      <c r="L2298" s="13">
        <f>VLOOKUP(H2298, 'RM &amp; SF'!B:H, 7, 0)</f>
        <v>6.0299999999999999E-2</v>
      </c>
      <c r="M2298" s="7">
        <f t="shared" si="117"/>
        <v>6.0299999999999999E-2</v>
      </c>
      <c r="N2298" s="4" t="s">
        <v>825</v>
      </c>
      <c r="O2298" s="4">
        <f>VLOOKUP(B2298, 'All Menu'!B:L, 6, 0)</f>
        <v>1.0775862068965518</v>
      </c>
      <c r="P2298" s="6">
        <f>VLOOKUP(B2298, 'All Menu'!B:L, 9, 0)</f>
        <v>0.56669403004883445</v>
      </c>
      <c r="Q2298" s="14">
        <f>VLOOKUP(B2298, 'All Menu'!B:M, 12, 0)</f>
        <v>0.47410794011468166</v>
      </c>
      <c r="R2298" s="173">
        <f t="shared" si="116"/>
        <v>0</v>
      </c>
    </row>
    <row r="2299" spans="1:18" ht="14" hidden="1">
      <c r="A2299" s="78" t="s">
        <v>3064</v>
      </c>
      <c r="B2299" s="220" t="s">
        <v>898</v>
      </c>
      <c r="C2299" s="185"/>
      <c r="D2299" s="103" t="str">
        <f>VLOOKUP(B2299, 'All Menu'!B:M, 4, 0)</f>
        <v>سلطة تركية</v>
      </c>
      <c r="E2299" s="30" t="str">
        <f>VLOOKUP(B2299, 'All Menu'!B:M, 2, 0)</f>
        <v>قسم المقبلات</v>
      </c>
      <c r="F2299" s="103" t="str">
        <f>VLOOKUP(B2299, 'All Menu'!B:M, 3, 0)</f>
        <v>المقبلات سفري</v>
      </c>
      <c r="G2299" s="90" t="s">
        <v>2450</v>
      </c>
      <c r="H2299" s="219" t="s">
        <v>570</v>
      </c>
      <c r="I2299" s="110" t="str">
        <f>VLOOKUP(H2299, 'RM &amp; SF'!B:H, 2, 0)</f>
        <v>سلطة تركية</v>
      </c>
      <c r="J2299" s="184" t="str">
        <f>VLOOKUP(H2299, 'RM &amp; SF'!B:E, 4, 0)</f>
        <v>غم</v>
      </c>
      <c r="K2299" s="12">
        <v>250</v>
      </c>
      <c r="L2299" s="13">
        <f>VLOOKUP(H2299, 'RM &amp; SF'!B:H, 7, 0)</f>
        <v>9.3877101247799523E-4</v>
      </c>
      <c r="M2299" s="7">
        <f t="shared" si="117"/>
        <v>0.2346927531194988</v>
      </c>
      <c r="N2299" s="4" t="s">
        <v>825</v>
      </c>
      <c r="O2299" s="4">
        <f>VLOOKUP(B2299, 'All Menu'!B:L, 6, 0)</f>
        <v>1.7241379310344829</v>
      </c>
      <c r="P2299" s="6">
        <f>VLOOKUP(B2299, 'All Menu'!B:L, 9, 0)</f>
        <v>0.32659275311949881</v>
      </c>
      <c r="Q2299" s="14">
        <f>VLOOKUP(B2299, 'All Menu'!B:M, 12, 0)</f>
        <v>0.81057620319069068</v>
      </c>
      <c r="R2299" s="173">
        <f t="shared" si="116"/>
        <v>0</v>
      </c>
    </row>
    <row r="2300" spans="1:18" ht="14" hidden="1">
      <c r="A2300" s="78" t="s">
        <v>3064</v>
      </c>
      <c r="B2300" s="220" t="s">
        <v>898</v>
      </c>
      <c r="C2300" s="185"/>
      <c r="D2300" s="103" t="str">
        <f>VLOOKUP(B2300, 'All Menu'!B:M, 4, 0)</f>
        <v>سلطة تركية</v>
      </c>
      <c r="E2300" s="30" t="str">
        <f>VLOOKUP(B2300, 'All Menu'!B:M, 2, 0)</f>
        <v>قسم المقبلات</v>
      </c>
      <c r="F2300" s="103" t="str">
        <f>VLOOKUP(B2300, 'All Menu'!B:M, 3, 0)</f>
        <v>المقبلات سفري</v>
      </c>
      <c r="G2300" s="90" t="s">
        <v>2191</v>
      </c>
      <c r="H2300" s="188">
        <v>4282</v>
      </c>
      <c r="I2300" s="110" t="str">
        <f>VLOOKUP(H2300, 'RM &amp; SF'!B:H, 2, 0)</f>
        <v>علب سوشي اسود رقم 3*****</v>
      </c>
      <c r="J2300" s="184" t="str">
        <f>VLOOKUP(H2300, 'RM &amp; SF'!B:E, 4, 0)</f>
        <v>قطعة</v>
      </c>
      <c r="K2300" s="12">
        <v>1</v>
      </c>
      <c r="L2300" s="13">
        <f>VLOOKUP(H2300, 'RM &amp; SF'!B:H, 7, 0)</f>
        <v>8.6199999999999999E-2</v>
      </c>
      <c r="M2300" s="7">
        <f t="shared" si="117"/>
        <v>8.6199999999999999E-2</v>
      </c>
      <c r="N2300" s="4" t="s">
        <v>825</v>
      </c>
      <c r="O2300" s="4">
        <f>VLOOKUP(B2300, 'All Menu'!B:L, 6, 0)</f>
        <v>1.7241379310344829</v>
      </c>
      <c r="P2300" s="6">
        <f>VLOOKUP(B2300, 'All Menu'!B:L, 9, 0)</f>
        <v>0.32659275311949881</v>
      </c>
      <c r="Q2300" s="14">
        <f>VLOOKUP(B2300, 'All Menu'!B:M, 12, 0)</f>
        <v>0.81057620319069068</v>
      </c>
      <c r="R2300" s="173">
        <f t="shared" si="116"/>
        <v>0</v>
      </c>
    </row>
    <row r="2301" spans="1:18" ht="14" hidden="1">
      <c r="A2301" s="78" t="s">
        <v>3064</v>
      </c>
      <c r="B2301" s="220" t="s">
        <v>898</v>
      </c>
      <c r="C2301" s="185"/>
      <c r="D2301" s="103" t="str">
        <f>VLOOKUP(B2301, 'All Menu'!B:M, 4, 0)</f>
        <v>سلطة تركية</v>
      </c>
      <c r="E2301" s="30" t="str">
        <f>VLOOKUP(B2301, 'All Menu'!B:M, 2, 0)</f>
        <v>قسم المقبلات</v>
      </c>
      <c r="F2301" s="103" t="str">
        <f>VLOOKUP(B2301, 'All Menu'!B:M, 3, 0)</f>
        <v>المقبلات سفري</v>
      </c>
      <c r="G2301" s="90" t="s">
        <v>3058</v>
      </c>
      <c r="H2301" s="188">
        <v>4425</v>
      </c>
      <c r="I2301" s="110" t="str">
        <f>VLOOKUP(H2301, 'RM &amp; SF'!B:H, 2, 0)</f>
        <v>ليبل المركزية دائري 5*5 سم*****</v>
      </c>
      <c r="J2301" s="184" t="str">
        <f>VLOOKUP(H2301, 'RM &amp; SF'!B:E, 4, 0)</f>
        <v>قطعة</v>
      </c>
      <c r="K2301" s="12">
        <v>1</v>
      </c>
      <c r="L2301" s="13">
        <f>VLOOKUP(H2301, 'RM &amp; SF'!B:H, 7, 0)</f>
        <v>5.7000000000000002E-3</v>
      </c>
      <c r="M2301" s="7">
        <f t="shared" si="117"/>
        <v>5.7000000000000002E-3</v>
      </c>
      <c r="N2301" s="4" t="s">
        <v>825</v>
      </c>
      <c r="O2301" s="4">
        <f>VLOOKUP(B2301, 'All Menu'!B:L, 6, 0)</f>
        <v>1.7241379310344829</v>
      </c>
      <c r="P2301" s="6">
        <f>VLOOKUP(B2301, 'All Menu'!B:L, 9, 0)</f>
        <v>0.32659275311949881</v>
      </c>
      <c r="Q2301" s="14">
        <f>VLOOKUP(B2301, 'All Menu'!B:M, 12, 0)</f>
        <v>0.81057620319069068</v>
      </c>
      <c r="R2301" s="173">
        <f t="shared" si="116"/>
        <v>0</v>
      </c>
    </row>
    <row r="2302" spans="1:18" ht="14" hidden="1">
      <c r="A2302" s="78" t="s">
        <v>2811</v>
      </c>
      <c r="B2302" s="220" t="s">
        <v>937</v>
      </c>
      <c r="C2302" s="185"/>
      <c r="D2302" s="103" t="str">
        <f>VLOOKUP(B2302, 'All Menu'!B:M, 4, 0)</f>
        <v>برك جبنة</v>
      </c>
      <c r="E2302" s="30" t="str">
        <f>VLOOKUP(B2302, 'All Menu'!B:M, 2, 0)</f>
        <v>قسم المقبلات</v>
      </c>
      <c r="F2302" s="103" t="str">
        <f>VLOOKUP(B2302, 'All Menu'!B:M, 3, 0)</f>
        <v>المقبلات سفري</v>
      </c>
      <c r="G2302" s="90" t="s">
        <v>2334</v>
      </c>
      <c r="H2302" s="219" t="s">
        <v>502</v>
      </c>
      <c r="I2302" s="110" t="str">
        <f>VLOOKUP(H2302, 'RM &amp; SF'!B:H, 2, 0)</f>
        <v>عجين برك وعش البلبل</v>
      </c>
      <c r="J2302" s="184" t="str">
        <f>VLOOKUP(H2302, 'RM &amp; SF'!B:E, 4, 0)</f>
        <v>غم</v>
      </c>
      <c r="K2302" s="12">
        <v>65</v>
      </c>
      <c r="L2302" s="13">
        <f>VLOOKUP(H2302, 'RM &amp; SF'!B:H, 7, 0)</f>
        <v>5.460749158249157E-4</v>
      </c>
      <c r="M2302" s="7">
        <f t="shared" si="117"/>
        <v>3.5494869528619521E-2</v>
      </c>
      <c r="N2302" s="4" t="s">
        <v>825</v>
      </c>
      <c r="O2302" s="4">
        <f>VLOOKUP(B2302, 'All Menu'!B:L, 6, 0)</f>
        <v>0.64655172413793105</v>
      </c>
      <c r="P2302" s="6">
        <f>VLOOKUP(B2302, 'All Menu'!B:L, 9, 0)</f>
        <v>0.2584178695286195</v>
      </c>
      <c r="Q2302" s="14">
        <f>VLOOKUP(B2302, 'All Menu'!B:M, 12, 0)</f>
        <v>0.60031369512906851</v>
      </c>
      <c r="R2302" s="173">
        <f t="shared" si="116"/>
        <v>0</v>
      </c>
    </row>
    <row r="2303" spans="1:18" ht="14" hidden="1">
      <c r="A2303" s="78" t="s">
        <v>2811</v>
      </c>
      <c r="B2303" s="220" t="s">
        <v>937</v>
      </c>
      <c r="C2303" s="185"/>
      <c r="D2303" s="103" t="str">
        <f>VLOOKUP(B2303, 'All Menu'!B:M, 4, 0)</f>
        <v>برك جبنة</v>
      </c>
      <c r="E2303" s="30" t="str">
        <f>VLOOKUP(B2303, 'All Menu'!B:M, 2, 0)</f>
        <v>قسم المقبلات</v>
      </c>
      <c r="F2303" s="103" t="str">
        <f>VLOOKUP(B2303, 'All Menu'!B:M, 3, 0)</f>
        <v>المقبلات سفري</v>
      </c>
      <c r="G2303" s="90" t="s">
        <v>2172</v>
      </c>
      <c r="H2303" s="188">
        <v>4559</v>
      </c>
      <c r="I2303" s="110" t="str">
        <f>VLOOKUP(H2303, 'RM &amp; SF'!B:H, 2, 0)</f>
        <v>جبنة عكاوي 5 كغ*****</v>
      </c>
      <c r="J2303" s="184" t="str">
        <f>VLOOKUP(H2303, 'RM &amp; SF'!B:E, 4, 0)</f>
        <v>غم</v>
      </c>
      <c r="K2303" s="12">
        <v>40</v>
      </c>
      <c r="L2303" s="13">
        <f>VLOOKUP(H2303, 'RM &amp; SF'!B:H, 7, 0)</f>
        <v>4.7619999999999997E-3</v>
      </c>
      <c r="M2303" s="7">
        <f t="shared" si="117"/>
        <v>0.19047999999999998</v>
      </c>
      <c r="N2303" s="4" t="s">
        <v>825</v>
      </c>
      <c r="O2303" s="4">
        <f>VLOOKUP(B2303, 'All Menu'!B:L, 6, 0)</f>
        <v>0.64655172413793105</v>
      </c>
      <c r="P2303" s="6">
        <f>VLOOKUP(B2303, 'All Menu'!B:L, 9, 0)</f>
        <v>0.2584178695286195</v>
      </c>
      <c r="Q2303" s="14">
        <f>VLOOKUP(B2303, 'All Menu'!B:M, 12, 0)</f>
        <v>0.60031369512906851</v>
      </c>
      <c r="R2303" s="173">
        <f t="shared" si="116"/>
        <v>0</v>
      </c>
    </row>
    <row r="2304" spans="1:18" ht="14" hidden="1">
      <c r="A2304" s="78" t="s">
        <v>2811</v>
      </c>
      <c r="B2304" s="220" t="s">
        <v>937</v>
      </c>
      <c r="C2304" s="185"/>
      <c r="D2304" s="103" t="str">
        <f>VLOOKUP(B2304, 'All Menu'!B:M, 4, 0)</f>
        <v>برك جبنة</v>
      </c>
      <c r="E2304" s="30" t="str">
        <f>VLOOKUP(B2304, 'All Menu'!B:M, 2, 0)</f>
        <v>قسم المقبلات</v>
      </c>
      <c r="F2304" s="103" t="str">
        <f>VLOOKUP(B2304, 'All Menu'!B:M, 3, 0)</f>
        <v>المقبلات سفري</v>
      </c>
      <c r="G2304" s="90" t="s">
        <v>2289</v>
      </c>
      <c r="H2304" s="188">
        <v>4225</v>
      </c>
      <c r="I2304" s="110" t="str">
        <f>VLOOKUP(H2304, 'RM &amp; SF'!B:H, 2, 0)</f>
        <v>سمسم ابيض*****</v>
      </c>
      <c r="J2304" s="184" t="str">
        <f>VLOOKUP(H2304, 'RM &amp; SF'!B:E, 4, 0)</f>
        <v>غم</v>
      </c>
      <c r="K2304" s="12">
        <v>1</v>
      </c>
      <c r="L2304" s="13">
        <f>VLOOKUP(H2304, 'RM &amp; SF'!B:H, 7, 0)</f>
        <v>2.2730000000000003E-3</v>
      </c>
      <c r="M2304" s="7">
        <f t="shared" si="117"/>
        <v>2.2730000000000003E-3</v>
      </c>
      <c r="N2304" s="4" t="s">
        <v>825</v>
      </c>
      <c r="O2304" s="4">
        <f>VLOOKUP(B2304, 'All Menu'!B:L, 6, 0)</f>
        <v>0.64655172413793105</v>
      </c>
      <c r="P2304" s="6">
        <f>VLOOKUP(B2304, 'All Menu'!B:L, 9, 0)</f>
        <v>0.2584178695286195</v>
      </c>
      <c r="Q2304" s="14">
        <f>VLOOKUP(B2304, 'All Menu'!B:M, 12, 0)</f>
        <v>0.60031369512906851</v>
      </c>
      <c r="R2304" s="173">
        <f t="shared" si="116"/>
        <v>0</v>
      </c>
    </row>
    <row r="2305" spans="1:18" ht="14" hidden="1">
      <c r="A2305" s="78" t="s">
        <v>2811</v>
      </c>
      <c r="B2305" s="220" t="s">
        <v>937</v>
      </c>
      <c r="C2305" s="185"/>
      <c r="D2305" s="103" t="str">
        <f>VLOOKUP(B2305, 'All Menu'!B:M, 4, 0)</f>
        <v>برك جبنة</v>
      </c>
      <c r="E2305" s="30" t="str">
        <f>VLOOKUP(B2305, 'All Menu'!B:M, 2, 0)</f>
        <v>قسم المقبلات</v>
      </c>
      <c r="F2305" s="103" t="str">
        <f>VLOOKUP(B2305, 'All Menu'!B:M, 3, 0)</f>
        <v>المقبلات سفري</v>
      </c>
      <c r="G2305" s="90" t="s">
        <v>2199</v>
      </c>
      <c r="H2305" s="188">
        <v>4350</v>
      </c>
      <c r="I2305" s="110" t="str">
        <f>VLOOKUP(H2305, 'RM &amp; SF'!B:H, 2, 0)</f>
        <v>صحن كرتون مستطيل مسلفر 1/2 كغ (رقم 1)*****</v>
      </c>
      <c r="J2305" s="184" t="str">
        <f>VLOOKUP(H2305, 'RM &amp; SF'!B:E, 4, 0)</f>
        <v>قطعة</v>
      </c>
      <c r="K2305" s="12">
        <v>1</v>
      </c>
      <c r="L2305" s="13">
        <f>VLOOKUP(H2305, 'RM &amp; SF'!B:H, 7, 0)</f>
        <v>3.0169999999999999E-2</v>
      </c>
      <c r="M2305" s="7">
        <f t="shared" si="117"/>
        <v>3.0169999999999999E-2</v>
      </c>
      <c r="N2305" s="4" t="s">
        <v>825</v>
      </c>
      <c r="O2305" s="4">
        <f>VLOOKUP(B2305, 'All Menu'!B:L, 6, 0)</f>
        <v>0.64655172413793105</v>
      </c>
      <c r="P2305" s="6">
        <f>VLOOKUP(B2305, 'All Menu'!B:L, 9, 0)</f>
        <v>0.2584178695286195</v>
      </c>
      <c r="Q2305" s="14">
        <f>VLOOKUP(B2305, 'All Menu'!B:M, 12, 0)</f>
        <v>0.60031369512906851</v>
      </c>
      <c r="R2305" s="173">
        <f t="shared" si="116"/>
        <v>0</v>
      </c>
    </row>
    <row r="2306" spans="1:18" ht="14" hidden="1">
      <c r="A2306" s="78" t="s">
        <v>2812</v>
      </c>
      <c r="B2306" s="220" t="s">
        <v>938</v>
      </c>
      <c r="C2306" s="185"/>
      <c r="D2306" s="103" t="str">
        <f>VLOOKUP(B2306, 'All Menu'!B:M, 4, 0)</f>
        <v>عش البلبل</v>
      </c>
      <c r="E2306" s="30" t="str">
        <f>VLOOKUP(B2306, 'All Menu'!B:M, 2, 0)</f>
        <v>قسم المقبلات</v>
      </c>
      <c r="F2306" s="103" t="str">
        <f>VLOOKUP(B2306, 'All Menu'!B:M, 3, 0)</f>
        <v>المقبلات سفري</v>
      </c>
      <c r="G2306" s="90" t="s">
        <v>2334</v>
      </c>
      <c r="H2306" s="219" t="s">
        <v>502</v>
      </c>
      <c r="I2306" s="110" t="str">
        <f>VLOOKUP(H2306, 'RM &amp; SF'!B:H, 2, 0)</f>
        <v>عجين برك وعش البلبل</v>
      </c>
      <c r="J2306" s="184" t="str">
        <f>VLOOKUP(H2306, 'RM &amp; SF'!B:E, 4, 0)</f>
        <v>غم</v>
      </c>
      <c r="K2306" s="12">
        <v>75</v>
      </c>
      <c r="L2306" s="13">
        <f>VLOOKUP(H2306, 'RM &amp; SF'!B:H, 7, 0)</f>
        <v>5.460749158249157E-4</v>
      </c>
      <c r="M2306" s="7">
        <f t="shared" si="117"/>
        <v>4.0955618686868679E-2</v>
      </c>
      <c r="N2306" s="4" t="s">
        <v>825</v>
      </c>
      <c r="O2306" s="4">
        <f>VLOOKUP(B2306, 'All Menu'!B:L, 6, 0)</f>
        <v>0.77586206896551735</v>
      </c>
      <c r="P2306" s="6">
        <f>VLOOKUP(B2306, 'All Menu'!B:L, 9, 0)</f>
        <v>0.46852673828030816</v>
      </c>
      <c r="Q2306" s="14">
        <f>VLOOKUP(B2306, 'All Menu'!B:M, 12, 0)</f>
        <v>0.39612109288315844</v>
      </c>
      <c r="R2306" s="173">
        <f t="shared" si="116"/>
        <v>0</v>
      </c>
    </row>
    <row r="2307" spans="1:18" ht="14" hidden="1">
      <c r="A2307" s="78" t="s">
        <v>2812</v>
      </c>
      <c r="B2307" s="220" t="s">
        <v>938</v>
      </c>
      <c r="C2307" s="185"/>
      <c r="D2307" s="103" t="str">
        <f>VLOOKUP(B2307, 'All Menu'!B:M, 4, 0)</f>
        <v>عش البلبل</v>
      </c>
      <c r="E2307" s="30" t="str">
        <f>VLOOKUP(B2307, 'All Menu'!B:M, 2, 0)</f>
        <v>قسم المقبلات</v>
      </c>
      <c r="F2307" s="103" t="str">
        <f>VLOOKUP(B2307, 'All Menu'!B:M, 3, 0)</f>
        <v>المقبلات سفري</v>
      </c>
      <c r="G2307" s="90" t="s">
        <v>2454</v>
      </c>
      <c r="H2307" s="219" t="s">
        <v>504</v>
      </c>
      <c r="I2307" s="110" t="str">
        <f>VLOOKUP(H2307, 'RM &amp; SF'!B:H, 2, 0)</f>
        <v>لحمة الصفيحة بلبن المشغل</v>
      </c>
      <c r="J2307" s="184" t="str">
        <f>VLOOKUP(H2307, 'RM &amp; SF'!B:E, 4, 0)</f>
        <v>غم</v>
      </c>
      <c r="K2307" s="12">
        <v>55</v>
      </c>
      <c r="L2307" s="13">
        <f>VLOOKUP(H2307, 'RM &amp; SF'!B:H, 7, 0)</f>
        <v>5.666775058438712E-3</v>
      </c>
      <c r="M2307" s="7">
        <f t="shared" si="117"/>
        <v>0.31167262821412917</v>
      </c>
      <c r="N2307" s="4" t="s">
        <v>825</v>
      </c>
      <c r="O2307" s="4">
        <f>VLOOKUP(B2307, 'All Menu'!B:L, 6, 0)</f>
        <v>0.77586206896551735</v>
      </c>
      <c r="P2307" s="6">
        <f>VLOOKUP(B2307, 'All Menu'!B:L, 9, 0)</f>
        <v>0.46852673828030816</v>
      </c>
      <c r="Q2307" s="14">
        <f>VLOOKUP(B2307, 'All Menu'!B:M, 12, 0)</f>
        <v>0.39612109288315844</v>
      </c>
      <c r="R2307" s="173">
        <f t="shared" si="116"/>
        <v>0</v>
      </c>
    </row>
    <row r="2308" spans="1:18" ht="14" hidden="1">
      <c r="A2308" s="78" t="s">
        <v>2812</v>
      </c>
      <c r="B2308" s="220" t="s">
        <v>938</v>
      </c>
      <c r="C2308" s="185"/>
      <c r="D2308" s="103" t="str">
        <f>VLOOKUP(B2308, 'All Menu'!B:M, 4, 0)</f>
        <v>عش البلبل</v>
      </c>
      <c r="E2308" s="30" t="str">
        <f>VLOOKUP(B2308, 'All Menu'!B:M, 2, 0)</f>
        <v>قسم المقبلات</v>
      </c>
      <c r="F2308" s="103" t="str">
        <f>VLOOKUP(B2308, 'All Menu'!B:M, 3, 0)</f>
        <v>المقبلات سفري</v>
      </c>
      <c r="G2308" s="90" t="s">
        <v>2341</v>
      </c>
      <c r="H2308" s="219" t="s">
        <v>706</v>
      </c>
      <c r="I2308" s="110" t="str">
        <f>VLOOKUP(H2308, 'RM &amp; SF'!B:H, 2, 0)</f>
        <v>لوز مقلي</v>
      </c>
      <c r="J2308" s="184" t="str">
        <f>VLOOKUP(H2308, 'RM &amp; SF'!B:E, 4, 0)</f>
        <v>غم</v>
      </c>
      <c r="K2308" s="12">
        <v>15</v>
      </c>
      <c r="L2308" s="13">
        <f>VLOOKUP(H2308, 'RM &amp; SF'!B:H, 7, 0)</f>
        <v>4.1352327586206888E-3</v>
      </c>
      <c r="M2308" s="7">
        <f t="shared" si="117"/>
        <v>6.2028491379310331E-2</v>
      </c>
      <c r="N2308" s="4" t="s">
        <v>825</v>
      </c>
      <c r="O2308" s="4">
        <f>VLOOKUP(B2308, 'All Menu'!B:L, 6, 0)</f>
        <v>0.77586206896551735</v>
      </c>
      <c r="P2308" s="6">
        <f>VLOOKUP(B2308, 'All Menu'!B:L, 9, 0)</f>
        <v>0.46852673828030816</v>
      </c>
      <c r="Q2308" s="14">
        <f>VLOOKUP(B2308, 'All Menu'!B:M, 12, 0)</f>
        <v>0.39612109288315844</v>
      </c>
      <c r="R2308" s="173">
        <f t="shared" si="116"/>
        <v>0</v>
      </c>
    </row>
    <row r="2309" spans="1:18" ht="14" hidden="1">
      <c r="A2309" s="78" t="s">
        <v>2812</v>
      </c>
      <c r="B2309" s="220" t="s">
        <v>938</v>
      </c>
      <c r="C2309" s="185"/>
      <c r="D2309" s="103" t="str">
        <f>VLOOKUP(B2309, 'All Menu'!B:M, 4, 0)</f>
        <v>عش البلبل</v>
      </c>
      <c r="E2309" s="30" t="str">
        <f>VLOOKUP(B2309, 'All Menu'!B:M, 2, 0)</f>
        <v>قسم المقبلات</v>
      </c>
      <c r="F2309" s="103" t="str">
        <f>VLOOKUP(B2309, 'All Menu'!B:M, 3, 0)</f>
        <v>المقبلات سفري</v>
      </c>
      <c r="G2309" s="90" t="s">
        <v>2199</v>
      </c>
      <c r="H2309" s="188">
        <v>4350</v>
      </c>
      <c r="I2309" s="110" t="str">
        <f>VLOOKUP(H2309, 'RM &amp; SF'!B:H, 2, 0)</f>
        <v>صحن كرتون مستطيل مسلفر 1/2 كغ (رقم 1)*****</v>
      </c>
      <c r="J2309" s="184" t="str">
        <f>VLOOKUP(H2309, 'RM &amp; SF'!B:E, 4, 0)</f>
        <v>قطعة</v>
      </c>
      <c r="K2309" s="12">
        <v>1</v>
      </c>
      <c r="L2309" s="13">
        <f>VLOOKUP(H2309, 'RM &amp; SF'!B:H, 7, 0)</f>
        <v>3.0169999999999999E-2</v>
      </c>
      <c r="M2309" s="7">
        <f t="shared" si="117"/>
        <v>3.0169999999999999E-2</v>
      </c>
      <c r="N2309" s="4" t="s">
        <v>825</v>
      </c>
      <c r="O2309" s="4">
        <f>VLOOKUP(B2309, 'All Menu'!B:L, 6, 0)</f>
        <v>0.77586206896551735</v>
      </c>
      <c r="P2309" s="6">
        <f>VLOOKUP(B2309, 'All Menu'!B:L, 9, 0)</f>
        <v>0.46852673828030816</v>
      </c>
      <c r="Q2309" s="14">
        <f>VLOOKUP(B2309, 'All Menu'!B:M, 12, 0)</f>
        <v>0.39612109288315844</v>
      </c>
      <c r="R2309" s="173">
        <f t="shared" si="116"/>
        <v>0</v>
      </c>
    </row>
    <row r="2310" spans="1:18" ht="14" hidden="1">
      <c r="A2310" s="78" t="s">
        <v>2812</v>
      </c>
      <c r="B2310" s="220" t="s">
        <v>938</v>
      </c>
      <c r="C2310" s="185"/>
      <c r="D2310" s="103" t="str">
        <f>VLOOKUP(B2310, 'All Menu'!B:M, 4, 0)</f>
        <v>عش البلبل</v>
      </c>
      <c r="E2310" s="30" t="str">
        <f>VLOOKUP(B2310, 'All Menu'!B:M, 2, 0)</f>
        <v>قسم المقبلات</v>
      </c>
      <c r="F2310" s="103" t="str">
        <f>VLOOKUP(B2310, 'All Menu'!B:M, 3, 0)</f>
        <v>المقبلات سفري</v>
      </c>
      <c r="G2310" s="90" t="s">
        <v>2192</v>
      </c>
      <c r="H2310" s="188">
        <v>4298</v>
      </c>
      <c r="I2310" s="110" t="str">
        <f>VLOOKUP(H2310, 'RM &amp; SF'!B:H, 2, 0)</f>
        <v>اكياس ساندويش ورقية مطبوع 22 سم*42 سم 1*100 حبة*****</v>
      </c>
      <c r="J2310" s="184" t="str">
        <f>VLOOKUP(H2310, 'RM &amp; SF'!B:E, 4, 0)</f>
        <v>قطعة</v>
      </c>
      <c r="K2310" s="12">
        <v>1</v>
      </c>
      <c r="L2310" s="13">
        <f>VLOOKUP(H2310, 'RM &amp; SF'!B:H, 7, 0)</f>
        <v>2.3699999999999999E-2</v>
      </c>
      <c r="M2310" s="7">
        <f t="shared" si="117"/>
        <v>2.3699999999999999E-2</v>
      </c>
      <c r="N2310" s="4" t="s">
        <v>825</v>
      </c>
      <c r="O2310" s="4">
        <f>VLOOKUP(B2310, 'All Menu'!B:L, 6, 0)</f>
        <v>0.77586206896551735</v>
      </c>
      <c r="P2310" s="6">
        <f>VLOOKUP(B2310, 'All Menu'!B:L, 9, 0)</f>
        <v>0.46852673828030816</v>
      </c>
      <c r="Q2310" s="14">
        <f>VLOOKUP(B2310, 'All Menu'!B:M, 12, 0)</f>
        <v>0.39612109288315844</v>
      </c>
      <c r="R2310" s="173">
        <f t="shared" si="116"/>
        <v>0</v>
      </c>
    </row>
    <row r="2311" spans="1:18" ht="14" hidden="1">
      <c r="A2311" s="78" t="s">
        <v>2809</v>
      </c>
      <c r="B2311" s="220" t="s">
        <v>947</v>
      </c>
      <c r="C2311" s="185"/>
      <c r="D2311" s="103" t="str">
        <f>VLOOKUP(B2311, 'All Menu'!B:M, 4, 0)</f>
        <v>مسخن رول</v>
      </c>
      <c r="E2311" s="30" t="str">
        <f>VLOOKUP(B2311, 'All Menu'!B:M, 2, 0)</f>
        <v>قسم المقبلات</v>
      </c>
      <c r="F2311" s="103" t="str">
        <f>VLOOKUP(B2311, 'All Menu'!B:M, 3, 0)</f>
        <v>المقبلات سفري</v>
      </c>
      <c r="G2311" s="90" t="s">
        <v>2326</v>
      </c>
      <c r="H2311" s="219" t="s">
        <v>576</v>
      </c>
      <c r="I2311" s="110" t="str">
        <f>VLOOKUP(H2311, 'RM &amp; SF'!B:H, 2, 0)</f>
        <v>حشوة مسخن</v>
      </c>
      <c r="J2311" s="184" t="str">
        <f>VLOOKUP(H2311, 'RM &amp; SF'!B:E, 4, 0)</f>
        <v>غم</v>
      </c>
      <c r="K2311" s="12">
        <v>70</v>
      </c>
      <c r="L2311" s="13">
        <f>VLOOKUP(H2311, 'RM &amp; SF'!B:H, 7, 0)</f>
        <v>1.3608476190476188E-3</v>
      </c>
      <c r="M2311" s="7">
        <f t="shared" si="117"/>
        <v>9.5259333333333321E-2</v>
      </c>
      <c r="N2311" s="4" t="s">
        <v>825</v>
      </c>
      <c r="O2311" s="4">
        <f>VLOOKUP(B2311, 'All Menu'!B:L, 6, 0)</f>
        <v>0.64655172413793105</v>
      </c>
      <c r="P2311" s="6">
        <f>VLOOKUP(B2311, 'All Menu'!B:L, 9, 0)</f>
        <v>0.19348933333333332</v>
      </c>
      <c r="Q2311" s="14">
        <f>VLOOKUP(B2311, 'All Menu'!B:M, 12, 0)</f>
        <v>0.7007364977777778</v>
      </c>
      <c r="R2311" s="173">
        <f t="shared" si="116"/>
        <v>0</v>
      </c>
    </row>
    <row r="2312" spans="1:18" ht="14" hidden="1">
      <c r="A2312" s="78" t="s">
        <v>2809</v>
      </c>
      <c r="B2312" s="220" t="s">
        <v>947</v>
      </c>
      <c r="C2312" s="185"/>
      <c r="D2312" s="103" t="str">
        <f>VLOOKUP(B2312, 'All Menu'!B:M, 4, 0)</f>
        <v>مسخن رول</v>
      </c>
      <c r="E2312" s="30" t="str">
        <f>VLOOKUP(B2312, 'All Menu'!B:M, 2, 0)</f>
        <v>قسم المقبلات</v>
      </c>
      <c r="F2312" s="103" t="str">
        <f>VLOOKUP(B2312, 'All Menu'!B:M, 3, 0)</f>
        <v>المقبلات سفري</v>
      </c>
      <c r="G2312" s="90" t="s">
        <v>2215</v>
      </c>
      <c r="H2312" s="188">
        <v>4224</v>
      </c>
      <c r="I2312" s="110" t="str">
        <f>VLOOKUP(H2312, 'RM &amp; SF'!B:H, 2, 0)</f>
        <v>سماق*****</v>
      </c>
      <c r="J2312" s="184" t="str">
        <f>VLOOKUP(H2312, 'RM &amp; SF'!B:E, 4, 0)</f>
        <v>غم</v>
      </c>
      <c r="K2312" s="12">
        <v>3</v>
      </c>
      <c r="L2312" s="13">
        <f>VLOOKUP(H2312, 'RM &amp; SF'!B:H, 7, 0)</f>
        <v>4.3099999999999996E-3</v>
      </c>
      <c r="M2312" s="7">
        <f t="shared" ref="M2312" si="120">L2312*K2312</f>
        <v>1.2929999999999999E-2</v>
      </c>
      <c r="N2312" s="4" t="s">
        <v>825</v>
      </c>
      <c r="O2312" s="4">
        <f>VLOOKUP(B2312, 'All Menu'!B:L, 6, 0)</f>
        <v>0.64655172413793105</v>
      </c>
      <c r="P2312" s="6">
        <f>VLOOKUP(B2312, 'All Menu'!B:L, 9, 0)</f>
        <v>0.19348933333333332</v>
      </c>
      <c r="Q2312" s="14">
        <f>VLOOKUP(B2312, 'All Menu'!B:M, 12, 0)</f>
        <v>0.7007364977777778</v>
      </c>
      <c r="R2312" s="173"/>
    </row>
    <row r="2313" spans="1:18" ht="14" hidden="1">
      <c r="A2313" s="78" t="s">
        <v>2809</v>
      </c>
      <c r="B2313" s="220" t="s">
        <v>947</v>
      </c>
      <c r="C2313" s="185"/>
      <c r="D2313" s="103" t="str">
        <f>VLOOKUP(B2313, 'All Menu'!B:M, 4, 0)</f>
        <v>مسخن رول</v>
      </c>
      <c r="E2313" s="30" t="str">
        <f>VLOOKUP(B2313, 'All Menu'!B:M, 2, 0)</f>
        <v>قسم المقبلات</v>
      </c>
      <c r="F2313" s="103" t="str">
        <f>VLOOKUP(B2313, 'All Menu'!B:M, 3, 0)</f>
        <v>المقبلات سفري</v>
      </c>
      <c r="G2313" s="90" t="s">
        <v>2224</v>
      </c>
      <c r="H2313" s="188">
        <v>4115</v>
      </c>
      <c r="I2313" s="110" t="str">
        <f>VLOOKUP(H2313, 'RM &amp; SF'!B:H, 2, 0)</f>
        <v>خبز شراك*****</v>
      </c>
      <c r="J2313" s="184" t="str">
        <f>VLOOKUP(H2313, 'RM &amp; SF'!B:E, 4, 0)</f>
        <v>قطعة</v>
      </c>
      <c r="K2313" s="12">
        <v>0.25</v>
      </c>
      <c r="L2313" s="13">
        <f>VLOOKUP(H2313, 'RM &amp; SF'!B:H, 7, 0)</f>
        <v>0.1</v>
      </c>
      <c r="M2313" s="7">
        <f t="shared" si="117"/>
        <v>2.5000000000000001E-2</v>
      </c>
      <c r="N2313" s="4" t="s">
        <v>825</v>
      </c>
      <c r="O2313" s="4">
        <f>VLOOKUP(B2313, 'All Menu'!B:L, 6, 0)</f>
        <v>0.64655172413793105</v>
      </c>
      <c r="P2313" s="6">
        <f>VLOOKUP(B2313, 'All Menu'!B:L, 9, 0)</f>
        <v>0.19348933333333332</v>
      </c>
      <c r="Q2313" s="14">
        <f>VLOOKUP(B2313, 'All Menu'!B:M, 12, 0)</f>
        <v>0.7007364977777778</v>
      </c>
      <c r="R2313" s="173">
        <f t="shared" si="116"/>
        <v>0</v>
      </c>
    </row>
    <row r="2314" spans="1:18" ht="14" hidden="1">
      <c r="A2314" s="78" t="s">
        <v>2809</v>
      </c>
      <c r="B2314" s="220" t="s">
        <v>947</v>
      </c>
      <c r="C2314" s="185"/>
      <c r="D2314" s="103" t="str">
        <f>VLOOKUP(B2314, 'All Menu'!B:M, 4, 0)</f>
        <v>مسخن رول</v>
      </c>
      <c r="E2314" s="30" t="str">
        <f>VLOOKUP(B2314, 'All Menu'!B:M, 2, 0)</f>
        <v>قسم المقبلات</v>
      </c>
      <c r="F2314" s="103" t="str">
        <f>VLOOKUP(B2314, 'All Menu'!B:M, 3, 0)</f>
        <v>المقبلات سفري</v>
      </c>
      <c r="G2314" s="90" t="s">
        <v>2184</v>
      </c>
      <c r="H2314" s="188">
        <v>4265</v>
      </c>
      <c r="I2314" s="110" t="str">
        <f>VLOOKUP(H2314, 'RM &amp; SF'!B:H, 2, 0)</f>
        <v>علب بطاطا كرتون مطبوع 1*25 حبة*****</v>
      </c>
      <c r="J2314" s="184" t="str">
        <f>VLOOKUP(H2314, 'RM &amp; SF'!B:E, 4, 0)</f>
        <v>قطعة</v>
      </c>
      <c r="K2314" s="12">
        <v>1</v>
      </c>
      <c r="L2314" s="13">
        <f>VLOOKUP(H2314, 'RM &amp; SF'!B:H, 7, 0)</f>
        <v>6.0299999999999999E-2</v>
      </c>
      <c r="M2314" s="7">
        <f t="shared" si="117"/>
        <v>6.0299999999999999E-2</v>
      </c>
      <c r="N2314" s="4" t="s">
        <v>825</v>
      </c>
      <c r="O2314" s="4">
        <f>VLOOKUP(B2314, 'All Menu'!B:L, 6, 0)</f>
        <v>0.64655172413793105</v>
      </c>
      <c r="P2314" s="6">
        <f>VLOOKUP(B2314, 'All Menu'!B:L, 9, 0)</f>
        <v>0.19348933333333332</v>
      </c>
      <c r="Q2314" s="14">
        <f>VLOOKUP(B2314, 'All Menu'!B:M, 12, 0)</f>
        <v>0.7007364977777778</v>
      </c>
      <c r="R2314" s="173">
        <f t="shared" si="116"/>
        <v>0</v>
      </c>
    </row>
    <row r="2315" spans="1:18" ht="14" hidden="1">
      <c r="A2315" s="78" t="s">
        <v>2810</v>
      </c>
      <c r="B2315" s="220" t="s">
        <v>969</v>
      </c>
      <c r="C2315" s="185"/>
      <c r="D2315" s="103" t="str">
        <f>VLOOKUP(B2315, 'All Menu'!B:M, 4, 0)</f>
        <v>بطاطا مقلية</v>
      </c>
      <c r="E2315" s="30" t="str">
        <f>VLOOKUP(B2315, 'All Menu'!B:M, 2, 0)</f>
        <v>قسم المقبلات</v>
      </c>
      <c r="F2315" s="103" t="str">
        <f>VLOOKUP(B2315, 'All Menu'!B:M, 3, 0)</f>
        <v>المقبلات سفري</v>
      </c>
      <c r="G2315" s="90" t="s">
        <v>2385</v>
      </c>
      <c r="H2315" s="219" t="s">
        <v>540</v>
      </c>
      <c r="I2315" s="110" t="str">
        <f>VLOOKUP(H2315, 'RM &amp; SF'!B:H, 2, 0)</f>
        <v xml:space="preserve">بطاطا مقلية </v>
      </c>
      <c r="J2315" s="184" t="str">
        <f>VLOOKUP(H2315, 'RM &amp; SF'!B:E, 4, 0)</f>
        <v>غم</v>
      </c>
      <c r="K2315" s="12">
        <v>150</v>
      </c>
      <c r="L2315" s="13">
        <f>VLOOKUP(H2315, 'RM &amp; SF'!B:H, 7, 0)</f>
        <v>7.9700000000000007E-4</v>
      </c>
      <c r="M2315" s="7">
        <f t="shared" si="117"/>
        <v>0.11955000000000002</v>
      </c>
      <c r="N2315" s="4" t="s">
        <v>825</v>
      </c>
      <c r="O2315" s="4">
        <f>VLOOKUP(B2315, 'All Menu'!B:L, 6, 0)</f>
        <v>0.86206896551724144</v>
      </c>
      <c r="P2315" s="6">
        <f>VLOOKUP(B2315, 'All Menu'!B:L, 9, 0)</f>
        <v>0.19719300000000001</v>
      </c>
      <c r="Q2315" s="14">
        <f>VLOOKUP(B2315, 'All Menu'!B:M, 12, 0)</f>
        <v>0.77125611999999999</v>
      </c>
      <c r="R2315" s="173">
        <f t="shared" si="116"/>
        <v>0</v>
      </c>
    </row>
    <row r="2316" spans="1:18" ht="14" hidden="1">
      <c r="A2316" s="78" t="s">
        <v>2810</v>
      </c>
      <c r="B2316" s="220" t="s">
        <v>969</v>
      </c>
      <c r="C2316" s="185"/>
      <c r="D2316" s="103" t="str">
        <f>VLOOKUP(B2316, 'All Menu'!B:M, 4, 0)</f>
        <v>بطاطا مقلية</v>
      </c>
      <c r="E2316" s="30" t="str">
        <f>VLOOKUP(B2316, 'All Menu'!B:M, 2, 0)</f>
        <v>قسم المقبلات</v>
      </c>
      <c r="F2316" s="103" t="str">
        <f>VLOOKUP(B2316, 'All Menu'!B:M, 3, 0)</f>
        <v>المقبلات سفري</v>
      </c>
      <c r="G2316" s="90" t="s">
        <v>3058</v>
      </c>
      <c r="H2316" s="219">
        <v>5257</v>
      </c>
      <c r="I2316" s="110" t="str">
        <f>VLOOKUP(H2316, 'RM &amp; SF'!B:H, 2, 0)</f>
        <v>بهار شيتوس*****</v>
      </c>
      <c r="J2316" s="184" t="str">
        <f>VLOOKUP(H2316, 'RM &amp; SF'!B:E, 4, 0)</f>
        <v>غم</v>
      </c>
      <c r="K2316" s="12">
        <v>3</v>
      </c>
      <c r="L2316" s="13">
        <f>VLOOKUP(H2316, 'RM &amp; SF'!B:H, 7, 0)</f>
        <v>4.3099999999999996E-3</v>
      </c>
      <c r="M2316" s="7">
        <f t="shared" ref="M2316" si="121">L2316*K2316</f>
        <v>1.2929999999999999E-2</v>
      </c>
      <c r="N2316" s="4" t="s">
        <v>825</v>
      </c>
      <c r="O2316" s="4">
        <f>VLOOKUP(B2316, 'All Menu'!B:L, 6, 0)</f>
        <v>0.86206896551724144</v>
      </c>
      <c r="P2316" s="6">
        <f>VLOOKUP(B2316, 'All Menu'!B:L, 9, 0)</f>
        <v>0.19719300000000001</v>
      </c>
      <c r="Q2316" s="14">
        <f>VLOOKUP(B2316, 'All Menu'!B:M, 12, 0)</f>
        <v>0.77125611999999999</v>
      </c>
      <c r="R2316" s="173">
        <f t="shared" si="116"/>
        <v>0</v>
      </c>
    </row>
    <row r="2317" spans="1:18" ht="14" hidden="1">
      <c r="A2317" s="78" t="s">
        <v>2810</v>
      </c>
      <c r="B2317" s="220" t="s">
        <v>969</v>
      </c>
      <c r="C2317" s="185"/>
      <c r="D2317" s="103" t="str">
        <f>VLOOKUP(B2317, 'All Menu'!B:M, 4, 0)</f>
        <v>بطاطا مقلية</v>
      </c>
      <c r="E2317" s="30" t="str">
        <f>VLOOKUP(B2317, 'All Menu'!B:M, 2, 0)</f>
        <v>قسم المقبلات</v>
      </c>
      <c r="F2317" s="103" t="str">
        <f>VLOOKUP(B2317, 'All Menu'!B:M, 3, 0)</f>
        <v>المقبلات سفري</v>
      </c>
      <c r="G2317" s="90" t="s">
        <v>2184</v>
      </c>
      <c r="H2317" s="188">
        <v>4265</v>
      </c>
      <c r="I2317" s="110" t="str">
        <f>VLOOKUP(H2317, 'RM &amp; SF'!B:H, 2, 0)</f>
        <v>علب بطاطا كرتون مطبوع 1*25 حبة*****</v>
      </c>
      <c r="J2317" s="184" t="str">
        <f>VLOOKUP(H2317, 'RM &amp; SF'!B:E, 4, 0)</f>
        <v>قطعة</v>
      </c>
      <c r="K2317" s="12">
        <v>1</v>
      </c>
      <c r="L2317" s="13">
        <f>VLOOKUP(H2317, 'RM &amp; SF'!B:H, 7, 0)</f>
        <v>6.0299999999999999E-2</v>
      </c>
      <c r="M2317" s="7">
        <f t="shared" si="117"/>
        <v>6.0299999999999999E-2</v>
      </c>
      <c r="N2317" s="4" t="s">
        <v>825</v>
      </c>
      <c r="O2317" s="4">
        <f>VLOOKUP(B2317, 'All Menu'!B:L, 6, 0)</f>
        <v>0.86206896551724144</v>
      </c>
      <c r="P2317" s="6">
        <f>VLOOKUP(B2317, 'All Menu'!B:L, 9, 0)</f>
        <v>0.19719300000000001</v>
      </c>
      <c r="Q2317" s="14">
        <f>VLOOKUP(B2317, 'All Menu'!B:M, 12, 0)</f>
        <v>0.77125611999999999</v>
      </c>
      <c r="R2317" s="173">
        <f t="shared" si="116"/>
        <v>0</v>
      </c>
    </row>
    <row r="2318" spans="1:18" ht="14" hidden="1">
      <c r="A2318" s="78" t="s">
        <v>2810</v>
      </c>
      <c r="B2318" s="220" t="s">
        <v>969</v>
      </c>
      <c r="C2318" s="185"/>
      <c r="D2318" s="103" t="str">
        <f>VLOOKUP(B2318, 'All Menu'!B:M, 4, 0)</f>
        <v>بطاطا مقلية</v>
      </c>
      <c r="E2318" s="30" t="str">
        <f>VLOOKUP(B2318, 'All Menu'!B:M, 2, 0)</f>
        <v>قسم المقبلات</v>
      </c>
      <c r="F2318" s="103" t="str">
        <f>VLOOKUP(B2318, 'All Menu'!B:M, 3, 0)</f>
        <v>المقبلات سفري</v>
      </c>
      <c r="G2318" s="90" t="s">
        <v>3058</v>
      </c>
      <c r="H2318" s="188">
        <v>5087</v>
      </c>
      <c r="I2318" s="110" t="str">
        <f>VLOOKUP(H2318, 'RM &amp; SF'!B:H, 2, 0)</f>
        <v>ملح هملايا*****</v>
      </c>
      <c r="J2318" s="184" t="str">
        <f>VLOOKUP(H2318, 'RM &amp; SF'!B:E, 4, 0)</f>
        <v>غم</v>
      </c>
      <c r="K2318" s="12">
        <v>3</v>
      </c>
      <c r="L2318" s="13">
        <f>VLOOKUP(H2318, 'RM &amp; SF'!B:H, 7, 0)</f>
        <v>1.4710000000000001E-3</v>
      </c>
      <c r="M2318" s="7">
        <f t="shared" si="117"/>
        <v>4.4130000000000003E-3</v>
      </c>
      <c r="N2318" s="4" t="s">
        <v>825</v>
      </c>
      <c r="O2318" s="4">
        <f>VLOOKUP(B2318, 'All Menu'!B:L, 6, 0)</f>
        <v>0.86206896551724144</v>
      </c>
      <c r="P2318" s="6">
        <f>VLOOKUP(B2318, 'All Menu'!B:L, 9, 0)</f>
        <v>0.19719300000000001</v>
      </c>
      <c r="Q2318" s="14">
        <f>VLOOKUP(B2318, 'All Menu'!B:M, 12, 0)</f>
        <v>0.77125611999999999</v>
      </c>
      <c r="R2318" s="173">
        <f t="shared" si="116"/>
        <v>0</v>
      </c>
    </row>
    <row r="2319" spans="1:18" ht="14" hidden="1">
      <c r="A2319" s="78" t="s">
        <v>2805</v>
      </c>
      <c r="B2319" s="220" t="s">
        <v>1018</v>
      </c>
      <c r="C2319" s="185"/>
      <c r="D2319" s="103" t="str">
        <f>VLOOKUP(B2319, 'All Menu'!B:M, 4, 0)</f>
        <v>علبة لبن</v>
      </c>
      <c r="E2319" s="30" t="str">
        <f>VLOOKUP(B2319, 'All Menu'!B:M, 2, 0)</f>
        <v>قسم المقبلات</v>
      </c>
      <c r="F2319" s="103" t="str">
        <f>VLOOKUP(B2319, 'All Menu'!B:M, 3, 0)</f>
        <v>المقبلات سفري</v>
      </c>
      <c r="G2319" s="90" t="s">
        <v>2185</v>
      </c>
      <c r="H2319" s="188">
        <v>4550</v>
      </c>
      <c r="I2319" s="110" t="str">
        <f>VLOOKUP(H2319, 'RM &amp; SF'!B:H, 2, 0)</f>
        <v>*****لبن زبادي 150 غم</v>
      </c>
      <c r="J2319" s="184" t="str">
        <f>VLOOKUP(H2319, 'RM &amp; SF'!B:E, 4, 0)</f>
        <v>قطعة</v>
      </c>
      <c r="K2319" s="12">
        <v>1</v>
      </c>
      <c r="L2319" s="13">
        <f>VLOOKUP(H2319, 'RM &amp; SF'!B:H, 7, 0)</f>
        <v>0.16</v>
      </c>
      <c r="M2319" s="7">
        <f t="shared" si="117"/>
        <v>0.16</v>
      </c>
      <c r="N2319" s="4" t="s">
        <v>825</v>
      </c>
      <c r="O2319" s="4">
        <f>VLOOKUP(B2319, 'All Menu'!B:L, 6, 0)</f>
        <v>0.34482758620689657</v>
      </c>
      <c r="P2319" s="6">
        <f>VLOOKUP(B2319, 'All Menu'!B:L, 9, 0)</f>
        <v>0.16</v>
      </c>
      <c r="Q2319" s="14">
        <f>VLOOKUP(B2319, 'All Menu'!B:M, 12, 0)</f>
        <v>0.53600000000000003</v>
      </c>
      <c r="R2319" s="173">
        <f t="shared" si="116"/>
        <v>0</v>
      </c>
    </row>
    <row r="2320" spans="1:18" ht="14" hidden="1">
      <c r="A2320" s="78" t="s">
        <v>2823</v>
      </c>
      <c r="B2320" s="220" t="s">
        <v>1029</v>
      </c>
      <c r="C2320" s="185"/>
      <c r="D2320" s="103" t="str">
        <f>VLOOKUP(B2320, 'All Menu'!B:M, 4, 0)</f>
        <v>فتوش عائلي</v>
      </c>
      <c r="E2320" s="30" t="str">
        <f>VLOOKUP(B2320, 'All Menu'!B:M, 2, 0)</f>
        <v>قسم المقبلات</v>
      </c>
      <c r="F2320" s="103" t="str">
        <f>VLOOKUP(B2320, 'All Menu'!B:M, 3, 0)</f>
        <v>سلطات سفري</v>
      </c>
      <c r="G2320" s="90" t="s">
        <v>2441</v>
      </c>
      <c r="H2320" s="219" t="s">
        <v>658</v>
      </c>
      <c r="I2320" s="110" t="str">
        <f>VLOOKUP(H2320, 'RM &amp; SF'!B:H, 2, 0)</f>
        <v>ضربة فتوش</v>
      </c>
      <c r="J2320" s="184" t="str">
        <f>VLOOKUP(H2320, 'RM &amp; SF'!B:E, 4, 0)</f>
        <v>غم</v>
      </c>
      <c r="K2320" s="12">
        <v>700</v>
      </c>
      <c r="L2320" s="13">
        <f>VLOOKUP(H2320, 'RM &amp; SF'!B:H, 7, 0)</f>
        <v>7.5754716981132084E-4</v>
      </c>
      <c r="M2320" s="7">
        <f t="shared" si="117"/>
        <v>0.53028301886792462</v>
      </c>
      <c r="N2320" s="4" t="s">
        <v>825</v>
      </c>
      <c r="O2320" s="4">
        <f>VLOOKUP(B2320, 'All Menu'!B:L, 6, 0)</f>
        <v>10.129310344827587</v>
      </c>
      <c r="P2320" s="6">
        <f>VLOOKUP(B2320, 'All Menu'!B:L, 9, 0)</f>
        <v>2.756986233153639</v>
      </c>
      <c r="Q2320" s="14">
        <f>VLOOKUP(B2320, 'All Menu'!B:M, 12, 0)</f>
        <v>0.7278209335780238</v>
      </c>
      <c r="R2320" s="173">
        <f t="shared" si="116"/>
        <v>0</v>
      </c>
    </row>
    <row r="2321" spans="1:18" ht="14" hidden="1">
      <c r="A2321" s="78" t="s">
        <v>2823</v>
      </c>
      <c r="B2321" s="220" t="s">
        <v>1029</v>
      </c>
      <c r="C2321" s="185"/>
      <c r="D2321" s="103" t="str">
        <f>VLOOKUP(B2321, 'All Menu'!B:M, 4, 0)</f>
        <v>فتوش عائلي</v>
      </c>
      <c r="E2321" s="30" t="str">
        <f>VLOOKUP(B2321, 'All Menu'!B:M, 2, 0)</f>
        <v>قسم المقبلات</v>
      </c>
      <c r="F2321" s="103" t="str">
        <f>VLOOKUP(B2321, 'All Menu'!B:M, 3, 0)</f>
        <v>سلطات سفري</v>
      </c>
      <c r="G2321" s="90" t="s">
        <v>2239</v>
      </c>
      <c r="H2321" s="188">
        <v>4513</v>
      </c>
      <c r="I2321" s="110" t="str">
        <f>VLOOKUP(H2321, 'RM &amp; SF'!B:H, 2, 0)</f>
        <v>ليمون اصفر*****</v>
      </c>
      <c r="J2321" s="184" t="str">
        <f>VLOOKUP(H2321, 'RM &amp; SF'!B:E, 4, 0)</f>
        <v>غم</v>
      </c>
      <c r="K2321" s="12">
        <v>100</v>
      </c>
      <c r="L2321" s="13">
        <f>VLOOKUP(H2321, 'RM &amp; SF'!B:H, 7, 0)</f>
        <v>1.75E-3</v>
      </c>
      <c r="M2321" s="7">
        <f t="shared" si="117"/>
        <v>0.17500000000000002</v>
      </c>
      <c r="N2321" s="4" t="s">
        <v>825</v>
      </c>
      <c r="O2321" s="4">
        <f>VLOOKUP(B2321, 'All Menu'!B:L, 6, 0)</f>
        <v>10.129310344827587</v>
      </c>
      <c r="P2321" s="6">
        <f>VLOOKUP(B2321, 'All Menu'!B:L, 9, 0)</f>
        <v>2.756986233153639</v>
      </c>
      <c r="Q2321" s="14">
        <f>VLOOKUP(B2321, 'All Menu'!B:M, 12, 0)</f>
        <v>0.7278209335780238</v>
      </c>
      <c r="R2321" s="173">
        <f t="shared" si="116"/>
        <v>0</v>
      </c>
    </row>
    <row r="2322" spans="1:18" ht="14" hidden="1">
      <c r="A2322" s="78" t="s">
        <v>2823</v>
      </c>
      <c r="B2322" s="220" t="s">
        <v>1029</v>
      </c>
      <c r="C2322" s="185"/>
      <c r="D2322" s="103" t="str">
        <f>VLOOKUP(B2322, 'All Menu'!B:M, 4, 0)</f>
        <v>فتوش عائلي</v>
      </c>
      <c r="E2322" s="30" t="str">
        <f>VLOOKUP(B2322, 'All Menu'!B:M, 2, 0)</f>
        <v>قسم المقبلات</v>
      </c>
      <c r="F2322" s="103" t="str">
        <f>VLOOKUP(B2322, 'All Menu'!B:M, 3, 0)</f>
        <v>سلطات سفري</v>
      </c>
      <c r="G2322" s="90" t="s">
        <v>2244</v>
      </c>
      <c r="H2322" s="188">
        <v>4522</v>
      </c>
      <c r="I2322" s="110" t="str">
        <f>VLOOKUP(H2322, 'RM &amp; SF'!B:H, 2, 0)</f>
        <v>رمان*****</v>
      </c>
      <c r="J2322" s="184" t="str">
        <f>VLOOKUP(H2322, 'RM &amp; SF'!B:E, 4, 0)</f>
        <v>غم</v>
      </c>
      <c r="K2322" s="12">
        <v>100</v>
      </c>
      <c r="L2322" s="13">
        <f>VLOOKUP(H2322, 'RM &amp; SF'!B:H, 7, 0)</f>
        <v>1.75E-3</v>
      </c>
      <c r="M2322" s="7">
        <f t="shared" si="117"/>
        <v>0.17500000000000002</v>
      </c>
      <c r="N2322" s="4" t="s">
        <v>825</v>
      </c>
      <c r="O2322" s="4">
        <f>VLOOKUP(B2322, 'All Menu'!B:L, 6, 0)</f>
        <v>10.129310344827587</v>
      </c>
      <c r="P2322" s="6">
        <f>VLOOKUP(B2322, 'All Menu'!B:L, 9, 0)</f>
        <v>2.756986233153639</v>
      </c>
      <c r="Q2322" s="14">
        <f>VLOOKUP(B2322, 'All Menu'!B:M, 12, 0)</f>
        <v>0.7278209335780238</v>
      </c>
      <c r="R2322" s="173">
        <f t="shared" ref="R2322:R2386" si="122">C2322*K2322</f>
        <v>0</v>
      </c>
    </row>
    <row r="2323" spans="1:18" ht="14" hidden="1">
      <c r="A2323" s="78" t="s">
        <v>2823</v>
      </c>
      <c r="B2323" s="220" t="s">
        <v>1029</v>
      </c>
      <c r="C2323" s="185"/>
      <c r="D2323" s="103" t="str">
        <f>VLOOKUP(B2323, 'All Menu'!B:M, 4, 0)</f>
        <v>فتوش عائلي</v>
      </c>
      <c r="E2323" s="30" t="str">
        <f>VLOOKUP(B2323, 'All Menu'!B:M, 2, 0)</f>
        <v>قسم المقبلات</v>
      </c>
      <c r="F2323" s="103" t="str">
        <f>VLOOKUP(B2323, 'All Menu'!B:M, 3, 0)</f>
        <v>سلطات سفري</v>
      </c>
      <c r="G2323" s="90" t="s">
        <v>2265</v>
      </c>
      <c r="H2323" s="188">
        <v>4006</v>
      </c>
      <c r="I2323" s="110" t="str">
        <f>VLOOKUP(H2323, 'RM &amp; SF'!B:H, 2, 0)</f>
        <v>دبس رمان 5 كغ (مادة أولية)*****</v>
      </c>
      <c r="J2323" s="184" t="str">
        <f>VLOOKUP(H2323, 'RM &amp; SF'!B:E, 4, 0)</f>
        <v>غم</v>
      </c>
      <c r="K2323" s="12">
        <v>25</v>
      </c>
      <c r="L2323" s="13">
        <f>VLOOKUP(H2323, 'RM &amp; SF'!B:H, 7, 0)</f>
        <v>1.508E-3</v>
      </c>
      <c r="M2323" s="7">
        <f t="shared" si="117"/>
        <v>3.7699999999999997E-2</v>
      </c>
      <c r="N2323" s="4" t="s">
        <v>825</v>
      </c>
      <c r="O2323" s="4">
        <f>VLOOKUP(B2323, 'All Menu'!B:L, 6, 0)</f>
        <v>10.129310344827587</v>
      </c>
      <c r="P2323" s="6">
        <f>VLOOKUP(B2323, 'All Menu'!B:L, 9, 0)</f>
        <v>2.756986233153639</v>
      </c>
      <c r="Q2323" s="14">
        <f>VLOOKUP(B2323, 'All Menu'!B:M, 12, 0)</f>
        <v>0.7278209335780238</v>
      </c>
      <c r="R2323" s="173">
        <f t="shared" si="122"/>
        <v>0</v>
      </c>
    </row>
    <row r="2324" spans="1:18" ht="14" hidden="1">
      <c r="A2324" s="78" t="s">
        <v>2823</v>
      </c>
      <c r="B2324" s="220" t="s">
        <v>1029</v>
      </c>
      <c r="C2324" s="185"/>
      <c r="D2324" s="103" t="str">
        <f>VLOOKUP(B2324, 'All Menu'!B:M, 4, 0)</f>
        <v>فتوش عائلي</v>
      </c>
      <c r="E2324" s="30" t="str">
        <f>VLOOKUP(B2324, 'All Menu'!B:M, 2, 0)</f>
        <v>قسم المقبلات</v>
      </c>
      <c r="F2324" s="103" t="str">
        <f>VLOOKUP(B2324, 'All Menu'!B:M, 3, 0)</f>
        <v>سلطات سفري</v>
      </c>
      <c r="G2324" s="90" t="s">
        <v>2439</v>
      </c>
      <c r="H2324" s="219" t="s">
        <v>654</v>
      </c>
      <c r="I2324" s="110" t="str">
        <f>VLOOKUP(H2324, 'RM &amp; SF'!B:H, 2, 0)</f>
        <v xml:space="preserve">صوص فتوش </v>
      </c>
      <c r="J2324" s="184" t="str">
        <f>VLOOKUP(H2324, 'RM &amp; SF'!B:E, 4, 0)</f>
        <v>غم</v>
      </c>
      <c r="K2324" s="12">
        <v>150</v>
      </c>
      <c r="L2324" s="13">
        <f>VLOOKUP(H2324, 'RM &amp; SF'!B:H, 7, 0)</f>
        <v>2.4714499999999996E-3</v>
      </c>
      <c r="M2324" s="7">
        <f t="shared" ref="M2324:M2388" si="123">L2324*K2324</f>
        <v>0.37071749999999992</v>
      </c>
      <c r="N2324" s="4" t="s">
        <v>825</v>
      </c>
      <c r="O2324" s="4">
        <f>VLOOKUP(B2324, 'All Menu'!B:L, 6, 0)</f>
        <v>10.129310344827587</v>
      </c>
      <c r="P2324" s="6">
        <f>VLOOKUP(B2324, 'All Menu'!B:L, 9, 0)</f>
        <v>2.756986233153639</v>
      </c>
      <c r="Q2324" s="14">
        <f>VLOOKUP(B2324, 'All Menu'!B:M, 12, 0)</f>
        <v>0.7278209335780238</v>
      </c>
      <c r="R2324" s="173">
        <f t="shared" si="122"/>
        <v>0</v>
      </c>
    </row>
    <row r="2325" spans="1:18" ht="14" hidden="1">
      <c r="A2325" s="78" t="s">
        <v>2823</v>
      </c>
      <c r="B2325" s="220" t="s">
        <v>1029</v>
      </c>
      <c r="C2325" s="185"/>
      <c r="D2325" s="103" t="str">
        <f>VLOOKUP(B2325, 'All Menu'!B:M, 4, 0)</f>
        <v>فتوش عائلي</v>
      </c>
      <c r="E2325" s="30" t="str">
        <f>VLOOKUP(B2325, 'All Menu'!B:M, 2, 0)</f>
        <v>قسم المقبلات</v>
      </c>
      <c r="F2325" s="103" t="str">
        <f>VLOOKUP(B2325, 'All Menu'!B:M, 3, 0)</f>
        <v>سلطات سفري</v>
      </c>
      <c r="G2325" s="90" t="s">
        <v>2330</v>
      </c>
      <c r="H2325" s="219" t="s">
        <v>490</v>
      </c>
      <c r="I2325" s="110" t="str">
        <f>VLOOKUP(H2325, 'RM &amp; SF'!B:H, 2, 0)</f>
        <v>خبز مقلي</v>
      </c>
      <c r="J2325" s="184" t="str">
        <f>VLOOKUP(H2325, 'RM &amp; SF'!B:E, 4, 0)</f>
        <v>غم</v>
      </c>
      <c r="K2325" s="12">
        <v>80</v>
      </c>
      <c r="L2325" s="13">
        <f>VLOOKUP(H2325, 'RM &amp; SF'!B:H, 7, 0)</f>
        <v>2.2857142857142859E-4</v>
      </c>
      <c r="M2325" s="7">
        <f t="shared" si="123"/>
        <v>1.8285714285714287E-2</v>
      </c>
      <c r="N2325" s="4" t="s">
        <v>825</v>
      </c>
      <c r="O2325" s="4">
        <f>VLOOKUP(B2325, 'All Menu'!B:L, 6, 0)</f>
        <v>10.129310344827587</v>
      </c>
      <c r="P2325" s="6">
        <f>VLOOKUP(B2325, 'All Menu'!B:L, 9, 0)</f>
        <v>2.756986233153639</v>
      </c>
      <c r="Q2325" s="14">
        <f>VLOOKUP(B2325, 'All Menu'!B:M, 12, 0)</f>
        <v>0.7278209335780238</v>
      </c>
      <c r="R2325" s="173">
        <f t="shared" si="122"/>
        <v>0</v>
      </c>
    </row>
    <row r="2326" spans="1:18" ht="14" hidden="1">
      <c r="A2326" s="78" t="s">
        <v>2823</v>
      </c>
      <c r="B2326" s="220" t="s">
        <v>1029</v>
      </c>
      <c r="C2326" s="185"/>
      <c r="D2326" s="103" t="str">
        <f>VLOOKUP(B2326, 'All Menu'!B:M, 4, 0)</f>
        <v>فتوش عائلي</v>
      </c>
      <c r="E2326" s="30" t="str">
        <f>VLOOKUP(B2326, 'All Menu'!B:M, 2, 0)</f>
        <v>قسم المقبلات</v>
      </c>
      <c r="F2326" s="103" t="str">
        <f>VLOOKUP(B2326, 'All Menu'!B:M, 3, 0)</f>
        <v>سلطات سفري</v>
      </c>
      <c r="G2326" s="90" t="s">
        <v>3058</v>
      </c>
      <c r="H2326" s="188">
        <v>4416</v>
      </c>
      <c r="I2326" s="110" t="str">
        <f>VLOOKUP(H2326, 'RM &amp; SF'!B:H, 2, 0)</f>
        <v>صحن شوربة بورسلين ابيض 20 سم (8 انش)*****</v>
      </c>
      <c r="J2326" s="184" t="str">
        <f>VLOOKUP(H2326, 'RM &amp; SF'!B:E, 4, 0)</f>
        <v>قطعة</v>
      </c>
      <c r="K2326" s="12">
        <v>1</v>
      </c>
      <c r="L2326" s="13">
        <f>VLOOKUP(H2326, 'RM &amp; SF'!B:H, 7, 0)</f>
        <v>1.45</v>
      </c>
      <c r="M2326" s="7">
        <f t="shared" si="123"/>
        <v>1.45</v>
      </c>
      <c r="N2326" s="4" t="s">
        <v>825</v>
      </c>
      <c r="O2326" s="4">
        <f>VLOOKUP(B2326, 'All Menu'!B:L, 6, 0)</f>
        <v>10.129310344827587</v>
      </c>
      <c r="P2326" s="6">
        <f>VLOOKUP(B2326, 'All Menu'!B:L, 9, 0)</f>
        <v>2.756986233153639</v>
      </c>
      <c r="Q2326" s="14">
        <f>VLOOKUP(B2326, 'All Menu'!B:M, 12, 0)</f>
        <v>0.7278209335780238</v>
      </c>
      <c r="R2326" s="173">
        <f t="shared" si="122"/>
        <v>0</v>
      </c>
    </row>
    <row r="2327" spans="1:18" ht="14" hidden="1">
      <c r="A2327" s="78" t="s">
        <v>2821</v>
      </c>
      <c r="B2327" s="220" t="s">
        <v>1030</v>
      </c>
      <c r="C2327" s="185"/>
      <c r="D2327" s="103" t="str">
        <f>VLOOKUP(B2327, 'All Menu'!B:M, 4, 0)</f>
        <v>تبولة عائلي</v>
      </c>
      <c r="E2327" s="30" t="str">
        <f>VLOOKUP(B2327, 'All Menu'!B:M, 2, 0)</f>
        <v>قسم المقبلات</v>
      </c>
      <c r="F2327" s="103" t="str">
        <f>VLOOKUP(B2327, 'All Menu'!B:M, 3, 0)</f>
        <v>سلطات سفري</v>
      </c>
      <c r="G2327" s="90" t="s">
        <v>2251</v>
      </c>
      <c r="H2327" s="188">
        <v>4544</v>
      </c>
      <c r="I2327" s="110" t="str">
        <f>VLOOKUP(H2327, 'RM &amp; SF'!B:H, 2, 0)</f>
        <v>بقدونس*****</v>
      </c>
      <c r="J2327" s="184" t="str">
        <f>VLOOKUP(H2327, 'RM &amp; SF'!B:E, 4, 0)</f>
        <v>غم</v>
      </c>
      <c r="K2327" s="12">
        <v>4</v>
      </c>
      <c r="L2327" s="13">
        <f>VLOOKUP(H2327, 'RM &amp; SF'!B:H, 7, 0)</f>
        <v>7.5000000000000002E-4</v>
      </c>
      <c r="M2327" s="7">
        <f t="shared" si="123"/>
        <v>3.0000000000000001E-3</v>
      </c>
      <c r="N2327" s="4" t="s">
        <v>825</v>
      </c>
      <c r="O2327" s="4">
        <f>VLOOKUP(B2327, 'All Menu'!B:L, 6, 0)</f>
        <v>10.129310344827587</v>
      </c>
      <c r="P2327" s="6">
        <f>VLOOKUP(B2327, 'All Menu'!B:L, 9, 0)</f>
        <v>1.945874705154639</v>
      </c>
      <c r="Q2327" s="14">
        <f>VLOOKUP(B2327, 'All Menu'!B:M, 12, 0)</f>
        <v>0.80789662485281866</v>
      </c>
      <c r="R2327" s="173">
        <f t="shared" si="122"/>
        <v>0</v>
      </c>
    </row>
    <row r="2328" spans="1:18" ht="14" hidden="1">
      <c r="A2328" s="78" t="s">
        <v>2821</v>
      </c>
      <c r="B2328" s="220" t="s">
        <v>1030</v>
      </c>
      <c r="C2328" s="185"/>
      <c r="D2328" s="103" t="str">
        <f>VLOOKUP(B2328, 'All Menu'!B:M, 4, 0)</f>
        <v>تبولة عائلي</v>
      </c>
      <c r="E2328" s="30" t="str">
        <f>VLOOKUP(B2328, 'All Menu'!B:M, 2, 0)</f>
        <v>قسم المقبلات</v>
      </c>
      <c r="F2328" s="103" t="str">
        <f>VLOOKUP(B2328, 'All Menu'!B:M, 3, 0)</f>
        <v>سلطات سفري</v>
      </c>
      <c r="G2328" s="90" t="s">
        <v>2283</v>
      </c>
      <c r="H2328" s="188">
        <v>4139</v>
      </c>
      <c r="I2328" s="110" t="str">
        <f>VLOOKUP(H2328, 'RM &amp; SF'!B:H, 2, 0)</f>
        <v>برغل ناعم*****</v>
      </c>
      <c r="J2328" s="184" t="str">
        <f>VLOOKUP(H2328, 'RM &amp; SF'!B:E, 4, 0)</f>
        <v>غم</v>
      </c>
      <c r="K2328" s="12">
        <v>80</v>
      </c>
      <c r="L2328" s="13">
        <f>VLOOKUP(H2328, 'RM &amp; SF'!B:H, 7, 0)</f>
        <v>5.6863999999999992E-4</v>
      </c>
      <c r="M2328" s="7">
        <f t="shared" si="123"/>
        <v>4.5491199999999996E-2</v>
      </c>
      <c r="N2328" s="4" t="s">
        <v>825</v>
      </c>
      <c r="O2328" s="4">
        <f>VLOOKUP(B2328, 'All Menu'!B:L, 6, 0)</f>
        <v>10.129310344827587</v>
      </c>
      <c r="P2328" s="6">
        <f>VLOOKUP(B2328, 'All Menu'!B:L, 9, 0)</f>
        <v>1.945874705154639</v>
      </c>
      <c r="Q2328" s="14">
        <f>VLOOKUP(B2328, 'All Menu'!B:M, 12, 0)</f>
        <v>0.80789662485281866</v>
      </c>
      <c r="R2328" s="173">
        <f t="shared" si="122"/>
        <v>0</v>
      </c>
    </row>
    <row r="2329" spans="1:18" ht="14" hidden="1">
      <c r="A2329" s="78" t="s">
        <v>2821</v>
      </c>
      <c r="B2329" s="220" t="s">
        <v>1030</v>
      </c>
      <c r="C2329" s="185"/>
      <c r="D2329" s="103" t="str">
        <f>VLOOKUP(B2329, 'All Menu'!B:M, 4, 0)</f>
        <v>تبولة عائلي</v>
      </c>
      <c r="E2329" s="30" t="str">
        <f>VLOOKUP(B2329, 'All Menu'!B:M, 2, 0)</f>
        <v>قسم المقبلات</v>
      </c>
      <c r="F2329" s="103" t="str">
        <f>VLOOKUP(B2329, 'All Menu'!B:M, 3, 0)</f>
        <v>سلطات سفري</v>
      </c>
      <c r="G2329" s="90" t="s">
        <v>2309</v>
      </c>
      <c r="H2329" s="188">
        <v>4491</v>
      </c>
      <c r="I2329" s="110" t="str">
        <f>VLOOKUP(H2329, 'RM &amp; SF'!B:H, 2, 0)</f>
        <v>بندورة جامدة*****</v>
      </c>
      <c r="J2329" s="184" t="str">
        <f>VLOOKUP(H2329, 'RM &amp; SF'!B:E, 4, 0)</f>
        <v>غم</v>
      </c>
      <c r="K2329" s="12">
        <v>500</v>
      </c>
      <c r="L2329" s="13">
        <f>VLOOKUP(H2329, 'RM &amp; SF'!B:H, 7, 0)</f>
        <v>5.0000000000000001E-4</v>
      </c>
      <c r="M2329" s="7">
        <f t="shared" si="123"/>
        <v>0.25</v>
      </c>
      <c r="N2329" s="4" t="s">
        <v>825</v>
      </c>
      <c r="O2329" s="4">
        <f>VLOOKUP(B2329, 'All Menu'!B:L, 6, 0)</f>
        <v>10.129310344827587</v>
      </c>
      <c r="P2329" s="6">
        <f>VLOOKUP(B2329, 'All Menu'!B:L, 9, 0)</f>
        <v>1.945874705154639</v>
      </c>
      <c r="Q2329" s="14">
        <f>VLOOKUP(B2329, 'All Menu'!B:M, 12, 0)</f>
        <v>0.80789662485281866</v>
      </c>
      <c r="R2329" s="173">
        <f t="shared" si="122"/>
        <v>0</v>
      </c>
    </row>
    <row r="2330" spans="1:18" ht="14" hidden="1">
      <c r="A2330" s="78" t="s">
        <v>2821</v>
      </c>
      <c r="B2330" s="220" t="s">
        <v>1030</v>
      </c>
      <c r="C2330" s="185"/>
      <c r="D2330" s="103" t="str">
        <f>VLOOKUP(B2330, 'All Menu'!B:M, 4, 0)</f>
        <v>تبولة عائلي</v>
      </c>
      <c r="E2330" s="30" t="str">
        <f>VLOOKUP(B2330, 'All Menu'!B:M, 2, 0)</f>
        <v>قسم المقبلات</v>
      </c>
      <c r="F2330" s="103" t="str">
        <f>VLOOKUP(B2330, 'All Menu'!B:M, 3, 0)</f>
        <v>سلطات سفري</v>
      </c>
      <c r="G2330" s="90" t="s">
        <v>2382</v>
      </c>
      <c r="H2330" s="219" t="s">
        <v>526</v>
      </c>
      <c r="I2330" s="110" t="str">
        <f>VLOOKUP(H2330, 'RM &amp; SF'!B:H, 2, 0)</f>
        <v>فنغريت صوص</v>
      </c>
      <c r="J2330" s="184" t="str">
        <f>VLOOKUP(H2330, 'RM &amp; SF'!B:E, 4, 0)</f>
        <v>غم</v>
      </c>
      <c r="K2330" s="12">
        <v>120</v>
      </c>
      <c r="L2330" s="13">
        <f>VLOOKUP(H2330, 'RM &amp; SF'!B:H, 7, 0)</f>
        <v>1.6448625429553263E-3</v>
      </c>
      <c r="M2330" s="7">
        <f t="shared" si="123"/>
        <v>0.19738350515463915</v>
      </c>
      <c r="N2330" s="4" t="s">
        <v>825</v>
      </c>
      <c r="O2330" s="4">
        <f>VLOOKUP(B2330, 'All Menu'!B:L, 6, 0)</f>
        <v>10.129310344827587</v>
      </c>
      <c r="P2330" s="6">
        <f>VLOOKUP(B2330, 'All Menu'!B:L, 9, 0)</f>
        <v>1.945874705154639</v>
      </c>
      <c r="Q2330" s="14">
        <f>VLOOKUP(B2330, 'All Menu'!B:M, 12, 0)</f>
        <v>0.80789662485281866</v>
      </c>
      <c r="R2330" s="173">
        <f t="shared" si="122"/>
        <v>0</v>
      </c>
    </row>
    <row r="2331" spans="1:18" ht="14" hidden="1">
      <c r="A2331" s="78" t="s">
        <v>2821</v>
      </c>
      <c r="B2331" s="220" t="s">
        <v>1030</v>
      </c>
      <c r="C2331" s="185"/>
      <c r="D2331" s="103" t="str">
        <f>VLOOKUP(B2331, 'All Menu'!B:M, 4, 0)</f>
        <v>تبولة عائلي</v>
      </c>
      <c r="E2331" s="30" t="str">
        <f>VLOOKUP(B2331, 'All Menu'!B:M, 2, 0)</f>
        <v>قسم المقبلات</v>
      </c>
      <c r="F2331" s="103" t="str">
        <f>VLOOKUP(B2331, 'All Menu'!B:M, 3, 0)</f>
        <v>سلطات سفري</v>
      </c>
      <c r="G2331" s="90" t="s">
        <v>3058</v>
      </c>
      <c r="H2331" s="188">
        <v>4416</v>
      </c>
      <c r="I2331" s="110" t="str">
        <f>VLOOKUP(H2331, 'RM &amp; SF'!B:H, 2, 0)</f>
        <v>صحن شوربة بورسلين ابيض 20 سم (8 انش)*****</v>
      </c>
      <c r="J2331" s="184" t="str">
        <f>VLOOKUP(H2331, 'RM &amp; SF'!B:E, 4, 0)</f>
        <v>قطعة</v>
      </c>
      <c r="K2331" s="12">
        <v>1</v>
      </c>
      <c r="L2331" s="13">
        <f>VLOOKUP(H2331, 'RM &amp; SF'!B:H, 7, 0)</f>
        <v>1.45</v>
      </c>
      <c r="M2331" s="7">
        <f t="shared" si="123"/>
        <v>1.45</v>
      </c>
      <c r="N2331" s="4" t="s">
        <v>825</v>
      </c>
      <c r="O2331" s="4">
        <f>VLOOKUP(B2331, 'All Menu'!B:L, 6, 0)</f>
        <v>10.129310344827587</v>
      </c>
      <c r="P2331" s="6">
        <f>VLOOKUP(B2331, 'All Menu'!B:L, 9, 0)</f>
        <v>1.945874705154639</v>
      </c>
      <c r="Q2331" s="14">
        <f>VLOOKUP(B2331, 'All Menu'!B:M, 12, 0)</f>
        <v>0.80789662485281866</v>
      </c>
      <c r="R2331" s="173">
        <f t="shared" si="122"/>
        <v>0</v>
      </c>
    </row>
    <row r="2332" spans="1:18" ht="14" hidden="1">
      <c r="A2332" s="78" t="s">
        <v>2835</v>
      </c>
      <c r="B2332" s="220" t="s">
        <v>1031</v>
      </c>
      <c r="C2332" s="185"/>
      <c r="D2332" s="103" t="str">
        <f>VLOOKUP(B2332, 'All Menu'!B:M, 4, 0)</f>
        <v>سلطة جرجير عائلي</v>
      </c>
      <c r="E2332" s="30" t="str">
        <f>VLOOKUP(B2332, 'All Menu'!B:M, 2, 0)</f>
        <v>قسم المقبلات</v>
      </c>
      <c r="F2332" s="103" t="str">
        <f>VLOOKUP(B2332, 'All Menu'!B:M, 3, 0)</f>
        <v>سلطات سفري</v>
      </c>
      <c r="G2332" s="90" t="s">
        <v>2252</v>
      </c>
      <c r="H2332" s="188">
        <v>4545</v>
      </c>
      <c r="I2332" s="110" t="str">
        <f>VLOOKUP(H2332, 'RM &amp; SF'!B:H, 2, 0)</f>
        <v>جرجير*****</v>
      </c>
      <c r="J2332" s="184" t="str">
        <f>VLOOKUP(H2332, 'RM &amp; SF'!B:E, 4, 0)</f>
        <v>غم</v>
      </c>
      <c r="K2332" s="12">
        <v>400</v>
      </c>
      <c r="L2332" s="13">
        <f>VLOOKUP(H2332, 'RM &amp; SF'!B:H, 7, 0)</f>
        <v>7.5000000000000002E-4</v>
      </c>
      <c r="M2332" s="7">
        <f t="shared" si="123"/>
        <v>0.3</v>
      </c>
      <c r="N2332" s="4" t="s">
        <v>825</v>
      </c>
      <c r="O2332" s="4">
        <f>VLOOKUP(B2332, 'All Menu'!B:L, 6, 0)</f>
        <v>9.0517241379310356</v>
      </c>
      <c r="P2332" s="6">
        <f>VLOOKUP(B2332, 'All Menu'!B:L, 9, 0)</f>
        <v>2.4039679628241015</v>
      </c>
      <c r="Q2332" s="14">
        <f>VLOOKUP(B2332, 'All Menu'!B:M, 12, 0)</f>
        <v>0.73441877744038508</v>
      </c>
      <c r="R2332" s="173">
        <f t="shared" si="122"/>
        <v>0</v>
      </c>
    </row>
    <row r="2333" spans="1:18" ht="14" hidden="1">
      <c r="A2333" s="78" t="s">
        <v>2835</v>
      </c>
      <c r="B2333" s="220" t="s">
        <v>1031</v>
      </c>
      <c r="C2333" s="185"/>
      <c r="D2333" s="103" t="str">
        <f>VLOOKUP(B2333, 'All Menu'!B:M, 4, 0)</f>
        <v>سلطة جرجير عائلي</v>
      </c>
      <c r="E2333" s="30" t="str">
        <f>VLOOKUP(B2333, 'All Menu'!B:M, 2, 0)</f>
        <v>قسم المقبلات</v>
      </c>
      <c r="F2333" s="103" t="str">
        <f>VLOOKUP(B2333, 'All Menu'!B:M, 3, 0)</f>
        <v>سلطات سفري</v>
      </c>
      <c r="G2333" s="90" t="s">
        <v>3058</v>
      </c>
      <c r="H2333" s="188">
        <v>4516</v>
      </c>
      <c r="I2333" s="110" t="str">
        <f>VLOOKUP(H2333, 'RM &amp; SF'!B:H, 2, 0)</f>
        <v>بندورة كرزية (بندورة شري)*****</v>
      </c>
      <c r="J2333" s="184" t="str">
        <f>VLOOKUP(H2333, 'RM &amp; SF'!B:E, 4, 0)</f>
        <v>غم</v>
      </c>
      <c r="K2333" s="12">
        <v>80</v>
      </c>
      <c r="L2333" s="13">
        <f>VLOOKUP(H2333, 'RM &amp; SF'!B:H, 7, 0)</f>
        <v>1.8749999999999999E-3</v>
      </c>
      <c r="M2333" s="7">
        <f t="shared" si="123"/>
        <v>0.15</v>
      </c>
      <c r="N2333" s="4" t="s">
        <v>825</v>
      </c>
      <c r="O2333" s="4">
        <f>VLOOKUP(B2333, 'All Menu'!B:L, 6, 0)</f>
        <v>9.0517241379310356</v>
      </c>
      <c r="P2333" s="6">
        <f>VLOOKUP(B2333, 'All Menu'!B:L, 9, 0)</f>
        <v>2.4039679628241015</v>
      </c>
      <c r="Q2333" s="14">
        <f>VLOOKUP(B2333, 'All Menu'!B:M, 12, 0)</f>
        <v>0.73441877744038508</v>
      </c>
      <c r="R2333" s="173">
        <f t="shared" si="122"/>
        <v>0</v>
      </c>
    </row>
    <row r="2334" spans="1:18" ht="14" hidden="1">
      <c r="A2334" s="78" t="s">
        <v>2835</v>
      </c>
      <c r="B2334" s="220" t="s">
        <v>1031</v>
      </c>
      <c r="C2334" s="185"/>
      <c r="D2334" s="103" t="str">
        <f>VLOOKUP(B2334, 'All Menu'!B:M, 4, 0)</f>
        <v>سلطة جرجير عائلي</v>
      </c>
      <c r="E2334" s="30" t="str">
        <f>VLOOKUP(B2334, 'All Menu'!B:M, 2, 0)</f>
        <v>قسم المقبلات</v>
      </c>
      <c r="F2334" s="103" t="str">
        <f>VLOOKUP(B2334, 'All Menu'!B:M, 3, 0)</f>
        <v>سلطات سفري</v>
      </c>
      <c r="G2334" s="90" t="s">
        <v>2271</v>
      </c>
      <c r="H2334" s="188">
        <v>4034</v>
      </c>
      <c r="I2334" s="110" t="str">
        <f>VLOOKUP(H2334, 'RM &amp; SF'!B:H, 2, 0)</f>
        <v>اناناس شرائح 565 غم*****</v>
      </c>
      <c r="J2334" s="184" t="str">
        <f>VLOOKUP(H2334, 'RM &amp; SF'!B:E, 4, 0)</f>
        <v>غم</v>
      </c>
      <c r="K2334" s="12">
        <v>120</v>
      </c>
      <c r="L2334" s="13">
        <f>VLOOKUP(H2334, 'RM &amp; SF'!B:H, 7, 0)</f>
        <v>1.5983193277310924E-3</v>
      </c>
      <c r="M2334" s="7">
        <f t="shared" si="123"/>
        <v>0.19179831932773109</v>
      </c>
      <c r="N2334" s="4" t="s">
        <v>825</v>
      </c>
      <c r="O2334" s="4">
        <f>VLOOKUP(B2334, 'All Menu'!B:L, 6, 0)</f>
        <v>9.0517241379310356</v>
      </c>
      <c r="P2334" s="6">
        <f>VLOOKUP(B2334, 'All Menu'!B:L, 9, 0)</f>
        <v>2.4039679628241015</v>
      </c>
      <c r="Q2334" s="14">
        <f>VLOOKUP(B2334, 'All Menu'!B:M, 12, 0)</f>
        <v>0.73441877744038508</v>
      </c>
      <c r="R2334" s="173">
        <f t="shared" si="122"/>
        <v>0</v>
      </c>
    </row>
    <row r="2335" spans="1:18" ht="14" hidden="1">
      <c r="A2335" s="78" t="s">
        <v>2835</v>
      </c>
      <c r="B2335" s="220" t="s">
        <v>1031</v>
      </c>
      <c r="C2335" s="185"/>
      <c r="D2335" s="103" t="str">
        <f>VLOOKUP(B2335, 'All Menu'!B:M, 4, 0)</f>
        <v>سلطة جرجير عائلي</v>
      </c>
      <c r="E2335" s="30" t="str">
        <f>VLOOKUP(B2335, 'All Menu'!B:M, 2, 0)</f>
        <v>قسم المقبلات</v>
      </c>
      <c r="F2335" s="103" t="str">
        <f>VLOOKUP(B2335, 'All Menu'!B:M, 3, 0)</f>
        <v>سلطات سفري</v>
      </c>
      <c r="G2335" s="90" t="s">
        <v>2382</v>
      </c>
      <c r="H2335" s="219" t="s">
        <v>526</v>
      </c>
      <c r="I2335" s="110" t="str">
        <f>VLOOKUP(H2335, 'RM &amp; SF'!B:H, 2, 0)</f>
        <v>فنغريت صوص</v>
      </c>
      <c r="J2335" s="184" t="str">
        <f>VLOOKUP(H2335, 'RM &amp; SF'!B:E, 4, 0)</f>
        <v>غم</v>
      </c>
      <c r="K2335" s="12">
        <v>120</v>
      </c>
      <c r="L2335" s="13">
        <f>VLOOKUP(H2335, 'RM &amp; SF'!B:H, 7, 0)</f>
        <v>1.6448625429553263E-3</v>
      </c>
      <c r="M2335" s="7">
        <f t="shared" si="123"/>
        <v>0.19738350515463915</v>
      </c>
      <c r="N2335" s="4" t="s">
        <v>825</v>
      </c>
      <c r="O2335" s="4">
        <f>VLOOKUP(B2335, 'All Menu'!B:L, 6, 0)</f>
        <v>9.0517241379310356</v>
      </c>
      <c r="P2335" s="6">
        <f>VLOOKUP(B2335, 'All Menu'!B:L, 9, 0)</f>
        <v>2.4039679628241015</v>
      </c>
      <c r="Q2335" s="14">
        <f>VLOOKUP(B2335, 'All Menu'!B:M, 12, 0)</f>
        <v>0.73441877744038508</v>
      </c>
      <c r="R2335" s="173">
        <f t="shared" si="122"/>
        <v>0</v>
      </c>
    </row>
    <row r="2336" spans="1:18" ht="14" hidden="1">
      <c r="A2336" s="78" t="s">
        <v>2835</v>
      </c>
      <c r="B2336" s="220" t="s">
        <v>1031</v>
      </c>
      <c r="C2336" s="185"/>
      <c r="D2336" s="103" t="str">
        <f>VLOOKUP(B2336, 'All Menu'!B:M, 4, 0)</f>
        <v>سلطة جرجير عائلي</v>
      </c>
      <c r="E2336" s="30" t="str">
        <f>VLOOKUP(B2336, 'All Menu'!B:M, 2, 0)</f>
        <v>قسم المقبلات</v>
      </c>
      <c r="F2336" s="103" t="str">
        <f>VLOOKUP(B2336, 'All Menu'!B:M, 3, 0)</f>
        <v>سلطات سفري</v>
      </c>
      <c r="G2336" s="90" t="s">
        <v>2325</v>
      </c>
      <c r="H2336" s="219" t="s">
        <v>534</v>
      </c>
      <c r="I2336" s="110" t="str">
        <f>VLOOKUP(H2336, 'RM &amp; SF'!B:H, 2, 0)</f>
        <v>مثومه</v>
      </c>
      <c r="J2336" s="184" t="str">
        <f>VLOOKUP(H2336, 'RM &amp; SF'!B:E, 4, 0)</f>
        <v>غم</v>
      </c>
      <c r="K2336" s="12">
        <v>150</v>
      </c>
      <c r="L2336" s="13">
        <f>VLOOKUP(H2336, 'RM &amp; SF'!B:H, 7, 0)</f>
        <v>6.6564092227821051E-4</v>
      </c>
      <c r="M2336" s="7">
        <f t="shared" si="123"/>
        <v>9.9846138341731575E-2</v>
      </c>
      <c r="N2336" s="4" t="s">
        <v>825</v>
      </c>
      <c r="O2336" s="4">
        <f>VLOOKUP(B2336, 'All Menu'!B:L, 6, 0)</f>
        <v>9.0517241379310356</v>
      </c>
      <c r="P2336" s="6">
        <f>VLOOKUP(B2336, 'All Menu'!B:L, 9, 0)</f>
        <v>2.4039679628241015</v>
      </c>
      <c r="Q2336" s="14">
        <f>VLOOKUP(B2336, 'All Menu'!B:M, 12, 0)</f>
        <v>0.73441877744038508</v>
      </c>
      <c r="R2336" s="173">
        <f t="shared" si="122"/>
        <v>0</v>
      </c>
    </row>
    <row r="2337" spans="1:18" ht="14" hidden="1">
      <c r="A2337" s="78" t="s">
        <v>2835</v>
      </c>
      <c r="B2337" s="220" t="s">
        <v>1031</v>
      </c>
      <c r="C2337" s="185"/>
      <c r="D2337" s="103" t="str">
        <f>VLOOKUP(B2337, 'All Menu'!B:M, 4, 0)</f>
        <v>سلطة جرجير عائلي</v>
      </c>
      <c r="E2337" s="30" t="str">
        <f>VLOOKUP(B2337, 'All Menu'!B:M, 2, 0)</f>
        <v>قسم المقبلات</v>
      </c>
      <c r="F2337" s="103" t="str">
        <f>VLOOKUP(B2337, 'All Menu'!B:M, 3, 0)</f>
        <v>سلطات سفري</v>
      </c>
      <c r="G2337" s="90" t="s">
        <v>3058</v>
      </c>
      <c r="H2337" s="188">
        <v>4285</v>
      </c>
      <c r="I2337" s="110" t="str">
        <f>VLOOKUP(H2337, 'RM &amp; SF'!B:H, 2, 0)</f>
        <v>علب بلاستيك مربع متصل 150 مل*****</v>
      </c>
      <c r="J2337" s="184" t="str">
        <f>VLOOKUP(H2337, 'RM &amp; SF'!B:E, 4, 0)</f>
        <v>قطعة</v>
      </c>
      <c r="K2337" s="12">
        <v>1</v>
      </c>
      <c r="L2337" s="13">
        <f>VLOOKUP(H2337, 'RM &amp; SF'!B:H, 7, 0)</f>
        <v>1.494E-2</v>
      </c>
      <c r="M2337" s="7">
        <f t="shared" si="123"/>
        <v>1.494E-2</v>
      </c>
      <c r="N2337" s="4" t="s">
        <v>825</v>
      </c>
      <c r="O2337" s="4">
        <f>VLOOKUP(B2337, 'All Menu'!B:L, 6, 0)</f>
        <v>9.0517241379310356</v>
      </c>
      <c r="P2337" s="6">
        <f>VLOOKUP(B2337, 'All Menu'!B:L, 9, 0)</f>
        <v>2.4039679628241015</v>
      </c>
      <c r="Q2337" s="14">
        <f>VLOOKUP(B2337, 'All Menu'!B:M, 12, 0)</f>
        <v>0.73441877744038508</v>
      </c>
      <c r="R2337" s="173">
        <f t="shared" si="122"/>
        <v>0</v>
      </c>
    </row>
    <row r="2338" spans="1:18" ht="14" hidden="1">
      <c r="A2338" s="78" t="s">
        <v>2835</v>
      </c>
      <c r="B2338" s="220" t="s">
        <v>1031</v>
      </c>
      <c r="C2338" s="185"/>
      <c r="D2338" s="103" t="str">
        <f>VLOOKUP(B2338, 'All Menu'!B:M, 4, 0)</f>
        <v>سلطة جرجير عائلي</v>
      </c>
      <c r="E2338" s="30" t="str">
        <f>VLOOKUP(B2338, 'All Menu'!B:M, 2, 0)</f>
        <v>قسم المقبلات</v>
      </c>
      <c r="F2338" s="103" t="str">
        <f>VLOOKUP(B2338, 'All Menu'!B:M, 3, 0)</f>
        <v>سلطات سفري</v>
      </c>
      <c r="G2338" s="90" t="s">
        <v>3058</v>
      </c>
      <c r="H2338" s="188">
        <v>4416</v>
      </c>
      <c r="I2338" s="110" t="str">
        <f>VLOOKUP(H2338, 'RM &amp; SF'!B:H, 2, 0)</f>
        <v>صحن شوربة بورسلين ابيض 20 سم (8 انش)*****</v>
      </c>
      <c r="J2338" s="184" t="str">
        <f>VLOOKUP(H2338, 'RM &amp; SF'!B:E, 4, 0)</f>
        <v>قطعة</v>
      </c>
      <c r="K2338" s="12">
        <v>1</v>
      </c>
      <c r="L2338" s="13">
        <f>VLOOKUP(H2338, 'RM &amp; SF'!B:H, 7, 0)</f>
        <v>1.45</v>
      </c>
      <c r="M2338" s="7">
        <f t="shared" si="123"/>
        <v>1.45</v>
      </c>
      <c r="N2338" s="4" t="s">
        <v>825</v>
      </c>
      <c r="O2338" s="4">
        <f>VLOOKUP(B2338, 'All Menu'!B:L, 6, 0)</f>
        <v>9.0517241379310356</v>
      </c>
      <c r="P2338" s="6">
        <f>VLOOKUP(B2338, 'All Menu'!B:L, 9, 0)</f>
        <v>2.4039679628241015</v>
      </c>
      <c r="Q2338" s="14">
        <f>VLOOKUP(B2338, 'All Menu'!B:M, 12, 0)</f>
        <v>0.73441877744038508</v>
      </c>
      <c r="R2338" s="173">
        <f t="shared" si="122"/>
        <v>0</v>
      </c>
    </row>
    <row r="2339" spans="1:18" ht="14" hidden="1">
      <c r="A2339" s="78" t="s">
        <v>2831</v>
      </c>
      <c r="B2339" s="220" t="s">
        <v>1032</v>
      </c>
      <c r="C2339" s="185"/>
      <c r="D2339" s="103" t="str">
        <f>VLOOKUP(B2339, 'All Menu'!B:M, 4, 0)</f>
        <v>سلطة عربية عائلي</v>
      </c>
      <c r="E2339" s="30" t="str">
        <f>VLOOKUP(B2339, 'All Menu'!B:M, 2, 0)</f>
        <v>قسم المقبلات</v>
      </c>
      <c r="F2339" s="103" t="str">
        <f>VLOOKUP(B2339, 'All Menu'!B:M, 3, 0)</f>
        <v>سلطات سفري</v>
      </c>
      <c r="G2339" s="90" t="s">
        <v>2442</v>
      </c>
      <c r="H2339" s="219" t="s">
        <v>660</v>
      </c>
      <c r="I2339" s="110" t="str">
        <f>VLOOKUP(H2339, 'RM &amp; SF'!B:H, 2, 0)</f>
        <v xml:space="preserve">ضربة عربية </v>
      </c>
      <c r="J2339" s="184" t="str">
        <f>VLOOKUP(H2339, 'RM &amp; SF'!B:E, 4, 0)</f>
        <v>غم</v>
      </c>
      <c r="K2339" s="12">
        <v>680</v>
      </c>
      <c r="L2339" s="13">
        <f>VLOOKUP(H2339, 'RM &amp; SF'!B:H, 7, 0)</f>
        <v>6.3000000000000003E-4</v>
      </c>
      <c r="M2339" s="7">
        <f t="shared" si="123"/>
        <v>0.4284</v>
      </c>
      <c r="N2339" s="4" t="s">
        <v>825</v>
      </c>
      <c r="O2339" s="4">
        <f>VLOOKUP(B2339, 'All Menu'!B:L, 6, 0)</f>
        <v>7.9741379310344831</v>
      </c>
      <c r="P2339" s="6">
        <f>VLOOKUP(B2339, 'All Menu'!B:L, 9, 0)</f>
        <v>2.174355095729013</v>
      </c>
      <c r="Q2339" s="14">
        <f>VLOOKUP(B2339, 'All Menu'!B:M, 12, 0)</f>
        <v>0.72732411772479399</v>
      </c>
      <c r="R2339" s="173">
        <f t="shared" si="122"/>
        <v>0</v>
      </c>
    </row>
    <row r="2340" spans="1:18" ht="14" hidden="1">
      <c r="A2340" s="78" t="s">
        <v>2831</v>
      </c>
      <c r="B2340" s="220" t="s">
        <v>1032</v>
      </c>
      <c r="C2340" s="185"/>
      <c r="D2340" s="103" t="str">
        <f>VLOOKUP(B2340, 'All Menu'!B:M, 4, 0)</f>
        <v>سلطة عربية عائلي</v>
      </c>
      <c r="E2340" s="30" t="str">
        <f>VLOOKUP(B2340, 'All Menu'!B:M, 2, 0)</f>
        <v>قسم المقبلات</v>
      </c>
      <c r="F2340" s="103" t="str">
        <f>VLOOKUP(B2340, 'All Menu'!B:M, 3, 0)</f>
        <v>سلطات سفري</v>
      </c>
      <c r="G2340" s="90" t="s">
        <v>2382</v>
      </c>
      <c r="H2340" s="219" t="s">
        <v>526</v>
      </c>
      <c r="I2340" s="110" t="str">
        <f>VLOOKUP(H2340, 'RM &amp; SF'!B:H, 2, 0)</f>
        <v>فنغريت صوص</v>
      </c>
      <c r="J2340" s="184" t="str">
        <f>VLOOKUP(H2340, 'RM &amp; SF'!B:E, 4, 0)</f>
        <v>غم</v>
      </c>
      <c r="K2340" s="12">
        <v>150</v>
      </c>
      <c r="L2340" s="13">
        <f>VLOOKUP(H2340, 'RM &amp; SF'!B:H, 7, 0)</f>
        <v>1.6448625429553263E-3</v>
      </c>
      <c r="M2340" s="7">
        <f t="shared" si="123"/>
        <v>0.24672938144329895</v>
      </c>
      <c r="N2340" s="4" t="s">
        <v>825</v>
      </c>
      <c r="O2340" s="4">
        <f>VLOOKUP(B2340, 'All Menu'!B:L, 6, 0)</f>
        <v>7.9741379310344831</v>
      </c>
      <c r="P2340" s="6">
        <f>VLOOKUP(B2340, 'All Menu'!B:L, 9, 0)</f>
        <v>2.174355095729013</v>
      </c>
      <c r="Q2340" s="14">
        <f>VLOOKUP(B2340, 'All Menu'!B:M, 12, 0)</f>
        <v>0.72732411772479399</v>
      </c>
      <c r="R2340" s="173">
        <f t="shared" si="122"/>
        <v>0</v>
      </c>
    </row>
    <row r="2341" spans="1:18" ht="14" hidden="1">
      <c r="A2341" s="78" t="s">
        <v>2831</v>
      </c>
      <c r="B2341" s="220" t="s">
        <v>1032</v>
      </c>
      <c r="C2341" s="185"/>
      <c r="D2341" s="103" t="str">
        <f>VLOOKUP(B2341, 'All Menu'!B:M, 4, 0)</f>
        <v>سلطة عربية عائلي</v>
      </c>
      <c r="E2341" s="30" t="str">
        <f>VLOOKUP(B2341, 'All Menu'!B:M, 2, 0)</f>
        <v>قسم المقبلات</v>
      </c>
      <c r="F2341" s="103" t="str">
        <f>VLOOKUP(B2341, 'All Menu'!B:M, 3, 0)</f>
        <v>سلطات سفري</v>
      </c>
      <c r="G2341" s="90" t="s">
        <v>2330</v>
      </c>
      <c r="H2341" s="219" t="s">
        <v>490</v>
      </c>
      <c r="I2341" s="110" t="str">
        <f>VLOOKUP(H2341, 'RM &amp; SF'!B:H, 2, 0)</f>
        <v>خبز مقلي</v>
      </c>
      <c r="J2341" s="184" t="str">
        <f>VLOOKUP(H2341, 'RM &amp; SF'!B:E, 4, 0)</f>
        <v>غم</v>
      </c>
      <c r="K2341" s="12">
        <v>150</v>
      </c>
      <c r="L2341" s="13">
        <f>VLOOKUP(H2341, 'RM &amp; SF'!B:H, 7, 0)</f>
        <v>2.2857142857142859E-4</v>
      </c>
      <c r="M2341" s="7">
        <f t="shared" si="123"/>
        <v>3.4285714285714287E-2</v>
      </c>
      <c r="N2341" s="4" t="s">
        <v>825</v>
      </c>
      <c r="O2341" s="4">
        <f>VLOOKUP(B2341, 'All Menu'!B:L, 6, 0)</f>
        <v>7.9741379310344831</v>
      </c>
      <c r="P2341" s="6">
        <f>VLOOKUP(B2341, 'All Menu'!B:L, 9, 0)</f>
        <v>2.174355095729013</v>
      </c>
      <c r="Q2341" s="14">
        <f>VLOOKUP(B2341, 'All Menu'!B:M, 12, 0)</f>
        <v>0.72732411772479399</v>
      </c>
      <c r="R2341" s="173">
        <f t="shared" si="122"/>
        <v>0</v>
      </c>
    </row>
    <row r="2342" spans="1:18" ht="14" hidden="1">
      <c r="A2342" s="78" t="s">
        <v>2831</v>
      </c>
      <c r="B2342" s="220" t="s">
        <v>1032</v>
      </c>
      <c r="C2342" s="185"/>
      <c r="D2342" s="103" t="str">
        <f>VLOOKUP(B2342, 'All Menu'!B:M, 4, 0)</f>
        <v>سلطة عربية عائلي</v>
      </c>
      <c r="E2342" s="30" t="str">
        <f>VLOOKUP(B2342, 'All Menu'!B:M, 2, 0)</f>
        <v>قسم المقبلات</v>
      </c>
      <c r="F2342" s="103" t="str">
        <f>VLOOKUP(B2342, 'All Menu'!B:M, 3, 0)</f>
        <v>سلطات سفري</v>
      </c>
      <c r="G2342" s="90" t="s">
        <v>3058</v>
      </c>
      <c r="H2342" s="188">
        <v>4285</v>
      </c>
      <c r="I2342" s="110" t="str">
        <f>VLOOKUP(H2342, 'RM &amp; SF'!B:H, 2, 0)</f>
        <v>علب بلاستيك مربع متصل 150 مل*****</v>
      </c>
      <c r="J2342" s="184" t="str">
        <f>VLOOKUP(H2342, 'RM &amp; SF'!B:E, 4, 0)</f>
        <v>قطعة</v>
      </c>
      <c r="K2342" s="12">
        <v>1</v>
      </c>
      <c r="L2342" s="13">
        <f>VLOOKUP(H2342, 'RM &amp; SF'!B:H, 7, 0)</f>
        <v>1.494E-2</v>
      </c>
      <c r="M2342" s="7">
        <f t="shared" si="123"/>
        <v>1.494E-2</v>
      </c>
      <c r="N2342" s="4" t="s">
        <v>825</v>
      </c>
      <c r="O2342" s="4">
        <f>VLOOKUP(B2342, 'All Menu'!B:L, 6, 0)</f>
        <v>7.9741379310344831</v>
      </c>
      <c r="P2342" s="6">
        <f>VLOOKUP(B2342, 'All Menu'!B:L, 9, 0)</f>
        <v>2.174355095729013</v>
      </c>
      <c r="Q2342" s="14">
        <f>VLOOKUP(B2342, 'All Menu'!B:M, 12, 0)</f>
        <v>0.72732411772479399</v>
      </c>
      <c r="R2342" s="173">
        <f t="shared" si="122"/>
        <v>0</v>
      </c>
    </row>
    <row r="2343" spans="1:18" ht="14" hidden="1">
      <c r="A2343" s="78" t="s">
        <v>2831</v>
      </c>
      <c r="B2343" s="220" t="s">
        <v>1032</v>
      </c>
      <c r="C2343" s="185"/>
      <c r="D2343" s="103" t="str">
        <f>VLOOKUP(B2343, 'All Menu'!B:M, 4, 0)</f>
        <v>سلطة عربية عائلي</v>
      </c>
      <c r="E2343" s="30" t="str">
        <f>VLOOKUP(B2343, 'All Menu'!B:M, 2, 0)</f>
        <v>قسم المقبلات</v>
      </c>
      <c r="F2343" s="103" t="str">
        <f>VLOOKUP(B2343, 'All Menu'!B:M, 3, 0)</f>
        <v>سلطات سفري</v>
      </c>
      <c r="G2343" s="90" t="s">
        <v>3058</v>
      </c>
      <c r="H2343" s="188">
        <v>4416</v>
      </c>
      <c r="I2343" s="110" t="str">
        <f>VLOOKUP(H2343, 'RM &amp; SF'!B:H, 2, 0)</f>
        <v>صحن شوربة بورسلين ابيض 20 سم (8 انش)*****</v>
      </c>
      <c r="J2343" s="184" t="str">
        <f>VLOOKUP(H2343, 'RM &amp; SF'!B:E, 4, 0)</f>
        <v>قطعة</v>
      </c>
      <c r="K2343" s="12">
        <v>1</v>
      </c>
      <c r="L2343" s="13">
        <f>VLOOKUP(H2343, 'RM &amp; SF'!B:H, 7, 0)</f>
        <v>1.45</v>
      </c>
      <c r="M2343" s="7">
        <f t="shared" si="123"/>
        <v>1.45</v>
      </c>
      <c r="N2343" s="4" t="s">
        <v>825</v>
      </c>
      <c r="O2343" s="4">
        <f>VLOOKUP(B2343, 'All Menu'!B:L, 6, 0)</f>
        <v>7.9741379310344831</v>
      </c>
      <c r="P2343" s="6">
        <f>VLOOKUP(B2343, 'All Menu'!B:L, 9, 0)</f>
        <v>2.174355095729013</v>
      </c>
      <c r="Q2343" s="14">
        <f>VLOOKUP(B2343, 'All Menu'!B:M, 12, 0)</f>
        <v>0.72732411772479399</v>
      </c>
      <c r="R2343" s="173">
        <f t="shared" si="122"/>
        <v>0</v>
      </c>
    </row>
    <row r="2344" spans="1:18" ht="14" hidden="1">
      <c r="A2344" s="78" t="s">
        <v>2813</v>
      </c>
      <c r="B2344" s="220" t="s">
        <v>1047</v>
      </c>
      <c r="C2344" s="185"/>
      <c r="D2344" s="103" t="str">
        <f>VLOOKUP(B2344, 'All Menu'!B:M, 4, 0)</f>
        <v>علبة طحينية صغيرة</v>
      </c>
      <c r="E2344" s="30" t="str">
        <f>VLOOKUP(B2344, 'All Menu'!B:M, 2, 0)</f>
        <v>قسم المقبلات</v>
      </c>
      <c r="F2344" s="103" t="str">
        <f>VLOOKUP(B2344, 'All Menu'!B:M, 3, 0)</f>
        <v>المقبلات سفري</v>
      </c>
      <c r="G2344" s="90" t="s">
        <v>2397</v>
      </c>
      <c r="H2344" s="219" t="s">
        <v>580</v>
      </c>
      <c r="I2344" s="110" t="str">
        <f>VLOOKUP(H2344, 'RM &amp; SF'!B:H, 2, 0)</f>
        <v>طحينة مشاوي</v>
      </c>
      <c r="J2344" s="184" t="str">
        <f>VLOOKUP(H2344, 'RM &amp; SF'!B:E, 4, 0)</f>
        <v>غم</v>
      </c>
      <c r="K2344" s="12">
        <v>50</v>
      </c>
      <c r="L2344" s="13">
        <f>VLOOKUP(H2344, 'RM &amp; SF'!B:H, 7, 0)</f>
        <v>1.0841676434676436E-3</v>
      </c>
      <c r="M2344" s="7">
        <f t="shared" si="123"/>
        <v>5.4208382173382176E-2</v>
      </c>
      <c r="N2344" s="4" t="s">
        <v>825</v>
      </c>
      <c r="O2344" s="4">
        <f>VLOOKUP(B2344, 'All Menu'!B:L, 6, 0)</f>
        <v>0.21551724137931036</v>
      </c>
      <c r="P2344" s="6">
        <f>VLOOKUP(B2344, 'All Menu'!B:L, 9, 0)</f>
        <v>6.620838217338218E-2</v>
      </c>
      <c r="Q2344" s="14">
        <f>VLOOKUP(B2344, 'All Menu'!B:M, 12, 0)</f>
        <v>0.69279310671550676</v>
      </c>
      <c r="R2344" s="173">
        <f t="shared" si="122"/>
        <v>0</v>
      </c>
    </row>
    <row r="2345" spans="1:18" ht="14" hidden="1">
      <c r="A2345" s="78" t="s">
        <v>2813</v>
      </c>
      <c r="B2345" s="220" t="s">
        <v>1047</v>
      </c>
      <c r="C2345" s="185"/>
      <c r="D2345" s="103" t="str">
        <f>VLOOKUP(B2345, 'All Menu'!B:M, 4, 0)</f>
        <v>علبة طحينية صغيرة</v>
      </c>
      <c r="E2345" s="30" t="str">
        <f>VLOOKUP(B2345, 'All Menu'!B:M, 2, 0)</f>
        <v>قسم المقبلات</v>
      </c>
      <c r="F2345" s="103" t="str">
        <f>VLOOKUP(B2345, 'All Menu'!B:M, 3, 0)</f>
        <v>المقبلات سفري</v>
      </c>
      <c r="G2345" s="90" t="s">
        <v>3058</v>
      </c>
      <c r="H2345" s="188">
        <v>4289</v>
      </c>
      <c r="I2345" s="110" t="str">
        <f>VLOOKUP(H2345, 'RM &amp; SF'!B:H, 2, 0)</f>
        <v>علب صوص دائري منفصل أسود 30 مل 1*100 حبة*****</v>
      </c>
      <c r="J2345" s="184" t="str">
        <f>VLOOKUP(H2345, 'RM &amp; SF'!B:E, 4, 0)</f>
        <v>قطعة</v>
      </c>
      <c r="K2345" s="12">
        <v>1</v>
      </c>
      <c r="L2345" s="13">
        <f>VLOOKUP(H2345, 'RM &amp; SF'!B:H, 7, 0)</f>
        <v>1.2E-2</v>
      </c>
      <c r="M2345" s="7">
        <f t="shared" si="123"/>
        <v>1.2E-2</v>
      </c>
      <c r="N2345" s="4" t="s">
        <v>825</v>
      </c>
      <c r="O2345" s="4">
        <f>VLOOKUP(B2345, 'All Menu'!B:L, 6, 0)</f>
        <v>0.21551724137931036</v>
      </c>
      <c r="P2345" s="6">
        <f>VLOOKUP(B2345, 'All Menu'!B:L, 9, 0)</f>
        <v>6.620838217338218E-2</v>
      </c>
      <c r="Q2345" s="14">
        <f>VLOOKUP(B2345, 'All Menu'!B:M, 12, 0)</f>
        <v>0.69279310671550676</v>
      </c>
      <c r="R2345" s="173">
        <f t="shared" si="122"/>
        <v>0</v>
      </c>
    </row>
    <row r="2346" spans="1:18" ht="14" hidden="1">
      <c r="A2346" s="78" t="s">
        <v>2814</v>
      </c>
      <c r="B2346" s="220" t="s">
        <v>1048</v>
      </c>
      <c r="C2346" s="185"/>
      <c r="D2346" s="103" t="str">
        <f>VLOOKUP(B2346, 'All Menu'!B:M, 4, 0)</f>
        <v>علبة دبس رمان</v>
      </c>
      <c r="E2346" s="30" t="str">
        <f>VLOOKUP(B2346, 'All Menu'!B:M, 2, 0)</f>
        <v>قسم المقبلات</v>
      </c>
      <c r="F2346" s="103" t="str">
        <f>VLOOKUP(B2346, 'All Menu'!B:M, 3, 0)</f>
        <v>المقبلات سفري</v>
      </c>
      <c r="G2346" s="90" t="s">
        <v>2265</v>
      </c>
      <c r="H2346" s="188">
        <v>4006</v>
      </c>
      <c r="I2346" s="110" t="str">
        <f>VLOOKUP(H2346, 'RM &amp; SF'!B:H, 2, 0)</f>
        <v>دبس رمان 5 كغ (مادة أولية)*****</v>
      </c>
      <c r="J2346" s="184" t="str">
        <f>VLOOKUP(H2346, 'RM &amp; SF'!B:E, 4, 0)</f>
        <v>غم</v>
      </c>
      <c r="K2346" s="12">
        <v>50</v>
      </c>
      <c r="L2346" s="13">
        <f>VLOOKUP(H2346, 'RM &amp; SF'!B:H, 7, 0)</f>
        <v>1.508E-3</v>
      </c>
      <c r="M2346" s="7">
        <f t="shared" si="123"/>
        <v>7.5399999999999995E-2</v>
      </c>
      <c r="N2346" s="4" t="s">
        <v>825</v>
      </c>
      <c r="O2346" s="4">
        <f>VLOOKUP(B2346, 'All Menu'!B:L, 6, 0)</f>
        <v>0.21551724137931036</v>
      </c>
      <c r="P2346" s="6">
        <f>VLOOKUP(B2346, 'All Menu'!B:L, 9, 0)</f>
        <v>8.7399999999999992E-2</v>
      </c>
      <c r="Q2346" s="14">
        <f>VLOOKUP(B2346, 'All Menu'!B:M, 12, 0)</f>
        <v>0.59446399999999999</v>
      </c>
      <c r="R2346" s="173">
        <f t="shared" si="122"/>
        <v>0</v>
      </c>
    </row>
    <row r="2347" spans="1:18" ht="14" hidden="1">
      <c r="A2347" s="78" t="s">
        <v>2814</v>
      </c>
      <c r="B2347" s="220" t="s">
        <v>1048</v>
      </c>
      <c r="C2347" s="185"/>
      <c r="D2347" s="103" t="str">
        <f>VLOOKUP(B2347, 'All Menu'!B:M, 4, 0)</f>
        <v>علبة دبس رمان</v>
      </c>
      <c r="E2347" s="30" t="str">
        <f>VLOOKUP(B2347, 'All Menu'!B:M, 2, 0)</f>
        <v>قسم المقبلات</v>
      </c>
      <c r="F2347" s="103" t="str">
        <f>VLOOKUP(B2347, 'All Menu'!B:M, 3, 0)</f>
        <v>المقبلات سفري</v>
      </c>
      <c r="G2347" s="90" t="s">
        <v>3058</v>
      </c>
      <c r="H2347" s="188">
        <v>4289</v>
      </c>
      <c r="I2347" s="110" t="str">
        <f>VLOOKUP(H2347, 'RM &amp; SF'!B:H, 2, 0)</f>
        <v>علب صوص دائري منفصل أسود 30 مل 1*100 حبة*****</v>
      </c>
      <c r="J2347" s="184" t="str">
        <f>VLOOKUP(H2347, 'RM &amp; SF'!B:E, 4, 0)</f>
        <v>قطعة</v>
      </c>
      <c r="K2347" s="12">
        <v>1</v>
      </c>
      <c r="L2347" s="13">
        <f>VLOOKUP(H2347, 'RM &amp; SF'!B:H, 7, 0)</f>
        <v>1.2E-2</v>
      </c>
      <c r="M2347" s="7">
        <f t="shared" si="123"/>
        <v>1.2E-2</v>
      </c>
      <c r="N2347" s="4" t="s">
        <v>825</v>
      </c>
      <c r="O2347" s="4">
        <f>VLOOKUP(B2347, 'All Menu'!B:L, 6, 0)</f>
        <v>0.21551724137931036</v>
      </c>
      <c r="P2347" s="6">
        <f>VLOOKUP(B2347, 'All Menu'!B:L, 9, 0)</f>
        <v>8.7399999999999992E-2</v>
      </c>
      <c r="Q2347" s="14">
        <f>VLOOKUP(B2347, 'All Menu'!B:M, 12, 0)</f>
        <v>0.59446399999999999</v>
      </c>
      <c r="R2347" s="173">
        <f t="shared" si="122"/>
        <v>0</v>
      </c>
    </row>
    <row r="2348" spans="1:18" ht="14" hidden="1">
      <c r="A2348" s="78" t="s">
        <v>2800</v>
      </c>
      <c r="B2348" s="220" t="s">
        <v>1069</v>
      </c>
      <c r="C2348" s="185"/>
      <c r="D2348" s="103" t="str">
        <f>VLOOKUP(B2348, 'All Menu'!B:M, 4, 0)</f>
        <v>صحن مقبلات مشكل</v>
      </c>
      <c r="E2348" s="30" t="str">
        <f>VLOOKUP(B2348, 'All Menu'!B:M, 2, 0)</f>
        <v>قسم المقبلات</v>
      </c>
      <c r="F2348" s="103" t="str">
        <f>VLOOKUP(B2348, 'All Menu'!B:M, 3, 0)</f>
        <v>المقبلات سفري</v>
      </c>
      <c r="G2348" s="90" t="s">
        <v>2404</v>
      </c>
      <c r="H2348" s="219" t="s">
        <v>488</v>
      </c>
      <c r="I2348" s="110" t="str">
        <f>VLOOKUP(H2348, 'RM &amp; SF'!B:H, 2, 0)</f>
        <v>حمص</v>
      </c>
      <c r="J2348" s="184" t="str">
        <f>VLOOKUP(H2348, 'RM &amp; SF'!B:E, 4, 0)</f>
        <v>غم</v>
      </c>
      <c r="K2348" s="12">
        <v>200</v>
      </c>
      <c r="L2348" s="13">
        <f>VLOOKUP(H2348, 'RM &amp; SF'!B:H, 7, 0)</f>
        <v>1.3232918279569891E-3</v>
      </c>
      <c r="M2348" s="7">
        <f t="shared" si="123"/>
        <v>0.26465836559139783</v>
      </c>
      <c r="N2348" s="4" t="s">
        <v>825</v>
      </c>
      <c r="O2348" s="4">
        <f>VLOOKUP(B2348, 'All Menu'!B:L, 6, 0)</f>
        <v>5.1724137931034484</v>
      </c>
      <c r="P2348" s="6">
        <f>VLOOKUP(B2348, 'All Menu'!B:L, 9, 0)</f>
        <v>2.1146906785521877</v>
      </c>
      <c r="Q2348" s="14">
        <f>VLOOKUP(B2348, 'All Menu'!B:M, 12, 0)</f>
        <v>0.59115980214657704</v>
      </c>
      <c r="R2348" s="173">
        <f t="shared" si="122"/>
        <v>0</v>
      </c>
    </row>
    <row r="2349" spans="1:18" ht="14" hidden="1">
      <c r="A2349" s="78" t="s">
        <v>2800</v>
      </c>
      <c r="B2349" s="220" t="s">
        <v>1069</v>
      </c>
      <c r="C2349" s="185"/>
      <c r="D2349" s="103" t="str">
        <f>VLOOKUP(B2349, 'All Menu'!B:M, 4, 0)</f>
        <v>صحن مقبلات مشكل</v>
      </c>
      <c r="E2349" s="30" t="str">
        <f>VLOOKUP(B2349, 'All Menu'!B:M, 2, 0)</f>
        <v>قسم المقبلات</v>
      </c>
      <c r="F2349" s="103" t="str">
        <f>VLOOKUP(B2349, 'All Menu'!B:M, 3, 0)</f>
        <v>المقبلات سفري</v>
      </c>
      <c r="G2349" s="90" t="s">
        <v>2443</v>
      </c>
      <c r="H2349" s="219" t="s">
        <v>664</v>
      </c>
      <c r="I2349" s="110" t="str">
        <f>VLOOKUP(H2349, 'RM &amp; SF'!B:H, 2, 0)</f>
        <v xml:space="preserve">ضربة تبولة </v>
      </c>
      <c r="J2349" s="184" t="str">
        <f>VLOOKUP(H2349, 'RM &amp; SF'!B:E, 4, 0)</f>
        <v>غم</v>
      </c>
      <c r="K2349" s="12">
        <v>200</v>
      </c>
      <c r="L2349" s="13">
        <f>VLOOKUP(H2349, 'RM &amp; SF'!B:H, 7, 0)</f>
        <v>1.9595000000000002E-4</v>
      </c>
      <c r="M2349" s="7">
        <f t="shared" si="123"/>
        <v>3.9190000000000003E-2</v>
      </c>
      <c r="N2349" s="4" t="s">
        <v>825</v>
      </c>
      <c r="O2349" s="4">
        <f>VLOOKUP(B2349, 'All Menu'!B:L, 6, 0)</f>
        <v>5.1724137931034484</v>
      </c>
      <c r="P2349" s="6">
        <f>VLOOKUP(B2349, 'All Menu'!B:L, 9, 0)</f>
        <v>2.1146906785521877</v>
      </c>
      <c r="Q2349" s="14">
        <f>VLOOKUP(B2349, 'All Menu'!B:M, 12, 0)</f>
        <v>0.59115980214657704</v>
      </c>
      <c r="R2349" s="173">
        <f t="shared" si="122"/>
        <v>0</v>
      </c>
    </row>
    <row r="2350" spans="1:18" ht="14" hidden="1">
      <c r="A2350" s="78" t="s">
        <v>2800</v>
      </c>
      <c r="B2350" s="220" t="s">
        <v>1069</v>
      </c>
      <c r="C2350" s="185"/>
      <c r="D2350" s="103" t="str">
        <f>VLOOKUP(B2350, 'All Menu'!B:M, 4, 0)</f>
        <v>صحن مقبلات مشكل</v>
      </c>
      <c r="E2350" s="30" t="str">
        <f>VLOOKUP(B2350, 'All Menu'!B:M, 2, 0)</f>
        <v>قسم المقبلات</v>
      </c>
      <c r="F2350" s="103" t="str">
        <f>VLOOKUP(B2350, 'All Menu'!B:M, 3, 0)</f>
        <v>المقبلات سفري</v>
      </c>
      <c r="G2350" s="90" t="s">
        <v>2449</v>
      </c>
      <c r="H2350" s="219" t="s">
        <v>514</v>
      </c>
      <c r="I2350" s="110" t="str">
        <f>VLOOKUP(H2350, 'RM &amp; SF'!B:H, 2, 0)</f>
        <v>متبل</v>
      </c>
      <c r="J2350" s="184" t="str">
        <f>VLOOKUP(H2350, 'RM &amp; SF'!B:E, 4, 0)</f>
        <v>غم</v>
      </c>
      <c r="K2350" s="12">
        <v>200</v>
      </c>
      <c r="L2350" s="13">
        <f>VLOOKUP(H2350, 'RM &amp; SF'!B:H, 7, 0)</f>
        <v>8.7110666895055388E-4</v>
      </c>
      <c r="M2350" s="7">
        <f t="shared" si="123"/>
        <v>0.17422133379011079</v>
      </c>
      <c r="N2350" s="4" t="s">
        <v>825</v>
      </c>
      <c r="O2350" s="4">
        <f>VLOOKUP(B2350, 'All Menu'!B:L, 6, 0)</f>
        <v>5.1724137931034484</v>
      </c>
      <c r="P2350" s="6">
        <f>VLOOKUP(B2350, 'All Menu'!B:L, 9, 0)</f>
        <v>2.1146906785521877</v>
      </c>
      <c r="Q2350" s="14">
        <f>VLOOKUP(B2350, 'All Menu'!B:M, 12, 0)</f>
        <v>0.59115980214657704</v>
      </c>
      <c r="R2350" s="173">
        <f t="shared" si="122"/>
        <v>0</v>
      </c>
    </row>
    <row r="2351" spans="1:18" ht="14" hidden="1">
      <c r="A2351" s="78" t="s">
        <v>2800</v>
      </c>
      <c r="B2351" s="220" t="s">
        <v>1069</v>
      </c>
      <c r="C2351" s="185"/>
      <c r="D2351" s="103" t="str">
        <f>VLOOKUP(B2351, 'All Menu'!B:M, 4, 0)</f>
        <v>صحن مقبلات مشكل</v>
      </c>
      <c r="E2351" s="30" t="str">
        <f>VLOOKUP(B2351, 'All Menu'!B:M, 2, 0)</f>
        <v>قسم المقبلات</v>
      </c>
      <c r="F2351" s="103" t="str">
        <f>VLOOKUP(B2351, 'All Menu'!B:M, 3, 0)</f>
        <v>المقبلات سفري</v>
      </c>
      <c r="G2351" s="90" t="s">
        <v>2383</v>
      </c>
      <c r="H2351" s="219" t="s">
        <v>508</v>
      </c>
      <c r="I2351" s="110" t="str">
        <f>VLOOKUP(H2351, 'RM &amp; SF'!B:H, 2, 0)</f>
        <v>محمرة</v>
      </c>
      <c r="J2351" s="184" t="str">
        <f>VLOOKUP(H2351, 'RM &amp; SF'!B:E, 4, 0)</f>
        <v>غم</v>
      </c>
      <c r="K2351" s="12">
        <v>125</v>
      </c>
      <c r="L2351" s="13">
        <f>VLOOKUP(H2351, 'RM &amp; SF'!B:H, 7, 0)</f>
        <v>3.6895654761904765E-3</v>
      </c>
      <c r="M2351" s="7">
        <f t="shared" si="123"/>
        <v>0.46119568452380955</v>
      </c>
      <c r="N2351" s="4" t="s">
        <v>825</v>
      </c>
      <c r="O2351" s="4">
        <f>VLOOKUP(B2351, 'All Menu'!B:L, 6, 0)</f>
        <v>5.1724137931034484</v>
      </c>
      <c r="P2351" s="6">
        <f>VLOOKUP(B2351, 'All Menu'!B:L, 9, 0)</f>
        <v>2.1146906785521877</v>
      </c>
      <c r="Q2351" s="14">
        <f>VLOOKUP(B2351, 'All Menu'!B:M, 12, 0)</f>
        <v>0.59115980214657704</v>
      </c>
      <c r="R2351" s="173">
        <f t="shared" si="122"/>
        <v>0</v>
      </c>
    </row>
    <row r="2352" spans="1:18" ht="14" hidden="1">
      <c r="A2352" s="78" t="s">
        <v>2800</v>
      </c>
      <c r="B2352" s="220" t="s">
        <v>1069</v>
      </c>
      <c r="C2352" s="185"/>
      <c r="D2352" s="103" t="str">
        <f>VLOOKUP(B2352, 'All Menu'!B:M, 4, 0)</f>
        <v>صحن مقبلات مشكل</v>
      </c>
      <c r="E2352" s="30" t="str">
        <f>VLOOKUP(B2352, 'All Menu'!B:M, 2, 0)</f>
        <v>قسم المقبلات</v>
      </c>
      <c r="F2352" s="103" t="str">
        <f>VLOOKUP(B2352, 'All Menu'!B:M, 3, 0)</f>
        <v>المقبلات سفري</v>
      </c>
      <c r="G2352" s="90" t="s">
        <v>2447</v>
      </c>
      <c r="H2352" s="219" t="s">
        <v>672</v>
      </c>
      <c r="I2352" s="110" t="str">
        <f>VLOOKUP(H2352, 'RM &amp; SF'!B:H, 2, 0)</f>
        <v>خلطة متبل شمندر</v>
      </c>
      <c r="J2352" s="184" t="str">
        <f>VLOOKUP(H2352, 'RM &amp; SF'!B:E, 4, 0)</f>
        <v>غم</v>
      </c>
      <c r="K2352" s="12">
        <v>200</v>
      </c>
      <c r="L2352" s="13">
        <f>VLOOKUP(H2352, 'RM &amp; SF'!B:H, 7, 0)</f>
        <v>1.4632210966810965E-3</v>
      </c>
      <c r="M2352" s="7">
        <f t="shared" ref="M2352" si="124">L2352*K2352</f>
        <v>0.29264421933621931</v>
      </c>
      <c r="N2352" s="4" t="s">
        <v>825</v>
      </c>
      <c r="O2352" s="4">
        <f>VLOOKUP(B2352, 'All Menu'!B:L, 6, 0)</f>
        <v>5.1724137931034484</v>
      </c>
      <c r="P2352" s="6">
        <f>VLOOKUP(B2352, 'All Menu'!B:L, 9, 0)</f>
        <v>2.1146906785521877</v>
      </c>
      <c r="Q2352" s="14">
        <f>VLOOKUP(B2352, 'All Menu'!B:M, 12, 0)</f>
        <v>0.59115980214657704</v>
      </c>
      <c r="R2352" s="173">
        <f t="shared" ref="R2352" si="125">C2352*K2352</f>
        <v>0</v>
      </c>
    </row>
    <row r="2353" spans="1:18" ht="14" hidden="1">
      <c r="A2353" s="78" t="s">
        <v>2800</v>
      </c>
      <c r="B2353" s="220" t="s">
        <v>1069</v>
      </c>
      <c r="C2353" s="185"/>
      <c r="D2353" s="103" t="str">
        <f>VLOOKUP(B2353, 'All Menu'!B:M, 4, 0)</f>
        <v>صحن مقبلات مشكل</v>
      </c>
      <c r="E2353" s="30" t="str">
        <f>VLOOKUP(B2353, 'All Menu'!B:M, 2, 0)</f>
        <v>قسم المقبلات</v>
      </c>
      <c r="F2353" s="103" t="str">
        <f>VLOOKUP(B2353, 'All Menu'!B:M, 3, 0)</f>
        <v>المقبلات سفري</v>
      </c>
      <c r="G2353" s="90" t="s">
        <v>2381</v>
      </c>
      <c r="H2353" s="219" t="s">
        <v>492</v>
      </c>
      <c r="I2353" s="110" t="str">
        <f>VLOOKUP(H2353, 'RM &amp; SF'!B:H, 2, 0)</f>
        <v>يلنجي بالحبة</v>
      </c>
      <c r="J2353" s="184" t="str">
        <f>VLOOKUP(H2353, 'RM &amp; SF'!B:E, 4, 0)</f>
        <v>قطعة</v>
      </c>
      <c r="K2353" s="12">
        <v>5</v>
      </c>
      <c r="L2353" s="13">
        <f>VLOOKUP(H2353, 'RM &amp; SF'!B:H, 7, 0)</f>
        <v>3.3316857762056666E-2</v>
      </c>
      <c r="M2353" s="7">
        <f t="shared" si="123"/>
        <v>0.16658428881028334</v>
      </c>
      <c r="N2353" s="4" t="s">
        <v>825</v>
      </c>
      <c r="O2353" s="4">
        <f>VLOOKUP(B2353, 'All Menu'!B:L, 6, 0)</f>
        <v>5.1724137931034484</v>
      </c>
      <c r="P2353" s="6">
        <f>VLOOKUP(B2353, 'All Menu'!B:L, 9, 0)</f>
        <v>2.1146906785521877</v>
      </c>
      <c r="Q2353" s="14">
        <f>VLOOKUP(B2353, 'All Menu'!B:M, 12, 0)</f>
        <v>0.59115980214657704</v>
      </c>
      <c r="R2353" s="173">
        <f t="shared" si="122"/>
        <v>0</v>
      </c>
    </row>
    <row r="2354" spans="1:18" ht="14" hidden="1">
      <c r="A2354" s="78" t="s">
        <v>2800</v>
      </c>
      <c r="B2354" s="220" t="s">
        <v>1069</v>
      </c>
      <c r="C2354" s="185"/>
      <c r="D2354" s="103" t="str">
        <f>VLOOKUP(B2354, 'All Menu'!B:M, 4, 0)</f>
        <v>صحن مقبلات مشكل</v>
      </c>
      <c r="E2354" s="30" t="str">
        <f>VLOOKUP(B2354, 'All Menu'!B:M, 2, 0)</f>
        <v>قسم المقبلات</v>
      </c>
      <c r="F2354" s="103" t="str">
        <f>VLOOKUP(B2354, 'All Menu'!B:M, 3, 0)</f>
        <v>المقبلات سفري</v>
      </c>
      <c r="G2354" s="90" t="s">
        <v>3058</v>
      </c>
      <c r="H2354" s="188">
        <v>5266</v>
      </c>
      <c r="I2354" s="110" t="str">
        <f>VLOOKUP(H2354, 'RM &amp; SF'!B:H, 2, 0)</f>
        <v>صحن خماسي بلاستيك عليه ذهبي</v>
      </c>
      <c r="J2354" s="184" t="str">
        <f>VLOOKUP(H2354, 'RM &amp; SF'!B:E, 4, 0)</f>
        <v>قطعة</v>
      </c>
      <c r="K2354" s="12">
        <v>1</v>
      </c>
      <c r="L2354" s="13">
        <f>VLOOKUP(H2354, 'RM &amp; SF'!B:H, 7, 0)</f>
        <v>0.5502567865003668</v>
      </c>
      <c r="M2354" s="7">
        <f t="shared" si="123"/>
        <v>0.5502567865003668</v>
      </c>
      <c r="N2354" s="4" t="s">
        <v>825</v>
      </c>
      <c r="O2354" s="4">
        <f>VLOOKUP(B2354, 'All Menu'!B:L, 6, 0)</f>
        <v>5.1724137931034484</v>
      </c>
      <c r="P2354" s="6">
        <f>VLOOKUP(B2354, 'All Menu'!B:L, 9, 0)</f>
        <v>2.1146906785521877</v>
      </c>
      <c r="Q2354" s="14">
        <f>VLOOKUP(B2354, 'All Menu'!B:M, 12, 0)</f>
        <v>0.59115980214657704</v>
      </c>
      <c r="R2354" s="173">
        <f t="shared" si="122"/>
        <v>0</v>
      </c>
    </row>
    <row r="2355" spans="1:18" ht="14" hidden="1">
      <c r="A2355" s="78" t="s">
        <v>2800</v>
      </c>
      <c r="B2355" s="220" t="s">
        <v>1069</v>
      </c>
      <c r="C2355" s="185"/>
      <c r="D2355" s="103" t="str">
        <f>VLOOKUP(B2355, 'All Menu'!B:M, 4, 0)</f>
        <v>صحن مقبلات مشكل</v>
      </c>
      <c r="E2355" s="30" t="str">
        <f>VLOOKUP(B2355, 'All Menu'!B:M, 2, 0)</f>
        <v>قسم المقبلات</v>
      </c>
      <c r="F2355" s="103" t="str">
        <f>VLOOKUP(B2355, 'All Menu'!B:M, 3, 0)</f>
        <v>المقبلات سفري</v>
      </c>
      <c r="G2355" s="90" t="s">
        <v>3058</v>
      </c>
      <c r="H2355" s="188">
        <v>4516</v>
      </c>
      <c r="I2355" s="110" t="str">
        <f>VLOOKUP(H2355, 'RM &amp; SF'!B:H, 2, 0)</f>
        <v>بندورة كرزية (بندورة شري)*****</v>
      </c>
      <c r="J2355" s="184" t="str">
        <f>VLOOKUP(H2355, 'RM &amp; SF'!B:E, 4, 0)</f>
        <v>غم</v>
      </c>
      <c r="K2355" s="12">
        <v>20</v>
      </c>
      <c r="L2355" s="13">
        <f>VLOOKUP(H2355, 'RM &amp; SF'!B:H, 7, 0)</f>
        <v>1.8749999999999999E-3</v>
      </c>
      <c r="M2355" s="7">
        <f t="shared" si="123"/>
        <v>3.7499999999999999E-2</v>
      </c>
      <c r="N2355" s="4" t="s">
        <v>825</v>
      </c>
      <c r="O2355" s="4">
        <f>VLOOKUP(B2355, 'All Menu'!B:L, 6, 0)</f>
        <v>5.1724137931034484</v>
      </c>
      <c r="P2355" s="6">
        <f>VLOOKUP(B2355, 'All Menu'!B:L, 9, 0)</f>
        <v>2.1146906785521877</v>
      </c>
      <c r="Q2355" s="14">
        <f>VLOOKUP(B2355, 'All Menu'!B:M, 12, 0)</f>
        <v>0.59115980214657704</v>
      </c>
      <c r="R2355" s="173">
        <f t="shared" si="122"/>
        <v>0</v>
      </c>
    </row>
    <row r="2356" spans="1:18" ht="14" hidden="1">
      <c r="A2356" s="78" t="s">
        <v>2800</v>
      </c>
      <c r="B2356" s="220" t="s">
        <v>1069</v>
      </c>
      <c r="C2356" s="185"/>
      <c r="D2356" s="103" t="str">
        <f>VLOOKUP(B2356, 'All Menu'!B:M, 4, 0)</f>
        <v>صحن مقبلات مشكل</v>
      </c>
      <c r="E2356" s="30" t="str">
        <f>VLOOKUP(B2356, 'All Menu'!B:M, 2, 0)</f>
        <v>قسم المقبلات</v>
      </c>
      <c r="F2356" s="103" t="str">
        <f>VLOOKUP(B2356, 'All Menu'!B:M, 3, 0)</f>
        <v>المقبلات سفري</v>
      </c>
      <c r="G2356" s="90" t="s">
        <v>2239</v>
      </c>
      <c r="H2356" s="188">
        <v>4513</v>
      </c>
      <c r="I2356" s="110" t="str">
        <f>VLOOKUP(H2356, 'RM &amp; SF'!B:H, 2, 0)</f>
        <v>ليمون اصفر*****</v>
      </c>
      <c r="J2356" s="184" t="str">
        <f>VLOOKUP(H2356, 'RM &amp; SF'!B:E, 4, 0)</f>
        <v>غم</v>
      </c>
      <c r="K2356" s="12">
        <v>60</v>
      </c>
      <c r="L2356" s="13">
        <f>VLOOKUP(H2356, 'RM &amp; SF'!B:H, 7, 0)</f>
        <v>1.75E-3</v>
      </c>
      <c r="M2356" s="7">
        <f t="shared" si="123"/>
        <v>0.105</v>
      </c>
      <c r="N2356" s="4" t="s">
        <v>825</v>
      </c>
      <c r="O2356" s="4">
        <f>VLOOKUP(B2356, 'All Menu'!B:L, 6, 0)</f>
        <v>5.1724137931034484</v>
      </c>
      <c r="P2356" s="6">
        <f>VLOOKUP(B2356, 'All Menu'!B:L, 9, 0)</f>
        <v>2.1146906785521877</v>
      </c>
      <c r="Q2356" s="14">
        <f>VLOOKUP(B2356, 'All Menu'!B:M, 12, 0)</f>
        <v>0.59115980214657704</v>
      </c>
      <c r="R2356" s="173">
        <f t="shared" si="122"/>
        <v>0</v>
      </c>
    </row>
    <row r="2357" spans="1:18" ht="14" hidden="1">
      <c r="A2357" s="78" t="s">
        <v>2800</v>
      </c>
      <c r="B2357" s="220" t="s">
        <v>1069</v>
      </c>
      <c r="C2357" s="185"/>
      <c r="D2357" s="103" t="str">
        <f>VLOOKUP(B2357, 'All Menu'!B:M, 4, 0)</f>
        <v>صحن مقبلات مشكل</v>
      </c>
      <c r="E2357" s="30" t="str">
        <f>VLOOKUP(B2357, 'All Menu'!B:M, 2, 0)</f>
        <v>قسم المقبلات</v>
      </c>
      <c r="F2357" s="103" t="str">
        <f>VLOOKUP(B2357, 'All Menu'!B:M, 3, 0)</f>
        <v>المقبلات سفري</v>
      </c>
      <c r="G2357" s="90" t="s">
        <v>2322</v>
      </c>
      <c r="H2357" s="188">
        <v>5293</v>
      </c>
      <c r="I2357" s="110" t="str">
        <f>VLOOKUP(H2357, 'RM &amp; SF'!B:H, 2, 0)</f>
        <v>ملفوف احمر*****</v>
      </c>
      <c r="J2357" s="184" t="str">
        <f>VLOOKUP(H2357, 'RM &amp; SF'!B:E, 4, 0)</f>
        <v>غم</v>
      </c>
      <c r="K2357" s="12">
        <v>20</v>
      </c>
      <c r="L2357" s="13">
        <f>VLOOKUP(H2357, 'RM &amp; SF'!B:H, 7, 0)</f>
        <v>8.0000000000000004E-4</v>
      </c>
      <c r="M2357" s="7">
        <f t="shared" si="123"/>
        <v>1.6E-2</v>
      </c>
      <c r="N2357" s="4" t="s">
        <v>825</v>
      </c>
      <c r="O2357" s="4">
        <f>VLOOKUP(B2357, 'All Menu'!B:L, 6, 0)</f>
        <v>5.1724137931034484</v>
      </c>
      <c r="P2357" s="6">
        <f>VLOOKUP(B2357, 'All Menu'!B:L, 9, 0)</f>
        <v>2.1146906785521877</v>
      </c>
      <c r="Q2357" s="14">
        <f>VLOOKUP(B2357, 'All Menu'!B:M, 12, 0)</f>
        <v>0.59115980214657704</v>
      </c>
      <c r="R2357" s="173">
        <f t="shared" si="122"/>
        <v>0</v>
      </c>
    </row>
    <row r="2358" spans="1:18" ht="14" hidden="1">
      <c r="A2358" s="78" t="s">
        <v>2800</v>
      </c>
      <c r="B2358" s="220" t="s">
        <v>1069</v>
      </c>
      <c r="C2358" s="185"/>
      <c r="D2358" s="103" t="str">
        <f>VLOOKUP(B2358, 'All Menu'!B:M, 4, 0)</f>
        <v>صحن مقبلات مشكل</v>
      </c>
      <c r="E2358" s="30" t="str">
        <f>VLOOKUP(B2358, 'All Menu'!B:M, 2, 0)</f>
        <v>قسم المقبلات</v>
      </c>
      <c r="F2358" s="103" t="str">
        <f>VLOOKUP(B2358, 'All Menu'!B:M, 3, 0)</f>
        <v>المقبلات سفري</v>
      </c>
      <c r="G2358" s="90" t="s">
        <v>3058</v>
      </c>
      <c r="H2358" s="188">
        <v>4143</v>
      </c>
      <c r="I2358" s="110" t="str">
        <f>VLOOKUP(H2358, 'RM &amp; SF'!B:H, 2, 0)</f>
        <v>حمص حب نمرة 12*****</v>
      </c>
      <c r="J2358" s="184" t="str">
        <f>VLOOKUP(H2358, 'RM &amp; SF'!B:E, 4, 0)</f>
        <v>غم</v>
      </c>
      <c r="K2358" s="12">
        <v>6</v>
      </c>
      <c r="L2358" s="13">
        <f>VLOOKUP(H2358, 'RM &amp; SF'!B:H, 7, 0)</f>
        <v>1.24E-3</v>
      </c>
      <c r="M2358" s="7">
        <f t="shared" si="123"/>
        <v>7.4400000000000004E-3</v>
      </c>
      <c r="N2358" s="4" t="s">
        <v>825</v>
      </c>
      <c r="O2358" s="4">
        <f>VLOOKUP(B2358, 'All Menu'!B:L, 6, 0)</f>
        <v>5.1724137931034484</v>
      </c>
      <c r="P2358" s="6">
        <f>VLOOKUP(B2358, 'All Menu'!B:L, 9, 0)</f>
        <v>2.1146906785521877</v>
      </c>
      <c r="Q2358" s="14">
        <f>VLOOKUP(B2358, 'All Menu'!B:M, 12, 0)</f>
        <v>0.59115980214657704</v>
      </c>
      <c r="R2358" s="173">
        <f t="shared" si="122"/>
        <v>0</v>
      </c>
    </row>
    <row r="2359" spans="1:18" ht="14" hidden="1">
      <c r="A2359" s="78" t="s">
        <v>2827</v>
      </c>
      <c r="B2359" s="220" t="s">
        <v>1080</v>
      </c>
      <c r="C2359" s="185"/>
      <c r="D2359" s="103" t="str">
        <f>VLOOKUP(B2359, 'All Menu'!B:M, 4, 0)</f>
        <v>سيزر دجاج عائلي</v>
      </c>
      <c r="E2359" s="30" t="str">
        <f>VLOOKUP(B2359, 'All Menu'!B:M, 2, 0)</f>
        <v>قسم المقبلات</v>
      </c>
      <c r="F2359" s="103" t="str">
        <f>VLOOKUP(B2359, 'All Menu'!B:M, 3, 0)</f>
        <v>سلطات سفري</v>
      </c>
      <c r="G2359" s="90" t="s">
        <v>2241</v>
      </c>
      <c r="H2359" s="188">
        <v>4518</v>
      </c>
      <c r="I2359" s="110" t="str">
        <f>VLOOKUP(H2359, 'RM &amp; SF'!B:H, 2, 0)</f>
        <v>خس ايسبرغ*****</v>
      </c>
      <c r="J2359" s="184" t="str">
        <f>VLOOKUP(H2359, 'RM &amp; SF'!B:E, 4, 0)</f>
        <v>غم</v>
      </c>
      <c r="K2359" s="12">
        <v>800</v>
      </c>
      <c r="L2359" s="13">
        <f>VLOOKUP(H2359, 'RM &amp; SF'!B:H, 7, 0)</f>
        <v>7.5000000000000002E-4</v>
      </c>
      <c r="M2359" s="7">
        <f t="shared" si="123"/>
        <v>0.6</v>
      </c>
      <c r="N2359" s="4" t="s">
        <v>825</v>
      </c>
      <c r="O2359" s="4">
        <f>VLOOKUP(B2359, 'All Menu'!B:L, 6, 0)</f>
        <v>14.439655172413794</v>
      </c>
      <c r="P2359" s="6">
        <f>VLOOKUP(B2359, 'All Menu'!B:L, 9, 0)</f>
        <v>10.071963464285714</v>
      </c>
      <c r="Q2359" s="14">
        <f>VLOOKUP(B2359, 'All Menu'!B:M, 12, 0)</f>
        <v>0.30247894814498938</v>
      </c>
      <c r="R2359" s="173">
        <f t="shared" si="122"/>
        <v>0</v>
      </c>
    </row>
    <row r="2360" spans="1:18" ht="14" hidden="1">
      <c r="A2360" s="78" t="s">
        <v>2827</v>
      </c>
      <c r="B2360" s="220" t="s">
        <v>1080</v>
      </c>
      <c r="C2360" s="185"/>
      <c r="D2360" s="103" t="str">
        <f>VLOOKUP(B2360, 'All Menu'!B:M, 4, 0)</f>
        <v>سيزر دجاج عائلي</v>
      </c>
      <c r="E2360" s="30" t="str">
        <f>VLOOKUP(B2360, 'All Menu'!B:M, 2, 0)</f>
        <v>قسم المقبلات</v>
      </c>
      <c r="F2360" s="103" t="str">
        <f>VLOOKUP(B2360, 'All Menu'!B:M, 3, 0)</f>
        <v>سلطات سفري</v>
      </c>
      <c r="G2360" s="90" t="s">
        <v>3058</v>
      </c>
      <c r="H2360" s="188">
        <v>4516</v>
      </c>
      <c r="I2360" s="110" t="str">
        <f>VLOOKUP(H2360, 'RM &amp; SF'!B:H, 2, 0)</f>
        <v>بندورة كرزية (بندورة شري)*****</v>
      </c>
      <c r="J2360" s="184" t="str">
        <f>VLOOKUP(H2360, 'RM &amp; SF'!B:E, 4, 0)</f>
        <v>غم</v>
      </c>
      <c r="K2360" s="12">
        <v>80</v>
      </c>
      <c r="L2360" s="13">
        <f>VLOOKUP(H2360, 'RM &amp; SF'!B:H, 7, 0)</f>
        <v>1.8749999999999999E-3</v>
      </c>
      <c r="M2360" s="7">
        <f t="shared" si="123"/>
        <v>0.15</v>
      </c>
      <c r="N2360" s="4" t="s">
        <v>825</v>
      </c>
      <c r="O2360" s="4">
        <f>VLOOKUP(B2360, 'All Menu'!B:L, 6, 0)</f>
        <v>14.439655172413794</v>
      </c>
      <c r="P2360" s="6">
        <f>VLOOKUP(B2360, 'All Menu'!B:L, 9, 0)</f>
        <v>10.071963464285714</v>
      </c>
      <c r="Q2360" s="14">
        <f>VLOOKUP(B2360, 'All Menu'!B:M, 12, 0)</f>
        <v>0.30247894814498938</v>
      </c>
      <c r="R2360" s="173">
        <f t="shared" si="122"/>
        <v>0</v>
      </c>
    </row>
    <row r="2361" spans="1:18" ht="14" hidden="1">
      <c r="A2361" s="78" t="s">
        <v>2827</v>
      </c>
      <c r="B2361" s="220" t="s">
        <v>1080</v>
      </c>
      <c r="C2361" s="185"/>
      <c r="D2361" s="103" t="str">
        <f>VLOOKUP(B2361, 'All Menu'!B:M, 4, 0)</f>
        <v>سيزر دجاج عائلي</v>
      </c>
      <c r="E2361" s="30" t="str">
        <f>VLOOKUP(B2361, 'All Menu'!B:M, 2, 0)</f>
        <v>قسم المقبلات</v>
      </c>
      <c r="F2361" s="103" t="str">
        <f>VLOOKUP(B2361, 'All Menu'!B:M, 3, 0)</f>
        <v>سلطات سفري</v>
      </c>
      <c r="G2361" s="90" t="s">
        <v>2308</v>
      </c>
      <c r="H2361" s="188">
        <v>4787</v>
      </c>
      <c r="I2361" s="110" t="str">
        <f>VLOOKUP(H2361, 'RM &amp; SF'!B:H, 2, 0)</f>
        <v>خبز التوست بالحليب مشرح 600 غم*****</v>
      </c>
      <c r="J2361" s="184" t="str">
        <f>VLOOKUP(H2361, 'RM &amp; SF'!B:E, 4, 0)</f>
        <v>غم</v>
      </c>
      <c r="K2361" s="12">
        <v>80</v>
      </c>
      <c r="L2361" s="13">
        <f>VLOOKUP(H2361, 'RM &amp; SF'!B:H, 7, 0)</f>
        <v>2.08333E-3</v>
      </c>
      <c r="M2361" s="7">
        <f t="shared" si="123"/>
        <v>0.16666639999999999</v>
      </c>
      <c r="N2361" s="4" t="s">
        <v>825</v>
      </c>
      <c r="O2361" s="4">
        <f>VLOOKUP(B2361, 'All Menu'!B:L, 6, 0)</f>
        <v>14.439655172413794</v>
      </c>
      <c r="P2361" s="6">
        <f>VLOOKUP(B2361, 'All Menu'!B:L, 9, 0)</f>
        <v>10.071963464285714</v>
      </c>
      <c r="Q2361" s="14">
        <f>VLOOKUP(B2361, 'All Menu'!B:M, 12, 0)</f>
        <v>0.30247894814498938</v>
      </c>
      <c r="R2361" s="173">
        <f t="shared" si="122"/>
        <v>0</v>
      </c>
    </row>
    <row r="2362" spans="1:18" ht="14" hidden="1">
      <c r="A2362" s="78" t="s">
        <v>2827</v>
      </c>
      <c r="B2362" s="220" t="s">
        <v>1080</v>
      </c>
      <c r="C2362" s="185"/>
      <c r="D2362" s="103" t="str">
        <f>VLOOKUP(B2362, 'All Menu'!B:M, 4, 0)</f>
        <v>سيزر دجاج عائلي</v>
      </c>
      <c r="E2362" s="30" t="str">
        <f>VLOOKUP(B2362, 'All Menu'!B:M, 2, 0)</f>
        <v>قسم المقبلات</v>
      </c>
      <c r="F2362" s="103" t="str">
        <f>VLOOKUP(B2362, 'All Menu'!B:M, 3, 0)</f>
        <v>سلطات سفري</v>
      </c>
      <c r="G2362" s="90" t="s">
        <v>2406</v>
      </c>
      <c r="H2362" s="219" t="s">
        <v>518</v>
      </c>
      <c r="I2362" s="110" t="str">
        <f>VLOOKUP(H2362, 'RM &amp; SF'!B:H, 2, 0)</f>
        <v>صوص سيزار</v>
      </c>
      <c r="J2362" s="184" t="str">
        <f>VLOOKUP(H2362, 'RM &amp; SF'!B:E, 4, 0)</f>
        <v>غم</v>
      </c>
      <c r="K2362" s="12">
        <v>200</v>
      </c>
      <c r="L2362" s="13">
        <f>VLOOKUP(H2362, 'RM &amp; SF'!B:H, 7, 0)</f>
        <v>3.8209876190476188E-3</v>
      </c>
      <c r="M2362" s="7">
        <f t="shared" si="123"/>
        <v>0.76419752380952377</v>
      </c>
      <c r="N2362" s="4" t="s">
        <v>825</v>
      </c>
      <c r="O2362" s="4">
        <f>VLOOKUP(B2362, 'All Menu'!B:L, 6, 0)</f>
        <v>14.439655172413794</v>
      </c>
      <c r="P2362" s="6">
        <f>VLOOKUP(B2362, 'All Menu'!B:L, 9, 0)</f>
        <v>10.071963464285714</v>
      </c>
      <c r="Q2362" s="14">
        <f>VLOOKUP(B2362, 'All Menu'!B:M, 12, 0)</f>
        <v>0.30247894814498938</v>
      </c>
      <c r="R2362" s="173">
        <f t="shared" si="122"/>
        <v>0</v>
      </c>
    </row>
    <row r="2363" spans="1:18" ht="14" hidden="1">
      <c r="A2363" s="78" t="s">
        <v>2827</v>
      </c>
      <c r="B2363" s="220" t="s">
        <v>1080</v>
      </c>
      <c r="C2363" s="185"/>
      <c r="D2363" s="103" t="str">
        <f>VLOOKUP(B2363, 'All Menu'!B:M, 4, 0)</f>
        <v>سيزر دجاج عائلي</v>
      </c>
      <c r="E2363" s="30" t="str">
        <f>VLOOKUP(B2363, 'All Menu'!B:M, 2, 0)</f>
        <v>قسم المقبلات</v>
      </c>
      <c r="F2363" s="103" t="str">
        <f>VLOOKUP(B2363, 'All Menu'!B:M, 3, 0)</f>
        <v>سلطات سفري</v>
      </c>
      <c r="G2363" s="90" t="s">
        <v>2179</v>
      </c>
      <c r="H2363" s="188">
        <v>4560</v>
      </c>
      <c r="I2363" s="110" t="str">
        <f>VLOOKUP(H2363, 'RM &amp; SF'!B:H, 2, 0)</f>
        <v>جبنة بارميزان قالب*****</v>
      </c>
      <c r="J2363" s="184" t="str">
        <f>VLOOKUP(H2363, 'RM &amp; SF'!B:E, 4, 0)</f>
        <v>غم</v>
      </c>
      <c r="K2363" s="12">
        <v>80</v>
      </c>
      <c r="L2363" s="13">
        <f>VLOOKUP(H2363, 'RM &amp; SF'!B:H, 7, 0)</f>
        <v>6.5100000000000002E-3</v>
      </c>
      <c r="M2363" s="7">
        <f t="shared" si="123"/>
        <v>0.52080000000000004</v>
      </c>
      <c r="N2363" s="4" t="s">
        <v>825</v>
      </c>
      <c r="O2363" s="4">
        <f>VLOOKUP(B2363, 'All Menu'!B:L, 6, 0)</f>
        <v>14.439655172413794</v>
      </c>
      <c r="P2363" s="6">
        <f>VLOOKUP(B2363, 'All Menu'!B:L, 9, 0)</f>
        <v>10.071963464285714</v>
      </c>
      <c r="Q2363" s="14">
        <f>VLOOKUP(B2363, 'All Menu'!B:M, 12, 0)</f>
        <v>0.30247894814498938</v>
      </c>
      <c r="R2363" s="173">
        <f t="shared" si="122"/>
        <v>0</v>
      </c>
    </row>
    <row r="2364" spans="1:18" ht="14" hidden="1">
      <c r="A2364" s="78" t="s">
        <v>2827</v>
      </c>
      <c r="B2364" s="220" t="s">
        <v>1080</v>
      </c>
      <c r="C2364" s="185"/>
      <c r="D2364" s="103" t="str">
        <f>VLOOKUP(B2364, 'All Menu'!B:M, 4, 0)</f>
        <v>سيزر دجاج عائلي</v>
      </c>
      <c r="E2364" s="30" t="str">
        <f>VLOOKUP(B2364, 'All Menu'!B:M, 2, 0)</f>
        <v>قسم المقبلات</v>
      </c>
      <c r="F2364" s="103" t="str">
        <f>VLOOKUP(B2364, 'All Menu'!B:M, 3, 0)</f>
        <v>سلطات سفري</v>
      </c>
      <c r="G2364" s="90" t="s">
        <v>2445</v>
      </c>
      <c r="H2364" s="219" t="s">
        <v>668</v>
      </c>
      <c r="I2364" s="110" t="str">
        <f>VLOOKUP(H2364, 'RM &amp; SF'!B:H, 2, 0)</f>
        <v>دجاج مسحب بالفرن انترناشونال</v>
      </c>
      <c r="J2364" s="184" t="str">
        <f>VLOOKUP(H2364, 'RM &amp; SF'!B:E, 4, 0)</f>
        <v>غم</v>
      </c>
      <c r="K2364" s="12">
        <v>300</v>
      </c>
      <c r="L2364" s="13">
        <f>VLOOKUP(H2364, 'RM &amp; SF'!B:H, 7, 0)</f>
        <v>4.5947853888888886E-3</v>
      </c>
      <c r="M2364" s="7">
        <f t="shared" si="123"/>
        <v>1.3784356166666667</v>
      </c>
      <c r="N2364" s="4" t="s">
        <v>825</v>
      </c>
      <c r="O2364" s="4">
        <f>VLOOKUP(B2364, 'All Menu'!B:L, 6, 0)</f>
        <v>14.439655172413794</v>
      </c>
      <c r="P2364" s="6">
        <f>VLOOKUP(B2364, 'All Menu'!B:L, 9, 0)</f>
        <v>10.071963464285714</v>
      </c>
      <c r="Q2364" s="14">
        <f>VLOOKUP(B2364, 'All Menu'!B:M, 12, 0)</f>
        <v>0.30247894814498938</v>
      </c>
      <c r="R2364" s="173">
        <f t="shared" si="122"/>
        <v>0</v>
      </c>
    </row>
    <row r="2365" spans="1:18" ht="14" hidden="1">
      <c r="A2365" s="78" t="s">
        <v>2827</v>
      </c>
      <c r="B2365" s="220" t="s">
        <v>1080</v>
      </c>
      <c r="C2365" s="185"/>
      <c r="D2365" s="103" t="str">
        <f>VLOOKUP(B2365, 'All Menu'!B:M, 4, 0)</f>
        <v>سيزر دجاج عائلي</v>
      </c>
      <c r="E2365" s="30" t="str">
        <f>VLOOKUP(B2365, 'All Menu'!B:M, 2, 0)</f>
        <v>قسم المقبلات</v>
      </c>
      <c r="F2365" s="103" t="str">
        <f>VLOOKUP(B2365, 'All Menu'!B:M, 3, 0)</f>
        <v>سلطات سفري</v>
      </c>
      <c r="G2365" s="90" t="s">
        <v>3058</v>
      </c>
      <c r="H2365" s="188">
        <v>4416</v>
      </c>
      <c r="I2365" s="110" t="str">
        <f>VLOOKUP(H2365, 'RM &amp; SF'!B:H, 2, 0)</f>
        <v>صحن شوربة بورسلين ابيض 20 سم (8 انش)*****</v>
      </c>
      <c r="J2365" s="184" t="str">
        <f>VLOOKUP(H2365, 'RM &amp; SF'!B:E, 4, 0)</f>
        <v>قطعة</v>
      </c>
      <c r="K2365" s="12">
        <v>1</v>
      </c>
      <c r="L2365" s="13">
        <f>VLOOKUP(H2365, 'RM &amp; SF'!B:H, 7, 0)</f>
        <v>1.45</v>
      </c>
      <c r="M2365" s="7">
        <f t="shared" si="123"/>
        <v>1.45</v>
      </c>
      <c r="N2365" s="4" t="s">
        <v>825</v>
      </c>
      <c r="O2365" s="4">
        <f>VLOOKUP(B2365, 'All Menu'!B:L, 6, 0)</f>
        <v>14.439655172413794</v>
      </c>
      <c r="P2365" s="6">
        <f>VLOOKUP(B2365, 'All Menu'!B:L, 9, 0)</f>
        <v>10.071963464285714</v>
      </c>
      <c r="Q2365" s="14">
        <f>VLOOKUP(B2365, 'All Menu'!B:M, 12, 0)</f>
        <v>0.30247894814498938</v>
      </c>
      <c r="R2365" s="173">
        <f t="shared" si="122"/>
        <v>0</v>
      </c>
    </row>
    <row r="2366" spans="1:18" ht="14" hidden="1">
      <c r="A2366" s="78" t="s">
        <v>2829</v>
      </c>
      <c r="B2366" s="220" t="s">
        <v>1081</v>
      </c>
      <c r="C2366" s="185"/>
      <c r="D2366" s="103" t="str">
        <f>VLOOKUP(B2366, 'All Menu'!B:M, 4, 0)</f>
        <v>سلطة كينوا عائلي</v>
      </c>
      <c r="E2366" s="30" t="str">
        <f>VLOOKUP(B2366, 'All Menu'!B:M, 2, 0)</f>
        <v>قسم المقبلات</v>
      </c>
      <c r="F2366" s="103" t="str">
        <f>VLOOKUP(B2366, 'All Menu'!B:M, 3, 0)</f>
        <v>سلطات سفري</v>
      </c>
      <c r="G2366" s="90" t="s">
        <v>3058</v>
      </c>
      <c r="H2366" s="188">
        <v>4208</v>
      </c>
      <c r="I2366" s="110" t="str">
        <f>VLOOKUP(H2366, 'RM &amp; SF'!B:H, 2, 0)</f>
        <v>كينوا ابيض*****</v>
      </c>
      <c r="J2366" s="184" t="str">
        <f>VLOOKUP(H2366, 'RM &amp; SF'!B:E, 4, 0)</f>
        <v>غم</v>
      </c>
      <c r="K2366" s="12">
        <v>200</v>
      </c>
      <c r="L2366" s="13">
        <f>VLOOKUP(H2366, 'RM &amp; SF'!B:H, 7, 0)</f>
        <v>3.6540000000000001E-3</v>
      </c>
      <c r="M2366" s="7">
        <f t="shared" si="123"/>
        <v>0.73080000000000001</v>
      </c>
      <c r="N2366" s="4" t="s">
        <v>825</v>
      </c>
      <c r="O2366" s="4">
        <f>VLOOKUP(B2366, 'All Menu'!B:L, 6, 0)</f>
        <v>14.439655172413794</v>
      </c>
      <c r="P2366" s="6">
        <f>VLOOKUP(B2366, 'All Menu'!B:L, 9, 0)</f>
        <v>3.9666160971055087</v>
      </c>
      <c r="Q2366" s="14">
        <f>VLOOKUP(B2366, 'All Menu'!B:M, 12, 0)</f>
        <v>0.72529703446911109</v>
      </c>
      <c r="R2366" s="173">
        <f t="shared" si="122"/>
        <v>0</v>
      </c>
    </row>
    <row r="2367" spans="1:18" ht="14" hidden="1">
      <c r="A2367" s="78" t="s">
        <v>2829</v>
      </c>
      <c r="B2367" s="220" t="s">
        <v>1081</v>
      </c>
      <c r="C2367" s="185"/>
      <c r="D2367" s="103" t="str">
        <f>VLOOKUP(B2367, 'All Menu'!B:M, 4, 0)</f>
        <v>سلطة كينوا عائلي</v>
      </c>
      <c r="E2367" s="30" t="str">
        <f>VLOOKUP(B2367, 'All Menu'!B:M, 2, 0)</f>
        <v>قسم المقبلات</v>
      </c>
      <c r="F2367" s="103" t="str">
        <f>VLOOKUP(B2367, 'All Menu'!B:M, 3, 0)</f>
        <v>سلطات سفري</v>
      </c>
      <c r="G2367" s="90" t="s">
        <v>2410</v>
      </c>
      <c r="H2367" s="219" t="s">
        <v>524</v>
      </c>
      <c r="I2367" s="110" t="str">
        <f>VLOOKUP(H2367, 'RM &amp; SF'!B:H, 2, 0)</f>
        <v>صوص الكينوا</v>
      </c>
      <c r="J2367" s="184" t="str">
        <f>VLOOKUP(H2367, 'RM &amp; SF'!B:E, 4, 0)</f>
        <v>غم</v>
      </c>
      <c r="K2367" s="12">
        <v>200</v>
      </c>
      <c r="L2367" s="13">
        <f>VLOOKUP(H2367, 'RM &amp; SF'!B:H, 7, 0)</f>
        <v>2.7033888888888884E-3</v>
      </c>
      <c r="M2367" s="7">
        <f t="shared" si="123"/>
        <v>0.5406777777777777</v>
      </c>
      <c r="N2367" s="4" t="s">
        <v>825</v>
      </c>
      <c r="O2367" s="4">
        <f>VLOOKUP(B2367, 'All Menu'!B:L, 6, 0)</f>
        <v>14.439655172413794</v>
      </c>
      <c r="P2367" s="6">
        <f>VLOOKUP(B2367, 'All Menu'!B:L, 9, 0)</f>
        <v>3.9666160971055087</v>
      </c>
      <c r="Q2367" s="14">
        <f>VLOOKUP(B2367, 'All Menu'!B:M, 12, 0)</f>
        <v>0.72529703446911109</v>
      </c>
      <c r="R2367" s="173">
        <f t="shared" si="122"/>
        <v>0</v>
      </c>
    </row>
    <row r="2368" spans="1:18" ht="14" hidden="1">
      <c r="A2368" s="78" t="s">
        <v>2829</v>
      </c>
      <c r="B2368" s="220" t="s">
        <v>1081</v>
      </c>
      <c r="C2368" s="185"/>
      <c r="D2368" s="103" t="str">
        <f>VLOOKUP(B2368, 'All Menu'!B:M, 4, 0)</f>
        <v>سلطة كينوا عائلي</v>
      </c>
      <c r="E2368" s="30" t="str">
        <f>VLOOKUP(B2368, 'All Menu'!B:M, 2, 0)</f>
        <v>قسم المقبلات</v>
      </c>
      <c r="F2368" s="103" t="str">
        <f>VLOOKUP(B2368, 'All Menu'!B:M, 3, 0)</f>
        <v>سلطات سفري</v>
      </c>
      <c r="G2368" s="90" t="s">
        <v>3058</v>
      </c>
      <c r="H2368" s="188">
        <v>4285</v>
      </c>
      <c r="I2368" s="110" t="str">
        <f>VLOOKUP(H2368, 'RM &amp; SF'!B:H, 2, 0)</f>
        <v>علب بلاستيك مربع متصل 150 مل*****</v>
      </c>
      <c r="J2368" s="184" t="str">
        <f>VLOOKUP(H2368, 'RM &amp; SF'!B:E, 4, 0)</f>
        <v>قطعة</v>
      </c>
      <c r="K2368" s="12">
        <v>1</v>
      </c>
      <c r="L2368" s="13">
        <f>VLOOKUP(H2368, 'RM &amp; SF'!B:H, 7, 0)</f>
        <v>1.494E-2</v>
      </c>
      <c r="M2368" s="7">
        <f t="shared" si="123"/>
        <v>1.494E-2</v>
      </c>
      <c r="N2368" s="4" t="s">
        <v>825</v>
      </c>
      <c r="O2368" s="4">
        <f>VLOOKUP(B2368, 'All Menu'!B:L, 6, 0)</f>
        <v>14.439655172413794</v>
      </c>
      <c r="P2368" s="6">
        <f>VLOOKUP(B2368, 'All Menu'!B:L, 9, 0)</f>
        <v>3.9666160971055087</v>
      </c>
      <c r="Q2368" s="14">
        <f>VLOOKUP(B2368, 'All Menu'!B:M, 12, 0)</f>
        <v>0.72529703446911109</v>
      </c>
      <c r="R2368" s="173">
        <f t="shared" si="122"/>
        <v>0</v>
      </c>
    </row>
    <row r="2369" spans="1:18" ht="14" hidden="1">
      <c r="A2369" s="78" t="s">
        <v>2829</v>
      </c>
      <c r="B2369" s="220" t="s">
        <v>1081</v>
      </c>
      <c r="C2369" s="185"/>
      <c r="D2369" s="103" t="str">
        <f>VLOOKUP(B2369, 'All Menu'!B:M, 4, 0)</f>
        <v>سلطة كينوا عائلي</v>
      </c>
      <c r="E2369" s="30" t="str">
        <f>VLOOKUP(B2369, 'All Menu'!B:M, 2, 0)</f>
        <v>قسم المقبلات</v>
      </c>
      <c r="F2369" s="103" t="str">
        <f>VLOOKUP(B2369, 'All Menu'!B:M, 3, 0)</f>
        <v>سلطات سفري</v>
      </c>
      <c r="G2369" s="90" t="s">
        <v>3058</v>
      </c>
      <c r="H2369" s="188">
        <v>4542</v>
      </c>
      <c r="I2369" s="110" t="str">
        <f>VLOOKUP(H2369, 'RM &amp; SF'!B:H, 2, 0)</f>
        <v>مانجا طازجة*****</v>
      </c>
      <c r="J2369" s="184" t="str">
        <f>VLOOKUP(H2369, 'RM &amp; SF'!B:E, 4, 0)</f>
        <v>غم</v>
      </c>
      <c r="K2369" s="12">
        <v>150</v>
      </c>
      <c r="L2369" s="13">
        <f>VLOOKUP(H2369, 'RM &amp; SF'!B:H, 7, 0)</f>
        <v>2.5000000000000001E-3</v>
      </c>
      <c r="M2369" s="7">
        <f t="shared" si="123"/>
        <v>0.375</v>
      </c>
      <c r="N2369" s="4" t="s">
        <v>825</v>
      </c>
      <c r="O2369" s="4">
        <f>VLOOKUP(B2369, 'All Menu'!B:L, 6, 0)</f>
        <v>14.439655172413794</v>
      </c>
      <c r="P2369" s="6">
        <f>VLOOKUP(B2369, 'All Menu'!B:L, 9, 0)</f>
        <v>3.9666160971055087</v>
      </c>
      <c r="Q2369" s="14">
        <f>VLOOKUP(B2369, 'All Menu'!B:M, 12, 0)</f>
        <v>0.72529703446911109</v>
      </c>
      <c r="R2369" s="173">
        <f t="shared" si="122"/>
        <v>0</v>
      </c>
    </row>
    <row r="2370" spans="1:18" ht="14" hidden="1">
      <c r="A2370" s="78" t="s">
        <v>2829</v>
      </c>
      <c r="B2370" s="220" t="s">
        <v>1081</v>
      </c>
      <c r="C2370" s="185"/>
      <c r="D2370" s="103" t="str">
        <f>VLOOKUP(B2370, 'All Menu'!B:M, 4, 0)</f>
        <v>سلطة كينوا عائلي</v>
      </c>
      <c r="E2370" s="30" t="str">
        <f>VLOOKUP(B2370, 'All Menu'!B:M, 2, 0)</f>
        <v>قسم المقبلات</v>
      </c>
      <c r="F2370" s="103" t="str">
        <f>VLOOKUP(B2370, 'All Menu'!B:M, 3, 0)</f>
        <v>سلطات سفري</v>
      </c>
      <c r="G2370" s="90" t="s">
        <v>2271</v>
      </c>
      <c r="H2370" s="188">
        <v>4034</v>
      </c>
      <c r="I2370" s="110" t="str">
        <f>VLOOKUP(H2370, 'RM &amp; SF'!B:H, 2, 0)</f>
        <v>اناناس شرائح 565 غم*****</v>
      </c>
      <c r="J2370" s="184" t="str">
        <f>VLOOKUP(H2370, 'RM &amp; SF'!B:E, 4, 0)</f>
        <v>غم</v>
      </c>
      <c r="K2370" s="12">
        <v>120</v>
      </c>
      <c r="L2370" s="13">
        <f>VLOOKUP(H2370, 'RM &amp; SF'!B:H, 7, 0)</f>
        <v>1.5983193277310924E-3</v>
      </c>
      <c r="M2370" s="7">
        <f t="shared" si="123"/>
        <v>0.19179831932773109</v>
      </c>
      <c r="N2370" s="4" t="s">
        <v>825</v>
      </c>
      <c r="O2370" s="4">
        <f>VLOOKUP(B2370, 'All Menu'!B:L, 6, 0)</f>
        <v>14.439655172413794</v>
      </c>
      <c r="P2370" s="6">
        <f>VLOOKUP(B2370, 'All Menu'!B:L, 9, 0)</f>
        <v>3.9666160971055087</v>
      </c>
      <c r="Q2370" s="14">
        <f>VLOOKUP(B2370, 'All Menu'!B:M, 12, 0)</f>
        <v>0.72529703446911109</v>
      </c>
      <c r="R2370" s="173">
        <f t="shared" si="122"/>
        <v>0</v>
      </c>
    </row>
    <row r="2371" spans="1:18" ht="14" hidden="1">
      <c r="A2371" s="78" t="s">
        <v>2829</v>
      </c>
      <c r="B2371" s="220" t="s">
        <v>1081</v>
      </c>
      <c r="C2371" s="185"/>
      <c r="D2371" s="103" t="str">
        <f>VLOOKUP(B2371, 'All Menu'!B:M, 4, 0)</f>
        <v>سلطة كينوا عائلي</v>
      </c>
      <c r="E2371" s="30" t="str">
        <f>VLOOKUP(B2371, 'All Menu'!B:M, 2, 0)</f>
        <v>قسم المقبلات</v>
      </c>
      <c r="F2371" s="103" t="str">
        <f>VLOOKUP(B2371, 'All Menu'!B:M, 3, 0)</f>
        <v>سلطات سفري</v>
      </c>
      <c r="G2371" s="90" t="s">
        <v>2250</v>
      </c>
      <c r="H2371" s="188">
        <v>4531</v>
      </c>
      <c r="I2371" s="110" t="str">
        <f>VLOOKUP(H2371, 'RM &amp; SF'!B:H, 2, 0)</f>
        <v>فراولة*****</v>
      </c>
      <c r="J2371" s="184" t="str">
        <f>VLOOKUP(H2371, 'RM &amp; SF'!B:E, 4, 0)</f>
        <v>غم</v>
      </c>
      <c r="K2371" s="12">
        <v>40</v>
      </c>
      <c r="L2371" s="13">
        <f>VLOOKUP(H2371, 'RM &amp; SF'!B:H, 7, 0)</f>
        <v>2.5000000000000001E-3</v>
      </c>
      <c r="M2371" s="7">
        <f t="shared" si="123"/>
        <v>0.1</v>
      </c>
      <c r="N2371" s="4" t="s">
        <v>825</v>
      </c>
      <c r="O2371" s="4">
        <f>VLOOKUP(B2371, 'All Menu'!B:L, 6, 0)</f>
        <v>14.439655172413794</v>
      </c>
      <c r="P2371" s="6">
        <f>VLOOKUP(B2371, 'All Menu'!B:L, 9, 0)</f>
        <v>3.9666160971055087</v>
      </c>
      <c r="Q2371" s="14">
        <f>VLOOKUP(B2371, 'All Menu'!B:M, 12, 0)</f>
        <v>0.72529703446911109</v>
      </c>
      <c r="R2371" s="173">
        <f t="shared" si="122"/>
        <v>0</v>
      </c>
    </row>
    <row r="2372" spans="1:18" ht="14" hidden="1">
      <c r="A2372" s="78" t="s">
        <v>2829</v>
      </c>
      <c r="B2372" s="220" t="s">
        <v>1081</v>
      </c>
      <c r="C2372" s="185"/>
      <c r="D2372" s="103" t="str">
        <f>VLOOKUP(B2372, 'All Menu'!B:M, 4, 0)</f>
        <v>سلطة كينوا عائلي</v>
      </c>
      <c r="E2372" s="30" t="str">
        <f>VLOOKUP(B2372, 'All Menu'!B:M, 2, 0)</f>
        <v>قسم المقبلات</v>
      </c>
      <c r="F2372" s="103" t="str">
        <f>VLOOKUP(B2372, 'All Menu'!B:M, 3, 0)</f>
        <v>سلطات سفري</v>
      </c>
      <c r="G2372" s="90" t="s">
        <v>2241</v>
      </c>
      <c r="H2372" s="188">
        <v>4518</v>
      </c>
      <c r="I2372" s="110" t="str">
        <f>VLOOKUP(H2372, 'RM &amp; SF'!B:H, 2, 0)</f>
        <v>خس ايسبرغ*****</v>
      </c>
      <c r="J2372" s="184" t="str">
        <f>VLOOKUP(H2372, 'RM &amp; SF'!B:E, 4, 0)</f>
        <v>غم</v>
      </c>
      <c r="K2372" s="12">
        <v>300</v>
      </c>
      <c r="L2372" s="13">
        <f>VLOOKUP(H2372, 'RM &amp; SF'!B:H, 7, 0)</f>
        <v>7.5000000000000002E-4</v>
      </c>
      <c r="M2372" s="7">
        <f t="shared" si="123"/>
        <v>0.22500000000000001</v>
      </c>
      <c r="N2372" s="4" t="s">
        <v>825</v>
      </c>
      <c r="O2372" s="4">
        <f>VLOOKUP(B2372, 'All Menu'!B:L, 6, 0)</f>
        <v>14.439655172413794</v>
      </c>
      <c r="P2372" s="6">
        <f>VLOOKUP(B2372, 'All Menu'!B:L, 9, 0)</f>
        <v>3.9666160971055087</v>
      </c>
      <c r="Q2372" s="14">
        <f>VLOOKUP(B2372, 'All Menu'!B:M, 12, 0)</f>
        <v>0.72529703446911109</v>
      </c>
      <c r="R2372" s="173">
        <f t="shared" si="122"/>
        <v>0</v>
      </c>
    </row>
    <row r="2373" spans="1:18" ht="14" hidden="1">
      <c r="A2373" s="78" t="s">
        <v>2829</v>
      </c>
      <c r="B2373" s="220" t="s">
        <v>1081</v>
      </c>
      <c r="C2373" s="185"/>
      <c r="D2373" s="103" t="str">
        <f>VLOOKUP(B2373, 'All Menu'!B:M, 4, 0)</f>
        <v>سلطة كينوا عائلي</v>
      </c>
      <c r="E2373" s="30" t="str">
        <f>VLOOKUP(B2373, 'All Menu'!B:M, 2, 0)</f>
        <v>قسم المقبلات</v>
      </c>
      <c r="F2373" s="103" t="str">
        <f>VLOOKUP(B2373, 'All Menu'!B:M, 3, 0)</f>
        <v>سلطات سفري</v>
      </c>
      <c r="G2373" s="90" t="s">
        <v>2320</v>
      </c>
      <c r="H2373" s="188">
        <v>5291</v>
      </c>
      <c r="I2373" s="110" t="str">
        <f>VLOOKUP(H2373, 'RM &amp; SF'!B:H, 2, 0)</f>
        <v>تين مجفف (قطين)*****</v>
      </c>
      <c r="J2373" s="184" t="str">
        <f>VLOOKUP(H2373, 'RM &amp; SF'!B:E, 4, 0)</f>
        <v>غم</v>
      </c>
      <c r="K2373" s="12">
        <v>150</v>
      </c>
      <c r="L2373" s="13">
        <f>VLOOKUP(H2373, 'RM &amp; SF'!B:H, 7, 0)</f>
        <v>2.2559999999999998E-3</v>
      </c>
      <c r="M2373" s="7">
        <f t="shared" si="123"/>
        <v>0.33839999999999998</v>
      </c>
      <c r="N2373" s="4" t="s">
        <v>825</v>
      </c>
      <c r="O2373" s="4">
        <f>VLOOKUP(B2373, 'All Menu'!B:L, 6, 0)</f>
        <v>14.439655172413794</v>
      </c>
      <c r="P2373" s="6">
        <f>VLOOKUP(B2373, 'All Menu'!B:L, 9, 0)</f>
        <v>3.9666160971055087</v>
      </c>
      <c r="Q2373" s="14">
        <f>VLOOKUP(B2373, 'All Menu'!B:M, 12, 0)</f>
        <v>0.72529703446911109</v>
      </c>
      <c r="R2373" s="173">
        <f t="shared" si="122"/>
        <v>0</v>
      </c>
    </row>
    <row r="2374" spans="1:18" ht="14" hidden="1">
      <c r="A2374" s="78" t="s">
        <v>2829</v>
      </c>
      <c r="B2374" s="220" t="s">
        <v>1081</v>
      </c>
      <c r="C2374" s="185"/>
      <c r="D2374" s="103" t="str">
        <f>VLOOKUP(B2374, 'All Menu'!B:M, 4, 0)</f>
        <v>سلطة كينوا عائلي</v>
      </c>
      <c r="E2374" s="30" t="str">
        <f>VLOOKUP(B2374, 'All Menu'!B:M, 2, 0)</f>
        <v>قسم المقبلات</v>
      </c>
      <c r="F2374" s="103" t="str">
        <f>VLOOKUP(B2374, 'All Menu'!B:M, 3, 0)</f>
        <v>سلطات سفري</v>
      </c>
      <c r="G2374" s="90" t="s">
        <v>3058</v>
      </c>
      <c r="H2374" s="188">
        <v>4416</v>
      </c>
      <c r="I2374" s="110" t="str">
        <f>VLOOKUP(H2374, 'RM &amp; SF'!B:H, 2, 0)</f>
        <v>صحن شوربة بورسلين ابيض 20 سم (8 انش)*****</v>
      </c>
      <c r="J2374" s="184" t="str">
        <f>VLOOKUP(H2374, 'RM &amp; SF'!B:E, 4, 0)</f>
        <v>قطعة</v>
      </c>
      <c r="K2374" s="12">
        <v>1</v>
      </c>
      <c r="L2374" s="13">
        <f>VLOOKUP(H2374, 'RM &amp; SF'!B:H, 7, 0)</f>
        <v>1.45</v>
      </c>
      <c r="M2374" s="7">
        <f t="shared" si="123"/>
        <v>1.45</v>
      </c>
      <c r="N2374" s="4" t="s">
        <v>825</v>
      </c>
      <c r="O2374" s="4">
        <f>VLOOKUP(B2374, 'All Menu'!B:L, 6, 0)</f>
        <v>14.439655172413794</v>
      </c>
      <c r="P2374" s="6">
        <f>VLOOKUP(B2374, 'All Menu'!B:L, 9, 0)</f>
        <v>3.9666160971055087</v>
      </c>
      <c r="Q2374" s="14">
        <f>VLOOKUP(B2374, 'All Menu'!B:M, 12, 0)</f>
        <v>0.72529703446911109</v>
      </c>
      <c r="R2374" s="173">
        <f t="shared" si="122"/>
        <v>0</v>
      </c>
    </row>
    <row r="2375" spans="1:18" ht="14" hidden="1">
      <c r="A2375" s="78" t="s">
        <v>2833</v>
      </c>
      <c r="B2375" s="220" t="s">
        <v>1082</v>
      </c>
      <c r="C2375" s="185"/>
      <c r="D2375" s="103" t="str">
        <f>VLOOKUP(B2375, 'All Menu'!B:M, 4, 0)</f>
        <v>سلطة كولسو عائلي</v>
      </c>
      <c r="E2375" s="30" t="str">
        <f>VLOOKUP(B2375, 'All Menu'!B:M, 2, 0)</f>
        <v>قسم المقبلات</v>
      </c>
      <c r="F2375" s="103" t="str">
        <f>VLOOKUP(B2375, 'All Menu'!B:M, 3, 0)</f>
        <v>سلطات سفري</v>
      </c>
      <c r="G2375" s="90" t="s">
        <v>2395</v>
      </c>
      <c r="H2375" s="219" t="s">
        <v>560</v>
      </c>
      <c r="I2375" s="110" t="str">
        <f>VLOOKUP(H2375, 'RM &amp; SF'!B:H, 2, 0)</f>
        <v>كولسلو</v>
      </c>
      <c r="J2375" s="184" t="str">
        <f>VLOOKUP(H2375, 'RM &amp; SF'!B:E, 4, 0)</f>
        <v>غم</v>
      </c>
      <c r="K2375" s="12">
        <v>1000</v>
      </c>
      <c r="L2375" s="13">
        <f>VLOOKUP(H2375, 'RM &amp; SF'!B:H, 7, 0)</f>
        <v>1.2345483193277309E-3</v>
      </c>
      <c r="M2375" s="7">
        <f t="shared" si="123"/>
        <v>1.2345483193277309</v>
      </c>
      <c r="N2375" s="4" t="s">
        <v>825</v>
      </c>
      <c r="O2375" s="4">
        <f>VLOOKUP(B2375, 'All Menu'!B:L, 6, 0)</f>
        <v>10.129310344827587</v>
      </c>
      <c r="P2375" s="6">
        <f>VLOOKUP(B2375, 'All Menu'!B:L, 9, 0)</f>
        <v>2.7924978991596636</v>
      </c>
      <c r="Q2375" s="14">
        <f>VLOOKUP(B2375, 'All Menu'!B:M, 12, 0)</f>
        <v>0.7243151010191311</v>
      </c>
      <c r="R2375" s="173">
        <f t="shared" si="122"/>
        <v>0</v>
      </c>
    </row>
    <row r="2376" spans="1:18" ht="14" hidden="1">
      <c r="A2376" s="78" t="s">
        <v>2833</v>
      </c>
      <c r="B2376" s="220" t="s">
        <v>1082</v>
      </c>
      <c r="C2376" s="185"/>
      <c r="D2376" s="103" t="str">
        <f>VLOOKUP(B2376, 'All Menu'!B:M, 4, 0)</f>
        <v>سلطة كولسو عائلي</v>
      </c>
      <c r="E2376" s="30" t="str">
        <f>VLOOKUP(B2376, 'All Menu'!B:M, 2, 0)</f>
        <v>قسم المقبلات</v>
      </c>
      <c r="F2376" s="103" t="str">
        <f>VLOOKUP(B2376, 'All Menu'!B:M, 3, 0)</f>
        <v>سلطات سفري</v>
      </c>
      <c r="G2376" s="90" t="s">
        <v>2256</v>
      </c>
      <c r="H2376" s="188">
        <v>4574</v>
      </c>
      <c r="I2376" s="110" t="str">
        <f>VLOOKUP(H2376, 'RM &amp; SF'!B:H, 2, 0)</f>
        <v>عصير برتقال طازج 2.5 لتر*****</v>
      </c>
      <c r="J2376" s="184" t="str">
        <f>VLOOKUP(H2376, 'RM &amp; SF'!B:E, 4, 0)</f>
        <v>مل</v>
      </c>
      <c r="K2376" s="12">
        <v>30</v>
      </c>
      <c r="L2376" s="13">
        <f>VLOOKUP(H2376, 'RM &amp; SF'!B:H, 7, 0)</f>
        <v>2E-3</v>
      </c>
      <c r="M2376" s="7">
        <f t="shared" si="123"/>
        <v>0.06</v>
      </c>
      <c r="N2376" s="4" t="s">
        <v>825</v>
      </c>
      <c r="O2376" s="4">
        <f>VLOOKUP(B2376, 'All Menu'!B:L, 6, 0)</f>
        <v>10.129310344827587</v>
      </c>
      <c r="P2376" s="6">
        <f>VLOOKUP(B2376, 'All Menu'!B:L, 9, 0)</f>
        <v>2.7924978991596636</v>
      </c>
      <c r="Q2376" s="14">
        <f>VLOOKUP(B2376, 'All Menu'!B:M, 12, 0)</f>
        <v>0.7243151010191311</v>
      </c>
      <c r="R2376" s="173">
        <f t="shared" si="122"/>
        <v>0</v>
      </c>
    </row>
    <row r="2377" spans="1:18" ht="14" hidden="1">
      <c r="A2377" s="78" t="s">
        <v>2833</v>
      </c>
      <c r="B2377" s="220" t="s">
        <v>1082</v>
      </c>
      <c r="C2377" s="185"/>
      <c r="D2377" s="103" t="str">
        <f>VLOOKUP(B2377, 'All Menu'!B:M, 4, 0)</f>
        <v>سلطة كولسو عائلي</v>
      </c>
      <c r="E2377" s="30" t="str">
        <f>VLOOKUP(B2377, 'All Menu'!B:M, 2, 0)</f>
        <v>قسم المقبلات</v>
      </c>
      <c r="F2377" s="103" t="str">
        <f>VLOOKUP(B2377, 'All Menu'!B:M, 3, 0)</f>
        <v>سلطات سفري</v>
      </c>
      <c r="G2377" s="90" t="s">
        <v>2271</v>
      </c>
      <c r="H2377" s="188">
        <v>4034</v>
      </c>
      <c r="I2377" s="110" t="str">
        <f>VLOOKUP(H2377, 'RM &amp; SF'!B:H, 2, 0)</f>
        <v>اناناس شرائح 565 غم*****</v>
      </c>
      <c r="J2377" s="184" t="str">
        <f>VLOOKUP(H2377, 'RM &amp; SF'!B:E, 4, 0)</f>
        <v>غم</v>
      </c>
      <c r="K2377" s="12">
        <v>30</v>
      </c>
      <c r="L2377" s="13">
        <f>VLOOKUP(H2377, 'RM &amp; SF'!B:H, 7, 0)</f>
        <v>1.5983193277310924E-3</v>
      </c>
      <c r="M2377" s="7">
        <f t="shared" si="123"/>
        <v>4.7949579831932772E-2</v>
      </c>
      <c r="N2377" s="4" t="s">
        <v>825</v>
      </c>
      <c r="O2377" s="4">
        <f>VLOOKUP(B2377, 'All Menu'!B:L, 6, 0)</f>
        <v>10.129310344827587</v>
      </c>
      <c r="P2377" s="6">
        <f>VLOOKUP(B2377, 'All Menu'!B:L, 9, 0)</f>
        <v>2.7924978991596636</v>
      </c>
      <c r="Q2377" s="14">
        <f>VLOOKUP(B2377, 'All Menu'!B:M, 12, 0)</f>
        <v>0.7243151010191311</v>
      </c>
      <c r="R2377" s="173">
        <f t="shared" si="122"/>
        <v>0</v>
      </c>
    </row>
    <row r="2378" spans="1:18" ht="14" hidden="1">
      <c r="A2378" s="78" t="s">
        <v>2833</v>
      </c>
      <c r="B2378" s="220" t="s">
        <v>1082</v>
      </c>
      <c r="C2378" s="185"/>
      <c r="D2378" s="103" t="str">
        <f>VLOOKUP(B2378, 'All Menu'!B:M, 4, 0)</f>
        <v>سلطة كولسو عائلي</v>
      </c>
      <c r="E2378" s="30" t="str">
        <f>VLOOKUP(B2378, 'All Menu'!B:M, 2, 0)</f>
        <v>قسم المقبلات</v>
      </c>
      <c r="F2378" s="103" t="str">
        <f>VLOOKUP(B2378, 'All Menu'!B:M, 3, 0)</f>
        <v>سلطات سفري</v>
      </c>
      <c r="G2378" s="90" t="s">
        <v>3058</v>
      </c>
      <c r="H2378" s="188">
        <v>4416</v>
      </c>
      <c r="I2378" s="110" t="str">
        <f>VLOOKUP(H2378, 'RM &amp; SF'!B:H, 2, 0)</f>
        <v>صحن شوربة بورسلين ابيض 20 سم (8 انش)*****</v>
      </c>
      <c r="J2378" s="184" t="str">
        <f>VLOOKUP(H2378, 'RM &amp; SF'!B:E, 4, 0)</f>
        <v>قطعة</v>
      </c>
      <c r="K2378" s="12">
        <v>1</v>
      </c>
      <c r="L2378" s="13">
        <f>VLOOKUP(H2378, 'RM &amp; SF'!B:H, 7, 0)</f>
        <v>1.45</v>
      </c>
      <c r="M2378" s="7">
        <f t="shared" si="123"/>
        <v>1.45</v>
      </c>
      <c r="N2378" s="4" t="s">
        <v>825</v>
      </c>
      <c r="O2378" s="4">
        <f>VLOOKUP(B2378, 'All Menu'!B:L, 6, 0)</f>
        <v>10.129310344827587</v>
      </c>
      <c r="P2378" s="6">
        <f>VLOOKUP(B2378, 'All Menu'!B:L, 9, 0)</f>
        <v>2.7924978991596636</v>
      </c>
      <c r="Q2378" s="14">
        <f>VLOOKUP(B2378, 'All Menu'!B:M, 12, 0)</f>
        <v>0.7243151010191311</v>
      </c>
      <c r="R2378" s="173">
        <f t="shared" si="122"/>
        <v>0</v>
      </c>
    </row>
    <row r="2379" spans="1:18" ht="14" hidden="1">
      <c r="A2379" s="78" t="s">
        <v>2806</v>
      </c>
      <c r="B2379" s="220" t="s">
        <v>1083</v>
      </c>
      <c r="C2379" s="185"/>
      <c r="D2379" s="103" t="str">
        <f>VLOOKUP(B2379, 'All Menu'!B:M, 4, 0)</f>
        <v>دقوس صغير</v>
      </c>
      <c r="E2379" s="30" t="str">
        <f>VLOOKUP(B2379, 'All Menu'!B:M, 2, 0)</f>
        <v>قسم المقبلات</v>
      </c>
      <c r="F2379" s="103" t="str">
        <f>VLOOKUP(B2379, 'All Menu'!B:M, 3, 0)</f>
        <v>المقبلات سفري</v>
      </c>
      <c r="G2379" s="90" t="s">
        <v>2329</v>
      </c>
      <c r="H2379" s="219" t="s">
        <v>512</v>
      </c>
      <c r="I2379" s="110" t="str">
        <f>VLOOKUP(H2379, 'RM &amp; SF'!B:H, 2, 0)</f>
        <v>خلطة دقوس</v>
      </c>
      <c r="J2379" s="184" t="str">
        <f>VLOOKUP(H2379, 'RM &amp; SF'!B:E, 4, 0)</f>
        <v>غم</v>
      </c>
      <c r="K2379" s="12">
        <v>150</v>
      </c>
      <c r="L2379" s="13">
        <f>VLOOKUP(H2379, 'RM &amp; SF'!B:H, 7, 0)</f>
        <v>7.5544490740740743E-4</v>
      </c>
      <c r="M2379" s="7">
        <f t="shared" si="123"/>
        <v>0.11331673611111112</v>
      </c>
      <c r="N2379" s="4" t="s">
        <v>825</v>
      </c>
      <c r="O2379" s="4">
        <f>VLOOKUP(B2379, 'All Menu'!B:L, 6, 0)</f>
        <v>0.34482758620689657</v>
      </c>
      <c r="P2379" s="6">
        <f>VLOOKUP(B2379, 'All Menu'!B:L, 9, 0)</f>
        <v>0.12825673611111113</v>
      </c>
      <c r="Q2379" s="14">
        <f>VLOOKUP(B2379, 'All Menu'!B:M, 12, 0)</f>
        <v>0.62805546527777778</v>
      </c>
      <c r="R2379" s="173">
        <f t="shared" si="122"/>
        <v>0</v>
      </c>
    </row>
    <row r="2380" spans="1:18" ht="14" hidden="1">
      <c r="A2380" s="78" t="s">
        <v>2806</v>
      </c>
      <c r="B2380" s="220" t="s">
        <v>1083</v>
      </c>
      <c r="C2380" s="185"/>
      <c r="D2380" s="103" t="str">
        <f>VLOOKUP(B2380, 'All Menu'!B:M, 4, 0)</f>
        <v>دقوس صغير</v>
      </c>
      <c r="E2380" s="30" t="str">
        <f>VLOOKUP(B2380, 'All Menu'!B:M, 2, 0)</f>
        <v>قسم المقبلات</v>
      </c>
      <c r="F2380" s="103" t="str">
        <f>VLOOKUP(B2380, 'All Menu'!B:M, 3, 0)</f>
        <v>المقبلات سفري</v>
      </c>
      <c r="G2380" s="90" t="s">
        <v>3058</v>
      </c>
      <c r="H2380" s="188">
        <v>4285</v>
      </c>
      <c r="I2380" s="110" t="str">
        <f>VLOOKUP(H2380, 'RM &amp; SF'!B:H, 2, 0)</f>
        <v>علب بلاستيك مربع متصل 150 مل*****</v>
      </c>
      <c r="J2380" s="184" t="str">
        <f>VLOOKUP(H2380, 'RM &amp; SF'!B:E, 4, 0)</f>
        <v>قطعة</v>
      </c>
      <c r="K2380" s="12">
        <v>1</v>
      </c>
      <c r="L2380" s="13">
        <f>VLOOKUP(H2380, 'RM &amp; SF'!B:H, 7, 0)</f>
        <v>1.494E-2</v>
      </c>
      <c r="M2380" s="7">
        <f t="shared" si="123"/>
        <v>1.494E-2</v>
      </c>
      <c r="N2380" s="4" t="s">
        <v>825</v>
      </c>
      <c r="O2380" s="4">
        <f>VLOOKUP(B2380, 'All Menu'!B:L, 6, 0)</f>
        <v>0.34482758620689657</v>
      </c>
      <c r="P2380" s="6">
        <f>VLOOKUP(B2380, 'All Menu'!B:L, 9, 0)</f>
        <v>0.12825673611111113</v>
      </c>
      <c r="Q2380" s="14">
        <f>VLOOKUP(B2380, 'All Menu'!B:M, 12, 0)</f>
        <v>0.62805546527777778</v>
      </c>
      <c r="R2380" s="173">
        <f t="shared" si="122"/>
        <v>0</v>
      </c>
    </row>
    <row r="2381" spans="1:18" ht="14" hidden="1">
      <c r="A2381" s="78" t="s">
        <v>2804</v>
      </c>
      <c r="B2381" s="220" t="s">
        <v>1100</v>
      </c>
      <c r="C2381" s="185"/>
      <c r="D2381" s="103" t="str">
        <f>VLOOKUP(B2381, 'All Menu'!B:M, 4, 0)</f>
        <v>علبة مثومة</v>
      </c>
      <c r="E2381" s="30" t="str">
        <f>VLOOKUP(B2381, 'All Menu'!B:M, 2, 0)</f>
        <v>قسم المقبلات</v>
      </c>
      <c r="F2381" s="103" t="str">
        <f>VLOOKUP(B2381, 'All Menu'!B:M, 3, 0)</f>
        <v>المقبلات سفري</v>
      </c>
      <c r="G2381" s="90" t="s">
        <v>2325</v>
      </c>
      <c r="H2381" s="219" t="s">
        <v>534</v>
      </c>
      <c r="I2381" s="110" t="str">
        <f>VLOOKUP(H2381, 'RM &amp; SF'!B:H, 2, 0)</f>
        <v>مثومه</v>
      </c>
      <c r="J2381" s="184" t="str">
        <f>VLOOKUP(H2381, 'RM &amp; SF'!B:E, 4, 0)</f>
        <v>غم</v>
      </c>
      <c r="K2381" s="12">
        <v>150</v>
      </c>
      <c r="L2381" s="13">
        <f>VLOOKUP(H2381, 'RM &amp; SF'!B:H, 7, 0)</f>
        <v>6.6564092227821051E-4</v>
      </c>
      <c r="M2381" s="7">
        <f t="shared" si="123"/>
        <v>9.9846138341731575E-2</v>
      </c>
      <c r="N2381" s="4" t="s">
        <v>825</v>
      </c>
      <c r="O2381" s="4">
        <f>VLOOKUP(B2381, 'All Menu'!B:L, 6, 0)</f>
        <v>0.64655172413793105</v>
      </c>
      <c r="P2381" s="6">
        <f>VLOOKUP(B2381, 'All Menu'!B:L, 9, 0)</f>
        <v>0.11478613834173157</v>
      </c>
      <c r="Q2381" s="14">
        <f>VLOOKUP(B2381, 'All Menu'!B:M, 12, 0)</f>
        <v>0.82246410603145514</v>
      </c>
      <c r="R2381" s="173">
        <f t="shared" si="122"/>
        <v>0</v>
      </c>
    </row>
    <row r="2382" spans="1:18" ht="14" hidden="1">
      <c r="A2382" s="78" t="s">
        <v>2804</v>
      </c>
      <c r="B2382" s="220" t="s">
        <v>1100</v>
      </c>
      <c r="C2382" s="185"/>
      <c r="D2382" s="103" t="str">
        <f>VLOOKUP(B2382, 'All Menu'!B:M, 4, 0)</f>
        <v>علبة مثومة</v>
      </c>
      <c r="E2382" s="30" t="str">
        <f>VLOOKUP(B2382, 'All Menu'!B:M, 2, 0)</f>
        <v>قسم المقبلات</v>
      </c>
      <c r="F2382" s="103" t="str">
        <f>VLOOKUP(B2382, 'All Menu'!B:M, 3, 0)</f>
        <v>المقبلات سفري</v>
      </c>
      <c r="G2382" s="90" t="s">
        <v>3058</v>
      </c>
      <c r="H2382" s="188">
        <v>4285</v>
      </c>
      <c r="I2382" s="110" t="str">
        <f>VLOOKUP(H2382, 'RM &amp; SF'!B:H, 2, 0)</f>
        <v>علب بلاستيك مربع متصل 150 مل*****</v>
      </c>
      <c r="J2382" s="184" t="str">
        <f>VLOOKUP(H2382, 'RM &amp; SF'!B:E, 4, 0)</f>
        <v>قطعة</v>
      </c>
      <c r="K2382" s="12">
        <v>1</v>
      </c>
      <c r="L2382" s="13">
        <f>VLOOKUP(H2382, 'RM &amp; SF'!B:H, 7, 0)</f>
        <v>1.494E-2</v>
      </c>
      <c r="M2382" s="7">
        <f t="shared" si="123"/>
        <v>1.494E-2</v>
      </c>
      <c r="N2382" s="4" t="s">
        <v>825</v>
      </c>
      <c r="O2382" s="4">
        <f>VLOOKUP(B2382, 'All Menu'!B:L, 6, 0)</f>
        <v>0.64655172413793105</v>
      </c>
      <c r="P2382" s="6">
        <f>VLOOKUP(B2382, 'All Menu'!B:L, 9, 0)</f>
        <v>0.11478613834173157</v>
      </c>
      <c r="Q2382" s="14">
        <f>VLOOKUP(B2382, 'All Menu'!B:M, 12, 0)</f>
        <v>0.82246410603145514</v>
      </c>
      <c r="R2382" s="173">
        <f t="shared" si="122"/>
        <v>0</v>
      </c>
    </row>
    <row r="2383" spans="1:18" ht="14" hidden="1">
      <c r="A2383" s="78" t="s">
        <v>2827</v>
      </c>
      <c r="B2383" s="220" t="s">
        <v>1080</v>
      </c>
      <c r="C2383" s="185"/>
      <c r="D2383" s="103" t="str">
        <f>VLOOKUP(B2383, 'All Menu'!B:M, 4, 0)</f>
        <v>سيزر دجاج عائلي</v>
      </c>
      <c r="E2383" s="30" t="str">
        <f>VLOOKUP(B2383, 'All Menu'!B:M, 2, 0)</f>
        <v>قسم المقبلات</v>
      </c>
      <c r="F2383" s="103" t="str">
        <f>VLOOKUP(B2383, 'All Menu'!B:M, 3, 0)</f>
        <v>سلطات سفري</v>
      </c>
      <c r="G2383" s="90" t="s">
        <v>2241</v>
      </c>
      <c r="H2383" s="188">
        <v>4518</v>
      </c>
      <c r="I2383" s="110" t="str">
        <f>VLOOKUP(H2383, 'RM &amp; SF'!B:H, 2, 0)</f>
        <v>خس ايسبرغ*****</v>
      </c>
      <c r="J2383" s="184" t="str">
        <f>VLOOKUP(H2383, 'RM &amp; SF'!B:E, 4, 0)</f>
        <v>غم</v>
      </c>
      <c r="K2383" s="12">
        <v>800</v>
      </c>
      <c r="L2383" s="13">
        <f>VLOOKUP(H2383, 'RM &amp; SF'!B:H, 7, 0)</f>
        <v>7.5000000000000002E-4</v>
      </c>
      <c r="M2383" s="7">
        <f t="shared" si="123"/>
        <v>0.6</v>
      </c>
      <c r="N2383" s="4" t="s">
        <v>825</v>
      </c>
      <c r="O2383" s="4">
        <f>VLOOKUP(B2383, 'All Menu'!B:L, 6, 0)</f>
        <v>14.439655172413794</v>
      </c>
      <c r="P2383" s="6">
        <f>VLOOKUP(B2383, 'All Menu'!B:L, 9, 0)</f>
        <v>10.071963464285714</v>
      </c>
      <c r="Q2383" s="14">
        <f>VLOOKUP(B2383, 'All Menu'!B:M, 12, 0)</f>
        <v>0.30247894814498938</v>
      </c>
      <c r="R2383" s="173">
        <f t="shared" si="122"/>
        <v>0</v>
      </c>
    </row>
    <row r="2384" spans="1:18" ht="14" hidden="1">
      <c r="A2384" s="78" t="s">
        <v>2827</v>
      </c>
      <c r="B2384" s="220" t="s">
        <v>1080</v>
      </c>
      <c r="C2384" s="185"/>
      <c r="D2384" s="103" t="str">
        <f>VLOOKUP(B2384, 'All Menu'!B:M, 4, 0)</f>
        <v>سيزر دجاج عائلي</v>
      </c>
      <c r="E2384" s="30" t="str">
        <f>VLOOKUP(B2384, 'All Menu'!B:M, 2, 0)</f>
        <v>قسم المقبلات</v>
      </c>
      <c r="F2384" s="103" t="str">
        <f>VLOOKUP(B2384, 'All Menu'!B:M, 3, 0)</f>
        <v>سلطات سفري</v>
      </c>
      <c r="G2384" s="90" t="s">
        <v>3058</v>
      </c>
      <c r="H2384" s="188">
        <v>4516</v>
      </c>
      <c r="I2384" s="110" t="str">
        <f>VLOOKUP(H2384, 'RM &amp; SF'!B:H, 2, 0)</f>
        <v>بندورة كرزية (بندورة شري)*****</v>
      </c>
      <c r="J2384" s="184" t="str">
        <f>VLOOKUP(H2384, 'RM &amp; SF'!B:E, 4, 0)</f>
        <v>غم</v>
      </c>
      <c r="K2384" s="12">
        <v>80</v>
      </c>
      <c r="L2384" s="13">
        <f>VLOOKUP(H2384, 'RM &amp; SF'!B:H, 7, 0)</f>
        <v>1.8749999999999999E-3</v>
      </c>
      <c r="M2384" s="7">
        <f t="shared" si="123"/>
        <v>0.15</v>
      </c>
      <c r="N2384" s="4" t="s">
        <v>825</v>
      </c>
      <c r="O2384" s="4">
        <f>VLOOKUP(B2384, 'All Menu'!B:L, 6, 0)</f>
        <v>14.439655172413794</v>
      </c>
      <c r="P2384" s="6">
        <f>VLOOKUP(B2384, 'All Menu'!B:L, 9, 0)</f>
        <v>10.071963464285714</v>
      </c>
      <c r="Q2384" s="14">
        <f>VLOOKUP(B2384, 'All Menu'!B:M, 12, 0)</f>
        <v>0.30247894814498938</v>
      </c>
      <c r="R2384" s="173">
        <f t="shared" si="122"/>
        <v>0</v>
      </c>
    </row>
    <row r="2385" spans="1:18" ht="14" hidden="1">
      <c r="A2385" s="78" t="s">
        <v>2827</v>
      </c>
      <c r="B2385" s="220" t="s">
        <v>1080</v>
      </c>
      <c r="C2385" s="185"/>
      <c r="D2385" s="103" t="str">
        <f>VLOOKUP(B2385, 'All Menu'!B:M, 4, 0)</f>
        <v>سيزر دجاج عائلي</v>
      </c>
      <c r="E2385" s="30" t="str">
        <f>VLOOKUP(B2385, 'All Menu'!B:M, 2, 0)</f>
        <v>قسم المقبلات</v>
      </c>
      <c r="F2385" s="103" t="str">
        <f>VLOOKUP(B2385, 'All Menu'!B:M, 3, 0)</f>
        <v>سلطات سفري</v>
      </c>
      <c r="G2385" s="90" t="s">
        <v>2308</v>
      </c>
      <c r="H2385" s="188">
        <v>4787</v>
      </c>
      <c r="I2385" s="110" t="str">
        <f>VLOOKUP(H2385, 'RM &amp; SF'!B:H, 2, 0)</f>
        <v>خبز التوست بالحليب مشرح 600 غم*****</v>
      </c>
      <c r="J2385" s="184" t="str">
        <f>VLOOKUP(H2385, 'RM &amp; SF'!B:E, 4, 0)</f>
        <v>غم</v>
      </c>
      <c r="K2385" s="12">
        <v>80</v>
      </c>
      <c r="L2385" s="13">
        <f>VLOOKUP(H2385, 'RM &amp; SF'!B:H, 7, 0)</f>
        <v>2.08333E-3</v>
      </c>
      <c r="M2385" s="7">
        <f t="shared" si="123"/>
        <v>0.16666639999999999</v>
      </c>
      <c r="N2385" s="4" t="s">
        <v>825</v>
      </c>
      <c r="O2385" s="4">
        <f>VLOOKUP(B2385, 'All Menu'!B:L, 6, 0)</f>
        <v>14.439655172413794</v>
      </c>
      <c r="P2385" s="6">
        <f>VLOOKUP(B2385, 'All Menu'!B:L, 9, 0)</f>
        <v>10.071963464285714</v>
      </c>
      <c r="Q2385" s="14">
        <f>VLOOKUP(B2385, 'All Menu'!B:M, 12, 0)</f>
        <v>0.30247894814498938</v>
      </c>
      <c r="R2385" s="173">
        <f t="shared" si="122"/>
        <v>0</v>
      </c>
    </row>
    <row r="2386" spans="1:18" ht="14" hidden="1">
      <c r="A2386" s="78" t="s">
        <v>2827</v>
      </c>
      <c r="B2386" s="220" t="s">
        <v>1080</v>
      </c>
      <c r="C2386" s="185"/>
      <c r="D2386" s="103" t="str">
        <f>VLOOKUP(B2386, 'All Menu'!B:M, 4, 0)</f>
        <v>سيزر دجاج عائلي</v>
      </c>
      <c r="E2386" s="30" t="str">
        <f>VLOOKUP(B2386, 'All Menu'!B:M, 2, 0)</f>
        <v>قسم المقبلات</v>
      </c>
      <c r="F2386" s="103" t="str">
        <f>VLOOKUP(B2386, 'All Menu'!B:M, 3, 0)</f>
        <v>سلطات سفري</v>
      </c>
      <c r="G2386" s="90" t="s">
        <v>2406</v>
      </c>
      <c r="H2386" s="219" t="s">
        <v>518</v>
      </c>
      <c r="I2386" s="110" t="str">
        <f>VLOOKUP(H2386, 'RM &amp; SF'!B:H, 2, 0)</f>
        <v>صوص سيزار</v>
      </c>
      <c r="J2386" s="184" t="str">
        <f>VLOOKUP(H2386, 'RM &amp; SF'!B:E, 4, 0)</f>
        <v>غم</v>
      </c>
      <c r="K2386" s="12">
        <v>200</v>
      </c>
      <c r="L2386" s="13">
        <f>VLOOKUP(H2386, 'RM &amp; SF'!B:H, 7, 0)</f>
        <v>3.8209876190476188E-3</v>
      </c>
      <c r="M2386" s="7">
        <f t="shared" si="123"/>
        <v>0.76419752380952377</v>
      </c>
      <c r="N2386" s="4" t="s">
        <v>825</v>
      </c>
      <c r="O2386" s="4">
        <f>VLOOKUP(B2386, 'All Menu'!B:L, 6, 0)</f>
        <v>14.439655172413794</v>
      </c>
      <c r="P2386" s="6">
        <f>VLOOKUP(B2386, 'All Menu'!B:L, 9, 0)</f>
        <v>10.071963464285714</v>
      </c>
      <c r="Q2386" s="14">
        <f>VLOOKUP(B2386, 'All Menu'!B:M, 12, 0)</f>
        <v>0.30247894814498938</v>
      </c>
      <c r="R2386" s="173">
        <f t="shared" si="122"/>
        <v>0</v>
      </c>
    </row>
    <row r="2387" spans="1:18" ht="14" hidden="1">
      <c r="A2387" s="78" t="s">
        <v>2827</v>
      </c>
      <c r="B2387" s="220" t="s">
        <v>1080</v>
      </c>
      <c r="C2387" s="185"/>
      <c r="D2387" s="103" t="str">
        <f>VLOOKUP(B2387, 'All Menu'!B:M, 4, 0)</f>
        <v>سيزر دجاج عائلي</v>
      </c>
      <c r="E2387" s="30" t="str">
        <f>VLOOKUP(B2387, 'All Menu'!B:M, 2, 0)</f>
        <v>قسم المقبلات</v>
      </c>
      <c r="F2387" s="103" t="str">
        <f>VLOOKUP(B2387, 'All Menu'!B:M, 3, 0)</f>
        <v>سلطات سفري</v>
      </c>
      <c r="G2387" s="90" t="s">
        <v>2179</v>
      </c>
      <c r="H2387" s="188">
        <v>4560</v>
      </c>
      <c r="I2387" s="110" t="str">
        <f>VLOOKUP(H2387, 'RM &amp; SF'!B:H, 2, 0)</f>
        <v>جبنة بارميزان قالب*****</v>
      </c>
      <c r="J2387" s="184" t="str">
        <f>VLOOKUP(H2387, 'RM &amp; SF'!B:E, 4, 0)</f>
        <v>غم</v>
      </c>
      <c r="K2387" s="12">
        <v>100</v>
      </c>
      <c r="L2387" s="13">
        <f>VLOOKUP(H2387, 'RM &amp; SF'!B:H, 7, 0)</f>
        <v>6.5100000000000002E-3</v>
      </c>
      <c r="M2387" s="7">
        <f t="shared" si="123"/>
        <v>0.65100000000000002</v>
      </c>
      <c r="N2387" s="4" t="s">
        <v>825</v>
      </c>
      <c r="O2387" s="4">
        <f>VLOOKUP(B2387, 'All Menu'!B:L, 6, 0)</f>
        <v>14.439655172413794</v>
      </c>
      <c r="P2387" s="6">
        <f>VLOOKUP(B2387, 'All Menu'!B:L, 9, 0)</f>
        <v>10.071963464285714</v>
      </c>
      <c r="Q2387" s="14">
        <f>VLOOKUP(B2387, 'All Menu'!B:M, 12, 0)</f>
        <v>0.30247894814498938</v>
      </c>
      <c r="R2387" s="173">
        <f t="shared" ref="R2387:R2437" si="126">C2387*K2387</f>
        <v>0</v>
      </c>
    </row>
    <row r="2388" spans="1:18" ht="14" hidden="1">
      <c r="A2388" s="78" t="s">
        <v>2827</v>
      </c>
      <c r="B2388" s="220" t="s">
        <v>1080</v>
      </c>
      <c r="C2388" s="185"/>
      <c r="D2388" s="103" t="str">
        <f>VLOOKUP(B2388, 'All Menu'!B:M, 4, 0)</f>
        <v>سيزر دجاج عائلي</v>
      </c>
      <c r="E2388" s="30" t="str">
        <f>VLOOKUP(B2388, 'All Menu'!B:M, 2, 0)</f>
        <v>قسم المقبلات</v>
      </c>
      <c r="F2388" s="103" t="str">
        <f>VLOOKUP(B2388, 'All Menu'!B:M, 3, 0)</f>
        <v>سلطات سفري</v>
      </c>
      <c r="G2388" s="90" t="s">
        <v>3058</v>
      </c>
      <c r="H2388" s="188">
        <v>5386</v>
      </c>
      <c r="I2388" s="110" t="str">
        <f>VLOOKUP(H2388, 'RM &amp; SF'!B:H, 2, 0)</f>
        <v>مسحب الطاحونة - طلبات مارت</v>
      </c>
      <c r="J2388" s="184" t="str">
        <f>VLOOKUP(H2388, 'RM &amp; SF'!B:E, 4, 0)</f>
        <v>غم</v>
      </c>
      <c r="K2388" s="12">
        <v>300</v>
      </c>
      <c r="L2388" s="13">
        <f>VLOOKUP(H2388, 'RM &amp; SF'!B:H, 7, 0)</f>
        <v>4.2000000000000006E-3</v>
      </c>
      <c r="M2388" s="7">
        <f t="shared" si="123"/>
        <v>1.2600000000000002</v>
      </c>
      <c r="N2388" s="4" t="s">
        <v>825</v>
      </c>
      <c r="O2388" s="4">
        <f>VLOOKUP(B2388, 'All Menu'!B:L, 6, 0)</f>
        <v>14.439655172413794</v>
      </c>
      <c r="P2388" s="6">
        <f>VLOOKUP(B2388, 'All Menu'!B:L, 9, 0)</f>
        <v>10.071963464285714</v>
      </c>
      <c r="Q2388" s="14">
        <f>VLOOKUP(B2388, 'All Menu'!B:M, 12, 0)</f>
        <v>0.30247894814498938</v>
      </c>
      <c r="R2388" s="173">
        <f t="shared" si="126"/>
        <v>0</v>
      </c>
    </row>
    <row r="2389" spans="1:18" ht="14" hidden="1">
      <c r="A2389" s="78" t="s">
        <v>2827</v>
      </c>
      <c r="B2389" s="220" t="s">
        <v>1080</v>
      </c>
      <c r="C2389" s="185"/>
      <c r="D2389" s="103" t="str">
        <f>VLOOKUP(B2389, 'All Menu'!B:M, 4, 0)</f>
        <v>سيزر دجاج عائلي</v>
      </c>
      <c r="E2389" s="30" t="str">
        <f>VLOOKUP(B2389, 'All Menu'!B:M, 2, 0)</f>
        <v>قسم المقبلات</v>
      </c>
      <c r="F2389" s="103" t="str">
        <f>VLOOKUP(B2389, 'All Menu'!B:M, 3, 0)</f>
        <v>سلطات سفري</v>
      </c>
      <c r="G2389" s="90" t="s">
        <v>3058</v>
      </c>
      <c r="H2389" s="188">
        <v>4416</v>
      </c>
      <c r="I2389" s="110" t="str">
        <f>VLOOKUP(H2389, 'RM &amp; SF'!B:H, 2, 0)</f>
        <v>صحن شوربة بورسلين ابيض 20 سم (8 انش)*****</v>
      </c>
      <c r="J2389" s="184" t="str">
        <f>VLOOKUP(H2389, 'RM &amp; SF'!B:E, 4, 0)</f>
        <v>قطعة</v>
      </c>
      <c r="K2389" s="12">
        <v>1</v>
      </c>
      <c r="L2389" s="13">
        <f>VLOOKUP(H2389, 'RM &amp; SF'!B:H, 7, 0)</f>
        <v>1.45</v>
      </c>
      <c r="M2389" s="7">
        <f t="shared" ref="M2389:M2439" si="127">L2389*K2389</f>
        <v>1.45</v>
      </c>
      <c r="N2389" s="4" t="s">
        <v>825</v>
      </c>
      <c r="O2389" s="4">
        <f>VLOOKUP(B2389, 'All Menu'!B:L, 6, 0)</f>
        <v>14.439655172413794</v>
      </c>
      <c r="P2389" s="6">
        <f>VLOOKUP(B2389, 'All Menu'!B:L, 9, 0)</f>
        <v>10.071963464285714</v>
      </c>
      <c r="Q2389" s="14">
        <f>VLOOKUP(B2389, 'All Menu'!B:M, 12, 0)</f>
        <v>0.30247894814498938</v>
      </c>
      <c r="R2389" s="173">
        <f t="shared" si="126"/>
        <v>0</v>
      </c>
    </row>
    <row r="2390" spans="1:18" ht="14" hidden="1">
      <c r="A2390" s="78" t="s">
        <v>2409</v>
      </c>
      <c r="B2390" s="220" t="s">
        <v>1179</v>
      </c>
      <c r="C2390" s="185"/>
      <c r="D2390" s="198" t="str">
        <f>VLOOKUP(B2390, 'All Menu'!B:M, 4, 0)</f>
        <v>علبة مخلل</v>
      </c>
      <c r="E2390" s="30" t="str">
        <f>VLOOKUP(B2390, 'All Menu'!B:M, 2, 0)</f>
        <v>قسم المقبلات</v>
      </c>
      <c r="F2390" s="103" t="str">
        <f>VLOOKUP(B2390, 'All Menu'!B:M, 3, 0)</f>
        <v>المقبلات سفري</v>
      </c>
      <c r="G2390" s="90" t="s">
        <v>2409</v>
      </c>
      <c r="H2390" s="219" t="s">
        <v>578</v>
      </c>
      <c r="I2390" s="110" t="str">
        <f>VLOOKUP(H2390, 'RM &amp; SF'!B:H, 2, 0)</f>
        <v>علبة مخلل</v>
      </c>
      <c r="J2390" s="184" t="str">
        <f>VLOOKUP(H2390, 'RM &amp; SF'!B:E, 4, 0)</f>
        <v>قطعة</v>
      </c>
      <c r="K2390" s="12">
        <v>1</v>
      </c>
      <c r="L2390" s="13">
        <f>VLOOKUP(H2390, 'RM &amp; SF'!B:H, 7, 0)</f>
        <v>6.0440000000000001E-2</v>
      </c>
      <c r="M2390" s="7">
        <f t="shared" si="127"/>
        <v>6.0440000000000001E-2</v>
      </c>
      <c r="N2390" s="4" t="s">
        <v>825</v>
      </c>
      <c r="O2390" s="4">
        <f>VLOOKUP(B2390, 'All Menu'!B:L, 6, 0)</f>
        <v>0.21551724137931036</v>
      </c>
      <c r="P2390" s="6">
        <f>VLOOKUP(B2390, 'All Menu'!B:L, 9, 0)</f>
        <v>6.0440000000000001E-2</v>
      </c>
      <c r="Q2390" s="14">
        <f>VLOOKUP(B2390, 'All Menu'!B:M, 12, 0)</f>
        <v>0.71955840000000004</v>
      </c>
      <c r="R2390" s="173">
        <f t="shared" si="126"/>
        <v>0</v>
      </c>
    </row>
    <row r="2391" spans="1:18" ht="14" hidden="1">
      <c r="A2391" s="78" t="s">
        <v>2815</v>
      </c>
      <c r="B2391" s="220" t="s">
        <v>1180</v>
      </c>
      <c r="C2391" s="185"/>
      <c r="D2391" s="103" t="str">
        <f>VLOOKUP(B2391, 'All Menu'!B:M, 4, 0)</f>
        <v>علبة مثومة صغيرة</v>
      </c>
      <c r="E2391" s="30" t="str">
        <f>VLOOKUP(B2391, 'All Menu'!B:M, 2, 0)</f>
        <v>قسم المقبلات</v>
      </c>
      <c r="F2391" s="103" t="str">
        <f>VLOOKUP(B2391, 'All Menu'!B:M, 3, 0)</f>
        <v>المقبلات سفري</v>
      </c>
      <c r="G2391" s="90" t="s">
        <v>2325</v>
      </c>
      <c r="H2391" s="219" t="s">
        <v>534</v>
      </c>
      <c r="I2391" s="110" t="str">
        <f>VLOOKUP(H2391, 'RM &amp; SF'!B:H, 2, 0)</f>
        <v>مثومه</v>
      </c>
      <c r="J2391" s="184" t="str">
        <f>VLOOKUP(H2391, 'RM &amp; SF'!B:E, 4, 0)</f>
        <v>غم</v>
      </c>
      <c r="K2391" s="12">
        <v>30</v>
      </c>
      <c r="L2391" s="13">
        <f>VLOOKUP(H2391, 'RM &amp; SF'!B:H, 7, 0)</f>
        <v>6.6564092227821051E-4</v>
      </c>
      <c r="M2391" s="7">
        <f t="shared" si="127"/>
        <v>1.9969227668346315E-2</v>
      </c>
      <c r="N2391" s="4" t="s">
        <v>825</v>
      </c>
      <c r="O2391" s="4">
        <f>VLOOKUP(B2391, 'All Menu'!B:L, 6, 0)</f>
        <v>0.21551724137931036</v>
      </c>
      <c r="P2391" s="6">
        <f>VLOOKUP(B2391, 'All Menu'!B:L, 9, 0)</f>
        <v>8.0269227668346321E-2</v>
      </c>
      <c r="Q2391" s="14">
        <f>VLOOKUP(B2391, 'All Menu'!B:M, 12, 0)</f>
        <v>0.62755078361887306</v>
      </c>
      <c r="R2391" s="173">
        <f t="shared" si="126"/>
        <v>0</v>
      </c>
    </row>
    <row r="2392" spans="1:18" ht="14" hidden="1">
      <c r="A2392" s="78" t="s">
        <v>2815</v>
      </c>
      <c r="B2392" s="220" t="s">
        <v>1180</v>
      </c>
      <c r="C2392" s="185"/>
      <c r="D2392" s="103" t="str">
        <f>VLOOKUP(B2392, 'All Menu'!B:M, 4, 0)</f>
        <v>علبة مثومة صغيرة</v>
      </c>
      <c r="E2392" s="30" t="str">
        <f>VLOOKUP(B2392, 'All Menu'!B:M, 2, 0)</f>
        <v>قسم المقبلات</v>
      </c>
      <c r="F2392" s="103" t="str">
        <f>VLOOKUP(B2392, 'All Menu'!B:M, 3, 0)</f>
        <v>المقبلات سفري</v>
      </c>
      <c r="G2392" s="90" t="s">
        <v>2184</v>
      </c>
      <c r="H2392" s="188">
        <v>4265</v>
      </c>
      <c r="I2392" s="110" t="str">
        <f>VLOOKUP(H2392, 'RM &amp; SF'!B:H, 2, 0)</f>
        <v>علب بطاطا كرتون مطبوع 1*25 حبة*****</v>
      </c>
      <c r="J2392" s="184" t="str">
        <f>VLOOKUP(H2392, 'RM &amp; SF'!B:E, 4, 0)</f>
        <v>قطعة</v>
      </c>
      <c r="K2392" s="12">
        <v>1</v>
      </c>
      <c r="L2392" s="13">
        <f>VLOOKUP(H2392, 'RM &amp; SF'!B:H, 7, 0)</f>
        <v>6.0299999999999999E-2</v>
      </c>
      <c r="M2392" s="7">
        <f t="shared" si="127"/>
        <v>6.0299999999999999E-2</v>
      </c>
      <c r="N2392" s="4" t="s">
        <v>825</v>
      </c>
      <c r="O2392" s="4">
        <f>VLOOKUP(B2392, 'All Menu'!B:L, 6, 0)</f>
        <v>0.21551724137931036</v>
      </c>
      <c r="P2392" s="6">
        <f>VLOOKUP(B2392, 'All Menu'!B:L, 9, 0)</f>
        <v>8.0269227668346321E-2</v>
      </c>
      <c r="Q2392" s="14">
        <f>VLOOKUP(B2392, 'All Menu'!B:M, 12, 0)</f>
        <v>0.62755078361887306</v>
      </c>
      <c r="R2392" s="173">
        <f t="shared" si="126"/>
        <v>0</v>
      </c>
    </row>
    <row r="2393" spans="1:18" ht="14" hidden="1">
      <c r="A2393" s="78" t="s">
        <v>2825</v>
      </c>
      <c r="B2393" s="220" t="s">
        <v>1209</v>
      </c>
      <c r="C2393" s="185"/>
      <c r="D2393" s="103" t="str">
        <f>VLOOKUP(B2393, 'All Menu'!B:M, 4, 0)</f>
        <v>سيزر سالاد عائلي</v>
      </c>
      <c r="E2393" s="30" t="str">
        <f>VLOOKUP(B2393, 'All Menu'!B:M, 2, 0)</f>
        <v>قسم المقبلات</v>
      </c>
      <c r="F2393" s="103" t="str">
        <f>VLOOKUP(B2393, 'All Menu'!B:M, 3, 0)</f>
        <v>سلطات سفري</v>
      </c>
      <c r="G2393" s="90" t="s">
        <v>3058</v>
      </c>
      <c r="H2393" s="188">
        <v>4517</v>
      </c>
      <c r="I2393" s="110" t="str">
        <f>VLOOKUP(H2393, 'RM &amp; SF'!B:H, 2, 0)</f>
        <v>خس بلدي*****</v>
      </c>
      <c r="J2393" s="184" t="str">
        <f>VLOOKUP(H2393, 'RM &amp; SF'!B:E, 4, 0)</f>
        <v>غم</v>
      </c>
      <c r="K2393" s="12">
        <v>800</v>
      </c>
      <c r="L2393" s="13">
        <f>VLOOKUP(H2393, 'RM &amp; SF'!B:H, 7, 0)</f>
        <v>5.0000000000000001E-4</v>
      </c>
      <c r="M2393" s="7">
        <f t="shared" si="127"/>
        <v>0.4</v>
      </c>
      <c r="N2393" s="4" t="s">
        <v>825</v>
      </c>
      <c r="O2393" s="4">
        <f>VLOOKUP(B2393, 'All Menu'!B:L, 6, 0)</f>
        <v>10.129310344827587</v>
      </c>
      <c r="P2393" s="6">
        <f>VLOOKUP(B2393, 'All Menu'!B:L, 9, 0)</f>
        <v>2.0016639238095237</v>
      </c>
      <c r="Q2393" s="14">
        <f>VLOOKUP(B2393, 'All Menu'!B:M, 12, 0)</f>
        <v>0.80238892326646405</v>
      </c>
      <c r="R2393" s="173">
        <f t="shared" si="126"/>
        <v>0</v>
      </c>
    </row>
    <row r="2394" spans="1:18" ht="14" hidden="1">
      <c r="A2394" s="78" t="s">
        <v>2825</v>
      </c>
      <c r="B2394" s="220" t="s">
        <v>1209</v>
      </c>
      <c r="C2394" s="185"/>
      <c r="D2394" s="103" t="str">
        <f>VLOOKUP(B2394, 'All Menu'!B:M, 4, 0)</f>
        <v>سيزر سالاد عائلي</v>
      </c>
      <c r="E2394" s="30" t="str">
        <f>VLOOKUP(B2394, 'All Menu'!B:M, 2, 0)</f>
        <v>قسم المقبلات</v>
      </c>
      <c r="F2394" s="103" t="str">
        <f>VLOOKUP(B2394, 'All Menu'!B:M, 3, 0)</f>
        <v>سلطات سفري</v>
      </c>
      <c r="G2394" s="90" t="s">
        <v>2308</v>
      </c>
      <c r="H2394" s="188">
        <v>4787</v>
      </c>
      <c r="I2394" s="110" t="str">
        <f>VLOOKUP(H2394, 'RM &amp; SF'!B:H, 2, 0)</f>
        <v>خبز التوست بالحليب مشرح 600 غم*****</v>
      </c>
      <c r="J2394" s="184" t="str">
        <f>VLOOKUP(H2394, 'RM &amp; SF'!B:E, 4, 0)</f>
        <v>غم</v>
      </c>
      <c r="K2394" s="12">
        <v>80</v>
      </c>
      <c r="L2394" s="13">
        <f>VLOOKUP(H2394, 'RM &amp; SF'!B:H, 7, 0)</f>
        <v>2.08333E-3</v>
      </c>
      <c r="M2394" s="7">
        <f t="shared" si="127"/>
        <v>0.16666639999999999</v>
      </c>
      <c r="N2394" s="4" t="s">
        <v>825</v>
      </c>
      <c r="O2394" s="4">
        <f>VLOOKUP(B2394, 'All Menu'!B:L, 6, 0)</f>
        <v>10.129310344827587</v>
      </c>
      <c r="P2394" s="6">
        <f>VLOOKUP(B2394, 'All Menu'!B:L, 9, 0)</f>
        <v>2.0016639238095237</v>
      </c>
      <c r="Q2394" s="14">
        <f>VLOOKUP(B2394, 'All Menu'!B:M, 12, 0)</f>
        <v>0.80238892326646405</v>
      </c>
      <c r="R2394" s="173">
        <f t="shared" si="126"/>
        <v>0</v>
      </c>
    </row>
    <row r="2395" spans="1:18" ht="14" hidden="1">
      <c r="A2395" s="78" t="s">
        <v>2825</v>
      </c>
      <c r="B2395" s="220" t="s">
        <v>1209</v>
      </c>
      <c r="C2395" s="185"/>
      <c r="D2395" s="103" t="str">
        <f>VLOOKUP(B2395, 'All Menu'!B:M, 4, 0)</f>
        <v>سيزر سالاد عائلي</v>
      </c>
      <c r="E2395" s="30" t="str">
        <f>VLOOKUP(B2395, 'All Menu'!B:M, 2, 0)</f>
        <v>قسم المقبلات</v>
      </c>
      <c r="F2395" s="103" t="str">
        <f>VLOOKUP(B2395, 'All Menu'!B:M, 3, 0)</f>
        <v>سلطات سفري</v>
      </c>
      <c r="G2395" s="90" t="s">
        <v>2179</v>
      </c>
      <c r="H2395" s="188">
        <v>4560</v>
      </c>
      <c r="I2395" s="110" t="str">
        <f>VLOOKUP(H2395, 'RM &amp; SF'!B:H, 2, 0)</f>
        <v>جبنة بارميزان قالب*****</v>
      </c>
      <c r="J2395" s="184" t="str">
        <f>VLOOKUP(H2395, 'RM &amp; SF'!B:E, 4, 0)</f>
        <v>غم</v>
      </c>
      <c r="K2395" s="12">
        <v>80</v>
      </c>
      <c r="L2395" s="13">
        <f>VLOOKUP(H2395, 'RM &amp; SF'!B:H, 7, 0)</f>
        <v>6.5100000000000002E-3</v>
      </c>
      <c r="M2395" s="7">
        <f t="shared" si="127"/>
        <v>0.52080000000000004</v>
      </c>
      <c r="N2395" s="4" t="s">
        <v>825</v>
      </c>
      <c r="O2395" s="4">
        <f>VLOOKUP(B2395, 'All Menu'!B:L, 6, 0)</f>
        <v>10.129310344827587</v>
      </c>
      <c r="P2395" s="6">
        <f>VLOOKUP(B2395, 'All Menu'!B:L, 9, 0)</f>
        <v>2.0016639238095237</v>
      </c>
      <c r="Q2395" s="14">
        <f>VLOOKUP(B2395, 'All Menu'!B:M, 12, 0)</f>
        <v>0.80238892326646405</v>
      </c>
      <c r="R2395" s="173">
        <f t="shared" si="126"/>
        <v>0</v>
      </c>
    </row>
    <row r="2396" spans="1:18" ht="14" hidden="1">
      <c r="A2396" s="78" t="s">
        <v>2825</v>
      </c>
      <c r="B2396" s="220" t="s">
        <v>1209</v>
      </c>
      <c r="C2396" s="185"/>
      <c r="D2396" s="103" t="str">
        <f>VLOOKUP(B2396, 'All Menu'!B:M, 4, 0)</f>
        <v>سيزر سالاد عائلي</v>
      </c>
      <c r="E2396" s="30" t="str">
        <f>VLOOKUP(B2396, 'All Menu'!B:M, 2, 0)</f>
        <v>قسم المقبلات</v>
      </c>
      <c r="F2396" s="103" t="str">
        <f>VLOOKUP(B2396, 'All Menu'!B:M, 3, 0)</f>
        <v>سلطات سفري</v>
      </c>
      <c r="G2396" s="90" t="s">
        <v>3058</v>
      </c>
      <c r="H2396" s="188">
        <v>4516</v>
      </c>
      <c r="I2396" s="110" t="str">
        <f>VLOOKUP(H2396, 'RM &amp; SF'!B:H, 2, 0)</f>
        <v>بندورة كرزية (بندورة شري)*****</v>
      </c>
      <c r="J2396" s="184" t="str">
        <f>VLOOKUP(H2396, 'RM &amp; SF'!B:E, 4, 0)</f>
        <v>غم</v>
      </c>
      <c r="K2396" s="12">
        <v>80</v>
      </c>
      <c r="L2396" s="13">
        <f>VLOOKUP(H2396, 'RM &amp; SF'!B:H, 7, 0)</f>
        <v>1.8749999999999999E-3</v>
      </c>
      <c r="M2396" s="7">
        <f t="shared" si="127"/>
        <v>0.15</v>
      </c>
      <c r="N2396" s="4" t="s">
        <v>825</v>
      </c>
      <c r="O2396" s="4">
        <f>VLOOKUP(B2396, 'All Menu'!B:L, 6, 0)</f>
        <v>10.129310344827587</v>
      </c>
      <c r="P2396" s="6">
        <f>VLOOKUP(B2396, 'All Menu'!B:L, 9, 0)</f>
        <v>2.0016639238095237</v>
      </c>
      <c r="Q2396" s="14">
        <f>VLOOKUP(B2396, 'All Menu'!B:M, 12, 0)</f>
        <v>0.80238892326646405</v>
      </c>
      <c r="R2396" s="173">
        <f t="shared" si="126"/>
        <v>0</v>
      </c>
    </row>
    <row r="2397" spans="1:18" ht="14" hidden="1">
      <c r="A2397" s="78" t="s">
        <v>2825</v>
      </c>
      <c r="B2397" s="220" t="s">
        <v>1209</v>
      </c>
      <c r="C2397" s="185"/>
      <c r="D2397" s="103" t="str">
        <f>VLOOKUP(B2397, 'All Menu'!B:M, 4, 0)</f>
        <v>سيزر سالاد عائلي</v>
      </c>
      <c r="E2397" s="30" t="str">
        <f>VLOOKUP(B2397, 'All Menu'!B:M, 2, 0)</f>
        <v>قسم المقبلات</v>
      </c>
      <c r="F2397" s="103" t="str">
        <f>VLOOKUP(B2397, 'All Menu'!B:M, 3, 0)</f>
        <v>سلطات سفري</v>
      </c>
      <c r="G2397" s="90" t="s">
        <v>2406</v>
      </c>
      <c r="H2397" s="219" t="s">
        <v>518</v>
      </c>
      <c r="I2397" s="110" t="str">
        <f>VLOOKUP(H2397, 'RM &amp; SF'!B:H, 2, 0)</f>
        <v>صوص سيزار</v>
      </c>
      <c r="J2397" s="184" t="str">
        <f>VLOOKUP(H2397, 'RM &amp; SF'!B:E, 4, 0)</f>
        <v>غم</v>
      </c>
      <c r="K2397" s="12">
        <v>200</v>
      </c>
      <c r="L2397" s="13">
        <f>VLOOKUP(H2397, 'RM &amp; SF'!B:H, 7, 0)</f>
        <v>3.8209876190476188E-3</v>
      </c>
      <c r="M2397" s="7">
        <f t="shared" si="127"/>
        <v>0.76419752380952377</v>
      </c>
      <c r="N2397" s="4" t="s">
        <v>825</v>
      </c>
      <c r="O2397" s="4">
        <f>VLOOKUP(B2397, 'All Menu'!B:L, 6, 0)</f>
        <v>10.129310344827587</v>
      </c>
      <c r="P2397" s="6">
        <f>VLOOKUP(B2397, 'All Menu'!B:L, 9, 0)</f>
        <v>2.0016639238095237</v>
      </c>
      <c r="Q2397" s="14">
        <f>VLOOKUP(B2397, 'All Menu'!B:M, 12, 0)</f>
        <v>0.80238892326646405</v>
      </c>
      <c r="R2397" s="173">
        <f t="shared" si="126"/>
        <v>0</v>
      </c>
    </row>
    <row r="2398" spans="1:18" ht="14" hidden="1">
      <c r="A2398" s="78" t="s">
        <v>2816</v>
      </c>
      <c r="B2398" s="220" t="s">
        <v>1221</v>
      </c>
      <c r="C2398" s="185"/>
      <c r="D2398" s="103" t="str">
        <f>VLOOKUP(B2398, 'All Menu'!B:M, 4, 0)</f>
        <v>علبة مثومة حارة</v>
      </c>
      <c r="E2398" s="30" t="str">
        <f>VLOOKUP(B2398, 'All Menu'!B:M, 2, 0)</f>
        <v>قسم المقبلات</v>
      </c>
      <c r="F2398" s="103" t="str">
        <f>VLOOKUP(B2398, 'All Menu'!B:M, 3, 0)</f>
        <v>المقبلات سفري</v>
      </c>
      <c r="G2398" s="90" t="s">
        <v>2351</v>
      </c>
      <c r="H2398" s="219" t="s">
        <v>728</v>
      </c>
      <c r="I2398" s="110" t="str">
        <f>VLOOKUP(H2398, 'RM &amp; SF'!B:H, 2, 0)</f>
        <v>مثومة حارة</v>
      </c>
      <c r="J2398" s="184" t="str">
        <f>VLOOKUP(H2398, 'RM &amp; SF'!B:E, 4, 0)</f>
        <v>غم</v>
      </c>
      <c r="K2398" s="12">
        <v>30</v>
      </c>
      <c r="L2398" s="13">
        <f>VLOOKUP(H2398, 'RM &amp; SF'!B:H, 7, 0)</f>
        <v>7.0263884369068817E-4</v>
      </c>
      <c r="M2398" s="7">
        <f t="shared" si="127"/>
        <v>2.1079165310720644E-2</v>
      </c>
      <c r="N2398" s="4" t="s">
        <v>825</v>
      </c>
      <c r="O2398" s="4">
        <f>VLOOKUP(B2398, 'All Menu'!B:L, 6, 0)</f>
        <v>0.21551724137931036</v>
      </c>
      <c r="P2398" s="6">
        <f>VLOOKUP(B2398, 'All Menu'!B:L, 9, 0)</f>
        <v>3.3079165310720644E-2</v>
      </c>
      <c r="Q2398" s="14">
        <f>VLOOKUP(B2398, 'All Menu'!B:M, 12, 0)</f>
        <v>0.84651267295825627</v>
      </c>
      <c r="R2398" s="173">
        <f t="shared" si="126"/>
        <v>0</v>
      </c>
    </row>
    <row r="2399" spans="1:18" ht="14" hidden="1">
      <c r="A2399" s="78" t="s">
        <v>2816</v>
      </c>
      <c r="B2399" s="220" t="s">
        <v>1221</v>
      </c>
      <c r="C2399" s="185"/>
      <c r="D2399" s="103" t="str">
        <f>VLOOKUP(B2399, 'All Menu'!B:M, 4, 0)</f>
        <v>علبة مثومة حارة</v>
      </c>
      <c r="E2399" s="30" t="str">
        <f>VLOOKUP(B2399, 'All Menu'!B:M, 2, 0)</f>
        <v>قسم المقبلات</v>
      </c>
      <c r="F2399" s="103" t="str">
        <f>VLOOKUP(B2399, 'All Menu'!B:M, 3, 0)</f>
        <v>المقبلات سفري</v>
      </c>
      <c r="G2399" s="90" t="s">
        <v>3058</v>
      </c>
      <c r="H2399" s="188">
        <v>4289</v>
      </c>
      <c r="I2399" s="110" t="str">
        <f>VLOOKUP(H2399, 'RM &amp; SF'!B:H, 2, 0)</f>
        <v>علب صوص دائري منفصل أسود 30 مل 1*100 حبة*****</v>
      </c>
      <c r="J2399" s="184" t="str">
        <f>VLOOKUP(H2399, 'RM &amp; SF'!B:E, 4, 0)</f>
        <v>قطعة</v>
      </c>
      <c r="K2399" s="12">
        <v>1</v>
      </c>
      <c r="L2399" s="13">
        <f>VLOOKUP(H2399, 'RM &amp; SF'!B:H, 7, 0)</f>
        <v>1.2E-2</v>
      </c>
      <c r="M2399" s="7">
        <f t="shared" si="127"/>
        <v>1.2E-2</v>
      </c>
      <c r="N2399" s="4" t="s">
        <v>825</v>
      </c>
      <c r="O2399" s="4">
        <f>VLOOKUP(B2399, 'All Menu'!B:L, 6, 0)</f>
        <v>0.21551724137931036</v>
      </c>
      <c r="P2399" s="6">
        <f>VLOOKUP(B2399, 'All Menu'!B:L, 9, 0)</f>
        <v>3.3079165310720644E-2</v>
      </c>
      <c r="Q2399" s="14">
        <f>VLOOKUP(B2399, 'All Menu'!B:M, 12, 0)</f>
        <v>0.84651267295825627</v>
      </c>
      <c r="R2399" s="173">
        <f t="shared" si="126"/>
        <v>0</v>
      </c>
    </row>
    <row r="2400" spans="1:18" ht="14" hidden="1">
      <c r="A2400" s="78" t="s">
        <v>2836</v>
      </c>
      <c r="B2400" s="220" t="s">
        <v>1230</v>
      </c>
      <c r="C2400" s="185"/>
      <c r="D2400" s="103" t="str">
        <f>VLOOKUP(B2400, 'All Menu'!B:M, 4, 0)</f>
        <v>سلطة المركزية عائلي</v>
      </c>
      <c r="E2400" s="30" t="str">
        <f>VLOOKUP(B2400, 'All Menu'!B:M, 2, 0)</f>
        <v>قسم المقبلات</v>
      </c>
      <c r="F2400" s="103" t="str">
        <f>VLOOKUP(B2400, 'All Menu'!B:M, 3, 0)</f>
        <v>سلطات سفري</v>
      </c>
      <c r="G2400" s="90" t="s">
        <v>2241</v>
      </c>
      <c r="H2400" s="188">
        <v>4518</v>
      </c>
      <c r="I2400" s="110" t="str">
        <f>VLOOKUP(H2400, 'RM &amp; SF'!B:H, 2, 0)</f>
        <v>خس ايسبرغ*****</v>
      </c>
      <c r="J2400" s="184" t="str">
        <f>VLOOKUP(H2400, 'RM &amp; SF'!B:E, 4, 0)</f>
        <v>غم</v>
      </c>
      <c r="K2400" s="12">
        <v>800</v>
      </c>
      <c r="L2400" s="13">
        <f>VLOOKUP(H2400, 'RM &amp; SF'!B:H, 7, 0)</f>
        <v>7.5000000000000002E-4</v>
      </c>
      <c r="M2400" s="7">
        <f t="shared" si="127"/>
        <v>0.6</v>
      </c>
      <c r="N2400" s="4" t="s">
        <v>825</v>
      </c>
      <c r="O2400" s="4">
        <f>VLOOKUP(B2400, 'All Menu'!B:L, 6, 0)</f>
        <v>12.068965517241381</v>
      </c>
      <c r="P2400" s="6">
        <f>VLOOKUP(B2400, 'All Menu'!B:L, 9, 0)</f>
        <v>9.1579092857142861</v>
      </c>
      <c r="Q2400" s="14">
        <f>VLOOKUP(B2400, 'All Menu'!B:M, 12, 0)</f>
        <v>0.2412018020408164</v>
      </c>
      <c r="R2400" s="173">
        <f t="shared" si="126"/>
        <v>0</v>
      </c>
    </row>
    <row r="2401" spans="1:18" ht="14" hidden="1">
      <c r="A2401" s="78" t="s">
        <v>2836</v>
      </c>
      <c r="B2401" s="220" t="s">
        <v>1230</v>
      </c>
      <c r="C2401" s="185"/>
      <c r="D2401" s="103" t="str">
        <f>VLOOKUP(B2401, 'All Menu'!B:M, 4, 0)</f>
        <v>سلطة المركزية عائلي</v>
      </c>
      <c r="E2401" s="30" t="str">
        <f>VLOOKUP(B2401, 'All Menu'!B:M, 2, 0)</f>
        <v>قسم المقبلات</v>
      </c>
      <c r="F2401" s="103" t="str">
        <f>VLOOKUP(B2401, 'All Menu'!B:M, 3, 0)</f>
        <v>سلطات سفري</v>
      </c>
      <c r="G2401" s="90" t="s">
        <v>2243</v>
      </c>
      <c r="H2401" s="188">
        <v>4521</v>
      </c>
      <c r="I2401" s="110" t="str">
        <f>VLOOKUP(H2401, 'RM &amp; SF'!B:H, 2, 0)</f>
        <v>بيبي ليفز*****</v>
      </c>
      <c r="J2401" s="184" t="str">
        <f>VLOOKUP(H2401, 'RM &amp; SF'!B:E, 4, 0)</f>
        <v>غم</v>
      </c>
      <c r="K2401" s="12">
        <v>400</v>
      </c>
      <c r="L2401" s="13">
        <f>VLOOKUP(H2401, 'RM &amp; SF'!B:H, 7, 0)</f>
        <v>8.0000000000000002E-3</v>
      </c>
      <c r="M2401" s="7">
        <f t="shared" si="127"/>
        <v>3.2</v>
      </c>
      <c r="N2401" s="4" t="s">
        <v>825</v>
      </c>
      <c r="O2401" s="4">
        <f>VLOOKUP(B2401, 'All Menu'!B:L, 6, 0)</f>
        <v>12.068965517241381</v>
      </c>
      <c r="P2401" s="6">
        <f>VLOOKUP(B2401, 'All Menu'!B:L, 9, 0)</f>
        <v>9.1579092857142861</v>
      </c>
      <c r="Q2401" s="14">
        <f>VLOOKUP(B2401, 'All Menu'!B:M, 12, 0)</f>
        <v>0.2412018020408164</v>
      </c>
      <c r="R2401" s="173">
        <f t="shared" si="126"/>
        <v>0</v>
      </c>
    </row>
    <row r="2402" spans="1:18" ht="14" hidden="1">
      <c r="A2402" s="78" t="s">
        <v>2836</v>
      </c>
      <c r="B2402" s="220" t="s">
        <v>1230</v>
      </c>
      <c r="C2402" s="185"/>
      <c r="D2402" s="103" t="str">
        <f>VLOOKUP(B2402, 'All Menu'!B:M, 4, 0)</f>
        <v>سلطة المركزية عائلي</v>
      </c>
      <c r="E2402" s="30" t="str">
        <f>VLOOKUP(B2402, 'All Menu'!B:M, 2, 0)</f>
        <v>قسم المقبلات</v>
      </c>
      <c r="F2402" s="103" t="str">
        <f>VLOOKUP(B2402, 'All Menu'!B:M, 3, 0)</f>
        <v>سلطات سفري</v>
      </c>
      <c r="G2402" s="90" t="s">
        <v>2252</v>
      </c>
      <c r="H2402" s="188">
        <v>4545</v>
      </c>
      <c r="I2402" s="110" t="str">
        <f>VLOOKUP(H2402, 'RM &amp; SF'!B:H, 2, 0)</f>
        <v>جرجير*****</v>
      </c>
      <c r="J2402" s="184" t="str">
        <f>VLOOKUP(H2402, 'RM &amp; SF'!B:E, 4, 0)</f>
        <v>غم</v>
      </c>
      <c r="K2402" s="12">
        <v>120</v>
      </c>
      <c r="L2402" s="13">
        <f>VLOOKUP(H2402, 'RM &amp; SF'!B:H, 7, 0)</f>
        <v>7.5000000000000002E-4</v>
      </c>
      <c r="M2402" s="7">
        <f t="shared" si="127"/>
        <v>0.09</v>
      </c>
      <c r="N2402" s="4" t="s">
        <v>825</v>
      </c>
      <c r="O2402" s="4">
        <f>VLOOKUP(B2402, 'All Menu'!B:L, 6, 0)</f>
        <v>12.068965517241381</v>
      </c>
      <c r="P2402" s="6">
        <f>VLOOKUP(B2402, 'All Menu'!B:L, 9, 0)</f>
        <v>9.1579092857142861</v>
      </c>
      <c r="Q2402" s="14">
        <f>VLOOKUP(B2402, 'All Menu'!B:M, 12, 0)</f>
        <v>0.2412018020408164</v>
      </c>
      <c r="R2402" s="173">
        <f t="shared" si="126"/>
        <v>0</v>
      </c>
    </row>
    <row r="2403" spans="1:18" ht="14" hidden="1">
      <c r="A2403" s="78" t="s">
        <v>2836</v>
      </c>
      <c r="B2403" s="220" t="s">
        <v>1230</v>
      </c>
      <c r="C2403" s="185"/>
      <c r="D2403" s="103" t="str">
        <f>VLOOKUP(B2403, 'All Menu'!B:M, 4, 0)</f>
        <v>سلطة المركزية عائلي</v>
      </c>
      <c r="E2403" s="30" t="str">
        <f>VLOOKUP(B2403, 'All Menu'!B:M, 2, 0)</f>
        <v>قسم المقبلات</v>
      </c>
      <c r="F2403" s="103" t="str">
        <f>VLOOKUP(B2403, 'All Menu'!B:M, 3, 0)</f>
        <v>سلطات سفري</v>
      </c>
      <c r="G2403" s="90" t="s">
        <v>3058</v>
      </c>
      <c r="H2403" s="188">
        <v>4516</v>
      </c>
      <c r="I2403" s="110" t="str">
        <f>VLOOKUP(H2403, 'RM &amp; SF'!B:H, 2, 0)</f>
        <v>بندورة كرزية (بندورة شري)*****</v>
      </c>
      <c r="J2403" s="184" t="str">
        <f>VLOOKUP(H2403, 'RM &amp; SF'!B:E, 4, 0)</f>
        <v>غم</v>
      </c>
      <c r="K2403" s="12">
        <v>100</v>
      </c>
      <c r="L2403" s="13">
        <f>VLOOKUP(H2403, 'RM &amp; SF'!B:H, 7, 0)</f>
        <v>1.8749999999999999E-3</v>
      </c>
      <c r="M2403" s="7">
        <f t="shared" si="127"/>
        <v>0.1875</v>
      </c>
      <c r="N2403" s="4" t="s">
        <v>825</v>
      </c>
      <c r="O2403" s="4">
        <f>VLOOKUP(B2403, 'All Menu'!B:L, 6, 0)</f>
        <v>12.068965517241381</v>
      </c>
      <c r="P2403" s="6">
        <f>VLOOKUP(B2403, 'All Menu'!B:L, 9, 0)</f>
        <v>9.1579092857142861</v>
      </c>
      <c r="Q2403" s="14">
        <f>VLOOKUP(B2403, 'All Menu'!B:M, 12, 0)</f>
        <v>0.2412018020408164</v>
      </c>
      <c r="R2403" s="173">
        <f t="shared" si="126"/>
        <v>0</v>
      </c>
    </row>
    <row r="2404" spans="1:18" ht="14" hidden="1">
      <c r="A2404" s="78" t="s">
        <v>2836</v>
      </c>
      <c r="B2404" s="220" t="s">
        <v>1230</v>
      </c>
      <c r="C2404" s="185"/>
      <c r="D2404" s="103" t="str">
        <f>VLOOKUP(B2404, 'All Menu'!B:M, 4, 0)</f>
        <v>سلطة المركزية عائلي</v>
      </c>
      <c r="E2404" s="30" t="str">
        <f>VLOOKUP(B2404, 'All Menu'!B:M, 2, 0)</f>
        <v>قسم المقبلات</v>
      </c>
      <c r="F2404" s="103" t="str">
        <f>VLOOKUP(B2404, 'All Menu'!B:M, 3, 0)</f>
        <v>سلطات سفري</v>
      </c>
      <c r="G2404" s="90" t="s">
        <v>3058</v>
      </c>
      <c r="H2404" s="188">
        <v>4056</v>
      </c>
      <c r="I2404" s="110" t="str">
        <f>VLOOKUP(H2404, 'RM &amp; SF'!B:H, 2, 0)</f>
        <v>بندورة مجففة بالأعشاب 700 غم*****</v>
      </c>
      <c r="J2404" s="184" t="str">
        <f>VLOOKUP(H2404, 'RM &amp; SF'!B:E, 4, 0)</f>
        <v>غم</v>
      </c>
      <c r="K2404" s="12">
        <v>100</v>
      </c>
      <c r="L2404" s="13">
        <f>VLOOKUP(H2404, 'RM &amp; SF'!B:H, 7, 0)</f>
        <v>6.1571428571428567E-3</v>
      </c>
      <c r="M2404" s="7">
        <f t="shared" si="127"/>
        <v>0.61571428571428566</v>
      </c>
      <c r="N2404" s="4" t="s">
        <v>825</v>
      </c>
      <c r="O2404" s="4">
        <f>VLOOKUP(B2404, 'All Menu'!B:L, 6, 0)</f>
        <v>12.068965517241381</v>
      </c>
      <c r="P2404" s="6">
        <f>VLOOKUP(B2404, 'All Menu'!B:L, 9, 0)</f>
        <v>9.1579092857142861</v>
      </c>
      <c r="Q2404" s="14">
        <f>VLOOKUP(B2404, 'All Menu'!B:M, 12, 0)</f>
        <v>0.2412018020408164</v>
      </c>
      <c r="R2404" s="173">
        <f t="shared" si="126"/>
        <v>0</v>
      </c>
    </row>
    <row r="2405" spans="1:18" ht="14" hidden="1">
      <c r="A2405" s="78" t="s">
        <v>2836</v>
      </c>
      <c r="B2405" s="220" t="s">
        <v>1230</v>
      </c>
      <c r="C2405" s="185"/>
      <c r="D2405" s="103" t="str">
        <f>VLOOKUP(B2405, 'All Menu'!B:M, 4, 0)</f>
        <v>سلطة المركزية عائلي</v>
      </c>
      <c r="E2405" s="30" t="str">
        <f>VLOOKUP(B2405, 'All Menu'!B:M, 2, 0)</f>
        <v>قسم المقبلات</v>
      </c>
      <c r="F2405" s="103" t="str">
        <f>VLOOKUP(B2405, 'All Menu'!B:M, 3, 0)</f>
        <v>سلطات سفري</v>
      </c>
      <c r="G2405" s="90" t="s">
        <v>3058</v>
      </c>
      <c r="H2405" s="188">
        <v>4144</v>
      </c>
      <c r="I2405" s="110" t="str">
        <f>VLOOKUP(H2405, 'RM &amp; SF'!B:H, 2, 0)</f>
        <v>جوز عين الجمل*****</v>
      </c>
      <c r="J2405" s="184" t="str">
        <f>VLOOKUP(H2405, 'RM &amp; SF'!B:E, 4, 0)</f>
        <v>غم</v>
      </c>
      <c r="K2405" s="12">
        <v>100</v>
      </c>
      <c r="L2405" s="13">
        <f>VLOOKUP(H2405, 'RM &amp; SF'!B:H, 7, 0)</f>
        <v>4.5259000000000002E-3</v>
      </c>
      <c r="M2405" s="7">
        <f t="shared" si="127"/>
        <v>0.45259000000000005</v>
      </c>
      <c r="N2405" s="4" t="s">
        <v>825</v>
      </c>
      <c r="O2405" s="4">
        <f>VLOOKUP(B2405, 'All Menu'!B:L, 6, 0)</f>
        <v>12.068965517241381</v>
      </c>
      <c r="P2405" s="6">
        <f>VLOOKUP(B2405, 'All Menu'!B:L, 9, 0)</f>
        <v>9.1579092857142861</v>
      </c>
      <c r="Q2405" s="14">
        <f>VLOOKUP(B2405, 'All Menu'!B:M, 12, 0)</f>
        <v>0.2412018020408164</v>
      </c>
      <c r="R2405" s="173">
        <f t="shared" si="126"/>
        <v>0</v>
      </c>
    </row>
    <row r="2406" spans="1:18" ht="14" hidden="1">
      <c r="A2406" s="78" t="s">
        <v>2836</v>
      </c>
      <c r="B2406" s="220" t="s">
        <v>1230</v>
      </c>
      <c r="C2406" s="185"/>
      <c r="D2406" s="103" t="str">
        <f>VLOOKUP(B2406, 'All Menu'!B:M, 4, 0)</f>
        <v>سلطة المركزية عائلي</v>
      </c>
      <c r="E2406" s="30" t="str">
        <f>VLOOKUP(B2406, 'All Menu'!B:M, 2, 0)</f>
        <v>قسم المقبلات</v>
      </c>
      <c r="F2406" s="103" t="str">
        <f>VLOOKUP(B2406, 'All Menu'!B:M, 3, 0)</f>
        <v>سلطات سفري</v>
      </c>
      <c r="G2406" s="90" t="s">
        <v>2444</v>
      </c>
      <c r="H2406" s="219" t="s">
        <v>666</v>
      </c>
      <c r="I2406" s="110" t="str">
        <f>VLOOKUP(H2406, 'RM &amp; SF'!B:H, 2, 0)</f>
        <v>صوص التين</v>
      </c>
      <c r="J2406" s="184" t="str">
        <f>VLOOKUP(H2406, 'RM &amp; SF'!B:E, 4, 0)</f>
        <v>غم</v>
      </c>
      <c r="K2406" s="12">
        <v>150</v>
      </c>
      <c r="L2406" s="13">
        <f>VLOOKUP(H2406, 'RM &amp; SF'!B:H, 7, 0)</f>
        <v>2.5407000000000003E-3</v>
      </c>
      <c r="M2406" s="7">
        <f t="shared" si="127"/>
        <v>0.38110500000000003</v>
      </c>
      <c r="N2406" s="4" t="s">
        <v>825</v>
      </c>
      <c r="O2406" s="4">
        <f>VLOOKUP(B2406, 'All Menu'!B:L, 6, 0)</f>
        <v>12.068965517241381</v>
      </c>
      <c r="P2406" s="6">
        <f>VLOOKUP(B2406, 'All Menu'!B:L, 9, 0)</f>
        <v>9.1579092857142861</v>
      </c>
      <c r="Q2406" s="14">
        <f>VLOOKUP(B2406, 'All Menu'!B:M, 12, 0)</f>
        <v>0.2412018020408164</v>
      </c>
      <c r="R2406" s="173">
        <f t="shared" si="126"/>
        <v>0</v>
      </c>
    </row>
    <row r="2407" spans="1:18" ht="14" hidden="1">
      <c r="A2407" s="78" t="s">
        <v>2836</v>
      </c>
      <c r="B2407" s="220" t="s">
        <v>1230</v>
      </c>
      <c r="C2407" s="185"/>
      <c r="D2407" s="103" t="str">
        <f>VLOOKUP(B2407, 'All Menu'!B:M, 4, 0)</f>
        <v>سلطة المركزية عائلي</v>
      </c>
      <c r="E2407" s="30" t="str">
        <f>VLOOKUP(B2407, 'All Menu'!B:M, 2, 0)</f>
        <v>قسم المقبلات</v>
      </c>
      <c r="F2407" s="103" t="str">
        <f>VLOOKUP(B2407, 'All Menu'!B:M, 3, 0)</f>
        <v>سلطات سفري</v>
      </c>
      <c r="G2407" s="90" t="s">
        <v>2176</v>
      </c>
      <c r="H2407" s="188">
        <v>4564</v>
      </c>
      <c r="I2407" s="110" t="str">
        <f>VLOOKUP(H2407, 'RM &amp; SF'!B:H, 2, 0)</f>
        <v>جبنة حلوم 250 غم*****</v>
      </c>
      <c r="J2407" s="184" t="str">
        <f>VLOOKUP(H2407, 'RM &amp; SF'!B:E, 4, 0)</f>
        <v>غم</v>
      </c>
      <c r="K2407" s="12">
        <v>400</v>
      </c>
      <c r="L2407" s="13">
        <f>VLOOKUP(H2407, 'RM &amp; SF'!B:H, 7, 0)</f>
        <v>8.8889999999999993E-3</v>
      </c>
      <c r="M2407" s="7">
        <f t="shared" si="127"/>
        <v>3.5555999999999996</v>
      </c>
      <c r="N2407" s="4" t="s">
        <v>825</v>
      </c>
      <c r="O2407" s="4">
        <f>VLOOKUP(B2407, 'All Menu'!B:L, 6, 0)</f>
        <v>12.068965517241381</v>
      </c>
      <c r="P2407" s="6">
        <f>VLOOKUP(B2407, 'All Menu'!B:L, 9, 0)</f>
        <v>9.1579092857142861</v>
      </c>
      <c r="Q2407" s="14">
        <f>VLOOKUP(B2407, 'All Menu'!B:M, 12, 0)</f>
        <v>0.2412018020408164</v>
      </c>
      <c r="R2407" s="173">
        <f t="shared" si="126"/>
        <v>0</v>
      </c>
    </row>
    <row r="2408" spans="1:18" ht="14" hidden="1">
      <c r="A2408" s="78" t="s">
        <v>2836</v>
      </c>
      <c r="B2408" s="220" t="s">
        <v>1230</v>
      </c>
      <c r="C2408" s="185"/>
      <c r="D2408" s="103" t="str">
        <f>VLOOKUP(B2408, 'All Menu'!B:M, 4, 0)</f>
        <v>سلطة المركزية عائلي</v>
      </c>
      <c r="E2408" s="30" t="str">
        <f>VLOOKUP(B2408, 'All Menu'!B:M, 2, 0)</f>
        <v>قسم المقبلات</v>
      </c>
      <c r="F2408" s="103" t="str">
        <f>VLOOKUP(B2408, 'All Menu'!B:M, 3, 0)</f>
        <v>سلطات سفري</v>
      </c>
      <c r="G2408" s="90" t="s">
        <v>2265</v>
      </c>
      <c r="H2408" s="188">
        <v>4006</v>
      </c>
      <c r="I2408" s="110" t="str">
        <f>VLOOKUP(H2408, 'RM &amp; SF'!B:H, 2, 0)</f>
        <v>دبس رمان 5 كغ (مادة أولية)*****</v>
      </c>
      <c r="J2408" s="184" t="str">
        <f>VLOOKUP(H2408, 'RM &amp; SF'!B:E, 4, 0)</f>
        <v>غم</v>
      </c>
      <c r="K2408" s="12">
        <v>50</v>
      </c>
      <c r="L2408" s="13">
        <f>VLOOKUP(H2408, 'RM &amp; SF'!B:H, 7, 0)</f>
        <v>1.508E-3</v>
      </c>
      <c r="M2408" s="7">
        <f t="shared" si="127"/>
        <v>7.5399999999999995E-2</v>
      </c>
      <c r="N2408" s="4" t="s">
        <v>825</v>
      </c>
      <c r="O2408" s="4">
        <f>VLOOKUP(B2408, 'All Menu'!B:L, 6, 0)</f>
        <v>12.068965517241381</v>
      </c>
      <c r="P2408" s="6">
        <f>VLOOKUP(B2408, 'All Menu'!B:L, 9, 0)</f>
        <v>9.1579092857142861</v>
      </c>
      <c r="Q2408" s="14">
        <f>VLOOKUP(B2408, 'All Menu'!B:M, 12, 0)</f>
        <v>0.2412018020408164</v>
      </c>
      <c r="R2408" s="173">
        <f t="shared" si="126"/>
        <v>0</v>
      </c>
    </row>
    <row r="2409" spans="1:18" ht="14" hidden="1">
      <c r="A2409" s="78" t="s">
        <v>2837</v>
      </c>
      <c r="B2409" s="220" t="s">
        <v>1231</v>
      </c>
      <c r="C2409" s="185"/>
      <c r="D2409" s="103" t="str">
        <f>VLOOKUP(B2409, 'All Menu'!B:M, 4, 0)</f>
        <v>سلطة فروتي فردي</v>
      </c>
      <c r="E2409" s="30" t="str">
        <f>VLOOKUP(B2409, 'All Menu'!B:M, 2, 0)</f>
        <v>قسم المقبلات</v>
      </c>
      <c r="F2409" s="103" t="str">
        <f>VLOOKUP(B2409, 'All Menu'!B:M, 3, 0)</f>
        <v>سلطات سفري</v>
      </c>
      <c r="G2409" s="90" t="s">
        <v>2443</v>
      </c>
      <c r="H2409" s="219" t="s">
        <v>664</v>
      </c>
      <c r="I2409" s="110" t="str">
        <f>VLOOKUP(H2409, 'RM &amp; SF'!B:H, 2, 0)</f>
        <v xml:space="preserve">ضربة تبولة </v>
      </c>
      <c r="J2409" s="184" t="str">
        <f>VLOOKUP(H2409, 'RM &amp; SF'!B:E, 4, 0)</f>
        <v>غم</v>
      </c>
      <c r="K2409" s="12">
        <v>300</v>
      </c>
      <c r="L2409" s="13">
        <f>VLOOKUP(H2409, 'RM &amp; SF'!B:H, 7, 0)</f>
        <v>1.9595000000000002E-4</v>
      </c>
      <c r="M2409" s="7">
        <f t="shared" si="127"/>
        <v>5.8785000000000004E-2</v>
      </c>
      <c r="N2409" s="4" t="s">
        <v>825</v>
      </c>
      <c r="O2409" s="4">
        <f>VLOOKUP(B2409, 'All Menu'!B:L, 6, 0)</f>
        <v>2.5862068965517242</v>
      </c>
      <c r="P2409" s="6">
        <f>VLOOKUP(B2409, 'All Menu'!B:L, 9, 0)</f>
        <v>0.6959929452541771</v>
      </c>
      <c r="Q2409" s="14">
        <f>VLOOKUP(B2409, 'All Menu'!B:M, 12, 0)</f>
        <v>0.73088272783505148</v>
      </c>
      <c r="R2409" s="173">
        <f t="shared" si="126"/>
        <v>0</v>
      </c>
    </row>
    <row r="2410" spans="1:18" ht="14" hidden="1">
      <c r="A2410" s="78" t="s">
        <v>2837</v>
      </c>
      <c r="B2410" s="220" t="s">
        <v>1231</v>
      </c>
      <c r="C2410" s="185"/>
      <c r="D2410" s="103" t="str">
        <f>VLOOKUP(B2410, 'All Menu'!B:M, 4, 0)</f>
        <v>سلطة فروتي فردي</v>
      </c>
      <c r="E2410" s="30" t="str">
        <f>VLOOKUP(B2410, 'All Menu'!B:M, 2, 0)</f>
        <v>قسم المقبلات</v>
      </c>
      <c r="F2410" s="103" t="str">
        <f>VLOOKUP(B2410, 'All Menu'!B:M, 3, 0)</f>
        <v>سلطات سفري</v>
      </c>
      <c r="G2410" s="90" t="s">
        <v>2249</v>
      </c>
      <c r="H2410" s="188">
        <v>4530</v>
      </c>
      <c r="I2410" s="110" t="str">
        <f>VLOOKUP(H2410, 'RM &amp; SF'!B:H, 2, 0)</f>
        <v>*****كيوي</v>
      </c>
      <c r="J2410" s="184" t="str">
        <f>VLOOKUP(H2410, 'RM &amp; SF'!B:E, 4, 0)</f>
        <v>غم</v>
      </c>
      <c r="K2410" s="12">
        <v>50</v>
      </c>
      <c r="L2410" s="13">
        <f>VLOOKUP(H2410, 'RM &amp; SF'!B:H, 7, 0)</f>
        <v>3.5000000000000001E-3</v>
      </c>
      <c r="M2410" s="7">
        <f t="shared" si="127"/>
        <v>0.17500000000000002</v>
      </c>
      <c r="N2410" s="4" t="s">
        <v>825</v>
      </c>
      <c r="O2410" s="4">
        <f>VLOOKUP(B2410, 'All Menu'!B:L, 6, 0)</f>
        <v>2.5862068965517242</v>
      </c>
      <c r="P2410" s="6">
        <f>VLOOKUP(B2410, 'All Menu'!B:L, 9, 0)</f>
        <v>0.6959929452541771</v>
      </c>
      <c r="Q2410" s="14">
        <f>VLOOKUP(B2410, 'All Menu'!B:M, 12, 0)</f>
        <v>0.73088272783505148</v>
      </c>
      <c r="R2410" s="173">
        <f t="shared" si="126"/>
        <v>0</v>
      </c>
    </row>
    <row r="2411" spans="1:18" ht="14" hidden="1">
      <c r="A2411" s="78" t="s">
        <v>2837</v>
      </c>
      <c r="B2411" s="220" t="s">
        <v>1231</v>
      </c>
      <c r="C2411" s="185"/>
      <c r="D2411" s="103" t="str">
        <f>VLOOKUP(B2411, 'All Menu'!B:M, 4, 0)</f>
        <v>سلطة فروتي فردي</v>
      </c>
      <c r="E2411" s="30" t="str">
        <f>VLOOKUP(B2411, 'All Menu'!B:M, 2, 0)</f>
        <v>قسم المقبلات</v>
      </c>
      <c r="F2411" s="103" t="str">
        <f>VLOOKUP(B2411, 'All Menu'!B:M, 3, 0)</f>
        <v>سلطات سفري</v>
      </c>
      <c r="G2411" s="90" t="s">
        <v>2250</v>
      </c>
      <c r="H2411" s="188">
        <v>4531</v>
      </c>
      <c r="I2411" s="110" t="str">
        <f>VLOOKUP(H2411, 'RM &amp; SF'!B:H, 2, 0)</f>
        <v>فراولة*****</v>
      </c>
      <c r="J2411" s="184" t="str">
        <f>VLOOKUP(H2411, 'RM &amp; SF'!B:E, 4, 0)</f>
        <v>غم</v>
      </c>
      <c r="K2411" s="12">
        <v>50</v>
      </c>
      <c r="L2411" s="13">
        <f>VLOOKUP(H2411, 'RM &amp; SF'!B:H, 7, 0)</f>
        <v>2.5000000000000001E-3</v>
      </c>
      <c r="M2411" s="7">
        <f t="shared" si="127"/>
        <v>0.125</v>
      </c>
      <c r="N2411" s="4" t="s">
        <v>825</v>
      </c>
      <c r="O2411" s="4">
        <f>VLOOKUP(B2411, 'All Menu'!B:L, 6, 0)</f>
        <v>2.5862068965517242</v>
      </c>
      <c r="P2411" s="6">
        <f>VLOOKUP(B2411, 'All Menu'!B:L, 9, 0)</f>
        <v>0.6959929452541771</v>
      </c>
      <c r="Q2411" s="14">
        <f>VLOOKUP(B2411, 'All Menu'!B:M, 12, 0)</f>
        <v>0.73088272783505148</v>
      </c>
      <c r="R2411" s="173">
        <f t="shared" si="126"/>
        <v>0</v>
      </c>
    </row>
    <row r="2412" spans="1:18" ht="14" hidden="1">
      <c r="A2412" s="78" t="s">
        <v>2837</v>
      </c>
      <c r="B2412" s="220" t="s">
        <v>1231</v>
      </c>
      <c r="C2412" s="185"/>
      <c r="D2412" s="103" t="str">
        <f>VLOOKUP(B2412, 'All Menu'!B:M, 4, 0)</f>
        <v>سلطة فروتي فردي</v>
      </c>
      <c r="E2412" s="30" t="str">
        <f>VLOOKUP(B2412, 'All Menu'!B:M, 2, 0)</f>
        <v>قسم المقبلات</v>
      </c>
      <c r="F2412" s="103" t="str">
        <f>VLOOKUP(B2412, 'All Menu'!B:M, 3, 0)</f>
        <v>سلطات سفري</v>
      </c>
      <c r="G2412" s="90" t="s">
        <v>3058</v>
      </c>
      <c r="H2412" s="188">
        <v>4151</v>
      </c>
      <c r="I2412" s="110" t="str">
        <f>VLOOKUP(H2412, 'RM &amp; SF'!B:H, 2, 0)</f>
        <v>زبيب ذهبي*****</v>
      </c>
      <c r="J2412" s="184" t="str">
        <f>VLOOKUP(H2412, 'RM &amp; SF'!B:E, 4, 0)</f>
        <v>غم</v>
      </c>
      <c r="K2412" s="12">
        <v>50</v>
      </c>
      <c r="L2412" s="13">
        <f>VLOOKUP(H2412, 'RM &amp; SF'!B:H, 7, 0)</f>
        <v>3.0172413793103452E-3</v>
      </c>
      <c r="M2412" s="7">
        <f t="shared" si="127"/>
        <v>0.15086206896551727</v>
      </c>
      <c r="N2412" s="4" t="s">
        <v>825</v>
      </c>
      <c r="O2412" s="4">
        <f>VLOOKUP(B2412, 'All Menu'!B:L, 6, 0)</f>
        <v>2.5862068965517242</v>
      </c>
      <c r="P2412" s="6">
        <f>VLOOKUP(B2412, 'All Menu'!B:L, 9, 0)</f>
        <v>0.6959929452541771</v>
      </c>
      <c r="Q2412" s="14">
        <f>VLOOKUP(B2412, 'All Menu'!B:M, 12, 0)</f>
        <v>0.73088272783505148</v>
      </c>
      <c r="R2412" s="173">
        <f t="shared" si="126"/>
        <v>0</v>
      </c>
    </row>
    <row r="2413" spans="1:18" ht="14" hidden="1">
      <c r="A2413" s="78" t="s">
        <v>2837</v>
      </c>
      <c r="B2413" s="220" t="s">
        <v>1231</v>
      </c>
      <c r="C2413" s="185"/>
      <c r="D2413" s="103" t="str">
        <f>VLOOKUP(B2413, 'All Menu'!B:M, 4, 0)</f>
        <v>سلطة فروتي فردي</v>
      </c>
      <c r="E2413" s="30" t="str">
        <f>VLOOKUP(B2413, 'All Menu'!B:M, 2, 0)</f>
        <v>قسم المقبلات</v>
      </c>
      <c r="F2413" s="103" t="str">
        <f>VLOOKUP(B2413, 'All Menu'!B:M, 3, 0)</f>
        <v>سلطات سفري</v>
      </c>
      <c r="G2413" s="90" t="s">
        <v>3058</v>
      </c>
      <c r="H2413" s="188">
        <v>4280</v>
      </c>
      <c r="I2413" s="110" t="str">
        <f>VLOOKUP(H2413, 'RM &amp; SF'!B:H, 2, 0)</f>
        <v>علب ميكرويف مدورة اسود 500 مل RC2*****</v>
      </c>
      <c r="J2413" s="184" t="str">
        <f>VLOOKUP(H2413, 'RM &amp; SF'!B:E, 4, 0)</f>
        <v>قطعة</v>
      </c>
      <c r="K2413" s="12">
        <v>1</v>
      </c>
      <c r="L2413" s="13">
        <f>VLOOKUP(H2413, 'RM &amp; SF'!B:H, 7, 0)</f>
        <v>0.125</v>
      </c>
      <c r="M2413" s="7">
        <f t="shared" si="127"/>
        <v>0.125</v>
      </c>
      <c r="N2413" s="4" t="s">
        <v>825</v>
      </c>
      <c r="O2413" s="4">
        <f>VLOOKUP(B2413, 'All Menu'!B:L, 6, 0)</f>
        <v>2.5862068965517242</v>
      </c>
      <c r="P2413" s="6">
        <f>VLOOKUP(B2413, 'All Menu'!B:L, 9, 0)</f>
        <v>0.6959929452541771</v>
      </c>
      <c r="Q2413" s="14">
        <f>VLOOKUP(B2413, 'All Menu'!B:M, 12, 0)</f>
        <v>0.73088272783505148</v>
      </c>
      <c r="R2413" s="173">
        <f t="shared" si="126"/>
        <v>0</v>
      </c>
    </row>
    <row r="2414" spans="1:18" ht="14" hidden="1">
      <c r="A2414" s="78" t="s">
        <v>2837</v>
      </c>
      <c r="B2414" s="220" t="s">
        <v>1231</v>
      </c>
      <c r="C2414" s="185"/>
      <c r="D2414" s="103" t="str">
        <f>VLOOKUP(B2414, 'All Menu'!B:M, 4, 0)</f>
        <v>سلطة فروتي فردي</v>
      </c>
      <c r="E2414" s="30" t="str">
        <f>VLOOKUP(B2414, 'All Menu'!B:M, 2, 0)</f>
        <v>قسم المقبلات</v>
      </c>
      <c r="F2414" s="103" t="str">
        <f>VLOOKUP(B2414, 'All Menu'!B:M, 3, 0)</f>
        <v>سلطات سفري</v>
      </c>
      <c r="G2414" s="90" t="s">
        <v>3058</v>
      </c>
      <c r="H2414" s="188">
        <v>4289</v>
      </c>
      <c r="I2414" s="110" t="str">
        <f>VLOOKUP(H2414, 'RM &amp; SF'!B:H, 2, 0)</f>
        <v>علب صوص دائري منفصل أسود 30 مل 1*100 حبة*****</v>
      </c>
      <c r="J2414" s="184" t="str">
        <f>VLOOKUP(H2414, 'RM &amp; SF'!B:E, 4, 0)</f>
        <v>قطعة</v>
      </c>
      <c r="K2414" s="12">
        <v>1</v>
      </c>
      <c r="L2414" s="13">
        <f>VLOOKUP(H2414, 'RM &amp; SF'!B:H, 7, 0)</f>
        <v>1.2E-2</v>
      </c>
      <c r="M2414" s="7">
        <f t="shared" si="127"/>
        <v>1.2E-2</v>
      </c>
      <c r="N2414" s="4" t="s">
        <v>825</v>
      </c>
      <c r="O2414" s="4">
        <f>VLOOKUP(B2414, 'All Menu'!B:L, 6, 0)</f>
        <v>2.5862068965517242</v>
      </c>
      <c r="P2414" s="6">
        <f>VLOOKUP(B2414, 'All Menu'!B:L, 9, 0)</f>
        <v>0.6959929452541771</v>
      </c>
      <c r="Q2414" s="14">
        <f>VLOOKUP(B2414, 'All Menu'!B:M, 12, 0)</f>
        <v>0.73088272783505148</v>
      </c>
      <c r="R2414" s="173">
        <f t="shared" si="126"/>
        <v>0</v>
      </c>
    </row>
    <row r="2415" spans="1:18" ht="14" hidden="1">
      <c r="A2415" s="78" t="s">
        <v>2837</v>
      </c>
      <c r="B2415" s="220" t="s">
        <v>1231</v>
      </c>
      <c r="C2415" s="185"/>
      <c r="D2415" s="103" t="str">
        <f>VLOOKUP(B2415, 'All Menu'!B:M, 4, 0)</f>
        <v>سلطة فروتي فردي</v>
      </c>
      <c r="E2415" s="30" t="str">
        <f>VLOOKUP(B2415, 'All Menu'!B:M, 2, 0)</f>
        <v>قسم المقبلات</v>
      </c>
      <c r="F2415" s="103" t="str">
        <f>VLOOKUP(B2415, 'All Menu'!B:M, 3, 0)</f>
        <v>سلطات سفري</v>
      </c>
      <c r="G2415" s="90" t="s">
        <v>2382</v>
      </c>
      <c r="H2415" s="219" t="s">
        <v>526</v>
      </c>
      <c r="I2415" s="110" t="str">
        <f>VLOOKUP(H2415, 'RM &amp; SF'!B:H, 2, 0)</f>
        <v>فنغريت صوص</v>
      </c>
      <c r="J2415" s="184" t="str">
        <f>VLOOKUP(H2415, 'RM &amp; SF'!B:E, 4, 0)</f>
        <v>غم</v>
      </c>
      <c r="K2415" s="12">
        <v>30</v>
      </c>
      <c r="L2415" s="13">
        <f>VLOOKUP(H2415, 'RM &amp; SF'!B:H, 7, 0)</f>
        <v>1.6448625429553263E-3</v>
      </c>
      <c r="M2415" s="7">
        <f t="shared" si="127"/>
        <v>4.9345876288659787E-2</v>
      </c>
      <c r="N2415" s="4" t="s">
        <v>825</v>
      </c>
      <c r="O2415" s="4">
        <f>VLOOKUP(B2415, 'All Menu'!B:L, 6, 0)</f>
        <v>2.5862068965517242</v>
      </c>
      <c r="P2415" s="6">
        <f>VLOOKUP(B2415, 'All Menu'!B:L, 9, 0)</f>
        <v>0.6959929452541771</v>
      </c>
      <c r="Q2415" s="14">
        <f>VLOOKUP(B2415, 'All Menu'!B:M, 12, 0)</f>
        <v>0.73088272783505148</v>
      </c>
      <c r="R2415" s="173">
        <f t="shared" si="126"/>
        <v>0</v>
      </c>
    </row>
    <row r="2416" spans="1:18" ht="14" hidden="1">
      <c r="A2416" s="78" t="s">
        <v>2838</v>
      </c>
      <c r="B2416" s="220" t="s">
        <v>1232</v>
      </c>
      <c r="C2416" s="185"/>
      <c r="D2416" s="103" t="str">
        <f>VLOOKUP(B2416, 'All Menu'!B:M, 4, 0)</f>
        <v>شوربة عدس</v>
      </c>
      <c r="E2416" s="30" t="str">
        <f>VLOOKUP(B2416, 'All Menu'!B:M, 2, 0)</f>
        <v>قسم المقبلات</v>
      </c>
      <c r="F2416" s="103" t="str">
        <f>VLOOKUP(B2416, 'All Menu'!B:M, 3, 0)</f>
        <v>شوربات سفري</v>
      </c>
      <c r="G2416" s="90" t="s">
        <v>2426</v>
      </c>
      <c r="H2416" s="219" t="s">
        <v>630</v>
      </c>
      <c r="I2416" s="110" t="str">
        <f>VLOOKUP(H2416, 'RM &amp; SF'!B:H, 2, 0)</f>
        <v>شوربة عدس</v>
      </c>
      <c r="J2416" s="184" t="str">
        <f>VLOOKUP(H2416, 'RM &amp; SF'!B:E, 4, 0)</f>
        <v>غم</v>
      </c>
      <c r="K2416" s="12">
        <v>450</v>
      </c>
      <c r="L2416" s="13">
        <f>VLOOKUP(H2416, 'RM &amp; SF'!B:H, 7, 0)</f>
        <v>2.5886999999999997E-4</v>
      </c>
      <c r="M2416" s="7">
        <f t="shared" si="127"/>
        <v>0.11649149999999998</v>
      </c>
      <c r="N2416" s="4" t="s">
        <v>825</v>
      </c>
      <c r="O2416" s="4">
        <f>VLOOKUP(B2416, 'All Menu'!B:L, 6, 0)</f>
        <v>1.2931034482758621</v>
      </c>
      <c r="P2416" s="6">
        <f>VLOOKUP(B2416, 'All Menu'!B:L, 9, 0)</f>
        <v>0.33484549999999996</v>
      </c>
      <c r="Q2416" s="14">
        <f>VLOOKUP(B2416, 'All Menu'!B:M, 12, 0)</f>
        <v>0.74105281333333339</v>
      </c>
      <c r="R2416" s="173">
        <f t="shared" si="126"/>
        <v>0</v>
      </c>
    </row>
    <row r="2417" spans="1:18" ht="14" hidden="1">
      <c r="A2417" s="78" t="s">
        <v>2838</v>
      </c>
      <c r="B2417" s="220" t="s">
        <v>1232</v>
      </c>
      <c r="C2417" s="185"/>
      <c r="D2417" s="103" t="str">
        <f>VLOOKUP(B2417, 'All Menu'!B:M, 4, 0)</f>
        <v>شوربة عدس</v>
      </c>
      <c r="E2417" s="30" t="str">
        <f>VLOOKUP(B2417, 'All Menu'!B:M, 2, 0)</f>
        <v>قسم المقبلات</v>
      </c>
      <c r="F2417" s="103" t="str">
        <f>VLOOKUP(B2417, 'All Menu'!B:M, 3, 0)</f>
        <v>شوربات سفري</v>
      </c>
      <c r="G2417" s="90" t="s">
        <v>2330</v>
      </c>
      <c r="H2417" s="219" t="s">
        <v>490</v>
      </c>
      <c r="I2417" s="110" t="str">
        <f>VLOOKUP(H2417, 'RM &amp; SF'!B:H, 2, 0)</f>
        <v>خبز مقلي</v>
      </c>
      <c r="J2417" s="184" t="str">
        <f>VLOOKUP(H2417, 'RM &amp; SF'!B:E, 4, 0)</f>
        <v>غم</v>
      </c>
      <c r="K2417" s="12">
        <v>70</v>
      </c>
      <c r="L2417" s="13">
        <f>VLOOKUP(H2417, 'RM &amp; SF'!B:H, 7, 0)</f>
        <v>2.2857142857142859E-4</v>
      </c>
      <c r="M2417" s="7">
        <f t="shared" si="127"/>
        <v>1.6E-2</v>
      </c>
      <c r="N2417" s="4" t="s">
        <v>825</v>
      </c>
      <c r="O2417" s="4">
        <f>VLOOKUP(B2417, 'All Menu'!B:L, 6, 0)</f>
        <v>1.2931034482758621</v>
      </c>
      <c r="P2417" s="6">
        <f>VLOOKUP(B2417, 'All Menu'!B:L, 9, 0)</f>
        <v>0.33484549999999996</v>
      </c>
      <c r="Q2417" s="14">
        <f>VLOOKUP(B2417, 'All Menu'!B:M, 12, 0)</f>
        <v>0.74105281333333339</v>
      </c>
      <c r="R2417" s="173">
        <f t="shared" si="126"/>
        <v>0</v>
      </c>
    </row>
    <row r="2418" spans="1:18" ht="14" hidden="1">
      <c r="A2418" s="78" t="s">
        <v>2838</v>
      </c>
      <c r="B2418" s="220" t="s">
        <v>1232</v>
      </c>
      <c r="C2418" s="185"/>
      <c r="D2418" s="103" t="str">
        <f>VLOOKUP(B2418, 'All Menu'!B:M, 4, 0)</f>
        <v>شوربة عدس</v>
      </c>
      <c r="E2418" s="30" t="str">
        <f>VLOOKUP(B2418, 'All Menu'!B:M, 2, 0)</f>
        <v>قسم المقبلات</v>
      </c>
      <c r="F2418" s="103" t="str">
        <f>VLOOKUP(B2418, 'All Menu'!B:M, 3, 0)</f>
        <v>شوربات سفري</v>
      </c>
      <c r="G2418" s="90" t="s">
        <v>2239</v>
      </c>
      <c r="H2418" s="188">
        <v>4513</v>
      </c>
      <c r="I2418" s="110" t="str">
        <f>VLOOKUP(H2418, 'RM &amp; SF'!B:H, 2, 0)</f>
        <v>ليمون اصفر*****</v>
      </c>
      <c r="J2418" s="184" t="str">
        <f>VLOOKUP(H2418, 'RM &amp; SF'!B:E, 4, 0)</f>
        <v>غم</v>
      </c>
      <c r="K2418" s="12">
        <v>60</v>
      </c>
      <c r="L2418" s="13">
        <f>VLOOKUP(H2418, 'RM &amp; SF'!B:H, 7, 0)</f>
        <v>1.75E-3</v>
      </c>
      <c r="M2418" s="7">
        <f t="shared" si="127"/>
        <v>0.105</v>
      </c>
      <c r="N2418" s="4" t="s">
        <v>825</v>
      </c>
      <c r="O2418" s="4">
        <f>VLOOKUP(B2418, 'All Menu'!B:L, 6, 0)</f>
        <v>1.2931034482758621</v>
      </c>
      <c r="P2418" s="6">
        <f>VLOOKUP(B2418, 'All Menu'!B:L, 9, 0)</f>
        <v>0.33484549999999996</v>
      </c>
      <c r="Q2418" s="14">
        <f>VLOOKUP(B2418, 'All Menu'!B:M, 12, 0)</f>
        <v>0.74105281333333339</v>
      </c>
      <c r="R2418" s="173">
        <f t="shared" si="126"/>
        <v>0</v>
      </c>
    </row>
    <row r="2419" spans="1:18" ht="14" hidden="1">
      <c r="A2419" s="78" t="s">
        <v>2838</v>
      </c>
      <c r="B2419" s="220" t="s">
        <v>1232</v>
      </c>
      <c r="C2419" s="185"/>
      <c r="D2419" s="103" t="str">
        <f>VLOOKUP(B2419, 'All Menu'!B:M, 4, 0)</f>
        <v>شوربة عدس</v>
      </c>
      <c r="E2419" s="30" t="str">
        <f>VLOOKUP(B2419, 'All Menu'!B:M, 2, 0)</f>
        <v>قسم المقبلات</v>
      </c>
      <c r="F2419" s="103" t="str">
        <f>VLOOKUP(B2419, 'All Menu'!B:M, 3, 0)</f>
        <v>شوربات سفري</v>
      </c>
      <c r="G2419" s="90" t="s">
        <v>3058</v>
      </c>
      <c r="H2419" s="188">
        <v>4285</v>
      </c>
      <c r="I2419" s="110" t="str">
        <f>VLOOKUP(H2419, 'RM &amp; SF'!B:H, 2, 0)</f>
        <v>علب بلاستيك مربع متصل 150 مل*****</v>
      </c>
      <c r="J2419" s="184" t="str">
        <f>VLOOKUP(H2419, 'RM &amp; SF'!B:E, 4, 0)</f>
        <v>قطعة</v>
      </c>
      <c r="K2419" s="12">
        <v>2</v>
      </c>
      <c r="L2419" s="13">
        <f>VLOOKUP(H2419, 'RM &amp; SF'!B:H, 7, 0)</f>
        <v>1.494E-2</v>
      </c>
      <c r="M2419" s="7">
        <f t="shared" si="127"/>
        <v>2.988E-2</v>
      </c>
      <c r="N2419" s="4" t="s">
        <v>825</v>
      </c>
      <c r="O2419" s="4">
        <f>VLOOKUP(B2419, 'All Menu'!B:L, 6, 0)</f>
        <v>1.2931034482758621</v>
      </c>
      <c r="P2419" s="6">
        <f>VLOOKUP(B2419, 'All Menu'!B:L, 9, 0)</f>
        <v>0.33484549999999996</v>
      </c>
      <c r="Q2419" s="14">
        <f>VLOOKUP(B2419, 'All Menu'!B:M, 12, 0)</f>
        <v>0.74105281333333339</v>
      </c>
      <c r="R2419" s="173">
        <f t="shared" si="126"/>
        <v>0</v>
      </c>
    </row>
    <row r="2420" spans="1:18" ht="14" hidden="1">
      <c r="A2420" s="78" t="s">
        <v>2838</v>
      </c>
      <c r="B2420" s="220" t="s">
        <v>1232</v>
      </c>
      <c r="C2420" s="185"/>
      <c r="D2420" s="103" t="str">
        <f>VLOOKUP(B2420, 'All Menu'!B:M, 4, 0)</f>
        <v>شوربة عدس</v>
      </c>
      <c r="E2420" s="30" t="str">
        <f>VLOOKUP(B2420, 'All Menu'!B:M, 2, 0)</f>
        <v>قسم المقبلات</v>
      </c>
      <c r="F2420" s="103" t="str">
        <f>VLOOKUP(B2420, 'All Menu'!B:M, 3, 0)</f>
        <v>شوربات سفري</v>
      </c>
      <c r="G2420" s="90" t="s">
        <v>2307</v>
      </c>
      <c r="H2420" s="188">
        <v>4284</v>
      </c>
      <c r="I2420" s="110" t="str">
        <f>VLOOKUP(H2420, 'RM &amp; SF'!B:H, 2, 0)</f>
        <v>علب سلطة بلاستيك شفاف (كرستال) دائرية متصل 500 مل*****</v>
      </c>
      <c r="J2420" s="184" t="str">
        <f>VLOOKUP(H2420, 'RM &amp; SF'!B:E, 4, 0)</f>
        <v>قطعة</v>
      </c>
      <c r="K2420" s="12">
        <v>1</v>
      </c>
      <c r="L2420" s="13">
        <f>VLOOKUP(H2420, 'RM &amp; SF'!B:H, 7, 0)</f>
        <v>6.7000000000000004E-2</v>
      </c>
      <c r="M2420" s="7">
        <f t="shared" si="127"/>
        <v>6.7000000000000004E-2</v>
      </c>
      <c r="N2420" s="4" t="s">
        <v>825</v>
      </c>
      <c r="O2420" s="4">
        <f>VLOOKUP(B2420, 'All Menu'!B:L, 6, 0)</f>
        <v>1.2931034482758621</v>
      </c>
      <c r="P2420" s="6">
        <f>VLOOKUP(B2420, 'All Menu'!B:L, 9, 0)</f>
        <v>0.33484549999999996</v>
      </c>
      <c r="Q2420" s="14">
        <f>VLOOKUP(B2420, 'All Menu'!B:M, 12, 0)</f>
        <v>0.74105281333333339</v>
      </c>
      <c r="R2420" s="173">
        <f t="shared" si="126"/>
        <v>0</v>
      </c>
    </row>
    <row r="2421" spans="1:18" ht="14" hidden="1">
      <c r="A2421" s="78" t="s">
        <v>2838</v>
      </c>
      <c r="B2421" s="220" t="s">
        <v>1232</v>
      </c>
      <c r="C2421" s="185"/>
      <c r="D2421" s="103" t="str">
        <f>VLOOKUP(B2421, 'All Menu'!B:M, 4, 0)</f>
        <v>شوربة عدس</v>
      </c>
      <c r="E2421" s="30" t="str">
        <f>VLOOKUP(B2421, 'All Menu'!B:M, 2, 0)</f>
        <v>قسم المقبلات</v>
      </c>
      <c r="F2421" s="103" t="str">
        <f>VLOOKUP(B2421, 'All Menu'!B:M, 3, 0)</f>
        <v>شوربات سفري</v>
      </c>
      <c r="G2421" s="90" t="s">
        <v>2195</v>
      </c>
      <c r="H2421" s="188">
        <v>4329</v>
      </c>
      <c r="I2421" s="110" t="str">
        <f>VLOOKUP(H2421, 'RM &amp; SF'!B:H, 2, 0)</f>
        <v>ملاعق بلاستيك مع معقم مطبوع 1*500 حبة*****</v>
      </c>
      <c r="J2421" s="184" t="str">
        <f>VLOOKUP(H2421, 'RM &amp; SF'!B:E, 4, 0)</f>
        <v>قطعة</v>
      </c>
      <c r="K2421" s="12">
        <v>1</v>
      </c>
      <c r="L2421" s="13">
        <f>VLOOKUP(H2421, 'RM &amp; SF'!B:H, 7, 0)</f>
        <v>4.7399999999999997E-4</v>
      </c>
      <c r="M2421" s="7">
        <f t="shared" si="127"/>
        <v>4.7399999999999997E-4</v>
      </c>
      <c r="N2421" s="4" t="s">
        <v>825</v>
      </c>
      <c r="O2421" s="4">
        <f>VLOOKUP(B2421, 'All Menu'!B:L, 6, 0)</f>
        <v>1.2931034482758621</v>
      </c>
      <c r="P2421" s="6">
        <f>VLOOKUP(B2421, 'All Menu'!B:L, 9, 0)</f>
        <v>0.33484549999999996</v>
      </c>
      <c r="Q2421" s="14">
        <f>VLOOKUP(B2421, 'All Menu'!B:M, 12, 0)</f>
        <v>0.74105281333333339</v>
      </c>
      <c r="R2421" s="173">
        <f t="shared" si="126"/>
        <v>0</v>
      </c>
    </row>
    <row r="2422" spans="1:18" ht="14" hidden="1">
      <c r="A2422" s="78" t="s">
        <v>2839</v>
      </c>
      <c r="B2422" s="220" t="s">
        <v>1235</v>
      </c>
      <c r="C2422" s="185"/>
      <c r="D2422" s="103" t="str">
        <f>VLOOKUP(B2422, 'All Menu'!B:M, 4, 0)</f>
        <v>شوربة فطر بالكريمة</v>
      </c>
      <c r="E2422" s="30" t="str">
        <f>VLOOKUP(B2422, 'All Menu'!B:M, 2, 0)</f>
        <v>قسم المقبلات</v>
      </c>
      <c r="F2422" s="103" t="str">
        <f>VLOOKUP(B2422, 'All Menu'!B:M, 3, 0)</f>
        <v>شوربات سفري</v>
      </c>
      <c r="G2422" s="90" t="s">
        <v>2364</v>
      </c>
      <c r="H2422" s="219" t="s">
        <v>760</v>
      </c>
      <c r="I2422" s="110" t="str">
        <f>VLOOKUP(H2422, 'RM &amp; SF'!B:H, 2, 0)</f>
        <v>ضربة شوربة فطر بالكريمة</v>
      </c>
      <c r="J2422" s="184" t="str">
        <f>VLOOKUP(H2422, 'RM &amp; SF'!B:E, 4, 0)</f>
        <v>غم</v>
      </c>
      <c r="K2422" s="12">
        <v>250</v>
      </c>
      <c r="L2422" s="13">
        <f>VLOOKUP(H2422, 'RM &amp; SF'!B:H, 7, 0)</f>
        <v>4.6747002155172416E-3</v>
      </c>
      <c r="M2422" s="7">
        <f t="shared" si="127"/>
        <v>1.1686750538793105</v>
      </c>
      <c r="N2422" s="4" t="s">
        <v>825</v>
      </c>
      <c r="O2422" s="4">
        <f>VLOOKUP(B2422, 'All Menu'!B:L, 6, 0)</f>
        <v>1.7241379310344829</v>
      </c>
      <c r="P2422" s="6">
        <f>VLOOKUP(B2422, 'All Menu'!B:L, 9, 0)</f>
        <v>1.2361490538793105</v>
      </c>
      <c r="Q2422" s="14">
        <f>VLOOKUP(B2422, 'All Menu'!B:M, 12, 0)</f>
        <v>0.28303354874999997</v>
      </c>
      <c r="R2422" s="173">
        <f t="shared" si="126"/>
        <v>0</v>
      </c>
    </row>
    <row r="2423" spans="1:18" ht="14" hidden="1">
      <c r="A2423" s="78" t="s">
        <v>2839</v>
      </c>
      <c r="B2423" s="220" t="s">
        <v>1235</v>
      </c>
      <c r="C2423" s="185"/>
      <c r="D2423" s="103" t="str">
        <f>VLOOKUP(B2423, 'All Menu'!B:M, 4, 0)</f>
        <v>شوربة فطر بالكريمة</v>
      </c>
      <c r="E2423" s="30" t="str">
        <f>VLOOKUP(B2423, 'All Menu'!B:M, 2, 0)</f>
        <v>قسم المقبلات</v>
      </c>
      <c r="F2423" s="103" t="str">
        <f>VLOOKUP(B2423, 'All Menu'!B:M, 3, 0)</f>
        <v>شوربات سفري</v>
      </c>
      <c r="G2423" s="90" t="s">
        <v>2307</v>
      </c>
      <c r="H2423" s="188">
        <v>4284</v>
      </c>
      <c r="I2423" s="110" t="str">
        <f>VLOOKUP(H2423, 'RM &amp; SF'!B:H, 2, 0)</f>
        <v>علب سلطة بلاستيك شفاف (كرستال) دائرية متصل 500 مل*****</v>
      </c>
      <c r="J2423" s="184" t="str">
        <f>VLOOKUP(H2423, 'RM &amp; SF'!B:E, 4, 0)</f>
        <v>قطعة</v>
      </c>
      <c r="K2423" s="12">
        <v>1</v>
      </c>
      <c r="L2423" s="13">
        <f>VLOOKUP(H2423, 'RM &amp; SF'!B:H, 7, 0)</f>
        <v>6.7000000000000004E-2</v>
      </c>
      <c r="M2423" s="7">
        <f t="shared" si="127"/>
        <v>6.7000000000000004E-2</v>
      </c>
      <c r="N2423" s="4" t="s">
        <v>825</v>
      </c>
      <c r="O2423" s="4">
        <f>VLOOKUP(B2423, 'All Menu'!B:L, 6, 0)</f>
        <v>1.7241379310344829</v>
      </c>
      <c r="P2423" s="6">
        <f>VLOOKUP(B2423, 'All Menu'!B:L, 9, 0)</f>
        <v>1.2361490538793105</v>
      </c>
      <c r="Q2423" s="14">
        <f>VLOOKUP(B2423, 'All Menu'!B:M, 12, 0)</f>
        <v>0.28303354874999997</v>
      </c>
      <c r="R2423" s="173">
        <f t="shared" si="126"/>
        <v>0</v>
      </c>
    </row>
    <row r="2424" spans="1:18" ht="14" hidden="1">
      <c r="A2424" s="78" t="s">
        <v>2839</v>
      </c>
      <c r="B2424" s="220" t="s">
        <v>1235</v>
      </c>
      <c r="C2424" s="185"/>
      <c r="D2424" s="103" t="str">
        <f>VLOOKUP(B2424, 'All Menu'!B:M, 4, 0)</f>
        <v>شوربة فطر بالكريمة</v>
      </c>
      <c r="E2424" s="30" t="str">
        <f>VLOOKUP(B2424, 'All Menu'!B:M, 2, 0)</f>
        <v>قسم المقبلات</v>
      </c>
      <c r="F2424" s="103" t="str">
        <f>VLOOKUP(B2424, 'All Menu'!B:M, 3, 0)</f>
        <v>شوربات سفري</v>
      </c>
      <c r="G2424" s="90" t="s">
        <v>2195</v>
      </c>
      <c r="H2424" s="188">
        <v>4329</v>
      </c>
      <c r="I2424" s="110" t="str">
        <f>VLOOKUP(H2424, 'RM &amp; SF'!B:H, 2, 0)</f>
        <v>ملاعق بلاستيك مع معقم مطبوع 1*500 حبة*****</v>
      </c>
      <c r="J2424" s="184" t="str">
        <f>VLOOKUP(H2424, 'RM &amp; SF'!B:E, 4, 0)</f>
        <v>قطعة</v>
      </c>
      <c r="K2424" s="12">
        <v>1</v>
      </c>
      <c r="L2424" s="13">
        <f>VLOOKUP(H2424, 'RM &amp; SF'!B:H, 7, 0)</f>
        <v>4.7399999999999997E-4</v>
      </c>
      <c r="M2424" s="7">
        <f t="shared" si="127"/>
        <v>4.7399999999999997E-4</v>
      </c>
      <c r="N2424" s="4" t="s">
        <v>825</v>
      </c>
      <c r="O2424" s="4">
        <f>VLOOKUP(B2424, 'All Menu'!B:L, 6, 0)</f>
        <v>1.7241379310344829</v>
      </c>
      <c r="P2424" s="6">
        <f>VLOOKUP(B2424, 'All Menu'!B:L, 9, 0)</f>
        <v>1.2361490538793105</v>
      </c>
      <c r="Q2424" s="14">
        <f>VLOOKUP(B2424, 'All Menu'!B:M, 12, 0)</f>
        <v>0.28303354874999997</v>
      </c>
      <c r="R2424" s="173">
        <f t="shared" si="126"/>
        <v>0</v>
      </c>
    </row>
    <row r="2425" spans="1:18" ht="14" hidden="1">
      <c r="A2425" s="78" t="s">
        <v>2818</v>
      </c>
      <c r="B2425" s="220" t="s">
        <v>1274</v>
      </c>
      <c r="C2425" s="185"/>
      <c r="D2425" s="103" t="str">
        <f>VLOOKUP(B2425, 'All Menu'!B:M, 4, 0)</f>
        <v>علبة دقوس كبير</v>
      </c>
      <c r="E2425" s="30" t="str">
        <f>VLOOKUP(B2425, 'All Menu'!B:M, 2, 0)</f>
        <v>قسم المقبلات</v>
      </c>
      <c r="F2425" s="103" t="str">
        <f>VLOOKUP(B2425, 'All Menu'!B:M, 3, 0)</f>
        <v>المقبلات سفري</v>
      </c>
      <c r="G2425" s="90" t="s">
        <v>2329</v>
      </c>
      <c r="H2425" s="219" t="s">
        <v>512</v>
      </c>
      <c r="I2425" s="110" t="str">
        <f>VLOOKUP(H2425, 'RM &amp; SF'!B:H, 2, 0)</f>
        <v>خلطة دقوس</v>
      </c>
      <c r="J2425" s="184" t="str">
        <f>VLOOKUP(H2425, 'RM &amp; SF'!B:E, 4, 0)</f>
        <v>غم</v>
      </c>
      <c r="K2425" s="12">
        <v>250</v>
      </c>
      <c r="L2425" s="13">
        <f>VLOOKUP(H2425, 'RM &amp; SF'!B:H, 7, 0)</f>
        <v>7.5544490740740743E-4</v>
      </c>
      <c r="M2425" s="7">
        <f t="shared" si="127"/>
        <v>0.18886122685185186</v>
      </c>
      <c r="N2425" s="4" t="s">
        <v>825</v>
      </c>
      <c r="O2425" s="4">
        <f>VLOOKUP(B2425, 'All Menu'!B:L, 6, 0)</f>
        <v>1.2931034482758621</v>
      </c>
      <c r="P2425" s="6">
        <f>VLOOKUP(B2425, 'All Menu'!B:L, 9, 0)</f>
        <v>0.27506122685185186</v>
      </c>
      <c r="Q2425" s="14">
        <f>VLOOKUP(B2425, 'All Menu'!B:M, 12, 0)</f>
        <v>0.78728598456790111</v>
      </c>
      <c r="R2425" s="173">
        <f t="shared" si="126"/>
        <v>0</v>
      </c>
    </row>
    <row r="2426" spans="1:18" ht="14" hidden="1">
      <c r="A2426" s="78" t="s">
        <v>2818</v>
      </c>
      <c r="B2426" s="220" t="s">
        <v>1274</v>
      </c>
      <c r="C2426" s="185"/>
      <c r="D2426" s="103" t="str">
        <f>VLOOKUP(B2426, 'All Menu'!B:M, 4, 0)</f>
        <v>علبة دقوس كبير</v>
      </c>
      <c r="E2426" s="30" t="str">
        <f>VLOOKUP(B2426, 'All Menu'!B:M, 2, 0)</f>
        <v>قسم المقبلات</v>
      </c>
      <c r="F2426" s="103" t="str">
        <f>VLOOKUP(B2426, 'All Menu'!B:M, 3, 0)</f>
        <v>المقبلات سفري</v>
      </c>
      <c r="G2426" s="90" t="s">
        <v>2191</v>
      </c>
      <c r="H2426" s="188">
        <v>4282</v>
      </c>
      <c r="I2426" s="110" t="str">
        <f>VLOOKUP(H2426, 'RM &amp; SF'!B:H, 2, 0)</f>
        <v>علب سوشي اسود رقم 3*****</v>
      </c>
      <c r="J2426" s="184" t="str">
        <f>VLOOKUP(H2426, 'RM &amp; SF'!B:E, 4, 0)</f>
        <v>قطعة</v>
      </c>
      <c r="K2426" s="12">
        <v>1</v>
      </c>
      <c r="L2426" s="13">
        <f>VLOOKUP(H2426, 'RM &amp; SF'!B:H, 7, 0)</f>
        <v>8.6199999999999999E-2</v>
      </c>
      <c r="M2426" s="7">
        <f t="shared" si="127"/>
        <v>8.6199999999999999E-2</v>
      </c>
      <c r="N2426" s="4" t="s">
        <v>825</v>
      </c>
      <c r="O2426" s="4">
        <f>VLOOKUP(B2426, 'All Menu'!B:L, 6, 0)</f>
        <v>1.2931034482758621</v>
      </c>
      <c r="P2426" s="6">
        <f>VLOOKUP(B2426, 'All Menu'!B:L, 9, 0)</f>
        <v>0.27506122685185186</v>
      </c>
      <c r="Q2426" s="14">
        <f>VLOOKUP(B2426, 'All Menu'!B:M, 12, 0)</f>
        <v>0.78728598456790111</v>
      </c>
      <c r="R2426" s="173">
        <f t="shared" si="126"/>
        <v>0</v>
      </c>
    </row>
    <row r="2427" spans="1:18" ht="14" hidden="1">
      <c r="A2427" s="78" t="s">
        <v>2817</v>
      </c>
      <c r="B2427" s="220" t="s">
        <v>1300</v>
      </c>
      <c r="C2427" s="185"/>
      <c r="D2427" s="103" t="str">
        <f>VLOOKUP(B2427, 'All Menu'!B:M, 4, 0)</f>
        <v>يالنجي كيلو</v>
      </c>
      <c r="E2427" s="30" t="str">
        <f>VLOOKUP(B2427, 'All Menu'!B:M, 2, 0)</f>
        <v>قسم المقبلات</v>
      </c>
      <c r="F2427" s="103" t="str">
        <f>VLOOKUP(B2427, 'All Menu'!B:M, 3, 0)</f>
        <v>المقبلات سفري</v>
      </c>
      <c r="G2427" s="90" t="s">
        <v>2381</v>
      </c>
      <c r="H2427" s="219" t="s">
        <v>492</v>
      </c>
      <c r="I2427" s="110" t="str">
        <f>VLOOKUP(H2427, 'RM &amp; SF'!B:H, 2, 0)</f>
        <v>يلنجي بالحبة</v>
      </c>
      <c r="J2427" s="184" t="str">
        <f>VLOOKUP(H2427, 'RM &amp; SF'!B:E, 4, 0)</f>
        <v>قطعة</v>
      </c>
      <c r="K2427" s="22">
        <v>50</v>
      </c>
      <c r="L2427" s="13">
        <f>VLOOKUP(H2427, 'RM &amp; SF'!B:H, 7, 0)</f>
        <v>3.3316857762056666E-2</v>
      </c>
      <c r="M2427" s="15">
        <f t="shared" si="127"/>
        <v>1.6658428881028333</v>
      </c>
      <c r="N2427" s="21" t="s">
        <v>825</v>
      </c>
      <c r="O2427" s="4">
        <f>VLOOKUP(B2427, 'All Menu'!B:L, 6, 0)</f>
        <v>12.931034482758621</v>
      </c>
      <c r="P2427" s="6">
        <f>VLOOKUP(B2427, 'All Menu'!B:L, 9, 0)</f>
        <v>3.0207196746032001</v>
      </c>
      <c r="Q2427" s="14">
        <f>VLOOKUP(B2427, 'All Menu'!B:M, 12, 0)</f>
        <v>0.76639767849735252</v>
      </c>
      <c r="R2427" s="173">
        <f t="shared" si="126"/>
        <v>0</v>
      </c>
    </row>
    <row r="2428" spans="1:18" ht="14" hidden="1">
      <c r="A2428" s="78" t="s">
        <v>2817</v>
      </c>
      <c r="B2428" s="220" t="s">
        <v>1300</v>
      </c>
      <c r="C2428" s="185"/>
      <c r="D2428" s="103" t="str">
        <f>VLOOKUP(B2428, 'All Menu'!B:M, 4, 0)</f>
        <v>يالنجي كيلو</v>
      </c>
      <c r="E2428" s="30" t="str">
        <f>VLOOKUP(B2428, 'All Menu'!B:M, 2, 0)</f>
        <v>قسم المقبلات</v>
      </c>
      <c r="F2428" s="103" t="str">
        <f>VLOOKUP(B2428, 'All Menu'!B:M, 3, 0)</f>
        <v>المقبلات سفري</v>
      </c>
      <c r="G2428" s="90" t="s">
        <v>2244</v>
      </c>
      <c r="H2428" s="221">
        <v>4522</v>
      </c>
      <c r="I2428" s="110" t="str">
        <f>VLOOKUP(H2428, 'RM &amp; SF'!B:H, 2, 0)</f>
        <v>رمان*****</v>
      </c>
      <c r="J2428" s="184" t="str">
        <f>VLOOKUP(H2428, 'RM &amp; SF'!B:E, 4, 0)</f>
        <v>غم</v>
      </c>
      <c r="K2428" s="22">
        <v>100</v>
      </c>
      <c r="L2428" s="13">
        <f>VLOOKUP(H2428, 'RM &amp; SF'!B:H, 7, 0)</f>
        <v>1.75E-3</v>
      </c>
      <c r="M2428" s="15">
        <f t="shared" si="127"/>
        <v>0.17500000000000002</v>
      </c>
      <c r="N2428" s="21" t="s">
        <v>825</v>
      </c>
      <c r="O2428" s="4">
        <f>VLOOKUP(B2428, 'All Menu'!B:L, 6, 0)</f>
        <v>12.931034482758621</v>
      </c>
      <c r="P2428" s="6">
        <f>VLOOKUP(B2428, 'All Menu'!B:L, 9, 0)</f>
        <v>3.0207196746032001</v>
      </c>
      <c r="Q2428" s="14">
        <f>VLOOKUP(B2428, 'All Menu'!B:M, 12, 0)</f>
        <v>0.76639767849735252</v>
      </c>
      <c r="R2428" s="173">
        <f t="shared" si="126"/>
        <v>0</v>
      </c>
    </row>
    <row r="2429" spans="1:18" ht="14" hidden="1">
      <c r="A2429" s="78" t="s">
        <v>2817</v>
      </c>
      <c r="B2429" s="220" t="s">
        <v>1300</v>
      </c>
      <c r="C2429" s="185"/>
      <c r="D2429" s="103" t="str">
        <f>VLOOKUP(B2429, 'All Menu'!B:M, 4, 0)</f>
        <v>يالنجي كيلو</v>
      </c>
      <c r="E2429" s="30" t="str">
        <f>VLOOKUP(B2429, 'All Menu'!B:M, 2, 0)</f>
        <v>قسم المقبلات</v>
      </c>
      <c r="F2429" s="103" t="str">
        <f>VLOOKUP(B2429, 'All Menu'!B:M, 3, 0)</f>
        <v>المقبلات سفري</v>
      </c>
      <c r="G2429" s="90" t="s">
        <v>3058</v>
      </c>
      <c r="H2429" s="221">
        <v>4516</v>
      </c>
      <c r="I2429" s="110" t="str">
        <f>VLOOKUP(H2429, 'RM &amp; SF'!B:H, 2, 0)</f>
        <v>بندورة كرزية (بندورة شري)*****</v>
      </c>
      <c r="J2429" s="184" t="str">
        <f>VLOOKUP(H2429, 'RM &amp; SF'!B:E, 4, 0)</f>
        <v>غم</v>
      </c>
      <c r="K2429" s="22">
        <v>100</v>
      </c>
      <c r="L2429" s="13">
        <f>VLOOKUP(H2429, 'RM &amp; SF'!B:H, 7, 0)</f>
        <v>1.8749999999999999E-3</v>
      </c>
      <c r="M2429" s="15">
        <f t="shared" si="127"/>
        <v>0.1875</v>
      </c>
      <c r="N2429" s="21" t="s">
        <v>825</v>
      </c>
      <c r="O2429" s="4">
        <f>VLOOKUP(B2429, 'All Menu'!B:L, 6, 0)</f>
        <v>12.931034482758621</v>
      </c>
      <c r="P2429" s="6">
        <f>VLOOKUP(B2429, 'All Menu'!B:L, 9, 0)</f>
        <v>3.0207196746032001</v>
      </c>
      <c r="Q2429" s="14">
        <f>VLOOKUP(B2429, 'All Menu'!B:M, 12, 0)</f>
        <v>0.76639767849735252</v>
      </c>
      <c r="R2429" s="173">
        <f t="shared" si="126"/>
        <v>0</v>
      </c>
    </row>
    <row r="2430" spans="1:18" ht="14" hidden="1">
      <c r="A2430" s="78" t="s">
        <v>2817</v>
      </c>
      <c r="B2430" s="220" t="s">
        <v>1300</v>
      </c>
      <c r="C2430" s="185"/>
      <c r="D2430" s="103" t="str">
        <f>VLOOKUP(B2430, 'All Menu'!B:M, 4, 0)</f>
        <v>يالنجي كيلو</v>
      </c>
      <c r="E2430" s="30" t="str">
        <f>VLOOKUP(B2430, 'All Menu'!B:M, 2, 0)</f>
        <v>قسم المقبلات</v>
      </c>
      <c r="F2430" s="103" t="str">
        <f>VLOOKUP(B2430, 'All Menu'!B:M, 3, 0)</f>
        <v>المقبلات سفري</v>
      </c>
      <c r="G2430" s="90" t="s">
        <v>2239</v>
      </c>
      <c r="H2430" s="221">
        <v>4513</v>
      </c>
      <c r="I2430" s="110" t="str">
        <f>VLOOKUP(H2430, 'RM &amp; SF'!B:H, 2, 0)</f>
        <v>ليمون اصفر*****</v>
      </c>
      <c r="J2430" s="184" t="str">
        <f>VLOOKUP(H2430, 'RM &amp; SF'!B:E, 4, 0)</f>
        <v>غم</v>
      </c>
      <c r="K2430" s="22">
        <v>120</v>
      </c>
      <c r="L2430" s="13">
        <f>VLOOKUP(H2430, 'RM &amp; SF'!B:H, 7, 0)</f>
        <v>1.75E-3</v>
      </c>
      <c r="M2430" s="15">
        <f t="shared" si="127"/>
        <v>0.21</v>
      </c>
      <c r="N2430" s="21" t="s">
        <v>825</v>
      </c>
      <c r="O2430" s="4">
        <f>VLOOKUP(B2430, 'All Menu'!B:L, 6, 0)</f>
        <v>12.931034482758621</v>
      </c>
      <c r="P2430" s="6">
        <f>VLOOKUP(B2430, 'All Menu'!B:L, 9, 0)</f>
        <v>3.0207196746032001</v>
      </c>
      <c r="Q2430" s="14">
        <f>VLOOKUP(B2430, 'All Menu'!B:M, 12, 0)</f>
        <v>0.76639767849735252</v>
      </c>
      <c r="R2430" s="173">
        <f t="shared" si="126"/>
        <v>0</v>
      </c>
    </row>
    <row r="2431" spans="1:18" ht="14" hidden="1">
      <c r="A2431" s="78" t="s">
        <v>2817</v>
      </c>
      <c r="B2431" s="220" t="s">
        <v>1300</v>
      </c>
      <c r="C2431" s="185"/>
      <c r="D2431" s="103" t="str">
        <f>VLOOKUP(B2431, 'All Menu'!B:M, 4, 0)</f>
        <v>يالنجي كيلو</v>
      </c>
      <c r="E2431" s="30" t="str">
        <f>VLOOKUP(B2431, 'All Menu'!B:M, 2, 0)</f>
        <v>قسم المقبلات</v>
      </c>
      <c r="F2431" s="103" t="str">
        <f>VLOOKUP(B2431, 'All Menu'!B:M, 3, 0)</f>
        <v>المقبلات سفري</v>
      </c>
      <c r="G2431" s="90" t="s">
        <v>2265</v>
      </c>
      <c r="H2431" s="221">
        <v>4006</v>
      </c>
      <c r="I2431" s="110" t="str">
        <f>VLOOKUP(H2431, 'RM &amp; SF'!B:H, 2, 0)</f>
        <v>دبس رمان 5 كغ (مادة أولية)*****</v>
      </c>
      <c r="J2431" s="184" t="str">
        <f>VLOOKUP(H2431, 'RM &amp; SF'!B:E, 4, 0)</f>
        <v>غم</v>
      </c>
      <c r="K2431" s="22">
        <v>140</v>
      </c>
      <c r="L2431" s="13">
        <f>VLOOKUP(H2431, 'RM &amp; SF'!B:H, 7, 0)</f>
        <v>1.508E-3</v>
      </c>
      <c r="M2431" s="15">
        <f t="shared" si="127"/>
        <v>0.21112</v>
      </c>
      <c r="N2431" s="21" t="s">
        <v>825</v>
      </c>
      <c r="O2431" s="4">
        <f>VLOOKUP(B2431, 'All Menu'!B:L, 6, 0)</f>
        <v>12.931034482758621</v>
      </c>
      <c r="P2431" s="6">
        <f>VLOOKUP(B2431, 'All Menu'!B:L, 9, 0)</f>
        <v>3.0207196746032001</v>
      </c>
      <c r="Q2431" s="14">
        <f>VLOOKUP(B2431, 'All Menu'!B:M, 12, 0)</f>
        <v>0.76639767849735252</v>
      </c>
      <c r="R2431" s="173">
        <f t="shared" si="126"/>
        <v>0</v>
      </c>
    </row>
    <row r="2432" spans="1:18" ht="14" hidden="1">
      <c r="A2432" s="78" t="s">
        <v>2817</v>
      </c>
      <c r="B2432" s="220" t="s">
        <v>1300</v>
      </c>
      <c r="C2432" s="185"/>
      <c r="D2432" s="103" t="str">
        <f>VLOOKUP(B2432, 'All Menu'!B:M, 4, 0)</f>
        <v>يالنجي كيلو</v>
      </c>
      <c r="E2432" s="30" t="str">
        <f>VLOOKUP(B2432, 'All Menu'!B:M, 2, 0)</f>
        <v>قسم المقبلات</v>
      </c>
      <c r="F2432" s="103" t="str">
        <f>VLOOKUP(B2432, 'All Menu'!B:M, 3, 0)</f>
        <v>المقبلات سفري</v>
      </c>
      <c r="G2432" s="90" t="s">
        <v>3058</v>
      </c>
      <c r="H2432" s="221">
        <v>5266</v>
      </c>
      <c r="I2432" s="110" t="str">
        <f>VLOOKUP(H2432, 'RM &amp; SF'!B:H, 2, 0)</f>
        <v>صحن خماسي بلاستيك عليه ذهبي</v>
      </c>
      <c r="J2432" s="184" t="str">
        <f>VLOOKUP(H2432, 'RM &amp; SF'!B:E, 4, 0)</f>
        <v>قطعة</v>
      </c>
      <c r="K2432" s="22">
        <v>1</v>
      </c>
      <c r="L2432" s="13">
        <f>VLOOKUP(H2432, 'RM &amp; SF'!B:H, 7, 0)</f>
        <v>0.5502567865003668</v>
      </c>
      <c r="M2432" s="15">
        <f t="shared" si="127"/>
        <v>0.5502567865003668</v>
      </c>
      <c r="N2432" s="21" t="s">
        <v>825</v>
      </c>
      <c r="O2432" s="4">
        <f>VLOOKUP(B2432, 'All Menu'!B:L, 6, 0)</f>
        <v>12.931034482758621</v>
      </c>
      <c r="P2432" s="6">
        <f>VLOOKUP(B2432, 'All Menu'!B:L, 9, 0)</f>
        <v>3.0207196746032001</v>
      </c>
      <c r="Q2432" s="14">
        <f>VLOOKUP(B2432, 'All Menu'!B:M, 12, 0)</f>
        <v>0.76639767849735252</v>
      </c>
      <c r="R2432" s="173">
        <f t="shared" si="126"/>
        <v>0</v>
      </c>
    </row>
    <row r="2433" spans="1:18" ht="14" hidden="1">
      <c r="A2433" s="78" t="s">
        <v>2817</v>
      </c>
      <c r="B2433" s="220" t="s">
        <v>1300</v>
      </c>
      <c r="C2433" s="185"/>
      <c r="D2433" s="103" t="str">
        <f>VLOOKUP(B2433, 'All Menu'!B:M, 4, 0)</f>
        <v>يالنجي كيلو</v>
      </c>
      <c r="E2433" s="30" t="str">
        <f>VLOOKUP(B2433, 'All Menu'!B:M, 2, 0)</f>
        <v>قسم المقبلات</v>
      </c>
      <c r="F2433" s="103" t="str">
        <f>VLOOKUP(B2433, 'All Menu'!B:M, 3, 0)</f>
        <v>المقبلات سفري</v>
      </c>
      <c r="G2433" s="90" t="s">
        <v>2237</v>
      </c>
      <c r="H2433" s="221">
        <v>4508</v>
      </c>
      <c r="I2433" s="110" t="str">
        <f>VLOOKUP(H2433, 'RM &amp; SF'!B:H, 2, 0)</f>
        <v>ملفوف ابيض*****</v>
      </c>
      <c r="J2433" s="184" t="str">
        <f>VLOOKUP(H2433, 'RM &amp; SF'!B:E, 4, 0)</f>
        <v>غم</v>
      </c>
      <c r="K2433" s="22">
        <v>70</v>
      </c>
      <c r="L2433" s="13">
        <f>VLOOKUP(H2433, 'RM &amp; SF'!B:H, 7, 0)</f>
        <v>2.9999999999999997E-4</v>
      </c>
      <c r="M2433" s="15">
        <f t="shared" si="127"/>
        <v>2.0999999999999998E-2</v>
      </c>
      <c r="N2433" s="21" t="s">
        <v>825</v>
      </c>
      <c r="O2433" s="4">
        <f>VLOOKUP(B2433, 'All Menu'!B:L, 6, 0)</f>
        <v>12.931034482758621</v>
      </c>
      <c r="P2433" s="6">
        <f>VLOOKUP(B2433, 'All Menu'!B:L, 9, 0)</f>
        <v>3.0207196746032001</v>
      </c>
      <c r="Q2433" s="14">
        <f>VLOOKUP(B2433, 'All Menu'!B:M, 12, 0)</f>
        <v>0.76639767849735252</v>
      </c>
      <c r="R2433" s="173">
        <f t="shared" si="126"/>
        <v>0</v>
      </c>
    </row>
    <row r="2434" spans="1:18" ht="14" hidden="1">
      <c r="A2434" s="78" t="s">
        <v>2819</v>
      </c>
      <c r="B2434" s="220" t="s">
        <v>1308</v>
      </c>
      <c r="C2434" s="185"/>
      <c r="D2434" s="103" t="str">
        <f>VLOOKUP(B2434, 'All Menu'!B:M, 4, 0)</f>
        <v>صحن خضار سيرفس</v>
      </c>
      <c r="E2434" s="30" t="str">
        <f>VLOOKUP(B2434, 'All Menu'!B:M, 2, 0)</f>
        <v>قسم المقبلات</v>
      </c>
      <c r="F2434" s="103" t="str">
        <f>VLOOKUP(B2434, 'All Menu'!B:M, 3, 0)</f>
        <v>المقبلات سفري</v>
      </c>
      <c r="G2434" s="90" t="s">
        <v>2258</v>
      </c>
      <c r="H2434" s="221">
        <v>5290</v>
      </c>
      <c r="I2434" s="110" t="str">
        <f>VLOOKUP(H2434, 'RM &amp; SF'!B:H, 2, 0)</f>
        <v>بصل اخضر</v>
      </c>
      <c r="J2434" s="184" t="str">
        <f>VLOOKUP(H2434, 'RM &amp; SF'!B:E, 4, 0)</f>
        <v>غم</v>
      </c>
      <c r="K2434" s="22">
        <v>100</v>
      </c>
      <c r="L2434" s="13">
        <f>VLOOKUP(H2434, 'RM &amp; SF'!B:H, 7, 0)</f>
        <v>1.5E-3</v>
      </c>
      <c r="M2434" s="15">
        <f t="shared" si="127"/>
        <v>0.15</v>
      </c>
      <c r="N2434" s="21" t="s">
        <v>825</v>
      </c>
      <c r="O2434" s="4">
        <f>VLOOKUP(B2434, 'All Menu'!B:L, 6, 0)</f>
        <v>2.5862068965517242</v>
      </c>
      <c r="P2434" s="6">
        <f>VLOOKUP(B2434, 'All Menu'!B:L, 9, 0)</f>
        <v>0.95152662777020813</v>
      </c>
      <c r="Q2434" s="14">
        <f>VLOOKUP(B2434, 'All Menu'!B:M, 12, 0)</f>
        <v>0.63207637059551958</v>
      </c>
      <c r="R2434" s="173">
        <f t="shared" si="126"/>
        <v>0</v>
      </c>
    </row>
    <row r="2435" spans="1:18" ht="14" hidden="1">
      <c r="A2435" s="78" t="s">
        <v>2819</v>
      </c>
      <c r="B2435" s="220" t="s">
        <v>1308</v>
      </c>
      <c r="C2435" s="185"/>
      <c r="D2435" s="103" t="str">
        <f>VLOOKUP(B2435, 'All Menu'!B:M, 4, 0)</f>
        <v>صحن خضار سيرفس</v>
      </c>
      <c r="E2435" s="30" t="str">
        <f>VLOOKUP(B2435, 'All Menu'!B:M, 2, 0)</f>
        <v>قسم المقبلات</v>
      </c>
      <c r="F2435" s="103" t="str">
        <f>VLOOKUP(B2435, 'All Menu'!B:M, 3, 0)</f>
        <v>المقبلات سفري</v>
      </c>
      <c r="G2435" s="90" t="s">
        <v>3058</v>
      </c>
      <c r="H2435" s="221">
        <v>4074</v>
      </c>
      <c r="I2435" s="110" t="str">
        <f>VLOOKUP(H2435, 'RM &amp; SF'!B:H, 2, 0)</f>
        <v>زيتون اسود شرائح 4.200 كغ*****</v>
      </c>
      <c r="J2435" s="184" t="str">
        <f>VLOOKUP(H2435, 'RM &amp; SF'!B:E, 4, 0)</f>
        <v>غم</v>
      </c>
      <c r="K2435" s="22">
        <v>60</v>
      </c>
      <c r="L2435" s="13">
        <f>VLOOKUP(H2435, 'RM &amp; SF'!B:H, 7, 0)</f>
        <v>1.5211640211640213E-3</v>
      </c>
      <c r="M2435" s="15">
        <f t="shared" si="127"/>
        <v>9.1269841269841279E-2</v>
      </c>
      <c r="N2435" s="21" t="s">
        <v>825</v>
      </c>
      <c r="O2435" s="4">
        <f>VLOOKUP(B2435, 'All Menu'!B:L, 6, 0)</f>
        <v>2.5862068965517242</v>
      </c>
      <c r="P2435" s="6">
        <f>VLOOKUP(B2435, 'All Menu'!B:L, 9, 0)</f>
        <v>0.95152662777020813</v>
      </c>
      <c r="Q2435" s="14">
        <f>VLOOKUP(B2435, 'All Menu'!B:M, 12, 0)</f>
        <v>0.63207637059551958</v>
      </c>
      <c r="R2435" s="173">
        <f t="shared" si="126"/>
        <v>0</v>
      </c>
    </row>
    <row r="2436" spans="1:18" ht="14" hidden="1">
      <c r="A2436" s="78" t="s">
        <v>2819</v>
      </c>
      <c r="B2436" s="220" t="s">
        <v>1308</v>
      </c>
      <c r="C2436" s="185"/>
      <c r="D2436" s="103" t="str">
        <f>VLOOKUP(B2436, 'All Menu'!B:M, 4, 0)</f>
        <v>صحن خضار سيرفس</v>
      </c>
      <c r="E2436" s="30" t="str">
        <f>VLOOKUP(B2436, 'All Menu'!B:M, 2, 0)</f>
        <v>قسم المقبلات</v>
      </c>
      <c r="F2436" s="103" t="str">
        <f>VLOOKUP(B2436, 'All Menu'!B:M, 3, 0)</f>
        <v>المقبلات سفري</v>
      </c>
      <c r="G2436" s="90" t="s">
        <v>2231</v>
      </c>
      <c r="H2436" s="221">
        <v>4499</v>
      </c>
      <c r="I2436" s="110" t="str">
        <f>VLOOKUP(H2436, 'RM &amp; SF'!B:H, 2, 0)</f>
        <v>فلفل حار اخضر*****</v>
      </c>
      <c r="J2436" s="184" t="str">
        <f>VLOOKUP(H2436, 'RM &amp; SF'!B:E, 4, 0)</f>
        <v>غم</v>
      </c>
      <c r="K2436" s="22">
        <v>86</v>
      </c>
      <c r="L2436" s="13">
        <f>VLOOKUP(H2436, 'RM &amp; SF'!B:H, 7, 0)</f>
        <v>5.0000000000000001E-4</v>
      </c>
      <c r="M2436" s="15">
        <f t="shared" si="127"/>
        <v>4.3000000000000003E-2</v>
      </c>
      <c r="N2436" s="21" t="s">
        <v>825</v>
      </c>
      <c r="O2436" s="4">
        <f>VLOOKUP(B2436, 'All Menu'!B:L, 6, 0)</f>
        <v>2.5862068965517242</v>
      </c>
      <c r="P2436" s="6">
        <f>VLOOKUP(B2436, 'All Menu'!B:L, 9, 0)</f>
        <v>0.95152662777020813</v>
      </c>
      <c r="Q2436" s="14">
        <f>VLOOKUP(B2436, 'All Menu'!B:M, 12, 0)</f>
        <v>0.63207637059551958</v>
      </c>
      <c r="R2436" s="173">
        <f t="shared" si="126"/>
        <v>0</v>
      </c>
    </row>
    <row r="2437" spans="1:18" ht="14" hidden="1">
      <c r="A2437" s="78" t="s">
        <v>2819</v>
      </c>
      <c r="B2437" s="220" t="s">
        <v>1308</v>
      </c>
      <c r="C2437" s="185"/>
      <c r="D2437" s="103" t="str">
        <f>VLOOKUP(B2437, 'All Menu'!B:M, 4, 0)</f>
        <v>صحن خضار سيرفس</v>
      </c>
      <c r="E2437" s="30" t="str">
        <f>VLOOKUP(B2437, 'All Menu'!B:M, 2, 0)</f>
        <v>قسم المقبلات</v>
      </c>
      <c r="F2437" s="103" t="str">
        <f>VLOOKUP(B2437, 'All Menu'!B:M, 3, 0)</f>
        <v>المقبلات سفري</v>
      </c>
      <c r="G2437" s="90" t="s">
        <v>2304</v>
      </c>
      <c r="H2437" s="221">
        <v>5304</v>
      </c>
      <c r="I2437" s="110" t="str">
        <f>VLOOKUP(H2437, 'RM &amp; SF'!B:H, 2, 0)</f>
        <v>مخلل لفت</v>
      </c>
      <c r="J2437" s="184" t="str">
        <f>VLOOKUP(H2437, 'RM &amp; SF'!B:E, 4, 0)</f>
        <v>غم</v>
      </c>
      <c r="K2437" s="22">
        <v>80</v>
      </c>
      <c r="L2437" s="13">
        <f>VLOOKUP(H2437, 'RM &amp; SF'!B:H, 7, 0)</f>
        <v>6.4999999999999997E-4</v>
      </c>
      <c r="M2437" s="15">
        <f t="shared" si="127"/>
        <v>5.1999999999999998E-2</v>
      </c>
      <c r="N2437" s="21" t="s">
        <v>825</v>
      </c>
      <c r="O2437" s="4">
        <f>VLOOKUP(B2437, 'All Menu'!B:L, 6, 0)</f>
        <v>2.5862068965517242</v>
      </c>
      <c r="P2437" s="6">
        <f>VLOOKUP(B2437, 'All Menu'!B:L, 9, 0)</f>
        <v>0.95152662777020813</v>
      </c>
      <c r="Q2437" s="14">
        <f>VLOOKUP(B2437, 'All Menu'!B:M, 12, 0)</f>
        <v>0.63207637059551958</v>
      </c>
      <c r="R2437" s="173">
        <f t="shared" si="126"/>
        <v>0</v>
      </c>
    </row>
    <row r="2438" spans="1:18" ht="14" hidden="1">
      <c r="A2438" s="78" t="s">
        <v>2819</v>
      </c>
      <c r="B2438" s="220" t="s">
        <v>1308</v>
      </c>
      <c r="C2438" s="185"/>
      <c r="D2438" s="103" t="str">
        <f>VLOOKUP(B2438, 'All Menu'!B:M, 4, 0)</f>
        <v>صحن خضار سيرفس</v>
      </c>
      <c r="E2438" s="30" t="str">
        <f>VLOOKUP(B2438, 'All Menu'!B:M, 2, 0)</f>
        <v>قسم المقبلات</v>
      </c>
      <c r="F2438" s="103" t="str">
        <f>VLOOKUP(B2438, 'All Menu'!B:M, 3, 0)</f>
        <v>المقبلات سفري</v>
      </c>
      <c r="G2438" s="90" t="s">
        <v>3058</v>
      </c>
      <c r="H2438" s="221">
        <v>4483</v>
      </c>
      <c r="I2438" s="110" t="str">
        <f>VLOOKUP(H2438, 'RM &amp; SF'!B:H, 2, 0)</f>
        <v>مخلل مشكل 10 كغ*****</v>
      </c>
      <c r="J2438" s="184" t="str">
        <f>VLOOKUP(H2438, 'RM &amp; SF'!B:E, 4, 0)</f>
        <v>غم</v>
      </c>
      <c r="K2438" s="22">
        <v>100</v>
      </c>
      <c r="L2438" s="13">
        <f>VLOOKUP(H2438, 'RM &amp; SF'!B:H, 7, 0)</f>
        <v>6.4999999999999997E-4</v>
      </c>
      <c r="M2438" s="15">
        <f t="shared" si="127"/>
        <v>6.5000000000000002E-2</v>
      </c>
      <c r="N2438" s="21" t="s">
        <v>825</v>
      </c>
      <c r="O2438" s="4">
        <f>VLOOKUP(B2438, 'All Menu'!B:L, 6, 0)</f>
        <v>2.5862068965517242</v>
      </c>
      <c r="P2438" s="6">
        <f>VLOOKUP(B2438, 'All Menu'!B:L, 9, 0)</f>
        <v>0.95152662777020813</v>
      </c>
      <c r="Q2438" s="14">
        <f>VLOOKUP(B2438, 'All Menu'!B:M, 12, 0)</f>
        <v>0.63207637059551958</v>
      </c>
      <c r="R2438" s="173">
        <f t="shared" ref="R2438:R2491" si="128">C2438*K2438</f>
        <v>0</v>
      </c>
    </row>
    <row r="2439" spans="1:18" ht="14" hidden="1">
      <c r="A2439" s="78" t="s">
        <v>2819</v>
      </c>
      <c r="B2439" s="220" t="s">
        <v>1308</v>
      </c>
      <c r="C2439" s="185"/>
      <c r="D2439" s="103" t="str">
        <f>VLOOKUP(B2439, 'All Menu'!B:M, 4, 0)</f>
        <v>صحن خضار سيرفس</v>
      </c>
      <c r="E2439" s="30" t="str">
        <f>VLOOKUP(B2439, 'All Menu'!B:M, 2, 0)</f>
        <v>قسم المقبلات</v>
      </c>
      <c r="F2439" s="103" t="str">
        <f>VLOOKUP(B2439, 'All Menu'!B:M, 3, 0)</f>
        <v>المقبلات سفري</v>
      </c>
      <c r="G2439" s="90" t="s">
        <v>3058</v>
      </c>
      <c r="H2439" s="221">
        <v>5266</v>
      </c>
      <c r="I2439" s="110" t="str">
        <f>VLOOKUP(H2439, 'RM &amp; SF'!B:H, 2, 0)</f>
        <v>صحن خماسي بلاستيك عليه ذهبي</v>
      </c>
      <c r="J2439" s="184" t="str">
        <f>VLOOKUP(H2439, 'RM &amp; SF'!B:E, 4, 0)</f>
        <v>قطعة</v>
      </c>
      <c r="K2439" s="22">
        <v>1</v>
      </c>
      <c r="L2439" s="13">
        <f>VLOOKUP(H2439, 'RM &amp; SF'!B:H, 7, 0)</f>
        <v>0.5502567865003668</v>
      </c>
      <c r="M2439" s="15">
        <f t="shared" si="127"/>
        <v>0.5502567865003668</v>
      </c>
      <c r="N2439" s="21" t="s">
        <v>825</v>
      </c>
      <c r="O2439" s="4">
        <f>VLOOKUP(B2439, 'All Menu'!B:L, 6, 0)</f>
        <v>2.5862068965517242</v>
      </c>
      <c r="P2439" s="6">
        <f>VLOOKUP(B2439, 'All Menu'!B:L, 9, 0)</f>
        <v>0.95152662777020813</v>
      </c>
      <c r="Q2439" s="14">
        <f>VLOOKUP(B2439, 'All Menu'!B:M, 12, 0)</f>
        <v>0.63207637059551958</v>
      </c>
      <c r="R2439" s="173">
        <f t="shared" si="128"/>
        <v>0</v>
      </c>
    </row>
    <row r="2440" spans="1:18" ht="14" hidden="1">
      <c r="A2440" s="78" t="s">
        <v>3162</v>
      </c>
      <c r="B2440" s="220" t="s">
        <v>1893</v>
      </c>
      <c r="C2440" s="185"/>
      <c r="D2440" s="103" t="str">
        <f>VLOOKUP(B2440, 'All Menu'!B:M, 4, 0)</f>
        <v>شيشبرك ني</v>
      </c>
      <c r="E2440" s="30" t="str">
        <f>VLOOKUP(B2440, 'All Menu'!B:M, 2, 0)</f>
        <v>قسم الملحمة</v>
      </c>
      <c r="F2440" s="103" t="str">
        <f>VLOOKUP(B2440, 'All Menu'!B:M, 3, 0)</f>
        <v>تجهيزات</v>
      </c>
      <c r="G2440" s="90" t="s">
        <v>2423</v>
      </c>
      <c r="H2440" s="219" t="s">
        <v>626</v>
      </c>
      <c r="I2440" s="110" t="str">
        <f>VLOOKUP(H2440, 'RM &amp; SF'!B:H, 2, 0)</f>
        <v>تجهيز شيشبرك</v>
      </c>
      <c r="J2440" s="184" t="str">
        <f>VLOOKUP(H2440, 'RM &amp; SF'!B:E, 4, 0)</f>
        <v>قطعة</v>
      </c>
      <c r="K2440" s="22">
        <v>50</v>
      </c>
      <c r="L2440" s="13">
        <f>VLOOKUP(H2440, 'RM &amp; SF'!B:H, 7, 0)</f>
        <v>4.7416855555555561E-2</v>
      </c>
      <c r="M2440" s="7">
        <f t="shared" ref="M2440:M2492" si="129">L2440*K2440</f>
        <v>2.3708427777777779</v>
      </c>
      <c r="N2440" s="21"/>
      <c r="O2440" s="4">
        <f>VLOOKUP(B2440, 'All Menu'!B:L, 6, 0)</f>
        <v>4.5</v>
      </c>
      <c r="P2440" s="6">
        <f>VLOOKUP(B2440, 'All Menu'!B:L, 9, 0)</f>
        <v>2.7208427777777779</v>
      </c>
      <c r="Q2440" s="14">
        <f>VLOOKUP(B2440, 'All Menu'!B:M, 12, 0)</f>
        <v>0.39536827160493826</v>
      </c>
      <c r="R2440" s="173">
        <f t="shared" si="128"/>
        <v>0</v>
      </c>
    </row>
    <row r="2441" spans="1:18" ht="15.5" hidden="1">
      <c r="A2441" s="78" t="s">
        <v>3162</v>
      </c>
      <c r="B2441" s="220" t="s">
        <v>1893</v>
      </c>
      <c r="C2441" s="185"/>
      <c r="D2441" s="103" t="str">
        <f>VLOOKUP(B2441, 'All Menu'!B:M, 4, 0)</f>
        <v>شيشبرك ني</v>
      </c>
      <c r="E2441" s="30" t="str">
        <f>VLOOKUP(B2441, 'All Menu'!B:M, 2, 0)</f>
        <v>قسم الملحمة</v>
      </c>
      <c r="F2441" s="103" t="str">
        <f>VLOOKUP(B2441, 'All Menu'!B:M, 3, 0)</f>
        <v>تجهيزات</v>
      </c>
      <c r="G2441" s="90" t="s">
        <v>3058</v>
      </c>
      <c r="H2441" s="112">
        <v>5415</v>
      </c>
      <c r="I2441" s="110" t="str">
        <f>VLOOKUP(H2441, 'RM &amp; SF'!B:H, 2, 0)</f>
        <v>صحن تجهيزات</v>
      </c>
      <c r="J2441" s="184" t="str">
        <f>VLOOKUP(H2441, 'RM &amp; SF'!B:E, 4, 0)</f>
        <v>قطعة</v>
      </c>
      <c r="K2441" s="22">
        <v>1</v>
      </c>
      <c r="L2441" s="13">
        <f>VLOOKUP(H2441, 'RM &amp; SF'!B:H, 7, 0)</f>
        <v>0.35</v>
      </c>
      <c r="M2441" s="7">
        <f t="shared" si="129"/>
        <v>0.35</v>
      </c>
      <c r="N2441" s="21"/>
      <c r="O2441" s="4">
        <f>VLOOKUP(B2441, 'All Menu'!B:L, 6, 0)</f>
        <v>4.5</v>
      </c>
      <c r="P2441" s="6">
        <f>VLOOKUP(B2441, 'All Menu'!B:L, 9, 0)</f>
        <v>2.7208427777777779</v>
      </c>
      <c r="Q2441" s="14">
        <f>VLOOKUP(B2441, 'All Menu'!B:M, 12, 0)</f>
        <v>0.39536827160493826</v>
      </c>
      <c r="R2441" s="173">
        <f t="shared" si="128"/>
        <v>0</v>
      </c>
    </row>
    <row r="2442" spans="1:18" ht="14" hidden="1">
      <c r="A2442" s="78" t="s">
        <v>2876</v>
      </c>
      <c r="B2442" s="220">
        <v>60027</v>
      </c>
      <c r="C2442" s="185"/>
      <c r="D2442" s="103" t="str">
        <f>VLOOKUP(B2442, 'All Menu'!B:M, 4, 0)</f>
        <v>كباب مشكوك كيلو</v>
      </c>
      <c r="E2442" s="30" t="str">
        <f>VLOOKUP(B2442, 'All Menu'!B:M, 2, 0)</f>
        <v>قسم الملحمة</v>
      </c>
      <c r="F2442" s="103" t="str">
        <f>VLOOKUP(B2442, 'All Menu'!B:M, 3, 0)</f>
        <v>لحوم مشكوكة</v>
      </c>
      <c r="G2442" s="90" t="s">
        <v>2453</v>
      </c>
      <c r="H2442" s="219" t="s">
        <v>536</v>
      </c>
      <c r="I2442" s="110" t="str">
        <f>VLOOKUP(H2442, 'RM &amp; SF'!B:H, 2, 0)</f>
        <v>كباب</v>
      </c>
      <c r="J2442" s="184" t="str">
        <f>VLOOKUP(H2442, 'RM &amp; SF'!B:E, 4, 0)</f>
        <v>غم</v>
      </c>
      <c r="K2442" s="12">
        <v>1000</v>
      </c>
      <c r="L2442" s="13">
        <f>VLOOKUP(H2442, 'RM &amp; SF'!B:H, 7, 0)</f>
        <v>1.1636090242685134E-2</v>
      </c>
      <c r="M2442" s="7">
        <f t="shared" si="129"/>
        <v>11.636090242685134</v>
      </c>
      <c r="N2442" s="4" t="s">
        <v>825</v>
      </c>
      <c r="O2442" s="4">
        <f>VLOOKUP(B2442, 'All Menu'!B:L, 6, 0)</f>
        <v>19</v>
      </c>
      <c r="P2442" s="6">
        <f>VLOOKUP(B2442, 'All Menu'!B:L, 9, 0)</f>
        <v>13.259170242685132</v>
      </c>
      <c r="Q2442" s="14">
        <f>VLOOKUP(B2442, 'All Menu'!B:M, 12, 0)</f>
        <v>0.30214893459551939</v>
      </c>
      <c r="R2442" s="173">
        <f t="shared" si="128"/>
        <v>0</v>
      </c>
    </row>
    <row r="2443" spans="1:18" ht="14" hidden="1">
      <c r="A2443" s="78" t="s">
        <v>2876</v>
      </c>
      <c r="B2443" s="220">
        <v>60027</v>
      </c>
      <c r="C2443" s="185"/>
      <c r="D2443" s="103" t="str">
        <f>VLOOKUP(B2443, 'All Menu'!B:M, 4, 0)</f>
        <v>كباب مشكوك كيلو</v>
      </c>
      <c r="E2443" s="30" t="str">
        <f>VLOOKUP(B2443, 'All Menu'!B:M, 2, 0)</f>
        <v>قسم الملحمة</v>
      </c>
      <c r="F2443" s="103" t="str">
        <f>VLOOKUP(B2443, 'All Menu'!B:M, 3, 0)</f>
        <v>لحوم مشكوكة</v>
      </c>
      <c r="G2443" s="90" t="s">
        <v>2309</v>
      </c>
      <c r="H2443" s="188">
        <v>4491</v>
      </c>
      <c r="I2443" s="110" t="str">
        <f>VLOOKUP(H2443, 'RM &amp; SF'!B:H, 2, 0)</f>
        <v>بندورة جامدة*****</v>
      </c>
      <c r="J2443" s="184" t="str">
        <f>VLOOKUP(H2443, 'RM &amp; SF'!B:E, 4, 0)</f>
        <v>غم</v>
      </c>
      <c r="K2443" s="12">
        <v>270</v>
      </c>
      <c r="L2443" s="13">
        <f>VLOOKUP(H2443, 'RM &amp; SF'!B:H, 7, 0)</f>
        <v>5.0000000000000001E-4</v>
      </c>
      <c r="M2443" s="7">
        <f t="shared" si="129"/>
        <v>0.13500000000000001</v>
      </c>
      <c r="N2443" s="4" t="s">
        <v>825</v>
      </c>
      <c r="O2443" s="4">
        <f>VLOOKUP(B2443, 'All Menu'!B:L, 6, 0)</f>
        <v>19</v>
      </c>
      <c r="P2443" s="6">
        <f>VLOOKUP(B2443, 'All Menu'!B:L, 9, 0)</f>
        <v>13.259170242685132</v>
      </c>
      <c r="Q2443" s="14">
        <f>VLOOKUP(B2443, 'All Menu'!B:M, 12, 0)</f>
        <v>0.30214893459551939</v>
      </c>
      <c r="R2443" s="173">
        <f t="shared" si="128"/>
        <v>0</v>
      </c>
    </row>
    <row r="2444" spans="1:18" ht="14" hidden="1">
      <c r="A2444" s="78" t="s">
        <v>2876</v>
      </c>
      <c r="B2444" s="220">
        <v>60027</v>
      </c>
      <c r="C2444" s="185"/>
      <c r="D2444" s="103" t="str">
        <f>VLOOKUP(B2444, 'All Menu'!B:M, 4, 0)</f>
        <v>كباب مشكوك كيلو</v>
      </c>
      <c r="E2444" s="30" t="str">
        <f>VLOOKUP(B2444, 'All Menu'!B:M, 2, 0)</f>
        <v>قسم الملحمة</v>
      </c>
      <c r="F2444" s="103" t="str">
        <f>VLOOKUP(B2444, 'All Menu'!B:M, 3, 0)</f>
        <v>لحوم مشكوكة</v>
      </c>
      <c r="G2444" s="90" t="s">
        <v>2235</v>
      </c>
      <c r="H2444" s="188">
        <v>4504</v>
      </c>
      <c r="I2444" s="110" t="str">
        <f>VLOOKUP(H2444, 'RM &amp; SF'!B:H, 2, 0)</f>
        <v>بصل مشاوي (بصل بيبي)***</v>
      </c>
      <c r="J2444" s="184" t="str">
        <f>VLOOKUP(H2444, 'RM &amp; SF'!B:E, 4, 0)</f>
        <v>غم</v>
      </c>
      <c r="K2444" s="12">
        <v>270</v>
      </c>
      <c r="L2444" s="13">
        <f>VLOOKUP(H2444, 'RM &amp; SF'!B:H, 7, 0)</f>
        <v>3.5E-4</v>
      </c>
      <c r="M2444" s="7">
        <f t="shared" si="129"/>
        <v>9.4500000000000001E-2</v>
      </c>
      <c r="N2444" s="4" t="s">
        <v>825</v>
      </c>
      <c r="O2444" s="4">
        <f>VLOOKUP(B2444, 'All Menu'!B:L, 6, 0)</f>
        <v>19</v>
      </c>
      <c r="P2444" s="6">
        <f>VLOOKUP(B2444, 'All Menu'!B:L, 9, 0)</f>
        <v>13.259170242685132</v>
      </c>
      <c r="Q2444" s="14">
        <f>VLOOKUP(B2444, 'All Menu'!B:M, 12, 0)</f>
        <v>0.30214893459551939</v>
      </c>
      <c r="R2444" s="173">
        <f t="shared" si="128"/>
        <v>0</v>
      </c>
    </row>
    <row r="2445" spans="1:18" ht="14" hidden="1">
      <c r="A2445" s="78" t="s">
        <v>2876</v>
      </c>
      <c r="B2445" s="220">
        <v>60027</v>
      </c>
      <c r="C2445" s="185"/>
      <c r="D2445" s="103" t="str">
        <f>VLOOKUP(B2445, 'All Menu'!B:M, 4, 0)</f>
        <v>كباب مشكوك كيلو</v>
      </c>
      <c r="E2445" s="30" t="str">
        <f>VLOOKUP(B2445, 'All Menu'!B:M, 2, 0)</f>
        <v>قسم الملحمة</v>
      </c>
      <c r="F2445" s="103" t="str">
        <f>VLOOKUP(B2445, 'All Menu'!B:M, 3, 0)</f>
        <v>لحوم مشكوكة</v>
      </c>
      <c r="G2445" s="90" t="s">
        <v>2201</v>
      </c>
      <c r="H2445" s="188">
        <v>4412</v>
      </c>
      <c r="I2445" s="110" t="str">
        <f>VLOOKUP(H2445, 'RM &amp; SF'!B:H, 2, 0)</f>
        <v>اسياخ شوي رفيع سفري 1*100 حبة*****</v>
      </c>
      <c r="J2445" s="184" t="str">
        <f>VLOOKUP(H2445, 'RM &amp; SF'!B:E, 4, 0)</f>
        <v>قطعة</v>
      </c>
      <c r="K2445" s="12">
        <v>14</v>
      </c>
      <c r="L2445" s="13">
        <f>VLOOKUP(H2445, 'RM &amp; SF'!B:H, 7, 0)</f>
        <v>6.8970000000000004E-2</v>
      </c>
      <c r="M2445" s="7">
        <f t="shared" si="129"/>
        <v>0.9655800000000001</v>
      </c>
      <c r="N2445" s="4" t="s">
        <v>825</v>
      </c>
      <c r="O2445" s="4">
        <f>VLOOKUP(B2445, 'All Menu'!B:L, 6, 0)</f>
        <v>19</v>
      </c>
      <c r="P2445" s="6">
        <f>VLOOKUP(B2445, 'All Menu'!B:L, 9, 0)</f>
        <v>13.259170242685132</v>
      </c>
      <c r="Q2445" s="14">
        <f>VLOOKUP(B2445, 'All Menu'!B:M, 12, 0)</f>
        <v>0.30214893459551939</v>
      </c>
      <c r="R2445" s="173">
        <f t="shared" si="128"/>
        <v>0</v>
      </c>
    </row>
    <row r="2446" spans="1:18" ht="14" hidden="1">
      <c r="A2446" s="78" t="s">
        <v>2876</v>
      </c>
      <c r="B2446" s="220">
        <v>60027</v>
      </c>
      <c r="C2446" s="185"/>
      <c r="D2446" s="103" t="str">
        <f>VLOOKUP(B2446, 'All Menu'!B:M, 4, 0)</f>
        <v>كباب مشكوك كيلو</v>
      </c>
      <c r="E2446" s="30" t="str">
        <f>VLOOKUP(B2446, 'All Menu'!B:M, 2, 0)</f>
        <v>قسم الملحمة</v>
      </c>
      <c r="F2446" s="103" t="str">
        <f>VLOOKUP(B2446, 'All Menu'!B:M, 3, 0)</f>
        <v>لحوم مشكوكة</v>
      </c>
      <c r="G2446" s="90" t="s">
        <v>3058</v>
      </c>
      <c r="H2446" s="188">
        <v>4806</v>
      </c>
      <c r="I2446" s="110" t="str">
        <f>VLOOKUP(H2446, 'RM &amp; SF'!B:H, 2, 0)</f>
        <v>بوكس مشاوي كرتون (بوكس الرحلة) 38*26*5 سم 1*25 حبة*****</v>
      </c>
      <c r="J2446" s="184" t="str">
        <f>VLOOKUP(H2446, 'RM &amp; SF'!B:E, 4, 0)</f>
        <v>قطعة</v>
      </c>
      <c r="K2446" s="12">
        <v>1</v>
      </c>
      <c r="L2446" s="13">
        <f>VLOOKUP(H2446, 'RM &amp; SF'!B:H, 7, 0)</f>
        <v>0.218</v>
      </c>
      <c r="M2446" s="7">
        <f t="shared" si="129"/>
        <v>0.218</v>
      </c>
      <c r="N2446" s="4" t="s">
        <v>825</v>
      </c>
      <c r="O2446" s="4">
        <f>VLOOKUP(B2446, 'All Menu'!B:L, 6, 0)</f>
        <v>19</v>
      </c>
      <c r="P2446" s="6">
        <f>VLOOKUP(B2446, 'All Menu'!B:L, 9, 0)</f>
        <v>13.259170242685132</v>
      </c>
      <c r="Q2446" s="14">
        <f>VLOOKUP(B2446, 'All Menu'!B:M, 12, 0)</f>
        <v>0.30214893459551939</v>
      </c>
      <c r="R2446" s="173">
        <f t="shared" si="128"/>
        <v>0</v>
      </c>
    </row>
    <row r="2447" spans="1:18" ht="14" hidden="1">
      <c r="A2447" s="78" t="s">
        <v>2876</v>
      </c>
      <c r="B2447" s="220">
        <v>60027</v>
      </c>
      <c r="C2447" s="185"/>
      <c r="D2447" s="103" t="str">
        <f>VLOOKUP(B2447, 'All Menu'!B:M, 4, 0)</f>
        <v>كباب مشكوك كيلو</v>
      </c>
      <c r="E2447" s="30" t="str">
        <f>VLOOKUP(B2447, 'All Menu'!B:M, 2, 0)</f>
        <v>قسم الملحمة</v>
      </c>
      <c r="F2447" s="103" t="str">
        <f>VLOOKUP(B2447, 'All Menu'!B:M, 3, 0)</f>
        <v>لحوم مشكوكة</v>
      </c>
      <c r="G2447" s="90" t="s">
        <v>3058</v>
      </c>
      <c r="H2447" s="188" t="s">
        <v>2149</v>
      </c>
      <c r="I2447" s="110" t="str">
        <f>VLOOKUP(H2447, 'RM &amp; SF'!B:H, 2, 0)</f>
        <v>لية ملحمه</v>
      </c>
      <c r="J2447" s="184" t="str">
        <f>VLOOKUP(H2447, 'RM &amp; SF'!B:E, 4, 0)</f>
        <v>غم</v>
      </c>
      <c r="K2447" s="29">
        <v>40</v>
      </c>
      <c r="L2447" s="13">
        <f>VLOOKUP(H2447, 'RM &amp; SF'!B:H, 7, 0)</f>
        <v>5.0000000000000001E-3</v>
      </c>
      <c r="M2447" s="7">
        <f t="shared" si="129"/>
        <v>0.2</v>
      </c>
      <c r="N2447" s="4" t="s">
        <v>825</v>
      </c>
      <c r="O2447" s="4">
        <f>VLOOKUP(B2447, 'All Menu'!B:L, 6, 0)</f>
        <v>19</v>
      </c>
      <c r="P2447" s="6">
        <f>VLOOKUP(B2447, 'All Menu'!B:L, 9, 0)</f>
        <v>13.259170242685132</v>
      </c>
      <c r="Q2447" s="14">
        <f>VLOOKUP(B2447, 'All Menu'!B:M, 12, 0)</f>
        <v>0.30214893459551939</v>
      </c>
      <c r="R2447" s="173">
        <f t="shared" si="128"/>
        <v>0</v>
      </c>
    </row>
    <row r="2448" spans="1:18" ht="14" hidden="1">
      <c r="A2448" s="78" t="s">
        <v>2876</v>
      </c>
      <c r="B2448" s="220">
        <v>60027</v>
      </c>
      <c r="C2448" s="185"/>
      <c r="D2448" s="103" t="str">
        <f>VLOOKUP(B2448, 'All Menu'!B:M, 4, 0)</f>
        <v>كباب مشكوك كيلو</v>
      </c>
      <c r="E2448" s="30" t="str">
        <f>VLOOKUP(B2448, 'All Menu'!B:M, 2, 0)</f>
        <v>قسم الملحمة</v>
      </c>
      <c r="F2448" s="103" t="str">
        <f>VLOOKUP(B2448, 'All Menu'!B:M, 3, 0)</f>
        <v>لحوم مشكوكة</v>
      </c>
      <c r="G2448" s="90" t="s">
        <v>2231</v>
      </c>
      <c r="H2448" s="188">
        <v>4499</v>
      </c>
      <c r="I2448" s="110" t="str">
        <f>VLOOKUP(H2448, 'RM &amp; SF'!B:H, 2, 0)</f>
        <v>فلفل حار اخضر*****</v>
      </c>
      <c r="J2448" s="184" t="str">
        <f>VLOOKUP(H2448, 'RM &amp; SF'!B:E, 4, 0)</f>
        <v>غم</v>
      </c>
      <c r="K2448" s="12">
        <v>20</v>
      </c>
      <c r="L2448" s="13">
        <f>VLOOKUP(H2448, 'RM &amp; SF'!B:H, 7, 0)</f>
        <v>5.0000000000000001E-4</v>
      </c>
      <c r="M2448" s="7">
        <f t="shared" si="129"/>
        <v>0.01</v>
      </c>
      <c r="N2448" s="4" t="s">
        <v>825</v>
      </c>
      <c r="O2448" s="4">
        <f>VLOOKUP(B2448, 'All Menu'!B:L, 6, 0)</f>
        <v>19</v>
      </c>
      <c r="P2448" s="6">
        <f>VLOOKUP(B2448, 'All Menu'!B:L, 9, 0)</f>
        <v>13.259170242685132</v>
      </c>
      <c r="Q2448" s="14">
        <f>VLOOKUP(B2448, 'All Menu'!B:M, 12, 0)</f>
        <v>0.30214893459551939</v>
      </c>
      <c r="R2448" s="173">
        <f t="shared" si="128"/>
        <v>0</v>
      </c>
    </row>
    <row r="2449" spans="1:18" ht="14" hidden="1">
      <c r="A2449" s="78" t="s">
        <v>2885</v>
      </c>
      <c r="B2449" s="220">
        <v>60036</v>
      </c>
      <c r="C2449" s="185"/>
      <c r="D2449" s="103" t="str">
        <f>VLOOKUP(B2449, 'All Menu'!B:M, 4, 0)</f>
        <v>شيش مشكوك كيلو</v>
      </c>
      <c r="E2449" s="30" t="str">
        <f>VLOOKUP(B2449, 'All Menu'!B:M, 2, 0)</f>
        <v>قسم الملحمة</v>
      </c>
      <c r="F2449" s="103" t="str">
        <f>VLOOKUP(B2449, 'All Menu'!B:M, 3, 0)</f>
        <v>لحوم مشكوكة</v>
      </c>
      <c r="G2449" s="90" t="s">
        <v>2456</v>
      </c>
      <c r="H2449" s="219" t="s">
        <v>506</v>
      </c>
      <c r="I2449" s="110" t="str">
        <f>VLOOKUP(H2449, 'RM &amp; SF'!B:H, 2, 0)</f>
        <v>شيش</v>
      </c>
      <c r="J2449" s="184" t="str">
        <f>VLOOKUP(H2449, 'RM &amp; SF'!B:E, 4, 0)</f>
        <v>غم</v>
      </c>
      <c r="K2449" s="12">
        <v>1000</v>
      </c>
      <c r="L2449" s="13">
        <f>VLOOKUP(H2449, 'RM &amp; SF'!B:H, 7, 0)</f>
        <v>4.6721213030918281E-3</v>
      </c>
      <c r="M2449" s="7">
        <f t="shared" si="129"/>
        <v>4.6721213030918278</v>
      </c>
      <c r="N2449" s="4" t="s">
        <v>825</v>
      </c>
      <c r="O2449" s="4">
        <f>VLOOKUP(B2449, 'All Menu'!B:L, 6, 0)</f>
        <v>13</v>
      </c>
      <c r="P2449" s="6">
        <f>VLOOKUP(B2449, 'All Menu'!B:L, 9, 0)</f>
        <v>6.165761303091827</v>
      </c>
      <c r="Q2449" s="14">
        <f>VLOOKUP(B2449, 'All Menu'!B:M, 12, 0)</f>
        <v>0.52571066899293639</v>
      </c>
      <c r="R2449" s="173">
        <f t="shared" si="128"/>
        <v>0</v>
      </c>
    </row>
    <row r="2450" spans="1:18" ht="14" hidden="1">
      <c r="A2450" s="78" t="s">
        <v>2885</v>
      </c>
      <c r="B2450" s="220">
        <v>60036</v>
      </c>
      <c r="C2450" s="185"/>
      <c r="D2450" s="103" t="str">
        <f>VLOOKUP(B2450, 'All Menu'!B:M, 4, 0)</f>
        <v>شيش مشكوك كيلو</v>
      </c>
      <c r="E2450" s="30" t="str">
        <f>VLOOKUP(B2450, 'All Menu'!B:M, 2, 0)</f>
        <v>قسم الملحمة</v>
      </c>
      <c r="F2450" s="103" t="str">
        <f>VLOOKUP(B2450, 'All Menu'!B:M, 3, 0)</f>
        <v>لحوم مشكوكة</v>
      </c>
      <c r="G2450" s="90" t="s">
        <v>2309</v>
      </c>
      <c r="H2450" s="188">
        <v>4491</v>
      </c>
      <c r="I2450" s="110" t="str">
        <f>VLOOKUP(H2450, 'RM &amp; SF'!B:H, 2, 0)</f>
        <v>بندورة جامدة*****</v>
      </c>
      <c r="J2450" s="184" t="str">
        <f>VLOOKUP(H2450, 'RM &amp; SF'!B:E, 4, 0)</f>
        <v>غم</v>
      </c>
      <c r="K2450" s="12">
        <v>280</v>
      </c>
      <c r="L2450" s="13">
        <f>VLOOKUP(H2450, 'RM &amp; SF'!B:H, 7, 0)</f>
        <v>5.0000000000000001E-4</v>
      </c>
      <c r="M2450" s="7">
        <f t="shared" si="129"/>
        <v>0.14000000000000001</v>
      </c>
      <c r="N2450" s="4" t="s">
        <v>825</v>
      </c>
      <c r="O2450" s="4">
        <f>VLOOKUP(B2450, 'All Menu'!B:L, 6, 0)</f>
        <v>13</v>
      </c>
      <c r="P2450" s="6">
        <f>VLOOKUP(B2450, 'All Menu'!B:L, 9, 0)</f>
        <v>6.165761303091827</v>
      </c>
      <c r="Q2450" s="14">
        <f>VLOOKUP(B2450, 'All Menu'!B:M, 12, 0)</f>
        <v>0.52571066899293639</v>
      </c>
      <c r="R2450" s="173">
        <f t="shared" si="128"/>
        <v>0</v>
      </c>
    </row>
    <row r="2451" spans="1:18" ht="14" hidden="1">
      <c r="A2451" s="78" t="s">
        <v>2885</v>
      </c>
      <c r="B2451" s="220">
        <v>60036</v>
      </c>
      <c r="C2451" s="185"/>
      <c r="D2451" s="103" t="str">
        <f>VLOOKUP(B2451, 'All Menu'!B:M, 4, 0)</f>
        <v>شيش مشكوك كيلو</v>
      </c>
      <c r="E2451" s="30" t="str">
        <f>VLOOKUP(B2451, 'All Menu'!B:M, 2, 0)</f>
        <v>قسم الملحمة</v>
      </c>
      <c r="F2451" s="103" t="str">
        <f>VLOOKUP(B2451, 'All Menu'!B:M, 3, 0)</f>
        <v>لحوم مشكوكة</v>
      </c>
      <c r="G2451" s="90" t="s">
        <v>2235</v>
      </c>
      <c r="H2451" s="188">
        <v>4504</v>
      </c>
      <c r="I2451" s="110" t="str">
        <f>VLOOKUP(H2451, 'RM &amp; SF'!B:H, 2, 0)</f>
        <v>بصل مشاوي (بصل بيبي)***</v>
      </c>
      <c r="J2451" s="184" t="str">
        <f>VLOOKUP(H2451, 'RM &amp; SF'!B:E, 4, 0)</f>
        <v>غم</v>
      </c>
      <c r="K2451" s="12">
        <v>280</v>
      </c>
      <c r="L2451" s="13">
        <f>VLOOKUP(H2451, 'RM &amp; SF'!B:H, 7, 0)</f>
        <v>3.5E-4</v>
      </c>
      <c r="M2451" s="7">
        <f t="shared" si="129"/>
        <v>9.8000000000000004E-2</v>
      </c>
      <c r="N2451" s="4" t="s">
        <v>825</v>
      </c>
      <c r="O2451" s="4">
        <f>VLOOKUP(B2451, 'All Menu'!B:L, 6, 0)</f>
        <v>13</v>
      </c>
      <c r="P2451" s="6">
        <f>VLOOKUP(B2451, 'All Menu'!B:L, 9, 0)</f>
        <v>6.165761303091827</v>
      </c>
      <c r="Q2451" s="14">
        <f>VLOOKUP(B2451, 'All Menu'!B:M, 12, 0)</f>
        <v>0.52571066899293639</v>
      </c>
      <c r="R2451" s="173">
        <f t="shared" si="128"/>
        <v>0</v>
      </c>
    </row>
    <row r="2452" spans="1:18" ht="14" hidden="1">
      <c r="A2452" s="78" t="s">
        <v>2885</v>
      </c>
      <c r="B2452" s="220">
        <v>60036</v>
      </c>
      <c r="C2452" s="185"/>
      <c r="D2452" s="103" t="str">
        <f>VLOOKUP(B2452, 'All Menu'!B:M, 4, 0)</f>
        <v>شيش مشكوك كيلو</v>
      </c>
      <c r="E2452" s="30" t="str">
        <f>VLOOKUP(B2452, 'All Menu'!B:M, 2, 0)</f>
        <v>قسم الملحمة</v>
      </c>
      <c r="F2452" s="103" t="str">
        <f>VLOOKUP(B2452, 'All Menu'!B:M, 3, 0)</f>
        <v>لحوم مشكوكة</v>
      </c>
      <c r="G2452" s="90" t="s">
        <v>2201</v>
      </c>
      <c r="H2452" s="188">
        <v>4412</v>
      </c>
      <c r="I2452" s="110" t="str">
        <f>VLOOKUP(H2452, 'RM &amp; SF'!B:H, 2, 0)</f>
        <v>اسياخ شوي رفيع سفري 1*100 حبة*****</v>
      </c>
      <c r="J2452" s="184" t="str">
        <f>VLOOKUP(H2452, 'RM &amp; SF'!B:E, 4, 0)</f>
        <v>قطعة</v>
      </c>
      <c r="K2452" s="12">
        <v>12</v>
      </c>
      <c r="L2452" s="13">
        <f>VLOOKUP(H2452, 'RM &amp; SF'!B:H, 7, 0)</f>
        <v>6.8970000000000004E-2</v>
      </c>
      <c r="M2452" s="7">
        <f t="shared" si="129"/>
        <v>0.82764000000000004</v>
      </c>
      <c r="N2452" s="4" t="s">
        <v>825</v>
      </c>
      <c r="O2452" s="4">
        <f>VLOOKUP(B2452, 'All Menu'!B:L, 6, 0)</f>
        <v>13</v>
      </c>
      <c r="P2452" s="6">
        <f>VLOOKUP(B2452, 'All Menu'!B:L, 9, 0)</f>
        <v>6.165761303091827</v>
      </c>
      <c r="Q2452" s="14">
        <f>VLOOKUP(B2452, 'All Menu'!B:M, 12, 0)</f>
        <v>0.52571066899293639</v>
      </c>
      <c r="R2452" s="173">
        <f t="shared" si="128"/>
        <v>0</v>
      </c>
    </row>
    <row r="2453" spans="1:18" ht="14" hidden="1">
      <c r="A2453" s="78" t="s">
        <v>2885</v>
      </c>
      <c r="B2453" s="220">
        <v>60036</v>
      </c>
      <c r="C2453" s="185"/>
      <c r="D2453" s="103" t="str">
        <f>VLOOKUP(B2453, 'All Menu'!B:M, 4, 0)</f>
        <v>شيش مشكوك كيلو</v>
      </c>
      <c r="E2453" s="30" t="str">
        <f>VLOOKUP(B2453, 'All Menu'!B:M, 2, 0)</f>
        <v>قسم الملحمة</v>
      </c>
      <c r="F2453" s="103" t="str">
        <f>VLOOKUP(B2453, 'All Menu'!B:M, 3, 0)</f>
        <v>لحوم مشكوكة</v>
      </c>
      <c r="G2453" s="90" t="s">
        <v>3058</v>
      </c>
      <c r="H2453" s="188">
        <v>4806</v>
      </c>
      <c r="I2453" s="110" t="str">
        <f>VLOOKUP(H2453, 'RM &amp; SF'!B:H, 2, 0)</f>
        <v>بوكس مشاوي كرتون (بوكس الرحلة) 38*26*5 سم 1*25 حبة*****</v>
      </c>
      <c r="J2453" s="184" t="str">
        <f>VLOOKUP(H2453, 'RM &amp; SF'!B:E, 4, 0)</f>
        <v>قطعة</v>
      </c>
      <c r="K2453" s="12">
        <v>1</v>
      </c>
      <c r="L2453" s="13">
        <f>VLOOKUP(H2453, 'RM &amp; SF'!B:H, 7, 0)</f>
        <v>0.218</v>
      </c>
      <c r="M2453" s="7">
        <f t="shared" si="129"/>
        <v>0.218</v>
      </c>
      <c r="N2453" s="4" t="s">
        <v>825</v>
      </c>
      <c r="O2453" s="4">
        <f>VLOOKUP(B2453, 'All Menu'!B:L, 6, 0)</f>
        <v>13</v>
      </c>
      <c r="P2453" s="6">
        <f>VLOOKUP(B2453, 'All Menu'!B:L, 9, 0)</f>
        <v>6.165761303091827</v>
      </c>
      <c r="Q2453" s="14">
        <f>VLOOKUP(B2453, 'All Menu'!B:M, 12, 0)</f>
        <v>0.52571066899293639</v>
      </c>
      <c r="R2453" s="173">
        <f t="shared" si="128"/>
        <v>0</v>
      </c>
    </row>
    <row r="2454" spans="1:18" ht="14" hidden="1">
      <c r="A2454" s="78" t="s">
        <v>2885</v>
      </c>
      <c r="B2454" s="220">
        <v>60036</v>
      </c>
      <c r="C2454" s="185"/>
      <c r="D2454" s="103" t="str">
        <f>VLOOKUP(B2454, 'All Menu'!B:M, 4, 0)</f>
        <v>شيش مشكوك كيلو</v>
      </c>
      <c r="E2454" s="30" t="str">
        <f>VLOOKUP(B2454, 'All Menu'!B:M, 2, 0)</f>
        <v>قسم الملحمة</v>
      </c>
      <c r="F2454" s="103" t="str">
        <f>VLOOKUP(B2454, 'All Menu'!B:M, 3, 0)</f>
        <v>لحوم مشكوكة</v>
      </c>
      <c r="G2454" s="90" t="s">
        <v>3058</v>
      </c>
      <c r="H2454" s="188" t="s">
        <v>2149</v>
      </c>
      <c r="I2454" s="110" t="str">
        <f>VLOOKUP(H2454, 'RM &amp; SF'!B:H, 2, 0)</f>
        <v>لية ملحمه</v>
      </c>
      <c r="J2454" s="184" t="str">
        <f>VLOOKUP(H2454, 'RM &amp; SF'!B:E, 4, 0)</f>
        <v>غم</v>
      </c>
      <c r="K2454" s="29">
        <v>40</v>
      </c>
      <c r="L2454" s="13">
        <f>VLOOKUP(H2454, 'RM &amp; SF'!B:H, 7, 0)</f>
        <v>5.0000000000000001E-3</v>
      </c>
      <c r="M2454" s="7">
        <f t="shared" si="129"/>
        <v>0.2</v>
      </c>
      <c r="N2454" s="4" t="s">
        <v>825</v>
      </c>
      <c r="O2454" s="4">
        <f>VLOOKUP(B2454, 'All Menu'!B:L, 6, 0)</f>
        <v>13</v>
      </c>
      <c r="P2454" s="6">
        <f>VLOOKUP(B2454, 'All Menu'!B:L, 9, 0)</f>
        <v>6.165761303091827</v>
      </c>
      <c r="Q2454" s="14">
        <f>VLOOKUP(B2454, 'All Menu'!B:M, 12, 0)</f>
        <v>0.52571066899293639</v>
      </c>
      <c r="R2454" s="173">
        <f t="shared" si="128"/>
        <v>0</v>
      </c>
    </row>
    <row r="2455" spans="1:18" ht="14" hidden="1">
      <c r="A2455" s="78" t="s">
        <v>2885</v>
      </c>
      <c r="B2455" s="220">
        <v>60036</v>
      </c>
      <c r="C2455" s="185"/>
      <c r="D2455" s="103" t="str">
        <f>VLOOKUP(B2455, 'All Menu'!B:M, 4, 0)</f>
        <v>شيش مشكوك كيلو</v>
      </c>
      <c r="E2455" s="30" t="str">
        <f>VLOOKUP(B2455, 'All Menu'!B:M, 2, 0)</f>
        <v>قسم الملحمة</v>
      </c>
      <c r="F2455" s="103" t="str">
        <f>VLOOKUP(B2455, 'All Menu'!B:M, 3, 0)</f>
        <v>لحوم مشكوكة</v>
      </c>
      <c r="G2455" s="90" t="s">
        <v>2231</v>
      </c>
      <c r="H2455" s="188">
        <v>4499</v>
      </c>
      <c r="I2455" s="110" t="str">
        <f>VLOOKUP(H2455, 'RM &amp; SF'!B:H, 2, 0)</f>
        <v>فلفل حار اخضر*****</v>
      </c>
      <c r="J2455" s="184" t="str">
        <f>VLOOKUP(H2455, 'RM &amp; SF'!B:E, 4, 0)</f>
        <v>غم</v>
      </c>
      <c r="K2455" s="12">
        <v>20</v>
      </c>
      <c r="L2455" s="13">
        <f>VLOOKUP(H2455, 'RM &amp; SF'!B:H, 7, 0)</f>
        <v>5.0000000000000001E-4</v>
      </c>
      <c r="M2455" s="7">
        <f t="shared" si="129"/>
        <v>0.01</v>
      </c>
      <c r="N2455" s="4" t="s">
        <v>825</v>
      </c>
      <c r="O2455" s="4">
        <f>VLOOKUP(B2455, 'All Menu'!B:L, 6, 0)</f>
        <v>13</v>
      </c>
      <c r="P2455" s="6">
        <f>VLOOKUP(B2455, 'All Menu'!B:L, 9, 0)</f>
        <v>6.165761303091827</v>
      </c>
      <c r="Q2455" s="14">
        <f>VLOOKUP(B2455, 'All Menu'!B:M, 12, 0)</f>
        <v>0.52571066899293639</v>
      </c>
      <c r="R2455" s="173">
        <f t="shared" si="128"/>
        <v>0</v>
      </c>
    </row>
    <row r="2456" spans="1:18" ht="14" hidden="1">
      <c r="A2456" s="78" t="s">
        <v>2875</v>
      </c>
      <c r="B2456" s="220">
        <v>60026</v>
      </c>
      <c r="C2456" s="185"/>
      <c r="D2456" s="103" t="str">
        <f>VLOOKUP(B2456, 'All Menu'!B:M, 4, 0)</f>
        <v>شقف مشكوك كيلو</v>
      </c>
      <c r="E2456" s="30" t="str">
        <f>VLOOKUP(B2456, 'All Menu'!B:M, 2, 0)</f>
        <v>قسم الملحمة</v>
      </c>
      <c r="F2456" s="103" t="str">
        <f>VLOOKUP(B2456, 'All Menu'!B:M, 3, 0)</f>
        <v>لحوم مشكوكة</v>
      </c>
      <c r="G2456" s="90" t="s">
        <v>2452</v>
      </c>
      <c r="H2456" s="219" t="s">
        <v>528</v>
      </c>
      <c r="I2456" s="110" t="str">
        <f>VLOOKUP(H2456, 'RM &amp; SF'!B:H, 2, 0)</f>
        <v>شقف متبلة</v>
      </c>
      <c r="J2456" s="184" t="str">
        <f>VLOOKUP(H2456, 'RM &amp; SF'!B:E, 4, 0)</f>
        <v>غم</v>
      </c>
      <c r="K2456" s="12">
        <v>900</v>
      </c>
      <c r="L2456" s="13">
        <f>VLOOKUP(H2456, 'RM &amp; SF'!B:H, 7, 0)</f>
        <v>2.0415146666666665E-2</v>
      </c>
      <c r="M2456" s="7">
        <f t="shared" si="129"/>
        <v>18.373631999999997</v>
      </c>
      <c r="N2456" s="4" t="s">
        <v>825</v>
      </c>
      <c r="O2456" s="4">
        <f>VLOOKUP(B2456, 'All Menu'!B:L, 6, 0)</f>
        <v>25</v>
      </c>
      <c r="P2456" s="6">
        <f>VLOOKUP(B2456, 'All Menu'!B:L, 9, 0)</f>
        <v>20.330211999999996</v>
      </c>
      <c r="Q2456" s="14">
        <f>VLOOKUP(B2456, 'All Menu'!B:M, 12, 0)</f>
        <v>0.18679152000000016</v>
      </c>
      <c r="R2456" s="173">
        <f t="shared" si="128"/>
        <v>0</v>
      </c>
    </row>
    <row r="2457" spans="1:18" ht="14" hidden="1">
      <c r="A2457" s="78" t="s">
        <v>2875</v>
      </c>
      <c r="B2457" s="220">
        <v>60026</v>
      </c>
      <c r="C2457" s="185"/>
      <c r="D2457" s="103" t="str">
        <f>VLOOKUP(B2457, 'All Menu'!B:M, 4, 0)</f>
        <v>شقف مشكوك كيلو</v>
      </c>
      <c r="E2457" s="30" t="str">
        <f>VLOOKUP(B2457, 'All Menu'!B:M, 2, 0)</f>
        <v>قسم الملحمة</v>
      </c>
      <c r="F2457" s="103" t="str">
        <f>VLOOKUP(B2457, 'All Menu'!B:M, 3, 0)</f>
        <v>لحوم مشكوكة</v>
      </c>
      <c r="G2457" s="90" t="s">
        <v>2309</v>
      </c>
      <c r="H2457" s="188">
        <v>4491</v>
      </c>
      <c r="I2457" s="110" t="str">
        <f>VLOOKUP(H2457, 'RM &amp; SF'!B:H, 2, 0)</f>
        <v>بندورة جامدة*****</v>
      </c>
      <c r="J2457" s="184" t="str">
        <f>VLOOKUP(H2457, 'RM &amp; SF'!B:E, 4, 0)</f>
        <v>غم</v>
      </c>
      <c r="K2457" s="12">
        <v>280</v>
      </c>
      <c r="L2457" s="13">
        <f>VLOOKUP(H2457, 'RM &amp; SF'!B:H, 7, 0)</f>
        <v>5.0000000000000001E-4</v>
      </c>
      <c r="M2457" s="7">
        <f t="shared" si="129"/>
        <v>0.14000000000000001</v>
      </c>
      <c r="N2457" s="4" t="s">
        <v>825</v>
      </c>
      <c r="O2457" s="4">
        <f>VLOOKUP(B2457, 'All Menu'!B:L, 6, 0)</f>
        <v>25</v>
      </c>
      <c r="P2457" s="6">
        <f>VLOOKUP(B2457, 'All Menu'!B:L, 9, 0)</f>
        <v>20.330211999999996</v>
      </c>
      <c r="Q2457" s="14">
        <f>VLOOKUP(B2457, 'All Menu'!B:M, 12, 0)</f>
        <v>0.18679152000000016</v>
      </c>
      <c r="R2457" s="173">
        <f t="shared" si="128"/>
        <v>0</v>
      </c>
    </row>
    <row r="2458" spans="1:18" ht="14" hidden="1">
      <c r="A2458" s="78" t="s">
        <v>2875</v>
      </c>
      <c r="B2458" s="220">
        <v>60026</v>
      </c>
      <c r="C2458" s="185"/>
      <c r="D2458" s="103" t="str">
        <f>VLOOKUP(B2458, 'All Menu'!B:M, 4, 0)</f>
        <v>شقف مشكوك كيلو</v>
      </c>
      <c r="E2458" s="30" t="str">
        <f>VLOOKUP(B2458, 'All Menu'!B:M, 2, 0)</f>
        <v>قسم الملحمة</v>
      </c>
      <c r="F2458" s="103" t="str">
        <f>VLOOKUP(B2458, 'All Menu'!B:M, 3, 0)</f>
        <v>لحوم مشكوكة</v>
      </c>
      <c r="G2458" s="90" t="s">
        <v>2235</v>
      </c>
      <c r="H2458" s="188">
        <v>4504</v>
      </c>
      <c r="I2458" s="110" t="str">
        <f>VLOOKUP(H2458, 'RM &amp; SF'!B:H, 2, 0)</f>
        <v>بصل مشاوي (بصل بيبي)***</v>
      </c>
      <c r="J2458" s="184" t="str">
        <f>VLOOKUP(H2458, 'RM &amp; SF'!B:E, 4, 0)</f>
        <v>غم</v>
      </c>
      <c r="K2458" s="12">
        <v>280</v>
      </c>
      <c r="L2458" s="13">
        <f>VLOOKUP(H2458, 'RM &amp; SF'!B:H, 7, 0)</f>
        <v>3.5E-4</v>
      </c>
      <c r="M2458" s="7">
        <f t="shared" si="129"/>
        <v>9.8000000000000004E-2</v>
      </c>
      <c r="N2458" s="4" t="s">
        <v>825</v>
      </c>
      <c r="O2458" s="4">
        <f>VLOOKUP(B2458, 'All Menu'!B:L, 6, 0)</f>
        <v>25</v>
      </c>
      <c r="P2458" s="6">
        <f>VLOOKUP(B2458, 'All Menu'!B:L, 9, 0)</f>
        <v>20.330211999999996</v>
      </c>
      <c r="Q2458" s="14">
        <f>VLOOKUP(B2458, 'All Menu'!B:M, 12, 0)</f>
        <v>0.18679152000000016</v>
      </c>
      <c r="R2458" s="173">
        <f t="shared" si="128"/>
        <v>0</v>
      </c>
    </row>
    <row r="2459" spans="1:18" ht="14" hidden="1">
      <c r="A2459" s="78" t="s">
        <v>2875</v>
      </c>
      <c r="B2459" s="220">
        <v>60026</v>
      </c>
      <c r="C2459" s="185"/>
      <c r="D2459" s="103" t="str">
        <f>VLOOKUP(B2459, 'All Menu'!B:M, 4, 0)</f>
        <v>شقف مشكوك كيلو</v>
      </c>
      <c r="E2459" s="30" t="str">
        <f>VLOOKUP(B2459, 'All Menu'!B:M, 2, 0)</f>
        <v>قسم الملحمة</v>
      </c>
      <c r="F2459" s="103" t="str">
        <f>VLOOKUP(B2459, 'All Menu'!B:M, 3, 0)</f>
        <v>لحوم مشكوكة</v>
      </c>
      <c r="G2459" s="90" t="s">
        <v>2201</v>
      </c>
      <c r="H2459" s="188">
        <v>4412</v>
      </c>
      <c r="I2459" s="110" t="str">
        <f>VLOOKUP(H2459, 'RM &amp; SF'!B:H, 2, 0)</f>
        <v>اسياخ شوي رفيع سفري 1*100 حبة*****</v>
      </c>
      <c r="J2459" s="184" t="str">
        <f>VLOOKUP(H2459, 'RM &amp; SF'!B:E, 4, 0)</f>
        <v>قطعة</v>
      </c>
      <c r="K2459" s="12">
        <v>14</v>
      </c>
      <c r="L2459" s="13">
        <f>VLOOKUP(H2459, 'RM &amp; SF'!B:H, 7, 0)</f>
        <v>6.8970000000000004E-2</v>
      </c>
      <c r="M2459" s="7">
        <f t="shared" si="129"/>
        <v>0.9655800000000001</v>
      </c>
      <c r="N2459" s="4" t="s">
        <v>825</v>
      </c>
      <c r="O2459" s="4">
        <f>VLOOKUP(B2459, 'All Menu'!B:L, 6, 0)</f>
        <v>25</v>
      </c>
      <c r="P2459" s="6">
        <f>VLOOKUP(B2459, 'All Menu'!B:L, 9, 0)</f>
        <v>20.330211999999996</v>
      </c>
      <c r="Q2459" s="14">
        <f>VLOOKUP(B2459, 'All Menu'!B:M, 12, 0)</f>
        <v>0.18679152000000016</v>
      </c>
      <c r="R2459" s="173">
        <f t="shared" si="128"/>
        <v>0</v>
      </c>
    </row>
    <row r="2460" spans="1:18" ht="14" hidden="1">
      <c r="A2460" s="78" t="s">
        <v>2875</v>
      </c>
      <c r="B2460" s="220">
        <v>60026</v>
      </c>
      <c r="C2460" s="185"/>
      <c r="D2460" s="103" t="str">
        <f>VLOOKUP(B2460, 'All Menu'!B:M, 4, 0)</f>
        <v>شقف مشكوك كيلو</v>
      </c>
      <c r="E2460" s="30" t="str">
        <f>VLOOKUP(B2460, 'All Menu'!B:M, 2, 0)</f>
        <v>قسم الملحمة</v>
      </c>
      <c r="F2460" s="103" t="str">
        <f>VLOOKUP(B2460, 'All Menu'!B:M, 3, 0)</f>
        <v>لحوم مشكوكة</v>
      </c>
      <c r="G2460" s="90" t="s">
        <v>3058</v>
      </c>
      <c r="H2460" s="188">
        <v>4806</v>
      </c>
      <c r="I2460" s="110" t="str">
        <f>VLOOKUP(H2460, 'RM &amp; SF'!B:H, 2, 0)</f>
        <v>بوكس مشاوي كرتون (بوكس الرحلة) 38*26*5 سم 1*25 حبة*****</v>
      </c>
      <c r="J2460" s="184" t="str">
        <f>VLOOKUP(H2460, 'RM &amp; SF'!B:E, 4, 0)</f>
        <v>قطعة</v>
      </c>
      <c r="K2460" s="12">
        <v>1</v>
      </c>
      <c r="L2460" s="13">
        <f>VLOOKUP(H2460, 'RM &amp; SF'!B:H, 7, 0)</f>
        <v>0.218</v>
      </c>
      <c r="M2460" s="7">
        <f t="shared" si="129"/>
        <v>0.218</v>
      </c>
      <c r="N2460" s="4" t="s">
        <v>825</v>
      </c>
      <c r="O2460" s="4">
        <f>VLOOKUP(B2460, 'All Menu'!B:L, 6, 0)</f>
        <v>25</v>
      </c>
      <c r="P2460" s="6">
        <f>VLOOKUP(B2460, 'All Menu'!B:L, 9, 0)</f>
        <v>20.330211999999996</v>
      </c>
      <c r="Q2460" s="14">
        <f>VLOOKUP(B2460, 'All Menu'!B:M, 12, 0)</f>
        <v>0.18679152000000016</v>
      </c>
      <c r="R2460" s="173">
        <f t="shared" si="128"/>
        <v>0</v>
      </c>
    </row>
    <row r="2461" spans="1:18" ht="14" hidden="1">
      <c r="A2461" s="78" t="s">
        <v>2875</v>
      </c>
      <c r="B2461" s="220">
        <v>60026</v>
      </c>
      <c r="C2461" s="185"/>
      <c r="D2461" s="103" t="str">
        <f>VLOOKUP(B2461, 'All Menu'!B:M, 4, 0)</f>
        <v>شقف مشكوك كيلو</v>
      </c>
      <c r="E2461" s="30" t="str">
        <f>VLOOKUP(B2461, 'All Menu'!B:M, 2, 0)</f>
        <v>قسم الملحمة</v>
      </c>
      <c r="F2461" s="103" t="str">
        <f>VLOOKUP(B2461, 'All Menu'!B:M, 3, 0)</f>
        <v>لحوم مشكوكة</v>
      </c>
      <c r="G2461" s="90" t="s">
        <v>3058</v>
      </c>
      <c r="H2461" s="188" t="s">
        <v>2149</v>
      </c>
      <c r="I2461" s="110" t="str">
        <f>VLOOKUP(H2461, 'RM &amp; SF'!B:H, 2, 0)</f>
        <v>لية ملحمه</v>
      </c>
      <c r="J2461" s="184" t="str">
        <f>VLOOKUP(H2461, 'RM &amp; SF'!B:E, 4, 0)</f>
        <v>غم</v>
      </c>
      <c r="K2461" s="12">
        <v>100</v>
      </c>
      <c r="L2461" s="13">
        <f>VLOOKUP(H2461, 'RM &amp; SF'!B:H, 7, 0)</f>
        <v>5.0000000000000001E-3</v>
      </c>
      <c r="M2461" s="7">
        <f t="shared" si="129"/>
        <v>0.5</v>
      </c>
      <c r="N2461" s="4" t="s">
        <v>825</v>
      </c>
      <c r="O2461" s="4">
        <f>VLOOKUP(B2461, 'All Menu'!B:L, 6, 0)</f>
        <v>25</v>
      </c>
      <c r="P2461" s="6">
        <f>VLOOKUP(B2461, 'All Menu'!B:L, 9, 0)</f>
        <v>20.330211999999996</v>
      </c>
      <c r="Q2461" s="14">
        <f>VLOOKUP(B2461, 'All Menu'!B:M, 12, 0)</f>
        <v>0.18679152000000016</v>
      </c>
      <c r="R2461" s="173">
        <f t="shared" si="128"/>
        <v>0</v>
      </c>
    </row>
    <row r="2462" spans="1:18" ht="14" hidden="1">
      <c r="A2462" s="78" t="s">
        <v>2875</v>
      </c>
      <c r="B2462" s="220">
        <v>60026</v>
      </c>
      <c r="C2462" s="185"/>
      <c r="D2462" s="103" t="str">
        <f>VLOOKUP(B2462, 'All Menu'!B:M, 4, 0)</f>
        <v>شقف مشكوك كيلو</v>
      </c>
      <c r="E2462" s="30" t="str">
        <f>VLOOKUP(B2462, 'All Menu'!B:M, 2, 0)</f>
        <v>قسم الملحمة</v>
      </c>
      <c r="F2462" s="103" t="str">
        <f>VLOOKUP(B2462, 'All Menu'!B:M, 3, 0)</f>
        <v>لحوم مشكوكة</v>
      </c>
      <c r="G2462" s="90" t="s">
        <v>2231</v>
      </c>
      <c r="H2462" s="188">
        <v>4499</v>
      </c>
      <c r="I2462" s="110" t="str">
        <f>VLOOKUP(H2462, 'RM &amp; SF'!B:H, 2, 0)</f>
        <v>فلفل حار اخضر*****</v>
      </c>
      <c r="J2462" s="184" t="str">
        <f>VLOOKUP(H2462, 'RM &amp; SF'!B:E, 4, 0)</f>
        <v>غم</v>
      </c>
      <c r="K2462" s="12">
        <v>70</v>
      </c>
      <c r="L2462" s="13">
        <f>VLOOKUP(H2462, 'RM &amp; SF'!B:H, 7, 0)</f>
        <v>5.0000000000000001E-4</v>
      </c>
      <c r="M2462" s="7">
        <f t="shared" si="129"/>
        <v>3.5000000000000003E-2</v>
      </c>
      <c r="N2462" s="4" t="s">
        <v>825</v>
      </c>
      <c r="O2462" s="4">
        <f>VLOOKUP(B2462, 'All Menu'!B:L, 6, 0)</f>
        <v>25</v>
      </c>
      <c r="P2462" s="6">
        <f>VLOOKUP(B2462, 'All Menu'!B:L, 9, 0)</f>
        <v>20.330211999999996</v>
      </c>
      <c r="Q2462" s="14">
        <f>VLOOKUP(B2462, 'All Menu'!B:M, 12, 0)</f>
        <v>0.18679152000000016</v>
      </c>
      <c r="R2462" s="173">
        <f t="shared" si="128"/>
        <v>0</v>
      </c>
    </row>
    <row r="2463" spans="1:18" ht="14" hidden="1">
      <c r="A2463" s="78" t="s">
        <v>2877</v>
      </c>
      <c r="B2463" s="220">
        <v>60028</v>
      </c>
      <c r="C2463" s="185"/>
      <c r="D2463" s="103" t="str">
        <f>VLOOKUP(B2463, 'All Menu'!B:M, 4, 0)</f>
        <v>مشكل مشكوك كيلو</v>
      </c>
      <c r="E2463" s="30" t="str">
        <f>VLOOKUP(B2463, 'All Menu'!B:M, 2, 0)</f>
        <v>قسم الملحمة</v>
      </c>
      <c r="F2463" s="103" t="str">
        <f>VLOOKUP(B2463, 'All Menu'!B:M, 3, 0)</f>
        <v>لحوم مشكوكة</v>
      </c>
      <c r="G2463" s="90" t="s">
        <v>2452</v>
      </c>
      <c r="H2463" s="219" t="s">
        <v>528</v>
      </c>
      <c r="I2463" s="110" t="str">
        <f>VLOOKUP(H2463, 'RM &amp; SF'!B:H, 2, 0)</f>
        <v>شقف متبلة</v>
      </c>
      <c r="J2463" s="184" t="str">
        <f>VLOOKUP(H2463, 'RM &amp; SF'!B:E, 4, 0)</f>
        <v>غم</v>
      </c>
      <c r="K2463" s="12">
        <v>240</v>
      </c>
      <c r="L2463" s="13">
        <f>VLOOKUP(H2463, 'RM &amp; SF'!B:H, 7, 0)</f>
        <v>2.0415146666666665E-2</v>
      </c>
      <c r="M2463" s="7">
        <f t="shared" si="129"/>
        <v>4.8996351999999996</v>
      </c>
      <c r="N2463" s="4" t="s">
        <v>825</v>
      </c>
      <c r="O2463" s="4">
        <f>VLOOKUP(B2463, 'All Menu'!B:L, 6, 0)</f>
        <v>19</v>
      </c>
      <c r="P2463" s="6">
        <f>VLOOKUP(B2463, 'All Menu'!B:L, 9, 0)</f>
        <v>13.664539434084606</v>
      </c>
      <c r="Q2463" s="14">
        <f>VLOOKUP(B2463, 'All Menu'!B:M, 12, 0)</f>
        <v>0.28081371399554705</v>
      </c>
      <c r="R2463" s="173">
        <f t="shared" si="128"/>
        <v>0</v>
      </c>
    </row>
    <row r="2464" spans="1:18" ht="14" hidden="1">
      <c r="A2464" s="78" t="s">
        <v>2877</v>
      </c>
      <c r="B2464" s="220">
        <v>60028</v>
      </c>
      <c r="C2464" s="185"/>
      <c r="D2464" s="103" t="str">
        <f>VLOOKUP(B2464, 'All Menu'!B:M, 4, 0)</f>
        <v>مشكل مشكوك كيلو</v>
      </c>
      <c r="E2464" s="30" t="str">
        <f>VLOOKUP(B2464, 'All Menu'!B:M, 2, 0)</f>
        <v>قسم الملحمة</v>
      </c>
      <c r="F2464" s="103" t="str">
        <f>VLOOKUP(B2464, 'All Menu'!B:M, 3, 0)</f>
        <v>لحوم مشكوكة</v>
      </c>
      <c r="G2464" s="90" t="s">
        <v>2453</v>
      </c>
      <c r="H2464" s="219" t="s">
        <v>536</v>
      </c>
      <c r="I2464" s="110" t="str">
        <f>VLOOKUP(H2464, 'RM &amp; SF'!B:H, 2, 0)</f>
        <v>كباب</v>
      </c>
      <c r="J2464" s="184" t="str">
        <f>VLOOKUP(H2464, 'RM &amp; SF'!B:E, 4, 0)</f>
        <v>غم</v>
      </c>
      <c r="K2464" s="12">
        <v>500</v>
      </c>
      <c r="L2464" s="13">
        <f>VLOOKUP(H2464, 'RM &amp; SF'!B:H, 7, 0)</f>
        <v>1.1636090242685134E-2</v>
      </c>
      <c r="M2464" s="7">
        <f t="shared" si="129"/>
        <v>5.8180451213425668</v>
      </c>
      <c r="N2464" s="4" t="s">
        <v>825</v>
      </c>
      <c r="O2464" s="4">
        <f>VLOOKUP(B2464, 'All Menu'!B:L, 6, 0)</f>
        <v>19</v>
      </c>
      <c r="P2464" s="6">
        <f>VLOOKUP(B2464, 'All Menu'!B:L, 9, 0)</f>
        <v>13.664539434084606</v>
      </c>
      <c r="Q2464" s="14">
        <f>VLOOKUP(B2464, 'All Menu'!B:M, 12, 0)</f>
        <v>0.28081371399554705</v>
      </c>
      <c r="R2464" s="173">
        <f t="shared" si="128"/>
        <v>0</v>
      </c>
    </row>
    <row r="2465" spans="1:18" ht="14" hidden="1">
      <c r="A2465" s="78" t="s">
        <v>2877</v>
      </c>
      <c r="B2465" s="220">
        <v>60028</v>
      </c>
      <c r="C2465" s="185"/>
      <c r="D2465" s="103" t="str">
        <f>VLOOKUP(B2465, 'All Menu'!B:M, 4, 0)</f>
        <v>مشكل مشكوك كيلو</v>
      </c>
      <c r="E2465" s="30" t="str">
        <f>VLOOKUP(B2465, 'All Menu'!B:M, 2, 0)</f>
        <v>قسم الملحمة</v>
      </c>
      <c r="F2465" s="103" t="str">
        <f>VLOOKUP(B2465, 'All Menu'!B:M, 3, 0)</f>
        <v>لحوم مشكوكة</v>
      </c>
      <c r="G2465" s="90" t="s">
        <v>2456</v>
      </c>
      <c r="H2465" s="219" t="s">
        <v>506</v>
      </c>
      <c r="I2465" s="110" t="str">
        <f>VLOOKUP(H2465, 'RM &amp; SF'!B:H, 2, 0)</f>
        <v>شيش</v>
      </c>
      <c r="J2465" s="184" t="str">
        <f>VLOOKUP(H2465, 'RM &amp; SF'!B:E, 4, 0)</f>
        <v>غم</v>
      </c>
      <c r="K2465" s="12">
        <v>240</v>
      </c>
      <c r="L2465" s="13">
        <f>VLOOKUP(H2465, 'RM &amp; SF'!B:H, 7, 0)</f>
        <v>4.6721213030918281E-3</v>
      </c>
      <c r="M2465" s="7">
        <f t="shared" si="129"/>
        <v>1.1213091127420387</v>
      </c>
      <c r="N2465" s="4" t="s">
        <v>825</v>
      </c>
      <c r="O2465" s="4">
        <f>VLOOKUP(B2465, 'All Menu'!B:L, 6, 0)</f>
        <v>19</v>
      </c>
      <c r="P2465" s="6">
        <f>VLOOKUP(B2465, 'All Menu'!B:L, 9, 0)</f>
        <v>13.664539434084606</v>
      </c>
      <c r="Q2465" s="14">
        <f>VLOOKUP(B2465, 'All Menu'!B:M, 12, 0)</f>
        <v>0.28081371399554705</v>
      </c>
      <c r="R2465" s="173">
        <f t="shared" si="128"/>
        <v>0</v>
      </c>
    </row>
    <row r="2466" spans="1:18" ht="14" hidden="1">
      <c r="A2466" s="78" t="s">
        <v>2877</v>
      </c>
      <c r="B2466" s="220">
        <v>60028</v>
      </c>
      <c r="C2466" s="185"/>
      <c r="D2466" s="103" t="str">
        <f>VLOOKUP(B2466, 'All Menu'!B:M, 4, 0)</f>
        <v>مشكل مشكوك كيلو</v>
      </c>
      <c r="E2466" s="30" t="str">
        <f>VLOOKUP(B2466, 'All Menu'!B:M, 2, 0)</f>
        <v>قسم الملحمة</v>
      </c>
      <c r="F2466" s="103" t="str">
        <f>VLOOKUP(B2466, 'All Menu'!B:M, 3, 0)</f>
        <v>لحوم مشكوكة</v>
      </c>
      <c r="G2466" s="90" t="s">
        <v>2309</v>
      </c>
      <c r="H2466" s="188">
        <v>4491</v>
      </c>
      <c r="I2466" s="110" t="str">
        <f>VLOOKUP(H2466, 'RM &amp; SF'!B:H, 2, 0)</f>
        <v>بندورة جامدة*****</v>
      </c>
      <c r="J2466" s="184" t="str">
        <f>VLOOKUP(H2466, 'RM &amp; SF'!B:E, 4, 0)</f>
        <v>غم</v>
      </c>
      <c r="K2466" s="12">
        <v>280</v>
      </c>
      <c r="L2466" s="13">
        <f>VLOOKUP(H2466, 'RM &amp; SF'!B:H, 7, 0)</f>
        <v>5.0000000000000001E-4</v>
      </c>
      <c r="M2466" s="7">
        <f t="shared" si="129"/>
        <v>0.14000000000000001</v>
      </c>
      <c r="N2466" s="4" t="s">
        <v>825</v>
      </c>
      <c r="O2466" s="4">
        <f>VLOOKUP(B2466, 'All Menu'!B:L, 6, 0)</f>
        <v>19</v>
      </c>
      <c r="P2466" s="6">
        <f>VLOOKUP(B2466, 'All Menu'!B:L, 9, 0)</f>
        <v>13.664539434084606</v>
      </c>
      <c r="Q2466" s="14">
        <f>VLOOKUP(B2466, 'All Menu'!B:M, 12, 0)</f>
        <v>0.28081371399554705</v>
      </c>
      <c r="R2466" s="173">
        <f t="shared" si="128"/>
        <v>0</v>
      </c>
    </row>
    <row r="2467" spans="1:18" ht="14" hidden="1">
      <c r="A2467" s="78" t="s">
        <v>2877</v>
      </c>
      <c r="B2467" s="220">
        <v>60028</v>
      </c>
      <c r="C2467" s="185"/>
      <c r="D2467" s="103" t="str">
        <f>VLOOKUP(B2467, 'All Menu'!B:M, 4, 0)</f>
        <v>مشكل مشكوك كيلو</v>
      </c>
      <c r="E2467" s="30" t="str">
        <f>VLOOKUP(B2467, 'All Menu'!B:M, 2, 0)</f>
        <v>قسم الملحمة</v>
      </c>
      <c r="F2467" s="103" t="str">
        <f>VLOOKUP(B2467, 'All Menu'!B:M, 3, 0)</f>
        <v>لحوم مشكوكة</v>
      </c>
      <c r="G2467" s="90" t="s">
        <v>2235</v>
      </c>
      <c r="H2467" s="188">
        <v>4504</v>
      </c>
      <c r="I2467" s="110" t="str">
        <f>VLOOKUP(H2467, 'RM &amp; SF'!B:H, 2, 0)</f>
        <v>بصل مشاوي (بصل بيبي)***</v>
      </c>
      <c r="J2467" s="184" t="str">
        <f>VLOOKUP(H2467, 'RM &amp; SF'!B:E, 4, 0)</f>
        <v>غم</v>
      </c>
      <c r="K2467" s="12">
        <v>280</v>
      </c>
      <c r="L2467" s="13">
        <f>VLOOKUP(H2467, 'RM &amp; SF'!B:H, 7, 0)</f>
        <v>3.5E-4</v>
      </c>
      <c r="M2467" s="7">
        <f t="shared" si="129"/>
        <v>9.8000000000000004E-2</v>
      </c>
      <c r="N2467" s="4" t="s">
        <v>825</v>
      </c>
      <c r="O2467" s="4">
        <f>VLOOKUP(B2467, 'All Menu'!B:L, 6, 0)</f>
        <v>19</v>
      </c>
      <c r="P2467" s="6">
        <f>VLOOKUP(B2467, 'All Menu'!B:L, 9, 0)</f>
        <v>13.664539434084606</v>
      </c>
      <c r="Q2467" s="14">
        <f>VLOOKUP(B2467, 'All Menu'!B:M, 12, 0)</f>
        <v>0.28081371399554705</v>
      </c>
      <c r="R2467" s="173">
        <f t="shared" si="128"/>
        <v>0</v>
      </c>
    </row>
    <row r="2468" spans="1:18" ht="14" hidden="1">
      <c r="A2468" s="78" t="s">
        <v>2877</v>
      </c>
      <c r="B2468" s="220">
        <v>60028</v>
      </c>
      <c r="C2468" s="185"/>
      <c r="D2468" s="103" t="str">
        <f>VLOOKUP(B2468, 'All Menu'!B:M, 4, 0)</f>
        <v>مشكل مشكوك كيلو</v>
      </c>
      <c r="E2468" s="30" t="str">
        <f>VLOOKUP(B2468, 'All Menu'!B:M, 2, 0)</f>
        <v>قسم الملحمة</v>
      </c>
      <c r="F2468" s="103" t="str">
        <f>VLOOKUP(B2468, 'All Menu'!B:M, 3, 0)</f>
        <v>لحوم مشكوكة</v>
      </c>
      <c r="G2468" s="90" t="s">
        <v>2201</v>
      </c>
      <c r="H2468" s="188">
        <v>4412</v>
      </c>
      <c r="I2468" s="110" t="str">
        <f>VLOOKUP(H2468, 'RM &amp; SF'!B:H, 2, 0)</f>
        <v>اسياخ شوي رفيع سفري 1*100 حبة*****</v>
      </c>
      <c r="J2468" s="184" t="str">
        <f>VLOOKUP(H2468, 'RM &amp; SF'!B:E, 4, 0)</f>
        <v>قطعة</v>
      </c>
      <c r="K2468" s="12">
        <v>15</v>
      </c>
      <c r="L2468" s="13">
        <f>VLOOKUP(H2468, 'RM &amp; SF'!B:H, 7, 0)</f>
        <v>6.8970000000000004E-2</v>
      </c>
      <c r="M2468" s="7">
        <f t="shared" si="129"/>
        <v>1.0345500000000001</v>
      </c>
      <c r="N2468" s="4" t="s">
        <v>825</v>
      </c>
      <c r="O2468" s="4">
        <f>VLOOKUP(B2468, 'All Menu'!B:L, 6, 0)</f>
        <v>19</v>
      </c>
      <c r="P2468" s="6">
        <f>VLOOKUP(B2468, 'All Menu'!B:L, 9, 0)</f>
        <v>13.664539434084606</v>
      </c>
      <c r="Q2468" s="14">
        <f>VLOOKUP(B2468, 'All Menu'!B:M, 12, 0)</f>
        <v>0.28081371399554705</v>
      </c>
      <c r="R2468" s="173">
        <f t="shared" si="128"/>
        <v>0</v>
      </c>
    </row>
    <row r="2469" spans="1:18" ht="14" hidden="1">
      <c r="A2469" s="78" t="s">
        <v>2877</v>
      </c>
      <c r="B2469" s="220">
        <v>60028</v>
      </c>
      <c r="C2469" s="185"/>
      <c r="D2469" s="103" t="str">
        <f>VLOOKUP(B2469, 'All Menu'!B:M, 4, 0)</f>
        <v>مشكل مشكوك كيلو</v>
      </c>
      <c r="E2469" s="30" t="str">
        <f>VLOOKUP(B2469, 'All Menu'!B:M, 2, 0)</f>
        <v>قسم الملحمة</v>
      </c>
      <c r="F2469" s="103" t="str">
        <f>VLOOKUP(B2469, 'All Menu'!B:M, 3, 0)</f>
        <v>لحوم مشكوكة</v>
      </c>
      <c r="G2469" s="90" t="s">
        <v>3058</v>
      </c>
      <c r="H2469" s="188">
        <v>4806</v>
      </c>
      <c r="I2469" s="110" t="str">
        <f>VLOOKUP(H2469, 'RM &amp; SF'!B:H, 2, 0)</f>
        <v>بوكس مشاوي كرتون (بوكس الرحلة) 38*26*5 سم 1*25 حبة*****</v>
      </c>
      <c r="J2469" s="184" t="str">
        <f>VLOOKUP(H2469, 'RM &amp; SF'!B:E, 4, 0)</f>
        <v>قطعة</v>
      </c>
      <c r="K2469" s="12">
        <v>1</v>
      </c>
      <c r="L2469" s="13">
        <f>VLOOKUP(H2469, 'RM &amp; SF'!B:H, 7, 0)</f>
        <v>0.218</v>
      </c>
      <c r="M2469" s="7">
        <f t="shared" si="129"/>
        <v>0.218</v>
      </c>
      <c r="N2469" s="4" t="s">
        <v>825</v>
      </c>
      <c r="O2469" s="4">
        <f>VLOOKUP(B2469, 'All Menu'!B:L, 6, 0)</f>
        <v>19</v>
      </c>
      <c r="P2469" s="6">
        <f>VLOOKUP(B2469, 'All Menu'!B:L, 9, 0)</f>
        <v>13.664539434084606</v>
      </c>
      <c r="Q2469" s="14">
        <f>VLOOKUP(B2469, 'All Menu'!B:M, 12, 0)</f>
        <v>0.28081371399554705</v>
      </c>
      <c r="R2469" s="173">
        <f t="shared" si="128"/>
        <v>0</v>
      </c>
    </row>
    <row r="2470" spans="1:18" ht="14" hidden="1">
      <c r="A2470" s="78" t="s">
        <v>2877</v>
      </c>
      <c r="B2470" s="220">
        <v>60028</v>
      </c>
      <c r="C2470" s="185"/>
      <c r="D2470" s="103" t="str">
        <f>VLOOKUP(B2470, 'All Menu'!B:M, 4, 0)</f>
        <v>مشكل مشكوك كيلو</v>
      </c>
      <c r="E2470" s="30" t="str">
        <f>VLOOKUP(B2470, 'All Menu'!B:M, 2, 0)</f>
        <v>قسم الملحمة</v>
      </c>
      <c r="F2470" s="103" t="str">
        <f>VLOOKUP(B2470, 'All Menu'!B:M, 3, 0)</f>
        <v>لحوم مشكوكة</v>
      </c>
      <c r="G2470" s="90" t="s">
        <v>3058</v>
      </c>
      <c r="H2470" s="188" t="s">
        <v>2149</v>
      </c>
      <c r="I2470" s="110" t="str">
        <f>VLOOKUP(H2470, 'RM &amp; SF'!B:H, 2, 0)</f>
        <v>لية ملحمه</v>
      </c>
      <c r="J2470" s="184" t="str">
        <f>VLOOKUP(H2470, 'RM &amp; SF'!B:E, 4, 0)</f>
        <v>غم</v>
      </c>
      <c r="K2470" s="12">
        <v>60</v>
      </c>
      <c r="L2470" s="13">
        <f>VLOOKUP(H2470, 'RM &amp; SF'!B:H, 7, 0)</f>
        <v>5.0000000000000001E-3</v>
      </c>
      <c r="M2470" s="7">
        <f t="shared" si="129"/>
        <v>0.3</v>
      </c>
      <c r="N2470" s="4" t="s">
        <v>825</v>
      </c>
      <c r="O2470" s="4">
        <f>VLOOKUP(B2470, 'All Menu'!B:L, 6, 0)</f>
        <v>19</v>
      </c>
      <c r="P2470" s="6">
        <f>VLOOKUP(B2470, 'All Menu'!B:L, 9, 0)</f>
        <v>13.664539434084606</v>
      </c>
      <c r="Q2470" s="14">
        <f>VLOOKUP(B2470, 'All Menu'!B:M, 12, 0)</f>
        <v>0.28081371399554705</v>
      </c>
      <c r="R2470" s="173">
        <f t="shared" si="128"/>
        <v>0</v>
      </c>
    </row>
    <row r="2471" spans="1:18" ht="14" hidden="1">
      <c r="A2471" s="78" t="s">
        <v>2877</v>
      </c>
      <c r="B2471" s="220">
        <v>60028</v>
      </c>
      <c r="C2471" s="185"/>
      <c r="D2471" s="103" t="str">
        <f>VLOOKUP(B2471, 'All Menu'!B:M, 4, 0)</f>
        <v>مشكل مشكوك كيلو</v>
      </c>
      <c r="E2471" s="30" t="str">
        <f>VLOOKUP(B2471, 'All Menu'!B:M, 2, 0)</f>
        <v>قسم الملحمة</v>
      </c>
      <c r="F2471" s="103" t="str">
        <f>VLOOKUP(B2471, 'All Menu'!B:M, 3, 0)</f>
        <v>لحوم مشكوكة</v>
      </c>
      <c r="G2471" s="90" t="s">
        <v>2231</v>
      </c>
      <c r="H2471" s="188">
        <v>4499</v>
      </c>
      <c r="I2471" s="110" t="str">
        <f>VLOOKUP(H2471, 'RM &amp; SF'!B:H, 2, 0)</f>
        <v>فلفل حار اخضر*****</v>
      </c>
      <c r="J2471" s="184" t="str">
        <f>VLOOKUP(H2471, 'RM &amp; SF'!B:E, 4, 0)</f>
        <v>غم</v>
      </c>
      <c r="K2471" s="12">
        <v>70</v>
      </c>
      <c r="L2471" s="13">
        <f>VLOOKUP(H2471, 'RM &amp; SF'!B:H, 7, 0)</f>
        <v>5.0000000000000001E-4</v>
      </c>
      <c r="M2471" s="7">
        <f t="shared" si="129"/>
        <v>3.5000000000000003E-2</v>
      </c>
      <c r="N2471" s="4" t="s">
        <v>825</v>
      </c>
      <c r="O2471" s="4">
        <f>VLOOKUP(B2471, 'All Menu'!B:L, 6, 0)</f>
        <v>19</v>
      </c>
      <c r="P2471" s="6">
        <f>VLOOKUP(B2471, 'All Menu'!B:L, 9, 0)</f>
        <v>13.664539434084606</v>
      </c>
      <c r="Q2471" s="14">
        <f>VLOOKUP(B2471, 'All Menu'!B:M, 12, 0)</f>
        <v>0.28081371399554705</v>
      </c>
      <c r="R2471" s="173">
        <f t="shared" si="128"/>
        <v>0</v>
      </c>
    </row>
    <row r="2472" spans="1:18" ht="14" hidden="1">
      <c r="A2472" s="78" t="s">
        <v>2862</v>
      </c>
      <c r="B2472" s="220">
        <v>50039</v>
      </c>
      <c r="C2472" s="185"/>
      <c r="D2472" s="103" t="str">
        <f>VLOOKUP(B2472, 'All Menu'!B:M, 4, 0)</f>
        <v>برغر دجاج</v>
      </c>
      <c r="E2472" s="30" t="str">
        <f>VLOOKUP(B2472, 'All Menu'!B:M, 2, 0)</f>
        <v>قسم الملحمة</v>
      </c>
      <c r="F2472" s="103" t="str">
        <f>VLOOKUP(B2472, 'All Menu'!B:M, 3, 0)</f>
        <v>مارنيتد</v>
      </c>
      <c r="G2472" s="90" t="s">
        <v>2346</v>
      </c>
      <c r="H2472" s="219" t="s">
        <v>716</v>
      </c>
      <c r="I2472" s="110" t="str">
        <f>VLOOKUP(H2472, 'RM &amp; SF'!B:H, 2, 0)</f>
        <v>برغر دجاج</v>
      </c>
      <c r="J2472" s="184" t="str">
        <f>VLOOKUP(H2472, 'RM &amp; SF'!B:E, 4, 0)</f>
        <v>غم</v>
      </c>
      <c r="K2472" s="17">
        <v>1000</v>
      </c>
      <c r="L2472" s="13">
        <f>VLOOKUP(H2472, 'RM &amp; SF'!B:H, 7, 0)</f>
        <v>4.2956090756704991E-3</v>
      </c>
      <c r="M2472" s="7">
        <f t="shared" si="129"/>
        <v>4.295609075670499</v>
      </c>
      <c r="N2472" s="4" t="s">
        <v>825</v>
      </c>
      <c r="O2472" s="4">
        <f>VLOOKUP(B2472, 'All Menu'!B:L, 6, 0)</f>
        <v>9</v>
      </c>
      <c r="P2472" s="6">
        <f>VLOOKUP(B2472, 'All Menu'!B:L, 9, 0)</f>
        <v>4.295609075670499</v>
      </c>
      <c r="Q2472" s="14">
        <f>VLOOKUP(B2472, 'All Menu'!B:M, 12, 0)</f>
        <v>0.52271010270327789</v>
      </c>
      <c r="R2472" s="173">
        <f t="shared" si="128"/>
        <v>0</v>
      </c>
    </row>
    <row r="2473" spans="1:18" ht="14" hidden="1">
      <c r="A2473" s="78" t="s">
        <v>2863</v>
      </c>
      <c r="B2473" s="220">
        <v>50040</v>
      </c>
      <c r="C2473" s="185"/>
      <c r="D2473" s="103" t="str">
        <f>VLOOKUP(B2473, 'All Menu'!B:M, 4, 0)</f>
        <v>سكالوب دجاج</v>
      </c>
      <c r="E2473" s="30" t="str">
        <f>VLOOKUP(B2473, 'All Menu'!B:M, 2, 0)</f>
        <v>قسم الملحمة</v>
      </c>
      <c r="F2473" s="103" t="str">
        <f>VLOOKUP(B2473, 'All Menu'!B:M, 3, 0)</f>
        <v>مارنيتد</v>
      </c>
      <c r="G2473" s="90" t="s">
        <v>2347</v>
      </c>
      <c r="H2473" s="219" t="s">
        <v>718</v>
      </c>
      <c r="I2473" s="110" t="str">
        <f>VLOOKUP(H2473, 'RM &amp; SF'!B:H, 2, 0)</f>
        <v>سكالوب دجاج</v>
      </c>
      <c r="J2473" s="184" t="str">
        <f>VLOOKUP(H2473, 'RM &amp; SF'!B:E, 4, 0)</f>
        <v>غم</v>
      </c>
      <c r="K2473" s="17">
        <v>1000</v>
      </c>
      <c r="L2473" s="13">
        <f>VLOOKUP(H2473, 'RM &amp; SF'!B:H, 7, 0)</f>
        <v>2.5816251162790703E-3</v>
      </c>
      <c r="M2473" s="7">
        <f t="shared" si="129"/>
        <v>2.5816251162790702</v>
      </c>
      <c r="N2473" s="4" t="s">
        <v>825</v>
      </c>
      <c r="O2473" s="4">
        <f>VLOOKUP(B2473, 'All Menu'!B:L, 6, 0)</f>
        <v>7</v>
      </c>
      <c r="P2473" s="6">
        <f>VLOOKUP(B2473, 'All Menu'!B:L, 9, 0)</f>
        <v>2.5816251162790702</v>
      </c>
      <c r="Q2473" s="14">
        <f>VLOOKUP(B2473, 'All Menu'!B:M, 12, 0)</f>
        <v>0.63119641196013276</v>
      </c>
      <c r="R2473" s="173">
        <f t="shared" si="128"/>
        <v>0</v>
      </c>
    </row>
    <row r="2474" spans="1:18" ht="15.5" hidden="1">
      <c r="A2474" s="78" t="s">
        <v>2901</v>
      </c>
      <c r="B2474" s="220">
        <v>60075</v>
      </c>
      <c r="C2474" s="185"/>
      <c r="D2474" s="103" t="str">
        <f>VLOOKUP(B2474, 'All Menu'!B:M, 4, 0)</f>
        <v>صاجية لحم كيلو</v>
      </c>
      <c r="E2474" s="30" t="str">
        <f>VLOOKUP(B2474, 'All Menu'!B:M, 2, 0)</f>
        <v>قسم الملحمة</v>
      </c>
      <c r="F2474" s="103" t="str">
        <f>VLOOKUP(B2474, 'All Menu'!B:M, 3, 0)</f>
        <v>لحوم مشكوكة</v>
      </c>
      <c r="G2474" s="90" t="s">
        <v>3058</v>
      </c>
      <c r="H2474" s="112">
        <v>5403</v>
      </c>
      <c r="I2474" s="110" t="str">
        <f>VLOOKUP(H2474, 'RM &amp; SF'!B:H, 2, 0)</f>
        <v>طاجن (من تفصيلة الخروف)</v>
      </c>
      <c r="J2474" s="184" t="str">
        <f>VLOOKUP(H2474, 'RM &amp; SF'!B:E, 4, 0)</f>
        <v>غم</v>
      </c>
      <c r="K2474" s="12">
        <v>800</v>
      </c>
      <c r="L2474" s="13">
        <f>VLOOKUP(H2474, 'RM &amp; SF'!B:H, 7, 0)</f>
        <v>9.4999999999999998E-3</v>
      </c>
      <c r="M2474" s="7">
        <f t="shared" si="129"/>
        <v>7.6</v>
      </c>
      <c r="N2474" s="4" t="s">
        <v>825</v>
      </c>
      <c r="O2474" s="4">
        <f>VLOOKUP(B2474, 'All Menu'!B:L, 6, 0)</f>
        <v>22</v>
      </c>
      <c r="P2474" s="6">
        <f>VLOOKUP(B2474, 'All Menu'!B:L, 9, 0)</f>
        <v>8.4558017241379293</v>
      </c>
      <c r="Q2474" s="14">
        <f>VLOOKUP(B2474, 'All Menu'!B:M, 12, 0)</f>
        <v>0.61564537617554871</v>
      </c>
      <c r="R2474" s="173">
        <f t="shared" si="128"/>
        <v>0</v>
      </c>
    </row>
    <row r="2475" spans="1:18" ht="14" hidden="1">
      <c r="A2475" s="78" t="s">
        <v>2901</v>
      </c>
      <c r="B2475" s="220">
        <v>60075</v>
      </c>
      <c r="C2475" s="185"/>
      <c r="D2475" s="103" t="str">
        <f>VLOOKUP(B2475, 'All Menu'!B:M, 4, 0)</f>
        <v>صاجية لحم كيلو</v>
      </c>
      <c r="E2475" s="30" t="str">
        <f>VLOOKUP(B2475, 'All Menu'!B:M, 2, 0)</f>
        <v>قسم الملحمة</v>
      </c>
      <c r="F2475" s="103" t="str">
        <f>VLOOKUP(B2475, 'All Menu'!B:M, 3, 0)</f>
        <v>لحوم مشكوكة</v>
      </c>
      <c r="G2475" s="90" t="s">
        <v>2234</v>
      </c>
      <c r="H2475" s="188">
        <v>4503</v>
      </c>
      <c r="I2475" s="110" t="str">
        <f>VLOOKUP(H2475, 'RM &amp; SF'!B:H, 2, 0)</f>
        <v>بصل ناشف دفش*****</v>
      </c>
      <c r="J2475" s="184" t="str">
        <f>VLOOKUP(H2475, 'RM &amp; SF'!B:E, 4, 0)</f>
        <v>غم</v>
      </c>
      <c r="K2475" s="12">
        <v>200</v>
      </c>
      <c r="L2475" s="13">
        <f>VLOOKUP(H2475, 'RM &amp; SF'!B:H, 7, 0)</f>
        <v>2.5000000000000001E-4</v>
      </c>
      <c r="M2475" s="7">
        <f t="shared" si="129"/>
        <v>0.05</v>
      </c>
      <c r="N2475" s="4" t="s">
        <v>825</v>
      </c>
      <c r="O2475" s="4">
        <f>VLOOKUP(B2475, 'All Menu'!B:L, 6, 0)</f>
        <v>22</v>
      </c>
      <c r="P2475" s="6">
        <f>VLOOKUP(B2475, 'All Menu'!B:L, 9, 0)</f>
        <v>8.4558017241379293</v>
      </c>
      <c r="Q2475" s="14">
        <f>VLOOKUP(B2475, 'All Menu'!B:M, 12, 0)</f>
        <v>0.61564537617554871</v>
      </c>
      <c r="R2475" s="173">
        <f t="shared" si="128"/>
        <v>0</v>
      </c>
    </row>
    <row r="2476" spans="1:18" ht="15.5" hidden="1">
      <c r="A2476" s="78" t="s">
        <v>2901</v>
      </c>
      <c r="B2476" s="220">
        <v>60075</v>
      </c>
      <c r="C2476" s="185"/>
      <c r="D2476" s="103" t="str">
        <f>VLOOKUP(B2476, 'All Menu'!B:M, 4, 0)</f>
        <v>صاجية لحم كيلو</v>
      </c>
      <c r="E2476" s="30" t="str">
        <f>VLOOKUP(B2476, 'All Menu'!B:M, 2, 0)</f>
        <v>قسم الملحمة</v>
      </c>
      <c r="F2476" s="103" t="str">
        <f>VLOOKUP(B2476, 'All Menu'!B:M, 3, 0)</f>
        <v>لحوم مشكوكة</v>
      </c>
      <c r="G2476" s="90" t="s">
        <v>2321</v>
      </c>
      <c r="H2476" s="67">
        <v>5292</v>
      </c>
      <c r="I2476" s="110" t="str">
        <f>VLOOKUP(H2476, 'RM &amp; SF'!B:H, 2, 0)</f>
        <v>ثوم مقشر*****</v>
      </c>
      <c r="J2476" s="184" t="str">
        <f>VLOOKUP(H2476, 'RM &amp; SF'!B:E, 4, 0)</f>
        <v>غم</v>
      </c>
      <c r="K2476" s="12">
        <v>20</v>
      </c>
      <c r="L2476" s="13">
        <f>VLOOKUP(H2476, 'RM &amp; SF'!B:H, 7, 0)</f>
        <v>4.4999999999999997E-3</v>
      </c>
      <c r="M2476" s="7">
        <f t="shared" si="129"/>
        <v>0.09</v>
      </c>
      <c r="N2476" s="4" t="s">
        <v>825</v>
      </c>
      <c r="O2476" s="4">
        <f>VLOOKUP(B2476, 'All Menu'!B:L, 6, 0)</f>
        <v>22</v>
      </c>
      <c r="P2476" s="6">
        <f>VLOOKUP(B2476, 'All Menu'!B:L, 9, 0)</f>
        <v>8.4558017241379293</v>
      </c>
      <c r="Q2476" s="14">
        <f>VLOOKUP(B2476, 'All Menu'!B:M, 12, 0)</f>
        <v>0.61564537617554871</v>
      </c>
      <c r="R2476" s="173">
        <f t="shared" si="128"/>
        <v>0</v>
      </c>
    </row>
    <row r="2477" spans="1:18" ht="14" hidden="1">
      <c r="A2477" s="78" t="s">
        <v>2901</v>
      </c>
      <c r="B2477" s="220">
        <v>60075</v>
      </c>
      <c r="C2477" s="185"/>
      <c r="D2477" s="103" t="str">
        <f>VLOOKUP(B2477, 'All Menu'!B:M, 4, 0)</f>
        <v>صاجية لحم كيلو</v>
      </c>
      <c r="E2477" s="30" t="str">
        <f>VLOOKUP(B2477, 'All Menu'!B:M, 2, 0)</f>
        <v>قسم الملحمة</v>
      </c>
      <c r="F2477" s="103" t="str">
        <f>VLOOKUP(B2477, 'All Menu'!B:M, 3, 0)</f>
        <v>لحوم مشكوكة</v>
      </c>
      <c r="G2477" s="90" t="s">
        <v>2231</v>
      </c>
      <c r="H2477" s="188">
        <v>4499</v>
      </c>
      <c r="I2477" s="110" t="str">
        <f>VLOOKUP(H2477, 'RM &amp; SF'!B:H, 2, 0)</f>
        <v>فلفل حار اخضر*****</v>
      </c>
      <c r="J2477" s="184" t="str">
        <f>VLOOKUP(H2477, 'RM &amp; SF'!B:E, 4, 0)</f>
        <v>غم</v>
      </c>
      <c r="K2477" s="12">
        <v>40</v>
      </c>
      <c r="L2477" s="13">
        <f>VLOOKUP(H2477, 'RM &amp; SF'!B:H, 7, 0)</f>
        <v>5.0000000000000001E-4</v>
      </c>
      <c r="M2477" s="7">
        <f t="shared" si="129"/>
        <v>0.02</v>
      </c>
      <c r="N2477" s="4" t="s">
        <v>825</v>
      </c>
      <c r="O2477" s="4">
        <f>VLOOKUP(B2477, 'All Menu'!B:L, 6, 0)</f>
        <v>22</v>
      </c>
      <c r="P2477" s="6">
        <f>VLOOKUP(B2477, 'All Menu'!B:L, 9, 0)</f>
        <v>8.4558017241379293</v>
      </c>
      <c r="Q2477" s="14">
        <f>VLOOKUP(B2477, 'All Menu'!B:M, 12, 0)</f>
        <v>0.61564537617554871</v>
      </c>
      <c r="R2477" s="173">
        <f t="shared" si="128"/>
        <v>0</v>
      </c>
    </row>
    <row r="2478" spans="1:18" ht="14" hidden="1">
      <c r="A2478" s="78" t="s">
        <v>2901</v>
      </c>
      <c r="B2478" s="220">
        <v>60075</v>
      </c>
      <c r="C2478" s="185"/>
      <c r="D2478" s="103" t="str">
        <f>VLOOKUP(B2478, 'All Menu'!B:M, 4, 0)</f>
        <v>صاجية لحم كيلو</v>
      </c>
      <c r="E2478" s="30" t="str">
        <f>VLOOKUP(B2478, 'All Menu'!B:M, 2, 0)</f>
        <v>قسم الملحمة</v>
      </c>
      <c r="F2478" s="103" t="str">
        <f>VLOOKUP(B2478, 'All Menu'!B:M, 3, 0)</f>
        <v>لحوم مشكوكة</v>
      </c>
      <c r="G2478" s="90" t="s">
        <v>2203</v>
      </c>
      <c r="H2478" s="188">
        <v>4152</v>
      </c>
      <c r="I2478" s="110" t="str">
        <f>VLOOKUP(H2478, 'RM &amp; SF'!B:H, 2, 0)</f>
        <v>ملح طعام 750غم*****</v>
      </c>
      <c r="J2478" s="184" t="str">
        <f>VLOOKUP(H2478, 'RM &amp; SF'!B:E, 4, 0)</f>
        <v>غم</v>
      </c>
      <c r="K2478" s="12">
        <v>20</v>
      </c>
      <c r="L2478" s="13">
        <f>VLOOKUP(H2478, 'RM &amp; SF'!B:H, 7, 0)</f>
        <v>1.7066666666666665E-4</v>
      </c>
      <c r="M2478" s="7">
        <f t="shared" si="129"/>
        <v>3.4133333333333329E-3</v>
      </c>
      <c r="N2478" s="4" t="s">
        <v>825</v>
      </c>
      <c r="O2478" s="4">
        <f>VLOOKUP(B2478, 'All Menu'!B:L, 6, 0)</f>
        <v>22</v>
      </c>
      <c r="P2478" s="6">
        <f>VLOOKUP(B2478, 'All Menu'!B:L, 9, 0)</f>
        <v>8.4558017241379293</v>
      </c>
      <c r="Q2478" s="14">
        <f>VLOOKUP(B2478, 'All Menu'!B:M, 12, 0)</f>
        <v>0.61564537617554871</v>
      </c>
      <c r="R2478" s="173">
        <f t="shared" si="128"/>
        <v>0</v>
      </c>
    </row>
    <row r="2479" spans="1:18" ht="14" hidden="1">
      <c r="A2479" s="78" t="s">
        <v>2901</v>
      </c>
      <c r="B2479" s="220">
        <v>60075</v>
      </c>
      <c r="C2479" s="185"/>
      <c r="D2479" s="103" t="str">
        <f>VLOOKUP(B2479, 'All Menu'!B:M, 4, 0)</f>
        <v>صاجية لحم كيلو</v>
      </c>
      <c r="E2479" s="30" t="str">
        <f>VLOOKUP(B2479, 'All Menu'!B:M, 2, 0)</f>
        <v>قسم الملحمة</v>
      </c>
      <c r="F2479" s="103" t="str">
        <f>VLOOKUP(B2479, 'All Menu'!B:M, 3, 0)</f>
        <v>لحوم مشكوكة</v>
      </c>
      <c r="G2479" s="90" t="s">
        <v>2206</v>
      </c>
      <c r="H2479" s="188">
        <v>4204</v>
      </c>
      <c r="I2479" s="110" t="str">
        <f>VLOOKUP(H2479, 'RM &amp; SF'!B:H, 2, 0)</f>
        <v>فلفل اسود ناعم*****</v>
      </c>
      <c r="J2479" s="184" t="str">
        <f>VLOOKUP(H2479, 'RM &amp; SF'!B:E, 4, 0)</f>
        <v>غم</v>
      </c>
      <c r="K2479" s="12">
        <v>10</v>
      </c>
      <c r="L2479" s="13">
        <f>VLOOKUP(H2479, 'RM &amp; SF'!B:H, 7, 0)</f>
        <v>6.8970000000000004E-3</v>
      </c>
      <c r="M2479" s="7">
        <f t="shared" si="129"/>
        <v>6.8970000000000004E-2</v>
      </c>
      <c r="N2479" s="4" t="s">
        <v>825</v>
      </c>
      <c r="O2479" s="4">
        <f>VLOOKUP(B2479, 'All Menu'!B:L, 6, 0)</f>
        <v>22</v>
      </c>
      <c r="P2479" s="6">
        <f>VLOOKUP(B2479, 'All Menu'!B:L, 9, 0)</f>
        <v>8.4558017241379293</v>
      </c>
      <c r="Q2479" s="14">
        <f>VLOOKUP(B2479, 'All Menu'!B:M, 12, 0)</f>
        <v>0.61564537617554871</v>
      </c>
      <c r="R2479" s="173">
        <f t="shared" si="128"/>
        <v>0</v>
      </c>
    </row>
    <row r="2480" spans="1:18" ht="14" hidden="1">
      <c r="A2480" s="78" t="s">
        <v>2901</v>
      </c>
      <c r="B2480" s="220">
        <v>60075</v>
      </c>
      <c r="C2480" s="185"/>
      <c r="D2480" s="103" t="str">
        <f>VLOOKUP(B2480, 'All Menu'!B:M, 4, 0)</f>
        <v>صاجية لحم كيلو</v>
      </c>
      <c r="E2480" s="30" t="str">
        <f>VLOOKUP(B2480, 'All Menu'!B:M, 2, 0)</f>
        <v>قسم الملحمة</v>
      </c>
      <c r="F2480" s="103" t="str">
        <f>VLOOKUP(B2480, 'All Menu'!B:M, 3, 0)</f>
        <v>لحوم مشكوكة</v>
      </c>
      <c r="G2480" s="90" t="s">
        <v>2260</v>
      </c>
      <c r="H2480" s="188">
        <v>4160</v>
      </c>
      <c r="I2480" s="110" t="str">
        <f>VLOOKUP(H2480, 'RM &amp; SF'!B:H, 2, 0)</f>
        <v>زيت صويا 18 لتر*****</v>
      </c>
      <c r="J2480" s="184" t="str">
        <f>VLOOKUP(H2480, 'RM &amp; SF'!B:E, 4, 0)</f>
        <v>مل</v>
      </c>
      <c r="K2480" s="12">
        <v>120</v>
      </c>
      <c r="L2480" s="13">
        <f>VLOOKUP(H2480, 'RM &amp; SF'!B:H, 7, 0)</f>
        <v>1.335E-3</v>
      </c>
      <c r="M2480" s="7">
        <f t="shared" si="129"/>
        <v>0.16020000000000001</v>
      </c>
      <c r="N2480" s="4" t="s">
        <v>825</v>
      </c>
      <c r="O2480" s="4">
        <f>VLOOKUP(B2480, 'All Menu'!B:L, 6, 0)</f>
        <v>22</v>
      </c>
      <c r="P2480" s="6">
        <f>VLOOKUP(B2480, 'All Menu'!B:L, 9, 0)</f>
        <v>8.4558017241379293</v>
      </c>
      <c r="Q2480" s="14">
        <f>VLOOKUP(B2480, 'All Menu'!B:M, 12, 0)</f>
        <v>0.61564537617554871</v>
      </c>
      <c r="R2480" s="173">
        <f t="shared" si="128"/>
        <v>0</v>
      </c>
    </row>
    <row r="2481" spans="1:18" ht="14" hidden="1">
      <c r="A2481" s="78" t="s">
        <v>2901</v>
      </c>
      <c r="B2481" s="220">
        <v>60075</v>
      </c>
      <c r="C2481" s="185"/>
      <c r="D2481" s="103" t="str">
        <f>VLOOKUP(B2481, 'All Menu'!B:M, 4, 0)</f>
        <v>صاجية لحم كيلو</v>
      </c>
      <c r="E2481" s="30" t="str">
        <f>VLOOKUP(B2481, 'All Menu'!B:M, 2, 0)</f>
        <v>قسم الملحمة</v>
      </c>
      <c r="F2481" s="103" t="str">
        <f>VLOOKUP(B2481, 'All Menu'!B:M, 3, 0)</f>
        <v>لحوم مشكوكة</v>
      </c>
      <c r="G2481" s="90" t="s">
        <v>3058</v>
      </c>
      <c r="H2481" s="188">
        <v>5424</v>
      </c>
      <c r="I2481" s="110" t="str">
        <f>VLOOKUP(H2481, 'RM &amp; SF'!B:H, 2, 0)</f>
        <v>علب قصدير مدور 1/2 كغ RZ 25*****</v>
      </c>
      <c r="J2481" s="184" t="str">
        <f>VLOOKUP(H2481, 'RM &amp; SF'!B:E, 4, 0)</f>
        <v>قطعة</v>
      </c>
      <c r="K2481" s="12">
        <v>1</v>
      </c>
      <c r="L2481" s="13">
        <f>VLOOKUP(H2481, 'RM &amp; SF'!B:H, 7, 0)</f>
        <v>0.1149425287356322</v>
      </c>
      <c r="M2481" s="7">
        <f t="shared" si="129"/>
        <v>0.1149425287356322</v>
      </c>
      <c r="N2481" s="4" t="s">
        <v>825</v>
      </c>
      <c r="O2481" s="4">
        <f>VLOOKUP(B2481, 'All Menu'!B:L, 6, 0)</f>
        <v>22</v>
      </c>
      <c r="P2481" s="6">
        <f>VLOOKUP(B2481, 'All Menu'!B:L, 9, 0)</f>
        <v>8.4558017241379293</v>
      </c>
      <c r="Q2481" s="14">
        <f>VLOOKUP(B2481, 'All Menu'!B:M, 12, 0)</f>
        <v>0.61564537617554871</v>
      </c>
      <c r="R2481" s="173">
        <f t="shared" si="128"/>
        <v>0</v>
      </c>
    </row>
    <row r="2482" spans="1:18" ht="14" hidden="1">
      <c r="A2482" s="78" t="s">
        <v>2901</v>
      </c>
      <c r="B2482" s="220">
        <v>60075</v>
      </c>
      <c r="C2482" s="185"/>
      <c r="D2482" s="103" t="str">
        <f>VLOOKUP(B2482, 'All Menu'!B:M, 4, 0)</f>
        <v>صاجية لحم كيلو</v>
      </c>
      <c r="E2482" s="30" t="str">
        <f>VLOOKUP(B2482, 'All Menu'!B:M, 2, 0)</f>
        <v>قسم الملحمة</v>
      </c>
      <c r="F2482" s="103" t="str">
        <f>VLOOKUP(B2482, 'All Menu'!B:M, 3, 0)</f>
        <v>لحوم مشكوكة</v>
      </c>
      <c r="G2482" s="90" t="s">
        <v>3058</v>
      </c>
      <c r="H2482" s="188">
        <v>4275</v>
      </c>
      <c r="I2482" s="110" t="str">
        <f>VLOOKUP(H2482, 'RM &amp; SF'!B:H, 2, 0)</f>
        <v>علب المركزية مطبوع + قاطع رقم 2 1*100 حبة*****</v>
      </c>
      <c r="J2482" s="184" t="str">
        <f>VLOOKUP(H2482, 'RM &amp; SF'!B:E, 4, 0)</f>
        <v>قطعة</v>
      </c>
      <c r="K2482" s="12">
        <v>1</v>
      </c>
      <c r="L2482" s="13">
        <f>VLOOKUP(H2482, 'RM &amp; SF'!B:H, 7, 0)</f>
        <v>0.2931034482758621</v>
      </c>
      <c r="M2482" s="7">
        <f t="shared" si="129"/>
        <v>0.2931034482758621</v>
      </c>
      <c r="N2482" s="4" t="s">
        <v>825</v>
      </c>
      <c r="O2482" s="4">
        <f>VLOOKUP(B2482, 'All Menu'!B:L, 6, 0)</f>
        <v>22</v>
      </c>
      <c r="P2482" s="6">
        <f>VLOOKUP(B2482, 'All Menu'!B:L, 9, 0)</f>
        <v>8.4558017241379293</v>
      </c>
      <c r="Q2482" s="14">
        <f>VLOOKUP(B2482, 'All Menu'!B:M, 12, 0)</f>
        <v>0.61564537617554871</v>
      </c>
      <c r="R2482" s="173">
        <f t="shared" si="128"/>
        <v>0</v>
      </c>
    </row>
    <row r="2483" spans="1:18" ht="14" hidden="1">
      <c r="A2483" s="78" t="s">
        <v>2901</v>
      </c>
      <c r="B2483" s="220">
        <v>60075</v>
      </c>
      <c r="C2483" s="185"/>
      <c r="D2483" s="103" t="str">
        <f>VLOOKUP(B2483, 'All Menu'!B:M, 4, 0)</f>
        <v>صاجية لحم كيلو</v>
      </c>
      <c r="E2483" s="30" t="str">
        <f>VLOOKUP(B2483, 'All Menu'!B:M, 2, 0)</f>
        <v>قسم الملحمة</v>
      </c>
      <c r="F2483" s="103" t="str">
        <f>VLOOKUP(B2483, 'All Menu'!B:M, 3, 0)</f>
        <v>لحوم مشكوكة</v>
      </c>
      <c r="G2483" s="90" t="s">
        <v>2193</v>
      </c>
      <c r="H2483" s="188">
        <v>4309</v>
      </c>
      <c r="I2483" s="110" t="str">
        <f>VLOOKUP(H2483, 'RM &amp; SF'!B:H, 2, 0)</f>
        <v>اكياس بلاستيك مطبوع 55 سم*****</v>
      </c>
      <c r="J2483" s="184" t="str">
        <f>VLOOKUP(H2483, 'RM &amp; SF'!B:E, 4, 0)</f>
        <v>قطعة</v>
      </c>
      <c r="K2483" s="12">
        <v>1</v>
      </c>
      <c r="L2483" s="13">
        <f>VLOOKUP(H2483, 'RM &amp; SF'!B:H, 7, 0)</f>
        <v>5.5172413793103454E-2</v>
      </c>
      <c r="M2483" s="7">
        <f t="shared" si="129"/>
        <v>5.5172413793103454E-2</v>
      </c>
      <c r="N2483" s="4" t="s">
        <v>825</v>
      </c>
      <c r="O2483" s="4">
        <f>VLOOKUP(B2483, 'All Menu'!B:L, 6, 0)</f>
        <v>22</v>
      </c>
      <c r="P2483" s="6">
        <f>VLOOKUP(B2483, 'All Menu'!B:L, 9, 0)</f>
        <v>8.4558017241379293</v>
      </c>
      <c r="Q2483" s="14">
        <f>VLOOKUP(B2483, 'All Menu'!B:M, 12, 0)</f>
        <v>0.61564537617554871</v>
      </c>
      <c r="R2483" s="173">
        <f t="shared" si="128"/>
        <v>0</v>
      </c>
    </row>
    <row r="2484" spans="1:18" ht="15.5" hidden="1">
      <c r="A2484" s="78" t="s">
        <v>2902</v>
      </c>
      <c r="B2484" s="220">
        <v>60076</v>
      </c>
      <c r="C2484" s="185"/>
      <c r="D2484" s="103" t="str">
        <f>VLOOKUP(B2484, 'All Menu'!B:M, 4, 0)</f>
        <v>صاجية لحم نص كيلو</v>
      </c>
      <c r="E2484" s="30" t="str">
        <f>VLOOKUP(B2484, 'All Menu'!B:M, 2, 0)</f>
        <v>قسم الملحمة</v>
      </c>
      <c r="F2484" s="103" t="str">
        <f>VLOOKUP(B2484, 'All Menu'!B:M, 3, 0)</f>
        <v>لحوم مشكوكة</v>
      </c>
      <c r="G2484" s="90" t="s">
        <v>3058</v>
      </c>
      <c r="H2484" s="112">
        <v>5403</v>
      </c>
      <c r="I2484" s="110" t="str">
        <f>VLOOKUP(H2484, 'RM &amp; SF'!B:H, 2, 0)</f>
        <v>طاجن (من تفصيلة الخروف)</v>
      </c>
      <c r="J2484" s="184" t="str">
        <f>VLOOKUP(H2484, 'RM &amp; SF'!B:E, 4, 0)</f>
        <v>غم</v>
      </c>
      <c r="K2484" s="12">
        <v>400</v>
      </c>
      <c r="L2484" s="13">
        <f>VLOOKUP(H2484, 'RM &amp; SF'!B:H, 7, 0)</f>
        <v>9.4999999999999998E-3</v>
      </c>
      <c r="M2484" s="7">
        <f t="shared" si="129"/>
        <v>3.8</v>
      </c>
      <c r="N2484" s="4" t="s">
        <v>825</v>
      </c>
      <c r="O2484" s="4">
        <f>VLOOKUP(B2484, 'All Menu'!B:L, 6, 0)</f>
        <v>12</v>
      </c>
      <c r="P2484" s="6">
        <f>VLOOKUP(B2484, 'All Menu'!B:L, 9, 0)</f>
        <v>4.4471226436781608</v>
      </c>
      <c r="Q2484" s="14">
        <f>VLOOKUP(B2484, 'All Menu'!B:M, 12, 0)</f>
        <v>0.6294064463601533</v>
      </c>
      <c r="R2484" s="173">
        <f t="shared" si="128"/>
        <v>0</v>
      </c>
    </row>
    <row r="2485" spans="1:18" ht="14" hidden="1">
      <c r="A2485" s="78" t="s">
        <v>2902</v>
      </c>
      <c r="B2485" s="220">
        <v>60076</v>
      </c>
      <c r="C2485" s="185"/>
      <c r="D2485" s="103" t="str">
        <f>VLOOKUP(B2485, 'All Menu'!B:M, 4, 0)</f>
        <v>صاجية لحم نص كيلو</v>
      </c>
      <c r="E2485" s="30" t="str">
        <f>VLOOKUP(B2485, 'All Menu'!B:M, 2, 0)</f>
        <v>قسم الملحمة</v>
      </c>
      <c r="F2485" s="103" t="str">
        <f>VLOOKUP(B2485, 'All Menu'!B:M, 3, 0)</f>
        <v>لحوم مشكوكة</v>
      </c>
      <c r="G2485" s="90" t="s">
        <v>2234</v>
      </c>
      <c r="H2485" s="188">
        <v>4503</v>
      </c>
      <c r="I2485" s="110" t="str">
        <f>VLOOKUP(H2485, 'RM &amp; SF'!B:H, 2, 0)</f>
        <v>بصل ناشف دفش*****</v>
      </c>
      <c r="J2485" s="184" t="str">
        <f>VLOOKUP(H2485, 'RM &amp; SF'!B:E, 4, 0)</f>
        <v>غم</v>
      </c>
      <c r="K2485" s="12">
        <v>200</v>
      </c>
      <c r="L2485" s="13">
        <f>VLOOKUP(H2485, 'RM &amp; SF'!B:H, 7, 0)</f>
        <v>2.5000000000000001E-4</v>
      </c>
      <c r="M2485" s="7">
        <f t="shared" si="129"/>
        <v>0.05</v>
      </c>
      <c r="N2485" s="4" t="s">
        <v>825</v>
      </c>
      <c r="O2485" s="4">
        <f>VLOOKUP(B2485, 'All Menu'!B:L, 6, 0)</f>
        <v>12</v>
      </c>
      <c r="P2485" s="6">
        <f>VLOOKUP(B2485, 'All Menu'!B:L, 9, 0)</f>
        <v>4.4471226436781608</v>
      </c>
      <c r="Q2485" s="14">
        <f>VLOOKUP(B2485, 'All Menu'!B:M, 12, 0)</f>
        <v>0.6294064463601533</v>
      </c>
      <c r="R2485" s="173">
        <f t="shared" si="128"/>
        <v>0</v>
      </c>
    </row>
    <row r="2486" spans="1:18" ht="15.5" hidden="1">
      <c r="A2486" s="78" t="s">
        <v>2902</v>
      </c>
      <c r="B2486" s="220">
        <v>60076</v>
      </c>
      <c r="C2486" s="185"/>
      <c r="D2486" s="103" t="str">
        <f>VLOOKUP(B2486, 'All Menu'!B:M, 4, 0)</f>
        <v>صاجية لحم نص كيلو</v>
      </c>
      <c r="E2486" s="30" t="str">
        <f>VLOOKUP(B2486, 'All Menu'!B:M, 2, 0)</f>
        <v>قسم الملحمة</v>
      </c>
      <c r="F2486" s="103" t="str">
        <f>VLOOKUP(B2486, 'All Menu'!B:M, 3, 0)</f>
        <v>لحوم مشكوكة</v>
      </c>
      <c r="G2486" s="90" t="s">
        <v>2321</v>
      </c>
      <c r="H2486" s="67">
        <v>5292</v>
      </c>
      <c r="I2486" s="110" t="str">
        <f>VLOOKUP(H2486, 'RM &amp; SF'!B:H, 2, 0)</f>
        <v>ثوم مقشر*****</v>
      </c>
      <c r="J2486" s="184" t="str">
        <f>VLOOKUP(H2486, 'RM &amp; SF'!B:E, 4, 0)</f>
        <v>غم</v>
      </c>
      <c r="K2486" s="12">
        <v>10</v>
      </c>
      <c r="L2486" s="13">
        <f>VLOOKUP(H2486, 'RM &amp; SF'!B:H, 7, 0)</f>
        <v>4.4999999999999997E-3</v>
      </c>
      <c r="M2486" s="7">
        <f t="shared" si="129"/>
        <v>4.4999999999999998E-2</v>
      </c>
      <c r="N2486" s="4" t="s">
        <v>825</v>
      </c>
      <c r="O2486" s="4">
        <f>VLOOKUP(B2486, 'All Menu'!B:L, 6, 0)</f>
        <v>12</v>
      </c>
      <c r="P2486" s="6">
        <f>VLOOKUP(B2486, 'All Menu'!B:L, 9, 0)</f>
        <v>4.4471226436781608</v>
      </c>
      <c r="Q2486" s="14">
        <f>VLOOKUP(B2486, 'All Menu'!B:M, 12, 0)</f>
        <v>0.6294064463601533</v>
      </c>
      <c r="R2486" s="173">
        <f t="shared" si="128"/>
        <v>0</v>
      </c>
    </row>
    <row r="2487" spans="1:18" ht="14" hidden="1">
      <c r="A2487" s="78" t="s">
        <v>2902</v>
      </c>
      <c r="B2487" s="220">
        <v>60076</v>
      </c>
      <c r="C2487" s="185"/>
      <c r="D2487" s="103" t="str">
        <f>VLOOKUP(B2487, 'All Menu'!B:M, 4, 0)</f>
        <v>صاجية لحم نص كيلو</v>
      </c>
      <c r="E2487" s="30" t="str">
        <f>VLOOKUP(B2487, 'All Menu'!B:M, 2, 0)</f>
        <v>قسم الملحمة</v>
      </c>
      <c r="F2487" s="103" t="str">
        <f>VLOOKUP(B2487, 'All Menu'!B:M, 3, 0)</f>
        <v>لحوم مشكوكة</v>
      </c>
      <c r="G2487" s="90" t="s">
        <v>2231</v>
      </c>
      <c r="H2487" s="188">
        <v>4499</v>
      </c>
      <c r="I2487" s="110" t="str">
        <f>VLOOKUP(H2487, 'RM &amp; SF'!B:H, 2, 0)</f>
        <v>فلفل حار اخضر*****</v>
      </c>
      <c r="J2487" s="184" t="str">
        <f>VLOOKUP(H2487, 'RM &amp; SF'!B:E, 4, 0)</f>
        <v>غم</v>
      </c>
      <c r="K2487" s="12">
        <v>40</v>
      </c>
      <c r="L2487" s="13">
        <f>VLOOKUP(H2487, 'RM &amp; SF'!B:H, 7, 0)</f>
        <v>5.0000000000000001E-4</v>
      </c>
      <c r="M2487" s="7">
        <f t="shared" si="129"/>
        <v>0.02</v>
      </c>
      <c r="N2487" s="4" t="s">
        <v>825</v>
      </c>
      <c r="O2487" s="4">
        <f>VLOOKUP(B2487, 'All Menu'!B:L, 6, 0)</f>
        <v>12</v>
      </c>
      <c r="P2487" s="6">
        <f>VLOOKUP(B2487, 'All Menu'!B:L, 9, 0)</f>
        <v>4.4471226436781608</v>
      </c>
      <c r="Q2487" s="14">
        <f>VLOOKUP(B2487, 'All Menu'!B:M, 12, 0)</f>
        <v>0.6294064463601533</v>
      </c>
      <c r="R2487" s="173">
        <f t="shared" si="128"/>
        <v>0</v>
      </c>
    </row>
    <row r="2488" spans="1:18" ht="14" hidden="1">
      <c r="A2488" s="78" t="s">
        <v>2902</v>
      </c>
      <c r="B2488" s="220">
        <v>60076</v>
      </c>
      <c r="C2488" s="185"/>
      <c r="D2488" s="103" t="str">
        <f>VLOOKUP(B2488, 'All Menu'!B:M, 4, 0)</f>
        <v>صاجية لحم نص كيلو</v>
      </c>
      <c r="E2488" s="30" t="str">
        <f>VLOOKUP(B2488, 'All Menu'!B:M, 2, 0)</f>
        <v>قسم الملحمة</v>
      </c>
      <c r="F2488" s="103" t="str">
        <f>VLOOKUP(B2488, 'All Menu'!B:M, 3, 0)</f>
        <v>لحوم مشكوكة</v>
      </c>
      <c r="G2488" s="90" t="s">
        <v>2203</v>
      </c>
      <c r="H2488" s="188">
        <v>4152</v>
      </c>
      <c r="I2488" s="110" t="str">
        <f>VLOOKUP(H2488, 'RM &amp; SF'!B:H, 2, 0)</f>
        <v>ملح طعام 750غم*****</v>
      </c>
      <c r="J2488" s="184" t="str">
        <f>VLOOKUP(H2488, 'RM &amp; SF'!B:E, 4, 0)</f>
        <v>غم</v>
      </c>
      <c r="K2488" s="12">
        <v>10</v>
      </c>
      <c r="L2488" s="13">
        <f>VLOOKUP(H2488, 'RM &amp; SF'!B:H, 7, 0)</f>
        <v>1.7066666666666665E-4</v>
      </c>
      <c r="M2488" s="7">
        <f t="shared" si="129"/>
        <v>1.7066666666666664E-3</v>
      </c>
      <c r="N2488" s="4" t="s">
        <v>825</v>
      </c>
      <c r="O2488" s="4">
        <f>VLOOKUP(B2488, 'All Menu'!B:L, 6, 0)</f>
        <v>12</v>
      </c>
      <c r="P2488" s="6">
        <f>VLOOKUP(B2488, 'All Menu'!B:L, 9, 0)</f>
        <v>4.4471226436781608</v>
      </c>
      <c r="Q2488" s="14">
        <f>VLOOKUP(B2488, 'All Menu'!B:M, 12, 0)</f>
        <v>0.6294064463601533</v>
      </c>
      <c r="R2488" s="173">
        <f t="shared" si="128"/>
        <v>0</v>
      </c>
    </row>
    <row r="2489" spans="1:18" ht="14" hidden="1">
      <c r="A2489" s="78" t="s">
        <v>2902</v>
      </c>
      <c r="B2489" s="220">
        <v>60076</v>
      </c>
      <c r="C2489" s="185"/>
      <c r="D2489" s="103" t="str">
        <f>VLOOKUP(B2489, 'All Menu'!B:M, 4, 0)</f>
        <v>صاجية لحم نص كيلو</v>
      </c>
      <c r="E2489" s="30" t="str">
        <f>VLOOKUP(B2489, 'All Menu'!B:M, 2, 0)</f>
        <v>قسم الملحمة</v>
      </c>
      <c r="F2489" s="103" t="str">
        <f>VLOOKUP(B2489, 'All Menu'!B:M, 3, 0)</f>
        <v>لحوم مشكوكة</v>
      </c>
      <c r="G2489" s="90" t="s">
        <v>2206</v>
      </c>
      <c r="H2489" s="188">
        <v>4204</v>
      </c>
      <c r="I2489" s="110" t="str">
        <f>VLOOKUP(H2489, 'RM &amp; SF'!B:H, 2, 0)</f>
        <v>فلفل اسود ناعم*****</v>
      </c>
      <c r="J2489" s="184" t="str">
        <f>VLOOKUP(H2489, 'RM &amp; SF'!B:E, 4, 0)</f>
        <v>غم</v>
      </c>
      <c r="K2489" s="12">
        <v>10</v>
      </c>
      <c r="L2489" s="13">
        <f>VLOOKUP(H2489, 'RM &amp; SF'!B:H, 7, 0)</f>
        <v>6.8970000000000004E-3</v>
      </c>
      <c r="M2489" s="7">
        <f t="shared" si="129"/>
        <v>6.8970000000000004E-2</v>
      </c>
      <c r="N2489" s="4" t="s">
        <v>825</v>
      </c>
      <c r="O2489" s="4">
        <f>VLOOKUP(B2489, 'All Menu'!B:L, 6, 0)</f>
        <v>12</v>
      </c>
      <c r="P2489" s="6">
        <f>VLOOKUP(B2489, 'All Menu'!B:L, 9, 0)</f>
        <v>4.4471226436781608</v>
      </c>
      <c r="Q2489" s="14">
        <f>VLOOKUP(B2489, 'All Menu'!B:M, 12, 0)</f>
        <v>0.6294064463601533</v>
      </c>
      <c r="R2489" s="173">
        <f t="shared" si="128"/>
        <v>0</v>
      </c>
    </row>
    <row r="2490" spans="1:18" ht="14" hidden="1">
      <c r="A2490" s="78" t="s">
        <v>2902</v>
      </c>
      <c r="B2490" s="220">
        <v>60076</v>
      </c>
      <c r="C2490" s="185"/>
      <c r="D2490" s="103" t="str">
        <f>VLOOKUP(B2490, 'All Menu'!B:M, 4, 0)</f>
        <v>صاجية لحم نص كيلو</v>
      </c>
      <c r="E2490" s="30" t="str">
        <f>VLOOKUP(B2490, 'All Menu'!B:M, 2, 0)</f>
        <v>قسم الملحمة</v>
      </c>
      <c r="F2490" s="103" t="str">
        <f>VLOOKUP(B2490, 'All Menu'!B:M, 3, 0)</f>
        <v>لحوم مشكوكة</v>
      </c>
      <c r="G2490" s="90" t="s">
        <v>2260</v>
      </c>
      <c r="H2490" s="188">
        <v>4160</v>
      </c>
      <c r="I2490" s="110" t="str">
        <f>VLOOKUP(H2490, 'RM &amp; SF'!B:H, 2, 0)</f>
        <v>زيت صويا 18 لتر*****</v>
      </c>
      <c r="J2490" s="184" t="str">
        <f>VLOOKUP(H2490, 'RM &amp; SF'!B:E, 4, 0)</f>
        <v>مل</v>
      </c>
      <c r="K2490" s="12">
        <v>40</v>
      </c>
      <c r="L2490" s="13">
        <f>VLOOKUP(H2490, 'RM &amp; SF'!B:H, 7, 0)</f>
        <v>1.335E-3</v>
      </c>
      <c r="M2490" s="7">
        <f t="shared" si="129"/>
        <v>5.3400000000000003E-2</v>
      </c>
      <c r="N2490" s="4" t="s">
        <v>825</v>
      </c>
      <c r="O2490" s="4">
        <f>VLOOKUP(B2490, 'All Menu'!B:L, 6, 0)</f>
        <v>12</v>
      </c>
      <c r="P2490" s="6">
        <f>VLOOKUP(B2490, 'All Menu'!B:L, 9, 0)</f>
        <v>4.4471226436781608</v>
      </c>
      <c r="Q2490" s="14">
        <f>VLOOKUP(B2490, 'All Menu'!B:M, 12, 0)</f>
        <v>0.6294064463601533</v>
      </c>
      <c r="R2490" s="173">
        <f t="shared" si="128"/>
        <v>0</v>
      </c>
    </row>
    <row r="2491" spans="1:18" ht="14" hidden="1">
      <c r="A2491" s="78" t="s">
        <v>2902</v>
      </c>
      <c r="B2491" s="220">
        <v>60076</v>
      </c>
      <c r="C2491" s="185"/>
      <c r="D2491" s="103" t="str">
        <f>VLOOKUP(B2491, 'All Menu'!B:M, 4, 0)</f>
        <v>صاجية لحم نص كيلو</v>
      </c>
      <c r="E2491" s="30" t="str">
        <f>VLOOKUP(B2491, 'All Menu'!B:M, 2, 0)</f>
        <v>قسم الملحمة</v>
      </c>
      <c r="F2491" s="103" t="str">
        <f>VLOOKUP(B2491, 'All Menu'!B:M, 3, 0)</f>
        <v>لحوم مشكوكة</v>
      </c>
      <c r="G2491" s="90" t="s">
        <v>3058</v>
      </c>
      <c r="H2491" s="188">
        <v>5424</v>
      </c>
      <c r="I2491" s="110" t="str">
        <f>VLOOKUP(H2491, 'RM &amp; SF'!B:H, 2, 0)</f>
        <v>علب قصدير مدور 1/2 كغ RZ 25*****</v>
      </c>
      <c r="J2491" s="184" t="str">
        <f>VLOOKUP(H2491, 'RM &amp; SF'!B:E, 4, 0)</f>
        <v>قطعة</v>
      </c>
      <c r="K2491" s="12">
        <v>1</v>
      </c>
      <c r="L2491" s="13">
        <f>VLOOKUP(H2491, 'RM &amp; SF'!B:H, 7, 0)</f>
        <v>0.1149425287356322</v>
      </c>
      <c r="M2491" s="7">
        <f t="shared" si="129"/>
        <v>0.1149425287356322</v>
      </c>
      <c r="N2491" s="4" t="s">
        <v>825</v>
      </c>
      <c r="O2491" s="4">
        <f>VLOOKUP(B2491, 'All Menu'!B:L, 6, 0)</f>
        <v>12</v>
      </c>
      <c r="P2491" s="6">
        <f>VLOOKUP(B2491, 'All Menu'!B:L, 9, 0)</f>
        <v>4.4471226436781608</v>
      </c>
      <c r="Q2491" s="14">
        <f>VLOOKUP(B2491, 'All Menu'!B:M, 12, 0)</f>
        <v>0.6294064463601533</v>
      </c>
      <c r="R2491" s="173">
        <f t="shared" si="128"/>
        <v>0</v>
      </c>
    </row>
    <row r="2492" spans="1:18" ht="14" hidden="1">
      <c r="A2492" s="78" t="s">
        <v>2902</v>
      </c>
      <c r="B2492" s="220">
        <v>60076</v>
      </c>
      <c r="C2492" s="185"/>
      <c r="D2492" s="103" t="str">
        <f>VLOOKUP(B2492, 'All Menu'!B:M, 4, 0)</f>
        <v>صاجية لحم نص كيلو</v>
      </c>
      <c r="E2492" s="30" t="str">
        <f>VLOOKUP(B2492, 'All Menu'!B:M, 2, 0)</f>
        <v>قسم الملحمة</v>
      </c>
      <c r="F2492" s="103" t="str">
        <f>VLOOKUP(B2492, 'All Menu'!B:M, 3, 0)</f>
        <v>لحوم مشكوكة</v>
      </c>
      <c r="G2492" s="90" t="s">
        <v>3058</v>
      </c>
      <c r="H2492" s="188">
        <v>4275</v>
      </c>
      <c r="I2492" s="110" t="str">
        <f>VLOOKUP(H2492, 'RM &amp; SF'!B:H, 2, 0)</f>
        <v>علب المركزية مطبوع + قاطع رقم 2 1*100 حبة*****</v>
      </c>
      <c r="J2492" s="184" t="str">
        <f>VLOOKUP(H2492, 'RM &amp; SF'!B:E, 4, 0)</f>
        <v>قطعة</v>
      </c>
      <c r="K2492" s="12">
        <v>1</v>
      </c>
      <c r="L2492" s="13">
        <f>VLOOKUP(H2492, 'RM &amp; SF'!B:H, 7, 0)</f>
        <v>0.2931034482758621</v>
      </c>
      <c r="M2492" s="7">
        <f t="shared" si="129"/>
        <v>0.2931034482758621</v>
      </c>
      <c r="N2492" s="4" t="s">
        <v>825</v>
      </c>
      <c r="O2492" s="4">
        <f>VLOOKUP(B2492, 'All Menu'!B:L, 6, 0)</f>
        <v>12</v>
      </c>
      <c r="P2492" s="6">
        <f>VLOOKUP(B2492, 'All Menu'!B:L, 9, 0)</f>
        <v>4.4471226436781608</v>
      </c>
      <c r="Q2492" s="14">
        <f>VLOOKUP(B2492, 'All Menu'!B:M, 12, 0)</f>
        <v>0.6294064463601533</v>
      </c>
      <c r="R2492" s="173">
        <f t="shared" ref="R2492:R2513" si="130">C2492*K2492</f>
        <v>0</v>
      </c>
    </row>
    <row r="2493" spans="1:18" ht="15.5" hidden="1">
      <c r="A2493" s="78" t="s">
        <v>2903</v>
      </c>
      <c r="B2493" s="220">
        <v>60078</v>
      </c>
      <c r="C2493" s="185"/>
      <c r="D2493" s="103" t="str">
        <f>VLOOKUP(B2493, 'All Menu'!B:M, 4, 0)</f>
        <v>صاجية راس عصفور نص كيلو</v>
      </c>
      <c r="E2493" s="30" t="str">
        <f>VLOOKUP(B2493, 'All Menu'!B:M, 2, 0)</f>
        <v>قسم الملحمة</v>
      </c>
      <c r="F2493" s="103" t="str">
        <f>VLOOKUP(B2493, 'All Menu'!B:M, 3, 0)</f>
        <v>لحوم مشكوكة</v>
      </c>
      <c r="G2493" s="90" t="s">
        <v>3058</v>
      </c>
      <c r="H2493" s="112">
        <v>5403</v>
      </c>
      <c r="I2493" s="110" t="str">
        <f>VLOOKUP(H2493, 'RM &amp; SF'!B:H, 2, 0)</f>
        <v>طاجن (من تفصيلة الخروف)</v>
      </c>
      <c r="J2493" s="184" t="str">
        <f>VLOOKUP(H2493, 'RM &amp; SF'!B:E, 4, 0)</f>
        <v>غم</v>
      </c>
      <c r="K2493" s="12">
        <v>400</v>
      </c>
      <c r="L2493" s="13">
        <f>VLOOKUP(H2493, 'RM &amp; SF'!B:H, 7, 0)</f>
        <v>9.4999999999999998E-3</v>
      </c>
      <c r="M2493" s="7">
        <f t="shared" ref="M2493:M2513" si="131">L2493*K2493</f>
        <v>3.8</v>
      </c>
      <c r="N2493" s="4" t="s">
        <v>825</v>
      </c>
      <c r="O2493" s="4">
        <f>VLOOKUP(B2493, 'All Menu'!B:L, 6, 0)</f>
        <v>12</v>
      </c>
      <c r="P2493" s="6">
        <f>VLOOKUP(B2493, 'All Menu'!B:L, 9, 0)</f>
        <v>4.4858376436781606</v>
      </c>
      <c r="Q2493" s="14">
        <f>VLOOKUP(B2493, 'All Menu'!B:M, 12, 0)</f>
        <v>0.62618019636015332</v>
      </c>
      <c r="R2493" s="173">
        <f t="shared" si="130"/>
        <v>0</v>
      </c>
    </row>
    <row r="2494" spans="1:18" ht="14" hidden="1">
      <c r="A2494" s="78" t="s">
        <v>2903</v>
      </c>
      <c r="B2494" s="220">
        <v>60078</v>
      </c>
      <c r="C2494" s="185"/>
      <c r="D2494" s="103" t="str">
        <f>VLOOKUP(B2494, 'All Menu'!B:M, 4, 0)</f>
        <v>صاجية راس عصفور نص كيلو</v>
      </c>
      <c r="E2494" s="30" t="str">
        <f>VLOOKUP(B2494, 'All Menu'!B:M, 2, 0)</f>
        <v>قسم الملحمة</v>
      </c>
      <c r="F2494" s="103" t="str">
        <f>VLOOKUP(B2494, 'All Menu'!B:M, 3, 0)</f>
        <v>لحوم مشكوكة</v>
      </c>
      <c r="G2494" s="90" t="s">
        <v>2234</v>
      </c>
      <c r="H2494" s="188">
        <v>4503</v>
      </c>
      <c r="I2494" s="110" t="str">
        <f>VLOOKUP(H2494, 'RM &amp; SF'!B:H, 2, 0)</f>
        <v>بصل ناشف دفش*****</v>
      </c>
      <c r="J2494" s="184" t="str">
        <f>VLOOKUP(H2494, 'RM &amp; SF'!B:E, 4, 0)</f>
        <v>غم</v>
      </c>
      <c r="K2494" s="12">
        <v>200</v>
      </c>
      <c r="L2494" s="13">
        <f>VLOOKUP(H2494, 'RM &amp; SF'!B:H, 7, 0)</f>
        <v>2.5000000000000001E-4</v>
      </c>
      <c r="M2494" s="7">
        <f t="shared" si="131"/>
        <v>0.05</v>
      </c>
      <c r="N2494" s="4" t="s">
        <v>825</v>
      </c>
      <c r="O2494" s="4">
        <f>VLOOKUP(B2494, 'All Menu'!B:L, 6, 0)</f>
        <v>12</v>
      </c>
      <c r="P2494" s="6">
        <f>VLOOKUP(B2494, 'All Menu'!B:L, 9, 0)</f>
        <v>4.4858376436781606</v>
      </c>
      <c r="Q2494" s="14">
        <f>VLOOKUP(B2494, 'All Menu'!B:M, 12, 0)</f>
        <v>0.62618019636015332</v>
      </c>
      <c r="R2494" s="173">
        <f t="shared" si="130"/>
        <v>0</v>
      </c>
    </row>
    <row r="2495" spans="1:18" ht="15.5" hidden="1">
      <c r="A2495" s="78" t="s">
        <v>2903</v>
      </c>
      <c r="B2495" s="220">
        <v>60078</v>
      </c>
      <c r="C2495" s="185"/>
      <c r="D2495" s="103" t="str">
        <f>VLOOKUP(B2495, 'All Menu'!B:M, 4, 0)</f>
        <v>صاجية راس عصفور نص كيلو</v>
      </c>
      <c r="E2495" s="30" t="str">
        <f>VLOOKUP(B2495, 'All Menu'!B:M, 2, 0)</f>
        <v>قسم الملحمة</v>
      </c>
      <c r="F2495" s="103" t="str">
        <f>VLOOKUP(B2495, 'All Menu'!B:M, 3, 0)</f>
        <v>لحوم مشكوكة</v>
      </c>
      <c r="G2495" s="90" t="s">
        <v>2321</v>
      </c>
      <c r="H2495" s="67">
        <v>5292</v>
      </c>
      <c r="I2495" s="110" t="str">
        <f>VLOOKUP(H2495, 'RM &amp; SF'!B:H, 2, 0)</f>
        <v>ثوم مقشر*****</v>
      </c>
      <c r="J2495" s="184" t="str">
        <f>VLOOKUP(H2495, 'RM &amp; SF'!B:E, 4, 0)</f>
        <v>غم</v>
      </c>
      <c r="K2495" s="12">
        <v>10</v>
      </c>
      <c r="L2495" s="13">
        <f>VLOOKUP(H2495, 'RM &amp; SF'!B:H, 7, 0)</f>
        <v>4.4999999999999997E-3</v>
      </c>
      <c r="M2495" s="7">
        <f t="shared" si="131"/>
        <v>4.4999999999999998E-2</v>
      </c>
      <c r="N2495" s="4" t="s">
        <v>825</v>
      </c>
      <c r="O2495" s="4">
        <f>VLOOKUP(B2495, 'All Menu'!B:L, 6, 0)</f>
        <v>12</v>
      </c>
      <c r="P2495" s="6">
        <f>VLOOKUP(B2495, 'All Menu'!B:L, 9, 0)</f>
        <v>4.4858376436781606</v>
      </c>
      <c r="Q2495" s="14">
        <f>VLOOKUP(B2495, 'All Menu'!B:M, 12, 0)</f>
        <v>0.62618019636015332</v>
      </c>
      <c r="R2495" s="173">
        <f t="shared" si="130"/>
        <v>0</v>
      </c>
    </row>
    <row r="2496" spans="1:18" ht="14" hidden="1">
      <c r="A2496" s="78" t="s">
        <v>2903</v>
      </c>
      <c r="B2496" s="220">
        <v>60078</v>
      </c>
      <c r="C2496" s="185"/>
      <c r="D2496" s="103" t="str">
        <f>VLOOKUP(B2496, 'All Menu'!B:M, 4, 0)</f>
        <v>صاجية راس عصفور نص كيلو</v>
      </c>
      <c r="E2496" s="30" t="str">
        <f>VLOOKUP(B2496, 'All Menu'!B:M, 2, 0)</f>
        <v>قسم الملحمة</v>
      </c>
      <c r="F2496" s="103" t="str">
        <f>VLOOKUP(B2496, 'All Menu'!B:M, 3, 0)</f>
        <v>لحوم مشكوكة</v>
      </c>
      <c r="G2496" s="90" t="s">
        <v>2231</v>
      </c>
      <c r="H2496" s="188">
        <v>4499</v>
      </c>
      <c r="I2496" s="110" t="str">
        <f>VLOOKUP(H2496, 'RM &amp; SF'!B:H, 2, 0)</f>
        <v>فلفل حار اخضر*****</v>
      </c>
      <c r="J2496" s="184" t="str">
        <f>VLOOKUP(H2496, 'RM &amp; SF'!B:E, 4, 0)</f>
        <v>غم</v>
      </c>
      <c r="K2496" s="16">
        <v>40</v>
      </c>
      <c r="L2496" s="13">
        <f>VLOOKUP(H2496, 'RM &amp; SF'!B:H, 7, 0)</f>
        <v>5.0000000000000001E-4</v>
      </c>
      <c r="M2496" s="7">
        <f t="shared" si="131"/>
        <v>0.02</v>
      </c>
      <c r="N2496" s="4" t="s">
        <v>825</v>
      </c>
      <c r="O2496" s="4">
        <f>VLOOKUP(B2496, 'All Menu'!B:L, 6, 0)</f>
        <v>12</v>
      </c>
      <c r="P2496" s="6">
        <f>VLOOKUP(B2496, 'All Menu'!B:L, 9, 0)</f>
        <v>4.4858376436781606</v>
      </c>
      <c r="Q2496" s="14">
        <f>VLOOKUP(B2496, 'All Menu'!B:M, 12, 0)</f>
        <v>0.62618019636015332</v>
      </c>
      <c r="R2496" s="173">
        <f t="shared" si="130"/>
        <v>0</v>
      </c>
    </row>
    <row r="2497" spans="1:18" ht="14" hidden="1">
      <c r="A2497" s="78" t="s">
        <v>2903</v>
      </c>
      <c r="B2497" s="220">
        <v>60078</v>
      </c>
      <c r="C2497" s="185"/>
      <c r="D2497" s="103" t="str">
        <f>VLOOKUP(B2497, 'All Menu'!B:M, 4, 0)</f>
        <v>صاجية راس عصفور نص كيلو</v>
      </c>
      <c r="E2497" s="30" t="str">
        <f>VLOOKUP(B2497, 'All Menu'!B:M, 2, 0)</f>
        <v>قسم الملحمة</v>
      </c>
      <c r="F2497" s="103" t="str">
        <f>VLOOKUP(B2497, 'All Menu'!B:M, 3, 0)</f>
        <v>لحوم مشكوكة</v>
      </c>
      <c r="G2497" s="90" t="s">
        <v>2203</v>
      </c>
      <c r="H2497" s="188">
        <v>4152</v>
      </c>
      <c r="I2497" s="110" t="str">
        <f>VLOOKUP(H2497, 'RM &amp; SF'!B:H, 2, 0)</f>
        <v>ملح طعام 750غم*****</v>
      </c>
      <c r="J2497" s="184" t="str">
        <f>VLOOKUP(H2497, 'RM &amp; SF'!B:E, 4, 0)</f>
        <v>غم</v>
      </c>
      <c r="K2497" s="16">
        <v>10</v>
      </c>
      <c r="L2497" s="13">
        <f>VLOOKUP(H2497, 'RM &amp; SF'!B:H, 7, 0)</f>
        <v>1.7066666666666665E-4</v>
      </c>
      <c r="M2497" s="7">
        <f t="shared" si="131"/>
        <v>1.7066666666666664E-3</v>
      </c>
      <c r="N2497" s="4" t="s">
        <v>825</v>
      </c>
      <c r="O2497" s="4">
        <f>VLOOKUP(B2497, 'All Menu'!B:L, 6, 0)</f>
        <v>12</v>
      </c>
      <c r="P2497" s="6">
        <f>VLOOKUP(B2497, 'All Menu'!B:L, 9, 0)</f>
        <v>4.4858376436781606</v>
      </c>
      <c r="Q2497" s="14">
        <f>VLOOKUP(B2497, 'All Menu'!B:M, 12, 0)</f>
        <v>0.62618019636015332</v>
      </c>
      <c r="R2497" s="173">
        <f t="shared" si="130"/>
        <v>0</v>
      </c>
    </row>
    <row r="2498" spans="1:18" ht="14" hidden="1">
      <c r="A2498" s="78" t="s">
        <v>2903</v>
      </c>
      <c r="B2498" s="220">
        <v>60078</v>
      </c>
      <c r="C2498" s="185"/>
      <c r="D2498" s="103" t="str">
        <f>VLOOKUP(B2498, 'All Menu'!B:M, 4, 0)</f>
        <v>صاجية راس عصفور نص كيلو</v>
      </c>
      <c r="E2498" s="30" t="str">
        <f>VLOOKUP(B2498, 'All Menu'!B:M, 2, 0)</f>
        <v>قسم الملحمة</v>
      </c>
      <c r="F2498" s="103" t="str">
        <f>VLOOKUP(B2498, 'All Menu'!B:M, 3, 0)</f>
        <v>لحوم مشكوكة</v>
      </c>
      <c r="G2498" s="90" t="s">
        <v>2206</v>
      </c>
      <c r="H2498" s="188">
        <v>4204</v>
      </c>
      <c r="I2498" s="110" t="str">
        <f>VLOOKUP(H2498, 'RM &amp; SF'!B:H, 2, 0)</f>
        <v>فلفل اسود ناعم*****</v>
      </c>
      <c r="J2498" s="184" t="str">
        <f>VLOOKUP(H2498, 'RM &amp; SF'!B:E, 4, 0)</f>
        <v>غم</v>
      </c>
      <c r="K2498" s="12">
        <v>10</v>
      </c>
      <c r="L2498" s="13">
        <f>VLOOKUP(H2498, 'RM &amp; SF'!B:H, 7, 0)</f>
        <v>6.8970000000000004E-3</v>
      </c>
      <c r="M2498" s="7">
        <f t="shared" si="131"/>
        <v>6.8970000000000004E-2</v>
      </c>
      <c r="N2498" s="4" t="s">
        <v>825</v>
      </c>
      <c r="O2498" s="4">
        <f>VLOOKUP(B2498, 'All Menu'!B:L, 6, 0)</f>
        <v>12</v>
      </c>
      <c r="P2498" s="6">
        <f>VLOOKUP(B2498, 'All Menu'!B:L, 9, 0)</f>
        <v>4.4858376436781606</v>
      </c>
      <c r="Q2498" s="14">
        <f>VLOOKUP(B2498, 'All Menu'!B:M, 12, 0)</f>
        <v>0.62618019636015332</v>
      </c>
      <c r="R2498" s="173">
        <f t="shared" si="130"/>
        <v>0</v>
      </c>
    </row>
    <row r="2499" spans="1:18" ht="14" hidden="1">
      <c r="A2499" s="78" t="s">
        <v>2903</v>
      </c>
      <c r="B2499" s="220">
        <v>60078</v>
      </c>
      <c r="C2499" s="185"/>
      <c r="D2499" s="103" t="str">
        <f>VLOOKUP(B2499, 'All Menu'!B:M, 4, 0)</f>
        <v>صاجية راس عصفور نص كيلو</v>
      </c>
      <c r="E2499" s="30" t="str">
        <f>VLOOKUP(B2499, 'All Menu'!B:M, 2, 0)</f>
        <v>قسم الملحمة</v>
      </c>
      <c r="F2499" s="103" t="str">
        <f>VLOOKUP(B2499, 'All Menu'!B:M, 3, 0)</f>
        <v>لحوم مشكوكة</v>
      </c>
      <c r="G2499" s="90" t="s">
        <v>2260</v>
      </c>
      <c r="H2499" s="188">
        <v>4160</v>
      </c>
      <c r="I2499" s="110" t="str">
        <f>VLOOKUP(H2499, 'RM &amp; SF'!B:H, 2, 0)</f>
        <v>زيت صويا 18 لتر*****</v>
      </c>
      <c r="J2499" s="184" t="str">
        <f>VLOOKUP(H2499, 'RM &amp; SF'!B:E, 4, 0)</f>
        <v>مل</v>
      </c>
      <c r="K2499" s="12">
        <v>69</v>
      </c>
      <c r="L2499" s="13">
        <f>VLOOKUP(H2499, 'RM &amp; SF'!B:H, 7, 0)</f>
        <v>1.335E-3</v>
      </c>
      <c r="M2499" s="7">
        <f t="shared" si="131"/>
        <v>9.2115000000000002E-2</v>
      </c>
      <c r="N2499" s="4" t="s">
        <v>825</v>
      </c>
      <c r="O2499" s="4">
        <f>VLOOKUP(B2499, 'All Menu'!B:L, 6, 0)</f>
        <v>12</v>
      </c>
      <c r="P2499" s="6">
        <f>VLOOKUP(B2499, 'All Menu'!B:L, 9, 0)</f>
        <v>4.4858376436781606</v>
      </c>
      <c r="Q2499" s="14">
        <f>VLOOKUP(B2499, 'All Menu'!B:M, 12, 0)</f>
        <v>0.62618019636015332</v>
      </c>
      <c r="R2499" s="173">
        <f t="shared" si="130"/>
        <v>0</v>
      </c>
    </row>
    <row r="2500" spans="1:18" ht="14" hidden="1">
      <c r="A2500" s="78" t="s">
        <v>2903</v>
      </c>
      <c r="B2500" s="220">
        <v>60078</v>
      </c>
      <c r="C2500" s="185"/>
      <c r="D2500" s="103" t="str">
        <f>VLOOKUP(B2500, 'All Menu'!B:M, 4, 0)</f>
        <v>صاجية راس عصفور نص كيلو</v>
      </c>
      <c r="E2500" s="30" t="str">
        <f>VLOOKUP(B2500, 'All Menu'!B:M, 2, 0)</f>
        <v>قسم الملحمة</v>
      </c>
      <c r="F2500" s="103" t="str">
        <f>VLOOKUP(B2500, 'All Menu'!B:M, 3, 0)</f>
        <v>لحوم مشكوكة</v>
      </c>
      <c r="G2500" s="90" t="s">
        <v>3058</v>
      </c>
      <c r="H2500" s="188">
        <v>5424</v>
      </c>
      <c r="I2500" s="110" t="str">
        <f>VLOOKUP(H2500, 'RM &amp; SF'!B:H, 2, 0)</f>
        <v>علب قصدير مدور 1/2 كغ RZ 25*****</v>
      </c>
      <c r="J2500" s="184" t="str">
        <f>VLOOKUP(H2500, 'RM &amp; SF'!B:E, 4, 0)</f>
        <v>قطعة</v>
      </c>
      <c r="K2500" s="12">
        <v>1</v>
      </c>
      <c r="L2500" s="13">
        <f>VLOOKUP(H2500, 'RM &amp; SF'!B:H, 7, 0)</f>
        <v>0.1149425287356322</v>
      </c>
      <c r="M2500" s="7">
        <f t="shared" si="131"/>
        <v>0.1149425287356322</v>
      </c>
      <c r="N2500" s="4" t="s">
        <v>825</v>
      </c>
      <c r="O2500" s="4">
        <f>VLOOKUP(B2500, 'All Menu'!B:L, 6, 0)</f>
        <v>12</v>
      </c>
      <c r="P2500" s="6">
        <f>VLOOKUP(B2500, 'All Menu'!B:L, 9, 0)</f>
        <v>4.4858376436781606</v>
      </c>
      <c r="Q2500" s="14">
        <f>VLOOKUP(B2500, 'All Menu'!B:M, 12, 0)</f>
        <v>0.62618019636015332</v>
      </c>
      <c r="R2500" s="173">
        <f t="shared" si="130"/>
        <v>0</v>
      </c>
    </row>
    <row r="2501" spans="1:18" ht="14" hidden="1">
      <c r="A2501" s="78" t="s">
        <v>2903</v>
      </c>
      <c r="B2501" s="220">
        <v>60078</v>
      </c>
      <c r="C2501" s="185"/>
      <c r="D2501" s="103" t="str">
        <f>VLOOKUP(B2501, 'All Menu'!B:M, 4, 0)</f>
        <v>صاجية راس عصفور نص كيلو</v>
      </c>
      <c r="E2501" s="30" t="str">
        <f>VLOOKUP(B2501, 'All Menu'!B:M, 2, 0)</f>
        <v>قسم الملحمة</v>
      </c>
      <c r="F2501" s="103" t="str">
        <f>VLOOKUP(B2501, 'All Menu'!B:M, 3, 0)</f>
        <v>لحوم مشكوكة</v>
      </c>
      <c r="G2501" s="90" t="s">
        <v>3058</v>
      </c>
      <c r="H2501" s="188">
        <v>4275</v>
      </c>
      <c r="I2501" s="110" t="str">
        <f>VLOOKUP(H2501, 'RM &amp; SF'!B:H, 2, 0)</f>
        <v>علب المركزية مطبوع + قاطع رقم 2 1*100 حبة*****</v>
      </c>
      <c r="J2501" s="184" t="str">
        <f>VLOOKUP(H2501, 'RM &amp; SF'!B:E, 4, 0)</f>
        <v>قطعة</v>
      </c>
      <c r="K2501" s="12">
        <v>1</v>
      </c>
      <c r="L2501" s="13">
        <f>VLOOKUP(H2501, 'RM &amp; SF'!B:H, 7, 0)</f>
        <v>0.2931034482758621</v>
      </c>
      <c r="M2501" s="7">
        <f t="shared" si="131"/>
        <v>0.2931034482758621</v>
      </c>
      <c r="N2501" s="4" t="s">
        <v>825</v>
      </c>
      <c r="O2501" s="4">
        <f>VLOOKUP(B2501, 'All Menu'!B:L, 6, 0)</f>
        <v>12</v>
      </c>
      <c r="P2501" s="6">
        <f>VLOOKUP(B2501, 'All Menu'!B:L, 9, 0)</f>
        <v>4.4858376436781606</v>
      </c>
      <c r="Q2501" s="14">
        <f>VLOOKUP(B2501, 'All Menu'!B:M, 12, 0)</f>
        <v>0.62618019636015332</v>
      </c>
      <c r="R2501" s="173">
        <f t="shared" si="130"/>
        <v>0</v>
      </c>
    </row>
    <row r="2502" spans="1:18" ht="14" hidden="1">
      <c r="A2502" s="78" t="s">
        <v>2904</v>
      </c>
      <c r="B2502" s="220">
        <v>60079</v>
      </c>
      <c r="C2502" s="185"/>
      <c r="D2502" s="103" t="str">
        <f>VLOOKUP(B2502, 'All Menu'!B:M, 4, 0)</f>
        <v>صاجية دجاج كيلو</v>
      </c>
      <c r="E2502" s="30" t="str">
        <f>VLOOKUP(B2502, 'All Menu'!B:M, 2, 0)</f>
        <v>قسم الملحمة</v>
      </c>
      <c r="F2502" s="103" t="str">
        <f>VLOOKUP(B2502, 'All Menu'!B:M, 3, 0)</f>
        <v>لحوم مشكوكة</v>
      </c>
      <c r="G2502" s="90" t="s">
        <v>2445</v>
      </c>
      <c r="H2502" s="219" t="s">
        <v>668</v>
      </c>
      <c r="I2502" s="110" t="str">
        <f>VLOOKUP(H2502, 'RM &amp; SF'!B:H, 2, 0)</f>
        <v>دجاج مسحب بالفرن انترناشونال</v>
      </c>
      <c r="J2502" s="184" t="str">
        <f>VLOOKUP(H2502, 'RM &amp; SF'!B:E, 4, 0)</f>
        <v>غم</v>
      </c>
      <c r="K2502" s="12">
        <v>1000</v>
      </c>
      <c r="L2502" s="13">
        <f>VLOOKUP(H2502, 'RM &amp; SF'!B:H, 7, 0)</f>
        <v>4.5947853888888886E-3</v>
      </c>
      <c r="M2502" s="7">
        <f t="shared" si="131"/>
        <v>4.594785388888889</v>
      </c>
      <c r="N2502" s="4" t="s">
        <v>825</v>
      </c>
      <c r="O2502" s="4">
        <f>VLOOKUP(B2502, 'All Menu'!B:L, 6, 0)</f>
        <v>14</v>
      </c>
      <c r="P2502" s="6">
        <f>VLOOKUP(B2502, 'All Menu'!B:L, 9, 0)</f>
        <v>6.0648999013100973</v>
      </c>
      <c r="Q2502" s="14">
        <f>VLOOKUP(B2502, 'All Menu'!B:M, 12, 0)</f>
        <v>0.56679286419213593</v>
      </c>
      <c r="R2502" s="173">
        <f t="shared" si="130"/>
        <v>0</v>
      </c>
    </row>
    <row r="2503" spans="1:18" ht="14" hidden="1">
      <c r="A2503" s="78" t="s">
        <v>2904</v>
      </c>
      <c r="B2503" s="220">
        <v>60079</v>
      </c>
      <c r="C2503" s="185"/>
      <c r="D2503" s="103" t="str">
        <f>VLOOKUP(B2503, 'All Menu'!B:M, 4, 0)</f>
        <v>صاجية دجاج كيلو</v>
      </c>
      <c r="E2503" s="30" t="str">
        <f>VLOOKUP(B2503, 'All Menu'!B:M, 2, 0)</f>
        <v>قسم الملحمة</v>
      </c>
      <c r="F2503" s="103" t="str">
        <f>VLOOKUP(B2503, 'All Menu'!B:M, 3, 0)</f>
        <v>لحوم مشكوكة</v>
      </c>
      <c r="G2503" s="90" t="s">
        <v>2234</v>
      </c>
      <c r="H2503" s="188">
        <v>4503</v>
      </c>
      <c r="I2503" s="110" t="str">
        <f>VLOOKUP(H2503, 'RM &amp; SF'!B:H, 2, 0)</f>
        <v>بصل ناشف دفش*****</v>
      </c>
      <c r="J2503" s="184" t="str">
        <f>VLOOKUP(H2503, 'RM &amp; SF'!B:E, 4, 0)</f>
        <v>غم</v>
      </c>
      <c r="K2503" s="12">
        <v>160</v>
      </c>
      <c r="L2503" s="13">
        <f>VLOOKUP(H2503, 'RM &amp; SF'!B:H, 7, 0)</f>
        <v>2.5000000000000001E-4</v>
      </c>
      <c r="M2503" s="7">
        <f t="shared" si="131"/>
        <v>0.04</v>
      </c>
      <c r="N2503" s="4" t="s">
        <v>825</v>
      </c>
      <c r="O2503" s="4">
        <f>VLOOKUP(B2503, 'All Menu'!B:L, 6, 0)</f>
        <v>14</v>
      </c>
      <c r="P2503" s="6">
        <f>VLOOKUP(B2503, 'All Menu'!B:L, 9, 0)</f>
        <v>6.0648999013100973</v>
      </c>
      <c r="Q2503" s="14">
        <f>VLOOKUP(B2503, 'All Menu'!B:M, 12, 0)</f>
        <v>0.56679286419213593</v>
      </c>
      <c r="R2503" s="173">
        <f t="shared" si="130"/>
        <v>0</v>
      </c>
    </row>
    <row r="2504" spans="1:18" ht="14" hidden="1">
      <c r="A2504" s="78" t="s">
        <v>2904</v>
      </c>
      <c r="B2504" s="220">
        <v>60079</v>
      </c>
      <c r="C2504" s="185"/>
      <c r="D2504" s="103" t="str">
        <f>VLOOKUP(B2504, 'All Menu'!B:M, 4, 0)</f>
        <v>صاجية دجاج كيلو</v>
      </c>
      <c r="E2504" s="30" t="str">
        <f>VLOOKUP(B2504, 'All Menu'!B:M, 2, 0)</f>
        <v>قسم الملحمة</v>
      </c>
      <c r="F2504" s="103" t="str">
        <f>VLOOKUP(B2504, 'All Menu'!B:M, 3, 0)</f>
        <v>لحوم مشكوكة</v>
      </c>
      <c r="G2504" s="90" t="s">
        <v>2357</v>
      </c>
      <c r="H2504" s="219" t="s">
        <v>744</v>
      </c>
      <c r="I2504" s="110" t="str">
        <f>VLOOKUP(H2504, 'RM &amp; SF'!B:H, 2, 0)</f>
        <v>زيت زيتون مكسور</v>
      </c>
      <c r="J2504" s="184" t="str">
        <f>VLOOKUP(H2504, 'RM &amp; SF'!B:E, 4, 0)</f>
        <v>غم</v>
      </c>
      <c r="K2504" s="12">
        <v>120</v>
      </c>
      <c r="L2504" s="13">
        <f>VLOOKUP(H2504, 'RM &amp; SF'!B:H, 7, 0)</f>
        <v>3.3899999999999998E-3</v>
      </c>
      <c r="M2504" s="7">
        <f t="shared" si="131"/>
        <v>0.40679999999999999</v>
      </c>
      <c r="N2504" s="4" t="s">
        <v>825</v>
      </c>
      <c r="O2504" s="4">
        <f>VLOOKUP(B2504, 'All Menu'!B:L, 6, 0)</f>
        <v>14</v>
      </c>
      <c r="P2504" s="6">
        <f>VLOOKUP(B2504, 'All Menu'!B:L, 9, 0)</f>
        <v>6.0648999013100973</v>
      </c>
      <c r="Q2504" s="14">
        <f>VLOOKUP(B2504, 'All Menu'!B:M, 12, 0)</f>
        <v>0.56679286419213593</v>
      </c>
      <c r="R2504" s="173">
        <f t="shared" si="130"/>
        <v>0</v>
      </c>
    </row>
    <row r="2505" spans="1:18" ht="15.5" hidden="1">
      <c r="A2505" s="78" t="s">
        <v>2904</v>
      </c>
      <c r="B2505" s="220">
        <v>60079</v>
      </c>
      <c r="C2505" s="185"/>
      <c r="D2505" s="103" t="str">
        <f>VLOOKUP(B2505, 'All Menu'!B:M, 4, 0)</f>
        <v>صاجية دجاج كيلو</v>
      </c>
      <c r="E2505" s="30" t="str">
        <f>VLOOKUP(B2505, 'All Menu'!B:M, 2, 0)</f>
        <v>قسم الملحمة</v>
      </c>
      <c r="F2505" s="103" t="str">
        <f>VLOOKUP(B2505, 'All Menu'!B:M, 3, 0)</f>
        <v>لحوم مشكوكة</v>
      </c>
      <c r="G2505" s="90" t="s">
        <v>2321</v>
      </c>
      <c r="H2505" s="67">
        <v>5292</v>
      </c>
      <c r="I2505" s="110" t="str">
        <f>VLOOKUP(H2505, 'RM &amp; SF'!B:H, 2, 0)</f>
        <v>ثوم مقشر*****</v>
      </c>
      <c r="J2505" s="184" t="str">
        <f>VLOOKUP(H2505, 'RM &amp; SF'!B:E, 4, 0)</f>
        <v>غم</v>
      </c>
      <c r="K2505" s="12">
        <v>30</v>
      </c>
      <c r="L2505" s="13">
        <f>VLOOKUP(H2505, 'RM &amp; SF'!B:H, 7, 0)</f>
        <v>4.4999999999999997E-3</v>
      </c>
      <c r="M2505" s="7">
        <f t="shared" si="131"/>
        <v>0.13499999999999998</v>
      </c>
      <c r="N2505" s="4" t="s">
        <v>825</v>
      </c>
      <c r="O2505" s="4">
        <f>VLOOKUP(B2505, 'All Menu'!B:L, 6, 0)</f>
        <v>14</v>
      </c>
      <c r="P2505" s="6">
        <f>VLOOKUP(B2505, 'All Menu'!B:L, 9, 0)</f>
        <v>6.0648999013100973</v>
      </c>
      <c r="Q2505" s="14">
        <f>VLOOKUP(B2505, 'All Menu'!B:M, 12, 0)</f>
        <v>0.56679286419213593</v>
      </c>
      <c r="R2505" s="173">
        <f t="shared" si="130"/>
        <v>0</v>
      </c>
    </row>
    <row r="2506" spans="1:18" ht="14" hidden="1">
      <c r="A2506" s="78" t="s">
        <v>2904</v>
      </c>
      <c r="B2506" s="220">
        <v>60079</v>
      </c>
      <c r="C2506" s="185"/>
      <c r="D2506" s="103" t="str">
        <f>VLOOKUP(B2506, 'All Menu'!B:M, 4, 0)</f>
        <v>صاجية دجاج كيلو</v>
      </c>
      <c r="E2506" s="30" t="str">
        <f>VLOOKUP(B2506, 'All Menu'!B:M, 2, 0)</f>
        <v>قسم الملحمة</v>
      </c>
      <c r="F2506" s="103" t="str">
        <f>VLOOKUP(B2506, 'All Menu'!B:M, 3, 0)</f>
        <v>لحوم مشكوكة</v>
      </c>
      <c r="G2506" s="90" t="s">
        <v>2233</v>
      </c>
      <c r="H2506" s="188">
        <v>4501</v>
      </c>
      <c r="I2506" s="110" t="str">
        <f>VLOOKUP(H2506, 'RM &amp; SF'!B:H, 2, 0)</f>
        <v>فلفل حلو احمر*****</v>
      </c>
      <c r="J2506" s="184" t="str">
        <f>VLOOKUP(H2506, 'RM &amp; SF'!B:E, 4, 0)</f>
        <v>غم</v>
      </c>
      <c r="K2506" s="12">
        <v>500</v>
      </c>
      <c r="L2506" s="13">
        <f>VLOOKUP(H2506, 'RM &amp; SF'!B:H, 7, 0)</f>
        <v>7.5000000000000002E-4</v>
      </c>
      <c r="M2506" s="7">
        <f t="shared" si="131"/>
        <v>0.375</v>
      </c>
      <c r="N2506" s="4" t="s">
        <v>825</v>
      </c>
      <c r="O2506" s="4">
        <f>VLOOKUP(B2506, 'All Menu'!B:L, 6, 0)</f>
        <v>14</v>
      </c>
      <c r="P2506" s="6">
        <f>VLOOKUP(B2506, 'All Menu'!B:L, 9, 0)</f>
        <v>6.0648999013100973</v>
      </c>
      <c r="Q2506" s="14">
        <f>VLOOKUP(B2506, 'All Menu'!B:M, 12, 0)</f>
        <v>0.56679286419213593</v>
      </c>
      <c r="R2506" s="173">
        <f t="shared" si="130"/>
        <v>0</v>
      </c>
    </row>
    <row r="2507" spans="1:18" ht="14" hidden="1">
      <c r="A2507" s="78" t="s">
        <v>2904</v>
      </c>
      <c r="B2507" s="220">
        <v>60079</v>
      </c>
      <c r="C2507" s="185"/>
      <c r="D2507" s="103" t="str">
        <f>VLOOKUP(B2507, 'All Menu'!B:M, 4, 0)</f>
        <v>صاجية دجاج كيلو</v>
      </c>
      <c r="E2507" s="30" t="str">
        <f>VLOOKUP(B2507, 'All Menu'!B:M, 2, 0)</f>
        <v>قسم الملحمة</v>
      </c>
      <c r="F2507" s="103" t="str">
        <f>VLOOKUP(B2507, 'All Menu'!B:M, 3, 0)</f>
        <v>لحوم مشكوكة</v>
      </c>
      <c r="G2507" s="90" t="s">
        <v>2203</v>
      </c>
      <c r="H2507" s="188">
        <v>4152</v>
      </c>
      <c r="I2507" s="110" t="str">
        <f>VLOOKUP(H2507, 'RM &amp; SF'!B:H, 2, 0)</f>
        <v>ملح طعام 750غم*****</v>
      </c>
      <c r="J2507" s="184" t="str">
        <f>VLOOKUP(H2507, 'RM &amp; SF'!B:E, 4, 0)</f>
        <v>غم</v>
      </c>
      <c r="K2507" s="12">
        <v>10</v>
      </c>
      <c r="L2507" s="13">
        <f>VLOOKUP(H2507, 'RM &amp; SF'!B:H, 7, 0)</f>
        <v>1.7066666666666665E-4</v>
      </c>
      <c r="M2507" s="7">
        <f t="shared" si="131"/>
        <v>1.7066666666666664E-3</v>
      </c>
      <c r="N2507" s="4" t="s">
        <v>825</v>
      </c>
      <c r="O2507" s="4">
        <f>VLOOKUP(B2507, 'All Menu'!B:L, 6, 0)</f>
        <v>14</v>
      </c>
      <c r="P2507" s="6">
        <f>VLOOKUP(B2507, 'All Menu'!B:L, 9, 0)</f>
        <v>6.0648999013100973</v>
      </c>
      <c r="Q2507" s="14">
        <f>VLOOKUP(B2507, 'All Menu'!B:M, 12, 0)</f>
        <v>0.56679286419213593</v>
      </c>
      <c r="R2507" s="173">
        <f t="shared" si="130"/>
        <v>0</v>
      </c>
    </row>
    <row r="2508" spans="1:18" ht="14" hidden="1">
      <c r="A2508" s="78" t="s">
        <v>2904</v>
      </c>
      <c r="B2508" s="220">
        <v>60079</v>
      </c>
      <c r="C2508" s="185"/>
      <c r="D2508" s="103" t="str">
        <f>VLOOKUP(B2508, 'All Menu'!B:M, 4, 0)</f>
        <v>صاجية دجاج كيلو</v>
      </c>
      <c r="E2508" s="30" t="str">
        <f>VLOOKUP(B2508, 'All Menu'!B:M, 2, 0)</f>
        <v>قسم الملحمة</v>
      </c>
      <c r="F2508" s="103" t="str">
        <f>VLOOKUP(B2508, 'All Menu'!B:M, 3, 0)</f>
        <v>لحوم مشكوكة</v>
      </c>
      <c r="G2508" s="90" t="s">
        <v>2206</v>
      </c>
      <c r="H2508" s="188">
        <v>4204</v>
      </c>
      <c r="I2508" s="110" t="str">
        <f>VLOOKUP(H2508, 'RM &amp; SF'!B:H, 2, 0)</f>
        <v>فلفل اسود ناعم*****</v>
      </c>
      <c r="J2508" s="184" t="str">
        <f>VLOOKUP(H2508, 'RM &amp; SF'!B:E, 4, 0)</f>
        <v>غم</v>
      </c>
      <c r="K2508" s="12">
        <v>5</v>
      </c>
      <c r="L2508" s="13">
        <f>VLOOKUP(H2508, 'RM &amp; SF'!B:H, 7, 0)</f>
        <v>6.8970000000000004E-3</v>
      </c>
      <c r="M2508" s="7">
        <f t="shared" si="131"/>
        <v>3.4485000000000002E-2</v>
      </c>
      <c r="N2508" s="4" t="s">
        <v>825</v>
      </c>
      <c r="O2508" s="4">
        <f>VLOOKUP(B2508, 'All Menu'!B:L, 6, 0)</f>
        <v>14</v>
      </c>
      <c r="P2508" s="6">
        <f>VLOOKUP(B2508, 'All Menu'!B:L, 9, 0)</f>
        <v>6.0648999013100973</v>
      </c>
      <c r="Q2508" s="14">
        <f>VLOOKUP(B2508, 'All Menu'!B:M, 12, 0)</f>
        <v>0.56679286419213593</v>
      </c>
      <c r="R2508" s="173">
        <f t="shared" si="130"/>
        <v>0</v>
      </c>
    </row>
    <row r="2509" spans="1:18" ht="14" hidden="1">
      <c r="A2509" s="78" t="s">
        <v>2904</v>
      </c>
      <c r="B2509" s="220">
        <v>60079</v>
      </c>
      <c r="C2509" s="185"/>
      <c r="D2509" s="103" t="str">
        <f>VLOOKUP(B2509, 'All Menu'!B:M, 4, 0)</f>
        <v>صاجية دجاج كيلو</v>
      </c>
      <c r="E2509" s="30" t="str">
        <f>VLOOKUP(B2509, 'All Menu'!B:M, 2, 0)</f>
        <v>قسم الملحمة</v>
      </c>
      <c r="F2509" s="103" t="str">
        <f>VLOOKUP(B2509, 'All Menu'!B:M, 3, 0)</f>
        <v>لحوم مشكوكة</v>
      </c>
      <c r="G2509" s="90" t="s">
        <v>2223</v>
      </c>
      <c r="H2509" s="188">
        <v>4241</v>
      </c>
      <c r="I2509" s="110" t="str">
        <f>VLOOKUP(H2509, 'RM &amp; SF'!B:H, 2, 0)</f>
        <v>بهارات كيجن عادي*****</v>
      </c>
      <c r="J2509" s="184" t="str">
        <f>VLOOKUP(H2509, 'RM &amp; SF'!B:E, 4, 0)</f>
        <v>غم</v>
      </c>
      <c r="K2509" s="12">
        <v>5</v>
      </c>
      <c r="L2509" s="13">
        <f>VLOOKUP(H2509, 'RM &amp; SF'!B:H, 7, 0)</f>
        <v>3.8790000000000001E-3</v>
      </c>
      <c r="M2509" s="7">
        <f t="shared" si="131"/>
        <v>1.9394999999999999E-2</v>
      </c>
      <c r="N2509" s="4" t="s">
        <v>825</v>
      </c>
      <c r="O2509" s="4">
        <f>VLOOKUP(B2509, 'All Menu'!B:L, 6, 0)</f>
        <v>14</v>
      </c>
      <c r="P2509" s="6">
        <f>VLOOKUP(B2509, 'All Menu'!B:L, 9, 0)</f>
        <v>6.0648999013100973</v>
      </c>
      <c r="Q2509" s="14">
        <f>VLOOKUP(B2509, 'All Menu'!B:M, 12, 0)</f>
        <v>0.56679286419213593</v>
      </c>
      <c r="R2509" s="173">
        <f t="shared" si="130"/>
        <v>0</v>
      </c>
    </row>
    <row r="2510" spans="1:18" ht="14" hidden="1">
      <c r="A2510" s="78" t="s">
        <v>2904</v>
      </c>
      <c r="B2510" s="220">
        <v>60079</v>
      </c>
      <c r="C2510" s="185"/>
      <c r="D2510" s="103" t="str">
        <f>VLOOKUP(B2510, 'All Menu'!B:M, 4, 0)</f>
        <v>صاجية دجاج كيلو</v>
      </c>
      <c r="E2510" s="30" t="str">
        <f>VLOOKUP(B2510, 'All Menu'!B:M, 2, 0)</f>
        <v>قسم الملحمة</v>
      </c>
      <c r="F2510" s="103" t="str">
        <f>VLOOKUP(B2510, 'All Menu'!B:M, 3, 0)</f>
        <v>لحوم مشكوكة</v>
      </c>
      <c r="G2510" s="90" t="s">
        <v>2331</v>
      </c>
      <c r="H2510" s="219" t="s">
        <v>530</v>
      </c>
      <c r="I2510" s="110" t="str">
        <f>VLOOKUP(H2510, 'RM &amp; SF'!B:H, 2, 0)</f>
        <v>خبز صاج</v>
      </c>
      <c r="J2510" s="184" t="str">
        <f>VLOOKUP(H2510, 'RM &amp; SF'!B:E, 4, 0)</f>
        <v>غم</v>
      </c>
      <c r="K2510" s="12">
        <v>200</v>
      </c>
      <c r="L2510" s="13">
        <f>VLOOKUP(H2510, 'RM &amp; SF'!B:H, 7, 0)</f>
        <v>1.8806451612903227E-4</v>
      </c>
      <c r="M2510" s="7">
        <f t="shared" si="131"/>
        <v>3.7612903225806453E-2</v>
      </c>
      <c r="N2510" s="4" t="s">
        <v>825</v>
      </c>
      <c r="O2510" s="4">
        <f>VLOOKUP(B2510, 'All Menu'!B:L, 6, 0)</f>
        <v>14</v>
      </c>
      <c r="P2510" s="6">
        <f>VLOOKUP(B2510, 'All Menu'!B:L, 9, 0)</f>
        <v>6.0648999013100973</v>
      </c>
      <c r="Q2510" s="14">
        <f>VLOOKUP(B2510, 'All Menu'!B:M, 12, 0)</f>
        <v>0.56679286419213593</v>
      </c>
      <c r="R2510" s="173">
        <f t="shared" si="130"/>
        <v>0</v>
      </c>
    </row>
    <row r="2511" spans="1:18" ht="14" hidden="1">
      <c r="A2511" s="78" t="s">
        <v>2904</v>
      </c>
      <c r="B2511" s="220">
        <v>60079</v>
      </c>
      <c r="C2511" s="185"/>
      <c r="D2511" s="103" t="str">
        <f>VLOOKUP(B2511, 'All Menu'!B:M, 4, 0)</f>
        <v>صاجية دجاج كيلو</v>
      </c>
      <c r="E2511" s="30" t="str">
        <f>VLOOKUP(B2511, 'All Menu'!B:M, 2, 0)</f>
        <v>قسم الملحمة</v>
      </c>
      <c r="F2511" s="103" t="str">
        <f>VLOOKUP(B2511, 'All Menu'!B:M, 3, 0)</f>
        <v>لحوم مشكوكة</v>
      </c>
      <c r="G2511" s="90" t="s">
        <v>2193</v>
      </c>
      <c r="H2511" s="188">
        <v>4309</v>
      </c>
      <c r="I2511" s="110" t="str">
        <f>VLOOKUP(H2511, 'RM &amp; SF'!B:H, 2, 0)</f>
        <v>اكياس بلاستيك مطبوع 55 سم*****</v>
      </c>
      <c r="J2511" s="184" t="str">
        <f>VLOOKUP(H2511, 'RM &amp; SF'!B:E, 4, 0)</f>
        <v>قطعة</v>
      </c>
      <c r="K2511" s="12">
        <v>1</v>
      </c>
      <c r="L2511" s="13">
        <f>VLOOKUP(H2511, 'RM &amp; SF'!B:H, 7, 0)</f>
        <v>5.5172413793103454E-2</v>
      </c>
      <c r="M2511" s="7">
        <f t="shared" si="131"/>
        <v>5.5172413793103454E-2</v>
      </c>
      <c r="N2511" s="4" t="s">
        <v>825</v>
      </c>
      <c r="O2511" s="4">
        <f>VLOOKUP(B2511, 'All Menu'!B:L, 6, 0)</f>
        <v>14</v>
      </c>
      <c r="P2511" s="6">
        <f>VLOOKUP(B2511, 'All Menu'!B:L, 9, 0)</f>
        <v>6.0648999013100973</v>
      </c>
      <c r="Q2511" s="14">
        <f>VLOOKUP(B2511, 'All Menu'!B:M, 12, 0)</f>
        <v>0.56679286419213593</v>
      </c>
      <c r="R2511" s="173">
        <f t="shared" si="130"/>
        <v>0</v>
      </c>
    </row>
    <row r="2512" spans="1:18" ht="14" hidden="1">
      <c r="A2512" s="78" t="s">
        <v>2904</v>
      </c>
      <c r="B2512" s="220">
        <v>60079</v>
      </c>
      <c r="C2512" s="185"/>
      <c r="D2512" s="103" t="str">
        <f>VLOOKUP(B2512, 'All Menu'!B:M, 4, 0)</f>
        <v>صاجية دجاج كيلو</v>
      </c>
      <c r="E2512" s="30" t="str">
        <f>VLOOKUP(B2512, 'All Menu'!B:M, 2, 0)</f>
        <v>قسم الملحمة</v>
      </c>
      <c r="F2512" s="103" t="str">
        <f>VLOOKUP(B2512, 'All Menu'!B:M, 3, 0)</f>
        <v>لحوم مشكوكة</v>
      </c>
      <c r="G2512" s="90" t="s">
        <v>3058</v>
      </c>
      <c r="H2512" s="188">
        <v>5424</v>
      </c>
      <c r="I2512" s="110" t="str">
        <f>VLOOKUP(H2512, 'RM &amp; SF'!B:H, 2, 0)</f>
        <v>علب قصدير مدور 1/2 كغ RZ 25*****</v>
      </c>
      <c r="J2512" s="184" t="str">
        <f>VLOOKUP(H2512, 'RM &amp; SF'!B:E, 4, 0)</f>
        <v>قطعة</v>
      </c>
      <c r="K2512" s="12">
        <v>1</v>
      </c>
      <c r="L2512" s="13">
        <f>VLOOKUP(H2512, 'RM &amp; SF'!B:H, 7, 0)</f>
        <v>0.1149425287356322</v>
      </c>
      <c r="M2512" s="7">
        <f t="shared" si="131"/>
        <v>0.1149425287356322</v>
      </c>
      <c r="N2512" s="4" t="s">
        <v>825</v>
      </c>
      <c r="O2512" s="4">
        <f>VLOOKUP(B2512, 'All Menu'!B:L, 6, 0)</f>
        <v>14</v>
      </c>
      <c r="P2512" s="6">
        <f>VLOOKUP(B2512, 'All Menu'!B:L, 9, 0)</f>
        <v>6.0648999013100973</v>
      </c>
      <c r="Q2512" s="14">
        <f>VLOOKUP(B2512, 'All Menu'!B:M, 12, 0)</f>
        <v>0.56679286419213593</v>
      </c>
      <c r="R2512" s="173">
        <f t="shared" si="130"/>
        <v>0</v>
      </c>
    </row>
    <row r="2513" spans="1:18" ht="14" hidden="1">
      <c r="A2513" s="78" t="s">
        <v>2904</v>
      </c>
      <c r="B2513" s="220">
        <v>60079</v>
      </c>
      <c r="C2513" s="185"/>
      <c r="D2513" s="103" t="str">
        <f>VLOOKUP(B2513, 'All Menu'!B:M, 4, 0)</f>
        <v>صاجية دجاج كيلو</v>
      </c>
      <c r="E2513" s="30" t="str">
        <f>VLOOKUP(B2513, 'All Menu'!B:M, 2, 0)</f>
        <v>قسم الملحمة</v>
      </c>
      <c r="F2513" s="103" t="str">
        <f>VLOOKUP(B2513, 'All Menu'!B:M, 3, 0)</f>
        <v>لحوم مشكوكة</v>
      </c>
      <c r="G2513" s="90" t="s">
        <v>3058</v>
      </c>
      <c r="H2513" s="188">
        <v>4274</v>
      </c>
      <c r="I2513" s="110" t="str">
        <f>VLOOKUP(H2513, 'RM &amp; SF'!B:H, 2, 0)</f>
        <v>علب المركزية مطبوع + قاطع رقم 1 1*100 حبة*****</v>
      </c>
      <c r="J2513" s="184" t="str">
        <f>VLOOKUP(H2513, 'RM &amp; SF'!B:E, 4, 0)</f>
        <v>قطعة</v>
      </c>
      <c r="K2513" s="12">
        <v>1</v>
      </c>
      <c r="L2513" s="13">
        <f>VLOOKUP(H2513, 'RM &amp; SF'!B:H, 7, 0)</f>
        <v>0.25</v>
      </c>
      <c r="M2513" s="7">
        <f t="shared" si="131"/>
        <v>0.25</v>
      </c>
      <c r="N2513" s="4" t="s">
        <v>825</v>
      </c>
      <c r="O2513" s="4">
        <f>VLOOKUP(B2513, 'All Menu'!B:L, 6, 0)</f>
        <v>14</v>
      </c>
      <c r="P2513" s="6">
        <f>VLOOKUP(B2513, 'All Menu'!B:L, 9, 0)</f>
        <v>6.0648999013100973</v>
      </c>
      <c r="Q2513" s="14">
        <f>VLOOKUP(B2513, 'All Menu'!B:M, 12, 0)</f>
        <v>0.56679286419213593</v>
      </c>
      <c r="R2513" s="173">
        <f t="shared" si="130"/>
        <v>0</v>
      </c>
    </row>
    <row r="2514" spans="1:18" ht="14" hidden="1">
      <c r="A2514" s="78" t="s">
        <v>2897</v>
      </c>
      <c r="B2514" s="220">
        <v>60071</v>
      </c>
      <c r="C2514" s="185"/>
      <c r="D2514" s="103" t="str">
        <f>VLOOKUP(B2514, 'All Menu'!B:M, 4, 0)</f>
        <v>كفتة ببندورة ني كيلو</v>
      </c>
      <c r="E2514" s="30" t="str">
        <f>VLOOKUP(B2514, 'All Menu'!B:M, 2, 0)</f>
        <v>قسم الملحمة</v>
      </c>
      <c r="F2514" s="103" t="str">
        <f>VLOOKUP(B2514, 'All Menu'!B:M, 3, 0)</f>
        <v>لحوم مشكوكة</v>
      </c>
      <c r="G2514" s="90" t="s">
        <v>2414</v>
      </c>
      <c r="H2514" s="219" t="s">
        <v>485</v>
      </c>
      <c r="I2514" s="110" t="str">
        <f>VLOOKUP(H2514, 'RM &amp; SF'!B:H, 2, 0)</f>
        <v>كفتة للصواني</v>
      </c>
      <c r="J2514" s="184" t="str">
        <f>VLOOKUP(H2514, 'RM &amp; SF'!B:E, 4, 0)</f>
        <v>غم</v>
      </c>
      <c r="K2514" s="12">
        <v>1100</v>
      </c>
      <c r="L2514" s="13">
        <f>VLOOKUP(H2514, 'RM &amp; SF'!B:H, 7, 0)</f>
        <v>6.7141943181818174E-3</v>
      </c>
      <c r="M2514" s="7">
        <f t="shared" ref="M2514:M2570" si="132">L2514*K2514</f>
        <v>7.3856137499999992</v>
      </c>
      <c r="N2514" s="4" t="s">
        <v>825</v>
      </c>
      <c r="O2514" s="4">
        <f>VLOOKUP(B2514, 'All Menu'!B:L, 6, 0)</f>
        <v>14</v>
      </c>
      <c r="P2514" s="6">
        <f>VLOOKUP(B2514, 'All Menu'!B:L, 9, 0)</f>
        <v>8.7466547635841145</v>
      </c>
      <c r="Q2514" s="14">
        <f>VLOOKUP(B2514, 'All Menu'!B:M, 12, 0)</f>
        <v>0.37523894545827752</v>
      </c>
      <c r="R2514" s="173">
        <f t="shared" ref="R2514:R2568" si="133">C2514*K2514</f>
        <v>0</v>
      </c>
    </row>
    <row r="2515" spans="1:18" ht="14" hidden="1">
      <c r="A2515" s="78" t="s">
        <v>2897</v>
      </c>
      <c r="B2515" s="220">
        <v>60071</v>
      </c>
      <c r="C2515" s="185"/>
      <c r="D2515" s="103" t="str">
        <f>VLOOKUP(B2515, 'All Menu'!B:M, 4, 0)</f>
        <v>كفتة ببندورة ني كيلو</v>
      </c>
      <c r="E2515" s="30" t="str">
        <f>VLOOKUP(B2515, 'All Menu'!B:M, 2, 0)</f>
        <v>قسم الملحمة</v>
      </c>
      <c r="F2515" s="103" t="str">
        <f>VLOOKUP(B2515, 'All Menu'!B:M, 3, 0)</f>
        <v>لحوم مشكوكة</v>
      </c>
      <c r="G2515" s="90" t="s">
        <v>2230</v>
      </c>
      <c r="H2515" s="188">
        <v>4497</v>
      </c>
      <c r="I2515" s="110" t="str">
        <f>VLOOKUP(H2515, 'RM &amp; SF'!B:H, 2, 0)</f>
        <v>بطاطا*****</v>
      </c>
      <c r="J2515" s="184" t="str">
        <f>VLOOKUP(H2515, 'RM &amp; SF'!B:E, 4, 0)</f>
        <v>غم</v>
      </c>
      <c r="K2515" s="12">
        <v>180</v>
      </c>
      <c r="L2515" s="13">
        <f>VLOOKUP(H2515, 'RM &amp; SF'!B:H, 7, 0)</f>
        <v>4.0000000000000002E-4</v>
      </c>
      <c r="M2515" s="7">
        <f t="shared" si="132"/>
        <v>7.2000000000000008E-2</v>
      </c>
      <c r="N2515" s="4" t="s">
        <v>825</v>
      </c>
      <c r="O2515" s="4">
        <f>VLOOKUP(B2515, 'All Menu'!B:L, 6, 0)</f>
        <v>14</v>
      </c>
      <c r="P2515" s="6">
        <f>VLOOKUP(B2515, 'All Menu'!B:L, 9, 0)</f>
        <v>8.7466547635841145</v>
      </c>
      <c r="Q2515" s="14">
        <f>VLOOKUP(B2515, 'All Menu'!B:M, 12, 0)</f>
        <v>0.37523894545827752</v>
      </c>
      <c r="R2515" s="173">
        <f t="shared" si="133"/>
        <v>0</v>
      </c>
    </row>
    <row r="2516" spans="1:18" ht="14" hidden="1">
      <c r="A2516" s="78" t="s">
        <v>2897</v>
      </c>
      <c r="B2516" s="220">
        <v>60071</v>
      </c>
      <c r="C2516" s="185"/>
      <c r="D2516" s="103" t="str">
        <f>VLOOKUP(B2516, 'All Menu'!B:M, 4, 0)</f>
        <v>كفتة ببندورة ني كيلو</v>
      </c>
      <c r="E2516" s="30" t="str">
        <f>VLOOKUP(B2516, 'All Menu'!B:M, 2, 0)</f>
        <v>قسم الملحمة</v>
      </c>
      <c r="F2516" s="103" t="str">
        <f>VLOOKUP(B2516, 'All Menu'!B:M, 3, 0)</f>
        <v>لحوم مشكوكة</v>
      </c>
      <c r="G2516" s="90" t="s">
        <v>2434</v>
      </c>
      <c r="H2516" s="219" t="s">
        <v>574</v>
      </c>
      <c r="I2516" s="110" t="str">
        <f>VLOOKUP(H2516, 'RM &amp; SF'!B:H, 2, 0)</f>
        <v>صوص بندورة</v>
      </c>
      <c r="J2516" s="184" t="str">
        <f>VLOOKUP(H2516, 'RM &amp; SF'!B:E, 4, 0)</f>
        <v>غم</v>
      </c>
      <c r="K2516" s="12">
        <v>750</v>
      </c>
      <c r="L2516" s="13">
        <f>VLOOKUP(H2516, 'RM &amp; SF'!B:H, 7, 0)</f>
        <v>1.1346600487634969E-3</v>
      </c>
      <c r="M2516" s="7">
        <f t="shared" si="132"/>
        <v>0.85099503657262265</v>
      </c>
      <c r="N2516" s="4" t="s">
        <v>825</v>
      </c>
      <c r="O2516" s="4">
        <f>VLOOKUP(B2516, 'All Menu'!B:L, 6, 0)</f>
        <v>14</v>
      </c>
      <c r="P2516" s="6">
        <f>VLOOKUP(B2516, 'All Menu'!B:L, 9, 0)</f>
        <v>8.7466547635841145</v>
      </c>
      <c r="Q2516" s="14">
        <f>VLOOKUP(B2516, 'All Menu'!B:M, 12, 0)</f>
        <v>0.37523894545827752</v>
      </c>
      <c r="R2516" s="173">
        <f t="shared" si="133"/>
        <v>0</v>
      </c>
    </row>
    <row r="2517" spans="1:18" ht="14" hidden="1">
      <c r="A2517" s="78" t="s">
        <v>2897</v>
      </c>
      <c r="B2517" s="220">
        <v>60071</v>
      </c>
      <c r="C2517" s="185"/>
      <c r="D2517" s="103" t="str">
        <f>VLOOKUP(B2517, 'All Menu'!B:M, 4, 0)</f>
        <v>كفتة ببندورة ني كيلو</v>
      </c>
      <c r="E2517" s="30" t="str">
        <f>VLOOKUP(B2517, 'All Menu'!B:M, 2, 0)</f>
        <v>قسم الملحمة</v>
      </c>
      <c r="F2517" s="103" t="str">
        <f>VLOOKUP(B2517, 'All Menu'!B:M, 3, 0)</f>
        <v>لحوم مشكوكة</v>
      </c>
      <c r="G2517" s="90" t="s">
        <v>2231</v>
      </c>
      <c r="H2517" s="188">
        <v>4499</v>
      </c>
      <c r="I2517" s="110" t="str">
        <f>VLOOKUP(H2517, 'RM &amp; SF'!B:H, 2, 0)</f>
        <v>فلفل حار اخضر*****</v>
      </c>
      <c r="J2517" s="184" t="str">
        <f>VLOOKUP(H2517, 'RM &amp; SF'!B:E, 4, 0)</f>
        <v>غم</v>
      </c>
      <c r="K2517" s="12">
        <v>60</v>
      </c>
      <c r="L2517" s="13">
        <f>VLOOKUP(H2517, 'RM &amp; SF'!B:H, 7, 0)</f>
        <v>5.0000000000000001E-4</v>
      </c>
      <c r="M2517" s="7">
        <f t="shared" si="132"/>
        <v>0.03</v>
      </c>
      <c r="N2517" s="4" t="s">
        <v>825</v>
      </c>
      <c r="O2517" s="4">
        <f>VLOOKUP(B2517, 'All Menu'!B:L, 6, 0)</f>
        <v>14</v>
      </c>
      <c r="P2517" s="6">
        <f>VLOOKUP(B2517, 'All Menu'!B:L, 9, 0)</f>
        <v>8.7466547635841145</v>
      </c>
      <c r="Q2517" s="14">
        <f>VLOOKUP(B2517, 'All Menu'!B:M, 12, 0)</f>
        <v>0.37523894545827752</v>
      </c>
      <c r="R2517" s="173">
        <f t="shared" si="133"/>
        <v>0</v>
      </c>
    </row>
    <row r="2518" spans="1:18" ht="14" hidden="1">
      <c r="A2518" s="78" t="s">
        <v>2897</v>
      </c>
      <c r="B2518" s="220">
        <v>60071</v>
      </c>
      <c r="C2518" s="185"/>
      <c r="D2518" s="103" t="str">
        <f>VLOOKUP(B2518, 'All Menu'!B:M, 4, 0)</f>
        <v>كفتة ببندورة ني كيلو</v>
      </c>
      <c r="E2518" s="30" t="str">
        <f>VLOOKUP(B2518, 'All Menu'!B:M, 2, 0)</f>
        <v>قسم الملحمة</v>
      </c>
      <c r="F2518" s="103" t="str">
        <f>VLOOKUP(B2518, 'All Menu'!B:M, 3, 0)</f>
        <v>لحوم مشكوكة</v>
      </c>
      <c r="G2518" s="90" t="s">
        <v>3058</v>
      </c>
      <c r="H2518" s="188">
        <v>5424</v>
      </c>
      <c r="I2518" s="110" t="str">
        <f>VLOOKUP(H2518, 'RM &amp; SF'!B:H, 2, 0)</f>
        <v>علب قصدير مدور 1/2 كغ RZ 25*****</v>
      </c>
      <c r="J2518" s="184" t="str">
        <f>VLOOKUP(H2518, 'RM &amp; SF'!B:E, 4, 0)</f>
        <v>قطعة</v>
      </c>
      <c r="K2518" s="12">
        <v>1</v>
      </c>
      <c r="L2518" s="13">
        <f>VLOOKUP(H2518, 'RM &amp; SF'!B:H, 7, 0)</f>
        <v>0.1149425287356322</v>
      </c>
      <c r="M2518" s="7">
        <f t="shared" si="132"/>
        <v>0.1149425287356322</v>
      </c>
      <c r="N2518" s="4" t="s">
        <v>825</v>
      </c>
      <c r="O2518" s="4">
        <f>VLOOKUP(B2518, 'All Menu'!B:L, 6, 0)</f>
        <v>14</v>
      </c>
      <c r="P2518" s="6">
        <f>VLOOKUP(B2518, 'All Menu'!B:L, 9, 0)</f>
        <v>8.7466547635841145</v>
      </c>
      <c r="Q2518" s="14">
        <f>VLOOKUP(B2518, 'All Menu'!B:M, 12, 0)</f>
        <v>0.37523894545827752</v>
      </c>
      <c r="R2518" s="173">
        <f t="shared" si="133"/>
        <v>0</v>
      </c>
    </row>
    <row r="2519" spans="1:18" ht="14" hidden="1">
      <c r="A2519" s="78" t="s">
        <v>2897</v>
      </c>
      <c r="B2519" s="220">
        <v>60071</v>
      </c>
      <c r="C2519" s="185"/>
      <c r="D2519" s="103" t="str">
        <f>VLOOKUP(B2519, 'All Menu'!B:M, 4, 0)</f>
        <v>كفتة ببندورة ني كيلو</v>
      </c>
      <c r="E2519" s="30" t="str">
        <f>VLOOKUP(B2519, 'All Menu'!B:M, 2, 0)</f>
        <v>قسم الملحمة</v>
      </c>
      <c r="F2519" s="103" t="str">
        <f>VLOOKUP(B2519, 'All Menu'!B:M, 3, 0)</f>
        <v>لحوم مشكوكة</v>
      </c>
      <c r="G2519" s="90" t="s">
        <v>3058</v>
      </c>
      <c r="H2519" s="188">
        <v>4275</v>
      </c>
      <c r="I2519" s="110" t="str">
        <f>VLOOKUP(H2519, 'RM &amp; SF'!B:H, 2, 0)</f>
        <v>علب المركزية مطبوع + قاطع رقم 2 1*100 حبة*****</v>
      </c>
      <c r="J2519" s="184" t="str">
        <f>VLOOKUP(H2519, 'RM &amp; SF'!B:E, 4, 0)</f>
        <v>قطعة</v>
      </c>
      <c r="K2519" s="12">
        <v>1</v>
      </c>
      <c r="L2519" s="13">
        <f>VLOOKUP(H2519, 'RM &amp; SF'!B:H, 7, 0)</f>
        <v>0.2931034482758621</v>
      </c>
      <c r="M2519" s="7">
        <f t="shared" si="132"/>
        <v>0.2931034482758621</v>
      </c>
      <c r="N2519" s="4" t="s">
        <v>825</v>
      </c>
      <c r="O2519" s="4">
        <f>VLOOKUP(B2519, 'All Menu'!B:L, 6, 0)</f>
        <v>14</v>
      </c>
      <c r="P2519" s="6">
        <f>VLOOKUP(B2519, 'All Menu'!B:L, 9, 0)</f>
        <v>8.7466547635841145</v>
      </c>
      <c r="Q2519" s="14">
        <f>VLOOKUP(B2519, 'All Menu'!B:M, 12, 0)</f>
        <v>0.37523894545827752</v>
      </c>
      <c r="R2519" s="173">
        <f t="shared" si="133"/>
        <v>0</v>
      </c>
    </row>
    <row r="2520" spans="1:18" ht="14" hidden="1">
      <c r="A2520" s="78" t="s">
        <v>2898</v>
      </c>
      <c r="B2520" s="220">
        <v>60072</v>
      </c>
      <c r="C2520" s="185"/>
      <c r="D2520" s="103" t="str">
        <f>VLOOKUP(B2520, 'All Menu'!B:M, 4, 0)</f>
        <v>كفتة ببندورة ني نص كيلو</v>
      </c>
      <c r="E2520" s="30" t="str">
        <f>VLOOKUP(B2520, 'All Menu'!B:M, 2, 0)</f>
        <v>قسم الملحمة</v>
      </c>
      <c r="F2520" s="103" t="str">
        <f>VLOOKUP(B2520, 'All Menu'!B:M, 3, 0)</f>
        <v>لحوم مشكوكة</v>
      </c>
      <c r="G2520" s="90" t="s">
        <v>2414</v>
      </c>
      <c r="H2520" s="219" t="s">
        <v>485</v>
      </c>
      <c r="I2520" s="110" t="str">
        <f>VLOOKUP(H2520, 'RM &amp; SF'!B:H, 2, 0)</f>
        <v>كفتة للصواني</v>
      </c>
      <c r="J2520" s="184" t="str">
        <f>VLOOKUP(H2520, 'RM &amp; SF'!B:E, 4, 0)</f>
        <v>غم</v>
      </c>
      <c r="K2520" s="12">
        <v>500</v>
      </c>
      <c r="L2520" s="13">
        <f>VLOOKUP(H2520, 'RM &amp; SF'!B:H, 7, 0)</f>
        <v>6.7141943181818174E-3</v>
      </c>
      <c r="M2520" s="7">
        <f t="shared" si="132"/>
        <v>3.3570971590909089</v>
      </c>
      <c r="N2520" s="4" t="s">
        <v>825</v>
      </c>
      <c r="O2520" s="4">
        <f>VLOOKUP(B2520, 'All Menu'!B:L, 6, 0)</f>
        <v>7.5</v>
      </c>
      <c r="P2520" s="6">
        <f>VLOOKUP(B2520, 'All Menu'!B:L, 9, 0)</f>
        <v>4.3045469570707064</v>
      </c>
      <c r="Q2520" s="14">
        <f>VLOOKUP(B2520, 'All Menu'!B:M, 12, 0)</f>
        <v>0.4260604057239058</v>
      </c>
      <c r="R2520" s="173">
        <f t="shared" si="133"/>
        <v>0</v>
      </c>
    </row>
    <row r="2521" spans="1:18" ht="14" hidden="1">
      <c r="A2521" s="78" t="s">
        <v>2898</v>
      </c>
      <c r="B2521" s="220">
        <v>60072</v>
      </c>
      <c r="C2521" s="185"/>
      <c r="D2521" s="103" t="str">
        <f>VLOOKUP(B2521, 'All Menu'!B:M, 4, 0)</f>
        <v>كفتة ببندورة ني نص كيلو</v>
      </c>
      <c r="E2521" s="30" t="str">
        <f>VLOOKUP(B2521, 'All Menu'!B:M, 2, 0)</f>
        <v>قسم الملحمة</v>
      </c>
      <c r="F2521" s="103" t="str">
        <f>VLOOKUP(B2521, 'All Menu'!B:M, 3, 0)</f>
        <v>لحوم مشكوكة</v>
      </c>
      <c r="G2521" s="90" t="s">
        <v>2230</v>
      </c>
      <c r="H2521" s="188">
        <v>4497</v>
      </c>
      <c r="I2521" s="110" t="str">
        <f>VLOOKUP(H2521, 'RM &amp; SF'!B:H, 2, 0)</f>
        <v>بطاطا*****</v>
      </c>
      <c r="J2521" s="184" t="str">
        <f>VLOOKUP(H2521, 'RM &amp; SF'!B:E, 4, 0)</f>
        <v>غم</v>
      </c>
      <c r="K2521" s="12">
        <v>110</v>
      </c>
      <c r="L2521" s="13">
        <f>VLOOKUP(H2521, 'RM &amp; SF'!B:H, 7, 0)</f>
        <v>4.0000000000000002E-4</v>
      </c>
      <c r="M2521" s="7">
        <f t="shared" si="132"/>
        <v>4.4000000000000004E-2</v>
      </c>
      <c r="N2521" s="4" t="s">
        <v>825</v>
      </c>
      <c r="O2521" s="4">
        <f>VLOOKUP(B2521, 'All Menu'!B:L, 6, 0)</f>
        <v>7.5</v>
      </c>
      <c r="P2521" s="6">
        <f>VLOOKUP(B2521, 'All Menu'!B:L, 9, 0)</f>
        <v>4.3045469570707064</v>
      </c>
      <c r="Q2521" s="14">
        <f>VLOOKUP(B2521, 'All Menu'!B:M, 12, 0)</f>
        <v>0.4260604057239058</v>
      </c>
      <c r="R2521" s="173">
        <f t="shared" si="133"/>
        <v>0</v>
      </c>
    </row>
    <row r="2522" spans="1:18" ht="14" hidden="1">
      <c r="A2522" s="78" t="s">
        <v>2898</v>
      </c>
      <c r="B2522" s="220">
        <v>60072</v>
      </c>
      <c r="C2522" s="185"/>
      <c r="D2522" s="103" t="str">
        <f>VLOOKUP(B2522, 'All Menu'!B:M, 4, 0)</f>
        <v>كفتة ببندورة ني نص كيلو</v>
      </c>
      <c r="E2522" s="30" t="str">
        <f>VLOOKUP(B2522, 'All Menu'!B:M, 2, 0)</f>
        <v>قسم الملحمة</v>
      </c>
      <c r="F2522" s="103" t="str">
        <f>VLOOKUP(B2522, 'All Menu'!B:M, 3, 0)</f>
        <v>لحوم مشكوكة</v>
      </c>
      <c r="G2522" s="90" t="s">
        <v>2434</v>
      </c>
      <c r="H2522" s="219" t="s">
        <v>574</v>
      </c>
      <c r="I2522" s="110" t="str">
        <f>VLOOKUP(H2522, 'RM &amp; SF'!B:H, 2, 0)</f>
        <v>صوص بندورة</v>
      </c>
      <c r="J2522" s="184" t="str">
        <f>VLOOKUP(H2522, 'RM &amp; SF'!B:E, 4, 0)</f>
        <v>غم</v>
      </c>
      <c r="K2522" s="12">
        <v>430</v>
      </c>
      <c r="L2522" s="13">
        <f>VLOOKUP(H2522, 'RM &amp; SF'!B:H, 7, 0)</f>
        <v>1.1346600487634969E-3</v>
      </c>
      <c r="M2522" s="7">
        <f t="shared" si="132"/>
        <v>0.4879038209683037</v>
      </c>
      <c r="N2522" s="4" t="s">
        <v>825</v>
      </c>
      <c r="O2522" s="4">
        <f>VLOOKUP(B2522, 'All Menu'!B:L, 6, 0)</f>
        <v>7.5</v>
      </c>
      <c r="P2522" s="6">
        <f>VLOOKUP(B2522, 'All Menu'!B:L, 9, 0)</f>
        <v>4.3045469570707064</v>
      </c>
      <c r="Q2522" s="14">
        <f>VLOOKUP(B2522, 'All Menu'!B:M, 12, 0)</f>
        <v>0.4260604057239058</v>
      </c>
      <c r="R2522" s="173">
        <f t="shared" si="133"/>
        <v>0</v>
      </c>
    </row>
    <row r="2523" spans="1:18" ht="14" hidden="1">
      <c r="A2523" s="78" t="s">
        <v>2898</v>
      </c>
      <c r="B2523" s="220">
        <v>60072</v>
      </c>
      <c r="C2523" s="185"/>
      <c r="D2523" s="103" t="str">
        <f>VLOOKUP(B2523, 'All Menu'!B:M, 4, 0)</f>
        <v>كفتة ببندورة ني نص كيلو</v>
      </c>
      <c r="E2523" s="30" t="str">
        <f>VLOOKUP(B2523, 'All Menu'!B:M, 2, 0)</f>
        <v>قسم الملحمة</v>
      </c>
      <c r="F2523" s="103" t="str">
        <f>VLOOKUP(B2523, 'All Menu'!B:M, 3, 0)</f>
        <v>لحوم مشكوكة</v>
      </c>
      <c r="G2523" s="90" t="s">
        <v>2231</v>
      </c>
      <c r="H2523" s="188">
        <v>4499</v>
      </c>
      <c r="I2523" s="110" t="str">
        <f>VLOOKUP(H2523, 'RM &amp; SF'!B:H, 2, 0)</f>
        <v>فلفل حار اخضر*****</v>
      </c>
      <c r="J2523" s="184" t="str">
        <f>VLOOKUP(H2523, 'RM &amp; SF'!B:E, 4, 0)</f>
        <v>غم</v>
      </c>
      <c r="K2523" s="12">
        <v>15</v>
      </c>
      <c r="L2523" s="13">
        <f>VLOOKUP(H2523, 'RM &amp; SF'!B:H, 7, 0)</f>
        <v>5.0000000000000001E-4</v>
      </c>
      <c r="M2523" s="7">
        <f t="shared" si="132"/>
        <v>7.4999999999999997E-3</v>
      </c>
      <c r="N2523" s="4" t="s">
        <v>825</v>
      </c>
      <c r="O2523" s="4">
        <f>VLOOKUP(B2523, 'All Menu'!B:L, 6, 0)</f>
        <v>7.5</v>
      </c>
      <c r="P2523" s="6">
        <f>VLOOKUP(B2523, 'All Menu'!B:L, 9, 0)</f>
        <v>4.3045469570707064</v>
      </c>
      <c r="Q2523" s="14">
        <f>VLOOKUP(B2523, 'All Menu'!B:M, 12, 0)</f>
        <v>0.4260604057239058</v>
      </c>
      <c r="R2523" s="173">
        <f t="shared" si="133"/>
        <v>0</v>
      </c>
    </row>
    <row r="2524" spans="1:18" ht="14" hidden="1">
      <c r="A2524" s="78" t="s">
        <v>2898</v>
      </c>
      <c r="B2524" s="220">
        <v>60072</v>
      </c>
      <c r="C2524" s="185"/>
      <c r="D2524" s="103" t="str">
        <f>VLOOKUP(B2524, 'All Menu'!B:M, 4, 0)</f>
        <v>كفتة ببندورة ني نص كيلو</v>
      </c>
      <c r="E2524" s="30" t="str">
        <f>VLOOKUP(B2524, 'All Menu'!B:M, 2, 0)</f>
        <v>قسم الملحمة</v>
      </c>
      <c r="F2524" s="103" t="str">
        <f>VLOOKUP(B2524, 'All Menu'!B:M, 3, 0)</f>
        <v>لحوم مشكوكة</v>
      </c>
      <c r="G2524" s="90" t="s">
        <v>3058</v>
      </c>
      <c r="H2524" s="188">
        <v>5424</v>
      </c>
      <c r="I2524" s="110" t="str">
        <f>VLOOKUP(H2524, 'RM &amp; SF'!B:H, 2, 0)</f>
        <v>علب قصدير مدور 1/2 كغ RZ 25*****</v>
      </c>
      <c r="J2524" s="184" t="str">
        <f>VLOOKUP(H2524, 'RM &amp; SF'!B:E, 4, 0)</f>
        <v>قطعة</v>
      </c>
      <c r="K2524" s="12">
        <v>1</v>
      </c>
      <c r="L2524" s="13">
        <f>VLOOKUP(H2524, 'RM &amp; SF'!B:H, 7, 0)</f>
        <v>0.1149425287356322</v>
      </c>
      <c r="M2524" s="7">
        <f t="shared" si="132"/>
        <v>0.1149425287356322</v>
      </c>
      <c r="N2524" s="4" t="s">
        <v>825</v>
      </c>
      <c r="O2524" s="4">
        <f>VLOOKUP(B2524, 'All Menu'!B:L, 6, 0)</f>
        <v>7.5</v>
      </c>
      <c r="P2524" s="6">
        <f>VLOOKUP(B2524, 'All Menu'!B:L, 9, 0)</f>
        <v>4.3045469570707064</v>
      </c>
      <c r="Q2524" s="14">
        <f>VLOOKUP(B2524, 'All Menu'!B:M, 12, 0)</f>
        <v>0.4260604057239058</v>
      </c>
      <c r="R2524" s="173">
        <f t="shared" si="133"/>
        <v>0</v>
      </c>
    </row>
    <row r="2525" spans="1:18" ht="14" hidden="1">
      <c r="A2525" s="78" t="s">
        <v>2898</v>
      </c>
      <c r="B2525" s="220">
        <v>60072</v>
      </c>
      <c r="C2525" s="185"/>
      <c r="D2525" s="103" t="str">
        <f>VLOOKUP(B2525, 'All Menu'!B:M, 4, 0)</f>
        <v>كفتة ببندورة ني نص كيلو</v>
      </c>
      <c r="E2525" s="30" t="str">
        <f>VLOOKUP(B2525, 'All Menu'!B:M, 2, 0)</f>
        <v>قسم الملحمة</v>
      </c>
      <c r="F2525" s="103" t="str">
        <f>VLOOKUP(B2525, 'All Menu'!B:M, 3, 0)</f>
        <v>لحوم مشكوكة</v>
      </c>
      <c r="G2525" s="90" t="s">
        <v>3058</v>
      </c>
      <c r="H2525" s="188">
        <v>4275</v>
      </c>
      <c r="I2525" s="110" t="str">
        <f>VLOOKUP(H2525, 'RM &amp; SF'!B:H, 2, 0)</f>
        <v>علب المركزية مطبوع + قاطع رقم 2 1*100 حبة*****</v>
      </c>
      <c r="J2525" s="184" t="str">
        <f>VLOOKUP(H2525, 'RM &amp; SF'!B:E, 4, 0)</f>
        <v>قطعة</v>
      </c>
      <c r="K2525" s="12">
        <v>1</v>
      </c>
      <c r="L2525" s="13">
        <f>VLOOKUP(H2525, 'RM &amp; SF'!B:H, 7, 0)</f>
        <v>0.2931034482758621</v>
      </c>
      <c r="M2525" s="7">
        <f t="shared" si="132"/>
        <v>0.2931034482758621</v>
      </c>
      <c r="N2525" s="4" t="s">
        <v>825</v>
      </c>
      <c r="O2525" s="4">
        <f>VLOOKUP(B2525, 'All Menu'!B:L, 6, 0)</f>
        <v>7.5</v>
      </c>
      <c r="P2525" s="6">
        <f>VLOOKUP(B2525, 'All Menu'!B:L, 9, 0)</f>
        <v>4.3045469570707064</v>
      </c>
      <c r="Q2525" s="14">
        <f>VLOOKUP(B2525, 'All Menu'!B:M, 12, 0)</f>
        <v>0.4260604057239058</v>
      </c>
      <c r="R2525" s="173">
        <f t="shared" si="133"/>
        <v>0</v>
      </c>
    </row>
    <row r="2526" spans="1:18" ht="14" hidden="1">
      <c r="A2526" s="78" t="s">
        <v>2899</v>
      </c>
      <c r="B2526" s="220">
        <v>60073</v>
      </c>
      <c r="C2526" s="185"/>
      <c r="D2526" s="103" t="str">
        <f>VLOOKUP(B2526, 'All Menu'!B:M, 4, 0)</f>
        <v>كفتة بطحينية ني كيلو</v>
      </c>
      <c r="E2526" s="30" t="str">
        <f>VLOOKUP(B2526, 'All Menu'!B:M, 2, 0)</f>
        <v>قسم الملحمة</v>
      </c>
      <c r="F2526" s="103" t="str">
        <f>VLOOKUP(B2526, 'All Menu'!B:M, 3, 0)</f>
        <v>لحوم مشكوكة</v>
      </c>
      <c r="G2526" s="90" t="s">
        <v>2414</v>
      </c>
      <c r="H2526" s="219" t="s">
        <v>485</v>
      </c>
      <c r="I2526" s="110" t="str">
        <f>VLOOKUP(H2526, 'RM &amp; SF'!B:H, 2, 0)</f>
        <v>كفتة للصواني</v>
      </c>
      <c r="J2526" s="184" t="str">
        <f>VLOOKUP(H2526, 'RM &amp; SF'!B:E, 4, 0)</f>
        <v>غم</v>
      </c>
      <c r="K2526" s="12">
        <v>1000</v>
      </c>
      <c r="L2526" s="13">
        <f>VLOOKUP(H2526, 'RM &amp; SF'!B:H, 7, 0)</f>
        <v>6.7141943181818174E-3</v>
      </c>
      <c r="M2526" s="7">
        <f t="shared" si="132"/>
        <v>6.7141943181818178</v>
      </c>
      <c r="N2526" s="4" t="s">
        <v>825</v>
      </c>
      <c r="O2526" s="4">
        <f>VLOOKUP(B2526, 'All Menu'!B:L, 6, 0)</f>
        <v>14</v>
      </c>
      <c r="P2526" s="6">
        <f>VLOOKUP(B2526, 'All Menu'!B:L, 9, 0)</f>
        <v>8.1603612158282317</v>
      </c>
      <c r="Q2526" s="14">
        <f>VLOOKUP(B2526, 'All Menu'!B:M, 12, 0)</f>
        <v>0.41711705601226917</v>
      </c>
      <c r="R2526" s="173">
        <f t="shared" si="133"/>
        <v>0</v>
      </c>
    </row>
    <row r="2527" spans="1:18" ht="14" hidden="1">
      <c r="A2527" s="78" t="s">
        <v>2899</v>
      </c>
      <c r="B2527" s="220">
        <v>60073</v>
      </c>
      <c r="C2527" s="185"/>
      <c r="D2527" s="103" t="str">
        <f>VLOOKUP(B2527, 'All Menu'!B:M, 4, 0)</f>
        <v>كفتة بطحينية ني كيلو</v>
      </c>
      <c r="E2527" s="30" t="str">
        <f>VLOOKUP(B2527, 'All Menu'!B:M, 2, 0)</f>
        <v>قسم الملحمة</v>
      </c>
      <c r="F2527" s="103" t="str">
        <f>VLOOKUP(B2527, 'All Menu'!B:M, 3, 0)</f>
        <v>لحوم مشكوكة</v>
      </c>
      <c r="G2527" s="90" t="s">
        <v>2230</v>
      </c>
      <c r="H2527" s="188">
        <v>4497</v>
      </c>
      <c r="I2527" s="110" t="str">
        <f>VLOOKUP(H2527, 'RM &amp; SF'!B:H, 2, 0)</f>
        <v>بطاطا*****</v>
      </c>
      <c r="J2527" s="184" t="str">
        <f>VLOOKUP(H2527, 'RM &amp; SF'!B:E, 4, 0)</f>
        <v>غم</v>
      </c>
      <c r="K2527" s="12">
        <v>260</v>
      </c>
      <c r="L2527" s="13">
        <f>VLOOKUP(H2527, 'RM &amp; SF'!B:H, 7, 0)</f>
        <v>4.0000000000000002E-4</v>
      </c>
      <c r="M2527" s="7">
        <f t="shared" si="132"/>
        <v>0.10400000000000001</v>
      </c>
      <c r="N2527" s="4" t="s">
        <v>825</v>
      </c>
      <c r="O2527" s="4">
        <f>VLOOKUP(B2527, 'All Menu'!B:L, 6, 0)</f>
        <v>14</v>
      </c>
      <c r="P2527" s="6">
        <f>VLOOKUP(B2527, 'All Menu'!B:L, 9, 0)</f>
        <v>8.1603612158282317</v>
      </c>
      <c r="Q2527" s="14">
        <f>VLOOKUP(B2527, 'All Menu'!B:M, 12, 0)</f>
        <v>0.41711705601226917</v>
      </c>
      <c r="R2527" s="173">
        <f t="shared" si="133"/>
        <v>0</v>
      </c>
    </row>
    <row r="2528" spans="1:18" ht="14" hidden="1">
      <c r="A2528" s="78" t="s">
        <v>2899</v>
      </c>
      <c r="B2528" s="220">
        <v>60073</v>
      </c>
      <c r="C2528" s="185"/>
      <c r="D2528" s="103" t="str">
        <f>VLOOKUP(B2528, 'All Menu'!B:M, 4, 0)</f>
        <v>كفتة بطحينية ني كيلو</v>
      </c>
      <c r="E2528" s="30" t="str">
        <f>VLOOKUP(B2528, 'All Menu'!B:M, 2, 0)</f>
        <v>قسم الملحمة</v>
      </c>
      <c r="F2528" s="103" t="str">
        <f>VLOOKUP(B2528, 'All Menu'!B:M, 3, 0)</f>
        <v>لحوم مشكوكة</v>
      </c>
      <c r="G2528" s="90" t="s">
        <v>2430</v>
      </c>
      <c r="H2528" s="219" t="s">
        <v>636</v>
      </c>
      <c r="I2528" s="110" t="str">
        <f>VLOOKUP(H2528, 'RM &amp; SF'!B:H, 2, 0)</f>
        <v>صوص طحينية للصواني</v>
      </c>
      <c r="J2528" s="184" t="str">
        <f>VLOOKUP(H2528, 'RM &amp; SF'!B:E, 4, 0)</f>
        <v>غم</v>
      </c>
      <c r="K2528" s="12">
        <v>900</v>
      </c>
      <c r="L2528" s="13">
        <f>VLOOKUP(H2528, 'RM &amp; SF'!B:H, 7, 0)</f>
        <v>1.0115232451499119E-3</v>
      </c>
      <c r="M2528" s="7">
        <f t="shared" si="132"/>
        <v>0.91037092063492075</v>
      </c>
      <c r="N2528" s="4" t="s">
        <v>825</v>
      </c>
      <c r="O2528" s="4">
        <f>VLOOKUP(B2528, 'All Menu'!B:L, 6, 0)</f>
        <v>14</v>
      </c>
      <c r="P2528" s="6">
        <f>VLOOKUP(B2528, 'All Menu'!B:L, 9, 0)</f>
        <v>8.1603612158282317</v>
      </c>
      <c r="Q2528" s="14">
        <f>VLOOKUP(B2528, 'All Menu'!B:M, 12, 0)</f>
        <v>0.41711705601226917</v>
      </c>
      <c r="R2528" s="173">
        <f t="shared" si="133"/>
        <v>0</v>
      </c>
    </row>
    <row r="2529" spans="1:18" ht="14" hidden="1">
      <c r="A2529" s="78" t="s">
        <v>2899</v>
      </c>
      <c r="B2529" s="220">
        <v>60073</v>
      </c>
      <c r="C2529" s="185"/>
      <c r="D2529" s="103" t="str">
        <f>VLOOKUP(B2529, 'All Menu'!B:M, 4, 0)</f>
        <v>كفتة بطحينية ني كيلو</v>
      </c>
      <c r="E2529" s="30" t="str">
        <f>VLOOKUP(B2529, 'All Menu'!B:M, 2, 0)</f>
        <v>قسم الملحمة</v>
      </c>
      <c r="F2529" s="103" t="str">
        <f>VLOOKUP(B2529, 'All Menu'!B:M, 3, 0)</f>
        <v>لحوم مشكوكة</v>
      </c>
      <c r="G2529" s="90" t="s">
        <v>2231</v>
      </c>
      <c r="H2529" s="188">
        <v>4499</v>
      </c>
      <c r="I2529" s="110" t="str">
        <f>VLOOKUP(H2529, 'RM &amp; SF'!B:H, 2, 0)</f>
        <v>فلفل حار اخضر*****</v>
      </c>
      <c r="J2529" s="184" t="str">
        <f>VLOOKUP(H2529, 'RM &amp; SF'!B:E, 4, 0)</f>
        <v>غم</v>
      </c>
      <c r="K2529" s="12">
        <v>40</v>
      </c>
      <c r="L2529" s="13">
        <f>VLOOKUP(H2529, 'RM &amp; SF'!B:H, 7, 0)</f>
        <v>5.0000000000000001E-4</v>
      </c>
      <c r="M2529" s="7">
        <f t="shared" si="132"/>
        <v>0.02</v>
      </c>
      <c r="N2529" s="4" t="s">
        <v>825</v>
      </c>
      <c r="O2529" s="4">
        <f>VLOOKUP(B2529, 'All Menu'!B:L, 6, 0)</f>
        <v>14</v>
      </c>
      <c r="P2529" s="6">
        <f>VLOOKUP(B2529, 'All Menu'!B:L, 9, 0)</f>
        <v>8.1603612158282317</v>
      </c>
      <c r="Q2529" s="14">
        <f>VLOOKUP(B2529, 'All Menu'!B:M, 12, 0)</f>
        <v>0.41711705601226917</v>
      </c>
      <c r="R2529" s="173">
        <f t="shared" si="133"/>
        <v>0</v>
      </c>
    </row>
    <row r="2530" spans="1:18" ht="14" hidden="1">
      <c r="A2530" s="78" t="s">
        <v>2899</v>
      </c>
      <c r="B2530" s="220">
        <v>60073</v>
      </c>
      <c r="C2530" s="185"/>
      <c r="D2530" s="103" t="str">
        <f>VLOOKUP(B2530, 'All Menu'!B:M, 4, 0)</f>
        <v>كفتة بطحينية ني كيلو</v>
      </c>
      <c r="E2530" s="30" t="str">
        <f>VLOOKUP(B2530, 'All Menu'!B:M, 2, 0)</f>
        <v>قسم الملحمة</v>
      </c>
      <c r="F2530" s="103" t="str">
        <f>VLOOKUP(B2530, 'All Menu'!B:M, 3, 0)</f>
        <v>لحوم مشكوكة</v>
      </c>
      <c r="G2530" s="90" t="s">
        <v>2234</v>
      </c>
      <c r="H2530" s="188">
        <v>4503</v>
      </c>
      <c r="I2530" s="110" t="str">
        <f>VLOOKUP(H2530, 'RM &amp; SF'!B:H, 2, 0)</f>
        <v>بصل ناشف دفش*****</v>
      </c>
      <c r="J2530" s="184" t="str">
        <f>VLOOKUP(H2530, 'RM &amp; SF'!B:E, 4, 0)</f>
        <v>غم</v>
      </c>
      <c r="K2530" s="12">
        <v>15</v>
      </c>
      <c r="L2530" s="13">
        <f>VLOOKUP(H2530, 'RM &amp; SF'!B:H, 7, 0)</f>
        <v>2.5000000000000001E-4</v>
      </c>
      <c r="M2530" s="7">
        <f t="shared" si="132"/>
        <v>3.7499999999999999E-3</v>
      </c>
      <c r="N2530" s="4" t="s">
        <v>825</v>
      </c>
      <c r="O2530" s="4">
        <f>VLOOKUP(B2530, 'All Menu'!B:L, 6, 0)</f>
        <v>14</v>
      </c>
      <c r="P2530" s="6">
        <f>VLOOKUP(B2530, 'All Menu'!B:L, 9, 0)</f>
        <v>8.1603612158282317</v>
      </c>
      <c r="Q2530" s="14">
        <f>VLOOKUP(B2530, 'All Menu'!B:M, 12, 0)</f>
        <v>0.41711705601226917</v>
      </c>
      <c r="R2530" s="173">
        <f t="shared" si="133"/>
        <v>0</v>
      </c>
    </row>
    <row r="2531" spans="1:18" ht="14" hidden="1">
      <c r="A2531" s="78" t="s">
        <v>2899</v>
      </c>
      <c r="B2531" s="220">
        <v>60073</v>
      </c>
      <c r="C2531" s="185"/>
      <c r="D2531" s="103" t="str">
        <f>VLOOKUP(B2531, 'All Menu'!B:M, 4, 0)</f>
        <v>كفتة بطحينية ني كيلو</v>
      </c>
      <c r="E2531" s="30" t="str">
        <f>VLOOKUP(B2531, 'All Menu'!B:M, 2, 0)</f>
        <v>قسم الملحمة</v>
      </c>
      <c r="F2531" s="103" t="str">
        <f>VLOOKUP(B2531, 'All Menu'!B:M, 3, 0)</f>
        <v>لحوم مشكوكة</v>
      </c>
      <c r="G2531" s="90" t="s">
        <v>3058</v>
      </c>
      <c r="H2531" s="188">
        <v>5424</v>
      </c>
      <c r="I2531" s="110" t="str">
        <f>VLOOKUP(H2531, 'RM &amp; SF'!B:H, 2, 0)</f>
        <v>علب قصدير مدور 1/2 كغ RZ 25*****</v>
      </c>
      <c r="J2531" s="184" t="str">
        <f>VLOOKUP(H2531, 'RM &amp; SF'!B:E, 4, 0)</f>
        <v>قطعة</v>
      </c>
      <c r="K2531" s="12">
        <v>1</v>
      </c>
      <c r="L2531" s="13">
        <f>VLOOKUP(H2531, 'RM &amp; SF'!B:H, 7, 0)</f>
        <v>0.1149425287356322</v>
      </c>
      <c r="M2531" s="7">
        <f t="shared" si="132"/>
        <v>0.1149425287356322</v>
      </c>
      <c r="N2531" s="4" t="s">
        <v>825</v>
      </c>
      <c r="O2531" s="4">
        <f>VLOOKUP(B2531, 'All Menu'!B:L, 6, 0)</f>
        <v>14</v>
      </c>
      <c r="P2531" s="6">
        <f>VLOOKUP(B2531, 'All Menu'!B:L, 9, 0)</f>
        <v>8.1603612158282317</v>
      </c>
      <c r="Q2531" s="14">
        <f>VLOOKUP(B2531, 'All Menu'!B:M, 12, 0)</f>
        <v>0.41711705601226917</v>
      </c>
      <c r="R2531" s="173">
        <f t="shared" si="133"/>
        <v>0</v>
      </c>
    </row>
    <row r="2532" spans="1:18" ht="14" hidden="1">
      <c r="A2532" s="78" t="s">
        <v>2899</v>
      </c>
      <c r="B2532" s="220">
        <v>60073</v>
      </c>
      <c r="C2532" s="185"/>
      <c r="D2532" s="103" t="str">
        <f>VLOOKUP(B2532, 'All Menu'!B:M, 4, 0)</f>
        <v>كفتة بطحينية ني كيلو</v>
      </c>
      <c r="E2532" s="30" t="str">
        <f>VLOOKUP(B2532, 'All Menu'!B:M, 2, 0)</f>
        <v>قسم الملحمة</v>
      </c>
      <c r="F2532" s="103" t="str">
        <f>VLOOKUP(B2532, 'All Menu'!B:M, 3, 0)</f>
        <v>لحوم مشكوكة</v>
      </c>
      <c r="G2532" s="90" t="s">
        <v>3058</v>
      </c>
      <c r="H2532" s="188">
        <v>4275</v>
      </c>
      <c r="I2532" s="110" t="str">
        <f>VLOOKUP(H2532, 'RM &amp; SF'!B:H, 2, 0)</f>
        <v>علب المركزية مطبوع + قاطع رقم 2 1*100 حبة*****</v>
      </c>
      <c r="J2532" s="184" t="str">
        <f>VLOOKUP(H2532, 'RM &amp; SF'!B:E, 4, 0)</f>
        <v>قطعة</v>
      </c>
      <c r="K2532" s="12">
        <v>1</v>
      </c>
      <c r="L2532" s="13">
        <f>VLOOKUP(H2532, 'RM &amp; SF'!B:H, 7, 0)</f>
        <v>0.2931034482758621</v>
      </c>
      <c r="M2532" s="7">
        <f t="shared" si="132"/>
        <v>0.2931034482758621</v>
      </c>
      <c r="N2532" s="4" t="s">
        <v>825</v>
      </c>
      <c r="O2532" s="4">
        <f>VLOOKUP(B2532, 'All Menu'!B:L, 6, 0)</f>
        <v>14</v>
      </c>
      <c r="P2532" s="6">
        <f>VLOOKUP(B2532, 'All Menu'!B:L, 9, 0)</f>
        <v>8.1603612158282317</v>
      </c>
      <c r="Q2532" s="14">
        <f>VLOOKUP(B2532, 'All Menu'!B:M, 12, 0)</f>
        <v>0.41711705601226917</v>
      </c>
      <c r="R2532" s="173">
        <f t="shared" si="133"/>
        <v>0</v>
      </c>
    </row>
    <row r="2533" spans="1:18" ht="14" hidden="1">
      <c r="A2533" s="78" t="s">
        <v>2900</v>
      </c>
      <c r="B2533" s="220">
        <v>60074</v>
      </c>
      <c r="C2533" s="185"/>
      <c r="D2533" s="103" t="str">
        <f>VLOOKUP(B2533, 'All Menu'!B:M, 4, 0)</f>
        <v>كفتة بطحينية ني نص كيلو</v>
      </c>
      <c r="E2533" s="30" t="str">
        <f>VLOOKUP(B2533, 'All Menu'!B:M, 2, 0)</f>
        <v>قسم الملحمة</v>
      </c>
      <c r="F2533" s="103" t="str">
        <f>VLOOKUP(B2533, 'All Menu'!B:M, 3, 0)</f>
        <v>لحوم مشكوكة</v>
      </c>
      <c r="G2533" s="90" t="s">
        <v>2414</v>
      </c>
      <c r="H2533" s="219" t="s">
        <v>485</v>
      </c>
      <c r="I2533" s="110" t="str">
        <f>VLOOKUP(H2533, 'RM &amp; SF'!B:H, 2, 0)</f>
        <v>كفتة للصواني</v>
      </c>
      <c r="J2533" s="184" t="str">
        <f>VLOOKUP(H2533, 'RM &amp; SF'!B:E, 4, 0)</f>
        <v>غم</v>
      </c>
      <c r="K2533" s="12">
        <v>500</v>
      </c>
      <c r="L2533" s="13">
        <f>VLOOKUP(H2533, 'RM &amp; SF'!B:H, 7, 0)</f>
        <v>6.7141943181818174E-3</v>
      </c>
      <c r="M2533" s="7">
        <f t="shared" si="132"/>
        <v>3.3570971590909089</v>
      </c>
      <c r="N2533" s="4" t="s">
        <v>825</v>
      </c>
      <c r="O2533" s="4">
        <f>VLOOKUP(B2533, 'All Menu'!B:L, 6, 0)</f>
        <v>7.5</v>
      </c>
      <c r="P2533" s="6">
        <f>VLOOKUP(B2533, 'All Menu'!B:L, 9, 0)</f>
        <v>4.4378070831923502</v>
      </c>
      <c r="Q2533" s="14">
        <f>VLOOKUP(B2533, 'All Menu'!B:M, 12, 0)</f>
        <v>0.40829238890768665</v>
      </c>
      <c r="R2533" s="173">
        <f t="shared" si="133"/>
        <v>0</v>
      </c>
    </row>
    <row r="2534" spans="1:18" ht="14" hidden="1">
      <c r="A2534" s="78" t="s">
        <v>2900</v>
      </c>
      <c r="B2534" s="220">
        <v>60074</v>
      </c>
      <c r="C2534" s="185"/>
      <c r="D2534" s="103" t="str">
        <f>VLOOKUP(B2534, 'All Menu'!B:M, 4, 0)</f>
        <v>كفتة بطحينية ني نص كيلو</v>
      </c>
      <c r="E2534" s="30" t="str">
        <f>VLOOKUP(B2534, 'All Menu'!B:M, 2, 0)</f>
        <v>قسم الملحمة</v>
      </c>
      <c r="F2534" s="103" t="str">
        <f>VLOOKUP(B2534, 'All Menu'!B:M, 3, 0)</f>
        <v>لحوم مشكوكة</v>
      </c>
      <c r="G2534" s="90" t="s">
        <v>2230</v>
      </c>
      <c r="H2534" s="188">
        <v>4497</v>
      </c>
      <c r="I2534" s="110" t="str">
        <f>VLOOKUP(H2534, 'RM &amp; SF'!B:H, 2, 0)</f>
        <v>بطاطا*****</v>
      </c>
      <c r="J2534" s="184" t="str">
        <f>VLOOKUP(H2534, 'RM &amp; SF'!B:E, 4, 0)</f>
        <v>غم</v>
      </c>
      <c r="K2534" s="12">
        <v>130</v>
      </c>
      <c r="L2534" s="13">
        <f>VLOOKUP(H2534, 'RM &amp; SF'!B:H, 7, 0)</f>
        <v>4.0000000000000002E-4</v>
      </c>
      <c r="M2534" s="7">
        <f t="shared" si="132"/>
        <v>5.2000000000000005E-2</v>
      </c>
      <c r="N2534" s="4" t="s">
        <v>825</v>
      </c>
      <c r="O2534" s="4">
        <f>VLOOKUP(B2534, 'All Menu'!B:L, 6, 0)</f>
        <v>7.5</v>
      </c>
      <c r="P2534" s="6">
        <f>VLOOKUP(B2534, 'All Menu'!B:L, 9, 0)</f>
        <v>4.4378070831923502</v>
      </c>
      <c r="Q2534" s="14">
        <f>VLOOKUP(B2534, 'All Menu'!B:M, 12, 0)</f>
        <v>0.40829238890768665</v>
      </c>
      <c r="R2534" s="173">
        <f t="shared" si="133"/>
        <v>0</v>
      </c>
    </row>
    <row r="2535" spans="1:18" ht="14" hidden="1">
      <c r="A2535" s="78" t="s">
        <v>2900</v>
      </c>
      <c r="B2535" s="220">
        <v>60074</v>
      </c>
      <c r="C2535" s="185"/>
      <c r="D2535" s="103" t="str">
        <f>VLOOKUP(B2535, 'All Menu'!B:M, 4, 0)</f>
        <v>كفتة بطحينية ني نص كيلو</v>
      </c>
      <c r="E2535" s="30" t="str">
        <f>VLOOKUP(B2535, 'All Menu'!B:M, 2, 0)</f>
        <v>قسم الملحمة</v>
      </c>
      <c r="F2535" s="103" t="str">
        <f>VLOOKUP(B2535, 'All Menu'!B:M, 3, 0)</f>
        <v>لحوم مشكوكة</v>
      </c>
      <c r="G2535" s="90" t="s">
        <v>2430</v>
      </c>
      <c r="H2535" s="219" t="s">
        <v>636</v>
      </c>
      <c r="I2535" s="110" t="str">
        <f>VLOOKUP(H2535, 'RM &amp; SF'!B:H, 2, 0)</f>
        <v>صوص طحينية للصواني</v>
      </c>
      <c r="J2535" s="184" t="str">
        <f>VLOOKUP(H2535, 'RM &amp; SF'!B:E, 4, 0)</f>
        <v>غم</v>
      </c>
      <c r="K2535" s="12">
        <v>600</v>
      </c>
      <c r="L2535" s="13">
        <f>VLOOKUP(H2535, 'RM &amp; SF'!B:H, 7, 0)</f>
        <v>1.0115232451499119E-3</v>
      </c>
      <c r="M2535" s="7">
        <f t="shared" si="132"/>
        <v>0.60691394708994717</v>
      </c>
      <c r="N2535" s="4" t="s">
        <v>825</v>
      </c>
      <c r="O2535" s="4">
        <f>VLOOKUP(B2535, 'All Menu'!B:L, 6, 0)</f>
        <v>7.5</v>
      </c>
      <c r="P2535" s="6">
        <f>VLOOKUP(B2535, 'All Menu'!B:L, 9, 0)</f>
        <v>4.4378070831923502</v>
      </c>
      <c r="Q2535" s="14">
        <f>VLOOKUP(B2535, 'All Menu'!B:M, 12, 0)</f>
        <v>0.40829238890768665</v>
      </c>
      <c r="R2535" s="173">
        <f t="shared" si="133"/>
        <v>0</v>
      </c>
    </row>
    <row r="2536" spans="1:18" ht="14" hidden="1">
      <c r="A2536" s="78" t="s">
        <v>2900</v>
      </c>
      <c r="B2536" s="220">
        <v>60074</v>
      </c>
      <c r="C2536" s="185"/>
      <c r="D2536" s="103" t="str">
        <f>VLOOKUP(B2536, 'All Menu'!B:M, 4, 0)</f>
        <v>كفتة بطحينية ني نص كيلو</v>
      </c>
      <c r="E2536" s="30" t="str">
        <f>VLOOKUP(B2536, 'All Menu'!B:M, 2, 0)</f>
        <v>قسم الملحمة</v>
      </c>
      <c r="F2536" s="103" t="str">
        <f>VLOOKUP(B2536, 'All Menu'!B:M, 3, 0)</f>
        <v>لحوم مشكوكة</v>
      </c>
      <c r="G2536" s="90" t="s">
        <v>2231</v>
      </c>
      <c r="H2536" s="188">
        <v>4499</v>
      </c>
      <c r="I2536" s="110" t="str">
        <f>VLOOKUP(H2536, 'RM &amp; SF'!B:H, 2, 0)</f>
        <v>فلفل حار اخضر*****</v>
      </c>
      <c r="J2536" s="184" t="str">
        <f>VLOOKUP(H2536, 'RM &amp; SF'!B:E, 4, 0)</f>
        <v>غم</v>
      </c>
      <c r="K2536" s="12">
        <v>20</v>
      </c>
      <c r="L2536" s="13">
        <f>VLOOKUP(H2536, 'RM &amp; SF'!B:H, 7, 0)</f>
        <v>5.0000000000000001E-4</v>
      </c>
      <c r="M2536" s="7">
        <f t="shared" si="132"/>
        <v>0.01</v>
      </c>
      <c r="N2536" s="4" t="s">
        <v>825</v>
      </c>
      <c r="O2536" s="4">
        <f>VLOOKUP(B2536, 'All Menu'!B:L, 6, 0)</f>
        <v>7.5</v>
      </c>
      <c r="P2536" s="6">
        <f>VLOOKUP(B2536, 'All Menu'!B:L, 9, 0)</f>
        <v>4.4378070831923502</v>
      </c>
      <c r="Q2536" s="14">
        <f>VLOOKUP(B2536, 'All Menu'!B:M, 12, 0)</f>
        <v>0.40829238890768665</v>
      </c>
      <c r="R2536" s="173">
        <f t="shared" si="133"/>
        <v>0</v>
      </c>
    </row>
    <row r="2537" spans="1:18" ht="14" hidden="1">
      <c r="A2537" s="78" t="s">
        <v>2900</v>
      </c>
      <c r="B2537" s="220">
        <v>60074</v>
      </c>
      <c r="C2537" s="185"/>
      <c r="D2537" s="103" t="str">
        <f>VLOOKUP(B2537, 'All Menu'!B:M, 4, 0)</f>
        <v>كفتة بطحينية ني نص كيلو</v>
      </c>
      <c r="E2537" s="30" t="str">
        <f>VLOOKUP(B2537, 'All Menu'!B:M, 2, 0)</f>
        <v>قسم الملحمة</v>
      </c>
      <c r="F2537" s="103" t="str">
        <f>VLOOKUP(B2537, 'All Menu'!B:M, 3, 0)</f>
        <v>لحوم مشكوكة</v>
      </c>
      <c r="G2537" s="90" t="s">
        <v>2234</v>
      </c>
      <c r="H2537" s="188">
        <v>4503</v>
      </c>
      <c r="I2537" s="110" t="str">
        <f>VLOOKUP(H2537, 'RM &amp; SF'!B:H, 2, 0)</f>
        <v>بصل ناشف دفش*****</v>
      </c>
      <c r="J2537" s="184" t="str">
        <f>VLOOKUP(H2537, 'RM &amp; SF'!B:E, 4, 0)</f>
        <v>غم</v>
      </c>
      <c r="K2537" s="12">
        <v>15</v>
      </c>
      <c r="L2537" s="13">
        <f>VLOOKUP(H2537, 'RM &amp; SF'!B:H, 7, 0)</f>
        <v>2.5000000000000001E-4</v>
      </c>
      <c r="M2537" s="7">
        <f t="shared" si="132"/>
        <v>3.7499999999999999E-3</v>
      </c>
      <c r="N2537" s="4" t="s">
        <v>825</v>
      </c>
      <c r="O2537" s="4">
        <f>VLOOKUP(B2537, 'All Menu'!B:L, 6, 0)</f>
        <v>7.5</v>
      </c>
      <c r="P2537" s="6">
        <f>VLOOKUP(B2537, 'All Menu'!B:L, 9, 0)</f>
        <v>4.4378070831923502</v>
      </c>
      <c r="Q2537" s="14">
        <f>VLOOKUP(B2537, 'All Menu'!B:M, 12, 0)</f>
        <v>0.40829238890768665</v>
      </c>
      <c r="R2537" s="173">
        <f t="shared" si="133"/>
        <v>0</v>
      </c>
    </row>
    <row r="2538" spans="1:18" ht="14" hidden="1">
      <c r="A2538" s="78" t="s">
        <v>2900</v>
      </c>
      <c r="B2538" s="220">
        <v>60074</v>
      </c>
      <c r="C2538" s="185"/>
      <c r="D2538" s="103" t="str">
        <f>VLOOKUP(B2538, 'All Menu'!B:M, 4, 0)</f>
        <v>كفتة بطحينية ني نص كيلو</v>
      </c>
      <c r="E2538" s="30" t="str">
        <f>VLOOKUP(B2538, 'All Menu'!B:M, 2, 0)</f>
        <v>قسم الملحمة</v>
      </c>
      <c r="F2538" s="103" t="str">
        <f>VLOOKUP(B2538, 'All Menu'!B:M, 3, 0)</f>
        <v>لحوم مشكوكة</v>
      </c>
      <c r="G2538" s="90" t="s">
        <v>3058</v>
      </c>
      <c r="H2538" s="188">
        <v>5424</v>
      </c>
      <c r="I2538" s="110" t="str">
        <f>VLOOKUP(H2538, 'RM &amp; SF'!B:H, 2, 0)</f>
        <v>علب قصدير مدور 1/2 كغ RZ 25*****</v>
      </c>
      <c r="J2538" s="184" t="str">
        <f>VLOOKUP(H2538, 'RM &amp; SF'!B:E, 4, 0)</f>
        <v>قطعة</v>
      </c>
      <c r="K2538" s="12">
        <v>1</v>
      </c>
      <c r="L2538" s="13">
        <f>VLOOKUP(H2538, 'RM &amp; SF'!B:H, 7, 0)</f>
        <v>0.1149425287356322</v>
      </c>
      <c r="M2538" s="7">
        <f t="shared" si="132"/>
        <v>0.1149425287356322</v>
      </c>
      <c r="N2538" s="4" t="s">
        <v>825</v>
      </c>
      <c r="O2538" s="4">
        <f>VLOOKUP(B2538, 'All Menu'!B:L, 6, 0)</f>
        <v>7.5</v>
      </c>
      <c r="P2538" s="6">
        <f>VLOOKUP(B2538, 'All Menu'!B:L, 9, 0)</f>
        <v>4.4378070831923502</v>
      </c>
      <c r="Q2538" s="14">
        <f>VLOOKUP(B2538, 'All Menu'!B:M, 12, 0)</f>
        <v>0.40829238890768665</v>
      </c>
      <c r="R2538" s="173">
        <f t="shared" si="133"/>
        <v>0</v>
      </c>
    </row>
    <row r="2539" spans="1:18" ht="14" hidden="1">
      <c r="A2539" s="78" t="s">
        <v>2900</v>
      </c>
      <c r="B2539" s="220">
        <v>60074</v>
      </c>
      <c r="C2539" s="185"/>
      <c r="D2539" s="103" t="str">
        <f>VLOOKUP(B2539, 'All Menu'!B:M, 4, 0)</f>
        <v>كفتة بطحينية ني نص كيلو</v>
      </c>
      <c r="E2539" s="30" t="str">
        <f>VLOOKUP(B2539, 'All Menu'!B:M, 2, 0)</f>
        <v>قسم الملحمة</v>
      </c>
      <c r="F2539" s="103" t="str">
        <f>VLOOKUP(B2539, 'All Menu'!B:M, 3, 0)</f>
        <v>لحوم مشكوكة</v>
      </c>
      <c r="G2539" s="90" t="s">
        <v>3058</v>
      </c>
      <c r="H2539" s="188">
        <v>4275</v>
      </c>
      <c r="I2539" s="110" t="str">
        <f>VLOOKUP(H2539, 'RM &amp; SF'!B:H, 2, 0)</f>
        <v>علب المركزية مطبوع + قاطع رقم 2 1*100 حبة*****</v>
      </c>
      <c r="J2539" s="184" t="str">
        <f>VLOOKUP(H2539, 'RM &amp; SF'!B:E, 4, 0)</f>
        <v>قطعة</v>
      </c>
      <c r="K2539" s="12">
        <v>1</v>
      </c>
      <c r="L2539" s="13">
        <f>VLOOKUP(H2539, 'RM &amp; SF'!B:H, 7, 0)</f>
        <v>0.2931034482758621</v>
      </c>
      <c r="M2539" s="7">
        <f t="shared" si="132"/>
        <v>0.2931034482758621</v>
      </c>
      <c r="N2539" s="4" t="s">
        <v>825</v>
      </c>
      <c r="O2539" s="4">
        <f>VLOOKUP(B2539, 'All Menu'!B:L, 6, 0)</f>
        <v>7.5</v>
      </c>
      <c r="P2539" s="6">
        <f>VLOOKUP(B2539, 'All Menu'!B:L, 9, 0)</f>
        <v>4.4378070831923502</v>
      </c>
      <c r="Q2539" s="14">
        <f>VLOOKUP(B2539, 'All Menu'!B:M, 12, 0)</f>
        <v>0.40829238890768665</v>
      </c>
      <c r="R2539" s="173">
        <f t="shared" si="133"/>
        <v>0</v>
      </c>
    </row>
    <row r="2540" spans="1:18" ht="14" hidden="1">
      <c r="A2540" s="78" t="s">
        <v>2909</v>
      </c>
      <c r="B2540" s="220">
        <v>203070</v>
      </c>
      <c r="C2540" s="185"/>
      <c r="D2540" s="103" t="str">
        <f>VLOOKUP(B2540, 'All Menu'!B:M, 4, 0)</f>
        <v>ابرة الجبنة</v>
      </c>
      <c r="E2540" s="30" t="str">
        <f>VLOOKUP(B2540, 'All Menu'!B:M, 2, 0)</f>
        <v>قسم الملحمة</v>
      </c>
      <c r="F2540" s="103" t="str">
        <f>VLOOKUP(B2540, 'All Menu'!B:M, 3, 0)</f>
        <v>لحوم مشكوكة</v>
      </c>
      <c r="G2540" s="90" t="s">
        <v>3058</v>
      </c>
      <c r="H2540" s="188">
        <v>4880</v>
      </c>
      <c r="I2540" s="110" t="str">
        <f>VLOOKUP(H2540, 'RM &amp; SF'!B:H, 2, 0)</f>
        <v>*****صوص جبنة شدر كريمي 3.78 لتر</v>
      </c>
      <c r="J2540" s="184" t="str">
        <f>VLOOKUP(H2540, 'RM &amp; SF'!B:E, 4, 0)</f>
        <v>مل</v>
      </c>
      <c r="K2540" s="12">
        <v>60</v>
      </c>
      <c r="L2540" s="13">
        <f>VLOOKUP(H2540, 'RM &amp; SF'!B:H, 7, 0)</f>
        <v>1.5965608465608465E-3</v>
      </c>
      <c r="M2540" s="7">
        <f t="shared" si="132"/>
        <v>9.5793650793650792E-2</v>
      </c>
      <c r="N2540" s="4" t="s">
        <v>825</v>
      </c>
      <c r="O2540" s="4">
        <f>VLOOKUP(B2540, 'All Menu'!B:L, 6, 0)</f>
        <v>2</v>
      </c>
      <c r="P2540" s="6">
        <f>VLOOKUP(B2540, 'All Menu'!B:L, 9, 0)</f>
        <v>0.23579365079365081</v>
      </c>
      <c r="Q2540" s="14">
        <f>VLOOKUP(B2540, 'All Menu'!B:M, 12, 0)</f>
        <v>0.88210317460317456</v>
      </c>
      <c r="R2540" s="173">
        <f t="shared" si="133"/>
        <v>0</v>
      </c>
    </row>
    <row r="2541" spans="1:18" ht="14" hidden="1">
      <c r="A2541" s="78" t="s">
        <v>2909</v>
      </c>
      <c r="B2541" s="220">
        <v>203070</v>
      </c>
      <c r="C2541" s="185"/>
      <c r="D2541" s="103" t="str">
        <f>VLOOKUP(B2541, 'All Menu'!B:M, 4, 0)</f>
        <v>ابرة الجبنة</v>
      </c>
      <c r="E2541" s="30" t="str">
        <f>VLOOKUP(B2541, 'All Menu'!B:M, 2, 0)</f>
        <v>قسم الملحمة</v>
      </c>
      <c r="F2541" s="103" t="str">
        <f>VLOOKUP(B2541, 'All Menu'!B:M, 3, 0)</f>
        <v>لحوم مشكوكة</v>
      </c>
      <c r="G2541" s="90" t="s">
        <v>3058</v>
      </c>
      <c r="H2541" s="188">
        <v>5035</v>
      </c>
      <c r="I2541" s="110" t="str">
        <f>VLOOKUP(H2541, 'RM &amp; SF'!B:H, 2, 0)</f>
        <v>*****صوص جبنة تشدر سيرنج 60 مل</v>
      </c>
      <c r="J2541" s="184" t="str">
        <f>VLOOKUP(H2541, 'RM &amp; SF'!B:E, 4, 0)</f>
        <v>قطعة</v>
      </c>
      <c r="K2541" s="12">
        <v>1</v>
      </c>
      <c r="L2541" s="13">
        <f>VLOOKUP(H2541, 'RM &amp; SF'!B:H, 7, 0)</f>
        <v>0.14000000000000001</v>
      </c>
      <c r="M2541" s="7">
        <f t="shared" si="132"/>
        <v>0.14000000000000001</v>
      </c>
      <c r="N2541" s="4" t="s">
        <v>825</v>
      </c>
      <c r="O2541" s="4">
        <f>VLOOKUP(B2541, 'All Menu'!B:L, 6, 0)</f>
        <v>2</v>
      </c>
      <c r="P2541" s="6">
        <f>VLOOKUP(B2541, 'All Menu'!B:L, 9, 0)</f>
        <v>0.23579365079365081</v>
      </c>
      <c r="Q2541" s="14">
        <f>VLOOKUP(B2541, 'All Menu'!B:M, 12, 0)</f>
        <v>0.88210317460317456</v>
      </c>
      <c r="R2541" s="173">
        <f t="shared" si="133"/>
        <v>0</v>
      </c>
    </row>
    <row r="2542" spans="1:18" ht="14" hidden="1">
      <c r="A2542" s="78" t="s">
        <v>2874</v>
      </c>
      <c r="B2542" s="220">
        <v>60025</v>
      </c>
      <c r="C2542" s="185"/>
      <c r="D2542" s="103" t="str">
        <f>VLOOKUP(B2542, 'All Menu'!B:M, 4, 0)</f>
        <v>ليه بلدي</v>
      </c>
      <c r="E2542" s="30" t="str">
        <f>VLOOKUP(B2542, 'All Menu'!B:M, 2, 0)</f>
        <v>قسم الملحمة</v>
      </c>
      <c r="F2542" s="103" t="str">
        <f>VLOOKUP(B2542, 'All Menu'!B:M, 3, 0)</f>
        <v>لحوم بلدية</v>
      </c>
      <c r="G2542" s="90" t="s">
        <v>3058</v>
      </c>
      <c r="H2542" s="188" t="s">
        <v>2149</v>
      </c>
      <c r="I2542" s="110" t="str">
        <f>VLOOKUP(H2542, 'RM &amp; SF'!B:H, 2, 0)</f>
        <v>لية ملحمه</v>
      </c>
      <c r="J2542" s="184" t="str">
        <f>VLOOKUP(H2542, 'RM &amp; SF'!B:E, 4, 0)</f>
        <v>غم</v>
      </c>
      <c r="K2542" s="12">
        <v>1000</v>
      </c>
      <c r="L2542" s="13">
        <f>VLOOKUP(H2542, 'RM &amp; SF'!B:H, 7, 0)</f>
        <v>5.0000000000000001E-3</v>
      </c>
      <c r="M2542" s="7">
        <f t="shared" si="132"/>
        <v>5</v>
      </c>
      <c r="N2542" s="4" t="s">
        <v>825</v>
      </c>
      <c r="O2542" s="4">
        <f>VLOOKUP(B2542, 'All Menu'!B:L, 6, 0)</f>
        <v>10</v>
      </c>
      <c r="P2542" s="6">
        <f>VLOOKUP(B2542, 'All Menu'!B:L, 9, 0)</f>
        <v>5</v>
      </c>
      <c r="Q2542" s="14">
        <f>VLOOKUP(B2542, 'All Menu'!B:M, 12, 0)</f>
        <v>0.5</v>
      </c>
      <c r="R2542" s="173">
        <f t="shared" si="133"/>
        <v>0</v>
      </c>
    </row>
    <row r="2543" spans="1:18" ht="14" hidden="1">
      <c r="A2543" s="78" t="s">
        <v>2840</v>
      </c>
      <c r="B2543" s="220">
        <v>50001</v>
      </c>
      <c r="C2543" s="185"/>
      <c r="D2543" s="103" t="str">
        <f>VLOOKUP(B2543, 'All Menu'!B:M, 4, 0)</f>
        <v>دجاج طازج</v>
      </c>
      <c r="E2543" s="30" t="str">
        <f>VLOOKUP(B2543, 'All Menu'!B:M, 2, 0)</f>
        <v>قسم الملحمة</v>
      </c>
      <c r="F2543" s="103" t="str">
        <f>VLOOKUP(B2543, 'All Menu'!B:M, 3, 0)</f>
        <v>دواجن</v>
      </c>
      <c r="G2543" s="90" t="s">
        <v>3058</v>
      </c>
      <c r="H2543" s="188">
        <v>4577</v>
      </c>
      <c r="I2543" s="110" t="str">
        <f>VLOOKUP(H2543, 'RM &amp; SF'!B:H, 2, 0)</f>
        <v>دجاج حب مع رقبة طازج للمشاغل 1100-1400غم*****</v>
      </c>
      <c r="J2543" s="184" t="str">
        <f>VLOOKUP(H2543, 'RM &amp; SF'!B:E, 4, 0)</f>
        <v>غم</v>
      </c>
      <c r="K2543" s="12">
        <v>1000</v>
      </c>
      <c r="L2543" s="13">
        <f>VLOOKUP(H2543, 'RM &amp; SF'!B:H, 7, 0)</f>
        <v>2.3400000000000001E-3</v>
      </c>
      <c r="M2543" s="7">
        <f t="shared" si="132"/>
        <v>2.34</v>
      </c>
      <c r="N2543" s="4" t="s">
        <v>825</v>
      </c>
      <c r="O2543" s="4">
        <f>VLOOKUP(B2543, 'All Menu'!B:L, 6, 0)</f>
        <v>2.75</v>
      </c>
      <c r="P2543" s="6">
        <f>VLOOKUP(B2543, 'All Menu'!B:L, 9, 0)</f>
        <v>2.34</v>
      </c>
      <c r="Q2543" s="14">
        <f>VLOOKUP(B2543, 'All Menu'!B:M, 12, 0)</f>
        <v>0.14909090909090914</v>
      </c>
      <c r="R2543" s="173">
        <f t="shared" si="133"/>
        <v>0</v>
      </c>
    </row>
    <row r="2544" spans="1:18" ht="14" hidden="1">
      <c r="A2544" s="78" t="s">
        <v>2844</v>
      </c>
      <c r="B2544" s="220">
        <v>50006</v>
      </c>
      <c r="C2544" s="185"/>
      <c r="D2544" s="103" t="str">
        <f>VLOOKUP(B2544, 'All Menu'!B:M, 4, 0)</f>
        <v>صدر دجاج مسحب مركزية</v>
      </c>
      <c r="E2544" s="30" t="str">
        <f>VLOOKUP(B2544, 'All Menu'!B:M, 2, 0)</f>
        <v>قسم الملحمة</v>
      </c>
      <c r="F2544" s="103" t="str">
        <f>VLOOKUP(B2544, 'All Menu'!B:M, 3, 0)</f>
        <v>دواجن</v>
      </c>
      <c r="G2544" s="90" t="s">
        <v>3058</v>
      </c>
      <c r="H2544" s="188">
        <v>5386</v>
      </c>
      <c r="I2544" s="110" t="str">
        <f>VLOOKUP(H2544, 'RM &amp; SF'!B:H, 2, 0)</f>
        <v>مسحب الطاحونة - طلبات مارت</v>
      </c>
      <c r="J2544" s="184" t="str">
        <f>VLOOKUP(H2544, 'RM &amp; SF'!B:E, 4, 0)</f>
        <v>غم</v>
      </c>
      <c r="K2544" s="12">
        <v>1000</v>
      </c>
      <c r="L2544" s="13">
        <f>VLOOKUP(H2544, 'RM &amp; SF'!B:H, 7, 0)</f>
        <v>4.2000000000000006E-3</v>
      </c>
      <c r="M2544" s="7">
        <f t="shared" si="132"/>
        <v>4.2</v>
      </c>
      <c r="N2544" s="4" t="s">
        <v>825</v>
      </c>
      <c r="O2544" s="4">
        <f>VLOOKUP(B2544, 'All Menu'!B:L, 6, 0)</f>
        <v>6</v>
      </c>
      <c r="P2544" s="6">
        <f>VLOOKUP(B2544, 'All Menu'!B:L, 9, 0)</f>
        <v>4.2</v>
      </c>
      <c r="Q2544" s="14">
        <f>VLOOKUP(B2544, 'All Menu'!B:M, 12, 0)</f>
        <v>0.3</v>
      </c>
      <c r="R2544" s="173">
        <f t="shared" si="133"/>
        <v>0</v>
      </c>
    </row>
    <row r="2545" spans="1:18" ht="14" hidden="1">
      <c r="A2545" s="78" t="s">
        <v>2846</v>
      </c>
      <c r="B2545" s="220">
        <v>50009</v>
      </c>
      <c r="C2545" s="185"/>
      <c r="D2545" s="103" t="str">
        <f>VLOOKUP(B2545, 'All Menu'!B:M, 4, 0)</f>
        <v>جناح دجاج طازج</v>
      </c>
      <c r="E2545" s="30" t="str">
        <f>VLOOKUP(B2545, 'All Menu'!B:M, 2, 0)</f>
        <v>قسم الملحمة</v>
      </c>
      <c r="F2545" s="103" t="str">
        <f>VLOOKUP(B2545, 'All Menu'!B:M, 3, 0)</f>
        <v>دواجن</v>
      </c>
      <c r="G2545" s="90" t="s">
        <v>2311</v>
      </c>
      <c r="H2545" s="188">
        <v>4583</v>
      </c>
      <c r="I2545" s="110" t="str">
        <f>VLOOKUP(H2545, 'RM &amp; SF'!B:H, 2, 0)</f>
        <v>اجنحة دجاج طازجة دلمونتي*****</v>
      </c>
      <c r="J2545" s="184" t="str">
        <f>VLOOKUP(H2545, 'RM &amp; SF'!B:E, 4, 0)</f>
        <v>غم</v>
      </c>
      <c r="K2545" s="12">
        <v>1000</v>
      </c>
      <c r="L2545" s="13">
        <f>VLOOKUP(H2545, 'RM &amp; SF'!B:H, 7, 0)</f>
        <v>1.8E-3</v>
      </c>
      <c r="M2545" s="7">
        <f t="shared" si="132"/>
        <v>1.8</v>
      </c>
      <c r="N2545" s="4" t="s">
        <v>825</v>
      </c>
      <c r="O2545" s="4">
        <f>VLOOKUP(B2545, 'All Menu'!B:L, 6, 0)</f>
        <v>3</v>
      </c>
      <c r="P2545" s="6">
        <f>VLOOKUP(B2545, 'All Menu'!B:L, 9, 0)</f>
        <v>1.8</v>
      </c>
      <c r="Q2545" s="14">
        <f>VLOOKUP(B2545, 'All Menu'!B:M, 12, 0)</f>
        <v>0.39999999999999997</v>
      </c>
      <c r="R2545" s="173">
        <f t="shared" si="133"/>
        <v>0</v>
      </c>
    </row>
    <row r="2546" spans="1:18" ht="14" hidden="1">
      <c r="A2546" s="78" t="s">
        <v>2511</v>
      </c>
      <c r="B2546" s="220">
        <v>50010</v>
      </c>
      <c r="C2546" s="185"/>
      <c r="D2546" s="103" t="str">
        <f>VLOOKUP(B2546, 'All Menu'!B:M, 4, 0)</f>
        <v>كبدة دجاج طازج</v>
      </c>
      <c r="E2546" s="30" t="str">
        <f>VLOOKUP(B2546, 'All Menu'!B:M, 2, 0)</f>
        <v>قسم الملحمة</v>
      </c>
      <c r="F2546" s="103" t="str">
        <f>VLOOKUP(B2546, 'All Menu'!B:M, 3, 0)</f>
        <v>دواجن</v>
      </c>
      <c r="G2546" s="90" t="s">
        <v>3058</v>
      </c>
      <c r="H2546" s="188">
        <v>4584</v>
      </c>
      <c r="I2546" s="110" t="str">
        <f>VLOOKUP(H2546, 'RM &amp; SF'!B:H, 2, 0)</f>
        <v>كبدة دجاج طازجة*****</v>
      </c>
      <c r="J2546" s="184" t="str">
        <f>VLOOKUP(H2546, 'RM &amp; SF'!B:E, 4, 0)</f>
        <v>غم</v>
      </c>
      <c r="K2546" s="12">
        <v>1000</v>
      </c>
      <c r="L2546" s="13">
        <f>VLOOKUP(H2546, 'RM &amp; SF'!B:H, 7, 0)</f>
        <v>1.2999999999999999E-3</v>
      </c>
      <c r="M2546" s="7">
        <f t="shared" si="132"/>
        <v>1.3</v>
      </c>
      <c r="N2546" s="4" t="s">
        <v>825</v>
      </c>
      <c r="O2546" s="4">
        <f>VLOOKUP(B2546, 'All Menu'!B:L, 6, 0)</f>
        <v>3</v>
      </c>
      <c r="P2546" s="6">
        <f>VLOOKUP(B2546, 'All Menu'!B:L, 9, 0)</f>
        <v>1.3</v>
      </c>
      <c r="Q2546" s="14">
        <f>VLOOKUP(B2546, 'All Menu'!B:M, 12, 0)</f>
        <v>0.56666666666666665</v>
      </c>
      <c r="R2546" s="173">
        <f t="shared" si="133"/>
        <v>0</v>
      </c>
    </row>
    <row r="2547" spans="1:18" ht="15.5" hidden="1">
      <c r="A2547" s="78" t="s">
        <v>3138</v>
      </c>
      <c r="B2547" s="220">
        <v>60018</v>
      </c>
      <c r="C2547" s="185"/>
      <c r="D2547" s="103" t="str">
        <f>VLOOKUP(B2547, 'All Menu'!B:M, 4, 0)</f>
        <v>فخد عجل مستورد</v>
      </c>
      <c r="E2547" s="30" t="str">
        <f>VLOOKUP(B2547, 'All Menu'!B:M, 2, 0)</f>
        <v>قسم الملحمة</v>
      </c>
      <c r="F2547" s="103" t="str">
        <f>VLOOKUP(B2547, 'All Menu'!B:M, 3, 0)</f>
        <v>لحوم مستوردة</v>
      </c>
      <c r="G2547" s="90" t="s">
        <v>3058</v>
      </c>
      <c r="H2547" s="112">
        <v>5373</v>
      </c>
      <c r="I2547" s="110" t="str">
        <f>VLOOKUP(H2547, 'RM &amp; SF'!B:H, 2, 0)</f>
        <v>قطعيات عجل مشكلة</v>
      </c>
      <c r="J2547" s="184" t="str">
        <f>VLOOKUP(H2547, 'RM &amp; SF'!B:E, 4, 0)</f>
        <v>غم</v>
      </c>
      <c r="K2547" s="12">
        <v>1000</v>
      </c>
      <c r="L2547" s="13">
        <f>VLOOKUP(H2547, 'RM &amp; SF'!B:H, 7, 0)</f>
        <v>9.0100000000000006E-3</v>
      </c>
      <c r="M2547" s="7">
        <f t="shared" si="132"/>
        <v>9.01</v>
      </c>
      <c r="N2547" s="4" t="s">
        <v>825</v>
      </c>
      <c r="O2547" s="4">
        <f>VLOOKUP(B2547, 'All Menu'!B:L, 6, 0)</f>
        <v>11</v>
      </c>
      <c r="P2547" s="6">
        <f>VLOOKUP(B2547, 'All Menu'!B:L, 9, 0)</f>
        <v>9.01</v>
      </c>
      <c r="Q2547" s="14">
        <f>VLOOKUP(B2547, 'All Menu'!B:M, 12, 0)</f>
        <v>0.18090909090909094</v>
      </c>
      <c r="R2547" s="173">
        <f t="shared" si="133"/>
        <v>0</v>
      </c>
    </row>
    <row r="2548" spans="1:18" ht="14" hidden="1">
      <c r="A2548" s="78" t="s">
        <v>3139</v>
      </c>
      <c r="B2548" s="220">
        <v>60021</v>
      </c>
      <c r="C2548" s="185"/>
      <c r="D2548" s="103" t="str">
        <f>VLOOKUP(B2548, 'All Menu'!B:M, 4, 0)</f>
        <v>فيليه عجل مستورد</v>
      </c>
      <c r="E2548" s="30" t="str">
        <f>VLOOKUP(B2548, 'All Menu'!B:M, 2, 0)</f>
        <v>قسم الملحمة</v>
      </c>
      <c r="F2548" s="103" t="str">
        <f>VLOOKUP(B2548, 'All Menu'!B:M, 3, 0)</f>
        <v>لحوم مستوردة</v>
      </c>
      <c r="G2548" s="90" t="s">
        <v>3058</v>
      </c>
      <c r="H2548" s="188">
        <v>5398</v>
      </c>
      <c r="I2548" s="110" t="str">
        <f>VLOOKUP(H2548, 'RM &amp; SF'!B:H, 2, 0)</f>
        <v xml:space="preserve">فيليه </v>
      </c>
      <c r="J2548" s="184" t="str">
        <f>VLOOKUP(H2548, 'RM &amp; SF'!B:E, 4, 0)</f>
        <v>غم</v>
      </c>
      <c r="K2548" s="12">
        <v>1000</v>
      </c>
      <c r="L2548" s="13">
        <f>VLOOKUP(H2548, 'RM &amp; SF'!B:H, 7, 0)</f>
        <v>2.1499999999999998E-2</v>
      </c>
      <c r="M2548" s="7">
        <f t="shared" si="132"/>
        <v>21.5</v>
      </c>
      <c r="N2548" s="4" t="s">
        <v>825</v>
      </c>
      <c r="O2548" s="4">
        <f>VLOOKUP(B2548, 'All Menu'!B:L, 6, 0)</f>
        <v>20</v>
      </c>
      <c r="P2548" s="6">
        <f>VLOOKUP(B2548, 'All Menu'!B:L, 9, 0)</f>
        <v>21.5</v>
      </c>
      <c r="Q2548" s="14">
        <f>VLOOKUP(B2548, 'All Menu'!B:M, 12, 0)</f>
        <v>-7.4999999999999997E-2</v>
      </c>
      <c r="R2548" s="173">
        <f t="shared" si="133"/>
        <v>0</v>
      </c>
    </row>
    <row r="2549" spans="1:18" ht="15.5" hidden="1">
      <c r="A2549" s="78" t="s">
        <v>3140</v>
      </c>
      <c r="B2549" s="220">
        <v>60022</v>
      </c>
      <c r="C2549" s="185"/>
      <c r="D2549" s="103" t="str">
        <f>VLOOKUP(B2549, 'All Menu'!B:M, 4, 0)</f>
        <v>لحم عجل مفروم مستورد</v>
      </c>
      <c r="E2549" s="30" t="str">
        <f>VLOOKUP(B2549, 'All Menu'!B:M, 2, 0)</f>
        <v>قسم الملحمة</v>
      </c>
      <c r="F2549" s="103" t="str">
        <f>VLOOKUP(B2549, 'All Menu'!B:M, 3, 0)</f>
        <v>لحوم مستوردة</v>
      </c>
      <c r="G2549" s="90" t="s">
        <v>3058</v>
      </c>
      <c r="H2549" s="112">
        <v>5373</v>
      </c>
      <c r="I2549" s="110" t="str">
        <f>VLOOKUP(H2549, 'RM &amp; SF'!B:H, 2, 0)</f>
        <v>قطعيات عجل مشكلة</v>
      </c>
      <c r="J2549" s="184" t="str">
        <f>VLOOKUP(H2549, 'RM &amp; SF'!B:E, 4, 0)</f>
        <v>غم</v>
      </c>
      <c r="K2549" s="12">
        <v>1000</v>
      </c>
      <c r="L2549" s="13">
        <f>VLOOKUP(H2549, 'RM &amp; SF'!B:H, 7, 0)</f>
        <v>9.0100000000000006E-3</v>
      </c>
      <c r="M2549" s="7">
        <f t="shared" si="132"/>
        <v>9.01</v>
      </c>
      <c r="N2549" s="4" t="s">
        <v>825</v>
      </c>
      <c r="O2549" s="4">
        <f>VLOOKUP(B2549, 'All Menu'!B:L, 6, 0)</f>
        <v>10</v>
      </c>
      <c r="P2549" s="6">
        <f>VLOOKUP(B2549, 'All Menu'!B:L, 9, 0)</f>
        <v>9.01</v>
      </c>
      <c r="Q2549" s="14">
        <f>VLOOKUP(B2549, 'All Menu'!B:M, 12, 0)</f>
        <v>9.9000000000000019E-2</v>
      </c>
      <c r="R2549" s="173">
        <f t="shared" si="133"/>
        <v>0</v>
      </c>
    </row>
    <row r="2550" spans="1:18" ht="14" hidden="1">
      <c r="A2550" s="78" t="s">
        <v>2870</v>
      </c>
      <c r="B2550" s="220">
        <v>60006</v>
      </c>
      <c r="C2550" s="185"/>
      <c r="D2550" s="193" t="str">
        <f>VLOOKUP(B2550, 'All Menu'!B:M, 4, 0)</f>
        <v>خاروف روماني</v>
      </c>
      <c r="E2550" s="30" t="str">
        <f>VLOOKUP(B2550, 'All Menu'!B:M, 2, 0)</f>
        <v>قسم الملحمة</v>
      </c>
      <c r="F2550" s="103" t="str">
        <f>VLOOKUP(B2550, 'All Menu'!B:M, 3, 0)</f>
        <v>لحوم مستوردة</v>
      </c>
      <c r="G2550" s="90" t="s">
        <v>3058</v>
      </c>
      <c r="H2550" s="188" t="s">
        <v>2146</v>
      </c>
      <c r="I2550" s="110" t="str">
        <f>VLOOKUP(H2550, 'RM &amp; SF'!B:H, 2, 0)</f>
        <v xml:space="preserve"> خروف روماني</v>
      </c>
      <c r="J2550" s="184" t="str">
        <f>VLOOKUP(H2550, 'RM &amp; SF'!B:E, 4, 0)</f>
        <v>غم</v>
      </c>
      <c r="K2550" s="12">
        <v>1000</v>
      </c>
      <c r="L2550" s="13">
        <f>VLOOKUP(H2550, 'RM &amp; SF'!B:H, 7, 0)</f>
        <v>1.1039193820514564E-2</v>
      </c>
      <c r="M2550" s="7">
        <f t="shared" si="132"/>
        <v>11.039193820514564</v>
      </c>
      <c r="N2550" s="4" t="s">
        <v>825</v>
      </c>
      <c r="O2550" s="4">
        <f>VLOOKUP(B2550, 'All Menu'!B:L, 6, 0)</f>
        <v>11.5</v>
      </c>
      <c r="P2550" s="6">
        <f>VLOOKUP(B2550, 'All Menu'!B:L, 9, 0)</f>
        <v>11.039193820514564</v>
      </c>
      <c r="Q2550" s="14">
        <f>VLOOKUP(B2550, 'All Menu'!B:M, 12, 0)</f>
        <v>4.0070102563950966E-2</v>
      </c>
      <c r="R2550" s="173">
        <f t="shared" si="133"/>
        <v>0</v>
      </c>
    </row>
    <row r="2551" spans="1:18" ht="14" hidden="1">
      <c r="A2551" s="78" t="s">
        <v>3149</v>
      </c>
      <c r="B2551" s="220">
        <v>60059</v>
      </c>
      <c r="C2551" s="185"/>
      <c r="D2551" s="103" t="str">
        <f>VLOOKUP(B2551, 'All Menu'!B:M, 4, 0)</f>
        <v>روماني بدون قص</v>
      </c>
      <c r="E2551" s="30" t="str">
        <f>VLOOKUP(B2551, 'All Menu'!B:M, 2, 0)</f>
        <v>قسم الملحمة</v>
      </c>
      <c r="F2551" s="103" t="str">
        <f>VLOOKUP(B2551, 'All Menu'!B:M, 3, 0)</f>
        <v>لحوم مستوردة</v>
      </c>
      <c r="G2551" s="90" t="s">
        <v>3058</v>
      </c>
      <c r="H2551" s="188" t="s">
        <v>2146</v>
      </c>
      <c r="I2551" s="110" t="str">
        <f>VLOOKUP(H2551, 'RM &amp; SF'!B:H, 2, 0)</f>
        <v xml:space="preserve"> خروف روماني</v>
      </c>
      <c r="J2551" s="184" t="str">
        <f>VLOOKUP(H2551, 'RM &amp; SF'!B:E, 4, 0)</f>
        <v>غم</v>
      </c>
      <c r="K2551" s="12">
        <v>1000</v>
      </c>
      <c r="L2551" s="13">
        <f>VLOOKUP(H2551, 'RM &amp; SF'!B:H, 7, 0)</f>
        <v>1.1039193820514564E-2</v>
      </c>
      <c r="M2551" s="7">
        <f t="shared" si="132"/>
        <v>11.039193820514564</v>
      </c>
      <c r="N2551" s="4" t="s">
        <v>825</v>
      </c>
      <c r="O2551" s="4">
        <f>VLOOKUP(B2551, 'All Menu'!B:L, 6, 0)</f>
        <v>12</v>
      </c>
      <c r="P2551" s="6">
        <f>VLOOKUP(B2551, 'All Menu'!B:L, 9, 0)</f>
        <v>11.039193820514564</v>
      </c>
      <c r="Q2551" s="14">
        <f>VLOOKUP(B2551, 'All Menu'!B:M, 12, 0)</f>
        <v>8.0067181623786343E-2</v>
      </c>
      <c r="R2551" s="173">
        <f t="shared" si="133"/>
        <v>0</v>
      </c>
    </row>
    <row r="2552" spans="1:18" s="79" customFormat="1" ht="14" hidden="1">
      <c r="A2552" s="78" t="s">
        <v>3128</v>
      </c>
      <c r="B2552" s="220">
        <v>60007</v>
      </c>
      <c r="C2552" s="185"/>
      <c r="D2552" s="148" t="str">
        <f>VLOOKUP(B2552, 'All Menu'!B:M, 4, 0)</f>
        <v>خاروف روماني 11.5</v>
      </c>
      <c r="E2552" s="30" t="str">
        <f>VLOOKUP(B2552, 'All Menu'!B:M, 2, 0)</f>
        <v>قسم الملحمة</v>
      </c>
      <c r="F2552" s="103" t="str">
        <f>VLOOKUP(B2552, 'All Menu'!B:M, 3, 0)</f>
        <v>لحوم مستوردة</v>
      </c>
      <c r="G2552" s="90" t="s">
        <v>3058</v>
      </c>
      <c r="H2552" s="229" t="s">
        <v>2146</v>
      </c>
      <c r="I2552" s="110" t="str">
        <f>VLOOKUP(H2552, 'RM &amp; SF'!B:H, 2, 0)</f>
        <v xml:space="preserve"> خروف روماني</v>
      </c>
      <c r="J2552" s="184" t="str">
        <f>VLOOKUP(H2552, 'RM &amp; SF'!B:E, 4, 0)</f>
        <v>غم</v>
      </c>
      <c r="K2552" s="138">
        <v>1000</v>
      </c>
      <c r="L2552" s="13">
        <f>VLOOKUP(H2552, 'RM &amp; SF'!B:H, 7, 0)</f>
        <v>1.1039193820514564E-2</v>
      </c>
      <c r="M2552" s="139">
        <f t="shared" si="132"/>
        <v>11.039193820514564</v>
      </c>
      <c r="N2552" s="134" t="s">
        <v>825</v>
      </c>
      <c r="O2552" s="134">
        <f>VLOOKUP(B2552, 'All Menu'!B:L, 6, 0)</f>
        <v>12.5</v>
      </c>
      <c r="P2552" s="136">
        <f>VLOOKUP(B2552, 'All Menu'!B:L, 9, 0)</f>
        <v>11.039193820514564</v>
      </c>
      <c r="Q2552" s="137">
        <f>VLOOKUP(B2552, 'All Menu'!B:M, 12, 0)</f>
        <v>0.11686449435883489</v>
      </c>
      <c r="R2552" s="176">
        <f t="shared" si="133"/>
        <v>0</v>
      </c>
    </row>
    <row r="2553" spans="1:18" s="79" customFormat="1" ht="14" hidden="1">
      <c r="A2553" s="78" t="s">
        <v>3129</v>
      </c>
      <c r="B2553" s="220">
        <v>60008</v>
      </c>
      <c r="C2553" s="185"/>
      <c r="D2553" s="148" t="str">
        <f>VLOOKUP(B2553, 'All Menu'!B:M, 4, 0)</f>
        <v>خاروف روماني 11</v>
      </c>
      <c r="E2553" s="30" t="str">
        <f>VLOOKUP(B2553, 'All Menu'!B:M, 2, 0)</f>
        <v>قسم الملحمة</v>
      </c>
      <c r="F2553" s="103" t="str">
        <f>VLOOKUP(B2553, 'All Menu'!B:M, 3, 0)</f>
        <v>لحوم مستوردة</v>
      </c>
      <c r="G2553" s="90" t="s">
        <v>3058</v>
      </c>
      <c r="H2553" s="229" t="s">
        <v>2146</v>
      </c>
      <c r="I2553" s="110" t="str">
        <f>VLOOKUP(H2553, 'RM &amp; SF'!B:H, 2, 0)</f>
        <v xml:space="preserve"> خروف روماني</v>
      </c>
      <c r="J2553" s="184" t="str">
        <f>VLOOKUP(H2553, 'RM &amp; SF'!B:E, 4, 0)</f>
        <v>غم</v>
      </c>
      <c r="K2553" s="138">
        <v>1000</v>
      </c>
      <c r="L2553" s="13">
        <f>VLOOKUP(H2553, 'RM &amp; SF'!B:H, 7, 0)</f>
        <v>1.1039193820514564E-2</v>
      </c>
      <c r="M2553" s="139">
        <f t="shared" si="132"/>
        <v>11.039193820514564</v>
      </c>
      <c r="N2553" s="134" t="s">
        <v>825</v>
      </c>
      <c r="O2553" s="134">
        <f>VLOOKUP(B2553, 'All Menu'!B:L, 6, 0)</f>
        <v>11</v>
      </c>
      <c r="P2553" s="136">
        <f>VLOOKUP(B2553, 'All Menu'!B:L, 9, 0)</f>
        <v>11.039193820514564</v>
      </c>
      <c r="Q2553" s="137">
        <f>VLOOKUP(B2553, 'All Menu'!B:M, 12, 0)</f>
        <v>-3.5630745922330801E-3</v>
      </c>
      <c r="R2553" s="176">
        <f t="shared" si="133"/>
        <v>0</v>
      </c>
    </row>
    <row r="2554" spans="1:18" ht="14" hidden="1">
      <c r="A2554" s="78" t="s">
        <v>3127</v>
      </c>
      <c r="B2554" s="220">
        <v>60003</v>
      </c>
      <c r="C2554" s="185"/>
      <c r="D2554" s="103" t="str">
        <f>VLOOKUP(B2554, 'All Menu'!B:M, 4, 0)</f>
        <v>خاروف بلدي مفصل 16</v>
      </c>
      <c r="E2554" s="30" t="str">
        <f>VLOOKUP(B2554, 'All Menu'!B:M, 2, 0)</f>
        <v>قسم الملحمة</v>
      </c>
      <c r="F2554" s="103" t="str">
        <f>VLOOKUP(B2554, 'All Menu'!B:M, 3, 0)</f>
        <v>لحوم بلدية</v>
      </c>
      <c r="G2554" s="90" t="s">
        <v>3058</v>
      </c>
      <c r="H2554" s="188" t="s">
        <v>2147</v>
      </c>
      <c r="I2554" s="110" t="str">
        <f>VLOOKUP(H2554, 'RM &amp; SF'!B:H, 2, 0)</f>
        <v>لحمة قطع نية بالكيلو*****</v>
      </c>
      <c r="J2554" s="184" t="str">
        <f>VLOOKUP(H2554, 'RM &amp; SF'!B:E, 4, 0)</f>
        <v>غم</v>
      </c>
      <c r="K2554" s="12">
        <v>1000</v>
      </c>
      <c r="L2554" s="13">
        <f>VLOOKUP(H2554, 'RM &amp; SF'!B:H, 7, 0)</f>
        <v>1.1039193820514564E-2</v>
      </c>
      <c r="M2554" s="7">
        <f t="shared" si="132"/>
        <v>11.039193820514564</v>
      </c>
      <c r="N2554" s="4" t="s">
        <v>825</v>
      </c>
      <c r="O2554" s="4">
        <f>VLOOKUP(B2554, 'All Menu'!B:L, 6, 0)</f>
        <v>13.5</v>
      </c>
      <c r="P2554" s="6">
        <f>VLOOKUP(B2554, 'All Menu'!B:L, 9, 0)</f>
        <v>11.039193820514564</v>
      </c>
      <c r="Q2554" s="14">
        <f>VLOOKUP(B2554, 'All Menu'!B:M, 12, 0)</f>
        <v>0.18228193922114341</v>
      </c>
      <c r="R2554" s="173">
        <f t="shared" si="133"/>
        <v>0</v>
      </c>
    </row>
    <row r="2555" spans="1:18" ht="14" hidden="1">
      <c r="A2555" s="78" t="s">
        <v>2868</v>
      </c>
      <c r="B2555" s="220">
        <v>60004</v>
      </c>
      <c r="C2555" s="185"/>
      <c r="D2555" s="103" t="str">
        <f>VLOOKUP(B2555, 'All Menu'!B:M, 4, 0)</f>
        <v>خاروف بلدي منظف 16</v>
      </c>
      <c r="E2555" s="30" t="str">
        <f>VLOOKUP(B2555, 'All Menu'!B:M, 2, 0)</f>
        <v>قسم الملحمة</v>
      </c>
      <c r="F2555" s="103" t="str">
        <f>VLOOKUP(B2555, 'All Menu'!B:M, 3, 0)</f>
        <v>لحوم بلدية</v>
      </c>
      <c r="G2555" s="90" t="s">
        <v>3058</v>
      </c>
      <c r="H2555" s="188" t="s">
        <v>2147</v>
      </c>
      <c r="I2555" s="110" t="str">
        <f>VLOOKUP(H2555, 'RM &amp; SF'!B:H, 2, 0)</f>
        <v>لحمة قطع نية بالكيلو*****</v>
      </c>
      <c r="J2555" s="184" t="str">
        <f>VLOOKUP(H2555, 'RM &amp; SF'!B:E, 4, 0)</f>
        <v>غم</v>
      </c>
      <c r="K2555" s="12">
        <v>1000</v>
      </c>
      <c r="L2555" s="13">
        <f>VLOOKUP(H2555, 'RM &amp; SF'!B:H, 7, 0)</f>
        <v>1.1039193820514564E-2</v>
      </c>
      <c r="M2555" s="7">
        <f t="shared" si="132"/>
        <v>11.039193820514564</v>
      </c>
      <c r="N2555" s="4" t="s">
        <v>825</v>
      </c>
      <c r="O2555" s="4">
        <f>VLOOKUP(B2555, 'All Menu'!B:L, 6, 0)</f>
        <v>16</v>
      </c>
      <c r="P2555" s="6">
        <f>VLOOKUP(B2555, 'All Menu'!B:L, 9, 0)</f>
        <v>11.039193820514564</v>
      </c>
      <c r="Q2555" s="14">
        <f>VLOOKUP(B2555, 'All Menu'!B:M, 12, 0)</f>
        <v>0.31005038621783976</v>
      </c>
      <c r="R2555" s="173">
        <f t="shared" si="133"/>
        <v>0</v>
      </c>
    </row>
    <row r="2556" spans="1:18" ht="14" hidden="1">
      <c r="A2556" s="78" t="s">
        <v>2869</v>
      </c>
      <c r="B2556" s="220">
        <v>60005</v>
      </c>
      <c r="C2556" s="185"/>
      <c r="D2556" s="103" t="str">
        <f>VLOOKUP(B2556, 'All Menu'!B:M, 4, 0)</f>
        <v>خاروف بلدي مجروم 20</v>
      </c>
      <c r="E2556" s="30" t="str">
        <f>VLOOKUP(B2556, 'All Menu'!B:M, 2, 0)</f>
        <v>قسم الملحمة</v>
      </c>
      <c r="F2556" s="103" t="str">
        <f>VLOOKUP(B2556, 'All Menu'!B:M, 3, 0)</f>
        <v>لحوم بلدية</v>
      </c>
      <c r="G2556" s="90" t="s">
        <v>3058</v>
      </c>
      <c r="H2556" s="188" t="s">
        <v>2147</v>
      </c>
      <c r="I2556" s="110" t="str">
        <f>VLOOKUP(H2556, 'RM &amp; SF'!B:H, 2, 0)</f>
        <v>لحمة قطع نية بالكيلو*****</v>
      </c>
      <c r="J2556" s="184" t="str">
        <f>VLOOKUP(H2556, 'RM &amp; SF'!B:E, 4, 0)</f>
        <v>غم</v>
      </c>
      <c r="K2556" s="12">
        <v>1000</v>
      </c>
      <c r="L2556" s="13">
        <f>VLOOKUP(H2556, 'RM &amp; SF'!B:H, 7, 0)</f>
        <v>1.1039193820514564E-2</v>
      </c>
      <c r="M2556" s="7">
        <f t="shared" si="132"/>
        <v>11.039193820514564</v>
      </c>
      <c r="N2556" s="4" t="s">
        <v>825</v>
      </c>
      <c r="O2556" s="4">
        <f>VLOOKUP(B2556, 'All Menu'!B:L, 6, 0)</f>
        <v>24</v>
      </c>
      <c r="P2556" s="6">
        <f>VLOOKUP(B2556, 'All Menu'!B:L, 9, 0)</f>
        <v>11.039193820514564</v>
      </c>
      <c r="Q2556" s="14">
        <f>VLOOKUP(B2556, 'All Menu'!B:M, 12, 0)</f>
        <v>0.54003359081189317</v>
      </c>
      <c r="R2556" s="173">
        <f t="shared" si="133"/>
        <v>0</v>
      </c>
    </row>
    <row r="2557" spans="1:18" ht="14" hidden="1">
      <c r="A2557" s="78" t="s">
        <v>3130</v>
      </c>
      <c r="B2557" s="220">
        <v>60009</v>
      </c>
      <c r="C2557" s="185"/>
      <c r="D2557" s="103" t="str">
        <f>VLOOKUP(B2557, 'All Menu'!B:M, 4, 0)</f>
        <v>خاروف قص بلدي 11</v>
      </c>
      <c r="E2557" s="30" t="str">
        <f>VLOOKUP(B2557, 'All Menu'!B:M, 2, 0)</f>
        <v>قسم الملحمة</v>
      </c>
      <c r="F2557" s="103" t="str">
        <f>VLOOKUP(B2557, 'All Menu'!B:M, 3, 0)</f>
        <v>لحوم بلدية</v>
      </c>
      <c r="G2557" s="90" t="s">
        <v>3058</v>
      </c>
      <c r="H2557" s="188" t="s">
        <v>2148</v>
      </c>
      <c r="I2557" s="110" t="str">
        <f>VLOOKUP(H2557, 'RM &amp; SF'!B:H, 2, 0)</f>
        <v>أضلاع خروف (قص خروف) مع عظم بلدي*****</v>
      </c>
      <c r="J2557" s="184" t="str">
        <f>VLOOKUP(H2557, 'RM &amp; SF'!B:E, 4, 0)</f>
        <v>غم</v>
      </c>
      <c r="K2557" s="12">
        <v>1000</v>
      </c>
      <c r="L2557" s="13">
        <f>VLOOKUP(H2557, 'RM &amp; SF'!B:H, 7, 0)</f>
        <v>1.1039193820514564E-2</v>
      </c>
      <c r="M2557" s="7">
        <f t="shared" si="132"/>
        <v>11.039193820514564</v>
      </c>
      <c r="N2557" s="4" t="s">
        <v>825</v>
      </c>
      <c r="O2557" s="4">
        <f>VLOOKUP(B2557, 'All Menu'!B:L, 6, 0)</f>
        <v>11</v>
      </c>
      <c r="P2557" s="6">
        <f>VLOOKUP(B2557, 'All Menu'!B:L, 9, 0)</f>
        <v>11.039193820514564</v>
      </c>
      <c r="Q2557" s="14">
        <f>VLOOKUP(B2557, 'All Menu'!B:M, 12, 0)</f>
        <v>-3.5630745922330801E-3</v>
      </c>
      <c r="R2557" s="173">
        <f t="shared" si="133"/>
        <v>0</v>
      </c>
    </row>
    <row r="2558" spans="1:18" ht="14" hidden="1">
      <c r="A2558" s="78" t="s">
        <v>3125</v>
      </c>
      <c r="B2558" s="220">
        <v>60001</v>
      </c>
      <c r="C2558" s="185"/>
      <c r="D2558" s="103" t="str">
        <f>VLOOKUP(B2558, 'All Menu'!B:M, 4, 0)</f>
        <v>خاروف بلدي 13.5</v>
      </c>
      <c r="E2558" s="30" t="str">
        <f>VLOOKUP(B2558, 'All Menu'!B:M, 2, 0)</f>
        <v>قسم الملحمة</v>
      </c>
      <c r="F2558" s="103" t="str">
        <f>VLOOKUP(B2558, 'All Menu'!B:M, 3, 0)</f>
        <v>لحوم بلدية</v>
      </c>
      <c r="G2558" s="90" t="s">
        <v>3058</v>
      </c>
      <c r="H2558" s="188">
        <v>5315</v>
      </c>
      <c r="I2558" s="110" t="str">
        <f>VLOOKUP(H2558, 'RM &amp; SF'!B:H, 2, 0)</f>
        <v>خاروف بلدي صغير</v>
      </c>
      <c r="J2558" s="184" t="str">
        <f>VLOOKUP(H2558, 'RM &amp; SF'!B:E, 4, 0)</f>
        <v>غم</v>
      </c>
      <c r="K2558" s="12">
        <v>1000</v>
      </c>
      <c r="L2558" s="13">
        <f>VLOOKUP(H2558, 'RM &amp; SF'!B:H, 7, 0)</f>
        <v>1.15E-2</v>
      </c>
      <c r="M2558" s="7">
        <f t="shared" si="132"/>
        <v>11.5</v>
      </c>
      <c r="N2558" s="4" t="s">
        <v>825</v>
      </c>
      <c r="O2558" s="4">
        <f>VLOOKUP(B2558, 'All Menu'!B:L, 6, 0)</f>
        <v>13.5</v>
      </c>
      <c r="P2558" s="6">
        <f>VLOOKUP(B2558, 'All Menu'!B:L, 9, 0)</f>
        <v>11.5</v>
      </c>
      <c r="Q2558" s="14">
        <f>VLOOKUP(B2558, 'All Menu'!B:M, 12, 0)</f>
        <v>0.14814814814814814</v>
      </c>
      <c r="R2558" s="173">
        <f t="shared" si="133"/>
        <v>0</v>
      </c>
    </row>
    <row r="2559" spans="1:18" ht="14" hidden="1">
      <c r="A2559" s="78" t="s">
        <v>3126</v>
      </c>
      <c r="B2559" s="220">
        <v>60002</v>
      </c>
      <c r="C2559" s="185"/>
      <c r="D2559" s="103" t="str">
        <f>VLOOKUP(B2559, 'All Menu'!B:M, 4, 0)</f>
        <v>خاروف بلدي 13.5</v>
      </c>
      <c r="E2559" s="30" t="str">
        <f>VLOOKUP(B2559, 'All Menu'!B:M, 2, 0)</f>
        <v>قسم الملحمة</v>
      </c>
      <c r="F2559" s="103" t="str">
        <f>VLOOKUP(B2559, 'All Menu'!B:M, 3, 0)</f>
        <v>لحوم بلدية</v>
      </c>
      <c r="G2559" s="90" t="s">
        <v>3058</v>
      </c>
      <c r="H2559" s="188">
        <v>5315</v>
      </c>
      <c r="I2559" s="110" t="str">
        <f>VLOOKUP(H2559, 'RM &amp; SF'!B:H, 2, 0)</f>
        <v>خاروف بلدي صغير</v>
      </c>
      <c r="J2559" s="184" t="str">
        <f>VLOOKUP(H2559, 'RM &amp; SF'!B:E, 4, 0)</f>
        <v>غم</v>
      </c>
      <c r="K2559" s="12">
        <v>1000</v>
      </c>
      <c r="L2559" s="13">
        <f>VLOOKUP(H2559, 'RM &amp; SF'!B:H, 7, 0)</f>
        <v>1.15E-2</v>
      </c>
      <c r="M2559" s="7">
        <f t="shared" si="132"/>
        <v>11.5</v>
      </c>
      <c r="N2559" s="4" t="s">
        <v>825</v>
      </c>
      <c r="O2559" s="4">
        <f>VLOOKUP(B2559, 'All Menu'!B:L, 6, 0)</f>
        <v>12.5</v>
      </c>
      <c r="P2559" s="6">
        <f>VLOOKUP(B2559, 'All Menu'!B:L, 9, 0)</f>
        <v>11.5</v>
      </c>
      <c r="Q2559" s="14">
        <f>VLOOKUP(B2559, 'All Menu'!B:M, 12, 0)</f>
        <v>0.08</v>
      </c>
      <c r="R2559" s="173">
        <f t="shared" si="133"/>
        <v>0</v>
      </c>
    </row>
    <row r="2560" spans="1:18" ht="14" hidden="1">
      <c r="A2560" s="78" t="s">
        <v>2848</v>
      </c>
      <c r="B2560" s="220">
        <v>50018</v>
      </c>
      <c r="C2560" s="185"/>
      <c r="D2560" s="103" t="str">
        <f>VLOOKUP(B2560, 'All Menu'!B:M, 4, 0)</f>
        <v>معلاق طازج</v>
      </c>
      <c r="E2560" s="30" t="str">
        <f>VLOOKUP(B2560, 'All Menu'!B:M, 2, 0)</f>
        <v>قسم الملحمة</v>
      </c>
      <c r="F2560" s="103" t="str">
        <f>VLOOKUP(B2560, 'All Menu'!B:M, 3, 0)</f>
        <v>سقط</v>
      </c>
      <c r="G2560" s="90" t="s">
        <v>3058</v>
      </c>
      <c r="H2560" s="188">
        <v>5318</v>
      </c>
      <c r="I2560" s="110" t="str">
        <f>VLOOKUP(H2560, 'RM &amp; SF'!B:H, 2, 0)</f>
        <v>معلاق</v>
      </c>
      <c r="J2560" s="184" t="str">
        <f>VLOOKUP(H2560, 'RM &amp; SF'!B:E, 4, 0)</f>
        <v>قطعة</v>
      </c>
      <c r="K2560" s="12">
        <v>1</v>
      </c>
      <c r="L2560" s="13">
        <f>VLOOKUP(H2560, 'RM &amp; SF'!B:H, 7, 0)</f>
        <v>4.5</v>
      </c>
      <c r="M2560" s="7">
        <f t="shared" si="132"/>
        <v>4.5</v>
      </c>
      <c r="N2560" s="4" t="s">
        <v>825</v>
      </c>
      <c r="O2560" s="4">
        <f>VLOOKUP(B2560, 'All Menu'!B:L, 6, 0)</f>
        <v>8</v>
      </c>
      <c r="P2560" s="6">
        <f>VLOOKUP(B2560, 'All Menu'!B:L, 9, 0)</f>
        <v>4.5</v>
      </c>
      <c r="Q2560" s="14">
        <f>VLOOKUP(B2560, 'All Menu'!B:M, 12, 0)</f>
        <v>0.4375</v>
      </c>
      <c r="R2560" s="173">
        <f t="shared" si="133"/>
        <v>0</v>
      </c>
    </row>
    <row r="2561" spans="1:18" ht="14" hidden="1">
      <c r="A2561" s="78" t="s">
        <v>2850</v>
      </c>
      <c r="B2561" s="220">
        <v>50020</v>
      </c>
      <c r="C2561" s="185"/>
      <c r="D2561" s="103" t="str">
        <f>VLOOKUP(B2561, 'All Menu'!B:M, 4, 0)</f>
        <v>طحل خاروف طازج</v>
      </c>
      <c r="E2561" s="30" t="str">
        <f>VLOOKUP(B2561, 'All Menu'!B:M, 2, 0)</f>
        <v>قسم الملحمة</v>
      </c>
      <c r="F2561" s="103" t="str">
        <f>VLOOKUP(B2561, 'All Menu'!B:M, 3, 0)</f>
        <v>سقط</v>
      </c>
      <c r="G2561" s="90" t="s">
        <v>3058</v>
      </c>
      <c r="H2561" s="188">
        <v>5318</v>
      </c>
      <c r="I2561" s="110" t="str">
        <f>VLOOKUP(H2561, 'RM &amp; SF'!B:H, 2, 0)</f>
        <v>معلاق</v>
      </c>
      <c r="J2561" s="184" t="str">
        <f>VLOOKUP(H2561, 'RM &amp; SF'!B:E, 4, 0)</f>
        <v>قطعة</v>
      </c>
      <c r="K2561" s="12">
        <v>1</v>
      </c>
      <c r="L2561" s="13">
        <f>VLOOKUP(H2561, 'RM &amp; SF'!B:H, 7, 0)</f>
        <v>4.5</v>
      </c>
      <c r="M2561" s="7">
        <f t="shared" si="132"/>
        <v>4.5</v>
      </c>
      <c r="N2561" s="4" t="s">
        <v>825</v>
      </c>
      <c r="O2561" s="4">
        <f>VLOOKUP(B2561, 'All Menu'!B:L, 6, 0)</f>
        <v>8</v>
      </c>
      <c r="P2561" s="6">
        <f>VLOOKUP(B2561, 'All Menu'!B:L, 9, 0)</f>
        <v>4.5</v>
      </c>
      <c r="Q2561" s="14">
        <f>VLOOKUP(B2561, 'All Menu'!B:M, 12, 0)</f>
        <v>0.4375</v>
      </c>
      <c r="R2561" s="173">
        <f t="shared" si="133"/>
        <v>0</v>
      </c>
    </row>
    <row r="2562" spans="1:18" ht="14" hidden="1">
      <c r="A2562" s="78" t="s">
        <v>2852</v>
      </c>
      <c r="B2562" s="220">
        <v>50022</v>
      </c>
      <c r="C2562" s="185"/>
      <c r="D2562" s="103" t="str">
        <f>VLOOKUP(B2562, 'All Menu'!B:M, 4, 0)</f>
        <v>كلاوي خاروف طازج</v>
      </c>
      <c r="E2562" s="30" t="str">
        <f>VLOOKUP(B2562, 'All Menu'!B:M, 2, 0)</f>
        <v>قسم الملحمة</v>
      </c>
      <c r="F2562" s="103" t="str">
        <f>VLOOKUP(B2562, 'All Menu'!B:M, 3, 0)</f>
        <v>سقط</v>
      </c>
      <c r="G2562" s="90" t="s">
        <v>3058</v>
      </c>
      <c r="H2562" s="188">
        <v>5318</v>
      </c>
      <c r="I2562" s="110" t="str">
        <f>VLOOKUP(H2562, 'RM &amp; SF'!B:H, 2, 0)</f>
        <v>معلاق</v>
      </c>
      <c r="J2562" s="184" t="str">
        <f>VLOOKUP(H2562, 'RM &amp; SF'!B:E, 4, 0)</f>
        <v>قطعة</v>
      </c>
      <c r="K2562" s="12">
        <v>1</v>
      </c>
      <c r="L2562" s="13">
        <f>VLOOKUP(H2562, 'RM &amp; SF'!B:H, 7, 0)</f>
        <v>4.5</v>
      </c>
      <c r="M2562" s="7">
        <f t="shared" si="132"/>
        <v>4.5</v>
      </c>
      <c r="N2562" s="4" t="s">
        <v>825</v>
      </c>
      <c r="O2562" s="4">
        <f>VLOOKUP(B2562, 'All Menu'!B:L, 6, 0)</f>
        <v>7</v>
      </c>
      <c r="P2562" s="6">
        <f>VLOOKUP(B2562, 'All Menu'!B:L, 9, 0)</f>
        <v>4.5</v>
      </c>
      <c r="Q2562" s="14">
        <f>VLOOKUP(B2562, 'All Menu'!B:M, 12, 0)</f>
        <v>0.35714285714285715</v>
      </c>
      <c r="R2562" s="173">
        <f t="shared" si="133"/>
        <v>0</v>
      </c>
    </row>
    <row r="2563" spans="1:18" ht="14" hidden="1">
      <c r="A2563" s="78" t="s">
        <v>2853</v>
      </c>
      <c r="B2563" s="220">
        <v>50023</v>
      </c>
      <c r="C2563" s="185"/>
      <c r="D2563" s="103" t="str">
        <f>VLOOKUP(B2563, 'All Menu'!B:M, 4, 0)</f>
        <v>خصاوي خاروف طازج</v>
      </c>
      <c r="E2563" s="30" t="str">
        <f>VLOOKUP(B2563, 'All Menu'!B:M, 2, 0)</f>
        <v>قسم الملحمة</v>
      </c>
      <c r="F2563" s="103" t="str">
        <f>VLOOKUP(B2563, 'All Menu'!B:M, 3, 0)</f>
        <v>سقط</v>
      </c>
      <c r="G2563" s="90" t="s">
        <v>3058</v>
      </c>
      <c r="H2563" s="188">
        <v>5318</v>
      </c>
      <c r="I2563" s="110" t="str">
        <f>VLOOKUP(H2563, 'RM &amp; SF'!B:H, 2, 0)</f>
        <v>معلاق</v>
      </c>
      <c r="J2563" s="184" t="str">
        <f>VLOOKUP(H2563, 'RM &amp; SF'!B:E, 4, 0)</f>
        <v>قطعة</v>
      </c>
      <c r="K2563" s="12">
        <v>1</v>
      </c>
      <c r="L2563" s="13">
        <f>VLOOKUP(H2563, 'RM &amp; SF'!B:H, 7, 0)</f>
        <v>4.5</v>
      </c>
      <c r="M2563" s="7">
        <f t="shared" si="132"/>
        <v>4.5</v>
      </c>
      <c r="N2563" s="4" t="s">
        <v>825</v>
      </c>
      <c r="O2563" s="4">
        <f>VLOOKUP(B2563, 'All Menu'!B:L, 6, 0)</f>
        <v>8</v>
      </c>
      <c r="P2563" s="6">
        <f>VLOOKUP(B2563, 'All Menu'!B:L, 9, 0)</f>
        <v>4.5</v>
      </c>
      <c r="Q2563" s="14">
        <f>VLOOKUP(B2563, 'All Menu'!B:M, 12, 0)</f>
        <v>0.4375</v>
      </c>
      <c r="R2563" s="173">
        <f t="shared" si="133"/>
        <v>0</v>
      </c>
    </row>
    <row r="2564" spans="1:18" ht="15.5" hidden="1">
      <c r="A2564" s="78" t="s">
        <v>2872</v>
      </c>
      <c r="B2564" s="220">
        <v>60019</v>
      </c>
      <c r="C2564" s="185"/>
      <c r="D2564" s="103" t="str">
        <f>VLOOKUP(B2564, 'All Menu'!B:M, 4, 0)</f>
        <v>رب اي عجل مستورد</v>
      </c>
      <c r="E2564" s="30" t="str">
        <f>VLOOKUP(B2564, 'All Menu'!B:M, 2, 0)</f>
        <v>قسم الملحمة</v>
      </c>
      <c r="F2564" s="103" t="str">
        <f>VLOOKUP(B2564, 'All Menu'!B:M, 3, 0)</f>
        <v>لحوم مستوردة</v>
      </c>
      <c r="G2564" s="90" t="s">
        <v>3058</v>
      </c>
      <c r="H2564" s="112">
        <v>5401</v>
      </c>
      <c r="I2564" s="110" t="str">
        <f>VLOOKUP(H2564, 'RM &amp; SF'!B:H, 2, 0)</f>
        <v xml:space="preserve">روز بيف  </v>
      </c>
      <c r="J2564" s="184" t="str">
        <f>VLOOKUP(H2564, 'RM &amp; SF'!B:E, 4, 0)</f>
        <v>غم</v>
      </c>
      <c r="K2564" s="12">
        <v>1000</v>
      </c>
      <c r="L2564" s="13">
        <f>VLOOKUP(H2564, 'RM &amp; SF'!B:H, 7, 0)</f>
        <v>1.2580000000000001E-2</v>
      </c>
      <c r="M2564" s="7">
        <f t="shared" si="132"/>
        <v>12.58</v>
      </c>
      <c r="N2564" s="4" t="s">
        <v>825</v>
      </c>
      <c r="O2564" s="4">
        <f>VLOOKUP(B2564, 'All Menu'!B:L, 6, 0)</f>
        <v>14</v>
      </c>
      <c r="P2564" s="6">
        <f>VLOOKUP(B2564, 'All Menu'!B:L, 9, 0)</f>
        <v>12.58</v>
      </c>
      <c r="Q2564" s="14">
        <f>VLOOKUP(B2564, 'All Menu'!B:M, 12, 0)</f>
        <v>0.10142857142857142</v>
      </c>
      <c r="R2564" s="173">
        <f t="shared" si="133"/>
        <v>0</v>
      </c>
    </row>
    <row r="2565" spans="1:18" ht="14" hidden="1">
      <c r="A2565" s="78" t="s">
        <v>3132</v>
      </c>
      <c r="B2565" s="220">
        <v>60011</v>
      </c>
      <c r="C2565" s="185"/>
      <c r="D2565" s="103" t="str">
        <f>VLOOKUP(B2565, 'All Menu'!B:M, 4, 0)</f>
        <v>فخد عجل بلدي</v>
      </c>
      <c r="E2565" s="30" t="str">
        <f>VLOOKUP(B2565, 'All Menu'!B:M, 2, 0)</f>
        <v>قسم الملحمة</v>
      </c>
      <c r="F2565" s="103" t="str">
        <f>VLOOKUP(B2565, 'All Menu'!B:M, 3, 0)</f>
        <v>لحوم بلدية</v>
      </c>
      <c r="G2565" s="90" t="s">
        <v>3058</v>
      </c>
      <c r="H2565" s="226">
        <v>5373</v>
      </c>
      <c r="I2565" s="110" t="str">
        <f>VLOOKUP(H2565, 'RM &amp; SF'!B:H, 2, 0)</f>
        <v>قطعيات عجل مشكلة</v>
      </c>
      <c r="J2565" s="184" t="str">
        <f>VLOOKUP(H2565, 'RM &amp; SF'!B:E, 4, 0)</f>
        <v>غم</v>
      </c>
      <c r="K2565" s="12">
        <v>1000</v>
      </c>
      <c r="L2565" s="13">
        <f>VLOOKUP(H2565, 'RM &amp; SF'!B:H, 7, 0)</f>
        <v>9.0100000000000006E-3</v>
      </c>
      <c r="M2565" s="7">
        <f t="shared" si="132"/>
        <v>9.01</v>
      </c>
      <c r="N2565" s="4" t="s">
        <v>825</v>
      </c>
      <c r="O2565" s="4">
        <f>VLOOKUP(B2565, 'All Menu'!B:L, 6, 0)</f>
        <v>11</v>
      </c>
      <c r="P2565" s="6">
        <f>VLOOKUP(B2565, 'All Menu'!B:L, 9, 0)</f>
        <v>9.01</v>
      </c>
      <c r="Q2565" s="14">
        <f>VLOOKUP(B2565, 'All Menu'!B:M, 12, 0)</f>
        <v>0.18090909090909094</v>
      </c>
      <c r="R2565" s="173">
        <f t="shared" si="133"/>
        <v>0</v>
      </c>
    </row>
    <row r="2566" spans="1:18" ht="15.5" hidden="1">
      <c r="A2566" s="78" t="s">
        <v>2871</v>
      </c>
      <c r="B2566" s="220">
        <v>60012</v>
      </c>
      <c r="C2566" s="185"/>
      <c r="D2566" s="103" t="str">
        <f>VLOOKUP(B2566, 'All Menu'!B:M, 4, 0)</f>
        <v>رب اي بلدي</v>
      </c>
      <c r="E2566" s="30" t="str">
        <f>VLOOKUP(B2566, 'All Menu'!B:M, 2, 0)</f>
        <v>قسم الملحمة</v>
      </c>
      <c r="F2566" s="103" t="str">
        <f>VLOOKUP(B2566, 'All Menu'!B:M, 3, 0)</f>
        <v>لحوم بلدية</v>
      </c>
      <c r="G2566" s="90" t="s">
        <v>3058</v>
      </c>
      <c r="H2566" s="112">
        <v>5401</v>
      </c>
      <c r="I2566" s="110" t="str">
        <f>VLOOKUP(H2566, 'RM &amp; SF'!B:H, 2, 0)</f>
        <v xml:space="preserve">روز بيف  </v>
      </c>
      <c r="J2566" s="184" t="str">
        <f>VLOOKUP(H2566, 'RM &amp; SF'!B:E, 4, 0)</f>
        <v>غم</v>
      </c>
      <c r="K2566" s="12">
        <v>1000</v>
      </c>
      <c r="L2566" s="13">
        <f>VLOOKUP(H2566, 'RM &amp; SF'!B:H, 7, 0)</f>
        <v>1.2580000000000001E-2</v>
      </c>
      <c r="M2566" s="7">
        <f t="shared" si="132"/>
        <v>12.58</v>
      </c>
      <c r="N2566" s="4" t="s">
        <v>825</v>
      </c>
      <c r="O2566" s="4">
        <f>VLOOKUP(B2566, 'All Menu'!B:L, 6, 0)</f>
        <v>16</v>
      </c>
      <c r="P2566" s="6">
        <f>VLOOKUP(B2566, 'All Menu'!B:L, 9, 0)</f>
        <v>12.58</v>
      </c>
      <c r="Q2566" s="14">
        <f>VLOOKUP(B2566, 'All Menu'!B:M, 12, 0)</f>
        <v>0.21375</v>
      </c>
      <c r="R2566" s="173">
        <f t="shared" si="133"/>
        <v>0</v>
      </c>
    </row>
    <row r="2567" spans="1:18" ht="14" hidden="1">
      <c r="A2567" s="78" t="s">
        <v>3133</v>
      </c>
      <c r="B2567" s="220">
        <v>60013</v>
      </c>
      <c r="C2567" s="185"/>
      <c r="D2567" s="103" t="str">
        <f>VLOOKUP(B2567, 'All Menu'!B:M, 4, 0)</f>
        <v>رب اي بلدي منظف</v>
      </c>
      <c r="E2567" s="30" t="str">
        <f>VLOOKUP(B2567, 'All Menu'!B:M, 2, 0)</f>
        <v>قسم الملحمة</v>
      </c>
      <c r="F2567" s="103" t="str">
        <f>VLOOKUP(B2567, 'All Menu'!B:M, 3, 0)</f>
        <v>لحوم بلدية</v>
      </c>
      <c r="G2567" s="90" t="s">
        <v>3058</v>
      </c>
      <c r="H2567" s="188">
        <v>5401</v>
      </c>
      <c r="I2567" s="110" t="str">
        <f>VLOOKUP(H2567, 'RM &amp; SF'!B:H, 2, 0)</f>
        <v xml:space="preserve">روز بيف  </v>
      </c>
      <c r="J2567" s="184" t="str">
        <f>VLOOKUP(H2567, 'RM &amp; SF'!B:E, 4, 0)</f>
        <v>غم</v>
      </c>
      <c r="K2567" s="12">
        <v>1000</v>
      </c>
      <c r="L2567" s="13">
        <f>VLOOKUP(H2567, 'RM &amp; SF'!B:H, 7, 0)</f>
        <v>1.2580000000000001E-2</v>
      </c>
      <c r="M2567" s="7">
        <f t="shared" si="132"/>
        <v>12.58</v>
      </c>
      <c r="N2567" s="4" t="s">
        <v>825</v>
      </c>
      <c r="O2567" s="4">
        <f>VLOOKUP(B2567, 'All Menu'!B:L, 6, 0)</f>
        <v>16</v>
      </c>
      <c r="P2567" s="6">
        <f>VLOOKUP(B2567, 'All Menu'!B:L, 9, 0)</f>
        <v>12.58</v>
      </c>
      <c r="Q2567" s="14">
        <f>VLOOKUP(B2567, 'All Menu'!B:M, 12, 0)</f>
        <v>0.21375</v>
      </c>
      <c r="R2567" s="173">
        <f t="shared" si="133"/>
        <v>0</v>
      </c>
    </row>
    <row r="2568" spans="1:18" ht="14" hidden="1">
      <c r="A2568" s="78" t="s">
        <v>3134</v>
      </c>
      <c r="B2568" s="220">
        <v>60014</v>
      </c>
      <c r="C2568" s="185"/>
      <c r="D2568" s="103" t="str">
        <f>VLOOKUP(B2568, 'All Menu'!B:M, 4, 0)</f>
        <v>فيليه بلدي 18</v>
      </c>
      <c r="E2568" s="30" t="str">
        <f>VLOOKUP(B2568, 'All Menu'!B:M, 2, 0)</f>
        <v>قسم الملحمة</v>
      </c>
      <c r="F2568" s="103" t="str">
        <f>VLOOKUP(B2568, 'All Menu'!B:M, 3, 0)</f>
        <v>لحوم بلدية</v>
      </c>
      <c r="G2568" s="90" t="s">
        <v>3058</v>
      </c>
      <c r="H2568" s="188">
        <v>5398</v>
      </c>
      <c r="I2568" s="110" t="str">
        <f>VLOOKUP(H2568, 'RM &amp; SF'!B:H, 2, 0)</f>
        <v xml:space="preserve">فيليه </v>
      </c>
      <c r="J2568" s="184" t="str">
        <f>VLOOKUP(H2568, 'RM &amp; SF'!B:E, 4, 0)</f>
        <v>غم</v>
      </c>
      <c r="K2568" s="12">
        <v>1000</v>
      </c>
      <c r="L2568" s="13">
        <f>VLOOKUP(H2568, 'RM &amp; SF'!B:H, 7, 0)</f>
        <v>2.1499999999999998E-2</v>
      </c>
      <c r="M2568" s="7">
        <f t="shared" si="132"/>
        <v>21.5</v>
      </c>
      <c r="N2568" s="4" t="s">
        <v>825</v>
      </c>
      <c r="O2568" s="4">
        <f>VLOOKUP(B2568, 'All Menu'!B:L, 6, 0)</f>
        <v>20</v>
      </c>
      <c r="P2568" s="6">
        <f>VLOOKUP(B2568, 'All Menu'!B:L, 9, 0)</f>
        <v>21.5</v>
      </c>
      <c r="Q2568" s="14">
        <f>VLOOKUP(B2568, 'All Menu'!B:M, 12, 0)</f>
        <v>-7.4999999999999997E-2</v>
      </c>
      <c r="R2568" s="173">
        <f t="shared" si="133"/>
        <v>0</v>
      </c>
    </row>
    <row r="2569" spans="1:18" ht="15.5" hidden="1">
      <c r="A2569" s="78" t="s">
        <v>3136</v>
      </c>
      <c r="B2569" s="220">
        <v>60016</v>
      </c>
      <c r="C2569" s="185"/>
      <c r="D2569" s="103" t="str">
        <f>VLOOKUP(B2569, 'All Menu'!B:M, 4, 0)</f>
        <v>روزبيف بلدي</v>
      </c>
      <c r="E2569" s="30" t="str">
        <f>VLOOKUP(B2569, 'All Menu'!B:M, 2, 0)</f>
        <v>قسم الملحمة</v>
      </c>
      <c r="F2569" s="103" t="str">
        <f>VLOOKUP(B2569, 'All Menu'!B:M, 3, 0)</f>
        <v>لحوم بلدية</v>
      </c>
      <c r="G2569" s="90" t="s">
        <v>3058</v>
      </c>
      <c r="H2569" s="112">
        <v>5401</v>
      </c>
      <c r="I2569" s="110" t="str">
        <f>VLOOKUP(H2569, 'RM &amp; SF'!B:H, 2, 0)</f>
        <v xml:space="preserve">روز بيف  </v>
      </c>
      <c r="J2569" s="184" t="str">
        <f>VLOOKUP(H2569, 'RM &amp; SF'!B:E, 4, 0)</f>
        <v>غم</v>
      </c>
      <c r="K2569" s="12">
        <v>1000</v>
      </c>
      <c r="L2569" s="13">
        <f>VLOOKUP(H2569, 'RM &amp; SF'!B:H, 7, 0)</f>
        <v>1.2580000000000001E-2</v>
      </c>
      <c r="M2569" s="7">
        <f t="shared" si="132"/>
        <v>12.58</v>
      </c>
      <c r="N2569" s="4" t="s">
        <v>825</v>
      </c>
      <c r="O2569" s="4">
        <f>VLOOKUP(B2569, 'All Menu'!B:L, 6, 0)</f>
        <v>16</v>
      </c>
      <c r="P2569" s="6">
        <f>VLOOKUP(B2569, 'All Menu'!B:L, 9, 0)</f>
        <v>12.58</v>
      </c>
      <c r="Q2569" s="14">
        <f>VLOOKUP(B2569, 'All Menu'!B:M, 12, 0)</f>
        <v>0.21375</v>
      </c>
      <c r="R2569" s="173">
        <f t="shared" ref="R2569:R2631" si="134">C2569*K2569</f>
        <v>0</v>
      </c>
    </row>
    <row r="2570" spans="1:18" ht="14" hidden="1">
      <c r="A2570" s="78" t="s">
        <v>3141</v>
      </c>
      <c r="B2570" s="220">
        <v>60023</v>
      </c>
      <c r="C2570" s="185"/>
      <c r="D2570" s="103" t="str">
        <f>VLOOKUP(B2570, 'All Menu'!B:M, 4, 0)</f>
        <v>لحم عجل مفروم بلدي</v>
      </c>
      <c r="E2570" s="30" t="str">
        <f>VLOOKUP(B2570, 'All Menu'!B:M, 2, 0)</f>
        <v>قسم الملحمة</v>
      </c>
      <c r="F2570" s="103" t="str">
        <f>VLOOKUP(B2570, 'All Menu'!B:M, 3, 0)</f>
        <v>لحوم بلدية</v>
      </c>
      <c r="G2570" s="90" t="s">
        <v>3058</v>
      </c>
      <c r="H2570" s="226">
        <v>5373</v>
      </c>
      <c r="I2570" s="110" t="str">
        <f>VLOOKUP(H2570, 'RM &amp; SF'!B:H, 2, 0)</f>
        <v>قطعيات عجل مشكلة</v>
      </c>
      <c r="J2570" s="184" t="str">
        <f>VLOOKUP(H2570, 'RM &amp; SF'!B:E, 4, 0)</f>
        <v>غم</v>
      </c>
      <c r="K2570" s="12">
        <v>1000</v>
      </c>
      <c r="L2570" s="13">
        <f>VLOOKUP(H2570, 'RM &amp; SF'!B:H, 7, 0)</f>
        <v>9.0100000000000006E-3</v>
      </c>
      <c r="M2570" s="7">
        <f t="shared" si="132"/>
        <v>9.01</v>
      </c>
      <c r="N2570" s="4" t="s">
        <v>825</v>
      </c>
      <c r="O2570" s="4">
        <f>VLOOKUP(B2570, 'All Menu'!B:L, 6, 0)</f>
        <v>12</v>
      </c>
      <c r="P2570" s="6">
        <f>VLOOKUP(B2570, 'All Menu'!B:L, 9, 0)</f>
        <v>9.01</v>
      </c>
      <c r="Q2570" s="14">
        <f>VLOOKUP(B2570, 'All Menu'!B:M, 12, 0)</f>
        <v>0.24916666666666668</v>
      </c>
      <c r="R2570" s="173">
        <f t="shared" si="134"/>
        <v>0</v>
      </c>
    </row>
    <row r="2571" spans="1:18" ht="14" hidden="1">
      <c r="A2571" s="78" t="s">
        <v>2906</v>
      </c>
      <c r="B2571" s="220">
        <v>60086</v>
      </c>
      <c r="C2571" s="185"/>
      <c r="D2571" s="103" t="str">
        <f>VLOOKUP(B2571, 'All Menu'!B:M, 4, 0)</f>
        <v>روز بيف 14</v>
      </c>
      <c r="E2571" s="30" t="str">
        <f>VLOOKUP(B2571, 'All Menu'!B:M, 2, 0)</f>
        <v>قسم الملحمة</v>
      </c>
      <c r="F2571" s="103" t="str">
        <f>VLOOKUP(B2571, 'All Menu'!B:M, 3, 0)</f>
        <v>لحوم بلدية</v>
      </c>
      <c r="G2571" s="90" t="s">
        <v>3058</v>
      </c>
      <c r="H2571" s="188">
        <v>5401</v>
      </c>
      <c r="I2571" s="110" t="str">
        <f>VLOOKUP(H2571, 'RM &amp; SF'!B:H, 2, 0)</f>
        <v xml:space="preserve">روز بيف  </v>
      </c>
      <c r="J2571" s="184" t="str">
        <f>VLOOKUP(H2571, 'RM &amp; SF'!B:E, 4, 0)</f>
        <v>غم</v>
      </c>
      <c r="K2571" s="12">
        <v>1000</v>
      </c>
      <c r="L2571" s="13">
        <f>VLOOKUP(H2571, 'RM &amp; SF'!B:H, 7, 0)</f>
        <v>1.2580000000000001E-2</v>
      </c>
      <c r="M2571" s="7">
        <f t="shared" ref="M2571:M2597" si="135">L2571*K2571</f>
        <v>12.58</v>
      </c>
      <c r="N2571" s="4" t="s">
        <v>825</v>
      </c>
      <c r="O2571" s="4">
        <f>VLOOKUP(B2571, 'All Menu'!B:L, 6, 0)</f>
        <v>14</v>
      </c>
      <c r="P2571" s="6">
        <f>VLOOKUP(B2571, 'All Menu'!B:L, 9, 0)</f>
        <v>12.58</v>
      </c>
      <c r="Q2571" s="14">
        <f>VLOOKUP(B2571, 'All Menu'!B:M, 12, 0)</f>
        <v>0.10142857142857142</v>
      </c>
      <c r="R2571" s="173">
        <f t="shared" si="134"/>
        <v>0</v>
      </c>
    </row>
    <row r="2572" spans="1:18" ht="14" hidden="1">
      <c r="A2572" s="78" t="s">
        <v>2842</v>
      </c>
      <c r="B2572" s="220">
        <v>50004</v>
      </c>
      <c r="C2572" s="185"/>
      <c r="D2572" s="103" t="str">
        <f>VLOOKUP(B2572, 'All Menu'!B:M, 4, 0)</f>
        <v>صدر دجاج بالعظم</v>
      </c>
      <c r="E2572" s="30" t="str">
        <f>VLOOKUP(B2572, 'All Menu'!B:M, 2, 0)</f>
        <v>قسم الملحمة</v>
      </c>
      <c r="F2572" s="103" t="str">
        <f>VLOOKUP(B2572, 'All Menu'!B:M, 3, 0)</f>
        <v>دواجن</v>
      </c>
      <c r="G2572" s="90" t="s">
        <v>2315</v>
      </c>
      <c r="H2572" s="188">
        <v>50004</v>
      </c>
      <c r="I2572" s="110" t="str">
        <f>VLOOKUP(H2572, 'RM &amp; SF'!B:H, 2, 0)</f>
        <v>صدر دجاج بالعظم تمام</v>
      </c>
      <c r="J2572" s="184" t="str">
        <f>VLOOKUP(H2572, 'RM &amp; SF'!B:E, 4, 0)</f>
        <v>غم</v>
      </c>
      <c r="K2572" s="12">
        <v>1000</v>
      </c>
      <c r="L2572" s="13">
        <f>VLOOKUP(H2572, 'RM &amp; SF'!B:H, 7, 0)</f>
        <v>2.9500000000000004E-3</v>
      </c>
      <c r="M2572" s="7">
        <f t="shared" si="135"/>
        <v>2.95</v>
      </c>
      <c r="N2572" s="4" t="s">
        <v>825</v>
      </c>
      <c r="O2572" s="4">
        <f>VLOOKUP(B2572, 'All Menu'!B:L, 6, 0)</f>
        <v>4.5</v>
      </c>
      <c r="P2572" s="6">
        <f>VLOOKUP(B2572, 'All Menu'!B:L, 9, 0)</f>
        <v>2.95</v>
      </c>
      <c r="Q2572" s="14">
        <f>VLOOKUP(B2572, 'All Menu'!B:M, 12, 0)</f>
        <v>0.34444444444444439</v>
      </c>
      <c r="R2572" s="173">
        <f t="shared" si="134"/>
        <v>0</v>
      </c>
    </row>
    <row r="2573" spans="1:18" ht="14" hidden="1">
      <c r="A2573" s="78" t="s">
        <v>2843</v>
      </c>
      <c r="B2573" s="220">
        <v>50005</v>
      </c>
      <c r="C2573" s="185"/>
      <c r="D2573" s="103" t="str">
        <f>VLOOKUP(B2573, 'All Menu'!B:M, 4, 0)</f>
        <v>صدر دجاج مسحب تمام</v>
      </c>
      <c r="E2573" s="30" t="str">
        <f>VLOOKUP(B2573, 'All Menu'!B:M, 2, 0)</f>
        <v>قسم الملحمة</v>
      </c>
      <c r="F2573" s="103" t="str">
        <f>VLOOKUP(B2573, 'All Menu'!B:M, 3, 0)</f>
        <v>دواجن</v>
      </c>
      <c r="G2573" s="90" t="s">
        <v>2316</v>
      </c>
      <c r="H2573" s="188">
        <v>50005</v>
      </c>
      <c r="I2573" s="110" t="str">
        <f>VLOOKUP(H2573, 'RM &amp; SF'!B:H, 2, 0)</f>
        <v>صدر دجاج مسحب تمام</v>
      </c>
      <c r="J2573" s="184" t="str">
        <f>VLOOKUP(H2573, 'RM &amp; SF'!B:E, 4, 0)</f>
        <v>غم</v>
      </c>
      <c r="K2573" s="12">
        <v>1000</v>
      </c>
      <c r="L2573" s="13">
        <f>VLOOKUP(H2573, 'RM &amp; SF'!B:H, 7, 0)</f>
        <v>5.7000000000000002E-3</v>
      </c>
      <c r="M2573" s="7">
        <f t="shared" si="135"/>
        <v>5.7</v>
      </c>
      <c r="N2573" s="4" t="s">
        <v>825</v>
      </c>
      <c r="O2573" s="4">
        <f>VLOOKUP(B2573, 'All Menu'!B:L, 6, 0)</f>
        <v>7</v>
      </c>
      <c r="P2573" s="6">
        <f>VLOOKUP(B2573, 'All Menu'!B:L, 9, 0)</f>
        <v>5.7</v>
      </c>
      <c r="Q2573" s="14">
        <f>VLOOKUP(B2573, 'All Menu'!B:M, 12, 0)</f>
        <v>0.18571428571428569</v>
      </c>
      <c r="R2573" s="173">
        <f t="shared" si="134"/>
        <v>0</v>
      </c>
    </row>
    <row r="2574" spans="1:18" ht="14" hidden="1">
      <c r="A2574" s="78" t="s">
        <v>2845</v>
      </c>
      <c r="B2574" s="220">
        <v>50008</v>
      </c>
      <c r="C2574" s="185"/>
      <c r="D2574" s="103" t="str">
        <f>VLOOKUP(B2574, 'All Menu'!B:M, 4, 0)</f>
        <v>فخد دجاج طازج</v>
      </c>
      <c r="E2574" s="30" t="str">
        <f>VLOOKUP(B2574, 'All Menu'!B:M, 2, 0)</f>
        <v>قسم الملحمة</v>
      </c>
      <c r="F2574" s="103" t="str">
        <f>VLOOKUP(B2574, 'All Menu'!B:M, 3, 0)</f>
        <v>دواجن</v>
      </c>
      <c r="G2574" s="90" t="s">
        <v>2313</v>
      </c>
      <c r="H2574" s="188">
        <v>5289</v>
      </c>
      <c r="I2574" s="110" t="str">
        <f>VLOOKUP(H2574, 'RM &amp; SF'!B:H, 2, 0)</f>
        <v>فخذ كبير طازج تمام*****</v>
      </c>
      <c r="J2574" s="184" t="str">
        <f>VLOOKUP(H2574, 'RM &amp; SF'!B:E, 4, 0)</f>
        <v>غم</v>
      </c>
      <c r="K2574" s="12">
        <v>1000</v>
      </c>
      <c r="L2574" s="13">
        <f>VLOOKUP(H2574, 'RM &amp; SF'!B:H, 7, 0)</f>
        <v>1.65E-3</v>
      </c>
      <c r="M2574" s="7">
        <f t="shared" si="135"/>
        <v>1.65</v>
      </c>
      <c r="N2574" s="4" t="s">
        <v>825</v>
      </c>
      <c r="O2574" s="4">
        <f>VLOOKUP(B2574, 'All Menu'!B:L, 6, 0)</f>
        <v>3</v>
      </c>
      <c r="P2574" s="6">
        <f>VLOOKUP(B2574, 'All Menu'!B:L, 9, 0)</f>
        <v>1.65</v>
      </c>
      <c r="Q2574" s="14">
        <f>VLOOKUP(B2574, 'All Menu'!B:M, 12, 0)</f>
        <v>0.45</v>
      </c>
      <c r="R2574" s="173">
        <f t="shared" si="134"/>
        <v>0</v>
      </c>
    </row>
    <row r="2575" spans="1:18" ht="14" hidden="1">
      <c r="A2575" s="78" t="s">
        <v>2323</v>
      </c>
      <c r="B2575" s="220">
        <v>50029</v>
      </c>
      <c r="C2575" s="185"/>
      <c r="D2575" s="103" t="str">
        <f>VLOOKUP(B2575, 'All Menu'!B:M, 4, 0)</f>
        <v>فوارغ خاروف منظف</v>
      </c>
      <c r="E2575" s="30" t="str">
        <f>VLOOKUP(B2575, 'All Menu'!B:M, 2, 0)</f>
        <v>قسم الملحمة</v>
      </c>
      <c r="F2575" s="103" t="str">
        <f>VLOOKUP(B2575, 'All Menu'!B:M, 3, 0)</f>
        <v>سقط</v>
      </c>
      <c r="G2575" s="90" t="s">
        <v>3058</v>
      </c>
      <c r="H2575" s="188">
        <v>5318</v>
      </c>
      <c r="I2575" s="110" t="str">
        <f>VLOOKUP(H2575, 'RM &amp; SF'!B:H, 2, 0)</f>
        <v>معلاق</v>
      </c>
      <c r="J2575" s="184" t="str">
        <f>VLOOKUP(H2575, 'RM &amp; SF'!B:E, 4, 0)</f>
        <v>قطعة</v>
      </c>
      <c r="K2575" s="12">
        <v>1</v>
      </c>
      <c r="L2575" s="13">
        <f>VLOOKUP(H2575, 'RM &amp; SF'!B:H, 7, 0)</f>
        <v>4.5</v>
      </c>
      <c r="M2575" s="7">
        <f t="shared" si="135"/>
        <v>4.5</v>
      </c>
      <c r="N2575" s="4" t="s">
        <v>825</v>
      </c>
      <c r="O2575" s="4">
        <f>VLOOKUP(B2575, 'All Menu'!B:L, 6, 0)</f>
        <v>7</v>
      </c>
      <c r="P2575" s="6">
        <f>VLOOKUP(B2575, 'All Menu'!B:L, 9, 0)</f>
        <v>4.5</v>
      </c>
      <c r="Q2575" s="14">
        <f>VLOOKUP(B2575, 'All Menu'!B:M, 12, 0)</f>
        <v>0.35714285714285715</v>
      </c>
      <c r="R2575" s="173">
        <f t="shared" si="134"/>
        <v>0</v>
      </c>
    </row>
    <row r="2576" spans="1:18" ht="14" hidden="1">
      <c r="A2576" s="78" t="s">
        <v>2858</v>
      </c>
      <c r="B2576" s="220">
        <v>50030</v>
      </c>
      <c r="C2576" s="185"/>
      <c r="D2576" s="103" t="str">
        <f>VLOOKUP(B2576, 'All Menu'!B:M, 4, 0)</f>
        <v>كرشات -الحبة</v>
      </c>
      <c r="E2576" s="30" t="str">
        <f>VLOOKUP(B2576, 'All Menu'!B:M, 2, 0)</f>
        <v>قسم الملحمة</v>
      </c>
      <c r="F2576" s="103" t="str">
        <f>VLOOKUP(B2576, 'All Menu'!B:M, 3, 0)</f>
        <v>سقط</v>
      </c>
      <c r="G2576" s="90" t="s">
        <v>3058</v>
      </c>
      <c r="H2576" s="188">
        <v>5340</v>
      </c>
      <c r="I2576" s="110" t="str">
        <f>VLOOKUP(H2576, 'RM &amp; SF'!B:H, 2, 0)</f>
        <v>كرشات -الحبة</v>
      </c>
      <c r="J2576" s="184" t="str">
        <f>VLOOKUP(H2576, 'RM &amp; SF'!B:E, 4, 0)</f>
        <v>قطعة</v>
      </c>
      <c r="K2576" s="12">
        <v>1</v>
      </c>
      <c r="L2576" s="13">
        <f>VLOOKUP(H2576, 'RM &amp; SF'!B:H, 7, 0)</f>
        <v>2.5</v>
      </c>
      <c r="M2576" s="7">
        <f t="shared" si="135"/>
        <v>2.5</v>
      </c>
      <c r="N2576" s="4" t="s">
        <v>825</v>
      </c>
      <c r="O2576" s="4">
        <f>VLOOKUP(B2576, 'All Menu'!B:L, 6, 0)</f>
        <v>3</v>
      </c>
      <c r="P2576" s="6">
        <f>VLOOKUP(B2576, 'All Menu'!B:L, 9, 0)</f>
        <v>2.5</v>
      </c>
      <c r="Q2576" s="14">
        <f>VLOOKUP(B2576, 'All Menu'!B:M, 12, 0)</f>
        <v>0.16666666666666666</v>
      </c>
      <c r="R2576" s="173">
        <f t="shared" si="134"/>
        <v>0</v>
      </c>
    </row>
    <row r="2577" spans="1:18" ht="14" hidden="1">
      <c r="A2577" s="78" t="s">
        <v>3122</v>
      </c>
      <c r="B2577" s="220">
        <v>50036</v>
      </c>
      <c r="C2577" s="185"/>
      <c r="D2577" s="103" t="str">
        <f>VLOOKUP(B2577, 'All Menu'!B:M, 4, 0)</f>
        <v>جميد كركي</v>
      </c>
      <c r="E2577" s="30" t="str">
        <f>VLOOKUP(B2577, 'All Menu'!B:M, 2, 0)</f>
        <v>قسم الملحمة</v>
      </c>
      <c r="F2577" s="103" t="str">
        <f>VLOOKUP(B2577, 'All Menu'!B:M, 3, 0)</f>
        <v>سقط</v>
      </c>
      <c r="G2577" s="90" t="s">
        <v>2305</v>
      </c>
      <c r="H2577" s="188">
        <v>5376</v>
      </c>
      <c r="I2577" s="110" t="str">
        <f>VLOOKUP(H2577, 'RM &amp; SF'!B:H, 2, 0)</f>
        <v>جميد كركي</v>
      </c>
      <c r="J2577" s="184" t="str">
        <f>VLOOKUP(H2577, 'RM &amp; SF'!B:E, 4, 0)</f>
        <v>غم</v>
      </c>
      <c r="K2577" s="12">
        <v>1000</v>
      </c>
      <c r="L2577" s="13">
        <f>VLOOKUP(H2577, 'RM &amp; SF'!B:H, 7, 0)</f>
        <v>8.9999999999999993E-3</v>
      </c>
      <c r="M2577" s="7">
        <f t="shared" si="135"/>
        <v>9</v>
      </c>
      <c r="N2577" s="4" t="s">
        <v>825</v>
      </c>
      <c r="O2577" s="4">
        <f>VLOOKUP(B2577, 'All Menu'!B:L, 6, 0)</f>
        <v>12</v>
      </c>
      <c r="P2577" s="6">
        <f>VLOOKUP(B2577, 'All Menu'!B:L, 9, 0)</f>
        <v>9</v>
      </c>
      <c r="Q2577" s="14">
        <f>VLOOKUP(B2577, 'All Menu'!B:M, 12, 0)</f>
        <v>0.25</v>
      </c>
      <c r="R2577" s="173">
        <f t="shared" si="134"/>
        <v>0</v>
      </c>
    </row>
    <row r="2578" spans="1:18" ht="14" hidden="1">
      <c r="A2578" s="78" t="s">
        <v>2859</v>
      </c>
      <c r="B2578" s="220">
        <v>50031</v>
      </c>
      <c r="C2578" s="185"/>
      <c r="D2578" s="103" t="str">
        <f>VLOOKUP(B2578, 'All Menu'!B:M, 4, 0)</f>
        <v>مقادم خاروف -حبة</v>
      </c>
      <c r="E2578" s="30" t="str">
        <f>VLOOKUP(B2578, 'All Menu'!B:M, 2, 0)</f>
        <v>قسم الملحمة</v>
      </c>
      <c r="F2578" s="103" t="str">
        <f>VLOOKUP(B2578, 'All Menu'!B:M, 3, 0)</f>
        <v>سقط</v>
      </c>
      <c r="G2578" s="90" t="s">
        <v>3058</v>
      </c>
      <c r="H2578" s="188">
        <v>5342</v>
      </c>
      <c r="I2578" s="110" t="str">
        <f>VLOOKUP(H2578, 'RM &amp; SF'!B:H, 2, 0)</f>
        <v>مقادم خاروف -حبة</v>
      </c>
      <c r="J2578" s="184" t="str">
        <f>VLOOKUP(H2578, 'RM &amp; SF'!B:E, 4, 0)</f>
        <v>قطعة</v>
      </c>
      <c r="K2578" s="12">
        <v>1</v>
      </c>
      <c r="L2578" s="13">
        <f>VLOOKUP(H2578, 'RM &amp; SF'!B:H, 7, 0)</f>
        <v>0.35</v>
      </c>
      <c r="M2578" s="7">
        <f t="shared" si="135"/>
        <v>0.35</v>
      </c>
      <c r="N2578" s="4" t="s">
        <v>825</v>
      </c>
      <c r="O2578" s="4">
        <f>VLOOKUP(B2578, 'All Menu'!B:L, 6, 0)</f>
        <v>0.6</v>
      </c>
      <c r="P2578" s="6">
        <f>VLOOKUP(B2578, 'All Menu'!B:L, 9, 0)</f>
        <v>0.35</v>
      </c>
      <c r="Q2578" s="14">
        <f>VLOOKUP(B2578, 'All Menu'!B:M, 12, 0)</f>
        <v>0.41666666666666669</v>
      </c>
      <c r="R2578" s="173">
        <f t="shared" si="134"/>
        <v>0</v>
      </c>
    </row>
    <row r="2579" spans="1:18" ht="14" hidden="1">
      <c r="A2579" s="78" t="s">
        <v>2860</v>
      </c>
      <c r="B2579" s="220">
        <v>50032</v>
      </c>
      <c r="C2579" s="185"/>
      <c r="D2579" s="103" t="str">
        <f>VLOOKUP(B2579, 'All Menu'!B:M, 4, 0)</f>
        <v>مقادم عجل -حبة</v>
      </c>
      <c r="E2579" s="30" t="str">
        <f>VLOOKUP(B2579, 'All Menu'!B:M, 2, 0)</f>
        <v>قسم الملحمة</v>
      </c>
      <c r="F2579" s="103" t="str">
        <f>VLOOKUP(B2579, 'All Menu'!B:M, 3, 0)</f>
        <v>سقط</v>
      </c>
      <c r="G2579" s="90" t="s">
        <v>3058</v>
      </c>
      <c r="H2579" s="188">
        <v>5343</v>
      </c>
      <c r="I2579" s="110" t="str">
        <f>VLOOKUP(H2579, 'RM &amp; SF'!B:H, 2, 0)</f>
        <v>مقادم عجل -حبة</v>
      </c>
      <c r="J2579" s="184" t="str">
        <f>VLOOKUP(H2579, 'RM &amp; SF'!B:E, 4, 0)</f>
        <v>قطعة</v>
      </c>
      <c r="K2579" s="12">
        <v>1</v>
      </c>
      <c r="L2579" s="13">
        <f>VLOOKUP(H2579, 'RM &amp; SF'!B:H, 7, 0)</f>
        <v>4.5</v>
      </c>
      <c r="M2579" s="7">
        <f t="shared" si="135"/>
        <v>4.5</v>
      </c>
      <c r="N2579" s="4" t="s">
        <v>825</v>
      </c>
      <c r="O2579" s="4">
        <f>VLOOKUP(B2579, 'All Menu'!B:L, 6, 0)</f>
        <v>5</v>
      </c>
      <c r="P2579" s="6">
        <f>VLOOKUP(B2579, 'All Menu'!B:L, 9, 0)</f>
        <v>4.5</v>
      </c>
      <c r="Q2579" s="14">
        <f>VLOOKUP(B2579, 'All Menu'!B:M, 12, 0)</f>
        <v>0.1</v>
      </c>
      <c r="R2579" s="173">
        <f t="shared" si="134"/>
        <v>0</v>
      </c>
    </row>
    <row r="2580" spans="1:18" ht="14" hidden="1">
      <c r="A2580" s="78" t="s">
        <v>3120</v>
      </c>
      <c r="B2580" s="220">
        <v>50033</v>
      </c>
      <c r="C2580" s="185"/>
      <c r="D2580" s="103" t="str">
        <f>VLOOKUP(B2580, 'All Menu'!B:M, 4, 0)</f>
        <v>عظم عجل-حبة</v>
      </c>
      <c r="E2580" s="30" t="str">
        <f>VLOOKUP(B2580, 'All Menu'!B:M, 2, 0)</f>
        <v>قسم الملحمة</v>
      </c>
      <c r="F2580" s="103" t="str">
        <f>VLOOKUP(B2580, 'All Menu'!B:M, 3, 0)</f>
        <v>سقط</v>
      </c>
      <c r="G2580" s="90" t="s">
        <v>3058</v>
      </c>
      <c r="H2580" s="230" t="s">
        <v>311</v>
      </c>
      <c r="I2580" s="110" t="str">
        <f>VLOOKUP(H2580, 'RM &amp; SF'!B:H, 2, 0)</f>
        <v>عظم عجل-حبة</v>
      </c>
      <c r="J2580" s="184" t="str">
        <f>VLOOKUP(H2580, 'RM &amp; SF'!B:E, 4, 0)</f>
        <v>قطعة</v>
      </c>
      <c r="K2580" s="12">
        <v>1</v>
      </c>
      <c r="L2580" s="13">
        <f>VLOOKUP(H2580, 'RM &amp; SF'!B:H, 7, 0)</f>
        <v>1</v>
      </c>
      <c r="M2580" s="7">
        <f t="shared" si="135"/>
        <v>1</v>
      </c>
      <c r="N2580" s="4" t="s">
        <v>825</v>
      </c>
      <c r="O2580" s="4">
        <f>VLOOKUP(B2580, 'All Menu'!B:L, 6, 0)</f>
        <v>3</v>
      </c>
      <c r="P2580" s="6">
        <f>VLOOKUP(B2580, 'All Menu'!B:L, 9, 0)</f>
        <v>1</v>
      </c>
      <c r="Q2580" s="14">
        <f>VLOOKUP(B2580, 'All Menu'!B:M, 12, 0)</f>
        <v>0.66666666666666663</v>
      </c>
      <c r="R2580" s="173">
        <f t="shared" si="134"/>
        <v>0</v>
      </c>
    </row>
    <row r="2581" spans="1:18" ht="14" hidden="1">
      <c r="A2581" s="78" t="s">
        <v>3121</v>
      </c>
      <c r="B2581" s="220">
        <v>50034</v>
      </c>
      <c r="C2581" s="185"/>
      <c r="D2581" s="103" t="str">
        <f>VLOOKUP(B2581, 'All Menu'!B:M, 4, 0)</f>
        <v>عظم خاروف-حبة</v>
      </c>
      <c r="E2581" s="30" t="str">
        <f>VLOOKUP(B2581, 'All Menu'!B:M, 2, 0)</f>
        <v>قسم الملحمة</v>
      </c>
      <c r="F2581" s="103" t="str">
        <f>VLOOKUP(B2581, 'All Menu'!B:M, 3, 0)</f>
        <v>سقط</v>
      </c>
      <c r="G2581" s="90" t="s">
        <v>3058</v>
      </c>
      <c r="H2581" s="230" t="s">
        <v>313</v>
      </c>
      <c r="I2581" s="110" t="str">
        <f>VLOOKUP(H2581, 'RM &amp; SF'!B:H, 2, 0)</f>
        <v>عظم خاروف-حبة</v>
      </c>
      <c r="J2581" s="184" t="str">
        <f>VLOOKUP(H2581, 'RM &amp; SF'!B:E, 4, 0)</f>
        <v>قطعة</v>
      </c>
      <c r="K2581" s="12">
        <v>1</v>
      </c>
      <c r="L2581" s="13">
        <f>VLOOKUP(H2581, 'RM &amp; SF'!B:H, 7, 0)</f>
        <v>0.35</v>
      </c>
      <c r="M2581" s="7">
        <f t="shared" si="135"/>
        <v>0.35</v>
      </c>
      <c r="N2581" s="4" t="s">
        <v>825</v>
      </c>
      <c r="O2581" s="4">
        <f>VLOOKUP(B2581, 'All Menu'!B:L, 6, 0)</f>
        <v>3</v>
      </c>
      <c r="P2581" s="6">
        <f>VLOOKUP(B2581, 'All Menu'!B:L, 9, 0)</f>
        <v>0.35</v>
      </c>
      <c r="Q2581" s="14">
        <f>VLOOKUP(B2581, 'All Menu'!B:M, 12, 0)</f>
        <v>0.8833333333333333</v>
      </c>
      <c r="R2581" s="173">
        <f t="shared" si="134"/>
        <v>0</v>
      </c>
    </row>
    <row r="2582" spans="1:18" ht="14" hidden="1">
      <c r="A2582" s="78" t="s">
        <v>2891</v>
      </c>
      <c r="B2582" s="220">
        <v>60045</v>
      </c>
      <c r="C2582" s="185"/>
      <c r="D2582" s="103" t="str">
        <f>VLOOKUP(B2582, 'All Menu'!B:M, 4, 0)</f>
        <v>سيخ بصل</v>
      </c>
      <c r="E2582" s="30" t="str">
        <f>VLOOKUP(B2582, 'All Menu'!B:M, 2, 0)</f>
        <v>قسم الملحمة</v>
      </c>
      <c r="F2582" s="103" t="str">
        <f>VLOOKUP(B2582, 'All Menu'!B:M, 3, 0)</f>
        <v>لحوم مشكوكة</v>
      </c>
      <c r="G2582" s="90" t="s">
        <v>2235</v>
      </c>
      <c r="H2582" s="188">
        <v>4504</v>
      </c>
      <c r="I2582" s="110" t="str">
        <f>VLOOKUP(H2582, 'RM &amp; SF'!B:H, 2, 0)</f>
        <v>بصل مشاوي (بصل بيبي)***</v>
      </c>
      <c r="J2582" s="184" t="str">
        <f>VLOOKUP(H2582, 'RM &amp; SF'!B:E, 4, 0)</f>
        <v>غم</v>
      </c>
      <c r="K2582" s="12">
        <v>120</v>
      </c>
      <c r="L2582" s="13">
        <f>VLOOKUP(H2582, 'RM &amp; SF'!B:H, 7, 0)</f>
        <v>3.5E-4</v>
      </c>
      <c r="M2582" s="7">
        <f t="shared" si="135"/>
        <v>4.2000000000000003E-2</v>
      </c>
      <c r="N2582" s="4" t="s">
        <v>825</v>
      </c>
      <c r="O2582" s="4">
        <f>VLOOKUP(B2582, 'All Menu'!B:L, 6, 0)</f>
        <v>0.75</v>
      </c>
      <c r="P2582" s="6">
        <f>VLOOKUP(B2582, 'All Menu'!B:L, 9, 0)</f>
        <v>0.11097000000000001</v>
      </c>
      <c r="Q2582" s="14">
        <f>VLOOKUP(B2582, 'All Menu'!B:M, 12, 0)</f>
        <v>0.85204000000000002</v>
      </c>
      <c r="R2582" s="173">
        <f t="shared" si="134"/>
        <v>0</v>
      </c>
    </row>
    <row r="2583" spans="1:18" ht="14" hidden="1">
      <c r="A2583" s="78" t="s">
        <v>2891</v>
      </c>
      <c r="B2583" s="220">
        <v>60045</v>
      </c>
      <c r="C2583" s="185"/>
      <c r="D2583" s="103" t="str">
        <f>VLOOKUP(B2583, 'All Menu'!B:M, 4, 0)</f>
        <v>سيخ بصل</v>
      </c>
      <c r="E2583" s="30" t="str">
        <f>VLOOKUP(B2583, 'All Menu'!B:M, 2, 0)</f>
        <v>قسم الملحمة</v>
      </c>
      <c r="F2583" s="103" t="str">
        <f>VLOOKUP(B2583, 'All Menu'!B:M, 3, 0)</f>
        <v>لحوم مشكوكة</v>
      </c>
      <c r="G2583" s="90" t="s">
        <v>2201</v>
      </c>
      <c r="H2583" s="188">
        <v>4412</v>
      </c>
      <c r="I2583" s="110" t="str">
        <f>VLOOKUP(H2583, 'RM &amp; SF'!B:H, 2, 0)</f>
        <v>اسياخ شوي رفيع سفري 1*100 حبة*****</v>
      </c>
      <c r="J2583" s="184" t="str">
        <f>VLOOKUP(H2583, 'RM &amp; SF'!B:E, 4, 0)</f>
        <v>قطعة</v>
      </c>
      <c r="K2583" s="12">
        <v>1</v>
      </c>
      <c r="L2583" s="13">
        <f>VLOOKUP(H2583, 'RM &amp; SF'!B:H, 7, 0)</f>
        <v>6.8970000000000004E-2</v>
      </c>
      <c r="M2583" s="7">
        <f t="shared" si="135"/>
        <v>6.8970000000000004E-2</v>
      </c>
      <c r="N2583" s="4" t="s">
        <v>825</v>
      </c>
      <c r="O2583" s="4">
        <f>VLOOKUP(B2583, 'All Menu'!B:L, 6, 0)</f>
        <v>0.75</v>
      </c>
      <c r="P2583" s="6">
        <f>VLOOKUP(B2583, 'All Menu'!B:L, 9, 0)</f>
        <v>0.11097000000000001</v>
      </c>
      <c r="Q2583" s="14">
        <f>VLOOKUP(B2583, 'All Menu'!B:M, 12, 0)</f>
        <v>0.85204000000000002</v>
      </c>
      <c r="R2583" s="173">
        <f t="shared" si="134"/>
        <v>0</v>
      </c>
    </row>
    <row r="2584" spans="1:18" ht="14" hidden="1">
      <c r="A2584" s="78" t="s">
        <v>2892</v>
      </c>
      <c r="B2584" s="220">
        <v>60046</v>
      </c>
      <c r="C2584" s="185"/>
      <c r="D2584" s="103" t="str">
        <f>VLOOKUP(B2584, 'All Menu'!B:M, 4, 0)</f>
        <v>سيخ بندورة</v>
      </c>
      <c r="E2584" s="30" t="str">
        <f>VLOOKUP(B2584, 'All Menu'!B:M, 2, 0)</f>
        <v>قسم الملحمة</v>
      </c>
      <c r="F2584" s="103" t="str">
        <f>VLOOKUP(B2584, 'All Menu'!B:M, 3, 0)</f>
        <v>لحوم مشكوكة</v>
      </c>
      <c r="G2584" s="90" t="s">
        <v>2309</v>
      </c>
      <c r="H2584" s="188">
        <v>4491</v>
      </c>
      <c r="I2584" s="110" t="str">
        <f>VLOOKUP(H2584, 'RM &amp; SF'!B:H, 2, 0)</f>
        <v>بندورة جامدة*****</v>
      </c>
      <c r="J2584" s="184" t="str">
        <f>VLOOKUP(H2584, 'RM &amp; SF'!B:E, 4, 0)</f>
        <v>غم</v>
      </c>
      <c r="K2584" s="12">
        <v>120</v>
      </c>
      <c r="L2584" s="13">
        <f>VLOOKUP(H2584, 'RM &amp; SF'!B:H, 7, 0)</f>
        <v>5.0000000000000001E-4</v>
      </c>
      <c r="M2584" s="7">
        <f t="shared" si="135"/>
        <v>0.06</v>
      </c>
      <c r="N2584" s="4" t="s">
        <v>825</v>
      </c>
      <c r="O2584" s="4">
        <f>VLOOKUP(B2584, 'All Menu'!B:L, 6, 0)</f>
        <v>0.75</v>
      </c>
      <c r="P2584" s="6">
        <f>VLOOKUP(B2584, 'All Menu'!B:L, 9, 0)</f>
        <v>0.12897</v>
      </c>
      <c r="Q2584" s="14">
        <f>VLOOKUP(B2584, 'All Menu'!B:M, 12, 0)</f>
        <v>0.82804</v>
      </c>
      <c r="R2584" s="173">
        <f t="shared" si="134"/>
        <v>0</v>
      </c>
    </row>
    <row r="2585" spans="1:18" ht="14" hidden="1">
      <c r="A2585" s="78" t="s">
        <v>2892</v>
      </c>
      <c r="B2585" s="220">
        <v>60046</v>
      </c>
      <c r="C2585" s="185"/>
      <c r="D2585" s="103" t="str">
        <f>VLOOKUP(B2585, 'All Menu'!B:M, 4, 0)</f>
        <v>سيخ بندورة</v>
      </c>
      <c r="E2585" s="30" t="str">
        <f>VLOOKUP(B2585, 'All Menu'!B:M, 2, 0)</f>
        <v>قسم الملحمة</v>
      </c>
      <c r="F2585" s="103" t="str">
        <f>VLOOKUP(B2585, 'All Menu'!B:M, 3, 0)</f>
        <v>لحوم مشكوكة</v>
      </c>
      <c r="G2585" s="90" t="s">
        <v>2201</v>
      </c>
      <c r="H2585" s="188">
        <v>4412</v>
      </c>
      <c r="I2585" s="110" t="str">
        <f>VLOOKUP(H2585, 'RM &amp; SF'!B:H, 2, 0)</f>
        <v>اسياخ شوي رفيع سفري 1*100 حبة*****</v>
      </c>
      <c r="J2585" s="184" t="str">
        <f>VLOOKUP(H2585, 'RM &amp; SF'!B:E, 4, 0)</f>
        <v>قطعة</v>
      </c>
      <c r="K2585" s="12">
        <v>1</v>
      </c>
      <c r="L2585" s="13">
        <f>VLOOKUP(H2585, 'RM &amp; SF'!B:H, 7, 0)</f>
        <v>6.8970000000000004E-2</v>
      </c>
      <c r="M2585" s="7">
        <f t="shared" si="135"/>
        <v>6.8970000000000004E-2</v>
      </c>
      <c r="N2585" s="4" t="s">
        <v>825</v>
      </c>
      <c r="O2585" s="4">
        <f>VLOOKUP(B2585, 'All Menu'!B:L, 6, 0)</f>
        <v>0.75</v>
      </c>
      <c r="P2585" s="6">
        <f>VLOOKUP(B2585, 'All Menu'!B:L, 9, 0)</f>
        <v>0.12897</v>
      </c>
      <c r="Q2585" s="14">
        <f>VLOOKUP(B2585, 'All Menu'!B:M, 12, 0)</f>
        <v>0.82804</v>
      </c>
      <c r="R2585" s="173">
        <f t="shared" si="134"/>
        <v>0</v>
      </c>
    </row>
    <row r="2586" spans="1:18" ht="14" hidden="1">
      <c r="A2586" s="78" t="s">
        <v>2893</v>
      </c>
      <c r="B2586" s="220">
        <v>60047</v>
      </c>
      <c r="C2586" s="185"/>
      <c r="D2586" s="103" t="str">
        <f>VLOOKUP(B2586, 'All Menu'!B:M, 4, 0)</f>
        <v>سيخ لية</v>
      </c>
      <c r="E2586" s="30" t="str">
        <f>VLOOKUP(B2586, 'All Menu'!B:M, 2, 0)</f>
        <v>قسم الملحمة</v>
      </c>
      <c r="F2586" s="103" t="str">
        <f>VLOOKUP(B2586, 'All Menu'!B:M, 3, 0)</f>
        <v>لحوم مشكوكة</v>
      </c>
      <c r="G2586" s="90" t="s">
        <v>3058</v>
      </c>
      <c r="H2586" s="188" t="s">
        <v>2149</v>
      </c>
      <c r="I2586" s="110" t="str">
        <f>VLOOKUP(H2586, 'RM &amp; SF'!B:H, 2, 0)</f>
        <v>لية ملحمه</v>
      </c>
      <c r="J2586" s="184" t="str">
        <f>VLOOKUP(H2586, 'RM &amp; SF'!B:E, 4, 0)</f>
        <v>غم</v>
      </c>
      <c r="K2586" s="12">
        <v>100</v>
      </c>
      <c r="L2586" s="13">
        <f>VLOOKUP(H2586, 'RM &amp; SF'!B:H, 7, 0)</f>
        <v>5.0000000000000001E-3</v>
      </c>
      <c r="M2586" s="7">
        <f t="shared" si="135"/>
        <v>0.5</v>
      </c>
      <c r="N2586" s="4" t="s">
        <v>825</v>
      </c>
      <c r="O2586" s="4">
        <f>VLOOKUP(B2586, 'All Menu'!B:L, 6, 0)</f>
        <v>2</v>
      </c>
      <c r="P2586" s="6">
        <f>VLOOKUP(B2586, 'All Menu'!B:L, 9, 0)</f>
        <v>0.56896999999999998</v>
      </c>
      <c r="Q2586" s="14">
        <f>VLOOKUP(B2586, 'All Menu'!B:M, 12, 0)</f>
        <v>0.71551500000000001</v>
      </c>
      <c r="R2586" s="173">
        <f t="shared" si="134"/>
        <v>0</v>
      </c>
    </row>
    <row r="2587" spans="1:18" ht="14" hidden="1">
      <c r="A2587" s="78" t="s">
        <v>2893</v>
      </c>
      <c r="B2587" s="220">
        <v>60047</v>
      </c>
      <c r="C2587" s="185"/>
      <c r="D2587" s="103" t="str">
        <f>VLOOKUP(B2587, 'All Menu'!B:M, 4, 0)</f>
        <v>سيخ لية</v>
      </c>
      <c r="E2587" s="30" t="str">
        <f>VLOOKUP(B2587, 'All Menu'!B:M, 2, 0)</f>
        <v>قسم الملحمة</v>
      </c>
      <c r="F2587" s="103" t="str">
        <f>VLOOKUP(B2587, 'All Menu'!B:M, 3, 0)</f>
        <v>لحوم مشكوكة</v>
      </c>
      <c r="G2587" s="90" t="s">
        <v>2201</v>
      </c>
      <c r="H2587" s="188">
        <v>4412</v>
      </c>
      <c r="I2587" s="110" t="str">
        <f>VLOOKUP(H2587, 'RM &amp; SF'!B:H, 2, 0)</f>
        <v>اسياخ شوي رفيع سفري 1*100 حبة*****</v>
      </c>
      <c r="J2587" s="184" t="str">
        <f>VLOOKUP(H2587, 'RM &amp; SF'!B:E, 4, 0)</f>
        <v>قطعة</v>
      </c>
      <c r="K2587" s="12">
        <v>1</v>
      </c>
      <c r="L2587" s="13">
        <f>VLOOKUP(H2587, 'RM &amp; SF'!B:H, 7, 0)</f>
        <v>6.8970000000000004E-2</v>
      </c>
      <c r="M2587" s="7">
        <f t="shared" si="135"/>
        <v>6.8970000000000004E-2</v>
      </c>
      <c r="N2587" s="4" t="s">
        <v>825</v>
      </c>
      <c r="O2587" s="4">
        <f>VLOOKUP(B2587, 'All Menu'!B:L, 6, 0)</f>
        <v>2</v>
      </c>
      <c r="P2587" s="6">
        <f>VLOOKUP(B2587, 'All Menu'!B:L, 9, 0)</f>
        <v>0.56896999999999998</v>
      </c>
      <c r="Q2587" s="14">
        <f>VLOOKUP(B2587, 'All Menu'!B:M, 12, 0)</f>
        <v>0.71551500000000001</v>
      </c>
      <c r="R2587" s="173">
        <f t="shared" si="134"/>
        <v>0</v>
      </c>
    </row>
    <row r="2588" spans="1:18" ht="14" hidden="1">
      <c r="A2588" s="78" t="s">
        <v>2894</v>
      </c>
      <c r="B2588" s="220">
        <v>60048</v>
      </c>
      <c r="C2588" s="185"/>
      <c r="D2588" s="103" t="str">
        <f>VLOOKUP(B2588, 'All Menu'!B:M, 4, 0)</f>
        <v>سيخ فلفل</v>
      </c>
      <c r="E2588" s="30" t="str">
        <f>VLOOKUP(B2588, 'All Menu'!B:M, 2, 0)</f>
        <v>قسم الملحمة</v>
      </c>
      <c r="F2588" s="103" t="str">
        <f>VLOOKUP(B2588, 'All Menu'!B:M, 3, 0)</f>
        <v>لحوم مشكوكة</v>
      </c>
      <c r="G2588" s="90" t="s">
        <v>2231</v>
      </c>
      <c r="H2588" s="188">
        <v>4499</v>
      </c>
      <c r="I2588" s="110" t="str">
        <f>VLOOKUP(H2588, 'RM &amp; SF'!B:H, 2, 0)</f>
        <v>فلفل حار اخضر*****</v>
      </c>
      <c r="J2588" s="184" t="str">
        <f>VLOOKUP(H2588, 'RM &amp; SF'!B:E, 4, 0)</f>
        <v>غم</v>
      </c>
      <c r="K2588" s="12">
        <v>110</v>
      </c>
      <c r="L2588" s="13">
        <f>VLOOKUP(H2588, 'RM &amp; SF'!B:H, 7, 0)</f>
        <v>5.0000000000000001E-4</v>
      </c>
      <c r="M2588" s="7">
        <f t="shared" si="135"/>
        <v>5.5E-2</v>
      </c>
      <c r="N2588" s="4" t="s">
        <v>825</v>
      </c>
      <c r="O2588" s="4">
        <f>VLOOKUP(B2588, 'All Menu'!B:L, 6, 0)</f>
        <v>0.75</v>
      </c>
      <c r="P2588" s="6">
        <f>VLOOKUP(B2588, 'All Menu'!B:L, 9, 0)</f>
        <v>0.12397</v>
      </c>
      <c r="Q2588" s="14">
        <f>VLOOKUP(B2588, 'All Menu'!B:M, 12, 0)</f>
        <v>0.8347066666666666</v>
      </c>
      <c r="R2588" s="173">
        <f t="shared" si="134"/>
        <v>0</v>
      </c>
    </row>
    <row r="2589" spans="1:18" ht="14" hidden="1">
      <c r="A2589" s="78" t="s">
        <v>2894</v>
      </c>
      <c r="B2589" s="220">
        <v>60048</v>
      </c>
      <c r="C2589" s="185"/>
      <c r="D2589" s="103" t="str">
        <f>VLOOKUP(B2589, 'All Menu'!B:M, 4, 0)</f>
        <v>سيخ فلفل</v>
      </c>
      <c r="E2589" s="30" t="str">
        <f>VLOOKUP(B2589, 'All Menu'!B:M, 2, 0)</f>
        <v>قسم الملحمة</v>
      </c>
      <c r="F2589" s="103" t="str">
        <f>VLOOKUP(B2589, 'All Menu'!B:M, 3, 0)</f>
        <v>لحوم مشكوكة</v>
      </c>
      <c r="G2589" s="90" t="s">
        <v>2201</v>
      </c>
      <c r="H2589" s="188">
        <v>4412</v>
      </c>
      <c r="I2589" s="110" t="str">
        <f>VLOOKUP(H2589, 'RM &amp; SF'!B:H, 2, 0)</f>
        <v>اسياخ شوي رفيع سفري 1*100 حبة*****</v>
      </c>
      <c r="J2589" s="184" t="str">
        <f>VLOOKUP(H2589, 'RM &amp; SF'!B:E, 4, 0)</f>
        <v>قطعة</v>
      </c>
      <c r="K2589" s="12">
        <v>1</v>
      </c>
      <c r="L2589" s="13">
        <f>VLOOKUP(H2589, 'RM &amp; SF'!B:H, 7, 0)</f>
        <v>6.8970000000000004E-2</v>
      </c>
      <c r="M2589" s="7">
        <f t="shared" si="135"/>
        <v>6.8970000000000004E-2</v>
      </c>
      <c r="N2589" s="4" t="s">
        <v>825</v>
      </c>
      <c r="O2589" s="4">
        <f>VLOOKUP(B2589, 'All Menu'!B:L, 6, 0)</f>
        <v>0.75</v>
      </c>
      <c r="P2589" s="6">
        <f>VLOOKUP(B2589, 'All Menu'!B:L, 9, 0)</f>
        <v>0.12397</v>
      </c>
      <c r="Q2589" s="14">
        <f>VLOOKUP(B2589, 'All Menu'!B:M, 12, 0)</f>
        <v>0.8347066666666666</v>
      </c>
      <c r="R2589" s="173">
        <f t="shared" si="134"/>
        <v>0</v>
      </c>
    </row>
    <row r="2590" spans="1:18" ht="14" hidden="1">
      <c r="A2590" s="78" t="s">
        <v>2883</v>
      </c>
      <c r="B2590" s="220">
        <v>60034</v>
      </c>
      <c r="C2590" s="185"/>
      <c r="D2590" s="103" t="str">
        <f>VLOOKUP(B2590, 'All Menu'!B:M, 4, 0)</f>
        <v>دجاج تركي على شبك</v>
      </c>
      <c r="E2590" s="30" t="str">
        <f>VLOOKUP(B2590, 'All Menu'!B:M, 2, 0)</f>
        <v>قسم الملحمة</v>
      </c>
      <c r="F2590" s="103" t="str">
        <f>VLOOKUP(B2590, 'All Menu'!B:M, 3, 0)</f>
        <v>لحوم مشكوكة</v>
      </c>
      <c r="G2590" s="90" t="s">
        <v>2384</v>
      </c>
      <c r="H2590" s="219" t="s">
        <v>538</v>
      </c>
      <c r="I2590" s="110" t="str">
        <f>VLOOKUP(H2590, 'RM &amp; SF'!B:H, 2, 0)</f>
        <v>دجاج تركي</v>
      </c>
      <c r="J2590" s="184" t="str">
        <f>VLOOKUP(H2590, 'RM &amp; SF'!B:E, 4, 0)</f>
        <v>قطعة</v>
      </c>
      <c r="K2590" s="12">
        <v>1</v>
      </c>
      <c r="L2590" s="13">
        <f>VLOOKUP(H2590, 'RM &amp; SF'!B:H, 7, 0)</f>
        <v>3.5399982955314506</v>
      </c>
      <c r="M2590" s="7">
        <f t="shared" si="135"/>
        <v>3.5399982955314506</v>
      </c>
      <c r="N2590" s="4" t="s">
        <v>825</v>
      </c>
      <c r="O2590" s="4">
        <f>VLOOKUP(B2590, 'All Menu'!B:L, 6, 0)</f>
        <v>7</v>
      </c>
      <c r="P2590" s="6">
        <f>VLOOKUP(B2590, 'All Menu'!B:L, 9, 0)</f>
        <v>4.7069982955314504</v>
      </c>
      <c r="Q2590" s="14">
        <f>VLOOKUP(B2590, 'All Menu'!B:M, 12, 0)</f>
        <v>0.32757167206693566</v>
      </c>
      <c r="R2590" s="173">
        <f t="shared" si="134"/>
        <v>0</v>
      </c>
    </row>
    <row r="2591" spans="1:18" ht="14" hidden="1">
      <c r="A2591" s="78" t="s">
        <v>2883</v>
      </c>
      <c r="B2591" s="220">
        <v>60034</v>
      </c>
      <c r="C2591" s="185"/>
      <c r="D2591" s="103" t="str">
        <f>VLOOKUP(B2591, 'All Menu'!B:M, 4, 0)</f>
        <v>دجاج تركي على شبك</v>
      </c>
      <c r="E2591" s="30" t="str">
        <f>VLOOKUP(B2591, 'All Menu'!B:M, 2, 0)</f>
        <v>قسم الملحمة</v>
      </c>
      <c r="F2591" s="103" t="str">
        <f>VLOOKUP(B2591, 'All Menu'!B:M, 3, 0)</f>
        <v>لحوم مشكوكة</v>
      </c>
      <c r="G2591" s="90" t="s">
        <v>3058</v>
      </c>
      <c r="H2591" s="188">
        <v>5391</v>
      </c>
      <c r="I2591" s="110" t="str">
        <f>VLOOKUP(H2591, 'RM &amp; SF'!B:H, 2, 0)</f>
        <v>شبك شوي سفري</v>
      </c>
      <c r="J2591" s="184" t="str">
        <f>VLOOKUP(H2591, 'RM &amp; SF'!B:E, 4, 0)</f>
        <v>قطعة</v>
      </c>
      <c r="K2591" s="12">
        <v>1</v>
      </c>
      <c r="L2591" s="13">
        <f>VLOOKUP(H2591, 'RM &amp; SF'!B:H, 7, 0)</f>
        <v>1.167</v>
      </c>
      <c r="M2591" s="7">
        <f t="shared" si="135"/>
        <v>1.167</v>
      </c>
      <c r="N2591" s="4" t="s">
        <v>825</v>
      </c>
      <c r="O2591" s="4">
        <f>VLOOKUP(B2591, 'All Menu'!B:L, 6, 0)</f>
        <v>7</v>
      </c>
      <c r="P2591" s="6">
        <f>VLOOKUP(B2591, 'All Menu'!B:L, 9, 0)</f>
        <v>4.7069982955314504</v>
      </c>
      <c r="Q2591" s="14">
        <f>VLOOKUP(B2591, 'All Menu'!B:M, 12, 0)</f>
        <v>0.32757167206693566</v>
      </c>
      <c r="R2591" s="173">
        <f t="shared" si="134"/>
        <v>0</v>
      </c>
    </row>
    <row r="2592" spans="1:18" ht="14" hidden="1">
      <c r="A2592" s="78" t="s">
        <v>2886</v>
      </c>
      <c r="B2592" s="220">
        <v>60037</v>
      </c>
      <c r="C2592" s="185"/>
      <c r="D2592" s="103" t="str">
        <f>VLOOKUP(B2592, 'All Menu'!B:M, 4, 0)</f>
        <v>كبدة خروف مشكوك</v>
      </c>
      <c r="E2592" s="30" t="str">
        <f>VLOOKUP(B2592, 'All Menu'!B:M, 2, 0)</f>
        <v>قسم الملحمة</v>
      </c>
      <c r="F2592" s="103" t="str">
        <f>VLOOKUP(B2592, 'All Menu'!B:M, 3, 0)</f>
        <v>لحوم مشكوكة</v>
      </c>
      <c r="G2592" s="90" t="s">
        <v>3058</v>
      </c>
      <c r="H2592" s="188">
        <v>1082</v>
      </c>
      <c r="I2592" s="110" t="str">
        <f>VLOOKUP(H2592, 'RM &amp; SF'!B:H, 2, 0)</f>
        <v>كبدة غنم</v>
      </c>
      <c r="J2592" s="184" t="str">
        <f>VLOOKUP(H2592, 'RM &amp; SF'!B:E, 4, 0)</f>
        <v>غم</v>
      </c>
      <c r="K2592" s="12">
        <v>1000</v>
      </c>
      <c r="L2592" s="13">
        <f>VLOOKUP(H2592, 'RM &amp; SF'!B:H, 7, 0)</f>
        <v>7.0000000000000001E-3</v>
      </c>
      <c r="M2592" s="7">
        <f t="shared" si="135"/>
        <v>7</v>
      </c>
      <c r="N2592" s="4" t="s">
        <v>825</v>
      </c>
      <c r="O2592" s="4">
        <f>VLOOKUP(B2592, 'All Menu'!B:L, 6, 0)</f>
        <v>16</v>
      </c>
      <c r="P2592" s="6">
        <f>VLOOKUP(B2592, 'All Menu'!B:L, 9, 0)</f>
        <v>8.1582059229208923</v>
      </c>
      <c r="Q2592" s="14">
        <f>VLOOKUP(B2592, 'All Menu'!B:M, 12, 0)</f>
        <v>0.49011212981744423</v>
      </c>
      <c r="R2592" s="173">
        <f t="shared" si="134"/>
        <v>0</v>
      </c>
    </row>
    <row r="2593" spans="1:18" ht="14" hidden="1">
      <c r="A2593" s="78" t="s">
        <v>2886</v>
      </c>
      <c r="B2593" s="220">
        <v>60037</v>
      </c>
      <c r="C2593" s="185"/>
      <c r="D2593" s="103" t="str">
        <f>VLOOKUP(B2593, 'All Menu'!B:M, 4, 0)</f>
        <v>كبدة خروف مشكوك</v>
      </c>
      <c r="E2593" s="30" t="str">
        <f>VLOOKUP(B2593, 'All Menu'!B:M, 2, 0)</f>
        <v>قسم الملحمة</v>
      </c>
      <c r="F2593" s="103" t="str">
        <f>VLOOKUP(B2593, 'All Menu'!B:M, 3, 0)</f>
        <v>لحوم مشكوكة</v>
      </c>
      <c r="G2593" s="90" t="s">
        <v>2309</v>
      </c>
      <c r="H2593" s="188">
        <v>4491</v>
      </c>
      <c r="I2593" s="110" t="str">
        <f>VLOOKUP(H2593, 'RM &amp; SF'!B:H, 2, 0)</f>
        <v>بندورة جامدة*****</v>
      </c>
      <c r="J2593" s="184" t="str">
        <f>VLOOKUP(H2593, 'RM &amp; SF'!B:E, 4, 0)</f>
        <v>غم</v>
      </c>
      <c r="K2593" s="12">
        <v>150</v>
      </c>
      <c r="L2593" s="13">
        <f>VLOOKUP(H2593, 'RM &amp; SF'!B:H, 7, 0)</f>
        <v>5.0000000000000001E-4</v>
      </c>
      <c r="M2593" s="7">
        <f t="shared" si="135"/>
        <v>7.4999999999999997E-2</v>
      </c>
      <c r="N2593" s="4" t="s">
        <v>825</v>
      </c>
      <c r="O2593" s="4">
        <f>VLOOKUP(B2593, 'All Menu'!B:L, 6, 0)</f>
        <v>16</v>
      </c>
      <c r="P2593" s="6">
        <f>VLOOKUP(B2593, 'All Menu'!B:L, 9, 0)</f>
        <v>8.1582059229208923</v>
      </c>
      <c r="Q2593" s="14">
        <f>VLOOKUP(B2593, 'All Menu'!B:M, 12, 0)</f>
        <v>0.49011212981744423</v>
      </c>
      <c r="R2593" s="173">
        <f t="shared" si="134"/>
        <v>0</v>
      </c>
    </row>
    <row r="2594" spans="1:18" ht="14" hidden="1">
      <c r="A2594" s="78" t="s">
        <v>2886</v>
      </c>
      <c r="B2594" s="220">
        <v>60037</v>
      </c>
      <c r="C2594" s="185"/>
      <c r="D2594" s="103" t="str">
        <f>VLOOKUP(B2594, 'All Menu'!B:M, 4, 0)</f>
        <v>كبدة خروف مشكوك</v>
      </c>
      <c r="E2594" s="30" t="str">
        <f>VLOOKUP(B2594, 'All Menu'!B:M, 2, 0)</f>
        <v>قسم الملحمة</v>
      </c>
      <c r="F2594" s="103" t="str">
        <f>VLOOKUP(B2594, 'All Menu'!B:M, 3, 0)</f>
        <v>لحوم مشكوكة</v>
      </c>
      <c r="G2594" s="90" t="s">
        <v>2234</v>
      </c>
      <c r="H2594" s="188">
        <v>4503</v>
      </c>
      <c r="I2594" s="110" t="str">
        <f>VLOOKUP(H2594, 'RM &amp; SF'!B:H, 2, 0)</f>
        <v>بصل ناشف دفش*****</v>
      </c>
      <c r="J2594" s="184" t="str">
        <f>VLOOKUP(H2594, 'RM &amp; SF'!B:E, 4, 0)</f>
        <v>غم</v>
      </c>
      <c r="K2594" s="12">
        <v>150</v>
      </c>
      <c r="L2594" s="13">
        <f>VLOOKUP(H2594, 'RM &amp; SF'!B:H, 7, 0)</f>
        <v>2.5000000000000001E-4</v>
      </c>
      <c r="M2594" s="7">
        <f t="shared" si="135"/>
        <v>3.7499999999999999E-2</v>
      </c>
      <c r="N2594" s="4" t="s">
        <v>825</v>
      </c>
      <c r="O2594" s="4">
        <f>VLOOKUP(B2594, 'All Menu'!B:L, 6, 0)</f>
        <v>16</v>
      </c>
      <c r="P2594" s="6">
        <f>VLOOKUP(B2594, 'All Menu'!B:L, 9, 0)</f>
        <v>8.1582059229208923</v>
      </c>
      <c r="Q2594" s="14">
        <f>VLOOKUP(B2594, 'All Menu'!B:M, 12, 0)</f>
        <v>0.49011212981744423</v>
      </c>
      <c r="R2594" s="173">
        <f t="shared" si="134"/>
        <v>0</v>
      </c>
    </row>
    <row r="2595" spans="1:18" ht="14" hidden="1">
      <c r="A2595" s="78" t="s">
        <v>2886</v>
      </c>
      <c r="B2595" s="220">
        <v>60037</v>
      </c>
      <c r="C2595" s="185"/>
      <c r="D2595" s="103" t="str">
        <f>VLOOKUP(B2595, 'All Menu'!B:M, 4, 0)</f>
        <v>كبدة خروف مشكوك</v>
      </c>
      <c r="E2595" s="30" t="str">
        <f>VLOOKUP(B2595, 'All Menu'!B:M, 2, 0)</f>
        <v>قسم الملحمة</v>
      </c>
      <c r="F2595" s="103" t="str">
        <f>VLOOKUP(B2595, 'All Menu'!B:M, 3, 0)</f>
        <v>لحوم مشكوكة</v>
      </c>
      <c r="G2595" s="90" t="s">
        <v>2201</v>
      </c>
      <c r="H2595" s="188">
        <v>4412</v>
      </c>
      <c r="I2595" s="110" t="str">
        <f>VLOOKUP(H2595, 'RM &amp; SF'!B:H, 2, 0)</f>
        <v>اسياخ شوي رفيع سفري 1*100 حبة*****</v>
      </c>
      <c r="J2595" s="184" t="str">
        <f>VLOOKUP(H2595, 'RM &amp; SF'!B:E, 4, 0)</f>
        <v>قطعة</v>
      </c>
      <c r="K2595" s="12">
        <v>12</v>
      </c>
      <c r="L2595" s="13">
        <f>VLOOKUP(H2595, 'RM &amp; SF'!B:H, 7, 0)</f>
        <v>6.8970000000000004E-2</v>
      </c>
      <c r="M2595" s="7">
        <f t="shared" si="135"/>
        <v>0.82764000000000004</v>
      </c>
      <c r="N2595" s="4" t="s">
        <v>825</v>
      </c>
      <c r="O2595" s="4">
        <f>VLOOKUP(B2595, 'All Menu'!B:L, 6, 0)</f>
        <v>16</v>
      </c>
      <c r="P2595" s="6">
        <f>VLOOKUP(B2595, 'All Menu'!B:L, 9, 0)</f>
        <v>8.1582059229208923</v>
      </c>
      <c r="Q2595" s="14">
        <f>VLOOKUP(B2595, 'All Menu'!B:M, 12, 0)</f>
        <v>0.49011212981744423</v>
      </c>
      <c r="R2595" s="173">
        <f t="shared" si="134"/>
        <v>0</v>
      </c>
    </row>
    <row r="2596" spans="1:18" ht="14" hidden="1">
      <c r="A2596" s="78" t="s">
        <v>2886</v>
      </c>
      <c r="B2596" s="220">
        <v>60037</v>
      </c>
      <c r="C2596" s="185"/>
      <c r="D2596" s="103" t="str">
        <f>VLOOKUP(B2596, 'All Menu'!B:M, 4, 0)</f>
        <v>كبدة خروف مشكوك</v>
      </c>
      <c r="E2596" s="30" t="str">
        <f>VLOOKUP(B2596, 'All Menu'!B:M, 2, 0)</f>
        <v>قسم الملحمة</v>
      </c>
      <c r="F2596" s="103" t="str">
        <f>VLOOKUP(B2596, 'All Menu'!B:M, 3, 0)</f>
        <v>لحوم مشكوكة</v>
      </c>
      <c r="G2596" s="90" t="s">
        <v>3058</v>
      </c>
      <c r="H2596" s="188">
        <v>4806</v>
      </c>
      <c r="I2596" s="110" t="str">
        <f>VLOOKUP(H2596, 'RM &amp; SF'!B:H, 2, 0)</f>
        <v>بوكس مشاوي كرتون (بوكس الرحلة) 38*26*5 سم 1*25 حبة*****</v>
      </c>
      <c r="J2596" s="184" t="str">
        <f>VLOOKUP(H2596, 'RM &amp; SF'!B:E, 4, 0)</f>
        <v>قطعة</v>
      </c>
      <c r="K2596" s="12">
        <v>1</v>
      </c>
      <c r="L2596" s="13">
        <f>VLOOKUP(H2596, 'RM &amp; SF'!B:H, 7, 0)</f>
        <v>0.218</v>
      </c>
      <c r="M2596" s="7">
        <f t="shared" si="135"/>
        <v>0.218</v>
      </c>
      <c r="N2596" s="4" t="s">
        <v>825</v>
      </c>
      <c r="O2596" s="4">
        <f>VLOOKUP(B2596, 'All Menu'!B:L, 6, 0)</f>
        <v>16</v>
      </c>
      <c r="P2596" s="6">
        <f>VLOOKUP(B2596, 'All Menu'!B:L, 9, 0)</f>
        <v>8.1582059229208923</v>
      </c>
      <c r="Q2596" s="14">
        <f>VLOOKUP(B2596, 'All Menu'!B:M, 12, 0)</f>
        <v>0.49011212981744423</v>
      </c>
      <c r="R2596" s="173">
        <f t="shared" si="134"/>
        <v>0</v>
      </c>
    </row>
    <row r="2597" spans="1:18" ht="14" hidden="1">
      <c r="A2597" s="78" t="s">
        <v>2886</v>
      </c>
      <c r="B2597" s="220">
        <v>60037</v>
      </c>
      <c r="C2597" s="185"/>
      <c r="D2597" s="103" t="str">
        <f>VLOOKUP(B2597, 'All Menu'!B:M, 4, 0)</f>
        <v>كبدة خروف مشكوك</v>
      </c>
      <c r="E2597" s="30" t="str">
        <f>VLOOKUP(B2597, 'All Menu'!B:M, 2, 0)</f>
        <v>قسم الملحمة</v>
      </c>
      <c r="F2597" s="103" t="str">
        <f>VLOOKUP(B2597, 'All Menu'!B:M, 3, 0)</f>
        <v>لحوم مشكوكة</v>
      </c>
      <c r="G2597" s="90" t="s">
        <v>3058</v>
      </c>
      <c r="H2597" s="188">
        <v>5382</v>
      </c>
      <c r="I2597" s="110" t="str">
        <f>VLOOKUP(H2597, 'RM &amp; SF'!B:H, 2, 0)</f>
        <v>ورق زبدة</v>
      </c>
      <c r="J2597" s="184" t="str">
        <f>VLOOKUP(H2597, 'RM &amp; SF'!B:E, 4, 0)</f>
        <v>غم</v>
      </c>
      <c r="K2597" s="12">
        <v>0.02</v>
      </c>
      <c r="L2597" s="13">
        <f>VLOOKUP(H2597, 'RM &amp; SF'!B:H, 7, 0)</f>
        <v>3.2961460446247468E-3</v>
      </c>
      <c r="M2597" s="7">
        <f t="shared" si="135"/>
        <v>6.5922920892494934E-5</v>
      </c>
      <c r="N2597" s="4" t="s">
        <v>825</v>
      </c>
      <c r="O2597" s="4">
        <f>VLOOKUP(B2597, 'All Menu'!B:L, 6, 0)</f>
        <v>16</v>
      </c>
      <c r="P2597" s="6">
        <f>VLOOKUP(B2597, 'All Menu'!B:L, 9, 0)</f>
        <v>8.1582059229208923</v>
      </c>
      <c r="Q2597" s="14">
        <f>VLOOKUP(B2597, 'All Menu'!B:M, 12, 0)</f>
        <v>0.49011212981744423</v>
      </c>
      <c r="R2597" s="173">
        <f t="shared" si="134"/>
        <v>0</v>
      </c>
    </row>
    <row r="2598" spans="1:18" ht="14" hidden="1">
      <c r="A2598" s="78" t="s">
        <v>2887</v>
      </c>
      <c r="B2598" s="220">
        <v>60041</v>
      </c>
      <c r="C2598" s="185"/>
      <c r="D2598" s="103" t="str">
        <f>VLOOKUP(B2598, 'All Menu'!B:M, 4, 0)</f>
        <v>بوكس برغر لحمة</v>
      </c>
      <c r="E2598" s="30" t="str">
        <f>VLOOKUP(B2598, 'All Menu'!B:M, 2, 0)</f>
        <v>قسم الملحمة</v>
      </c>
      <c r="F2598" s="103" t="str">
        <f>VLOOKUP(B2598, 'All Menu'!B:M, 3, 0)</f>
        <v>لحوم مشكوكة</v>
      </c>
      <c r="G2598" s="90" t="s">
        <v>2365</v>
      </c>
      <c r="H2598" s="219" t="s">
        <v>762</v>
      </c>
      <c r="I2598" s="110" t="str">
        <f>VLOOKUP(H2598, 'RM &amp; SF'!B:H, 2, 0)</f>
        <v>برجر لحم</v>
      </c>
      <c r="J2598" s="184" t="str">
        <f>VLOOKUP(H2598, 'RM &amp; SF'!B:E, 4, 0)</f>
        <v>غم</v>
      </c>
      <c r="K2598" s="12">
        <v>1000</v>
      </c>
      <c r="L2598" s="13">
        <f>VLOOKUP(H2598, 'RM &amp; SF'!B:H, 7, 0)</f>
        <v>3.960397E-3</v>
      </c>
      <c r="M2598" s="7">
        <f t="shared" ref="M2598:M2624" si="136">L2598*K2598</f>
        <v>3.9603969999999999</v>
      </c>
      <c r="N2598" s="4" t="s">
        <v>825</v>
      </c>
      <c r="O2598" s="4">
        <f>VLOOKUP(B2598, 'All Menu'!B:L, 6, 0)</f>
        <v>18</v>
      </c>
      <c r="P2598" s="6">
        <f>VLOOKUP(B2598, 'All Menu'!B:L, 9, 0)</f>
        <v>9.5930438909447719</v>
      </c>
      <c r="Q2598" s="14">
        <f>VLOOKUP(B2598, 'All Menu'!B:M, 12, 0)</f>
        <v>0.46705311716973491</v>
      </c>
      <c r="R2598" s="173">
        <f t="shared" si="134"/>
        <v>0</v>
      </c>
    </row>
    <row r="2599" spans="1:18" ht="14" hidden="1">
      <c r="A2599" s="78" t="s">
        <v>2887</v>
      </c>
      <c r="B2599" s="220">
        <v>60041</v>
      </c>
      <c r="C2599" s="185"/>
      <c r="D2599" s="103" t="str">
        <f>VLOOKUP(B2599, 'All Menu'!B:M, 4, 0)</f>
        <v>بوكس برغر لحمة</v>
      </c>
      <c r="E2599" s="30" t="str">
        <f>VLOOKUP(B2599, 'All Menu'!B:M, 2, 0)</f>
        <v>قسم الملحمة</v>
      </c>
      <c r="F2599" s="103" t="str">
        <f>VLOOKUP(B2599, 'All Menu'!B:M, 3, 0)</f>
        <v>لحوم مشكوكة</v>
      </c>
      <c r="G2599" s="90" t="s">
        <v>2234</v>
      </c>
      <c r="H2599" s="188">
        <v>4503</v>
      </c>
      <c r="I2599" s="110" t="str">
        <f>VLOOKUP(H2599, 'RM &amp; SF'!B:H, 2, 0)</f>
        <v>بصل ناشف دفش*****</v>
      </c>
      <c r="J2599" s="184" t="str">
        <f>VLOOKUP(H2599, 'RM &amp; SF'!B:E, 4, 0)</f>
        <v>غم</v>
      </c>
      <c r="K2599" s="12">
        <v>150</v>
      </c>
      <c r="L2599" s="13">
        <f>VLOOKUP(H2599, 'RM &amp; SF'!B:H, 7, 0)</f>
        <v>2.5000000000000001E-4</v>
      </c>
      <c r="M2599" s="7">
        <f t="shared" si="136"/>
        <v>3.7499999999999999E-2</v>
      </c>
      <c r="N2599" s="4" t="s">
        <v>825</v>
      </c>
      <c r="O2599" s="4">
        <f>VLOOKUP(B2599, 'All Menu'!B:L, 6, 0)</f>
        <v>18</v>
      </c>
      <c r="P2599" s="6">
        <f>VLOOKUP(B2599, 'All Menu'!B:L, 9, 0)</f>
        <v>9.5930438909447719</v>
      </c>
      <c r="Q2599" s="14">
        <f>VLOOKUP(B2599, 'All Menu'!B:M, 12, 0)</f>
        <v>0.46705311716973491</v>
      </c>
      <c r="R2599" s="173">
        <f t="shared" si="134"/>
        <v>0</v>
      </c>
    </row>
    <row r="2600" spans="1:18" ht="14" hidden="1">
      <c r="A2600" s="78" t="s">
        <v>2887</v>
      </c>
      <c r="B2600" s="220">
        <v>60041</v>
      </c>
      <c r="C2600" s="185"/>
      <c r="D2600" s="103" t="str">
        <f>VLOOKUP(B2600, 'All Menu'!B:M, 4, 0)</f>
        <v>بوكس برغر لحمة</v>
      </c>
      <c r="E2600" s="30" t="str">
        <f>VLOOKUP(B2600, 'All Menu'!B:M, 2, 0)</f>
        <v>قسم الملحمة</v>
      </c>
      <c r="F2600" s="103" t="str">
        <f>VLOOKUP(B2600, 'All Menu'!B:M, 3, 0)</f>
        <v>لحوم مشكوكة</v>
      </c>
      <c r="G2600" s="90" t="s">
        <v>2309</v>
      </c>
      <c r="H2600" s="188">
        <v>4491</v>
      </c>
      <c r="I2600" s="110" t="str">
        <f>VLOOKUP(H2600, 'RM &amp; SF'!B:H, 2, 0)</f>
        <v>بندورة جامدة*****</v>
      </c>
      <c r="J2600" s="184" t="str">
        <f>VLOOKUP(H2600, 'RM &amp; SF'!B:E, 4, 0)</f>
        <v>غم</v>
      </c>
      <c r="K2600" s="12">
        <v>150</v>
      </c>
      <c r="L2600" s="13">
        <f>VLOOKUP(H2600, 'RM &amp; SF'!B:H, 7, 0)</f>
        <v>5.0000000000000001E-4</v>
      </c>
      <c r="M2600" s="7">
        <f t="shared" si="136"/>
        <v>7.4999999999999997E-2</v>
      </c>
      <c r="N2600" s="4" t="s">
        <v>825</v>
      </c>
      <c r="O2600" s="4">
        <f>VLOOKUP(B2600, 'All Menu'!B:L, 6, 0)</f>
        <v>18</v>
      </c>
      <c r="P2600" s="6">
        <f>VLOOKUP(B2600, 'All Menu'!B:L, 9, 0)</f>
        <v>9.5930438909447719</v>
      </c>
      <c r="Q2600" s="14">
        <f>VLOOKUP(B2600, 'All Menu'!B:M, 12, 0)</f>
        <v>0.46705311716973491</v>
      </c>
      <c r="R2600" s="173">
        <f t="shared" si="134"/>
        <v>0</v>
      </c>
    </row>
    <row r="2601" spans="1:18" ht="14" hidden="1">
      <c r="A2601" s="78" t="s">
        <v>2887</v>
      </c>
      <c r="B2601" s="220">
        <v>60041</v>
      </c>
      <c r="C2601" s="185"/>
      <c r="D2601" s="103" t="str">
        <f>VLOOKUP(B2601, 'All Menu'!B:M, 4, 0)</f>
        <v>بوكس برغر لحمة</v>
      </c>
      <c r="E2601" s="30" t="str">
        <f>VLOOKUP(B2601, 'All Menu'!B:M, 2, 0)</f>
        <v>قسم الملحمة</v>
      </c>
      <c r="F2601" s="103" t="str">
        <f>VLOOKUP(B2601, 'All Menu'!B:M, 3, 0)</f>
        <v>لحوم مشكوكة</v>
      </c>
      <c r="G2601" s="90" t="s">
        <v>2175</v>
      </c>
      <c r="H2601" s="188">
        <v>4562</v>
      </c>
      <c r="I2601" s="110" t="str">
        <f>VLOOKUP(H2601, 'RM &amp; SF'!B:H, 2, 0)</f>
        <v>*****جبنة شدر احمر شرائح 2.270 كغ</v>
      </c>
      <c r="J2601" s="184" t="str">
        <f>VLOOKUP(H2601, 'RM &amp; SF'!B:E, 4, 0)</f>
        <v>قطعة</v>
      </c>
      <c r="K2601" s="12">
        <v>8</v>
      </c>
      <c r="L2601" s="13">
        <f>VLOOKUP(H2601, 'RM &amp; SF'!B:H, 7, 0)</f>
        <v>0.18560000000000001</v>
      </c>
      <c r="M2601" s="7">
        <f t="shared" si="136"/>
        <v>1.4848000000000001</v>
      </c>
      <c r="N2601" s="4" t="s">
        <v>825</v>
      </c>
      <c r="O2601" s="4">
        <f>VLOOKUP(B2601, 'All Menu'!B:L, 6, 0)</f>
        <v>18</v>
      </c>
      <c r="P2601" s="6">
        <f>VLOOKUP(B2601, 'All Menu'!B:L, 9, 0)</f>
        <v>9.5930438909447719</v>
      </c>
      <c r="Q2601" s="14">
        <f>VLOOKUP(B2601, 'All Menu'!B:M, 12, 0)</f>
        <v>0.46705311716973491</v>
      </c>
      <c r="R2601" s="173">
        <f t="shared" si="134"/>
        <v>0</v>
      </c>
    </row>
    <row r="2602" spans="1:18" ht="14" hidden="1">
      <c r="A2602" s="78" t="s">
        <v>2887</v>
      </c>
      <c r="B2602" s="220">
        <v>60041</v>
      </c>
      <c r="C2602" s="185"/>
      <c r="D2602" s="103" t="str">
        <f>VLOOKUP(B2602, 'All Menu'!B:M, 4, 0)</f>
        <v>بوكس برغر لحمة</v>
      </c>
      <c r="E2602" s="30" t="str">
        <f>VLOOKUP(B2602, 'All Menu'!B:M, 2, 0)</f>
        <v>قسم الملحمة</v>
      </c>
      <c r="F2602" s="103" t="str">
        <f>VLOOKUP(B2602, 'All Menu'!B:M, 3, 0)</f>
        <v>لحوم مشكوكة</v>
      </c>
      <c r="G2602" s="90" t="s">
        <v>2318</v>
      </c>
      <c r="H2602" s="188">
        <v>4255</v>
      </c>
      <c r="I2602" s="110" t="str">
        <f>VLOOKUP(H2602, 'RM &amp; SF'!B:H, 2, 0)</f>
        <v>هلابينيو ناشف*****</v>
      </c>
      <c r="J2602" s="184" t="str">
        <f>VLOOKUP(H2602, 'RM &amp; SF'!B:E, 4, 0)</f>
        <v>غم</v>
      </c>
      <c r="K2602" s="12">
        <v>100</v>
      </c>
      <c r="L2602" s="13">
        <f>VLOOKUP(H2602, 'RM &amp; SF'!B:H, 7, 0)</f>
        <v>2E-3</v>
      </c>
      <c r="M2602" s="7">
        <f t="shared" si="136"/>
        <v>0.2</v>
      </c>
      <c r="N2602" s="4" t="s">
        <v>825</v>
      </c>
      <c r="O2602" s="4">
        <f>VLOOKUP(B2602, 'All Menu'!B:L, 6, 0)</f>
        <v>18</v>
      </c>
      <c r="P2602" s="6">
        <f>VLOOKUP(B2602, 'All Menu'!B:L, 9, 0)</f>
        <v>9.5930438909447719</v>
      </c>
      <c r="Q2602" s="14">
        <f>VLOOKUP(B2602, 'All Menu'!B:M, 12, 0)</f>
        <v>0.46705311716973491</v>
      </c>
      <c r="R2602" s="173">
        <f t="shared" si="134"/>
        <v>0</v>
      </c>
    </row>
    <row r="2603" spans="1:18" ht="14" hidden="1">
      <c r="A2603" s="78" t="s">
        <v>2887</v>
      </c>
      <c r="B2603" s="220">
        <v>60041</v>
      </c>
      <c r="C2603" s="185"/>
      <c r="D2603" s="103" t="str">
        <f>VLOOKUP(B2603, 'All Menu'!B:M, 4, 0)</f>
        <v>بوكس برغر لحمة</v>
      </c>
      <c r="E2603" s="30" t="str">
        <f>VLOOKUP(B2603, 'All Menu'!B:M, 2, 0)</f>
        <v>قسم الملحمة</v>
      </c>
      <c r="F2603" s="103" t="str">
        <f>VLOOKUP(B2603, 'All Menu'!B:M, 3, 0)</f>
        <v>لحوم مشكوكة</v>
      </c>
      <c r="G2603" s="90" t="s">
        <v>2297</v>
      </c>
      <c r="H2603" s="188">
        <v>4870</v>
      </c>
      <c r="I2603" s="110" t="str">
        <f>VLOOKUP(H2603, 'RM &amp; SF'!B:H, 2, 0)</f>
        <v>مخلل الهمبرجر شرائح (تشيبس) بنكهة الشبت 1100 غم = الوزن المصفى*****</v>
      </c>
      <c r="J2603" s="184" t="str">
        <f>VLOOKUP(H2603, 'RM &amp; SF'!B:E, 4, 0)</f>
        <v>غم</v>
      </c>
      <c r="K2603" s="12">
        <v>150</v>
      </c>
      <c r="L2603" s="13">
        <f>VLOOKUP(H2603, 'RM &amp; SF'!B:H, 7, 0)</f>
        <v>2.568E-3</v>
      </c>
      <c r="M2603" s="7">
        <f t="shared" si="136"/>
        <v>0.38519999999999999</v>
      </c>
      <c r="N2603" s="4" t="s">
        <v>825</v>
      </c>
      <c r="O2603" s="4">
        <f>VLOOKUP(B2603, 'All Menu'!B:L, 6, 0)</f>
        <v>18</v>
      </c>
      <c r="P2603" s="6">
        <f>VLOOKUP(B2603, 'All Menu'!B:L, 9, 0)</f>
        <v>9.5930438909447719</v>
      </c>
      <c r="Q2603" s="14">
        <f>VLOOKUP(B2603, 'All Menu'!B:M, 12, 0)</f>
        <v>0.46705311716973491</v>
      </c>
      <c r="R2603" s="173">
        <f t="shared" si="134"/>
        <v>0</v>
      </c>
    </row>
    <row r="2604" spans="1:18" ht="14" hidden="1">
      <c r="A2604" s="78" t="s">
        <v>2887</v>
      </c>
      <c r="B2604" s="220">
        <v>60041</v>
      </c>
      <c r="C2604" s="185"/>
      <c r="D2604" s="103" t="str">
        <f>VLOOKUP(B2604, 'All Menu'!B:M, 4, 0)</f>
        <v>بوكس برغر لحمة</v>
      </c>
      <c r="E2604" s="30" t="str">
        <f>VLOOKUP(B2604, 'All Menu'!B:M, 2, 0)</f>
        <v>قسم الملحمة</v>
      </c>
      <c r="F2604" s="103" t="str">
        <f>VLOOKUP(B2604, 'All Menu'!B:M, 3, 0)</f>
        <v>لحوم مشكوكة</v>
      </c>
      <c r="G2604" s="90" t="s">
        <v>2226</v>
      </c>
      <c r="H2604" s="188">
        <v>5045</v>
      </c>
      <c r="I2604" s="110" t="str">
        <f>VLOOKUP(H2604, 'RM &amp; SF'!B:H, 2, 0)</f>
        <v>*****خبز بيرجر بطاطا 5 لنش مغلف بشكل منفصل</v>
      </c>
      <c r="J2604" s="184" t="str">
        <f>VLOOKUP(H2604, 'RM &amp; SF'!B:E, 4, 0)</f>
        <v>قطعة</v>
      </c>
      <c r="K2604" s="12">
        <v>8</v>
      </c>
      <c r="L2604" s="13">
        <f>VLOOKUP(H2604, 'RM &amp; SF'!B:H, 7, 0)</f>
        <v>0.17499999999999999</v>
      </c>
      <c r="M2604" s="7">
        <f t="shared" si="136"/>
        <v>1.4</v>
      </c>
      <c r="N2604" s="4" t="s">
        <v>825</v>
      </c>
      <c r="O2604" s="4">
        <f>VLOOKUP(B2604, 'All Menu'!B:L, 6, 0)</f>
        <v>18</v>
      </c>
      <c r="P2604" s="6">
        <f>VLOOKUP(B2604, 'All Menu'!B:L, 9, 0)</f>
        <v>9.5930438909447719</v>
      </c>
      <c r="Q2604" s="14">
        <f>VLOOKUP(B2604, 'All Menu'!B:M, 12, 0)</f>
        <v>0.46705311716973491</v>
      </c>
      <c r="R2604" s="173">
        <f t="shared" si="134"/>
        <v>0</v>
      </c>
    </row>
    <row r="2605" spans="1:18" ht="14" hidden="1">
      <c r="A2605" s="78" t="s">
        <v>2887</v>
      </c>
      <c r="B2605" s="220">
        <v>60041</v>
      </c>
      <c r="C2605" s="185"/>
      <c r="D2605" s="103" t="str">
        <f>VLOOKUP(B2605, 'All Menu'!B:M, 4, 0)</f>
        <v>بوكس برغر لحمة</v>
      </c>
      <c r="E2605" s="30" t="str">
        <f>VLOOKUP(B2605, 'All Menu'!B:M, 2, 0)</f>
        <v>قسم الملحمة</v>
      </c>
      <c r="F2605" s="103" t="str">
        <f>VLOOKUP(B2605, 'All Menu'!B:M, 3, 0)</f>
        <v>لحوم مشكوكة</v>
      </c>
      <c r="G2605" s="90" t="s">
        <v>2366</v>
      </c>
      <c r="H2605" s="219" t="s">
        <v>764</v>
      </c>
      <c r="I2605" s="110" t="str">
        <f>VLOOKUP(H2605, 'RM &amp; SF'!B:H, 2, 0)</f>
        <v>صوص برجر</v>
      </c>
      <c r="J2605" s="184" t="str">
        <f>VLOOKUP(H2605, 'RM &amp; SF'!B:E, 4, 0)</f>
        <v>غم</v>
      </c>
      <c r="K2605" s="12">
        <v>180</v>
      </c>
      <c r="L2605" s="13">
        <f>VLOOKUP(H2605, 'RM &amp; SF'!B:H, 7, 0)</f>
        <v>1.8102439024390246E-3</v>
      </c>
      <c r="M2605" s="7">
        <f t="shared" si="136"/>
        <v>0.32584390243902445</v>
      </c>
      <c r="N2605" s="4" t="s">
        <v>825</v>
      </c>
      <c r="O2605" s="4">
        <f>VLOOKUP(B2605, 'All Menu'!B:L, 6, 0)</f>
        <v>18</v>
      </c>
      <c r="P2605" s="6">
        <f>VLOOKUP(B2605, 'All Menu'!B:L, 9, 0)</f>
        <v>9.5930438909447719</v>
      </c>
      <c r="Q2605" s="14">
        <f>VLOOKUP(B2605, 'All Menu'!B:M, 12, 0)</f>
        <v>0.46705311716973491</v>
      </c>
      <c r="R2605" s="173">
        <f t="shared" si="134"/>
        <v>0</v>
      </c>
    </row>
    <row r="2606" spans="1:18" ht="14" hidden="1">
      <c r="A2606" s="78" t="s">
        <v>2887</v>
      </c>
      <c r="B2606" s="220">
        <v>60041</v>
      </c>
      <c r="C2606" s="185"/>
      <c r="D2606" s="103" t="str">
        <f>VLOOKUP(B2606, 'All Menu'!B:M, 4, 0)</f>
        <v>بوكس برغر لحمة</v>
      </c>
      <c r="E2606" s="30" t="str">
        <f>VLOOKUP(B2606, 'All Menu'!B:M, 2, 0)</f>
        <v>قسم الملحمة</v>
      </c>
      <c r="F2606" s="103" t="str">
        <f>VLOOKUP(B2606, 'All Menu'!B:M, 3, 0)</f>
        <v>لحوم مشكوكة</v>
      </c>
      <c r="G2606" s="90" t="s">
        <v>3058</v>
      </c>
      <c r="H2606" s="188">
        <v>4168</v>
      </c>
      <c r="I2606" s="110" t="str">
        <f>VLOOKUP(H2606, 'RM &amp; SF'!B:H, 2, 0)</f>
        <v>مشروب غازي ماتركس 250 مل*****</v>
      </c>
      <c r="J2606" s="184" t="str">
        <f>VLOOKUP(H2606, 'RM &amp; SF'!B:E, 4, 0)</f>
        <v>قطعة</v>
      </c>
      <c r="K2606" s="12">
        <v>8</v>
      </c>
      <c r="L2606" s="13">
        <f>VLOOKUP(H2606, 'RM &amp; SF'!B:H, 7, 0)</f>
        <v>0.13741666666666666</v>
      </c>
      <c r="M2606" s="7">
        <f t="shared" si="136"/>
        <v>1.0993333333333333</v>
      </c>
      <c r="N2606" s="4" t="s">
        <v>825</v>
      </c>
      <c r="O2606" s="4">
        <f>VLOOKUP(B2606, 'All Menu'!B:L, 6, 0)</f>
        <v>18</v>
      </c>
      <c r="P2606" s="6">
        <f>VLOOKUP(B2606, 'All Menu'!B:L, 9, 0)</f>
        <v>9.5930438909447719</v>
      </c>
      <c r="Q2606" s="14">
        <f>VLOOKUP(B2606, 'All Menu'!B:M, 12, 0)</f>
        <v>0.46705311716973491</v>
      </c>
      <c r="R2606" s="173">
        <f t="shared" si="134"/>
        <v>0</v>
      </c>
    </row>
    <row r="2607" spans="1:18" ht="14" hidden="1">
      <c r="A2607" s="78" t="s">
        <v>2887</v>
      </c>
      <c r="B2607" s="220">
        <v>60041</v>
      </c>
      <c r="C2607" s="185"/>
      <c r="D2607" s="103" t="str">
        <f>VLOOKUP(B2607, 'All Menu'!B:M, 4, 0)</f>
        <v>بوكس برغر لحمة</v>
      </c>
      <c r="E2607" s="30" t="str">
        <f>VLOOKUP(B2607, 'All Menu'!B:M, 2, 0)</f>
        <v>قسم الملحمة</v>
      </c>
      <c r="F2607" s="103" t="str">
        <f>VLOOKUP(B2607, 'All Menu'!B:M, 3, 0)</f>
        <v>لحوم مشكوكة</v>
      </c>
      <c r="G2607" s="90" t="s">
        <v>3058</v>
      </c>
      <c r="H2607" s="188">
        <v>5404</v>
      </c>
      <c r="I2607" s="110" t="str">
        <f>VLOOKUP(H2607, 'RM &amp; SF'!B:H, 2, 0)</f>
        <v>بوكس برجر</v>
      </c>
      <c r="J2607" s="184" t="str">
        <f>VLOOKUP(H2607, 'RM &amp; SF'!B:E, 4, 0)</f>
        <v>قطعة</v>
      </c>
      <c r="K2607" s="12">
        <v>1</v>
      </c>
      <c r="L2607" s="13">
        <f>VLOOKUP(H2607, 'RM &amp; SF'!B:H, 7, 0)</f>
        <v>0.37068965517241381</v>
      </c>
      <c r="M2607" s="7">
        <f t="shared" si="136"/>
        <v>0.37068965517241381</v>
      </c>
      <c r="N2607" s="4" t="s">
        <v>825</v>
      </c>
      <c r="O2607" s="4">
        <f>VLOOKUP(B2607, 'All Menu'!B:L, 6, 0)</f>
        <v>18</v>
      </c>
      <c r="P2607" s="6">
        <f>VLOOKUP(B2607, 'All Menu'!B:L, 9, 0)</f>
        <v>9.5930438909447719</v>
      </c>
      <c r="Q2607" s="14">
        <f>VLOOKUP(B2607, 'All Menu'!B:M, 12, 0)</f>
        <v>0.46705311716973491</v>
      </c>
      <c r="R2607" s="173">
        <f t="shared" si="134"/>
        <v>0</v>
      </c>
    </row>
    <row r="2608" spans="1:18" ht="14" hidden="1">
      <c r="A2608" s="78" t="s">
        <v>2887</v>
      </c>
      <c r="B2608" s="220">
        <v>60041</v>
      </c>
      <c r="C2608" s="185"/>
      <c r="D2608" s="103" t="str">
        <f>VLOOKUP(B2608, 'All Menu'!B:M, 4, 0)</f>
        <v>بوكس برغر لحمة</v>
      </c>
      <c r="E2608" s="30" t="str">
        <f>VLOOKUP(B2608, 'All Menu'!B:M, 2, 0)</f>
        <v>قسم الملحمة</v>
      </c>
      <c r="F2608" s="103" t="str">
        <f>VLOOKUP(B2608, 'All Menu'!B:M, 3, 0)</f>
        <v>لحوم مشكوكة</v>
      </c>
      <c r="G2608" s="90" t="s">
        <v>3058</v>
      </c>
      <c r="H2608" s="188">
        <v>4285</v>
      </c>
      <c r="I2608" s="110" t="str">
        <f>VLOOKUP(H2608, 'RM &amp; SF'!B:H, 2, 0)</f>
        <v>علب بلاستيك مربع متصل 150 مل*****</v>
      </c>
      <c r="J2608" s="184" t="str">
        <f>VLOOKUP(H2608, 'RM &amp; SF'!B:E, 4, 0)</f>
        <v>قطعة</v>
      </c>
      <c r="K2608" s="12">
        <v>12</v>
      </c>
      <c r="L2608" s="13">
        <f>VLOOKUP(H2608, 'RM &amp; SF'!B:H, 7, 0)</f>
        <v>1.494E-2</v>
      </c>
      <c r="M2608" s="7">
        <f t="shared" si="136"/>
        <v>0.17927999999999999</v>
      </c>
      <c r="N2608" s="4" t="s">
        <v>825</v>
      </c>
      <c r="O2608" s="4">
        <f>VLOOKUP(B2608, 'All Menu'!B:L, 6, 0)</f>
        <v>18</v>
      </c>
      <c r="P2608" s="6">
        <f>VLOOKUP(B2608, 'All Menu'!B:L, 9, 0)</f>
        <v>9.5930438909447719</v>
      </c>
      <c r="Q2608" s="14">
        <f>VLOOKUP(B2608, 'All Menu'!B:M, 12, 0)</f>
        <v>0.46705311716973491</v>
      </c>
      <c r="R2608" s="173">
        <f t="shared" si="134"/>
        <v>0</v>
      </c>
    </row>
    <row r="2609" spans="1:18" ht="14" hidden="1">
      <c r="A2609" s="78" t="s">
        <v>2887</v>
      </c>
      <c r="B2609" s="220">
        <v>60041</v>
      </c>
      <c r="C2609" s="185"/>
      <c r="D2609" s="103" t="str">
        <f>VLOOKUP(B2609, 'All Menu'!B:M, 4, 0)</f>
        <v>بوكس برغر لحمة</v>
      </c>
      <c r="E2609" s="30" t="str">
        <f>VLOOKUP(B2609, 'All Menu'!B:M, 2, 0)</f>
        <v>قسم الملحمة</v>
      </c>
      <c r="F2609" s="103" t="str">
        <f>VLOOKUP(B2609, 'All Menu'!B:M, 3, 0)</f>
        <v>لحوم مشكوكة</v>
      </c>
      <c r="G2609" s="90" t="s">
        <v>2241</v>
      </c>
      <c r="H2609" s="188">
        <v>4518</v>
      </c>
      <c r="I2609" s="110" t="str">
        <f>VLOOKUP(H2609, 'RM &amp; SF'!B:H, 2, 0)</f>
        <v>خس ايسبرغ*****</v>
      </c>
      <c r="J2609" s="184" t="str">
        <f>VLOOKUP(H2609, 'RM &amp; SF'!B:E, 4, 0)</f>
        <v>غم</v>
      </c>
      <c r="K2609" s="12">
        <v>100</v>
      </c>
      <c r="L2609" s="13">
        <f>VLOOKUP(H2609, 'RM &amp; SF'!B:H, 7, 0)</f>
        <v>7.5000000000000002E-4</v>
      </c>
      <c r="M2609" s="7">
        <f t="shared" si="136"/>
        <v>7.4999999999999997E-2</v>
      </c>
      <c r="N2609" s="4" t="s">
        <v>825</v>
      </c>
      <c r="O2609" s="4">
        <f>VLOOKUP(B2609, 'All Menu'!B:L, 6, 0)</f>
        <v>18</v>
      </c>
      <c r="P2609" s="6">
        <f>VLOOKUP(B2609, 'All Menu'!B:L, 9, 0)</f>
        <v>9.5930438909447719</v>
      </c>
      <c r="Q2609" s="14">
        <f>VLOOKUP(B2609, 'All Menu'!B:M, 12, 0)</f>
        <v>0.46705311716973491</v>
      </c>
      <c r="R2609" s="173">
        <f t="shared" si="134"/>
        <v>0</v>
      </c>
    </row>
    <row r="2610" spans="1:18" ht="14" hidden="1">
      <c r="A2610" s="78" t="s">
        <v>2888</v>
      </c>
      <c r="B2610" s="220">
        <v>60042</v>
      </c>
      <c r="C2610" s="185"/>
      <c r="D2610" s="103" t="str">
        <f>VLOOKUP(B2610, 'All Menu'!B:M, 4, 0)</f>
        <v>بوكس برغر دجاج</v>
      </c>
      <c r="E2610" s="30" t="str">
        <f>VLOOKUP(B2610, 'All Menu'!B:M, 2, 0)</f>
        <v>قسم الملحمة</v>
      </c>
      <c r="F2610" s="103" t="str">
        <f>VLOOKUP(B2610, 'All Menu'!B:M, 3, 0)</f>
        <v>لحوم مشكوكة</v>
      </c>
      <c r="G2610" s="90" t="s">
        <v>2346</v>
      </c>
      <c r="H2610" s="219" t="s">
        <v>716</v>
      </c>
      <c r="I2610" s="110" t="str">
        <f>VLOOKUP(H2610, 'RM &amp; SF'!B:H, 2, 0)</f>
        <v>برغر دجاج</v>
      </c>
      <c r="J2610" s="184" t="str">
        <f>VLOOKUP(H2610, 'RM &amp; SF'!B:E, 4, 0)</f>
        <v>غم</v>
      </c>
      <c r="K2610" s="12">
        <v>1000</v>
      </c>
      <c r="L2610" s="13">
        <f>VLOOKUP(H2610, 'RM &amp; SF'!B:H, 7, 0)</f>
        <v>4.2956090756704991E-3</v>
      </c>
      <c r="M2610" s="7">
        <f t="shared" si="136"/>
        <v>4.295609075670499</v>
      </c>
      <c r="N2610" s="4" t="s">
        <v>825</v>
      </c>
      <c r="O2610" s="4">
        <f>VLOOKUP(B2610, 'All Menu'!B:L, 6, 0)</f>
        <v>18</v>
      </c>
      <c r="P2610" s="6">
        <f>VLOOKUP(B2610, 'All Menu'!B:L, 9, 0)</f>
        <v>9.9282559666152714</v>
      </c>
      <c r="Q2610" s="14">
        <f>VLOOKUP(B2610, 'All Menu'!B:M, 12, 0)</f>
        <v>0.44843022407692934</v>
      </c>
      <c r="R2610" s="173">
        <f t="shared" si="134"/>
        <v>0</v>
      </c>
    </row>
    <row r="2611" spans="1:18" ht="14" hidden="1">
      <c r="A2611" s="78" t="s">
        <v>2888</v>
      </c>
      <c r="B2611" s="220">
        <v>60042</v>
      </c>
      <c r="C2611" s="185"/>
      <c r="D2611" s="103" t="str">
        <f>VLOOKUP(B2611, 'All Menu'!B:M, 4, 0)</f>
        <v>بوكس برغر دجاج</v>
      </c>
      <c r="E2611" s="30" t="str">
        <f>VLOOKUP(B2611, 'All Menu'!B:M, 2, 0)</f>
        <v>قسم الملحمة</v>
      </c>
      <c r="F2611" s="103" t="str">
        <f>VLOOKUP(B2611, 'All Menu'!B:M, 3, 0)</f>
        <v>لحوم مشكوكة</v>
      </c>
      <c r="G2611" s="90" t="s">
        <v>2234</v>
      </c>
      <c r="H2611" s="188">
        <v>4503</v>
      </c>
      <c r="I2611" s="110" t="str">
        <f>VLOOKUP(H2611, 'RM &amp; SF'!B:H, 2, 0)</f>
        <v>بصل ناشف دفش*****</v>
      </c>
      <c r="J2611" s="184" t="str">
        <f>VLOOKUP(H2611, 'RM &amp; SF'!B:E, 4, 0)</f>
        <v>غم</v>
      </c>
      <c r="K2611" s="12">
        <v>150</v>
      </c>
      <c r="L2611" s="13">
        <f>VLOOKUP(H2611, 'RM &amp; SF'!B:H, 7, 0)</f>
        <v>2.5000000000000001E-4</v>
      </c>
      <c r="M2611" s="7">
        <f t="shared" si="136"/>
        <v>3.7499999999999999E-2</v>
      </c>
      <c r="N2611" s="4" t="s">
        <v>825</v>
      </c>
      <c r="O2611" s="4">
        <f>VLOOKUP(B2611, 'All Menu'!B:L, 6, 0)</f>
        <v>18</v>
      </c>
      <c r="P2611" s="6">
        <f>VLOOKUP(B2611, 'All Menu'!B:L, 9, 0)</f>
        <v>9.9282559666152714</v>
      </c>
      <c r="Q2611" s="14">
        <f>VLOOKUP(B2611, 'All Menu'!B:M, 12, 0)</f>
        <v>0.44843022407692934</v>
      </c>
      <c r="R2611" s="173">
        <f t="shared" si="134"/>
        <v>0</v>
      </c>
    </row>
    <row r="2612" spans="1:18" ht="14" hidden="1">
      <c r="A2612" s="78" t="s">
        <v>2888</v>
      </c>
      <c r="B2612" s="220">
        <v>60042</v>
      </c>
      <c r="C2612" s="185"/>
      <c r="D2612" s="103" t="str">
        <f>VLOOKUP(B2612, 'All Menu'!B:M, 4, 0)</f>
        <v>بوكس برغر دجاج</v>
      </c>
      <c r="E2612" s="30" t="str">
        <f>VLOOKUP(B2612, 'All Menu'!B:M, 2, 0)</f>
        <v>قسم الملحمة</v>
      </c>
      <c r="F2612" s="103" t="str">
        <f>VLOOKUP(B2612, 'All Menu'!B:M, 3, 0)</f>
        <v>لحوم مشكوكة</v>
      </c>
      <c r="G2612" s="90" t="s">
        <v>2309</v>
      </c>
      <c r="H2612" s="188">
        <v>4491</v>
      </c>
      <c r="I2612" s="110" t="str">
        <f>VLOOKUP(H2612, 'RM &amp; SF'!B:H, 2, 0)</f>
        <v>بندورة جامدة*****</v>
      </c>
      <c r="J2612" s="184" t="str">
        <f>VLOOKUP(H2612, 'RM &amp; SF'!B:E, 4, 0)</f>
        <v>غم</v>
      </c>
      <c r="K2612" s="12">
        <v>150</v>
      </c>
      <c r="L2612" s="13">
        <f>VLOOKUP(H2612, 'RM &amp; SF'!B:H, 7, 0)</f>
        <v>5.0000000000000001E-4</v>
      </c>
      <c r="M2612" s="7">
        <f t="shared" si="136"/>
        <v>7.4999999999999997E-2</v>
      </c>
      <c r="N2612" s="4" t="s">
        <v>825</v>
      </c>
      <c r="O2612" s="4">
        <f>VLOOKUP(B2612, 'All Menu'!B:L, 6, 0)</f>
        <v>18</v>
      </c>
      <c r="P2612" s="6">
        <f>VLOOKUP(B2612, 'All Menu'!B:L, 9, 0)</f>
        <v>9.9282559666152714</v>
      </c>
      <c r="Q2612" s="14">
        <f>VLOOKUP(B2612, 'All Menu'!B:M, 12, 0)</f>
        <v>0.44843022407692934</v>
      </c>
      <c r="R2612" s="173">
        <f t="shared" si="134"/>
        <v>0</v>
      </c>
    </row>
    <row r="2613" spans="1:18" ht="14" hidden="1">
      <c r="A2613" s="78" t="s">
        <v>2888</v>
      </c>
      <c r="B2613" s="220">
        <v>60042</v>
      </c>
      <c r="C2613" s="185"/>
      <c r="D2613" s="103" t="str">
        <f>VLOOKUP(B2613, 'All Menu'!B:M, 4, 0)</f>
        <v>بوكس برغر دجاج</v>
      </c>
      <c r="E2613" s="30" t="str">
        <f>VLOOKUP(B2613, 'All Menu'!B:M, 2, 0)</f>
        <v>قسم الملحمة</v>
      </c>
      <c r="F2613" s="103" t="str">
        <f>VLOOKUP(B2613, 'All Menu'!B:M, 3, 0)</f>
        <v>لحوم مشكوكة</v>
      </c>
      <c r="G2613" s="90" t="s">
        <v>2175</v>
      </c>
      <c r="H2613" s="188">
        <v>4562</v>
      </c>
      <c r="I2613" s="110" t="str">
        <f>VLOOKUP(H2613, 'RM &amp; SF'!B:H, 2, 0)</f>
        <v>*****جبنة شدر احمر شرائح 2.270 كغ</v>
      </c>
      <c r="J2613" s="184" t="str">
        <f>VLOOKUP(H2613, 'RM &amp; SF'!B:E, 4, 0)</f>
        <v>قطعة</v>
      </c>
      <c r="K2613" s="12">
        <v>8</v>
      </c>
      <c r="L2613" s="13">
        <f>VLOOKUP(H2613, 'RM &amp; SF'!B:H, 7, 0)</f>
        <v>0.18560000000000001</v>
      </c>
      <c r="M2613" s="7">
        <f t="shared" si="136"/>
        <v>1.4848000000000001</v>
      </c>
      <c r="N2613" s="4" t="s">
        <v>825</v>
      </c>
      <c r="O2613" s="4">
        <f>VLOOKUP(B2613, 'All Menu'!B:L, 6, 0)</f>
        <v>18</v>
      </c>
      <c r="P2613" s="6">
        <f>VLOOKUP(B2613, 'All Menu'!B:L, 9, 0)</f>
        <v>9.9282559666152714</v>
      </c>
      <c r="Q2613" s="14">
        <f>VLOOKUP(B2613, 'All Menu'!B:M, 12, 0)</f>
        <v>0.44843022407692934</v>
      </c>
      <c r="R2613" s="173">
        <f t="shared" si="134"/>
        <v>0</v>
      </c>
    </row>
    <row r="2614" spans="1:18" ht="14" hidden="1">
      <c r="A2614" s="78" t="s">
        <v>2888</v>
      </c>
      <c r="B2614" s="220">
        <v>60042</v>
      </c>
      <c r="C2614" s="185"/>
      <c r="D2614" s="103" t="str">
        <f>VLOOKUP(B2614, 'All Menu'!B:M, 4, 0)</f>
        <v>بوكس برغر دجاج</v>
      </c>
      <c r="E2614" s="30" t="str">
        <f>VLOOKUP(B2614, 'All Menu'!B:M, 2, 0)</f>
        <v>قسم الملحمة</v>
      </c>
      <c r="F2614" s="103" t="str">
        <f>VLOOKUP(B2614, 'All Menu'!B:M, 3, 0)</f>
        <v>لحوم مشكوكة</v>
      </c>
      <c r="G2614" s="90" t="s">
        <v>2318</v>
      </c>
      <c r="H2614" s="188">
        <v>4255</v>
      </c>
      <c r="I2614" s="110" t="str">
        <f>VLOOKUP(H2614, 'RM &amp; SF'!B:H, 2, 0)</f>
        <v>هلابينيو ناشف*****</v>
      </c>
      <c r="J2614" s="184" t="str">
        <f>VLOOKUP(H2614, 'RM &amp; SF'!B:E, 4, 0)</f>
        <v>غم</v>
      </c>
      <c r="K2614" s="12">
        <v>100</v>
      </c>
      <c r="L2614" s="13">
        <f>VLOOKUP(H2614, 'RM &amp; SF'!B:H, 7, 0)</f>
        <v>2E-3</v>
      </c>
      <c r="M2614" s="7">
        <f t="shared" si="136"/>
        <v>0.2</v>
      </c>
      <c r="N2614" s="4" t="s">
        <v>825</v>
      </c>
      <c r="O2614" s="4">
        <f>VLOOKUP(B2614, 'All Menu'!B:L, 6, 0)</f>
        <v>18</v>
      </c>
      <c r="P2614" s="6">
        <f>VLOOKUP(B2614, 'All Menu'!B:L, 9, 0)</f>
        <v>9.9282559666152714</v>
      </c>
      <c r="Q2614" s="14">
        <f>VLOOKUP(B2614, 'All Menu'!B:M, 12, 0)</f>
        <v>0.44843022407692934</v>
      </c>
      <c r="R2614" s="173">
        <f t="shared" si="134"/>
        <v>0</v>
      </c>
    </row>
    <row r="2615" spans="1:18" ht="14" hidden="1">
      <c r="A2615" s="78" t="s">
        <v>2888</v>
      </c>
      <c r="B2615" s="220">
        <v>60042</v>
      </c>
      <c r="C2615" s="185"/>
      <c r="D2615" s="103" t="str">
        <f>VLOOKUP(B2615, 'All Menu'!B:M, 4, 0)</f>
        <v>بوكس برغر دجاج</v>
      </c>
      <c r="E2615" s="30" t="str">
        <f>VLOOKUP(B2615, 'All Menu'!B:M, 2, 0)</f>
        <v>قسم الملحمة</v>
      </c>
      <c r="F2615" s="103" t="str">
        <f>VLOOKUP(B2615, 'All Menu'!B:M, 3, 0)</f>
        <v>لحوم مشكوكة</v>
      </c>
      <c r="G2615" s="90" t="s">
        <v>2297</v>
      </c>
      <c r="H2615" s="188">
        <v>4870</v>
      </c>
      <c r="I2615" s="110" t="str">
        <f>VLOOKUP(H2615, 'RM &amp; SF'!B:H, 2, 0)</f>
        <v>مخلل الهمبرجر شرائح (تشيبس) بنكهة الشبت 1100 غم = الوزن المصفى*****</v>
      </c>
      <c r="J2615" s="184" t="str">
        <f>VLOOKUP(H2615, 'RM &amp; SF'!B:E, 4, 0)</f>
        <v>غم</v>
      </c>
      <c r="K2615" s="12">
        <v>150</v>
      </c>
      <c r="L2615" s="13">
        <f>VLOOKUP(H2615, 'RM &amp; SF'!B:H, 7, 0)</f>
        <v>2.568E-3</v>
      </c>
      <c r="M2615" s="7">
        <f t="shared" si="136"/>
        <v>0.38519999999999999</v>
      </c>
      <c r="N2615" s="4" t="s">
        <v>825</v>
      </c>
      <c r="O2615" s="4">
        <f>VLOOKUP(B2615, 'All Menu'!B:L, 6, 0)</f>
        <v>18</v>
      </c>
      <c r="P2615" s="6">
        <f>VLOOKUP(B2615, 'All Menu'!B:L, 9, 0)</f>
        <v>9.9282559666152714</v>
      </c>
      <c r="Q2615" s="14">
        <f>VLOOKUP(B2615, 'All Menu'!B:M, 12, 0)</f>
        <v>0.44843022407692934</v>
      </c>
      <c r="R2615" s="173">
        <f t="shared" si="134"/>
        <v>0</v>
      </c>
    </row>
    <row r="2616" spans="1:18" ht="14" hidden="1">
      <c r="A2616" s="78" t="s">
        <v>2888</v>
      </c>
      <c r="B2616" s="220">
        <v>60042</v>
      </c>
      <c r="C2616" s="185"/>
      <c r="D2616" s="103" t="str">
        <f>VLOOKUP(B2616, 'All Menu'!B:M, 4, 0)</f>
        <v>بوكس برغر دجاج</v>
      </c>
      <c r="E2616" s="30" t="str">
        <f>VLOOKUP(B2616, 'All Menu'!B:M, 2, 0)</f>
        <v>قسم الملحمة</v>
      </c>
      <c r="F2616" s="103" t="str">
        <f>VLOOKUP(B2616, 'All Menu'!B:M, 3, 0)</f>
        <v>لحوم مشكوكة</v>
      </c>
      <c r="G2616" s="90" t="s">
        <v>2226</v>
      </c>
      <c r="H2616" s="188">
        <v>5045</v>
      </c>
      <c r="I2616" s="110" t="str">
        <f>VLOOKUP(H2616, 'RM &amp; SF'!B:H, 2, 0)</f>
        <v>*****خبز بيرجر بطاطا 5 لنش مغلف بشكل منفصل</v>
      </c>
      <c r="J2616" s="184" t="str">
        <f>VLOOKUP(H2616, 'RM &amp; SF'!B:E, 4, 0)</f>
        <v>قطعة</v>
      </c>
      <c r="K2616" s="12">
        <v>8</v>
      </c>
      <c r="L2616" s="13">
        <f>VLOOKUP(H2616, 'RM &amp; SF'!B:H, 7, 0)</f>
        <v>0.17499999999999999</v>
      </c>
      <c r="M2616" s="7">
        <f t="shared" si="136"/>
        <v>1.4</v>
      </c>
      <c r="N2616" s="4" t="s">
        <v>825</v>
      </c>
      <c r="O2616" s="4">
        <f>VLOOKUP(B2616, 'All Menu'!B:L, 6, 0)</f>
        <v>18</v>
      </c>
      <c r="P2616" s="6">
        <f>VLOOKUP(B2616, 'All Menu'!B:L, 9, 0)</f>
        <v>9.9282559666152714</v>
      </c>
      <c r="Q2616" s="14">
        <f>VLOOKUP(B2616, 'All Menu'!B:M, 12, 0)</f>
        <v>0.44843022407692934</v>
      </c>
      <c r="R2616" s="173">
        <f t="shared" si="134"/>
        <v>0</v>
      </c>
    </row>
    <row r="2617" spans="1:18" ht="14" hidden="1">
      <c r="A2617" s="78" t="s">
        <v>2888</v>
      </c>
      <c r="B2617" s="220">
        <v>60042</v>
      </c>
      <c r="C2617" s="185"/>
      <c r="D2617" s="103" t="str">
        <f>VLOOKUP(B2617, 'All Menu'!B:M, 4, 0)</f>
        <v>بوكس برغر دجاج</v>
      </c>
      <c r="E2617" s="30" t="str">
        <f>VLOOKUP(B2617, 'All Menu'!B:M, 2, 0)</f>
        <v>قسم الملحمة</v>
      </c>
      <c r="F2617" s="103" t="str">
        <f>VLOOKUP(B2617, 'All Menu'!B:M, 3, 0)</f>
        <v>لحوم مشكوكة</v>
      </c>
      <c r="G2617" s="90" t="s">
        <v>2366</v>
      </c>
      <c r="H2617" s="219" t="s">
        <v>764</v>
      </c>
      <c r="I2617" s="110" t="str">
        <f>VLOOKUP(H2617, 'RM &amp; SF'!B:H, 2, 0)</f>
        <v>صوص برجر</v>
      </c>
      <c r="J2617" s="184" t="str">
        <f>VLOOKUP(H2617, 'RM &amp; SF'!B:E, 4, 0)</f>
        <v>غم</v>
      </c>
      <c r="K2617" s="12">
        <v>180</v>
      </c>
      <c r="L2617" s="13">
        <f>VLOOKUP(H2617, 'RM &amp; SF'!B:H, 7, 0)</f>
        <v>1.8102439024390246E-3</v>
      </c>
      <c r="M2617" s="7">
        <f t="shared" si="136"/>
        <v>0.32584390243902445</v>
      </c>
      <c r="N2617" s="4" t="s">
        <v>825</v>
      </c>
      <c r="O2617" s="4">
        <f>VLOOKUP(B2617, 'All Menu'!B:L, 6, 0)</f>
        <v>18</v>
      </c>
      <c r="P2617" s="6">
        <f>VLOOKUP(B2617, 'All Menu'!B:L, 9, 0)</f>
        <v>9.9282559666152714</v>
      </c>
      <c r="Q2617" s="14">
        <f>VLOOKUP(B2617, 'All Menu'!B:M, 12, 0)</f>
        <v>0.44843022407692934</v>
      </c>
      <c r="R2617" s="173">
        <f t="shared" si="134"/>
        <v>0</v>
      </c>
    </row>
    <row r="2618" spans="1:18" ht="14" hidden="1">
      <c r="A2618" s="78" t="s">
        <v>2888</v>
      </c>
      <c r="B2618" s="220">
        <v>60042</v>
      </c>
      <c r="C2618" s="185"/>
      <c r="D2618" s="103" t="str">
        <f>VLOOKUP(B2618, 'All Menu'!B:M, 4, 0)</f>
        <v>بوكس برغر دجاج</v>
      </c>
      <c r="E2618" s="30" t="str">
        <f>VLOOKUP(B2618, 'All Menu'!B:M, 2, 0)</f>
        <v>قسم الملحمة</v>
      </c>
      <c r="F2618" s="103" t="str">
        <f>VLOOKUP(B2618, 'All Menu'!B:M, 3, 0)</f>
        <v>لحوم مشكوكة</v>
      </c>
      <c r="G2618" s="90" t="s">
        <v>3058</v>
      </c>
      <c r="H2618" s="188">
        <v>4168</v>
      </c>
      <c r="I2618" s="110" t="str">
        <f>VLOOKUP(H2618, 'RM &amp; SF'!B:H, 2, 0)</f>
        <v>مشروب غازي ماتركس 250 مل*****</v>
      </c>
      <c r="J2618" s="184" t="str">
        <f>VLOOKUP(H2618, 'RM &amp; SF'!B:E, 4, 0)</f>
        <v>قطعة</v>
      </c>
      <c r="K2618" s="12">
        <v>8</v>
      </c>
      <c r="L2618" s="13">
        <f>VLOOKUP(H2618, 'RM &amp; SF'!B:H, 7, 0)</f>
        <v>0.13741666666666666</v>
      </c>
      <c r="M2618" s="7">
        <f t="shared" si="136"/>
        <v>1.0993333333333333</v>
      </c>
      <c r="N2618" s="4" t="s">
        <v>825</v>
      </c>
      <c r="O2618" s="4">
        <f>VLOOKUP(B2618, 'All Menu'!B:L, 6, 0)</f>
        <v>18</v>
      </c>
      <c r="P2618" s="6">
        <f>VLOOKUP(B2618, 'All Menu'!B:L, 9, 0)</f>
        <v>9.9282559666152714</v>
      </c>
      <c r="Q2618" s="14">
        <f>VLOOKUP(B2618, 'All Menu'!B:M, 12, 0)</f>
        <v>0.44843022407692934</v>
      </c>
      <c r="R2618" s="173">
        <f t="shared" si="134"/>
        <v>0</v>
      </c>
    </row>
    <row r="2619" spans="1:18" ht="14" hidden="1">
      <c r="A2619" s="78" t="s">
        <v>2888</v>
      </c>
      <c r="B2619" s="220">
        <v>60042</v>
      </c>
      <c r="C2619" s="185"/>
      <c r="D2619" s="103" t="str">
        <f>VLOOKUP(B2619, 'All Menu'!B:M, 4, 0)</f>
        <v>بوكس برغر دجاج</v>
      </c>
      <c r="E2619" s="30" t="str">
        <f>VLOOKUP(B2619, 'All Menu'!B:M, 2, 0)</f>
        <v>قسم الملحمة</v>
      </c>
      <c r="F2619" s="103" t="str">
        <f>VLOOKUP(B2619, 'All Menu'!B:M, 3, 0)</f>
        <v>لحوم مشكوكة</v>
      </c>
      <c r="G2619" s="90" t="s">
        <v>2241</v>
      </c>
      <c r="H2619" s="188">
        <v>4518</v>
      </c>
      <c r="I2619" s="110" t="str">
        <f>VLOOKUP(H2619, 'RM &amp; SF'!B:H, 2, 0)</f>
        <v>خس ايسبرغ*****</v>
      </c>
      <c r="J2619" s="184" t="str">
        <f>VLOOKUP(H2619, 'RM &amp; SF'!B:E, 4, 0)</f>
        <v>غم</v>
      </c>
      <c r="K2619" s="12">
        <v>100</v>
      </c>
      <c r="L2619" s="13">
        <f>VLOOKUP(H2619, 'RM &amp; SF'!B:H, 7, 0)</f>
        <v>7.5000000000000002E-4</v>
      </c>
      <c r="M2619" s="7">
        <f t="shared" si="136"/>
        <v>7.4999999999999997E-2</v>
      </c>
      <c r="N2619" s="4" t="s">
        <v>825</v>
      </c>
      <c r="O2619" s="4">
        <f>VLOOKUP(B2619, 'All Menu'!B:L, 6, 0)</f>
        <v>18</v>
      </c>
      <c r="P2619" s="6">
        <f>VLOOKUP(B2619, 'All Menu'!B:L, 9, 0)</f>
        <v>9.9282559666152714</v>
      </c>
      <c r="Q2619" s="14">
        <f>VLOOKUP(B2619, 'All Menu'!B:M, 12, 0)</f>
        <v>0.44843022407692934</v>
      </c>
      <c r="R2619" s="173">
        <f t="shared" si="134"/>
        <v>0</v>
      </c>
    </row>
    <row r="2620" spans="1:18" ht="14" hidden="1">
      <c r="A2620" s="78" t="s">
        <v>2888</v>
      </c>
      <c r="B2620" s="220">
        <v>60042</v>
      </c>
      <c r="C2620" s="185"/>
      <c r="D2620" s="103" t="str">
        <f>VLOOKUP(B2620, 'All Menu'!B:M, 4, 0)</f>
        <v>بوكس برغر دجاج</v>
      </c>
      <c r="E2620" s="30" t="str">
        <f>VLOOKUP(B2620, 'All Menu'!B:M, 2, 0)</f>
        <v>قسم الملحمة</v>
      </c>
      <c r="F2620" s="103" t="str">
        <f>VLOOKUP(B2620, 'All Menu'!B:M, 3, 0)</f>
        <v>لحوم مشكوكة</v>
      </c>
      <c r="G2620" s="90" t="s">
        <v>3058</v>
      </c>
      <c r="H2620" s="188">
        <v>5404</v>
      </c>
      <c r="I2620" s="110" t="str">
        <f>VLOOKUP(H2620, 'RM &amp; SF'!B:H, 2, 0)</f>
        <v>بوكس برجر</v>
      </c>
      <c r="J2620" s="184" t="str">
        <f>VLOOKUP(H2620, 'RM &amp; SF'!B:E, 4, 0)</f>
        <v>قطعة</v>
      </c>
      <c r="K2620" s="12">
        <v>1</v>
      </c>
      <c r="L2620" s="13">
        <f>VLOOKUP(H2620, 'RM &amp; SF'!B:H, 7, 0)</f>
        <v>0.37068965517241381</v>
      </c>
      <c r="M2620" s="7">
        <f t="shared" si="136"/>
        <v>0.37068965517241381</v>
      </c>
      <c r="N2620" s="4" t="s">
        <v>825</v>
      </c>
      <c r="O2620" s="4">
        <f>VLOOKUP(B2620, 'All Menu'!B:L, 6, 0)</f>
        <v>18</v>
      </c>
      <c r="P2620" s="6">
        <f>VLOOKUP(B2620, 'All Menu'!B:L, 9, 0)</f>
        <v>9.9282559666152714</v>
      </c>
      <c r="Q2620" s="14">
        <f>VLOOKUP(B2620, 'All Menu'!B:M, 12, 0)</f>
        <v>0.44843022407692934</v>
      </c>
      <c r="R2620" s="173">
        <f t="shared" si="134"/>
        <v>0</v>
      </c>
    </row>
    <row r="2621" spans="1:18" ht="14" hidden="1">
      <c r="A2621" s="78" t="s">
        <v>2888</v>
      </c>
      <c r="B2621" s="220">
        <v>60042</v>
      </c>
      <c r="C2621" s="185"/>
      <c r="D2621" s="103" t="str">
        <f>VLOOKUP(B2621, 'All Menu'!B:M, 4, 0)</f>
        <v>بوكس برغر دجاج</v>
      </c>
      <c r="E2621" s="30" t="str">
        <f>VLOOKUP(B2621, 'All Menu'!B:M, 2, 0)</f>
        <v>قسم الملحمة</v>
      </c>
      <c r="F2621" s="103" t="str">
        <f>VLOOKUP(B2621, 'All Menu'!B:M, 3, 0)</f>
        <v>لحوم مشكوكة</v>
      </c>
      <c r="G2621" s="90" t="s">
        <v>3058</v>
      </c>
      <c r="H2621" s="188">
        <v>4285</v>
      </c>
      <c r="I2621" s="110" t="str">
        <f>VLOOKUP(H2621, 'RM &amp; SF'!B:H, 2, 0)</f>
        <v>علب بلاستيك مربع متصل 150 مل*****</v>
      </c>
      <c r="J2621" s="184" t="str">
        <f>VLOOKUP(H2621, 'RM &amp; SF'!B:E, 4, 0)</f>
        <v>قطعة</v>
      </c>
      <c r="K2621" s="12">
        <v>12</v>
      </c>
      <c r="L2621" s="13">
        <f>VLOOKUP(H2621, 'RM &amp; SF'!B:H, 7, 0)</f>
        <v>1.494E-2</v>
      </c>
      <c r="M2621" s="7">
        <f t="shared" si="136"/>
        <v>0.17927999999999999</v>
      </c>
      <c r="N2621" s="4" t="s">
        <v>825</v>
      </c>
      <c r="O2621" s="4">
        <f>VLOOKUP(B2621, 'All Menu'!B:L, 6, 0)</f>
        <v>18</v>
      </c>
      <c r="P2621" s="6">
        <f>VLOOKUP(B2621, 'All Menu'!B:L, 9, 0)</f>
        <v>9.9282559666152714</v>
      </c>
      <c r="Q2621" s="14">
        <f>VLOOKUP(B2621, 'All Menu'!B:M, 12, 0)</f>
        <v>0.44843022407692934</v>
      </c>
      <c r="R2621" s="173">
        <f t="shared" si="134"/>
        <v>0</v>
      </c>
    </row>
    <row r="2622" spans="1:18" ht="14" hidden="1">
      <c r="A2622" s="78" t="s">
        <v>2889</v>
      </c>
      <c r="B2622" s="220">
        <v>60043</v>
      </c>
      <c r="C2622" s="185"/>
      <c r="D2622" s="103" t="str">
        <f>VLOOKUP(B2622, 'All Menu'!B:M, 4, 0)</f>
        <v>حبة برغر لحم/بوكس</v>
      </c>
      <c r="E2622" s="30" t="str">
        <f>VLOOKUP(B2622, 'All Menu'!B:M, 2, 0)</f>
        <v>قسم الملحمة</v>
      </c>
      <c r="F2622" s="103" t="str">
        <f>VLOOKUP(B2622, 'All Menu'!B:M, 3, 0)</f>
        <v>لحوم مشكوكة</v>
      </c>
      <c r="G2622" s="90" t="s">
        <v>2365</v>
      </c>
      <c r="H2622" s="219" t="s">
        <v>762</v>
      </c>
      <c r="I2622" s="110" t="str">
        <f>VLOOKUP(H2622, 'RM &amp; SF'!B:H, 2, 0)</f>
        <v>برجر لحم</v>
      </c>
      <c r="J2622" s="184" t="str">
        <f>VLOOKUP(H2622, 'RM &amp; SF'!B:E, 4, 0)</f>
        <v>غم</v>
      </c>
      <c r="K2622" s="12">
        <v>125</v>
      </c>
      <c r="L2622" s="13">
        <f>VLOOKUP(H2622, 'RM &amp; SF'!B:H, 7, 0)</f>
        <v>3.960397E-3</v>
      </c>
      <c r="M2622" s="7">
        <f t="shared" si="136"/>
        <v>0.49504962499999999</v>
      </c>
      <c r="N2622" s="4" t="s">
        <v>825</v>
      </c>
      <c r="O2622" s="4">
        <f>VLOOKUP(B2622, 'All Menu'!B:L, 6, 0)</f>
        <v>3</v>
      </c>
      <c r="P2622" s="6">
        <f>VLOOKUP(B2622, 'All Menu'!B:L, 9, 0)</f>
        <v>0.49504962499999999</v>
      </c>
      <c r="Q2622" s="14">
        <f>VLOOKUP(B2622, 'All Menu'!B:M, 12, 0)</f>
        <v>0.83498345833333332</v>
      </c>
      <c r="R2622" s="173">
        <f t="shared" si="134"/>
        <v>0</v>
      </c>
    </row>
    <row r="2623" spans="1:18" ht="14" hidden="1">
      <c r="A2623" s="78" t="s">
        <v>2890</v>
      </c>
      <c r="B2623" s="220">
        <v>60044</v>
      </c>
      <c r="C2623" s="185"/>
      <c r="D2623" s="103" t="str">
        <f>VLOOKUP(B2623, 'All Menu'!B:M, 4, 0)</f>
        <v>حبة برغر دجاج/بوكس</v>
      </c>
      <c r="E2623" s="30" t="str">
        <f>VLOOKUP(B2623, 'All Menu'!B:M, 2, 0)</f>
        <v>قسم الملحمة</v>
      </c>
      <c r="F2623" s="103" t="str">
        <f>VLOOKUP(B2623, 'All Menu'!B:M, 3, 0)</f>
        <v>لحوم مشكوكة</v>
      </c>
      <c r="G2623" s="90" t="s">
        <v>2346</v>
      </c>
      <c r="H2623" s="219" t="s">
        <v>716</v>
      </c>
      <c r="I2623" s="110" t="str">
        <f>VLOOKUP(H2623, 'RM &amp; SF'!B:H, 2, 0)</f>
        <v>برغر دجاج</v>
      </c>
      <c r="J2623" s="184" t="str">
        <f>VLOOKUP(H2623, 'RM &amp; SF'!B:E, 4, 0)</f>
        <v>غم</v>
      </c>
      <c r="K2623" s="12">
        <v>125</v>
      </c>
      <c r="L2623" s="13">
        <f>VLOOKUP(H2623, 'RM &amp; SF'!B:H, 7, 0)</f>
        <v>4.2956090756704991E-3</v>
      </c>
      <c r="M2623" s="7">
        <f t="shared" si="136"/>
        <v>0.53695113445881237</v>
      </c>
      <c r="N2623" s="4" t="s">
        <v>825</v>
      </c>
      <c r="O2623" s="4">
        <f>VLOOKUP(B2623, 'All Menu'!B:L, 6, 0)</f>
        <v>3</v>
      </c>
      <c r="P2623" s="6">
        <f>VLOOKUP(B2623, 'All Menu'!B:L, 9, 0)</f>
        <v>0.53695113445881237</v>
      </c>
      <c r="Q2623" s="14">
        <f>VLOOKUP(B2623, 'All Menu'!B:M, 12, 0)</f>
        <v>0.82101628851372921</v>
      </c>
      <c r="R2623" s="173">
        <f t="shared" si="134"/>
        <v>0</v>
      </c>
    </row>
    <row r="2624" spans="1:18" ht="14" hidden="1">
      <c r="A2624" s="78" t="s">
        <v>3161</v>
      </c>
      <c r="B2624" s="220" t="s">
        <v>1279</v>
      </c>
      <c r="C2624" s="185"/>
      <c r="D2624" s="103" t="str">
        <f>VLOOKUP(B2624, 'All Menu'!B:M, 4, 0)</f>
        <v>نصف دجاجة متبل</v>
      </c>
      <c r="E2624" s="30" t="str">
        <f>VLOOKUP(B2624, 'All Menu'!B:M, 2, 0)</f>
        <v>قسم الملحمة</v>
      </c>
      <c r="F2624" s="103" t="str">
        <f>VLOOKUP(B2624, 'All Menu'!B:M, 3, 0)</f>
        <v>مارنيتد</v>
      </c>
      <c r="G2624" s="90" t="s">
        <v>2417</v>
      </c>
      <c r="H2624" s="219" t="s">
        <v>544</v>
      </c>
      <c r="I2624" s="110" t="str">
        <f>VLOOKUP(H2624, 'RM &amp; SF'!B:H, 2, 0)</f>
        <v>دجاجة متبلة</v>
      </c>
      <c r="J2624" s="184" t="str">
        <f>VLOOKUP(H2624, 'RM &amp; SF'!B:E, 4, 0)</f>
        <v>قطعة</v>
      </c>
      <c r="K2624" s="12">
        <v>0.5</v>
      </c>
      <c r="L2624" s="13">
        <f>VLOOKUP(H2624, 'RM &amp; SF'!B:H, 7, 0)</f>
        <v>3.0853324000000004</v>
      </c>
      <c r="M2624" s="7">
        <f t="shared" si="136"/>
        <v>1.5426662000000002</v>
      </c>
      <c r="N2624" s="4" t="s">
        <v>825</v>
      </c>
      <c r="O2624" s="4">
        <f>VLOOKUP(B2624, 'All Menu'!B:L, 6, 0)</f>
        <v>3</v>
      </c>
      <c r="P2624" s="6">
        <f>VLOOKUP(B2624, 'All Menu'!B:L, 9, 0)</f>
        <v>1.5426662000000002</v>
      </c>
      <c r="Q2624" s="14">
        <f>VLOOKUP(B2624, 'All Menu'!B:M, 12, 0)</f>
        <v>0.48577793333333324</v>
      </c>
      <c r="R2624" s="173">
        <f t="shared" si="134"/>
        <v>0</v>
      </c>
    </row>
    <row r="2625" spans="1:18" ht="14" hidden="1">
      <c r="A2625" s="78" t="s">
        <v>2910</v>
      </c>
      <c r="B2625" s="220" t="s">
        <v>1282</v>
      </c>
      <c r="C2625" s="185"/>
      <c r="D2625" s="30" t="str">
        <f>VLOOKUP(B2625, 'All Menu'!B:M, 4, 0)</f>
        <v>فحم صغير</v>
      </c>
      <c r="E2625" s="30" t="str">
        <f>VLOOKUP(B2625, 'All Menu'!B:M, 2, 0)</f>
        <v>قسم الملحمة</v>
      </c>
      <c r="F2625" s="103" t="str">
        <f>VLOOKUP(B2625, 'All Menu'!B:M, 3, 0)</f>
        <v>لحوم مشكوكة</v>
      </c>
      <c r="G2625" s="90" t="s">
        <v>3058</v>
      </c>
      <c r="H2625" s="188">
        <v>5387</v>
      </c>
      <c r="I2625" s="110" t="str">
        <f>VLOOKUP(H2625, 'RM &amp; SF'!B:H, 2, 0)</f>
        <v>فحم صغير 2 كيلو</v>
      </c>
      <c r="J2625" s="184" t="str">
        <f>VLOOKUP(H2625, 'RM &amp; SF'!B:E, 4, 0)</f>
        <v>قطعة</v>
      </c>
      <c r="K2625" s="12">
        <v>1</v>
      </c>
      <c r="L2625" s="13">
        <f>VLOOKUP(H2625, 'RM &amp; SF'!B:H, 7, 0)</f>
        <v>1.5</v>
      </c>
      <c r="M2625" s="7">
        <f>L2625*K2625</f>
        <v>1.5</v>
      </c>
      <c r="N2625" s="4" t="s">
        <v>825</v>
      </c>
      <c r="O2625" s="4">
        <f>VLOOKUP(B2625, 'All Menu'!B:L, 6, 0)</f>
        <v>1.5</v>
      </c>
      <c r="P2625" s="6">
        <f>VLOOKUP(B2625, 'All Menu'!B:L, 9, 0)</f>
        <v>1.5</v>
      </c>
      <c r="Q2625" s="14">
        <f>VLOOKUP(B2625, 'All Menu'!B:M, 12, 0)</f>
        <v>0</v>
      </c>
      <c r="R2625" s="173">
        <f t="shared" si="134"/>
        <v>0</v>
      </c>
    </row>
    <row r="2626" spans="1:18" ht="14" hidden="1">
      <c r="A2626" s="78" t="s">
        <v>2183</v>
      </c>
      <c r="B2626" s="220" t="s">
        <v>1283</v>
      </c>
      <c r="C2626" s="185"/>
      <c r="D2626" s="30" t="str">
        <f>VLOOKUP(B2626, 'All Menu'!B:M, 4, 0)</f>
        <v>فحم وسط</v>
      </c>
      <c r="E2626" s="30" t="str">
        <f>VLOOKUP(B2626, 'All Menu'!B:M, 2, 0)</f>
        <v>قسم الملحمة</v>
      </c>
      <c r="F2626" s="103" t="str">
        <f>VLOOKUP(B2626, 'All Menu'!B:M, 3, 0)</f>
        <v>لحوم مشكوكة</v>
      </c>
      <c r="G2626" s="90" t="s">
        <v>2183</v>
      </c>
      <c r="H2626" s="188">
        <v>5388</v>
      </c>
      <c r="I2626" s="110" t="str">
        <f>VLOOKUP(H2626, 'RM &amp; SF'!B:H, 2, 0)</f>
        <v>فحم وسط 3 كيلو</v>
      </c>
      <c r="J2626" s="184" t="str">
        <f>VLOOKUP(H2626, 'RM &amp; SF'!B:E, 4, 0)</f>
        <v>قطعة</v>
      </c>
      <c r="K2626" s="12">
        <v>1</v>
      </c>
      <c r="L2626" s="13">
        <f>VLOOKUP(H2626, 'RM &amp; SF'!B:H, 7, 0)</f>
        <v>2.7160000000000002</v>
      </c>
      <c r="M2626" s="7">
        <f t="shared" ref="M2626:M2675" si="137">L2626*K2626</f>
        <v>2.7160000000000002</v>
      </c>
      <c r="N2626" s="4" t="s">
        <v>825</v>
      </c>
      <c r="O2626" s="4">
        <f>VLOOKUP(B2626, 'All Menu'!B:L, 6, 0)</f>
        <v>4.5</v>
      </c>
      <c r="P2626" s="6">
        <f>VLOOKUP(B2626, 'All Menu'!B:L, 9, 0)</f>
        <v>2.7160000000000002</v>
      </c>
      <c r="Q2626" s="14">
        <f>VLOOKUP(B2626, 'All Menu'!B:M, 12, 0)</f>
        <v>0.39644444444444438</v>
      </c>
      <c r="R2626" s="173">
        <f t="shared" si="134"/>
        <v>0</v>
      </c>
    </row>
    <row r="2627" spans="1:18" ht="14" hidden="1">
      <c r="A2627" s="78" t="s">
        <v>2911</v>
      </c>
      <c r="B2627" s="220" t="s">
        <v>1284</v>
      </c>
      <c r="C2627" s="185"/>
      <c r="D2627" s="30" t="str">
        <f>VLOOKUP(B2627, 'All Menu'!B:M, 4, 0)</f>
        <v>فحم كبير</v>
      </c>
      <c r="E2627" s="30" t="str">
        <f>VLOOKUP(B2627, 'All Menu'!B:M, 2, 0)</f>
        <v>قسم الملحمة</v>
      </c>
      <c r="F2627" s="103" t="str">
        <f>VLOOKUP(B2627, 'All Menu'!B:M, 3, 0)</f>
        <v>لحوم مشكوكة</v>
      </c>
      <c r="G2627" s="90" t="s">
        <v>2182</v>
      </c>
      <c r="H2627" s="188">
        <v>4388</v>
      </c>
      <c r="I2627" s="110" t="str">
        <f>VLOOKUP(H2627, 'RM &amp; SF'!B:H, 2, 0)</f>
        <v>*****فحم مشاوي 10 كغ</v>
      </c>
      <c r="J2627" s="184" t="str">
        <f>VLOOKUP(H2627, 'RM &amp; SF'!B:E, 4, 0)</f>
        <v>غم</v>
      </c>
      <c r="K2627" s="12">
        <v>500</v>
      </c>
      <c r="L2627" s="13">
        <f>VLOOKUP(H2627, 'RM &amp; SF'!B:H, 7, 0)</f>
        <v>7.3280000000000003E-4</v>
      </c>
      <c r="M2627" s="7">
        <f t="shared" si="137"/>
        <v>0.3664</v>
      </c>
      <c r="N2627" s="4" t="s">
        <v>825</v>
      </c>
      <c r="O2627" s="4">
        <f>VLOOKUP(B2627, 'All Menu'!B:L, 6, 0)</f>
        <v>7</v>
      </c>
      <c r="P2627" s="6">
        <f>VLOOKUP(B2627, 'All Menu'!B:L, 9, 0)</f>
        <v>0.3664</v>
      </c>
      <c r="Q2627" s="14">
        <f>VLOOKUP(B2627, 'All Menu'!B:M, 12, 0)</f>
        <v>0.94765714285714286</v>
      </c>
      <c r="R2627" s="173">
        <f t="shared" si="134"/>
        <v>0</v>
      </c>
    </row>
    <row r="2628" spans="1:18" ht="14" hidden="1">
      <c r="A2628" s="78" t="s">
        <v>2881</v>
      </c>
      <c r="B2628" s="220">
        <v>60032</v>
      </c>
      <c r="C2628" s="185"/>
      <c r="D2628" s="103" t="str">
        <f>VLOOKUP(B2628, 'All Menu'!B:M, 4, 0)</f>
        <v>ليه مشكوك</v>
      </c>
      <c r="E2628" s="30" t="str">
        <f>VLOOKUP(B2628, 'All Menu'!B:M, 2, 0)</f>
        <v>قسم الملحمة</v>
      </c>
      <c r="F2628" s="103" t="str">
        <f>VLOOKUP(B2628, 'All Menu'!B:M, 3, 0)</f>
        <v>لحوم مشكوكة</v>
      </c>
      <c r="G2628" s="90" t="s">
        <v>3058</v>
      </c>
      <c r="H2628" s="188" t="s">
        <v>2149</v>
      </c>
      <c r="I2628" s="110" t="str">
        <f>VLOOKUP(H2628, 'RM &amp; SF'!B:H, 2, 0)</f>
        <v>لية ملحمه</v>
      </c>
      <c r="J2628" s="184" t="str">
        <f>VLOOKUP(H2628, 'RM &amp; SF'!B:E, 4, 0)</f>
        <v>غم</v>
      </c>
      <c r="K2628" s="22">
        <v>1000</v>
      </c>
      <c r="L2628" s="13">
        <f>VLOOKUP(H2628, 'RM &amp; SF'!B:H, 7, 0)</f>
        <v>5.0000000000000001E-3</v>
      </c>
      <c r="M2628" s="15">
        <f t="shared" si="137"/>
        <v>5</v>
      </c>
      <c r="N2628" s="21" t="s">
        <v>825</v>
      </c>
      <c r="O2628" s="4">
        <f>VLOOKUP(B2628, 'All Menu'!B:L, 6, 0)</f>
        <v>12</v>
      </c>
      <c r="P2628" s="6">
        <f>VLOOKUP(B2628, 'All Menu'!B:L, 9, 0)</f>
        <v>6.1582059229208923</v>
      </c>
      <c r="Q2628" s="14">
        <f>VLOOKUP(B2628, 'All Menu'!B:M, 12, 0)</f>
        <v>0.48681617308992564</v>
      </c>
      <c r="R2628" s="173">
        <f t="shared" si="134"/>
        <v>0</v>
      </c>
    </row>
    <row r="2629" spans="1:18" ht="14" hidden="1">
      <c r="A2629" s="78" t="s">
        <v>2881</v>
      </c>
      <c r="B2629" s="220">
        <v>60032</v>
      </c>
      <c r="C2629" s="185"/>
      <c r="D2629" s="103" t="str">
        <f>VLOOKUP(B2629, 'All Menu'!B:M, 4, 0)</f>
        <v>ليه مشكوك</v>
      </c>
      <c r="E2629" s="30" t="str">
        <f>VLOOKUP(B2629, 'All Menu'!B:M, 2, 0)</f>
        <v>قسم الملحمة</v>
      </c>
      <c r="F2629" s="103" t="str">
        <f>VLOOKUP(B2629, 'All Menu'!B:M, 3, 0)</f>
        <v>لحوم مشكوكة</v>
      </c>
      <c r="G2629" s="90" t="s">
        <v>2234</v>
      </c>
      <c r="H2629" s="221">
        <v>4503</v>
      </c>
      <c r="I2629" s="110" t="str">
        <f>VLOOKUP(H2629, 'RM &amp; SF'!B:H, 2, 0)</f>
        <v>بصل ناشف دفش*****</v>
      </c>
      <c r="J2629" s="184" t="str">
        <f>VLOOKUP(H2629, 'RM &amp; SF'!B:E, 4, 0)</f>
        <v>غم</v>
      </c>
      <c r="K2629" s="22">
        <v>150</v>
      </c>
      <c r="L2629" s="13">
        <f>VLOOKUP(H2629, 'RM &amp; SF'!B:H, 7, 0)</f>
        <v>2.5000000000000001E-4</v>
      </c>
      <c r="M2629" s="15">
        <f t="shared" si="137"/>
        <v>3.7499999999999999E-2</v>
      </c>
      <c r="N2629" s="21" t="s">
        <v>825</v>
      </c>
      <c r="O2629" s="4">
        <f>VLOOKUP(B2629, 'All Menu'!B:L, 6, 0)</f>
        <v>12</v>
      </c>
      <c r="P2629" s="6">
        <f>VLOOKUP(B2629, 'All Menu'!B:L, 9, 0)</f>
        <v>6.1582059229208923</v>
      </c>
      <c r="Q2629" s="14">
        <f>VLOOKUP(B2629, 'All Menu'!B:M, 12, 0)</f>
        <v>0.48681617308992564</v>
      </c>
      <c r="R2629" s="173">
        <f t="shared" si="134"/>
        <v>0</v>
      </c>
    </row>
    <row r="2630" spans="1:18" ht="14" hidden="1">
      <c r="A2630" s="78" t="s">
        <v>2881</v>
      </c>
      <c r="B2630" s="220">
        <v>60032</v>
      </c>
      <c r="C2630" s="185"/>
      <c r="D2630" s="103" t="str">
        <f>VLOOKUP(B2630, 'All Menu'!B:M, 4, 0)</f>
        <v>ليه مشكوك</v>
      </c>
      <c r="E2630" s="30" t="str">
        <f>VLOOKUP(B2630, 'All Menu'!B:M, 2, 0)</f>
        <v>قسم الملحمة</v>
      </c>
      <c r="F2630" s="103" t="str">
        <f>VLOOKUP(B2630, 'All Menu'!B:M, 3, 0)</f>
        <v>لحوم مشكوكة</v>
      </c>
      <c r="G2630" s="90" t="s">
        <v>2309</v>
      </c>
      <c r="H2630" s="221">
        <v>4491</v>
      </c>
      <c r="I2630" s="110" t="str">
        <f>VLOOKUP(H2630, 'RM &amp; SF'!B:H, 2, 0)</f>
        <v>بندورة جامدة*****</v>
      </c>
      <c r="J2630" s="184" t="str">
        <f>VLOOKUP(H2630, 'RM &amp; SF'!B:E, 4, 0)</f>
        <v>غم</v>
      </c>
      <c r="K2630" s="22">
        <v>150</v>
      </c>
      <c r="L2630" s="13">
        <f>VLOOKUP(H2630, 'RM &amp; SF'!B:H, 7, 0)</f>
        <v>5.0000000000000001E-4</v>
      </c>
      <c r="M2630" s="15">
        <f t="shared" si="137"/>
        <v>7.4999999999999997E-2</v>
      </c>
      <c r="N2630" s="21" t="s">
        <v>825</v>
      </c>
      <c r="O2630" s="4">
        <f>VLOOKUP(B2630, 'All Menu'!B:L, 6, 0)</f>
        <v>12</v>
      </c>
      <c r="P2630" s="6">
        <f>VLOOKUP(B2630, 'All Menu'!B:L, 9, 0)</f>
        <v>6.1582059229208923</v>
      </c>
      <c r="Q2630" s="14">
        <f>VLOOKUP(B2630, 'All Menu'!B:M, 12, 0)</f>
        <v>0.48681617308992564</v>
      </c>
      <c r="R2630" s="173">
        <f t="shared" si="134"/>
        <v>0</v>
      </c>
    </row>
    <row r="2631" spans="1:18" ht="14" hidden="1">
      <c r="A2631" s="78" t="s">
        <v>2881</v>
      </c>
      <c r="B2631" s="220">
        <v>60032</v>
      </c>
      <c r="C2631" s="185"/>
      <c r="D2631" s="103" t="str">
        <f>VLOOKUP(B2631, 'All Menu'!B:M, 4, 0)</f>
        <v>ليه مشكوك</v>
      </c>
      <c r="E2631" s="30" t="str">
        <f>VLOOKUP(B2631, 'All Menu'!B:M, 2, 0)</f>
        <v>قسم الملحمة</v>
      </c>
      <c r="F2631" s="103" t="str">
        <f>VLOOKUP(B2631, 'All Menu'!B:M, 3, 0)</f>
        <v>لحوم مشكوكة</v>
      </c>
      <c r="G2631" s="90" t="s">
        <v>2201</v>
      </c>
      <c r="H2631" s="221">
        <v>4412</v>
      </c>
      <c r="I2631" s="110" t="str">
        <f>VLOOKUP(H2631, 'RM &amp; SF'!B:H, 2, 0)</f>
        <v>اسياخ شوي رفيع سفري 1*100 حبة*****</v>
      </c>
      <c r="J2631" s="184" t="str">
        <f>VLOOKUP(H2631, 'RM &amp; SF'!B:E, 4, 0)</f>
        <v>قطعة</v>
      </c>
      <c r="K2631" s="22">
        <v>12</v>
      </c>
      <c r="L2631" s="13">
        <f>VLOOKUP(H2631, 'RM &amp; SF'!B:H, 7, 0)</f>
        <v>6.8970000000000004E-2</v>
      </c>
      <c r="M2631" s="15">
        <f t="shared" si="137"/>
        <v>0.82764000000000004</v>
      </c>
      <c r="N2631" s="21" t="s">
        <v>825</v>
      </c>
      <c r="O2631" s="4">
        <f>VLOOKUP(B2631, 'All Menu'!B:L, 6, 0)</f>
        <v>12</v>
      </c>
      <c r="P2631" s="6">
        <f>VLOOKUP(B2631, 'All Menu'!B:L, 9, 0)</f>
        <v>6.1582059229208923</v>
      </c>
      <c r="Q2631" s="14">
        <f>VLOOKUP(B2631, 'All Menu'!B:M, 12, 0)</f>
        <v>0.48681617308992564</v>
      </c>
      <c r="R2631" s="173">
        <f t="shared" si="134"/>
        <v>0</v>
      </c>
    </row>
    <row r="2632" spans="1:18" ht="14" hidden="1">
      <c r="A2632" s="78" t="s">
        <v>2881</v>
      </c>
      <c r="B2632" s="220">
        <v>60032</v>
      </c>
      <c r="C2632" s="185"/>
      <c r="D2632" s="103" t="str">
        <f>VLOOKUP(B2632, 'All Menu'!B:M, 4, 0)</f>
        <v>ليه مشكوك</v>
      </c>
      <c r="E2632" s="30" t="str">
        <f>VLOOKUP(B2632, 'All Menu'!B:M, 2, 0)</f>
        <v>قسم الملحمة</v>
      </c>
      <c r="F2632" s="103" t="str">
        <f>VLOOKUP(B2632, 'All Menu'!B:M, 3, 0)</f>
        <v>لحوم مشكوكة</v>
      </c>
      <c r="G2632" s="90" t="s">
        <v>3058</v>
      </c>
      <c r="H2632" s="221">
        <v>4806</v>
      </c>
      <c r="I2632" s="110" t="str">
        <f>VLOOKUP(H2632, 'RM &amp; SF'!B:H, 2, 0)</f>
        <v>بوكس مشاوي كرتون (بوكس الرحلة) 38*26*5 سم 1*25 حبة*****</v>
      </c>
      <c r="J2632" s="184" t="str">
        <f>VLOOKUP(H2632, 'RM &amp; SF'!B:E, 4, 0)</f>
        <v>قطعة</v>
      </c>
      <c r="K2632" s="22">
        <v>1</v>
      </c>
      <c r="L2632" s="13">
        <f>VLOOKUP(H2632, 'RM &amp; SF'!B:H, 7, 0)</f>
        <v>0.218</v>
      </c>
      <c r="M2632" s="15">
        <f t="shared" si="137"/>
        <v>0.218</v>
      </c>
      <c r="N2632" s="21" t="s">
        <v>825</v>
      </c>
      <c r="O2632" s="4">
        <f>VLOOKUP(B2632, 'All Menu'!B:L, 6, 0)</f>
        <v>12</v>
      </c>
      <c r="P2632" s="6">
        <f>VLOOKUP(B2632, 'All Menu'!B:L, 9, 0)</f>
        <v>6.1582059229208923</v>
      </c>
      <c r="Q2632" s="14">
        <f>VLOOKUP(B2632, 'All Menu'!B:M, 12, 0)</f>
        <v>0.48681617308992564</v>
      </c>
      <c r="R2632" s="173">
        <f t="shared" ref="R2632:R2695" si="138">C2632*K2632</f>
        <v>0</v>
      </c>
    </row>
    <row r="2633" spans="1:18" ht="14" hidden="1">
      <c r="A2633" s="78" t="s">
        <v>2881</v>
      </c>
      <c r="B2633" s="220">
        <v>60032</v>
      </c>
      <c r="C2633" s="185"/>
      <c r="D2633" s="103" t="str">
        <f>VLOOKUP(B2633, 'All Menu'!B:M, 4, 0)</f>
        <v>ليه مشكوك</v>
      </c>
      <c r="E2633" s="30" t="str">
        <f>VLOOKUP(B2633, 'All Menu'!B:M, 2, 0)</f>
        <v>قسم الملحمة</v>
      </c>
      <c r="F2633" s="103" t="str">
        <f>VLOOKUP(B2633, 'All Menu'!B:M, 3, 0)</f>
        <v>لحوم مشكوكة</v>
      </c>
      <c r="G2633" s="90" t="s">
        <v>3058</v>
      </c>
      <c r="H2633" s="221">
        <v>5382</v>
      </c>
      <c r="I2633" s="110" t="str">
        <f>VLOOKUP(H2633, 'RM &amp; SF'!B:H, 2, 0)</f>
        <v>ورق زبدة</v>
      </c>
      <c r="J2633" s="184" t="str">
        <f>VLOOKUP(H2633, 'RM &amp; SF'!B:E, 4, 0)</f>
        <v>غم</v>
      </c>
      <c r="K2633" s="12">
        <v>0.02</v>
      </c>
      <c r="L2633" s="13">
        <f>VLOOKUP(H2633, 'RM &amp; SF'!B:H, 7, 0)</f>
        <v>3.2961460446247468E-3</v>
      </c>
      <c r="M2633" s="15">
        <f t="shared" si="137"/>
        <v>6.5922920892494934E-5</v>
      </c>
      <c r="N2633" s="21" t="s">
        <v>825</v>
      </c>
      <c r="O2633" s="4">
        <f>VLOOKUP(B2633, 'All Menu'!B:L, 6, 0)</f>
        <v>12</v>
      </c>
      <c r="P2633" s="6">
        <f>VLOOKUP(B2633, 'All Menu'!B:L, 9, 0)</f>
        <v>6.1582059229208923</v>
      </c>
      <c r="Q2633" s="14">
        <f>VLOOKUP(B2633, 'All Menu'!B:M, 12, 0)</f>
        <v>0.48681617308992564</v>
      </c>
      <c r="R2633" s="173">
        <f t="shared" si="138"/>
        <v>0</v>
      </c>
    </row>
    <row r="2634" spans="1:18" ht="15.5" hidden="1">
      <c r="A2634" s="78" t="s">
        <v>2908</v>
      </c>
      <c r="B2634" s="220">
        <v>60100</v>
      </c>
      <c r="C2634" s="185"/>
      <c r="D2634" s="30" t="str">
        <f>VLOOKUP(B2634, 'All Menu'!B:M, 4, 0)</f>
        <v>سويس رول</v>
      </c>
      <c r="E2634" s="30" t="str">
        <f>VLOOKUP(B2634, 'All Menu'!B:M, 2, 0)</f>
        <v>قسم الملحمة</v>
      </c>
      <c r="F2634" s="103" t="str">
        <f>VLOOKUP(B2634, 'All Menu'!B:M, 3, 0)</f>
        <v>لحوم مشكوكة</v>
      </c>
      <c r="G2634" s="90" t="s">
        <v>3058</v>
      </c>
      <c r="H2634" s="112">
        <v>5401</v>
      </c>
      <c r="I2634" s="110" t="str">
        <f>VLOOKUP(H2634, 'RM &amp; SF'!B:H, 2, 0)</f>
        <v xml:space="preserve">روز بيف  </v>
      </c>
      <c r="J2634" s="184" t="str">
        <f>VLOOKUP(H2634, 'RM &amp; SF'!B:E, 4, 0)</f>
        <v>غم</v>
      </c>
      <c r="K2634" s="22">
        <v>400</v>
      </c>
      <c r="L2634" s="13">
        <f>VLOOKUP(H2634, 'RM &amp; SF'!B:H, 7, 0)</f>
        <v>1.2580000000000001E-2</v>
      </c>
      <c r="M2634" s="15">
        <f t="shared" si="137"/>
        <v>5.032</v>
      </c>
      <c r="N2634" s="21" t="s">
        <v>825</v>
      </c>
      <c r="O2634" s="4">
        <f>VLOOKUP(B2634, 'All Menu'!B:L, 6, 0)</f>
        <v>20</v>
      </c>
      <c r="P2634" s="6">
        <f>VLOOKUP(B2634, 'All Menu'!B:L, 9, 0)</f>
        <v>7.6586855859374996</v>
      </c>
      <c r="Q2634" s="14">
        <f>VLOOKUP(B2634, 'All Menu'!B:M, 12, 0)</f>
        <v>0.61706572070312504</v>
      </c>
      <c r="R2634" s="173">
        <f t="shared" si="138"/>
        <v>0</v>
      </c>
    </row>
    <row r="2635" spans="1:18" ht="14" hidden="1">
      <c r="A2635" s="78" t="s">
        <v>2908</v>
      </c>
      <c r="B2635" s="220">
        <v>60100</v>
      </c>
      <c r="C2635" s="185"/>
      <c r="D2635" s="30" t="str">
        <f>VLOOKUP(B2635, 'All Menu'!B:M, 4, 0)</f>
        <v>سويس رول</v>
      </c>
      <c r="E2635" s="30" t="str">
        <f>VLOOKUP(B2635, 'All Menu'!B:M, 2, 0)</f>
        <v>قسم الملحمة</v>
      </c>
      <c r="F2635" s="103" t="str">
        <f>VLOOKUP(B2635, 'All Menu'!B:M, 3, 0)</f>
        <v>لحوم مشكوكة</v>
      </c>
      <c r="G2635" s="90" t="s">
        <v>3058</v>
      </c>
      <c r="H2635" s="188" t="s">
        <v>2149</v>
      </c>
      <c r="I2635" s="110" t="str">
        <f>VLOOKUP(H2635, 'RM &amp; SF'!B:H, 2, 0)</f>
        <v>لية ملحمه</v>
      </c>
      <c r="J2635" s="184" t="str">
        <f>VLOOKUP(H2635, 'RM &amp; SF'!B:E, 4, 0)</f>
        <v>غم</v>
      </c>
      <c r="K2635" s="22">
        <v>300</v>
      </c>
      <c r="L2635" s="13">
        <f>VLOOKUP(H2635, 'RM &amp; SF'!B:H, 7, 0)</f>
        <v>5.0000000000000001E-3</v>
      </c>
      <c r="M2635" s="15">
        <f t="shared" si="137"/>
        <v>1.5</v>
      </c>
      <c r="N2635" s="21" t="s">
        <v>825</v>
      </c>
      <c r="O2635" s="4">
        <f>VLOOKUP(B2635, 'All Menu'!B:L, 6, 0)</f>
        <v>20</v>
      </c>
      <c r="P2635" s="6">
        <f>VLOOKUP(B2635, 'All Menu'!B:L, 9, 0)</f>
        <v>7.6586855859374996</v>
      </c>
      <c r="Q2635" s="14">
        <f>VLOOKUP(B2635, 'All Menu'!B:M, 12, 0)</f>
        <v>0.61706572070312504</v>
      </c>
      <c r="R2635" s="173">
        <f t="shared" si="138"/>
        <v>0</v>
      </c>
    </row>
    <row r="2636" spans="1:18" ht="14" hidden="1">
      <c r="A2636" s="78" t="s">
        <v>2908</v>
      </c>
      <c r="B2636" s="220">
        <v>60100</v>
      </c>
      <c r="C2636" s="185"/>
      <c r="D2636" s="30" t="str">
        <f>VLOOKUP(B2636, 'All Menu'!B:M, 4, 0)</f>
        <v>سويس رول</v>
      </c>
      <c r="E2636" s="30" t="str">
        <f>VLOOKUP(B2636, 'All Menu'!B:M, 2, 0)</f>
        <v>قسم الملحمة</v>
      </c>
      <c r="F2636" s="103" t="str">
        <f>VLOOKUP(B2636, 'All Menu'!B:M, 3, 0)</f>
        <v>لحوم مشكوكة</v>
      </c>
      <c r="G2636" s="90" t="s">
        <v>2461</v>
      </c>
      <c r="H2636" s="219" t="s">
        <v>2027</v>
      </c>
      <c r="I2636" s="110" t="str">
        <f>VLOOKUP(H2636, 'RM &amp; SF'!B:H, 2, 0)</f>
        <v xml:space="preserve">كباب اضنة </v>
      </c>
      <c r="J2636" s="184" t="str">
        <f>VLOOKUP(H2636, 'RM &amp; SF'!B:E, 4, 0)</f>
        <v>غم</v>
      </c>
      <c r="K2636" s="22">
        <v>300</v>
      </c>
      <c r="L2636" s="13">
        <f>VLOOKUP(H2636, 'RM &amp; SF'!B:H, 7, 0)</f>
        <v>3.7556186197916668E-3</v>
      </c>
      <c r="M2636" s="15">
        <f t="shared" si="137"/>
        <v>1.1266855859375</v>
      </c>
      <c r="N2636" s="21" t="s">
        <v>825</v>
      </c>
      <c r="O2636" s="4">
        <f>VLOOKUP(B2636, 'All Menu'!B:L, 6, 0)</f>
        <v>20</v>
      </c>
      <c r="P2636" s="6">
        <f>VLOOKUP(B2636, 'All Menu'!B:L, 9, 0)</f>
        <v>7.6586855859374996</v>
      </c>
      <c r="Q2636" s="14">
        <f>VLOOKUP(B2636, 'All Menu'!B:M, 12, 0)</f>
        <v>0.61706572070312504</v>
      </c>
      <c r="R2636" s="173">
        <f t="shared" si="138"/>
        <v>0</v>
      </c>
    </row>
    <row r="2637" spans="1:18" ht="15.5" hidden="1">
      <c r="A2637" s="78" t="s">
        <v>2879</v>
      </c>
      <c r="B2637" s="220">
        <v>60090</v>
      </c>
      <c r="C2637" s="185"/>
      <c r="D2637" s="30" t="str">
        <f>VLOOKUP(B2637, 'All Menu'!B:M, 4, 0)</f>
        <v>بقلاوة تركية</v>
      </c>
      <c r="E2637" s="30" t="str">
        <f>VLOOKUP(B2637, 'All Menu'!B:M, 2, 0)</f>
        <v>قسم الملحمة</v>
      </c>
      <c r="F2637" s="103" t="str">
        <f>VLOOKUP(B2637, 'All Menu'!B:M, 3, 0)</f>
        <v>لحوم مشكوكة</v>
      </c>
      <c r="G2637" s="90" t="s">
        <v>3058</v>
      </c>
      <c r="H2637" s="112">
        <v>5401</v>
      </c>
      <c r="I2637" s="110" t="str">
        <f>VLOOKUP(H2637, 'RM &amp; SF'!B:H, 2, 0)</f>
        <v xml:space="preserve">روز بيف  </v>
      </c>
      <c r="J2637" s="184" t="str">
        <f>VLOOKUP(H2637, 'RM &amp; SF'!B:E, 4, 0)</f>
        <v>غم</v>
      </c>
      <c r="K2637" s="22">
        <v>500</v>
      </c>
      <c r="L2637" s="13">
        <f>VLOOKUP(H2637, 'RM &amp; SF'!B:H, 7, 0)</f>
        <v>1.2580000000000001E-2</v>
      </c>
      <c r="M2637" s="15">
        <f t="shared" si="137"/>
        <v>6.29</v>
      </c>
      <c r="N2637" s="21" t="s">
        <v>825</v>
      </c>
      <c r="O2637" s="4">
        <f>VLOOKUP(B2637, 'All Menu'!B:L, 6, 0)</f>
        <v>20</v>
      </c>
      <c r="P2637" s="6">
        <f>VLOOKUP(B2637, 'All Menu'!B:L, 9, 0)</f>
        <v>8.4789046549479163</v>
      </c>
      <c r="Q2637" s="14">
        <f>VLOOKUP(B2637, 'All Menu'!B:M, 12, 0)</f>
        <v>0.57605476725260418</v>
      </c>
      <c r="R2637" s="173">
        <f t="shared" si="138"/>
        <v>0</v>
      </c>
    </row>
    <row r="2638" spans="1:18" ht="14" hidden="1">
      <c r="A2638" s="78" t="s">
        <v>2879</v>
      </c>
      <c r="B2638" s="220">
        <v>60090</v>
      </c>
      <c r="C2638" s="185"/>
      <c r="D2638" s="30" t="str">
        <f>VLOOKUP(B2638, 'All Menu'!B:M, 4, 0)</f>
        <v>بقلاوة تركية</v>
      </c>
      <c r="E2638" s="30" t="str">
        <f>VLOOKUP(B2638, 'All Menu'!B:M, 2, 0)</f>
        <v>قسم الملحمة</v>
      </c>
      <c r="F2638" s="103" t="str">
        <f>VLOOKUP(B2638, 'All Menu'!B:M, 3, 0)</f>
        <v>لحوم مشكوكة</v>
      </c>
      <c r="G2638" s="90" t="s">
        <v>3058</v>
      </c>
      <c r="H2638" s="188" t="s">
        <v>2149</v>
      </c>
      <c r="I2638" s="110" t="str">
        <f>VLOOKUP(H2638, 'RM &amp; SF'!B:H, 2, 0)</f>
        <v>لية ملحمه</v>
      </c>
      <c r="J2638" s="184" t="str">
        <f>VLOOKUP(H2638, 'RM &amp; SF'!B:E, 4, 0)</f>
        <v>غم</v>
      </c>
      <c r="K2638" s="22">
        <v>250</v>
      </c>
      <c r="L2638" s="13">
        <f>VLOOKUP(H2638, 'RM &amp; SF'!B:H, 7, 0)</f>
        <v>5.0000000000000001E-3</v>
      </c>
      <c r="M2638" s="15">
        <f t="shared" si="137"/>
        <v>1.25</v>
      </c>
      <c r="N2638" s="21" t="s">
        <v>825</v>
      </c>
      <c r="O2638" s="4">
        <f>VLOOKUP(B2638, 'All Menu'!B:L, 6, 0)</f>
        <v>20</v>
      </c>
      <c r="P2638" s="6">
        <f>VLOOKUP(B2638, 'All Menu'!B:L, 9, 0)</f>
        <v>8.4789046549479163</v>
      </c>
      <c r="Q2638" s="14">
        <f>VLOOKUP(B2638, 'All Menu'!B:M, 12, 0)</f>
        <v>0.57605476725260418</v>
      </c>
      <c r="R2638" s="173">
        <f t="shared" si="138"/>
        <v>0</v>
      </c>
    </row>
    <row r="2639" spans="1:18" ht="14" hidden="1">
      <c r="A2639" s="78" t="s">
        <v>2879</v>
      </c>
      <c r="B2639" s="220">
        <v>60090</v>
      </c>
      <c r="C2639" s="185"/>
      <c r="D2639" s="30" t="str">
        <f>VLOOKUP(B2639, 'All Menu'!B:M, 4, 0)</f>
        <v>بقلاوة تركية</v>
      </c>
      <c r="E2639" s="30" t="str">
        <f>VLOOKUP(B2639, 'All Menu'!B:M, 2, 0)</f>
        <v>قسم الملحمة</v>
      </c>
      <c r="F2639" s="103" t="str">
        <f>VLOOKUP(B2639, 'All Menu'!B:M, 3, 0)</f>
        <v>لحوم مشكوكة</v>
      </c>
      <c r="G2639" s="90" t="s">
        <v>2461</v>
      </c>
      <c r="H2639" s="219" t="s">
        <v>2027</v>
      </c>
      <c r="I2639" s="110" t="str">
        <f>VLOOKUP(H2639, 'RM &amp; SF'!B:H, 2, 0)</f>
        <v xml:space="preserve">كباب اضنة </v>
      </c>
      <c r="J2639" s="184" t="str">
        <f>VLOOKUP(H2639, 'RM &amp; SF'!B:E, 4, 0)</f>
        <v>غم</v>
      </c>
      <c r="K2639" s="22">
        <v>250</v>
      </c>
      <c r="L2639" s="13">
        <f>VLOOKUP(H2639, 'RM &amp; SF'!B:H, 7, 0)</f>
        <v>3.7556186197916668E-3</v>
      </c>
      <c r="M2639" s="15">
        <f t="shared" si="137"/>
        <v>0.93890465494791675</v>
      </c>
      <c r="N2639" s="21" t="s">
        <v>825</v>
      </c>
      <c r="O2639" s="4">
        <f>VLOOKUP(B2639, 'All Menu'!B:L, 6, 0)</f>
        <v>20</v>
      </c>
      <c r="P2639" s="6">
        <f>VLOOKUP(B2639, 'All Menu'!B:L, 9, 0)</f>
        <v>8.4789046549479163</v>
      </c>
      <c r="Q2639" s="14">
        <f>VLOOKUP(B2639, 'All Menu'!B:M, 12, 0)</f>
        <v>0.57605476725260418</v>
      </c>
      <c r="R2639" s="173">
        <f t="shared" si="138"/>
        <v>0</v>
      </c>
    </row>
    <row r="2640" spans="1:18" ht="14" hidden="1">
      <c r="A2640" s="78" t="s">
        <v>2873</v>
      </c>
      <c r="B2640" s="220">
        <v>60024</v>
      </c>
      <c r="C2640" s="185"/>
      <c r="D2640" s="103" t="str">
        <f>VLOOKUP(B2640, 'All Menu'!B:M, 4, 0)</f>
        <v>مفروم مكس بلدي</v>
      </c>
      <c r="E2640" s="30" t="str">
        <f>VLOOKUP(B2640, 'All Menu'!B:M, 2, 0)</f>
        <v>قسم الملحمة</v>
      </c>
      <c r="F2640" s="103" t="str">
        <f>VLOOKUP(B2640, 'All Menu'!B:M, 3, 0)</f>
        <v>لحوم بلدية</v>
      </c>
      <c r="G2640" s="90" t="s">
        <v>3058</v>
      </c>
      <c r="H2640" s="221">
        <v>5373</v>
      </c>
      <c r="I2640" s="110" t="str">
        <f>VLOOKUP(H2640, 'RM &amp; SF'!B:H, 2, 0)</f>
        <v>قطعيات عجل مشكلة</v>
      </c>
      <c r="J2640" s="184" t="str">
        <f>VLOOKUP(H2640, 'RM &amp; SF'!B:E, 4, 0)</f>
        <v>غم</v>
      </c>
      <c r="K2640" s="22">
        <v>800</v>
      </c>
      <c r="L2640" s="13">
        <f>VLOOKUP(H2640, 'RM &amp; SF'!B:H, 7, 0)</f>
        <v>9.0100000000000006E-3</v>
      </c>
      <c r="M2640" s="15">
        <f t="shared" si="137"/>
        <v>7.2080000000000002</v>
      </c>
      <c r="N2640" s="21" t="s">
        <v>825</v>
      </c>
      <c r="O2640" s="4">
        <f>VLOOKUP(B2640, 'All Menu'!B:L, 6, 0)</f>
        <v>12</v>
      </c>
      <c r="P2640" s="6">
        <f>VLOOKUP(B2640, 'All Menu'!B:L, 9, 0)</f>
        <v>7.6017209137931037</v>
      </c>
      <c r="Q2640" s="14">
        <f>VLOOKUP(B2640, 'All Menu'!B:M, 12, 0)</f>
        <v>0.36652325718390805</v>
      </c>
      <c r="R2640" s="173">
        <f t="shared" si="138"/>
        <v>0</v>
      </c>
    </row>
    <row r="2641" spans="1:18" ht="14" hidden="1">
      <c r="A2641" s="78" t="s">
        <v>2873</v>
      </c>
      <c r="B2641" s="220">
        <v>60024</v>
      </c>
      <c r="C2641" s="185"/>
      <c r="D2641" s="103" t="str">
        <f>VLOOKUP(B2641, 'All Menu'!B:M, 4, 0)</f>
        <v>مفروم مكس بلدي</v>
      </c>
      <c r="E2641" s="30" t="str">
        <f>VLOOKUP(B2641, 'All Menu'!B:M, 2, 0)</f>
        <v>قسم الملحمة</v>
      </c>
      <c r="F2641" s="103" t="str">
        <f>VLOOKUP(B2641, 'All Menu'!B:M, 3, 0)</f>
        <v>لحوم بلدية</v>
      </c>
      <c r="G2641" s="90" t="s">
        <v>3058</v>
      </c>
      <c r="H2641" s="221">
        <v>5430</v>
      </c>
      <c r="I2641" s="110" t="str">
        <f>VLOOKUP(H2641, 'RM &amp; SF'!B:H, 2, 0)</f>
        <v>نتر ملحمه</v>
      </c>
      <c r="J2641" s="184" t="str">
        <f>VLOOKUP(H2641, 'RM &amp; SF'!B:E, 4, 0)</f>
        <v>غم</v>
      </c>
      <c r="K2641" s="22">
        <v>200</v>
      </c>
      <c r="L2641" s="13">
        <f>VLOOKUP(H2641, 'RM &amp; SF'!B:H, 7, 0)</f>
        <v>1E-3</v>
      </c>
      <c r="M2641" s="15">
        <f t="shared" si="137"/>
        <v>0.2</v>
      </c>
      <c r="N2641" s="21" t="s">
        <v>825</v>
      </c>
      <c r="O2641" s="4">
        <f>VLOOKUP(B2641, 'All Menu'!B:L, 6, 0)</f>
        <v>12</v>
      </c>
      <c r="P2641" s="6">
        <f>VLOOKUP(B2641, 'All Menu'!B:L, 9, 0)</f>
        <v>7.6017209137931037</v>
      </c>
      <c r="Q2641" s="14">
        <f>VLOOKUP(B2641, 'All Menu'!B:M, 12, 0)</f>
        <v>0.36652325718390805</v>
      </c>
      <c r="R2641" s="173">
        <f t="shared" si="138"/>
        <v>0</v>
      </c>
    </row>
    <row r="2642" spans="1:18" ht="14" hidden="1">
      <c r="A2642" s="78" t="s">
        <v>2873</v>
      </c>
      <c r="B2642" s="220">
        <v>60024</v>
      </c>
      <c r="C2642" s="185"/>
      <c r="D2642" s="103" t="str">
        <f>VLOOKUP(B2642, 'All Menu'!B:M, 4, 0)</f>
        <v>مفروم مكس بلدي</v>
      </c>
      <c r="E2642" s="30" t="str">
        <f>VLOOKUP(B2642, 'All Menu'!B:M, 2, 0)</f>
        <v>قسم الملحمة</v>
      </c>
      <c r="F2642" s="103" t="str">
        <f>VLOOKUP(B2642, 'All Menu'!B:M, 3, 0)</f>
        <v>لحوم بلدية</v>
      </c>
      <c r="G2642" s="90" t="s">
        <v>2193</v>
      </c>
      <c r="H2642" s="221">
        <v>4309</v>
      </c>
      <c r="I2642" s="110" t="str">
        <f>VLOOKUP(H2642, 'RM &amp; SF'!B:H, 2, 0)</f>
        <v>اكياس بلاستيك مطبوع 55 سم*****</v>
      </c>
      <c r="J2642" s="184" t="str">
        <f>VLOOKUP(H2642, 'RM &amp; SF'!B:E, 4, 0)</f>
        <v>قطعة</v>
      </c>
      <c r="K2642" s="22">
        <v>1</v>
      </c>
      <c r="L2642" s="13">
        <f>VLOOKUP(H2642, 'RM &amp; SF'!B:H, 7, 0)</f>
        <v>5.5172413793103454E-2</v>
      </c>
      <c r="M2642" s="15">
        <f t="shared" si="137"/>
        <v>5.5172413793103454E-2</v>
      </c>
      <c r="N2642" s="21" t="s">
        <v>825</v>
      </c>
      <c r="O2642" s="4">
        <f>VLOOKUP(B2642, 'All Menu'!B:L, 6, 0)</f>
        <v>12</v>
      </c>
      <c r="P2642" s="6">
        <f>VLOOKUP(B2642, 'All Menu'!B:L, 9, 0)</f>
        <v>7.6017209137931037</v>
      </c>
      <c r="Q2642" s="14">
        <f>VLOOKUP(B2642, 'All Menu'!B:M, 12, 0)</f>
        <v>0.36652325718390805</v>
      </c>
      <c r="R2642" s="173">
        <f t="shared" si="138"/>
        <v>0</v>
      </c>
    </row>
    <row r="2643" spans="1:18" ht="14" hidden="1">
      <c r="A2643" s="78" t="s">
        <v>2873</v>
      </c>
      <c r="B2643" s="220">
        <v>60024</v>
      </c>
      <c r="C2643" s="185"/>
      <c r="D2643" s="103" t="str">
        <f>VLOOKUP(B2643, 'All Menu'!B:M, 4, 0)</f>
        <v>مفروم مكس بلدي</v>
      </c>
      <c r="E2643" s="30" t="str">
        <f>VLOOKUP(B2643, 'All Menu'!B:M, 2, 0)</f>
        <v>قسم الملحمة</v>
      </c>
      <c r="F2643" s="103" t="str">
        <f>VLOOKUP(B2643, 'All Menu'!B:M, 3, 0)</f>
        <v>لحوم بلدية</v>
      </c>
      <c r="G2643" s="90" t="s">
        <v>3058</v>
      </c>
      <c r="H2643" s="221">
        <v>5274</v>
      </c>
      <c r="I2643" s="110" t="str">
        <f>VLOOKUP(H2643, 'RM &amp; SF'!B:H, 2, 0)</f>
        <v>نايلون للتغليف رول (رول جيلاتين) 45 سم*4 كغ*****</v>
      </c>
      <c r="J2643" s="184" t="str">
        <f>VLOOKUP(H2643, 'RM &amp; SF'!B:E, 4, 0)</f>
        <v>غم</v>
      </c>
      <c r="K2643" s="22">
        <v>20</v>
      </c>
      <c r="L2643" s="13">
        <f>VLOOKUP(H2643, 'RM &amp; SF'!B:H, 7, 0)</f>
        <v>2.0474249999999999E-3</v>
      </c>
      <c r="M2643" s="15">
        <f t="shared" si="137"/>
        <v>4.0948499999999999E-2</v>
      </c>
      <c r="N2643" s="21" t="s">
        <v>825</v>
      </c>
      <c r="O2643" s="4">
        <f>VLOOKUP(B2643, 'All Menu'!B:L, 6, 0)</f>
        <v>12</v>
      </c>
      <c r="P2643" s="6">
        <f>VLOOKUP(B2643, 'All Menu'!B:L, 9, 0)</f>
        <v>7.6017209137931037</v>
      </c>
      <c r="Q2643" s="14">
        <f>VLOOKUP(B2643, 'All Menu'!B:M, 12, 0)</f>
        <v>0.36652325718390805</v>
      </c>
      <c r="R2643" s="173">
        <f t="shared" si="138"/>
        <v>0</v>
      </c>
    </row>
    <row r="2644" spans="1:18" ht="14" hidden="1">
      <c r="A2644" s="78" t="s">
        <v>2873</v>
      </c>
      <c r="B2644" s="220">
        <v>60024</v>
      </c>
      <c r="C2644" s="185"/>
      <c r="D2644" s="103" t="str">
        <f>VLOOKUP(B2644, 'All Menu'!B:M, 4, 0)</f>
        <v>مفروم مكس بلدي</v>
      </c>
      <c r="E2644" s="30" t="str">
        <f>VLOOKUP(B2644, 'All Menu'!B:M, 2, 0)</f>
        <v>قسم الملحمة</v>
      </c>
      <c r="F2644" s="103" t="str">
        <f>VLOOKUP(B2644, 'All Menu'!B:M, 3, 0)</f>
        <v>لحوم بلدية</v>
      </c>
      <c r="G2644" s="90" t="s">
        <v>3058</v>
      </c>
      <c r="H2644" s="221">
        <v>5300</v>
      </c>
      <c r="I2644" s="110" t="str">
        <f>VLOOKUP(H2644, 'RM &amp; SF'!B:H, 2, 0)</f>
        <v>صحن فلين اسود مخرم T2*****</v>
      </c>
      <c r="J2644" s="184" t="str">
        <f>VLOOKUP(H2644, 'RM &amp; SF'!B:E, 4, 0)</f>
        <v>قطعة</v>
      </c>
      <c r="K2644" s="22">
        <v>2</v>
      </c>
      <c r="L2644" s="13">
        <f>VLOOKUP(H2644, 'RM &amp; SF'!B:H, 7, 0)</f>
        <v>4.3099999999999999E-2</v>
      </c>
      <c r="M2644" s="15">
        <f t="shared" si="137"/>
        <v>8.6199999999999999E-2</v>
      </c>
      <c r="N2644" s="21" t="s">
        <v>825</v>
      </c>
      <c r="O2644" s="4">
        <f>VLOOKUP(B2644, 'All Menu'!B:L, 6, 0)</f>
        <v>12</v>
      </c>
      <c r="P2644" s="6">
        <f>VLOOKUP(B2644, 'All Menu'!B:L, 9, 0)</f>
        <v>7.6017209137931037</v>
      </c>
      <c r="Q2644" s="14">
        <f>VLOOKUP(B2644, 'All Menu'!B:M, 12, 0)</f>
        <v>0.36652325718390805</v>
      </c>
      <c r="R2644" s="173">
        <f t="shared" si="138"/>
        <v>0</v>
      </c>
    </row>
    <row r="2645" spans="1:18" ht="14" hidden="1">
      <c r="A2645" s="78" t="s">
        <v>2873</v>
      </c>
      <c r="B2645" s="220">
        <v>60024</v>
      </c>
      <c r="C2645" s="185"/>
      <c r="D2645" s="103" t="str">
        <f>VLOOKUP(B2645, 'All Menu'!B:M, 4, 0)</f>
        <v>مفروم مكس بلدي</v>
      </c>
      <c r="E2645" s="30" t="str">
        <f>VLOOKUP(B2645, 'All Menu'!B:M, 2, 0)</f>
        <v>قسم الملحمة</v>
      </c>
      <c r="F2645" s="103" t="str">
        <f>VLOOKUP(B2645, 'All Menu'!B:M, 3, 0)</f>
        <v>لحوم بلدية</v>
      </c>
      <c r="G2645" s="90" t="s">
        <v>3058</v>
      </c>
      <c r="H2645" s="221">
        <v>4425</v>
      </c>
      <c r="I2645" s="110" t="str">
        <f>VLOOKUP(H2645, 'RM &amp; SF'!B:H, 2, 0)</f>
        <v>ليبل المركزية دائري 5*5 سم*****</v>
      </c>
      <c r="J2645" s="184" t="str">
        <f>VLOOKUP(H2645, 'RM &amp; SF'!B:E, 4, 0)</f>
        <v>قطعة</v>
      </c>
      <c r="K2645" s="22">
        <v>2</v>
      </c>
      <c r="L2645" s="13">
        <f>VLOOKUP(H2645, 'RM &amp; SF'!B:H, 7, 0)</f>
        <v>5.7000000000000002E-3</v>
      </c>
      <c r="M2645" s="15">
        <f t="shared" si="137"/>
        <v>1.14E-2</v>
      </c>
      <c r="N2645" s="21" t="s">
        <v>825</v>
      </c>
      <c r="O2645" s="4">
        <f>VLOOKUP(B2645, 'All Menu'!B:L, 6, 0)</f>
        <v>12</v>
      </c>
      <c r="P2645" s="6">
        <f>VLOOKUP(B2645, 'All Menu'!B:L, 9, 0)</f>
        <v>7.6017209137931037</v>
      </c>
      <c r="Q2645" s="14">
        <f>VLOOKUP(B2645, 'All Menu'!B:M, 12, 0)</f>
        <v>0.36652325718390805</v>
      </c>
      <c r="R2645" s="173">
        <f t="shared" si="138"/>
        <v>0</v>
      </c>
    </row>
    <row r="2646" spans="1:18" ht="14" hidden="1">
      <c r="A2646" s="78" t="s">
        <v>3144</v>
      </c>
      <c r="B2646" s="220">
        <v>60040</v>
      </c>
      <c r="C2646" s="185"/>
      <c r="D2646" s="103" t="str">
        <f>VLOOKUP(B2646, 'All Menu'!B:M, 4, 0)</f>
        <v>كفتة عجل+خروف</v>
      </c>
      <c r="E2646" s="30" t="str">
        <f>VLOOKUP(B2646, 'All Menu'!B:M, 2, 0)</f>
        <v>قسم الملحمة</v>
      </c>
      <c r="F2646" s="103" t="str">
        <f>VLOOKUP(B2646, 'All Menu'!B:M, 3, 0)</f>
        <v>لحوم بلدية</v>
      </c>
      <c r="G2646" s="90" t="s">
        <v>3058</v>
      </c>
      <c r="H2646" s="221">
        <v>5373</v>
      </c>
      <c r="I2646" s="110" t="str">
        <f>VLOOKUP(H2646, 'RM &amp; SF'!B:H, 2, 0)</f>
        <v>قطعيات عجل مشكلة</v>
      </c>
      <c r="J2646" s="184" t="str">
        <f>VLOOKUP(H2646, 'RM &amp; SF'!B:E, 4, 0)</f>
        <v>غم</v>
      </c>
      <c r="K2646" s="22">
        <v>500</v>
      </c>
      <c r="L2646" s="13">
        <f>VLOOKUP(H2646, 'RM &amp; SF'!B:H, 7, 0)</f>
        <v>9.0100000000000006E-3</v>
      </c>
      <c r="M2646" s="15">
        <f t="shared" si="137"/>
        <v>4.5049999999999999</v>
      </c>
      <c r="N2646" s="21" t="s">
        <v>825</v>
      </c>
      <c r="O2646" s="4">
        <f>VLOOKUP(B2646, 'All Menu'!B:L, 6, 0)</f>
        <v>12</v>
      </c>
      <c r="P2646" s="6">
        <f>VLOOKUP(B2646, 'All Menu'!B:L, 9, 0)</f>
        <v>5.2594342471264373</v>
      </c>
      <c r="Q2646" s="14">
        <f>VLOOKUP(B2646, 'All Menu'!B:M, 12, 0)</f>
        <v>0.56171381273946352</v>
      </c>
      <c r="R2646" s="173">
        <f t="shared" si="138"/>
        <v>0</v>
      </c>
    </row>
    <row r="2647" spans="1:18" ht="14" hidden="1">
      <c r="A2647" s="78" t="s">
        <v>3144</v>
      </c>
      <c r="B2647" s="220">
        <v>60040</v>
      </c>
      <c r="C2647" s="185"/>
      <c r="D2647" s="103" t="str">
        <f>VLOOKUP(B2647, 'All Menu'!B:M, 4, 0)</f>
        <v>كفتة عجل+خروف</v>
      </c>
      <c r="E2647" s="30" t="str">
        <f>VLOOKUP(B2647, 'All Menu'!B:M, 2, 0)</f>
        <v>قسم الملحمة</v>
      </c>
      <c r="F2647" s="103" t="str">
        <f>VLOOKUP(B2647, 'All Menu'!B:M, 3, 0)</f>
        <v>لحوم بلدية</v>
      </c>
      <c r="G2647" s="90" t="s">
        <v>3058</v>
      </c>
      <c r="H2647" s="221">
        <v>5430</v>
      </c>
      <c r="I2647" s="110" t="str">
        <f>VLOOKUP(H2647, 'RM &amp; SF'!B:H, 2, 0)</f>
        <v>نتر ملحمه</v>
      </c>
      <c r="J2647" s="184" t="str">
        <f>VLOOKUP(H2647, 'RM &amp; SF'!B:E, 4, 0)</f>
        <v>غم</v>
      </c>
      <c r="K2647" s="22">
        <v>500</v>
      </c>
      <c r="L2647" s="13">
        <f>VLOOKUP(H2647, 'RM &amp; SF'!B:H, 7, 0)</f>
        <v>1E-3</v>
      </c>
      <c r="M2647" s="15">
        <f t="shared" si="137"/>
        <v>0.5</v>
      </c>
      <c r="N2647" s="21" t="s">
        <v>825</v>
      </c>
      <c r="O2647" s="4">
        <f>VLOOKUP(B2647, 'All Menu'!B:L, 6, 0)</f>
        <v>12</v>
      </c>
      <c r="P2647" s="6">
        <f>VLOOKUP(B2647, 'All Menu'!B:L, 9, 0)</f>
        <v>5.2594342471264373</v>
      </c>
      <c r="Q2647" s="14">
        <f>VLOOKUP(B2647, 'All Menu'!B:M, 12, 0)</f>
        <v>0.56171381273946352</v>
      </c>
      <c r="R2647" s="173">
        <f t="shared" si="138"/>
        <v>0</v>
      </c>
    </row>
    <row r="2648" spans="1:18" ht="14" hidden="1">
      <c r="A2648" s="78" t="s">
        <v>3144</v>
      </c>
      <c r="B2648" s="220">
        <v>60040</v>
      </c>
      <c r="C2648" s="185"/>
      <c r="D2648" s="103" t="str">
        <f>VLOOKUP(B2648, 'All Menu'!B:M, 4, 0)</f>
        <v>كفتة عجل+خروف</v>
      </c>
      <c r="E2648" s="30" t="str">
        <f>VLOOKUP(B2648, 'All Menu'!B:M, 2, 0)</f>
        <v>قسم الملحمة</v>
      </c>
      <c r="F2648" s="103" t="str">
        <f>VLOOKUP(B2648, 'All Menu'!B:M, 3, 0)</f>
        <v>لحوم بلدية</v>
      </c>
      <c r="G2648" s="90" t="s">
        <v>2234</v>
      </c>
      <c r="H2648" s="221">
        <v>4503</v>
      </c>
      <c r="I2648" s="110" t="str">
        <f>VLOOKUP(H2648, 'RM &amp; SF'!B:H, 2, 0)</f>
        <v>بصل ناشف دفش*****</v>
      </c>
      <c r="J2648" s="184" t="str">
        <f>VLOOKUP(H2648, 'RM &amp; SF'!B:E, 4, 0)</f>
        <v>غم</v>
      </c>
      <c r="K2648" s="22">
        <v>100</v>
      </c>
      <c r="L2648" s="13">
        <f>VLOOKUP(H2648, 'RM &amp; SF'!B:H, 7, 0)</f>
        <v>2.5000000000000001E-4</v>
      </c>
      <c r="M2648" s="15">
        <f t="shared" si="137"/>
        <v>2.5000000000000001E-2</v>
      </c>
      <c r="N2648" s="21" t="s">
        <v>825</v>
      </c>
      <c r="O2648" s="4">
        <f>VLOOKUP(B2648, 'All Menu'!B:L, 6, 0)</f>
        <v>12</v>
      </c>
      <c r="P2648" s="6">
        <f>VLOOKUP(B2648, 'All Menu'!B:L, 9, 0)</f>
        <v>5.2594342471264373</v>
      </c>
      <c r="Q2648" s="14">
        <f>VLOOKUP(B2648, 'All Menu'!B:M, 12, 0)</f>
        <v>0.56171381273946352</v>
      </c>
      <c r="R2648" s="173">
        <f t="shared" si="138"/>
        <v>0</v>
      </c>
    </row>
    <row r="2649" spans="1:18" ht="14" hidden="1">
      <c r="A2649" s="78" t="s">
        <v>3144</v>
      </c>
      <c r="B2649" s="220">
        <v>60040</v>
      </c>
      <c r="C2649" s="185"/>
      <c r="D2649" s="103" t="str">
        <f>VLOOKUP(B2649, 'All Menu'!B:M, 4, 0)</f>
        <v>كفتة عجل+خروف</v>
      </c>
      <c r="E2649" s="30" t="str">
        <f>VLOOKUP(B2649, 'All Menu'!B:M, 2, 0)</f>
        <v>قسم الملحمة</v>
      </c>
      <c r="F2649" s="103" t="str">
        <f>VLOOKUP(B2649, 'All Menu'!B:M, 3, 0)</f>
        <v>لحوم بلدية</v>
      </c>
      <c r="G2649" s="90" t="s">
        <v>2251</v>
      </c>
      <c r="H2649" s="221">
        <v>4544</v>
      </c>
      <c r="I2649" s="110" t="str">
        <f>VLOOKUP(H2649, 'RM &amp; SF'!B:H, 2, 0)</f>
        <v>بقدونس*****</v>
      </c>
      <c r="J2649" s="184" t="str">
        <f>VLOOKUP(H2649, 'RM &amp; SF'!B:E, 4, 0)</f>
        <v>غم</v>
      </c>
      <c r="K2649" s="22">
        <v>0.5</v>
      </c>
      <c r="L2649" s="13">
        <f>VLOOKUP(H2649, 'RM &amp; SF'!B:H, 7, 0)</f>
        <v>7.5000000000000002E-4</v>
      </c>
      <c r="M2649" s="15">
        <f t="shared" si="137"/>
        <v>3.7500000000000001E-4</v>
      </c>
      <c r="N2649" s="21" t="s">
        <v>825</v>
      </c>
      <c r="O2649" s="4">
        <f>VLOOKUP(B2649, 'All Menu'!B:L, 6, 0)</f>
        <v>12</v>
      </c>
      <c r="P2649" s="6">
        <f>VLOOKUP(B2649, 'All Menu'!B:L, 9, 0)</f>
        <v>5.2594342471264373</v>
      </c>
      <c r="Q2649" s="14">
        <f>VLOOKUP(B2649, 'All Menu'!B:M, 12, 0)</f>
        <v>0.56171381273946352</v>
      </c>
      <c r="R2649" s="173">
        <f t="shared" si="138"/>
        <v>0</v>
      </c>
    </row>
    <row r="2650" spans="1:18" ht="14" hidden="1">
      <c r="A2650" s="78" t="s">
        <v>3144</v>
      </c>
      <c r="B2650" s="220">
        <v>60040</v>
      </c>
      <c r="C2650" s="185"/>
      <c r="D2650" s="103" t="str">
        <f>VLOOKUP(B2650, 'All Menu'!B:M, 4, 0)</f>
        <v>كفتة عجل+خروف</v>
      </c>
      <c r="E2650" s="30" t="str">
        <f>VLOOKUP(B2650, 'All Menu'!B:M, 2, 0)</f>
        <v>قسم الملحمة</v>
      </c>
      <c r="F2650" s="103" t="str">
        <f>VLOOKUP(B2650, 'All Menu'!B:M, 3, 0)</f>
        <v>لحوم بلدية</v>
      </c>
      <c r="G2650" s="90" t="s">
        <v>2203</v>
      </c>
      <c r="H2650" s="221">
        <v>4152</v>
      </c>
      <c r="I2650" s="110" t="str">
        <f>VLOOKUP(H2650, 'RM &amp; SF'!B:H, 2, 0)</f>
        <v>ملح طعام 750غم*****</v>
      </c>
      <c r="J2650" s="184" t="str">
        <f>VLOOKUP(H2650, 'RM &amp; SF'!B:E, 4, 0)</f>
        <v>غم</v>
      </c>
      <c r="K2650" s="22">
        <v>5</v>
      </c>
      <c r="L2650" s="13">
        <f>VLOOKUP(H2650, 'RM &amp; SF'!B:H, 7, 0)</f>
        <v>1.7066666666666665E-4</v>
      </c>
      <c r="M2650" s="15">
        <f t="shared" si="137"/>
        <v>8.5333333333333322E-4</v>
      </c>
      <c r="N2650" s="21" t="s">
        <v>825</v>
      </c>
      <c r="O2650" s="4">
        <f>VLOOKUP(B2650, 'All Menu'!B:L, 6, 0)</f>
        <v>12</v>
      </c>
      <c r="P2650" s="6">
        <f>VLOOKUP(B2650, 'All Menu'!B:L, 9, 0)</f>
        <v>5.2594342471264373</v>
      </c>
      <c r="Q2650" s="14">
        <f>VLOOKUP(B2650, 'All Menu'!B:M, 12, 0)</f>
        <v>0.56171381273946352</v>
      </c>
      <c r="R2650" s="173">
        <f t="shared" si="138"/>
        <v>0</v>
      </c>
    </row>
    <row r="2651" spans="1:18" ht="14" hidden="1">
      <c r="A2651" s="78" t="s">
        <v>3144</v>
      </c>
      <c r="B2651" s="220">
        <v>60040</v>
      </c>
      <c r="C2651" s="185"/>
      <c r="D2651" s="103" t="str">
        <f>VLOOKUP(B2651, 'All Menu'!B:M, 4, 0)</f>
        <v>كفتة عجل+خروف</v>
      </c>
      <c r="E2651" s="30" t="str">
        <f>VLOOKUP(B2651, 'All Menu'!B:M, 2, 0)</f>
        <v>قسم الملحمة</v>
      </c>
      <c r="F2651" s="103" t="str">
        <f>VLOOKUP(B2651, 'All Menu'!B:M, 3, 0)</f>
        <v>لحوم بلدية</v>
      </c>
      <c r="G2651" s="90" t="s">
        <v>2206</v>
      </c>
      <c r="H2651" s="221">
        <v>4204</v>
      </c>
      <c r="I2651" s="110" t="str">
        <f>VLOOKUP(H2651, 'RM &amp; SF'!B:H, 2, 0)</f>
        <v>فلفل اسود ناعم*****</v>
      </c>
      <c r="J2651" s="184" t="str">
        <f>VLOOKUP(H2651, 'RM &amp; SF'!B:E, 4, 0)</f>
        <v>غم</v>
      </c>
      <c r="K2651" s="22">
        <v>5</v>
      </c>
      <c r="L2651" s="13">
        <f>VLOOKUP(H2651, 'RM &amp; SF'!B:H, 7, 0)</f>
        <v>6.8970000000000004E-3</v>
      </c>
      <c r="M2651" s="15">
        <f t="shared" si="137"/>
        <v>3.4485000000000002E-2</v>
      </c>
      <c r="N2651" s="21" t="s">
        <v>825</v>
      </c>
      <c r="O2651" s="4">
        <f>VLOOKUP(B2651, 'All Menu'!B:L, 6, 0)</f>
        <v>12</v>
      </c>
      <c r="P2651" s="6">
        <f>VLOOKUP(B2651, 'All Menu'!B:L, 9, 0)</f>
        <v>5.2594342471264373</v>
      </c>
      <c r="Q2651" s="14">
        <f>VLOOKUP(B2651, 'All Menu'!B:M, 12, 0)</f>
        <v>0.56171381273946352</v>
      </c>
      <c r="R2651" s="173">
        <f t="shared" si="138"/>
        <v>0</v>
      </c>
    </row>
    <row r="2652" spans="1:18" ht="14" hidden="1">
      <c r="A2652" s="78" t="s">
        <v>3144</v>
      </c>
      <c r="B2652" s="220">
        <v>60040</v>
      </c>
      <c r="C2652" s="185"/>
      <c r="D2652" s="103" t="str">
        <f>VLOOKUP(B2652, 'All Menu'!B:M, 4, 0)</f>
        <v>كفتة عجل+خروف</v>
      </c>
      <c r="E2652" s="30" t="str">
        <f>VLOOKUP(B2652, 'All Menu'!B:M, 2, 0)</f>
        <v>قسم الملحمة</v>
      </c>
      <c r="F2652" s="103" t="str">
        <f>VLOOKUP(B2652, 'All Menu'!B:M, 3, 0)</f>
        <v>لحوم بلدية</v>
      </c>
      <c r="G2652" s="90" t="s">
        <v>2193</v>
      </c>
      <c r="H2652" s="221">
        <v>4309</v>
      </c>
      <c r="I2652" s="110" t="str">
        <f>VLOOKUP(H2652, 'RM &amp; SF'!B:H, 2, 0)</f>
        <v>اكياس بلاستيك مطبوع 55 سم*****</v>
      </c>
      <c r="J2652" s="184" t="str">
        <f>VLOOKUP(H2652, 'RM &amp; SF'!B:E, 4, 0)</f>
        <v>قطعة</v>
      </c>
      <c r="K2652" s="22">
        <v>1</v>
      </c>
      <c r="L2652" s="13">
        <f>VLOOKUP(H2652, 'RM &amp; SF'!B:H, 7, 0)</f>
        <v>5.5172413793103454E-2</v>
      </c>
      <c r="M2652" s="15">
        <f t="shared" si="137"/>
        <v>5.5172413793103454E-2</v>
      </c>
      <c r="N2652" s="21" t="s">
        <v>825</v>
      </c>
      <c r="O2652" s="4">
        <f>VLOOKUP(B2652, 'All Menu'!B:L, 6, 0)</f>
        <v>12</v>
      </c>
      <c r="P2652" s="6">
        <f>VLOOKUP(B2652, 'All Menu'!B:L, 9, 0)</f>
        <v>5.2594342471264373</v>
      </c>
      <c r="Q2652" s="14">
        <f>VLOOKUP(B2652, 'All Menu'!B:M, 12, 0)</f>
        <v>0.56171381273946352</v>
      </c>
      <c r="R2652" s="173">
        <f t="shared" si="138"/>
        <v>0</v>
      </c>
    </row>
    <row r="2653" spans="1:18" ht="14" hidden="1">
      <c r="A2653" s="78" t="s">
        <v>3144</v>
      </c>
      <c r="B2653" s="220">
        <v>60040</v>
      </c>
      <c r="C2653" s="185"/>
      <c r="D2653" s="103" t="str">
        <f>VLOOKUP(B2653, 'All Menu'!B:M, 4, 0)</f>
        <v>كفتة عجل+خروف</v>
      </c>
      <c r="E2653" s="30" t="str">
        <f>VLOOKUP(B2653, 'All Menu'!B:M, 2, 0)</f>
        <v>قسم الملحمة</v>
      </c>
      <c r="F2653" s="103" t="str">
        <f>VLOOKUP(B2653, 'All Menu'!B:M, 3, 0)</f>
        <v>لحوم بلدية</v>
      </c>
      <c r="G2653" s="90" t="s">
        <v>3058</v>
      </c>
      <c r="H2653" s="221">
        <v>5274</v>
      </c>
      <c r="I2653" s="110" t="str">
        <f>VLOOKUP(H2653, 'RM &amp; SF'!B:H, 2, 0)</f>
        <v>نايلون للتغليف رول (رول جيلاتين) 45 سم*4 كغ*****</v>
      </c>
      <c r="J2653" s="184" t="str">
        <f>VLOOKUP(H2653, 'RM &amp; SF'!B:E, 4, 0)</f>
        <v>غم</v>
      </c>
      <c r="K2653" s="22">
        <v>20</v>
      </c>
      <c r="L2653" s="13">
        <f>VLOOKUP(H2653, 'RM &amp; SF'!B:H, 7, 0)</f>
        <v>2.0474249999999999E-3</v>
      </c>
      <c r="M2653" s="15">
        <f t="shared" si="137"/>
        <v>4.0948499999999999E-2</v>
      </c>
      <c r="N2653" s="21" t="s">
        <v>825</v>
      </c>
      <c r="O2653" s="4">
        <f>VLOOKUP(B2653, 'All Menu'!B:L, 6, 0)</f>
        <v>12</v>
      </c>
      <c r="P2653" s="6">
        <f>VLOOKUP(B2653, 'All Menu'!B:L, 9, 0)</f>
        <v>5.2594342471264373</v>
      </c>
      <c r="Q2653" s="14">
        <f>VLOOKUP(B2653, 'All Menu'!B:M, 12, 0)</f>
        <v>0.56171381273946352</v>
      </c>
      <c r="R2653" s="173">
        <f t="shared" si="138"/>
        <v>0</v>
      </c>
    </row>
    <row r="2654" spans="1:18" ht="14" hidden="1">
      <c r="A2654" s="78" t="s">
        <v>3144</v>
      </c>
      <c r="B2654" s="220">
        <v>60040</v>
      </c>
      <c r="C2654" s="185"/>
      <c r="D2654" s="103" t="str">
        <f>VLOOKUP(B2654, 'All Menu'!B:M, 4, 0)</f>
        <v>كفتة عجل+خروف</v>
      </c>
      <c r="E2654" s="30" t="str">
        <f>VLOOKUP(B2654, 'All Menu'!B:M, 2, 0)</f>
        <v>قسم الملحمة</v>
      </c>
      <c r="F2654" s="103" t="str">
        <f>VLOOKUP(B2654, 'All Menu'!B:M, 3, 0)</f>
        <v>لحوم بلدية</v>
      </c>
      <c r="G2654" s="90" t="s">
        <v>3058</v>
      </c>
      <c r="H2654" s="221">
        <v>5300</v>
      </c>
      <c r="I2654" s="110" t="str">
        <f>VLOOKUP(H2654, 'RM &amp; SF'!B:H, 2, 0)</f>
        <v>صحن فلين اسود مخرم T2*****</v>
      </c>
      <c r="J2654" s="184" t="str">
        <f>VLOOKUP(H2654, 'RM &amp; SF'!B:E, 4, 0)</f>
        <v>قطعة</v>
      </c>
      <c r="K2654" s="22">
        <v>2</v>
      </c>
      <c r="L2654" s="13">
        <f>VLOOKUP(H2654, 'RM &amp; SF'!B:H, 7, 0)</f>
        <v>4.3099999999999999E-2</v>
      </c>
      <c r="M2654" s="15">
        <f t="shared" si="137"/>
        <v>8.6199999999999999E-2</v>
      </c>
      <c r="N2654" s="21" t="s">
        <v>825</v>
      </c>
      <c r="O2654" s="4">
        <f>VLOOKUP(B2654, 'All Menu'!B:L, 6, 0)</f>
        <v>12</v>
      </c>
      <c r="P2654" s="6">
        <f>VLOOKUP(B2654, 'All Menu'!B:L, 9, 0)</f>
        <v>5.2594342471264373</v>
      </c>
      <c r="Q2654" s="14">
        <f>VLOOKUP(B2654, 'All Menu'!B:M, 12, 0)</f>
        <v>0.56171381273946352</v>
      </c>
      <c r="R2654" s="173">
        <f t="shared" si="138"/>
        <v>0</v>
      </c>
    </row>
    <row r="2655" spans="1:18" ht="14" hidden="1">
      <c r="A2655" s="78" t="s">
        <v>3144</v>
      </c>
      <c r="B2655" s="220">
        <v>60040</v>
      </c>
      <c r="C2655" s="185"/>
      <c r="D2655" s="103" t="str">
        <f>VLOOKUP(B2655, 'All Menu'!B:M, 4, 0)</f>
        <v>كفتة عجل+خروف</v>
      </c>
      <c r="E2655" s="30" t="str">
        <f>VLOOKUP(B2655, 'All Menu'!B:M, 2, 0)</f>
        <v>قسم الملحمة</v>
      </c>
      <c r="F2655" s="103" t="str">
        <f>VLOOKUP(B2655, 'All Menu'!B:M, 3, 0)</f>
        <v>لحوم بلدية</v>
      </c>
      <c r="G2655" s="90" t="s">
        <v>3058</v>
      </c>
      <c r="H2655" s="221">
        <v>4425</v>
      </c>
      <c r="I2655" s="110" t="str">
        <f>VLOOKUP(H2655, 'RM &amp; SF'!B:H, 2, 0)</f>
        <v>ليبل المركزية دائري 5*5 سم*****</v>
      </c>
      <c r="J2655" s="184" t="str">
        <f>VLOOKUP(H2655, 'RM &amp; SF'!B:E, 4, 0)</f>
        <v>قطعة</v>
      </c>
      <c r="K2655" s="22">
        <v>2</v>
      </c>
      <c r="L2655" s="13">
        <f>VLOOKUP(H2655, 'RM &amp; SF'!B:H, 7, 0)</f>
        <v>5.7000000000000002E-3</v>
      </c>
      <c r="M2655" s="15">
        <f t="shared" si="137"/>
        <v>1.14E-2</v>
      </c>
      <c r="N2655" s="21" t="s">
        <v>825</v>
      </c>
      <c r="O2655" s="4">
        <f>VLOOKUP(B2655, 'All Menu'!B:L, 6, 0)</f>
        <v>12</v>
      </c>
      <c r="P2655" s="6">
        <f>VLOOKUP(B2655, 'All Menu'!B:L, 9, 0)</f>
        <v>5.2594342471264373</v>
      </c>
      <c r="Q2655" s="14">
        <f>VLOOKUP(B2655, 'All Menu'!B:M, 12, 0)</f>
        <v>0.56171381273946352</v>
      </c>
      <c r="R2655" s="173">
        <f t="shared" si="138"/>
        <v>0</v>
      </c>
    </row>
    <row r="2656" spans="1:18" ht="14" hidden="1">
      <c r="A2656" s="78" t="s">
        <v>3142</v>
      </c>
      <c r="B2656" s="220">
        <v>60038</v>
      </c>
      <c r="C2656" s="185"/>
      <c r="D2656" s="103" t="str">
        <f>VLOOKUP(B2656, 'All Menu'!B:M, 4, 0)</f>
        <v>كباب</v>
      </c>
      <c r="E2656" s="30" t="str">
        <f>VLOOKUP(B2656, 'All Menu'!B:M, 2, 0)</f>
        <v>قسم الملحمة</v>
      </c>
      <c r="F2656" s="103" t="str">
        <f>VLOOKUP(B2656, 'All Menu'!B:M, 3, 0)</f>
        <v>لحوم بلدية</v>
      </c>
      <c r="G2656" s="90" t="s">
        <v>3058</v>
      </c>
      <c r="H2656" s="221">
        <v>5373</v>
      </c>
      <c r="I2656" s="110" t="str">
        <f>VLOOKUP(H2656, 'RM &amp; SF'!B:H, 2, 0)</f>
        <v>قطعيات عجل مشكلة</v>
      </c>
      <c r="J2656" s="184" t="str">
        <f>VLOOKUP(H2656, 'RM &amp; SF'!B:E, 4, 0)</f>
        <v>غم</v>
      </c>
      <c r="K2656" s="22">
        <v>500</v>
      </c>
      <c r="L2656" s="13">
        <f>VLOOKUP(H2656, 'RM &amp; SF'!B:H, 7, 0)</f>
        <v>9.0100000000000006E-3</v>
      </c>
      <c r="M2656" s="15">
        <f t="shared" si="137"/>
        <v>4.5049999999999999</v>
      </c>
      <c r="N2656" s="21" t="s">
        <v>825</v>
      </c>
      <c r="O2656" s="4">
        <f>VLOOKUP(B2656, 'All Menu'!B:L, 6, 0)</f>
        <v>14</v>
      </c>
      <c r="P2656" s="6">
        <f>VLOOKUP(B2656, 'All Menu'!B:L, 9, 0)</f>
        <v>5.2698975804597694</v>
      </c>
      <c r="Q2656" s="14">
        <f>VLOOKUP(B2656, 'All Menu'!B:M, 12, 0)</f>
        <v>0.62357874425287363</v>
      </c>
      <c r="R2656" s="173">
        <f t="shared" si="138"/>
        <v>0</v>
      </c>
    </row>
    <row r="2657" spans="1:18" ht="14" hidden="1">
      <c r="A2657" s="78" t="s">
        <v>3142</v>
      </c>
      <c r="B2657" s="220">
        <v>60038</v>
      </c>
      <c r="C2657" s="185"/>
      <c r="D2657" s="103" t="str">
        <f>VLOOKUP(B2657, 'All Menu'!B:M, 4, 0)</f>
        <v>كباب</v>
      </c>
      <c r="E2657" s="30" t="str">
        <f>VLOOKUP(B2657, 'All Menu'!B:M, 2, 0)</f>
        <v>قسم الملحمة</v>
      </c>
      <c r="F2657" s="103" t="str">
        <f>VLOOKUP(B2657, 'All Menu'!B:M, 3, 0)</f>
        <v>لحوم بلدية</v>
      </c>
      <c r="G2657" s="90" t="s">
        <v>3058</v>
      </c>
      <c r="H2657" s="221">
        <v>5430</v>
      </c>
      <c r="I2657" s="110" t="str">
        <f>VLOOKUP(H2657, 'RM &amp; SF'!B:H, 2, 0)</f>
        <v>نتر ملحمه</v>
      </c>
      <c r="J2657" s="184" t="str">
        <f>VLOOKUP(H2657, 'RM &amp; SF'!B:E, 4, 0)</f>
        <v>غم</v>
      </c>
      <c r="K2657" s="22">
        <v>500</v>
      </c>
      <c r="L2657" s="13">
        <f>VLOOKUP(H2657, 'RM &amp; SF'!B:H, 7, 0)</f>
        <v>1E-3</v>
      </c>
      <c r="M2657" s="15">
        <f t="shared" si="137"/>
        <v>0.5</v>
      </c>
      <c r="N2657" s="21" t="s">
        <v>825</v>
      </c>
      <c r="O2657" s="4">
        <f>VLOOKUP(B2657, 'All Menu'!B:L, 6, 0)</f>
        <v>14</v>
      </c>
      <c r="P2657" s="6">
        <f>VLOOKUP(B2657, 'All Menu'!B:L, 9, 0)</f>
        <v>5.2698975804597694</v>
      </c>
      <c r="Q2657" s="14">
        <f>VLOOKUP(B2657, 'All Menu'!B:M, 12, 0)</f>
        <v>0.62357874425287363</v>
      </c>
      <c r="R2657" s="173">
        <f t="shared" si="138"/>
        <v>0</v>
      </c>
    </row>
    <row r="2658" spans="1:18" ht="14" hidden="1">
      <c r="A2658" s="78" t="s">
        <v>3142</v>
      </c>
      <c r="B2658" s="220">
        <v>60038</v>
      </c>
      <c r="C2658" s="185"/>
      <c r="D2658" s="103" t="str">
        <f>VLOOKUP(B2658, 'All Menu'!B:M, 4, 0)</f>
        <v>كباب</v>
      </c>
      <c r="E2658" s="30" t="str">
        <f>VLOOKUP(B2658, 'All Menu'!B:M, 2, 0)</f>
        <v>قسم الملحمة</v>
      </c>
      <c r="F2658" s="103" t="str">
        <f>VLOOKUP(B2658, 'All Menu'!B:M, 3, 0)</f>
        <v>لحوم بلدية</v>
      </c>
      <c r="G2658" s="90" t="s">
        <v>2234</v>
      </c>
      <c r="H2658" s="221">
        <v>4503</v>
      </c>
      <c r="I2658" s="110" t="str">
        <f>VLOOKUP(H2658, 'RM &amp; SF'!B:H, 2, 0)</f>
        <v>بصل ناشف دفش*****</v>
      </c>
      <c r="J2658" s="184" t="str">
        <f>VLOOKUP(H2658, 'RM &amp; SF'!B:E, 4, 0)</f>
        <v>غم</v>
      </c>
      <c r="K2658" s="22">
        <v>0.5</v>
      </c>
      <c r="L2658" s="13">
        <f>VLOOKUP(H2658, 'RM &amp; SF'!B:H, 7, 0)</f>
        <v>2.5000000000000001E-4</v>
      </c>
      <c r="M2658" s="15">
        <f t="shared" si="137"/>
        <v>1.25E-4</v>
      </c>
      <c r="N2658" s="21" t="s">
        <v>825</v>
      </c>
      <c r="O2658" s="4">
        <f>VLOOKUP(B2658, 'All Menu'!B:L, 6, 0)</f>
        <v>14</v>
      </c>
      <c r="P2658" s="6">
        <f>VLOOKUP(B2658, 'All Menu'!B:L, 9, 0)</f>
        <v>5.2698975804597694</v>
      </c>
      <c r="Q2658" s="14">
        <f>VLOOKUP(B2658, 'All Menu'!B:M, 12, 0)</f>
        <v>0.62357874425287363</v>
      </c>
      <c r="R2658" s="173">
        <f t="shared" si="138"/>
        <v>0</v>
      </c>
    </row>
    <row r="2659" spans="1:18" ht="14" hidden="1">
      <c r="A2659" s="78" t="s">
        <v>3142</v>
      </c>
      <c r="B2659" s="220">
        <v>60038</v>
      </c>
      <c r="C2659" s="185"/>
      <c r="D2659" s="103" t="str">
        <f>VLOOKUP(B2659, 'All Menu'!B:M, 4, 0)</f>
        <v>كباب</v>
      </c>
      <c r="E2659" s="30" t="str">
        <f>VLOOKUP(B2659, 'All Menu'!B:M, 2, 0)</f>
        <v>قسم الملحمة</v>
      </c>
      <c r="F2659" s="103" t="str">
        <f>VLOOKUP(B2659, 'All Menu'!B:M, 3, 0)</f>
        <v>لحوم بلدية</v>
      </c>
      <c r="G2659" s="90" t="s">
        <v>2251</v>
      </c>
      <c r="H2659" s="221">
        <v>4544</v>
      </c>
      <c r="I2659" s="110" t="str">
        <f>VLOOKUP(H2659, 'RM &amp; SF'!B:H, 2, 0)</f>
        <v>بقدونس*****</v>
      </c>
      <c r="J2659" s="184" t="str">
        <f>VLOOKUP(H2659, 'RM &amp; SF'!B:E, 4, 0)</f>
        <v>غم</v>
      </c>
      <c r="K2659" s="22">
        <v>0.5</v>
      </c>
      <c r="L2659" s="13">
        <f>VLOOKUP(H2659, 'RM &amp; SF'!B:H, 7, 0)</f>
        <v>7.5000000000000002E-4</v>
      </c>
      <c r="M2659" s="15">
        <f t="shared" si="137"/>
        <v>3.7500000000000001E-4</v>
      </c>
      <c r="N2659" s="21" t="s">
        <v>825</v>
      </c>
      <c r="O2659" s="4">
        <f>VLOOKUP(B2659, 'All Menu'!B:L, 6, 0)</f>
        <v>14</v>
      </c>
      <c r="P2659" s="6">
        <f>VLOOKUP(B2659, 'All Menu'!B:L, 9, 0)</f>
        <v>5.2698975804597694</v>
      </c>
      <c r="Q2659" s="14">
        <f>VLOOKUP(B2659, 'All Menu'!B:M, 12, 0)</f>
        <v>0.62357874425287363</v>
      </c>
      <c r="R2659" s="173">
        <f t="shared" si="138"/>
        <v>0</v>
      </c>
    </row>
    <row r="2660" spans="1:18" ht="14" hidden="1">
      <c r="A2660" s="78" t="s">
        <v>3142</v>
      </c>
      <c r="B2660" s="220">
        <v>60038</v>
      </c>
      <c r="C2660" s="185"/>
      <c r="D2660" s="103" t="str">
        <f>VLOOKUP(B2660, 'All Menu'!B:M, 4, 0)</f>
        <v>كباب</v>
      </c>
      <c r="E2660" s="30" t="str">
        <f>VLOOKUP(B2660, 'All Menu'!B:M, 2, 0)</f>
        <v>قسم الملحمة</v>
      </c>
      <c r="F2660" s="103" t="str">
        <f>VLOOKUP(B2660, 'All Menu'!B:M, 3, 0)</f>
        <v>لحوم بلدية</v>
      </c>
      <c r="G2660" s="90" t="s">
        <v>2203</v>
      </c>
      <c r="H2660" s="221">
        <v>4152</v>
      </c>
      <c r="I2660" s="110" t="str">
        <f>VLOOKUP(H2660, 'RM &amp; SF'!B:H, 2, 0)</f>
        <v>ملح طعام 750غم*****</v>
      </c>
      <c r="J2660" s="184" t="str">
        <f>VLOOKUP(H2660, 'RM &amp; SF'!B:E, 4, 0)</f>
        <v>غم</v>
      </c>
      <c r="K2660" s="22">
        <v>10</v>
      </c>
      <c r="L2660" s="13">
        <f>VLOOKUP(H2660, 'RM &amp; SF'!B:H, 7, 0)</f>
        <v>1.7066666666666665E-4</v>
      </c>
      <c r="M2660" s="15">
        <f t="shared" si="137"/>
        <v>1.7066666666666664E-3</v>
      </c>
      <c r="N2660" s="21" t="s">
        <v>825</v>
      </c>
      <c r="O2660" s="4">
        <f>VLOOKUP(B2660, 'All Menu'!B:L, 6, 0)</f>
        <v>14</v>
      </c>
      <c r="P2660" s="6">
        <f>VLOOKUP(B2660, 'All Menu'!B:L, 9, 0)</f>
        <v>5.2698975804597694</v>
      </c>
      <c r="Q2660" s="14">
        <f>VLOOKUP(B2660, 'All Menu'!B:M, 12, 0)</f>
        <v>0.62357874425287363</v>
      </c>
      <c r="R2660" s="173">
        <f t="shared" si="138"/>
        <v>0</v>
      </c>
    </row>
    <row r="2661" spans="1:18" ht="14" hidden="1">
      <c r="A2661" s="78" t="s">
        <v>3142</v>
      </c>
      <c r="B2661" s="220">
        <v>60038</v>
      </c>
      <c r="C2661" s="185"/>
      <c r="D2661" s="103" t="str">
        <f>VLOOKUP(B2661, 'All Menu'!B:M, 4, 0)</f>
        <v>كباب</v>
      </c>
      <c r="E2661" s="30" t="str">
        <f>VLOOKUP(B2661, 'All Menu'!B:M, 2, 0)</f>
        <v>قسم الملحمة</v>
      </c>
      <c r="F2661" s="103" t="str">
        <f>VLOOKUP(B2661, 'All Menu'!B:M, 3, 0)</f>
        <v>لحوم بلدية</v>
      </c>
      <c r="G2661" s="90" t="s">
        <v>2206</v>
      </c>
      <c r="H2661" s="221">
        <v>4204</v>
      </c>
      <c r="I2661" s="110" t="str">
        <f>VLOOKUP(H2661, 'RM &amp; SF'!B:H, 2, 0)</f>
        <v>فلفل اسود ناعم*****</v>
      </c>
      <c r="J2661" s="184" t="str">
        <f>VLOOKUP(H2661, 'RM &amp; SF'!B:E, 4, 0)</f>
        <v>غم</v>
      </c>
      <c r="K2661" s="22">
        <v>10</v>
      </c>
      <c r="L2661" s="13">
        <f>VLOOKUP(H2661, 'RM &amp; SF'!B:H, 7, 0)</f>
        <v>6.8970000000000004E-3</v>
      </c>
      <c r="M2661" s="15">
        <f t="shared" si="137"/>
        <v>6.8970000000000004E-2</v>
      </c>
      <c r="N2661" s="21" t="s">
        <v>825</v>
      </c>
      <c r="O2661" s="4">
        <f>VLOOKUP(B2661, 'All Menu'!B:L, 6, 0)</f>
        <v>14</v>
      </c>
      <c r="P2661" s="6">
        <f>VLOOKUP(B2661, 'All Menu'!B:L, 9, 0)</f>
        <v>5.2698975804597694</v>
      </c>
      <c r="Q2661" s="14">
        <f>VLOOKUP(B2661, 'All Menu'!B:M, 12, 0)</f>
        <v>0.62357874425287363</v>
      </c>
      <c r="R2661" s="173">
        <f t="shared" si="138"/>
        <v>0</v>
      </c>
    </row>
    <row r="2662" spans="1:18" ht="14" hidden="1">
      <c r="A2662" s="78" t="s">
        <v>3142</v>
      </c>
      <c r="B2662" s="220">
        <v>60038</v>
      </c>
      <c r="C2662" s="185"/>
      <c r="D2662" s="103" t="str">
        <f>VLOOKUP(B2662, 'All Menu'!B:M, 4, 0)</f>
        <v>كباب</v>
      </c>
      <c r="E2662" s="30" t="str">
        <f>VLOOKUP(B2662, 'All Menu'!B:M, 2, 0)</f>
        <v>قسم الملحمة</v>
      </c>
      <c r="F2662" s="103" t="str">
        <f>VLOOKUP(B2662, 'All Menu'!B:M, 3, 0)</f>
        <v>لحوم بلدية</v>
      </c>
      <c r="G2662" s="90" t="s">
        <v>2193</v>
      </c>
      <c r="H2662" s="221">
        <v>4309</v>
      </c>
      <c r="I2662" s="110" t="str">
        <f>VLOOKUP(H2662, 'RM &amp; SF'!B:H, 2, 0)</f>
        <v>اكياس بلاستيك مطبوع 55 سم*****</v>
      </c>
      <c r="J2662" s="184" t="str">
        <f>VLOOKUP(H2662, 'RM &amp; SF'!B:E, 4, 0)</f>
        <v>قطعة</v>
      </c>
      <c r="K2662" s="22">
        <v>1</v>
      </c>
      <c r="L2662" s="13">
        <f>VLOOKUP(H2662, 'RM &amp; SF'!B:H, 7, 0)</f>
        <v>5.5172413793103454E-2</v>
      </c>
      <c r="M2662" s="15">
        <f t="shared" si="137"/>
        <v>5.5172413793103454E-2</v>
      </c>
      <c r="N2662" s="21" t="s">
        <v>825</v>
      </c>
      <c r="O2662" s="4">
        <f>VLOOKUP(B2662, 'All Menu'!B:L, 6, 0)</f>
        <v>14</v>
      </c>
      <c r="P2662" s="6">
        <f>VLOOKUP(B2662, 'All Menu'!B:L, 9, 0)</f>
        <v>5.2698975804597694</v>
      </c>
      <c r="Q2662" s="14">
        <f>VLOOKUP(B2662, 'All Menu'!B:M, 12, 0)</f>
        <v>0.62357874425287363</v>
      </c>
      <c r="R2662" s="173">
        <f t="shared" si="138"/>
        <v>0</v>
      </c>
    </row>
    <row r="2663" spans="1:18" ht="14" hidden="1">
      <c r="A2663" s="78" t="s">
        <v>3142</v>
      </c>
      <c r="B2663" s="220">
        <v>60038</v>
      </c>
      <c r="C2663" s="185"/>
      <c r="D2663" s="103" t="str">
        <f>VLOOKUP(B2663, 'All Menu'!B:M, 4, 0)</f>
        <v>كباب</v>
      </c>
      <c r="E2663" s="30" t="str">
        <f>VLOOKUP(B2663, 'All Menu'!B:M, 2, 0)</f>
        <v>قسم الملحمة</v>
      </c>
      <c r="F2663" s="103" t="str">
        <f>VLOOKUP(B2663, 'All Menu'!B:M, 3, 0)</f>
        <v>لحوم بلدية</v>
      </c>
      <c r="G2663" s="90" t="s">
        <v>3058</v>
      </c>
      <c r="H2663" s="221">
        <v>5274</v>
      </c>
      <c r="I2663" s="110" t="str">
        <f>VLOOKUP(H2663, 'RM &amp; SF'!B:H, 2, 0)</f>
        <v>نايلون للتغليف رول (رول جيلاتين) 45 سم*4 كغ*****</v>
      </c>
      <c r="J2663" s="184" t="str">
        <f>VLOOKUP(H2663, 'RM &amp; SF'!B:E, 4, 0)</f>
        <v>غم</v>
      </c>
      <c r="K2663" s="22">
        <v>20</v>
      </c>
      <c r="L2663" s="13">
        <f>VLOOKUP(H2663, 'RM &amp; SF'!B:H, 7, 0)</f>
        <v>2.0474249999999999E-3</v>
      </c>
      <c r="M2663" s="15">
        <f t="shared" si="137"/>
        <v>4.0948499999999999E-2</v>
      </c>
      <c r="N2663" s="21" t="s">
        <v>825</v>
      </c>
      <c r="O2663" s="4">
        <f>VLOOKUP(B2663, 'All Menu'!B:L, 6, 0)</f>
        <v>14</v>
      </c>
      <c r="P2663" s="6">
        <f>VLOOKUP(B2663, 'All Menu'!B:L, 9, 0)</f>
        <v>5.2698975804597694</v>
      </c>
      <c r="Q2663" s="14">
        <f>VLOOKUP(B2663, 'All Menu'!B:M, 12, 0)</f>
        <v>0.62357874425287363</v>
      </c>
      <c r="R2663" s="173">
        <f t="shared" si="138"/>
        <v>0</v>
      </c>
    </row>
    <row r="2664" spans="1:18" ht="14" hidden="1">
      <c r="A2664" s="78" t="s">
        <v>3142</v>
      </c>
      <c r="B2664" s="220">
        <v>60038</v>
      </c>
      <c r="C2664" s="185"/>
      <c r="D2664" s="103" t="str">
        <f>VLOOKUP(B2664, 'All Menu'!B:M, 4, 0)</f>
        <v>كباب</v>
      </c>
      <c r="E2664" s="30" t="str">
        <f>VLOOKUP(B2664, 'All Menu'!B:M, 2, 0)</f>
        <v>قسم الملحمة</v>
      </c>
      <c r="F2664" s="103" t="str">
        <f>VLOOKUP(B2664, 'All Menu'!B:M, 3, 0)</f>
        <v>لحوم بلدية</v>
      </c>
      <c r="G2664" s="90" t="s">
        <v>3058</v>
      </c>
      <c r="H2664" s="221">
        <v>5300</v>
      </c>
      <c r="I2664" s="110" t="str">
        <f>VLOOKUP(H2664, 'RM &amp; SF'!B:H, 2, 0)</f>
        <v>صحن فلين اسود مخرم T2*****</v>
      </c>
      <c r="J2664" s="184" t="str">
        <f>VLOOKUP(H2664, 'RM &amp; SF'!B:E, 4, 0)</f>
        <v>قطعة</v>
      </c>
      <c r="K2664" s="22">
        <v>2</v>
      </c>
      <c r="L2664" s="13">
        <f>VLOOKUP(H2664, 'RM &amp; SF'!B:H, 7, 0)</f>
        <v>4.3099999999999999E-2</v>
      </c>
      <c r="M2664" s="15">
        <f t="shared" si="137"/>
        <v>8.6199999999999999E-2</v>
      </c>
      <c r="N2664" s="21" t="s">
        <v>825</v>
      </c>
      <c r="O2664" s="4">
        <f>VLOOKUP(B2664, 'All Menu'!B:L, 6, 0)</f>
        <v>14</v>
      </c>
      <c r="P2664" s="6">
        <f>VLOOKUP(B2664, 'All Menu'!B:L, 9, 0)</f>
        <v>5.2698975804597694</v>
      </c>
      <c r="Q2664" s="14">
        <f>VLOOKUP(B2664, 'All Menu'!B:M, 12, 0)</f>
        <v>0.62357874425287363</v>
      </c>
      <c r="R2664" s="173">
        <f t="shared" si="138"/>
        <v>0</v>
      </c>
    </row>
    <row r="2665" spans="1:18" ht="14" hidden="1">
      <c r="A2665" s="78" t="s">
        <v>3142</v>
      </c>
      <c r="B2665" s="220">
        <v>60038</v>
      </c>
      <c r="C2665" s="185"/>
      <c r="D2665" s="103" t="str">
        <f>VLOOKUP(B2665, 'All Menu'!B:M, 4, 0)</f>
        <v>كباب</v>
      </c>
      <c r="E2665" s="30" t="str">
        <f>VLOOKUP(B2665, 'All Menu'!B:M, 2, 0)</f>
        <v>قسم الملحمة</v>
      </c>
      <c r="F2665" s="103" t="str">
        <f>VLOOKUP(B2665, 'All Menu'!B:M, 3, 0)</f>
        <v>لحوم بلدية</v>
      </c>
      <c r="G2665" s="90" t="s">
        <v>3058</v>
      </c>
      <c r="H2665" s="221">
        <v>4425</v>
      </c>
      <c r="I2665" s="110" t="str">
        <f>VLOOKUP(H2665, 'RM &amp; SF'!B:H, 2, 0)</f>
        <v>ليبل المركزية دائري 5*5 سم*****</v>
      </c>
      <c r="J2665" s="184" t="str">
        <f>VLOOKUP(H2665, 'RM &amp; SF'!B:E, 4, 0)</f>
        <v>قطعة</v>
      </c>
      <c r="K2665" s="22">
        <v>2</v>
      </c>
      <c r="L2665" s="13">
        <f>VLOOKUP(H2665, 'RM &amp; SF'!B:H, 7, 0)</f>
        <v>5.7000000000000002E-3</v>
      </c>
      <c r="M2665" s="15">
        <f t="shared" si="137"/>
        <v>1.14E-2</v>
      </c>
      <c r="N2665" s="21" t="s">
        <v>825</v>
      </c>
      <c r="O2665" s="4">
        <f>VLOOKUP(B2665, 'All Menu'!B:L, 6, 0)</f>
        <v>14</v>
      </c>
      <c r="P2665" s="6">
        <f>VLOOKUP(B2665, 'All Menu'!B:L, 9, 0)</f>
        <v>5.2698975804597694</v>
      </c>
      <c r="Q2665" s="14">
        <f>VLOOKUP(B2665, 'All Menu'!B:M, 12, 0)</f>
        <v>0.62357874425287363</v>
      </c>
      <c r="R2665" s="173">
        <f t="shared" si="138"/>
        <v>0</v>
      </c>
    </row>
    <row r="2666" spans="1:18" ht="14" hidden="1">
      <c r="A2666" s="78" t="s">
        <v>3150</v>
      </c>
      <c r="B2666" s="220">
        <v>60068</v>
      </c>
      <c r="C2666" s="185"/>
      <c r="D2666" s="103" t="str">
        <f>VLOOKUP(B2666, 'All Menu'!B:M, 4, 0)</f>
        <v>عجينة كبة</v>
      </c>
      <c r="E2666" s="30" t="str">
        <f>VLOOKUP(B2666, 'All Menu'!B:M, 2, 0)</f>
        <v>قسم الملحمة</v>
      </c>
      <c r="F2666" s="103" t="str">
        <f>VLOOKUP(B2666, 'All Menu'!B:M, 3, 0)</f>
        <v>لحوم بلدية</v>
      </c>
      <c r="G2666" s="90" t="s">
        <v>2283</v>
      </c>
      <c r="H2666" s="221">
        <v>4139</v>
      </c>
      <c r="I2666" s="110" t="str">
        <f>VLOOKUP(H2666, 'RM &amp; SF'!B:H, 2, 0)</f>
        <v>برغل ناعم*****</v>
      </c>
      <c r="J2666" s="184" t="str">
        <f>VLOOKUP(H2666, 'RM &amp; SF'!B:E, 4, 0)</f>
        <v>غم</v>
      </c>
      <c r="K2666" s="22">
        <v>1000</v>
      </c>
      <c r="L2666" s="13">
        <f>VLOOKUP(H2666, 'RM &amp; SF'!B:H, 7, 0)</f>
        <v>5.6863999999999992E-4</v>
      </c>
      <c r="M2666" s="15">
        <f t="shared" si="137"/>
        <v>0.56863999999999992</v>
      </c>
      <c r="N2666" s="21" t="s">
        <v>825</v>
      </c>
      <c r="O2666" s="4">
        <f>VLOOKUP(B2666, 'All Menu'!B:L, 6, 0)</f>
        <v>9</v>
      </c>
      <c r="P2666" s="6">
        <f>VLOOKUP(B2666, 'All Menu'!B:L, 9, 0)</f>
        <v>5.3839858563218392</v>
      </c>
      <c r="Q2666" s="14">
        <f>VLOOKUP(B2666, 'All Menu'!B:M, 12, 0)</f>
        <v>0.40177934929757342</v>
      </c>
      <c r="R2666" s="173">
        <f t="shared" si="138"/>
        <v>0</v>
      </c>
    </row>
    <row r="2667" spans="1:18" ht="14" hidden="1">
      <c r="A2667" s="78" t="s">
        <v>3150</v>
      </c>
      <c r="B2667" s="220">
        <v>60068</v>
      </c>
      <c r="C2667" s="185"/>
      <c r="D2667" s="103" t="str">
        <f>VLOOKUP(B2667, 'All Menu'!B:M, 4, 0)</f>
        <v>عجينة كبة</v>
      </c>
      <c r="E2667" s="30" t="str">
        <f>VLOOKUP(B2667, 'All Menu'!B:M, 2, 0)</f>
        <v>قسم الملحمة</v>
      </c>
      <c r="F2667" s="103" t="str">
        <f>VLOOKUP(B2667, 'All Menu'!B:M, 3, 0)</f>
        <v>لحوم بلدية</v>
      </c>
      <c r="G2667" s="90" t="s">
        <v>3058</v>
      </c>
      <c r="H2667" s="221">
        <v>5373</v>
      </c>
      <c r="I2667" s="110" t="str">
        <f>VLOOKUP(H2667, 'RM &amp; SF'!B:H, 2, 0)</f>
        <v>قطعيات عجل مشكلة</v>
      </c>
      <c r="J2667" s="184" t="str">
        <f>VLOOKUP(H2667, 'RM &amp; SF'!B:E, 4, 0)</f>
        <v>غم</v>
      </c>
      <c r="K2667" s="22">
        <v>500</v>
      </c>
      <c r="L2667" s="13">
        <f>VLOOKUP(H2667, 'RM &amp; SF'!B:H, 7, 0)</f>
        <v>9.0100000000000006E-3</v>
      </c>
      <c r="M2667" s="15">
        <f t="shared" si="137"/>
        <v>4.5049999999999999</v>
      </c>
      <c r="N2667" s="21" t="s">
        <v>825</v>
      </c>
      <c r="O2667" s="4">
        <f>VLOOKUP(B2667, 'All Menu'!B:L, 6, 0)</f>
        <v>9</v>
      </c>
      <c r="P2667" s="6">
        <f>VLOOKUP(B2667, 'All Menu'!B:L, 9, 0)</f>
        <v>5.3839858563218392</v>
      </c>
      <c r="Q2667" s="14">
        <f>VLOOKUP(B2667, 'All Menu'!B:M, 12, 0)</f>
        <v>0.40177934929757342</v>
      </c>
      <c r="R2667" s="173">
        <f t="shared" si="138"/>
        <v>0</v>
      </c>
    </row>
    <row r="2668" spans="1:18" ht="14" hidden="1">
      <c r="A2668" s="78" t="s">
        <v>3150</v>
      </c>
      <c r="B2668" s="220">
        <v>60068</v>
      </c>
      <c r="C2668" s="185"/>
      <c r="D2668" s="103" t="str">
        <f>VLOOKUP(B2668, 'All Menu'!B:M, 4, 0)</f>
        <v>عجينة كبة</v>
      </c>
      <c r="E2668" s="30" t="str">
        <f>VLOOKUP(B2668, 'All Menu'!B:M, 2, 0)</f>
        <v>قسم الملحمة</v>
      </c>
      <c r="F2668" s="103" t="str">
        <f>VLOOKUP(B2668, 'All Menu'!B:M, 3, 0)</f>
        <v>لحوم بلدية</v>
      </c>
      <c r="G2668" s="90" t="s">
        <v>2234</v>
      </c>
      <c r="H2668" s="221">
        <v>4503</v>
      </c>
      <c r="I2668" s="110" t="str">
        <f>VLOOKUP(H2668, 'RM &amp; SF'!B:H, 2, 0)</f>
        <v>بصل ناشف دفش*****</v>
      </c>
      <c r="J2668" s="184" t="str">
        <f>VLOOKUP(H2668, 'RM &amp; SF'!B:E, 4, 0)</f>
        <v>غم</v>
      </c>
      <c r="K2668" s="22">
        <v>200</v>
      </c>
      <c r="L2668" s="13">
        <f>VLOOKUP(H2668, 'RM &amp; SF'!B:H, 7, 0)</f>
        <v>2.5000000000000001E-4</v>
      </c>
      <c r="M2668" s="15">
        <f t="shared" si="137"/>
        <v>0.05</v>
      </c>
      <c r="N2668" s="21" t="s">
        <v>825</v>
      </c>
      <c r="O2668" s="4">
        <f>VLOOKUP(B2668, 'All Menu'!B:L, 6, 0)</f>
        <v>9</v>
      </c>
      <c r="P2668" s="6">
        <f>VLOOKUP(B2668, 'All Menu'!B:L, 9, 0)</f>
        <v>5.3839858563218392</v>
      </c>
      <c r="Q2668" s="14">
        <f>VLOOKUP(B2668, 'All Menu'!B:M, 12, 0)</f>
        <v>0.40177934929757342</v>
      </c>
      <c r="R2668" s="173">
        <f t="shared" si="138"/>
        <v>0</v>
      </c>
    </row>
    <row r="2669" spans="1:18" ht="14" hidden="1">
      <c r="A2669" s="78" t="s">
        <v>3150</v>
      </c>
      <c r="B2669" s="220">
        <v>60068</v>
      </c>
      <c r="C2669" s="185"/>
      <c r="D2669" s="103" t="str">
        <f>VLOOKUP(B2669, 'All Menu'!B:M, 4, 0)</f>
        <v>عجينة كبة</v>
      </c>
      <c r="E2669" s="30" t="str">
        <f>VLOOKUP(B2669, 'All Menu'!B:M, 2, 0)</f>
        <v>قسم الملحمة</v>
      </c>
      <c r="F2669" s="103" t="str">
        <f>VLOOKUP(B2669, 'All Menu'!B:M, 3, 0)</f>
        <v>لحوم بلدية</v>
      </c>
      <c r="G2669" s="90" t="s">
        <v>2203</v>
      </c>
      <c r="H2669" s="221">
        <v>4152</v>
      </c>
      <c r="I2669" s="110" t="str">
        <f>VLOOKUP(H2669, 'RM &amp; SF'!B:H, 2, 0)</f>
        <v>ملح طعام 750غم*****</v>
      </c>
      <c r="J2669" s="184" t="str">
        <f>VLOOKUP(H2669, 'RM &amp; SF'!B:E, 4, 0)</f>
        <v>غم</v>
      </c>
      <c r="K2669" s="22">
        <v>10</v>
      </c>
      <c r="L2669" s="13">
        <f>VLOOKUP(H2669, 'RM &amp; SF'!B:H, 7, 0)</f>
        <v>1.7066666666666665E-4</v>
      </c>
      <c r="M2669" s="15">
        <f t="shared" si="137"/>
        <v>1.7066666666666664E-3</v>
      </c>
      <c r="N2669" s="21" t="s">
        <v>825</v>
      </c>
      <c r="O2669" s="4">
        <f>VLOOKUP(B2669, 'All Menu'!B:L, 6, 0)</f>
        <v>9</v>
      </c>
      <c r="P2669" s="6">
        <f>VLOOKUP(B2669, 'All Menu'!B:L, 9, 0)</f>
        <v>5.3839858563218392</v>
      </c>
      <c r="Q2669" s="14">
        <f>VLOOKUP(B2669, 'All Menu'!B:M, 12, 0)</f>
        <v>0.40177934929757342</v>
      </c>
      <c r="R2669" s="173">
        <f t="shared" si="138"/>
        <v>0</v>
      </c>
    </row>
    <row r="2670" spans="1:18" ht="14" hidden="1">
      <c r="A2670" s="78" t="s">
        <v>3150</v>
      </c>
      <c r="B2670" s="220">
        <v>60068</v>
      </c>
      <c r="C2670" s="185"/>
      <c r="D2670" s="103" t="str">
        <f>VLOOKUP(B2670, 'All Menu'!B:M, 4, 0)</f>
        <v>عجينة كبة</v>
      </c>
      <c r="E2670" s="30" t="str">
        <f>VLOOKUP(B2670, 'All Menu'!B:M, 2, 0)</f>
        <v>قسم الملحمة</v>
      </c>
      <c r="F2670" s="103" t="str">
        <f>VLOOKUP(B2670, 'All Menu'!B:M, 3, 0)</f>
        <v>لحوم بلدية</v>
      </c>
      <c r="G2670" s="90" t="s">
        <v>2209</v>
      </c>
      <c r="H2670" s="221">
        <v>4546</v>
      </c>
      <c r="I2670" s="110" t="str">
        <f>VLOOKUP(H2670, 'RM &amp; SF'!B:H, 2, 0)</f>
        <v>كزبرة*****</v>
      </c>
      <c r="J2670" s="184" t="str">
        <f>VLOOKUP(H2670, 'RM &amp; SF'!B:E, 4, 0)</f>
        <v>قطعة</v>
      </c>
      <c r="K2670" s="22">
        <v>0.1</v>
      </c>
      <c r="L2670" s="13">
        <f>VLOOKUP(H2670, 'RM &amp; SF'!B:H, 7, 0)</f>
        <v>1E-3</v>
      </c>
      <c r="M2670" s="15">
        <f t="shared" si="137"/>
        <v>1E-4</v>
      </c>
      <c r="N2670" s="21" t="s">
        <v>825</v>
      </c>
      <c r="O2670" s="4">
        <f>VLOOKUP(B2670, 'All Menu'!B:L, 6, 0)</f>
        <v>9</v>
      </c>
      <c r="P2670" s="6">
        <f>VLOOKUP(B2670, 'All Menu'!B:L, 9, 0)</f>
        <v>5.3839858563218392</v>
      </c>
      <c r="Q2670" s="14">
        <f>VLOOKUP(B2670, 'All Menu'!B:M, 12, 0)</f>
        <v>0.40177934929757342</v>
      </c>
      <c r="R2670" s="173">
        <f t="shared" si="138"/>
        <v>0</v>
      </c>
    </row>
    <row r="2671" spans="1:18" ht="14" hidden="1">
      <c r="A2671" s="78" t="s">
        <v>3150</v>
      </c>
      <c r="B2671" s="220">
        <v>60068</v>
      </c>
      <c r="C2671" s="185"/>
      <c r="D2671" s="103" t="str">
        <f>VLOOKUP(B2671, 'All Menu'!B:M, 4, 0)</f>
        <v>عجينة كبة</v>
      </c>
      <c r="E2671" s="30" t="str">
        <f>VLOOKUP(B2671, 'All Menu'!B:M, 2, 0)</f>
        <v>قسم الملحمة</v>
      </c>
      <c r="F2671" s="103" t="str">
        <f>VLOOKUP(B2671, 'All Menu'!B:M, 3, 0)</f>
        <v>لحوم بلدية</v>
      </c>
      <c r="G2671" s="90" t="s">
        <v>2239</v>
      </c>
      <c r="H2671" s="221">
        <v>4513</v>
      </c>
      <c r="I2671" s="110" t="str">
        <f>VLOOKUP(H2671, 'RM &amp; SF'!B:H, 2, 0)</f>
        <v>ليمون اصفر*****</v>
      </c>
      <c r="J2671" s="184" t="str">
        <f>VLOOKUP(H2671, 'RM &amp; SF'!B:E, 4, 0)</f>
        <v>غم</v>
      </c>
      <c r="K2671" s="22">
        <v>30</v>
      </c>
      <c r="L2671" s="13">
        <f>VLOOKUP(H2671, 'RM &amp; SF'!B:H, 7, 0)</f>
        <v>1.75E-3</v>
      </c>
      <c r="M2671" s="15">
        <f t="shared" si="137"/>
        <v>5.2499999999999998E-2</v>
      </c>
      <c r="N2671" s="21" t="s">
        <v>825</v>
      </c>
      <c r="O2671" s="4">
        <f>VLOOKUP(B2671, 'All Menu'!B:L, 6, 0)</f>
        <v>9</v>
      </c>
      <c r="P2671" s="6">
        <f>VLOOKUP(B2671, 'All Menu'!B:L, 9, 0)</f>
        <v>5.3839858563218392</v>
      </c>
      <c r="Q2671" s="14">
        <f>VLOOKUP(B2671, 'All Menu'!B:M, 12, 0)</f>
        <v>0.40177934929757342</v>
      </c>
      <c r="R2671" s="173">
        <f t="shared" si="138"/>
        <v>0</v>
      </c>
    </row>
    <row r="2672" spans="1:18" ht="14" hidden="1">
      <c r="A2672" s="78" t="s">
        <v>3150</v>
      </c>
      <c r="B2672" s="220">
        <v>60068</v>
      </c>
      <c r="C2672" s="185"/>
      <c r="D2672" s="103" t="str">
        <f>VLOOKUP(B2672, 'All Menu'!B:M, 4, 0)</f>
        <v>عجينة كبة</v>
      </c>
      <c r="E2672" s="30" t="str">
        <f>VLOOKUP(B2672, 'All Menu'!B:M, 2, 0)</f>
        <v>قسم الملحمة</v>
      </c>
      <c r="F2672" s="103" t="str">
        <f>VLOOKUP(B2672, 'All Menu'!B:M, 3, 0)</f>
        <v>لحوم بلدية</v>
      </c>
      <c r="G2672" s="90" t="s">
        <v>2206</v>
      </c>
      <c r="H2672" s="221">
        <v>4204</v>
      </c>
      <c r="I2672" s="110" t="str">
        <f>VLOOKUP(H2672, 'RM &amp; SF'!B:H, 2, 0)</f>
        <v>فلفل اسود ناعم*****</v>
      </c>
      <c r="J2672" s="184" t="str">
        <f>VLOOKUP(H2672, 'RM &amp; SF'!B:E, 4, 0)</f>
        <v>غم</v>
      </c>
      <c r="K2672" s="22">
        <v>10</v>
      </c>
      <c r="L2672" s="13">
        <f>VLOOKUP(H2672, 'RM &amp; SF'!B:H, 7, 0)</f>
        <v>6.8970000000000004E-3</v>
      </c>
      <c r="M2672" s="15">
        <f t="shared" si="137"/>
        <v>6.8970000000000004E-2</v>
      </c>
      <c r="N2672" s="21" t="s">
        <v>825</v>
      </c>
      <c r="O2672" s="4">
        <f>VLOOKUP(B2672, 'All Menu'!B:L, 6, 0)</f>
        <v>9</v>
      </c>
      <c r="P2672" s="6">
        <f>VLOOKUP(B2672, 'All Menu'!B:L, 9, 0)</f>
        <v>5.3839858563218392</v>
      </c>
      <c r="Q2672" s="14">
        <f>VLOOKUP(B2672, 'All Menu'!B:M, 12, 0)</f>
        <v>0.40177934929757342</v>
      </c>
      <c r="R2672" s="173">
        <f t="shared" si="138"/>
        <v>0</v>
      </c>
    </row>
    <row r="2673" spans="1:18" ht="14" hidden="1">
      <c r="A2673" s="78" t="s">
        <v>3150</v>
      </c>
      <c r="B2673" s="220">
        <v>60068</v>
      </c>
      <c r="C2673" s="185"/>
      <c r="D2673" s="103" t="str">
        <f>VLOOKUP(B2673, 'All Menu'!B:M, 4, 0)</f>
        <v>عجينة كبة</v>
      </c>
      <c r="E2673" s="30" t="str">
        <f>VLOOKUP(B2673, 'All Menu'!B:M, 2, 0)</f>
        <v>قسم الملحمة</v>
      </c>
      <c r="F2673" s="103" t="str">
        <f>VLOOKUP(B2673, 'All Menu'!B:M, 3, 0)</f>
        <v>لحوم بلدية</v>
      </c>
      <c r="G2673" s="90" t="s">
        <v>3058</v>
      </c>
      <c r="H2673" s="221">
        <v>5268</v>
      </c>
      <c r="I2673" s="110" t="str">
        <f>VLOOKUP(H2673, 'RM &amp; SF'!B:H, 2, 0)</f>
        <v>صحن جامو</v>
      </c>
      <c r="J2673" s="184" t="str">
        <f>VLOOKUP(H2673, 'RM &amp; SF'!B:E, 4, 0)</f>
        <v>قطعة</v>
      </c>
      <c r="K2673" s="22">
        <v>1</v>
      </c>
      <c r="L2673" s="13">
        <f>VLOOKUP(H2673, 'RM &amp; SF'!B:H, 7, 0)</f>
        <v>4.0948275862068971E-2</v>
      </c>
      <c r="M2673" s="15">
        <f t="shared" si="137"/>
        <v>4.0948275862068971E-2</v>
      </c>
      <c r="N2673" s="21" t="s">
        <v>825</v>
      </c>
      <c r="O2673" s="4">
        <f>VLOOKUP(B2673, 'All Menu'!B:L, 6, 0)</f>
        <v>9</v>
      </c>
      <c r="P2673" s="6">
        <f>VLOOKUP(B2673, 'All Menu'!B:L, 9, 0)</f>
        <v>5.3839858563218392</v>
      </c>
      <c r="Q2673" s="14">
        <f>VLOOKUP(B2673, 'All Menu'!B:M, 12, 0)</f>
        <v>0.40177934929757342</v>
      </c>
      <c r="R2673" s="173">
        <f t="shared" si="138"/>
        <v>0</v>
      </c>
    </row>
    <row r="2674" spans="1:18" ht="14" hidden="1">
      <c r="A2674" s="78" t="s">
        <v>3150</v>
      </c>
      <c r="B2674" s="220">
        <v>60068</v>
      </c>
      <c r="C2674" s="185"/>
      <c r="D2674" s="103" t="str">
        <f>VLOOKUP(B2674, 'All Menu'!B:M, 4, 0)</f>
        <v>عجينة كبة</v>
      </c>
      <c r="E2674" s="30" t="str">
        <f>VLOOKUP(B2674, 'All Menu'!B:M, 2, 0)</f>
        <v>قسم الملحمة</v>
      </c>
      <c r="F2674" s="103" t="str">
        <f>VLOOKUP(B2674, 'All Menu'!B:M, 3, 0)</f>
        <v>لحوم بلدية</v>
      </c>
      <c r="G2674" s="90" t="s">
        <v>3058</v>
      </c>
      <c r="H2674" s="221">
        <v>5274</v>
      </c>
      <c r="I2674" s="110" t="str">
        <f>VLOOKUP(H2674, 'RM &amp; SF'!B:H, 2, 0)</f>
        <v>نايلون للتغليف رول (رول جيلاتين) 45 سم*4 كغ*****</v>
      </c>
      <c r="J2674" s="184" t="str">
        <f>VLOOKUP(H2674, 'RM &amp; SF'!B:E, 4, 0)</f>
        <v>غم</v>
      </c>
      <c r="K2674" s="22">
        <v>20</v>
      </c>
      <c r="L2674" s="13">
        <f>VLOOKUP(H2674, 'RM &amp; SF'!B:H, 7, 0)</f>
        <v>2.0474249999999999E-3</v>
      </c>
      <c r="M2674" s="15">
        <f t="shared" si="137"/>
        <v>4.0948499999999999E-2</v>
      </c>
      <c r="N2674" s="21" t="s">
        <v>825</v>
      </c>
      <c r="O2674" s="4">
        <f>VLOOKUP(B2674, 'All Menu'!B:L, 6, 0)</f>
        <v>9</v>
      </c>
      <c r="P2674" s="6">
        <f>VLOOKUP(B2674, 'All Menu'!B:L, 9, 0)</f>
        <v>5.3839858563218392</v>
      </c>
      <c r="Q2674" s="14">
        <f>VLOOKUP(B2674, 'All Menu'!B:M, 12, 0)</f>
        <v>0.40177934929757342</v>
      </c>
      <c r="R2674" s="173">
        <f t="shared" si="138"/>
        <v>0</v>
      </c>
    </row>
    <row r="2675" spans="1:18" ht="14" hidden="1">
      <c r="A2675" s="78" t="s">
        <v>3150</v>
      </c>
      <c r="B2675" s="220">
        <v>60068</v>
      </c>
      <c r="C2675" s="185"/>
      <c r="D2675" s="103" t="str">
        <f>VLOOKUP(B2675, 'All Menu'!B:M, 4, 0)</f>
        <v>عجينة كبة</v>
      </c>
      <c r="E2675" s="30" t="str">
        <f>VLOOKUP(B2675, 'All Menu'!B:M, 2, 0)</f>
        <v>قسم الملحمة</v>
      </c>
      <c r="F2675" s="103" t="str">
        <f>VLOOKUP(B2675, 'All Menu'!B:M, 3, 0)</f>
        <v>لحوم بلدية</v>
      </c>
      <c r="G2675" s="90" t="s">
        <v>2193</v>
      </c>
      <c r="H2675" s="221">
        <v>4309</v>
      </c>
      <c r="I2675" s="110" t="str">
        <f>VLOOKUP(H2675, 'RM &amp; SF'!B:H, 2, 0)</f>
        <v>اكياس بلاستيك مطبوع 55 سم*****</v>
      </c>
      <c r="J2675" s="184" t="str">
        <f>VLOOKUP(H2675, 'RM &amp; SF'!B:E, 4, 0)</f>
        <v>قطعة</v>
      </c>
      <c r="K2675" s="22">
        <v>1</v>
      </c>
      <c r="L2675" s="13">
        <f>VLOOKUP(H2675, 'RM &amp; SF'!B:H, 7, 0)</f>
        <v>5.5172413793103454E-2</v>
      </c>
      <c r="M2675" s="15">
        <f t="shared" si="137"/>
        <v>5.5172413793103454E-2</v>
      </c>
      <c r="N2675" s="21" t="s">
        <v>825</v>
      </c>
      <c r="O2675" s="4">
        <f>VLOOKUP(B2675, 'All Menu'!B:L, 6, 0)</f>
        <v>9</v>
      </c>
      <c r="P2675" s="6">
        <f>VLOOKUP(B2675, 'All Menu'!B:L, 9, 0)</f>
        <v>5.3839858563218392</v>
      </c>
      <c r="Q2675" s="14">
        <f>VLOOKUP(B2675, 'All Menu'!B:M, 12, 0)</f>
        <v>0.40177934929757342</v>
      </c>
      <c r="R2675" s="173">
        <f t="shared" si="138"/>
        <v>0</v>
      </c>
    </row>
    <row r="2676" spans="1:18" ht="14" hidden="1">
      <c r="A2676" s="78" t="s">
        <v>3116</v>
      </c>
      <c r="B2676" s="220">
        <v>50014</v>
      </c>
      <c r="C2676" s="185"/>
      <c r="D2676" s="103" t="str">
        <f>VLOOKUP(B2676, 'All Menu'!B:M, 4, 0)</f>
        <v>جناح دجاج متبل</v>
      </c>
      <c r="E2676" s="30" t="str">
        <f>VLOOKUP(B2676, 'All Menu'!B:M, 2, 0)</f>
        <v>قسم الملحمة</v>
      </c>
      <c r="F2676" s="103" t="str">
        <f>VLOOKUP(B2676, 'All Menu'!B:M, 3, 0)</f>
        <v>مارنيتد</v>
      </c>
      <c r="G2676" s="90" t="s">
        <v>2311</v>
      </c>
      <c r="H2676" s="221">
        <v>4583</v>
      </c>
      <c r="I2676" s="110" t="str">
        <f>VLOOKUP(H2676, 'RM &amp; SF'!B:H, 2, 0)</f>
        <v>اجنحة دجاج طازجة دلمونتي*****</v>
      </c>
      <c r="J2676" s="184" t="str">
        <f>VLOOKUP(H2676, 'RM &amp; SF'!B:E, 4, 0)</f>
        <v>غم</v>
      </c>
      <c r="K2676" s="22">
        <v>1000</v>
      </c>
      <c r="L2676" s="13">
        <f>VLOOKUP(H2676, 'RM &amp; SF'!B:H, 7, 0)</f>
        <v>1.8E-3</v>
      </c>
      <c r="M2676" s="15">
        <f t="shared" ref="M2676:M2739" si="139">L2676*K2676</f>
        <v>1.8</v>
      </c>
      <c r="N2676" s="21" t="s">
        <v>825</v>
      </c>
      <c r="O2676" s="4">
        <f>VLOOKUP(B2676, 'All Menu'!B:L, 6, 0)</f>
        <v>4.5</v>
      </c>
      <c r="P2676" s="6">
        <f>VLOOKUP(B2676, 'All Menu'!B:L, 9, 0)</f>
        <v>2.2516335453720506</v>
      </c>
      <c r="Q2676" s="14">
        <f>VLOOKUP(B2676, 'All Menu'!B:M, 12, 0)</f>
        <v>0.49963698991732208</v>
      </c>
      <c r="R2676" s="173">
        <f t="shared" si="138"/>
        <v>0</v>
      </c>
    </row>
    <row r="2677" spans="1:18" ht="14" hidden="1">
      <c r="A2677" s="78" t="s">
        <v>3116</v>
      </c>
      <c r="B2677" s="220">
        <v>50014</v>
      </c>
      <c r="C2677" s="185"/>
      <c r="D2677" s="103" t="str">
        <f>VLOOKUP(B2677, 'All Menu'!B:M, 4, 0)</f>
        <v>جناح دجاج متبل</v>
      </c>
      <c r="E2677" s="30" t="str">
        <f>VLOOKUP(B2677, 'All Menu'!B:M, 2, 0)</f>
        <v>قسم الملحمة</v>
      </c>
      <c r="F2677" s="103" t="str">
        <f>VLOOKUP(B2677, 'All Menu'!B:M, 3, 0)</f>
        <v>مارنيتد</v>
      </c>
      <c r="G2677" s="90" t="s">
        <v>2367</v>
      </c>
      <c r="H2677" s="219" t="s">
        <v>766</v>
      </c>
      <c r="I2677" s="110" t="str">
        <f>VLOOKUP(H2677, 'RM &amp; SF'!B:H, 2, 0)</f>
        <v>تتبيلة المركزية</v>
      </c>
      <c r="J2677" s="184" t="str">
        <f>VLOOKUP(H2677, 'RM &amp; SF'!B:E, 4, 0)</f>
        <v>غم</v>
      </c>
      <c r="K2677" s="22">
        <v>150</v>
      </c>
      <c r="L2677" s="13">
        <f>VLOOKUP(H2677, 'RM &amp; SF'!B:H, 7, 0)</f>
        <v>1.9567508771929825E-3</v>
      </c>
      <c r="M2677" s="15">
        <f t="shared" si="139"/>
        <v>0.29351263157894736</v>
      </c>
      <c r="N2677" s="21" t="s">
        <v>825</v>
      </c>
      <c r="O2677" s="4">
        <f>VLOOKUP(B2677, 'All Menu'!B:L, 6, 0)</f>
        <v>4.5</v>
      </c>
      <c r="P2677" s="6">
        <f>VLOOKUP(B2677, 'All Menu'!B:L, 9, 0)</f>
        <v>2.2516335453720506</v>
      </c>
      <c r="Q2677" s="14">
        <f>VLOOKUP(B2677, 'All Menu'!B:M, 12, 0)</f>
        <v>0.49963698991732208</v>
      </c>
      <c r="R2677" s="173">
        <f t="shared" si="138"/>
        <v>0</v>
      </c>
    </row>
    <row r="2678" spans="1:18" ht="14" hidden="1">
      <c r="A2678" s="78" t="s">
        <v>3116</v>
      </c>
      <c r="B2678" s="220">
        <v>50014</v>
      </c>
      <c r="C2678" s="185"/>
      <c r="D2678" s="103" t="str">
        <f>VLOOKUP(B2678, 'All Menu'!B:M, 4, 0)</f>
        <v>جناح دجاج متبل</v>
      </c>
      <c r="E2678" s="30" t="str">
        <f>VLOOKUP(B2678, 'All Menu'!B:M, 2, 0)</f>
        <v>قسم الملحمة</v>
      </c>
      <c r="F2678" s="103" t="str">
        <f>VLOOKUP(B2678, 'All Menu'!B:M, 3, 0)</f>
        <v>مارنيتد</v>
      </c>
      <c r="G2678" s="90" t="s">
        <v>3058</v>
      </c>
      <c r="H2678" s="221">
        <v>5301</v>
      </c>
      <c r="I2678" s="110" t="str">
        <f>VLOOKUP(H2678, 'RM &amp; SF'!B:H, 2, 0)</f>
        <v>صحن فلين اسود مخرم T3*****</v>
      </c>
      <c r="J2678" s="184" t="str">
        <f>VLOOKUP(H2678, 'RM &amp; SF'!B:E, 4, 0)</f>
        <v>قطعة</v>
      </c>
      <c r="K2678" s="22">
        <v>1</v>
      </c>
      <c r="L2678" s="13">
        <f>VLOOKUP(H2678, 'RM &amp; SF'!B:H, 7, 0)</f>
        <v>6.2E-2</v>
      </c>
      <c r="M2678" s="15">
        <f t="shared" si="139"/>
        <v>6.2E-2</v>
      </c>
      <c r="N2678" s="21" t="s">
        <v>825</v>
      </c>
      <c r="O2678" s="4">
        <f>VLOOKUP(B2678, 'All Menu'!B:L, 6, 0)</f>
        <v>4.5</v>
      </c>
      <c r="P2678" s="6">
        <f>VLOOKUP(B2678, 'All Menu'!B:L, 9, 0)</f>
        <v>2.2516335453720506</v>
      </c>
      <c r="Q2678" s="14">
        <f>VLOOKUP(B2678, 'All Menu'!B:M, 12, 0)</f>
        <v>0.49963698991732208</v>
      </c>
      <c r="R2678" s="173">
        <f t="shared" si="138"/>
        <v>0</v>
      </c>
    </row>
    <row r="2679" spans="1:18" ht="14" hidden="1">
      <c r="A2679" s="78" t="s">
        <v>3116</v>
      </c>
      <c r="B2679" s="220">
        <v>50014</v>
      </c>
      <c r="C2679" s="185"/>
      <c r="D2679" s="103" t="str">
        <f>VLOOKUP(B2679, 'All Menu'!B:M, 4, 0)</f>
        <v>جناح دجاج متبل</v>
      </c>
      <c r="E2679" s="30" t="str">
        <f>VLOOKUP(B2679, 'All Menu'!B:M, 2, 0)</f>
        <v>قسم الملحمة</v>
      </c>
      <c r="F2679" s="103" t="str">
        <f>VLOOKUP(B2679, 'All Menu'!B:M, 3, 0)</f>
        <v>مارنيتد</v>
      </c>
      <c r="G2679" s="90" t="s">
        <v>3058</v>
      </c>
      <c r="H2679" s="221">
        <v>5274</v>
      </c>
      <c r="I2679" s="110" t="str">
        <f>VLOOKUP(H2679, 'RM &amp; SF'!B:H, 2, 0)</f>
        <v>نايلون للتغليف رول (رول جيلاتين) 45 سم*4 كغ*****</v>
      </c>
      <c r="J2679" s="184" t="str">
        <f>VLOOKUP(H2679, 'RM &amp; SF'!B:E, 4, 0)</f>
        <v>غم</v>
      </c>
      <c r="K2679" s="22">
        <v>20</v>
      </c>
      <c r="L2679" s="13">
        <f>VLOOKUP(H2679, 'RM &amp; SF'!B:H, 7, 0)</f>
        <v>2.0474249999999999E-3</v>
      </c>
      <c r="M2679" s="15">
        <f t="shared" si="139"/>
        <v>4.0948499999999999E-2</v>
      </c>
      <c r="N2679" s="21" t="s">
        <v>825</v>
      </c>
      <c r="O2679" s="4">
        <f>VLOOKUP(B2679, 'All Menu'!B:L, 6, 0)</f>
        <v>4.5</v>
      </c>
      <c r="P2679" s="6">
        <f>VLOOKUP(B2679, 'All Menu'!B:L, 9, 0)</f>
        <v>2.2516335453720506</v>
      </c>
      <c r="Q2679" s="14">
        <f>VLOOKUP(B2679, 'All Menu'!B:M, 12, 0)</f>
        <v>0.49963698991732208</v>
      </c>
      <c r="R2679" s="173">
        <f t="shared" si="138"/>
        <v>0</v>
      </c>
    </row>
    <row r="2680" spans="1:18" ht="14" hidden="1">
      <c r="A2680" s="78" t="s">
        <v>3116</v>
      </c>
      <c r="B2680" s="220">
        <v>50014</v>
      </c>
      <c r="C2680" s="185"/>
      <c r="D2680" s="103" t="str">
        <f>VLOOKUP(B2680, 'All Menu'!B:M, 4, 0)</f>
        <v>جناح دجاج متبل</v>
      </c>
      <c r="E2680" s="30" t="str">
        <f>VLOOKUP(B2680, 'All Menu'!B:M, 2, 0)</f>
        <v>قسم الملحمة</v>
      </c>
      <c r="F2680" s="103" t="str">
        <f>VLOOKUP(B2680, 'All Menu'!B:M, 3, 0)</f>
        <v>مارنيتد</v>
      </c>
      <c r="G2680" s="90" t="s">
        <v>2193</v>
      </c>
      <c r="H2680" s="221">
        <v>4309</v>
      </c>
      <c r="I2680" s="110" t="str">
        <f>VLOOKUP(H2680, 'RM &amp; SF'!B:H, 2, 0)</f>
        <v>اكياس بلاستيك مطبوع 55 سم*****</v>
      </c>
      <c r="J2680" s="184" t="str">
        <f>VLOOKUP(H2680, 'RM &amp; SF'!B:E, 4, 0)</f>
        <v>قطعة</v>
      </c>
      <c r="K2680" s="22">
        <v>1</v>
      </c>
      <c r="L2680" s="13">
        <f>VLOOKUP(H2680, 'RM &amp; SF'!B:H, 7, 0)</f>
        <v>5.5172413793103454E-2</v>
      </c>
      <c r="M2680" s="15">
        <f t="shared" si="139"/>
        <v>5.5172413793103454E-2</v>
      </c>
      <c r="N2680" s="21" t="s">
        <v>825</v>
      </c>
      <c r="O2680" s="4">
        <f>VLOOKUP(B2680, 'All Menu'!B:L, 6, 0)</f>
        <v>4.5</v>
      </c>
      <c r="P2680" s="6">
        <f>VLOOKUP(B2680, 'All Menu'!B:L, 9, 0)</f>
        <v>2.2516335453720506</v>
      </c>
      <c r="Q2680" s="14">
        <f>VLOOKUP(B2680, 'All Menu'!B:M, 12, 0)</f>
        <v>0.49963698991732208</v>
      </c>
      <c r="R2680" s="173">
        <f t="shared" si="138"/>
        <v>0</v>
      </c>
    </row>
    <row r="2681" spans="1:18" ht="14" hidden="1">
      <c r="A2681" s="78" t="s">
        <v>3117</v>
      </c>
      <c r="B2681" s="220">
        <v>50015</v>
      </c>
      <c r="C2681" s="185"/>
      <c r="D2681" s="103" t="str">
        <f>VLOOKUP(B2681, 'All Menu'!B:M, 4, 0)</f>
        <v>فخد دجاج متبل</v>
      </c>
      <c r="E2681" s="30" t="str">
        <f>VLOOKUP(B2681, 'All Menu'!B:M, 2, 0)</f>
        <v>قسم الملحمة</v>
      </c>
      <c r="F2681" s="103" t="str">
        <f>VLOOKUP(B2681, 'All Menu'!B:M, 3, 0)</f>
        <v>مارنيتد</v>
      </c>
      <c r="G2681" s="90" t="s">
        <v>2313</v>
      </c>
      <c r="H2681" s="221">
        <v>5289</v>
      </c>
      <c r="I2681" s="110" t="str">
        <f>VLOOKUP(H2681, 'RM &amp; SF'!B:H, 2, 0)</f>
        <v>فخذ كبير طازج تمام*****</v>
      </c>
      <c r="J2681" s="184" t="str">
        <f>VLOOKUP(H2681, 'RM &amp; SF'!B:E, 4, 0)</f>
        <v>غم</v>
      </c>
      <c r="K2681" s="22">
        <v>1000</v>
      </c>
      <c r="L2681" s="13">
        <f>VLOOKUP(H2681, 'RM &amp; SF'!B:H, 7, 0)</f>
        <v>1.65E-3</v>
      </c>
      <c r="M2681" s="15">
        <f t="shared" si="139"/>
        <v>1.65</v>
      </c>
      <c r="N2681" s="21" t="s">
        <v>825</v>
      </c>
      <c r="O2681" s="4">
        <f>VLOOKUP(B2681, 'All Menu'!B:L, 6, 0)</f>
        <v>4.5</v>
      </c>
      <c r="P2681" s="6">
        <f>VLOOKUP(B2681, 'All Menu'!B:L, 9, 0)</f>
        <v>2.2973086330913488</v>
      </c>
      <c r="Q2681" s="14">
        <f>VLOOKUP(B2681, 'All Menu'!B:M, 12, 0)</f>
        <v>0.48948697042414469</v>
      </c>
      <c r="R2681" s="173">
        <f t="shared" si="138"/>
        <v>0</v>
      </c>
    </row>
    <row r="2682" spans="1:18" ht="14" hidden="1">
      <c r="A2682" s="78" t="s">
        <v>3117</v>
      </c>
      <c r="B2682" s="220">
        <v>50015</v>
      </c>
      <c r="C2682" s="185"/>
      <c r="D2682" s="103" t="str">
        <f>VLOOKUP(B2682, 'All Menu'!B:M, 4, 0)</f>
        <v>فخد دجاج متبل</v>
      </c>
      <c r="E2682" s="30" t="str">
        <f>VLOOKUP(B2682, 'All Menu'!B:M, 2, 0)</f>
        <v>قسم الملحمة</v>
      </c>
      <c r="F2682" s="103" t="str">
        <f>VLOOKUP(B2682, 'All Menu'!B:M, 3, 0)</f>
        <v>مارنيتد</v>
      </c>
      <c r="G2682" s="90" t="s">
        <v>2367</v>
      </c>
      <c r="H2682" s="219" t="s">
        <v>766</v>
      </c>
      <c r="I2682" s="110" t="str">
        <f>VLOOKUP(H2682, 'RM &amp; SF'!B:H, 2, 0)</f>
        <v>تتبيلة المركزية</v>
      </c>
      <c r="J2682" s="184" t="str">
        <f>VLOOKUP(H2682, 'RM &amp; SF'!B:E, 4, 0)</f>
        <v>غم</v>
      </c>
      <c r="K2682" s="22">
        <v>250</v>
      </c>
      <c r="L2682" s="13">
        <f>VLOOKUP(H2682, 'RM &amp; SF'!B:H, 7, 0)</f>
        <v>1.9567508771929825E-3</v>
      </c>
      <c r="M2682" s="15">
        <f t="shared" si="139"/>
        <v>0.48918771929824562</v>
      </c>
      <c r="N2682" s="21" t="s">
        <v>825</v>
      </c>
      <c r="O2682" s="4">
        <f>VLOOKUP(B2682, 'All Menu'!B:L, 6, 0)</f>
        <v>4.5</v>
      </c>
      <c r="P2682" s="6">
        <f>VLOOKUP(B2682, 'All Menu'!B:L, 9, 0)</f>
        <v>2.2973086330913488</v>
      </c>
      <c r="Q2682" s="14">
        <f>VLOOKUP(B2682, 'All Menu'!B:M, 12, 0)</f>
        <v>0.48948697042414469</v>
      </c>
      <c r="R2682" s="173">
        <f t="shared" si="138"/>
        <v>0</v>
      </c>
    </row>
    <row r="2683" spans="1:18" ht="14" hidden="1">
      <c r="A2683" s="78" t="s">
        <v>3117</v>
      </c>
      <c r="B2683" s="220">
        <v>50015</v>
      </c>
      <c r="C2683" s="185"/>
      <c r="D2683" s="103" t="str">
        <f>VLOOKUP(B2683, 'All Menu'!B:M, 4, 0)</f>
        <v>فخد دجاج متبل</v>
      </c>
      <c r="E2683" s="30" t="str">
        <f>VLOOKUP(B2683, 'All Menu'!B:M, 2, 0)</f>
        <v>قسم الملحمة</v>
      </c>
      <c r="F2683" s="103" t="str">
        <f>VLOOKUP(B2683, 'All Menu'!B:M, 3, 0)</f>
        <v>مارنيتد</v>
      </c>
      <c r="G2683" s="90" t="s">
        <v>3058</v>
      </c>
      <c r="H2683" s="221">
        <v>5301</v>
      </c>
      <c r="I2683" s="110" t="str">
        <f>VLOOKUP(H2683, 'RM &amp; SF'!B:H, 2, 0)</f>
        <v>صحن فلين اسود مخرم T3*****</v>
      </c>
      <c r="J2683" s="184" t="str">
        <f>VLOOKUP(H2683, 'RM &amp; SF'!B:E, 4, 0)</f>
        <v>قطعة</v>
      </c>
      <c r="K2683" s="22">
        <v>1</v>
      </c>
      <c r="L2683" s="13">
        <f>VLOOKUP(H2683, 'RM &amp; SF'!B:H, 7, 0)</f>
        <v>6.2E-2</v>
      </c>
      <c r="M2683" s="15">
        <f t="shared" si="139"/>
        <v>6.2E-2</v>
      </c>
      <c r="N2683" s="21" t="s">
        <v>825</v>
      </c>
      <c r="O2683" s="4">
        <f>VLOOKUP(B2683, 'All Menu'!B:L, 6, 0)</f>
        <v>4.5</v>
      </c>
      <c r="P2683" s="6">
        <f>VLOOKUP(B2683, 'All Menu'!B:L, 9, 0)</f>
        <v>2.2973086330913488</v>
      </c>
      <c r="Q2683" s="14">
        <f>VLOOKUP(B2683, 'All Menu'!B:M, 12, 0)</f>
        <v>0.48948697042414469</v>
      </c>
      <c r="R2683" s="173">
        <f t="shared" si="138"/>
        <v>0</v>
      </c>
    </row>
    <row r="2684" spans="1:18" ht="14" hidden="1">
      <c r="A2684" s="78" t="s">
        <v>3117</v>
      </c>
      <c r="B2684" s="220">
        <v>50015</v>
      </c>
      <c r="C2684" s="185"/>
      <c r="D2684" s="103" t="str">
        <f>VLOOKUP(B2684, 'All Menu'!B:M, 4, 0)</f>
        <v>فخد دجاج متبل</v>
      </c>
      <c r="E2684" s="30" t="str">
        <f>VLOOKUP(B2684, 'All Menu'!B:M, 2, 0)</f>
        <v>قسم الملحمة</v>
      </c>
      <c r="F2684" s="103" t="str">
        <f>VLOOKUP(B2684, 'All Menu'!B:M, 3, 0)</f>
        <v>مارنيتد</v>
      </c>
      <c r="G2684" s="90" t="s">
        <v>3058</v>
      </c>
      <c r="H2684" s="221">
        <v>5274</v>
      </c>
      <c r="I2684" s="110" t="str">
        <f>VLOOKUP(H2684, 'RM &amp; SF'!B:H, 2, 0)</f>
        <v>نايلون للتغليف رول (رول جيلاتين) 45 سم*4 كغ*****</v>
      </c>
      <c r="J2684" s="184" t="str">
        <f>VLOOKUP(H2684, 'RM &amp; SF'!B:E, 4, 0)</f>
        <v>غم</v>
      </c>
      <c r="K2684" s="22">
        <v>20</v>
      </c>
      <c r="L2684" s="13">
        <f>VLOOKUP(H2684, 'RM &amp; SF'!B:H, 7, 0)</f>
        <v>2.0474249999999999E-3</v>
      </c>
      <c r="M2684" s="15">
        <f t="shared" si="139"/>
        <v>4.0948499999999999E-2</v>
      </c>
      <c r="N2684" s="21" t="s">
        <v>825</v>
      </c>
      <c r="O2684" s="4">
        <f>VLOOKUP(B2684, 'All Menu'!B:L, 6, 0)</f>
        <v>4.5</v>
      </c>
      <c r="P2684" s="6">
        <f>VLOOKUP(B2684, 'All Menu'!B:L, 9, 0)</f>
        <v>2.2973086330913488</v>
      </c>
      <c r="Q2684" s="14">
        <f>VLOOKUP(B2684, 'All Menu'!B:M, 12, 0)</f>
        <v>0.48948697042414469</v>
      </c>
      <c r="R2684" s="173">
        <f t="shared" si="138"/>
        <v>0</v>
      </c>
    </row>
    <row r="2685" spans="1:18" ht="14" hidden="1">
      <c r="A2685" s="78" t="s">
        <v>3117</v>
      </c>
      <c r="B2685" s="220">
        <v>50015</v>
      </c>
      <c r="C2685" s="185"/>
      <c r="D2685" s="103" t="str">
        <f>VLOOKUP(B2685, 'All Menu'!B:M, 4, 0)</f>
        <v>فخد دجاج متبل</v>
      </c>
      <c r="E2685" s="30" t="str">
        <f>VLOOKUP(B2685, 'All Menu'!B:M, 2, 0)</f>
        <v>قسم الملحمة</v>
      </c>
      <c r="F2685" s="103" t="str">
        <f>VLOOKUP(B2685, 'All Menu'!B:M, 3, 0)</f>
        <v>مارنيتد</v>
      </c>
      <c r="G2685" s="90" t="s">
        <v>2193</v>
      </c>
      <c r="H2685" s="221">
        <v>4309</v>
      </c>
      <c r="I2685" s="110" t="str">
        <f>VLOOKUP(H2685, 'RM &amp; SF'!B:H, 2, 0)</f>
        <v>اكياس بلاستيك مطبوع 55 سم*****</v>
      </c>
      <c r="J2685" s="184" t="str">
        <f>VLOOKUP(H2685, 'RM &amp; SF'!B:E, 4, 0)</f>
        <v>قطعة</v>
      </c>
      <c r="K2685" s="22">
        <v>1</v>
      </c>
      <c r="L2685" s="13">
        <f>VLOOKUP(H2685, 'RM &amp; SF'!B:H, 7, 0)</f>
        <v>5.5172413793103454E-2</v>
      </c>
      <c r="M2685" s="15">
        <f t="shared" si="139"/>
        <v>5.5172413793103454E-2</v>
      </c>
      <c r="N2685" s="21" t="s">
        <v>825</v>
      </c>
      <c r="O2685" s="4">
        <f>VLOOKUP(B2685, 'All Menu'!B:L, 6, 0)</f>
        <v>4.5</v>
      </c>
      <c r="P2685" s="6">
        <f>VLOOKUP(B2685, 'All Menu'!B:L, 9, 0)</f>
        <v>2.2973086330913488</v>
      </c>
      <c r="Q2685" s="14">
        <f>VLOOKUP(B2685, 'All Menu'!B:M, 12, 0)</f>
        <v>0.48948697042414469</v>
      </c>
      <c r="R2685" s="173">
        <f t="shared" si="138"/>
        <v>0</v>
      </c>
    </row>
    <row r="2686" spans="1:18" ht="14" hidden="1">
      <c r="A2686" s="78" t="s">
        <v>2854</v>
      </c>
      <c r="B2686" s="220">
        <v>50025</v>
      </c>
      <c r="C2686" s="185"/>
      <c r="D2686" s="103" t="str">
        <f>VLOOKUP(B2686, 'All Menu'!B:M, 4, 0)</f>
        <v>راس خروف</v>
      </c>
      <c r="E2686" s="30" t="str">
        <f>VLOOKUP(B2686, 'All Menu'!B:M, 2, 0)</f>
        <v>قسم الملحمة</v>
      </c>
      <c r="F2686" s="103" t="str">
        <f>VLOOKUP(B2686, 'All Menu'!B:M, 3, 0)</f>
        <v>سقط</v>
      </c>
      <c r="G2686" s="90" t="s">
        <v>3058</v>
      </c>
      <c r="H2686" s="221">
        <v>5066</v>
      </c>
      <c r="I2686" s="110" t="str">
        <f>VLOOKUP(H2686, 'RM &amp; SF'!B:H, 2, 0)</f>
        <v>نخاعات نية*****</v>
      </c>
      <c r="J2686" s="184" t="str">
        <f>VLOOKUP(H2686, 'RM &amp; SF'!B:E, 4, 0)</f>
        <v>قطعة</v>
      </c>
      <c r="K2686" s="22">
        <v>1</v>
      </c>
      <c r="L2686" s="13">
        <f>VLOOKUP(H2686, 'RM &amp; SF'!B:H, 7, 0)</f>
        <v>1.25</v>
      </c>
      <c r="M2686" s="15">
        <f t="shared" si="139"/>
        <v>1.25</v>
      </c>
      <c r="N2686" s="21" t="s">
        <v>825</v>
      </c>
      <c r="O2686" s="4">
        <f>VLOOKUP(B2686, 'All Menu'!B:L, 6, 0)</f>
        <v>4.5</v>
      </c>
      <c r="P2686" s="6">
        <f>VLOOKUP(B2686, 'All Menu'!B:L, 9, 0)</f>
        <v>2.895620913793103</v>
      </c>
      <c r="Q2686" s="14">
        <f>VLOOKUP(B2686, 'All Menu'!B:M, 12, 0)</f>
        <v>0.35652868582375485</v>
      </c>
      <c r="R2686" s="173">
        <f t="shared" si="138"/>
        <v>0</v>
      </c>
    </row>
    <row r="2687" spans="1:18" ht="14" hidden="1">
      <c r="A2687" s="78" t="s">
        <v>2854</v>
      </c>
      <c r="B2687" s="220">
        <v>50025</v>
      </c>
      <c r="C2687" s="185"/>
      <c r="D2687" s="103" t="str">
        <f>VLOOKUP(B2687, 'All Menu'!B:M, 4, 0)</f>
        <v>راس خروف</v>
      </c>
      <c r="E2687" s="30" t="str">
        <f>VLOOKUP(B2687, 'All Menu'!B:M, 2, 0)</f>
        <v>قسم الملحمة</v>
      </c>
      <c r="F2687" s="103" t="str">
        <f>VLOOKUP(B2687, 'All Menu'!B:M, 3, 0)</f>
        <v>سقط</v>
      </c>
      <c r="G2687" s="90" t="s">
        <v>3058</v>
      </c>
      <c r="H2687" s="221">
        <v>4658</v>
      </c>
      <c r="I2687" s="110" t="str">
        <f>VLOOKUP(H2687, 'RM &amp; SF'!B:H, 2, 0)</f>
        <v>لسانات مجمدة استرالي*****</v>
      </c>
      <c r="J2687" s="184" t="str">
        <f>VLOOKUP(H2687, 'RM &amp; SF'!B:E, 4, 0)</f>
        <v>غم</v>
      </c>
      <c r="K2687" s="22">
        <v>350</v>
      </c>
      <c r="L2687" s="13">
        <f>VLOOKUP(H2687, 'RM &amp; SF'!B:H, 7, 0)</f>
        <v>4.2500000000000003E-3</v>
      </c>
      <c r="M2687" s="15">
        <f t="shared" si="139"/>
        <v>1.4875</v>
      </c>
      <c r="N2687" s="21" t="s">
        <v>825</v>
      </c>
      <c r="O2687" s="4">
        <f>VLOOKUP(B2687, 'All Menu'!B:L, 6, 0)</f>
        <v>4.5</v>
      </c>
      <c r="P2687" s="6">
        <f>VLOOKUP(B2687, 'All Menu'!B:L, 9, 0)</f>
        <v>2.895620913793103</v>
      </c>
      <c r="Q2687" s="14">
        <f>VLOOKUP(B2687, 'All Menu'!B:M, 12, 0)</f>
        <v>0.35652868582375485</v>
      </c>
      <c r="R2687" s="173">
        <f t="shared" si="138"/>
        <v>0</v>
      </c>
    </row>
    <row r="2688" spans="1:18" ht="14" hidden="1">
      <c r="A2688" s="78" t="s">
        <v>2854</v>
      </c>
      <c r="B2688" s="220">
        <v>50025</v>
      </c>
      <c r="C2688" s="185"/>
      <c r="D2688" s="103" t="str">
        <f>VLOOKUP(B2688, 'All Menu'!B:M, 4, 0)</f>
        <v>راس خروف</v>
      </c>
      <c r="E2688" s="30" t="str">
        <f>VLOOKUP(B2688, 'All Menu'!B:M, 2, 0)</f>
        <v>قسم الملحمة</v>
      </c>
      <c r="F2688" s="103" t="str">
        <f>VLOOKUP(B2688, 'All Menu'!B:M, 3, 0)</f>
        <v>سقط</v>
      </c>
      <c r="G2688" s="90" t="s">
        <v>3058</v>
      </c>
      <c r="H2688" s="221">
        <v>5301</v>
      </c>
      <c r="I2688" s="110" t="str">
        <f>VLOOKUP(H2688, 'RM &amp; SF'!B:H, 2, 0)</f>
        <v>صحن فلين اسود مخرم T3*****</v>
      </c>
      <c r="J2688" s="184" t="str">
        <f>VLOOKUP(H2688, 'RM &amp; SF'!B:E, 4, 0)</f>
        <v>قطعة</v>
      </c>
      <c r="K2688" s="22">
        <v>1</v>
      </c>
      <c r="L2688" s="13">
        <f>VLOOKUP(H2688, 'RM &amp; SF'!B:H, 7, 0)</f>
        <v>6.2E-2</v>
      </c>
      <c r="M2688" s="15">
        <f t="shared" si="139"/>
        <v>6.2E-2</v>
      </c>
      <c r="N2688" s="21" t="s">
        <v>825</v>
      </c>
      <c r="O2688" s="4">
        <f>VLOOKUP(B2688, 'All Menu'!B:L, 6, 0)</f>
        <v>4.5</v>
      </c>
      <c r="P2688" s="6">
        <f>VLOOKUP(B2688, 'All Menu'!B:L, 9, 0)</f>
        <v>2.895620913793103</v>
      </c>
      <c r="Q2688" s="14">
        <f>VLOOKUP(B2688, 'All Menu'!B:M, 12, 0)</f>
        <v>0.35652868582375485</v>
      </c>
      <c r="R2688" s="173">
        <f t="shared" si="138"/>
        <v>0</v>
      </c>
    </row>
    <row r="2689" spans="1:18" ht="14" hidden="1">
      <c r="A2689" s="78" t="s">
        <v>2854</v>
      </c>
      <c r="B2689" s="220">
        <v>50025</v>
      </c>
      <c r="C2689" s="185"/>
      <c r="D2689" s="103" t="str">
        <f>VLOOKUP(B2689, 'All Menu'!B:M, 4, 0)</f>
        <v>راس خروف</v>
      </c>
      <c r="E2689" s="30" t="str">
        <f>VLOOKUP(B2689, 'All Menu'!B:M, 2, 0)</f>
        <v>قسم الملحمة</v>
      </c>
      <c r="F2689" s="103" t="str">
        <f>VLOOKUP(B2689, 'All Menu'!B:M, 3, 0)</f>
        <v>سقط</v>
      </c>
      <c r="G2689" s="90" t="s">
        <v>3058</v>
      </c>
      <c r="H2689" s="221">
        <v>5274</v>
      </c>
      <c r="I2689" s="110" t="str">
        <f>VLOOKUP(H2689, 'RM &amp; SF'!B:H, 2, 0)</f>
        <v>نايلون للتغليف رول (رول جيلاتين) 45 سم*4 كغ*****</v>
      </c>
      <c r="J2689" s="184" t="str">
        <f>VLOOKUP(H2689, 'RM &amp; SF'!B:E, 4, 0)</f>
        <v>غم</v>
      </c>
      <c r="K2689" s="22">
        <v>20</v>
      </c>
      <c r="L2689" s="13">
        <f>VLOOKUP(H2689, 'RM &amp; SF'!B:H, 7, 0)</f>
        <v>2.0474249999999999E-3</v>
      </c>
      <c r="M2689" s="15">
        <f t="shared" si="139"/>
        <v>4.0948499999999999E-2</v>
      </c>
      <c r="N2689" s="21" t="s">
        <v>825</v>
      </c>
      <c r="O2689" s="4">
        <f>VLOOKUP(B2689, 'All Menu'!B:L, 6, 0)</f>
        <v>4.5</v>
      </c>
      <c r="P2689" s="6">
        <f>VLOOKUP(B2689, 'All Menu'!B:L, 9, 0)</f>
        <v>2.895620913793103</v>
      </c>
      <c r="Q2689" s="14">
        <f>VLOOKUP(B2689, 'All Menu'!B:M, 12, 0)</f>
        <v>0.35652868582375485</v>
      </c>
      <c r="R2689" s="173">
        <f t="shared" si="138"/>
        <v>0</v>
      </c>
    </row>
    <row r="2690" spans="1:18" ht="14" hidden="1">
      <c r="A2690" s="78" t="s">
        <v>2854</v>
      </c>
      <c r="B2690" s="220">
        <v>50025</v>
      </c>
      <c r="C2690" s="185"/>
      <c r="D2690" s="103" t="str">
        <f>VLOOKUP(B2690, 'All Menu'!B:M, 4, 0)</f>
        <v>راس خروف</v>
      </c>
      <c r="E2690" s="30" t="str">
        <f>VLOOKUP(B2690, 'All Menu'!B:M, 2, 0)</f>
        <v>قسم الملحمة</v>
      </c>
      <c r="F2690" s="103" t="str">
        <f>VLOOKUP(B2690, 'All Menu'!B:M, 3, 0)</f>
        <v>سقط</v>
      </c>
      <c r="G2690" s="90" t="s">
        <v>2193</v>
      </c>
      <c r="H2690" s="221">
        <v>4309</v>
      </c>
      <c r="I2690" s="110" t="str">
        <f>VLOOKUP(H2690, 'RM &amp; SF'!B:H, 2, 0)</f>
        <v>اكياس بلاستيك مطبوع 55 سم*****</v>
      </c>
      <c r="J2690" s="184" t="str">
        <f>VLOOKUP(H2690, 'RM &amp; SF'!B:E, 4, 0)</f>
        <v>قطعة</v>
      </c>
      <c r="K2690" s="22">
        <v>1</v>
      </c>
      <c r="L2690" s="13">
        <f>VLOOKUP(H2690, 'RM &amp; SF'!B:H, 7, 0)</f>
        <v>5.5172413793103454E-2</v>
      </c>
      <c r="M2690" s="15">
        <f t="shared" si="139"/>
        <v>5.5172413793103454E-2</v>
      </c>
      <c r="N2690" s="21" t="s">
        <v>825</v>
      </c>
      <c r="O2690" s="4">
        <f>VLOOKUP(B2690, 'All Menu'!B:L, 6, 0)</f>
        <v>4.5</v>
      </c>
      <c r="P2690" s="6">
        <f>VLOOKUP(B2690, 'All Menu'!B:L, 9, 0)</f>
        <v>2.895620913793103</v>
      </c>
      <c r="Q2690" s="14">
        <f>VLOOKUP(B2690, 'All Menu'!B:M, 12, 0)</f>
        <v>0.35652868582375485</v>
      </c>
      <c r="R2690" s="173">
        <f t="shared" si="138"/>
        <v>0</v>
      </c>
    </row>
    <row r="2691" spans="1:18" ht="14" hidden="1">
      <c r="A2691" s="78" t="s">
        <v>2855</v>
      </c>
      <c r="B2691" s="220">
        <v>50026</v>
      </c>
      <c r="C2691" s="185"/>
      <c r="D2691" s="103" t="str">
        <f>VLOOKUP(B2691, 'All Menu'!B:M, 4, 0)</f>
        <v>راس خروف منظف</v>
      </c>
      <c r="E2691" s="30" t="str">
        <f>VLOOKUP(B2691, 'All Menu'!B:M, 2, 0)</f>
        <v>قسم الملحمة</v>
      </c>
      <c r="F2691" s="103" t="str">
        <f>VLOOKUP(B2691, 'All Menu'!B:M, 3, 0)</f>
        <v>سقط</v>
      </c>
      <c r="G2691" s="90" t="s">
        <v>3058</v>
      </c>
      <c r="H2691" s="221">
        <v>5066</v>
      </c>
      <c r="I2691" s="110" t="str">
        <f>VLOOKUP(H2691, 'RM &amp; SF'!B:H, 2, 0)</f>
        <v>نخاعات نية*****</v>
      </c>
      <c r="J2691" s="184" t="str">
        <f>VLOOKUP(H2691, 'RM &amp; SF'!B:E, 4, 0)</f>
        <v>قطعة</v>
      </c>
      <c r="K2691" s="22">
        <v>1</v>
      </c>
      <c r="L2691" s="13">
        <f>VLOOKUP(H2691, 'RM &amp; SF'!B:H, 7, 0)</f>
        <v>1.25</v>
      </c>
      <c r="M2691" s="15">
        <f t="shared" si="139"/>
        <v>1.25</v>
      </c>
      <c r="N2691" s="21" t="s">
        <v>825</v>
      </c>
      <c r="O2691" s="4">
        <f>VLOOKUP(B2691, 'All Menu'!B:L, 6, 0)</f>
        <v>5.5</v>
      </c>
      <c r="P2691" s="6">
        <f>VLOOKUP(B2691, 'All Menu'!B:L, 9, 0)</f>
        <v>2.895620913793103</v>
      </c>
      <c r="Q2691" s="14">
        <f>VLOOKUP(B2691, 'All Menu'!B:M, 12, 0)</f>
        <v>0.4735234702194358</v>
      </c>
      <c r="R2691" s="173">
        <f t="shared" si="138"/>
        <v>0</v>
      </c>
    </row>
    <row r="2692" spans="1:18" ht="14" hidden="1">
      <c r="A2692" s="78" t="s">
        <v>2855</v>
      </c>
      <c r="B2692" s="220">
        <v>50026</v>
      </c>
      <c r="C2692" s="185"/>
      <c r="D2692" s="103" t="str">
        <f>VLOOKUP(B2692, 'All Menu'!B:M, 4, 0)</f>
        <v>راس خروف منظف</v>
      </c>
      <c r="E2692" s="30" t="str">
        <f>VLOOKUP(B2692, 'All Menu'!B:M, 2, 0)</f>
        <v>قسم الملحمة</v>
      </c>
      <c r="F2692" s="103" t="str">
        <f>VLOOKUP(B2692, 'All Menu'!B:M, 3, 0)</f>
        <v>سقط</v>
      </c>
      <c r="G2692" s="90" t="s">
        <v>3058</v>
      </c>
      <c r="H2692" s="221">
        <v>4658</v>
      </c>
      <c r="I2692" s="110" t="str">
        <f>VLOOKUP(H2692, 'RM &amp; SF'!B:H, 2, 0)</f>
        <v>لسانات مجمدة استرالي*****</v>
      </c>
      <c r="J2692" s="184" t="str">
        <f>VLOOKUP(H2692, 'RM &amp; SF'!B:E, 4, 0)</f>
        <v>غم</v>
      </c>
      <c r="K2692" s="22">
        <v>350</v>
      </c>
      <c r="L2692" s="13">
        <f>VLOOKUP(H2692, 'RM &amp; SF'!B:H, 7, 0)</f>
        <v>4.2500000000000003E-3</v>
      </c>
      <c r="M2692" s="15">
        <f t="shared" si="139"/>
        <v>1.4875</v>
      </c>
      <c r="N2692" s="21" t="s">
        <v>825</v>
      </c>
      <c r="O2692" s="4">
        <f>VLOOKUP(B2692, 'All Menu'!B:L, 6, 0)</f>
        <v>5.5</v>
      </c>
      <c r="P2692" s="6">
        <f>VLOOKUP(B2692, 'All Menu'!B:L, 9, 0)</f>
        <v>2.895620913793103</v>
      </c>
      <c r="Q2692" s="14">
        <f>VLOOKUP(B2692, 'All Menu'!B:M, 12, 0)</f>
        <v>0.4735234702194358</v>
      </c>
      <c r="R2692" s="173">
        <f t="shared" si="138"/>
        <v>0</v>
      </c>
    </row>
    <row r="2693" spans="1:18" ht="14" hidden="1">
      <c r="A2693" s="78" t="s">
        <v>2855</v>
      </c>
      <c r="B2693" s="220">
        <v>50026</v>
      </c>
      <c r="C2693" s="185"/>
      <c r="D2693" s="103" t="str">
        <f>VLOOKUP(B2693, 'All Menu'!B:M, 4, 0)</f>
        <v>راس خروف منظف</v>
      </c>
      <c r="E2693" s="30" t="str">
        <f>VLOOKUP(B2693, 'All Menu'!B:M, 2, 0)</f>
        <v>قسم الملحمة</v>
      </c>
      <c r="F2693" s="103" t="str">
        <f>VLOOKUP(B2693, 'All Menu'!B:M, 3, 0)</f>
        <v>سقط</v>
      </c>
      <c r="G2693" s="90" t="s">
        <v>3058</v>
      </c>
      <c r="H2693" s="221">
        <v>5301</v>
      </c>
      <c r="I2693" s="110" t="str">
        <f>VLOOKUP(H2693, 'RM &amp; SF'!B:H, 2, 0)</f>
        <v>صحن فلين اسود مخرم T3*****</v>
      </c>
      <c r="J2693" s="184" t="str">
        <f>VLOOKUP(H2693, 'RM &amp; SF'!B:E, 4, 0)</f>
        <v>قطعة</v>
      </c>
      <c r="K2693" s="22">
        <v>1</v>
      </c>
      <c r="L2693" s="13">
        <f>VLOOKUP(H2693, 'RM &amp; SF'!B:H, 7, 0)</f>
        <v>6.2E-2</v>
      </c>
      <c r="M2693" s="15">
        <f t="shared" si="139"/>
        <v>6.2E-2</v>
      </c>
      <c r="N2693" s="21" t="s">
        <v>825</v>
      </c>
      <c r="O2693" s="4">
        <f>VLOOKUP(B2693, 'All Menu'!B:L, 6, 0)</f>
        <v>5.5</v>
      </c>
      <c r="P2693" s="6">
        <f>VLOOKUP(B2693, 'All Menu'!B:L, 9, 0)</f>
        <v>2.895620913793103</v>
      </c>
      <c r="Q2693" s="14">
        <f>VLOOKUP(B2693, 'All Menu'!B:M, 12, 0)</f>
        <v>0.4735234702194358</v>
      </c>
      <c r="R2693" s="173">
        <f t="shared" si="138"/>
        <v>0</v>
      </c>
    </row>
    <row r="2694" spans="1:18" ht="14" hidden="1">
      <c r="A2694" s="78" t="s">
        <v>2855</v>
      </c>
      <c r="B2694" s="220">
        <v>50026</v>
      </c>
      <c r="C2694" s="185"/>
      <c r="D2694" s="103" t="str">
        <f>VLOOKUP(B2694, 'All Menu'!B:M, 4, 0)</f>
        <v>راس خروف منظف</v>
      </c>
      <c r="E2694" s="30" t="str">
        <f>VLOOKUP(B2694, 'All Menu'!B:M, 2, 0)</f>
        <v>قسم الملحمة</v>
      </c>
      <c r="F2694" s="103" t="str">
        <f>VLOOKUP(B2694, 'All Menu'!B:M, 3, 0)</f>
        <v>سقط</v>
      </c>
      <c r="G2694" s="90" t="s">
        <v>3058</v>
      </c>
      <c r="H2694" s="221">
        <v>5274</v>
      </c>
      <c r="I2694" s="110" t="str">
        <f>VLOOKUP(H2694, 'RM &amp; SF'!B:H, 2, 0)</f>
        <v>نايلون للتغليف رول (رول جيلاتين) 45 سم*4 كغ*****</v>
      </c>
      <c r="J2694" s="184" t="str">
        <f>VLOOKUP(H2694, 'RM &amp; SF'!B:E, 4, 0)</f>
        <v>غم</v>
      </c>
      <c r="K2694" s="22">
        <v>20</v>
      </c>
      <c r="L2694" s="13">
        <f>VLOOKUP(H2694, 'RM &amp; SF'!B:H, 7, 0)</f>
        <v>2.0474249999999999E-3</v>
      </c>
      <c r="M2694" s="15">
        <f t="shared" si="139"/>
        <v>4.0948499999999999E-2</v>
      </c>
      <c r="N2694" s="21" t="s">
        <v>825</v>
      </c>
      <c r="O2694" s="4">
        <f>VLOOKUP(B2694, 'All Menu'!B:L, 6, 0)</f>
        <v>5.5</v>
      </c>
      <c r="P2694" s="6">
        <f>VLOOKUP(B2694, 'All Menu'!B:L, 9, 0)</f>
        <v>2.895620913793103</v>
      </c>
      <c r="Q2694" s="14">
        <f>VLOOKUP(B2694, 'All Menu'!B:M, 12, 0)</f>
        <v>0.4735234702194358</v>
      </c>
      <c r="R2694" s="173">
        <f t="shared" si="138"/>
        <v>0</v>
      </c>
    </row>
    <row r="2695" spans="1:18" ht="14" hidden="1">
      <c r="A2695" s="78" t="s">
        <v>2855</v>
      </c>
      <c r="B2695" s="220">
        <v>50026</v>
      </c>
      <c r="C2695" s="185"/>
      <c r="D2695" s="103" t="str">
        <f>VLOOKUP(B2695, 'All Menu'!B:M, 4, 0)</f>
        <v>راس خروف منظف</v>
      </c>
      <c r="E2695" s="30" t="str">
        <f>VLOOKUP(B2695, 'All Menu'!B:M, 2, 0)</f>
        <v>قسم الملحمة</v>
      </c>
      <c r="F2695" s="103" t="str">
        <f>VLOOKUP(B2695, 'All Menu'!B:M, 3, 0)</f>
        <v>سقط</v>
      </c>
      <c r="G2695" s="90" t="s">
        <v>2193</v>
      </c>
      <c r="H2695" s="221">
        <v>4309</v>
      </c>
      <c r="I2695" s="110" t="str">
        <f>VLOOKUP(H2695, 'RM &amp; SF'!B:H, 2, 0)</f>
        <v>اكياس بلاستيك مطبوع 55 سم*****</v>
      </c>
      <c r="J2695" s="184" t="str">
        <f>VLOOKUP(H2695, 'RM &amp; SF'!B:E, 4, 0)</f>
        <v>قطعة</v>
      </c>
      <c r="K2695" s="22">
        <v>1</v>
      </c>
      <c r="L2695" s="13">
        <f>VLOOKUP(H2695, 'RM &amp; SF'!B:H, 7, 0)</f>
        <v>5.5172413793103454E-2</v>
      </c>
      <c r="M2695" s="15">
        <f t="shared" si="139"/>
        <v>5.5172413793103454E-2</v>
      </c>
      <c r="N2695" s="21" t="s">
        <v>825</v>
      </c>
      <c r="O2695" s="4">
        <f>VLOOKUP(B2695, 'All Menu'!B:L, 6, 0)</f>
        <v>5.5</v>
      </c>
      <c r="P2695" s="6">
        <f>VLOOKUP(B2695, 'All Menu'!B:L, 9, 0)</f>
        <v>2.895620913793103</v>
      </c>
      <c r="Q2695" s="14">
        <f>VLOOKUP(B2695, 'All Menu'!B:M, 12, 0)</f>
        <v>0.4735234702194358</v>
      </c>
      <c r="R2695" s="173">
        <f t="shared" si="138"/>
        <v>0</v>
      </c>
    </row>
    <row r="2696" spans="1:18" ht="14" hidden="1">
      <c r="A2696" s="78" t="s">
        <v>2851</v>
      </c>
      <c r="B2696" s="220">
        <v>50021</v>
      </c>
      <c r="C2696" s="185"/>
      <c r="D2696" s="103" t="str">
        <f>VLOOKUP(B2696, 'All Menu'!B:M, 4, 0)</f>
        <v>طحل خاروف محشي</v>
      </c>
      <c r="E2696" s="30" t="str">
        <f>VLOOKUP(B2696, 'All Menu'!B:M, 2, 0)</f>
        <v>قسم الملحمة</v>
      </c>
      <c r="F2696" s="103" t="str">
        <f>VLOOKUP(B2696, 'All Menu'!B:M, 3, 0)</f>
        <v>سقط</v>
      </c>
      <c r="G2696" s="90" t="s">
        <v>3058</v>
      </c>
      <c r="H2696" s="221">
        <v>4657</v>
      </c>
      <c r="I2696" s="110" t="str">
        <f>VLOOKUP(H2696, 'RM &amp; SF'!B:H, 2, 0)</f>
        <v>طحل مجمدة استرالي*****</v>
      </c>
      <c r="J2696" s="184" t="str">
        <f>VLOOKUP(H2696, 'RM &amp; SF'!B:E, 4, 0)</f>
        <v>غم</v>
      </c>
      <c r="K2696" s="22">
        <v>1000</v>
      </c>
      <c r="L2696" s="13">
        <f>VLOOKUP(H2696, 'RM &amp; SF'!B:H, 7, 0)</f>
        <v>4.0000000000000001E-3</v>
      </c>
      <c r="M2696" s="15">
        <f t="shared" si="139"/>
        <v>4</v>
      </c>
      <c r="N2696" s="21" t="s">
        <v>825</v>
      </c>
      <c r="O2696" s="4">
        <f>VLOOKUP(B2696, 'All Menu'!B:L, 6, 0)</f>
        <v>10</v>
      </c>
      <c r="P2696" s="6">
        <f>VLOOKUP(B2696, 'All Menu'!B:L, 9, 0)</f>
        <v>4.1581209137931037</v>
      </c>
      <c r="Q2696" s="14">
        <f>VLOOKUP(B2696, 'All Menu'!B:M, 12, 0)</f>
        <v>0.58418790862068959</v>
      </c>
      <c r="R2696" s="173">
        <f t="shared" ref="R2696:R2759" si="140">C2696*K2696</f>
        <v>0</v>
      </c>
    </row>
    <row r="2697" spans="1:18" ht="14" hidden="1">
      <c r="A2697" s="78" t="s">
        <v>2851</v>
      </c>
      <c r="B2697" s="220">
        <v>50021</v>
      </c>
      <c r="C2697" s="185"/>
      <c r="D2697" s="103" t="str">
        <f>VLOOKUP(B2697, 'All Menu'!B:M, 4, 0)</f>
        <v>طحل خاروف محشي</v>
      </c>
      <c r="E2697" s="30" t="str">
        <f>VLOOKUP(B2697, 'All Menu'!B:M, 2, 0)</f>
        <v>قسم الملحمة</v>
      </c>
      <c r="F2697" s="103" t="str">
        <f>VLOOKUP(B2697, 'All Menu'!B:M, 3, 0)</f>
        <v>سقط</v>
      </c>
      <c r="G2697" s="90" t="s">
        <v>3058</v>
      </c>
      <c r="H2697" s="221">
        <v>5301</v>
      </c>
      <c r="I2697" s="110" t="str">
        <f>VLOOKUP(H2697, 'RM &amp; SF'!B:H, 2, 0)</f>
        <v>صحن فلين اسود مخرم T3*****</v>
      </c>
      <c r="J2697" s="184" t="str">
        <f>VLOOKUP(H2697, 'RM &amp; SF'!B:E, 4, 0)</f>
        <v>قطعة</v>
      </c>
      <c r="K2697" s="22">
        <v>1</v>
      </c>
      <c r="L2697" s="13">
        <f>VLOOKUP(H2697, 'RM &amp; SF'!B:H, 7, 0)</f>
        <v>6.2E-2</v>
      </c>
      <c r="M2697" s="15">
        <f t="shared" si="139"/>
        <v>6.2E-2</v>
      </c>
      <c r="N2697" s="21" t="s">
        <v>825</v>
      </c>
      <c r="O2697" s="4">
        <f>VLOOKUP(B2697, 'All Menu'!B:L, 6, 0)</f>
        <v>10</v>
      </c>
      <c r="P2697" s="6">
        <f>VLOOKUP(B2697, 'All Menu'!B:L, 9, 0)</f>
        <v>4.1581209137931037</v>
      </c>
      <c r="Q2697" s="14">
        <f>VLOOKUP(B2697, 'All Menu'!B:M, 12, 0)</f>
        <v>0.58418790862068959</v>
      </c>
      <c r="R2697" s="173">
        <f t="shared" si="140"/>
        <v>0</v>
      </c>
    </row>
    <row r="2698" spans="1:18" ht="14" hidden="1">
      <c r="A2698" s="78" t="s">
        <v>2851</v>
      </c>
      <c r="B2698" s="220">
        <v>50021</v>
      </c>
      <c r="C2698" s="185"/>
      <c r="D2698" s="103" t="str">
        <f>VLOOKUP(B2698, 'All Menu'!B:M, 4, 0)</f>
        <v>طحل خاروف محشي</v>
      </c>
      <c r="E2698" s="30" t="str">
        <f>VLOOKUP(B2698, 'All Menu'!B:M, 2, 0)</f>
        <v>قسم الملحمة</v>
      </c>
      <c r="F2698" s="103" t="str">
        <f>VLOOKUP(B2698, 'All Menu'!B:M, 3, 0)</f>
        <v>سقط</v>
      </c>
      <c r="G2698" s="90" t="s">
        <v>3058</v>
      </c>
      <c r="H2698" s="221">
        <v>5274</v>
      </c>
      <c r="I2698" s="110" t="str">
        <f>VLOOKUP(H2698, 'RM &amp; SF'!B:H, 2, 0)</f>
        <v>نايلون للتغليف رول (رول جيلاتين) 45 سم*4 كغ*****</v>
      </c>
      <c r="J2698" s="184" t="str">
        <f>VLOOKUP(H2698, 'RM &amp; SF'!B:E, 4, 0)</f>
        <v>غم</v>
      </c>
      <c r="K2698" s="22">
        <v>20</v>
      </c>
      <c r="L2698" s="13">
        <f>VLOOKUP(H2698, 'RM &amp; SF'!B:H, 7, 0)</f>
        <v>2.0474249999999999E-3</v>
      </c>
      <c r="M2698" s="15">
        <f t="shared" si="139"/>
        <v>4.0948499999999999E-2</v>
      </c>
      <c r="N2698" s="21" t="s">
        <v>825</v>
      </c>
      <c r="O2698" s="4">
        <f>VLOOKUP(B2698, 'All Menu'!B:L, 6, 0)</f>
        <v>10</v>
      </c>
      <c r="P2698" s="6">
        <f>VLOOKUP(B2698, 'All Menu'!B:L, 9, 0)</f>
        <v>4.1581209137931037</v>
      </c>
      <c r="Q2698" s="14">
        <f>VLOOKUP(B2698, 'All Menu'!B:M, 12, 0)</f>
        <v>0.58418790862068959</v>
      </c>
      <c r="R2698" s="173">
        <f t="shared" si="140"/>
        <v>0</v>
      </c>
    </row>
    <row r="2699" spans="1:18" ht="14" hidden="1">
      <c r="A2699" s="78" t="s">
        <v>2851</v>
      </c>
      <c r="B2699" s="220">
        <v>50021</v>
      </c>
      <c r="C2699" s="185"/>
      <c r="D2699" s="103" t="str">
        <f>VLOOKUP(B2699, 'All Menu'!B:M, 4, 0)</f>
        <v>طحل خاروف محشي</v>
      </c>
      <c r="E2699" s="30" t="str">
        <f>VLOOKUP(B2699, 'All Menu'!B:M, 2, 0)</f>
        <v>قسم الملحمة</v>
      </c>
      <c r="F2699" s="103" t="str">
        <f>VLOOKUP(B2699, 'All Menu'!B:M, 3, 0)</f>
        <v>سقط</v>
      </c>
      <c r="G2699" s="90" t="s">
        <v>2193</v>
      </c>
      <c r="H2699" s="221">
        <v>4309</v>
      </c>
      <c r="I2699" s="110" t="str">
        <f>VLOOKUP(H2699, 'RM &amp; SF'!B:H, 2, 0)</f>
        <v>اكياس بلاستيك مطبوع 55 سم*****</v>
      </c>
      <c r="J2699" s="184" t="str">
        <f>VLOOKUP(H2699, 'RM &amp; SF'!B:E, 4, 0)</f>
        <v>قطعة</v>
      </c>
      <c r="K2699" s="22">
        <v>1</v>
      </c>
      <c r="L2699" s="13">
        <f>VLOOKUP(H2699, 'RM &amp; SF'!B:H, 7, 0)</f>
        <v>5.5172413793103454E-2</v>
      </c>
      <c r="M2699" s="15">
        <f t="shared" si="139"/>
        <v>5.5172413793103454E-2</v>
      </c>
      <c r="N2699" s="21" t="s">
        <v>825</v>
      </c>
      <c r="O2699" s="4">
        <f>VLOOKUP(B2699, 'All Menu'!B:L, 6, 0)</f>
        <v>10</v>
      </c>
      <c r="P2699" s="6">
        <f>VLOOKUP(B2699, 'All Menu'!B:L, 9, 0)</f>
        <v>4.1581209137931037</v>
      </c>
      <c r="Q2699" s="14">
        <f>VLOOKUP(B2699, 'All Menu'!B:M, 12, 0)</f>
        <v>0.58418790862068959</v>
      </c>
      <c r="R2699" s="173">
        <f t="shared" si="140"/>
        <v>0</v>
      </c>
    </row>
    <row r="2700" spans="1:18" ht="14" hidden="1">
      <c r="A2700" s="78" t="s">
        <v>3123</v>
      </c>
      <c r="B2700" s="220">
        <v>50038</v>
      </c>
      <c r="C2700" s="185"/>
      <c r="D2700" s="103" t="str">
        <f>VLOOKUP(B2700, 'All Menu'!B:M, 4, 0)</f>
        <v>برغر عجل انجوس</v>
      </c>
      <c r="E2700" s="30" t="str">
        <f>VLOOKUP(B2700, 'All Menu'!B:M, 2, 0)</f>
        <v>قسم الملحمة</v>
      </c>
      <c r="F2700" s="103" t="str">
        <f>VLOOKUP(B2700, 'All Menu'!B:M, 3, 0)</f>
        <v>مارنيتد</v>
      </c>
      <c r="G2700" s="90" t="s">
        <v>3058</v>
      </c>
      <c r="H2700" s="226">
        <v>5373</v>
      </c>
      <c r="I2700" s="110" t="str">
        <f>VLOOKUP(H2700, 'RM &amp; SF'!B:H, 2, 0)</f>
        <v>قطعيات عجل مشكلة</v>
      </c>
      <c r="J2700" s="184" t="str">
        <f>VLOOKUP(H2700, 'RM &amp; SF'!B:E, 4, 0)</f>
        <v>غم</v>
      </c>
      <c r="K2700" s="22">
        <v>800</v>
      </c>
      <c r="L2700" s="13">
        <f>VLOOKUP(H2700, 'RM &amp; SF'!B:H, 7, 0)</f>
        <v>9.0100000000000006E-3</v>
      </c>
      <c r="M2700" s="15">
        <f t="shared" si="139"/>
        <v>7.2080000000000002</v>
      </c>
      <c r="N2700" s="21" t="s">
        <v>825</v>
      </c>
      <c r="O2700" s="4">
        <f>VLOOKUP(B2700, 'All Menu'!B:L, 6, 0)</f>
        <v>16</v>
      </c>
      <c r="P2700" s="6">
        <f>VLOOKUP(B2700, 'All Menu'!B:L, 9, 0)</f>
        <v>8.3203850798990757</v>
      </c>
      <c r="Q2700" s="14">
        <f>VLOOKUP(B2700, 'All Menu'!B:M, 12, 0)</f>
        <v>0.47997593250630777</v>
      </c>
      <c r="R2700" s="173">
        <f t="shared" si="140"/>
        <v>0</v>
      </c>
    </row>
    <row r="2701" spans="1:18" ht="14" hidden="1">
      <c r="A2701" s="78" t="s">
        <v>3123</v>
      </c>
      <c r="B2701" s="220">
        <v>50038</v>
      </c>
      <c r="C2701" s="185"/>
      <c r="D2701" s="103" t="str">
        <f>VLOOKUP(B2701, 'All Menu'!B:M, 4, 0)</f>
        <v>برغر عجل انجوس</v>
      </c>
      <c r="E2701" s="30" t="str">
        <f>VLOOKUP(B2701, 'All Menu'!B:M, 2, 0)</f>
        <v>قسم الملحمة</v>
      </c>
      <c r="F2701" s="103" t="str">
        <f>VLOOKUP(B2701, 'All Menu'!B:M, 3, 0)</f>
        <v>مارنيتد</v>
      </c>
      <c r="G2701" s="90" t="s">
        <v>3058</v>
      </c>
      <c r="H2701" s="221">
        <v>5379</v>
      </c>
      <c r="I2701" s="110" t="str">
        <f>VLOOKUP(H2701, 'RM &amp; SF'!B:H, 2, 0)</f>
        <v>دهن انجوس</v>
      </c>
      <c r="J2701" s="184" t="str">
        <f>VLOOKUP(H2701, 'RM &amp; SF'!B:E, 4, 0)</f>
        <v>غم</v>
      </c>
      <c r="K2701" s="22">
        <v>200</v>
      </c>
      <c r="L2701" s="13">
        <f>VLOOKUP(H2701, 'RM &amp; SF'!B:H, 7, 0)</f>
        <v>3.0000000000000001E-3</v>
      </c>
      <c r="M2701" s="15">
        <f t="shared" si="139"/>
        <v>0.6</v>
      </c>
      <c r="N2701" s="21" t="s">
        <v>825</v>
      </c>
      <c r="O2701" s="4">
        <f>VLOOKUP(B2701, 'All Menu'!B:L, 6, 0)</f>
        <v>16</v>
      </c>
      <c r="P2701" s="6">
        <f>VLOOKUP(B2701, 'All Menu'!B:L, 9, 0)</f>
        <v>8.3203850798990757</v>
      </c>
      <c r="Q2701" s="14">
        <f>VLOOKUP(B2701, 'All Menu'!B:M, 12, 0)</f>
        <v>0.47997593250630777</v>
      </c>
      <c r="R2701" s="173">
        <f t="shared" si="140"/>
        <v>0</v>
      </c>
    </row>
    <row r="2702" spans="1:18" ht="14" hidden="1">
      <c r="A2702" s="78" t="s">
        <v>3123</v>
      </c>
      <c r="B2702" s="220">
        <v>50038</v>
      </c>
      <c r="C2702" s="185"/>
      <c r="D2702" s="103" t="str">
        <f>VLOOKUP(B2702, 'All Menu'!B:M, 4, 0)</f>
        <v>برغر عجل انجوس</v>
      </c>
      <c r="E2702" s="30" t="str">
        <f>VLOOKUP(B2702, 'All Menu'!B:M, 2, 0)</f>
        <v>قسم الملحمة</v>
      </c>
      <c r="F2702" s="103" t="str">
        <f>VLOOKUP(B2702, 'All Menu'!B:M, 3, 0)</f>
        <v>مارنيتد</v>
      </c>
      <c r="G2702" s="90" t="s">
        <v>2212</v>
      </c>
      <c r="H2702" s="221">
        <v>4215</v>
      </c>
      <c r="I2702" s="110" t="str">
        <f>VLOOKUP(H2702, 'RM &amp; SF'!B:H, 2, 0)</f>
        <v>ملح صيني*****</v>
      </c>
      <c r="J2702" s="184" t="str">
        <f>VLOOKUP(H2702, 'RM &amp; SF'!B:E, 4, 0)</f>
        <v>غم</v>
      </c>
      <c r="K2702" s="22">
        <v>10</v>
      </c>
      <c r="L2702" s="13">
        <f>VLOOKUP(H2702, 'RM &amp; SF'!B:H, 7, 0)</f>
        <v>1.7240000000000001E-3</v>
      </c>
      <c r="M2702" s="15">
        <f t="shared" si="139"/>
        <v>1.7240000000000002E-2</v>
      </c>
      <c r="N2702" s="21" t="s">
        <v>825</v>
      </c>
      <c r="O2702" s="4">
        <f>VLOOKUP(B2702, 'All Menu'!B:L, 6, 0)</f>
        <v>16</v>
      </c>
      <c r="P2702" s="6">
        <f>VLOOKUP(B2702, 'All Menu'!B:L, 9, 0)</f>
        <v>8.3203850798990757</v>
      </c>
      <c r="Q2702" s="14">
        <f>VLOOKUP(B2702, 'All Menu'!B:M, 12, 0)</f>
        <v>0.47997593250630777</v>
      </c>
      <c r="R2702" s="173">
        <f t="shared" si="140"/>
        <v>0</v>
      </c>
    </row>
    <row r="2703" spans="1:18" ht="14" hidden="1">
      <c r="A2703" s="78" t="s">
        <v>3123</v>
      </c>
      <c r="B2703" s="220">
        <v>50038</v>
      </c>
      <c r="C2703" s="185"/>
      <c r="D2703" s="103" t="str">
        <f>VLOOKUP(B2703, 'All Menu'!B:M, 4, 0)</f>
        <v>برغر عجل انجوس</v>
      </c>
      <c r="E2703" s="30" t="str">
        <f>VLOOKUP(B2703, 'All Menu'!B:M, 2, 0)</f>
        <v>قسم الملحمة</v>
      </c>
      <c r="F2703" s="103" t="str">
        <f>VLOOKUP(B2703, 'All Menu'!B:M, 3, 0)</f>
        <v>مارنيتد</v>
      </c>
      <c r="G2703" s="90" t="s">
        <v>2366</v>
      </c>
      <c r="H2703" s="219" t="s">
        <v>764</v>
      </c>
      <c r="I2703" s="110" t="str">
        <f>VLOOKUP(H2703, 'RM &amp; SF'!B:H, 2, 0)</f>
        <v>صوص برجر</v>
      </c>
      <c r="J2703" s="184" t="str">
        <f>VLOOKUP(H2703, 'RM &amp; SF'!B:E, 4, 0)</f>
        <v>غم</v>
      </c>
      <c r="K2703" s="22">
        <v>100</v>
      </c>
      <c r="L2703" s="13">
        <f>VLOOKUP(H2703, 'RM &amp; SF'!B:H, 7, 0)</f>
        <v>1.8102439024390246E-3</v>
      </c>
      <c r="M2703" s="15">
        <f t="shared" si="139"/>
        <v>0.18102439024390246</v>
      </c>
      <c r="N2703" s="21" t="s">
        <v>825</v>
      </c>
      <c r="O2703" s="4">
        <f>VLOOKUP(B2703, 'All Menu'!B:L, 6, 0)</f>
        <v>16</v>
      </c>
      <c r="P2703" s="6">
        <f>VLOOKUP(B2703, 'All Menu'!B:L, 9, 0)</f>
        <v>8.3203850798990757</v>
      </c>
      <c r="Q2703" s="14">
        <f>VLOOKUP(B2703, 'All Menu'!B:M, 12, 0)</f>
        <v>0.47997593250630777</v>
      </c>
      <c r="R2703" s="173">
        <f t="shared" si="140"/>
        <v>0</v>
      </c>
    </row>
    <row r="2704" spans="1:18" ht="14" hidden="1">
      <c r="A2704" s="78" t="s">
        <v>3123</v>
      </c>
      <c r="B2704" s="220">
        <v>50038</v>
      </c>
      <c r="C2704" s="185"/>
      <c r="D2704" s="103" t="str">
        <f>VLOOKUP(B2704, 'All Menu'!B:M, 4, 0)</f>
        <v>برغر عجل انجوس</v>
      </c>
      <c r="E2704" s="30" t="str">
        <f>VLOOKUP(B2704, 'All Menu'!B:M, 2, 0)</f>
        <v>قسم الملحمة</v>
      </c>
      <c r="F2704" s="103" t="str">
        <f>VLOOKUP(B2704, 'All Menu'!B:M, 3, 0)</f>
        <v>مارنيتد</v>
      </c>
      <c r="G2704" s="90" t="s">
        <v>3058</v>
      </c>
      <c r="H2704" s="221">
        <v>5383</v>
      </c>
      <c r="I2704" s="110" t="str">
        <f>VLOOKUP(H2704, 'RM &amp; SF'!B:H, 2, 0)</f>
        <v>ورق برغر</v>
      </c>
      <c r="J2704" s="184" t="str">
        <f>VLOOKUP(H2704, 'RM &amp; SF'!B:E, 4, 0)</f>
        <v>قطعة</v>
      </c>
      <c r="K2704" s="22">
        <v>16</v>
      </c>
      <c r="L2704" s="13">
        <f>VLOOKUP(H2704, 'RM &amp; SF'!B:H, 7, 0)</f>
        <v>1.0775E-2</v>
      </c>
      <c r="M2704" s="15">
        <f t="shared" si="139"/>
        <v>0.1724</v>
      </c>
      <c r="N2704" s="21" t="s">
        <v>825</v>
      </c>
      <c r="O2704" s="4">
        <f>VLOOKUP(B2704, 'All Menu'!B:L, 6, 0)</f>
        <v>16</v>
      </c>
      <c r="P2704" s="6">
        <f>VLOOKUP(B2704, 'All Menu'!B:L, 9, 0)</f>
        <v>8.3203850798990757</v>
      </c>
      <c r="Q2704" s="14">
        <f>VLOOKUP(B2704, 'All Menu'!B:M, 12, 0)</f>
        <v>0.47997593250630777</v>
      </c>
      <c r="R2704" s="173">
        <f t="shared" si="140"/>
        <v>0</v>
      </c>
    </row>
    <row r="2705" spans="1:18" ht="14" hidden="1">
      <c r="A2705" s="78" t="s">
        <v>3123</v>
      </c>
      <c r="B2705" s="220">
        <v>50038</v>
      </c>
      <c r="C2705" s="185"/>
      <c r="D2705" s="103" t="str">
        <f>VLOOKUP(B2705, 'All Menu'!B:M, 4, 0)</f>
        <v>برغر عجل انجوس</v>
      </c>
      <c r="E2705" s="30" t="str">
        <f>VLOOKUP(B2705, 'All Menu'!B:M, 2, 0)</f>
        <v>قسم الملحمة</v>
      </c>
      <c r="F2705" s="103" t="str">
        <f>VLOOKUP(B2705, 'All Menu'!B:M, 3, 0)</f>
        <v>مارنيتد</v>
      </c>
      <c r="G2705" s="90" t="s">
        <v>3058</v>
      </c>
      <c r="H2705" s="221">
        <v>5268</v>
      </c>
      <c r="I2705" s="110" t="str">
        <f>VLOOKUP(H2705, 'RM &amp; SF'!B:H, 2, 0)</f>
        <v>صحن جامو</v>
      </c>
      <c r="J2705" s="184" t="str">
        <f>VLOOKUP(H2705, 'RM &amp; SF'!B:E, 4, 0)</f>
        <v>قطعة</v>
      </c>
      <c r="K2705" s="22">
        <v>1</v>
      </c>
      <c r="L2705" s="13">
        <f>VLOOKUP(H2705, 'RM &amp; SF'!B:H, 7, 0)</f>
        <v>4.0948275862068971E-2</v>
      </c>
      <c r="M2705" s="15">
        <f t="shared" si="139"/>
        <v>4.0948275862068971E-2</v>
      </c>
      <c r="N2705" s="21" t="s">
        <v>825</v>
      </c>
      <c r="O2705" s="4">
        <f>VLOOKUP(B2705, 'All Menu'!B:L, 6, 0)</f>
        <v>16</v>
      </c>
      <c r="P2705" s="6">
        <f>VLOOKUP(B2705, 'All Menu'!B:L, 9, 0)</f>
        <v>8.3203850798990757</v>
      </c>
      <c r="Q2705" s="14">
        <f>VLOOKUP(B2705, 'All Menu'!B:M, 12, 0)</f>
        <v>0.47997593250630777</v>
      </c>
      <c r="R2705" s="173">
        <f t="shared" si="140"/>
        <v>0</v>
      </c>
    </row>
    <row r="2706" spans="1:18" ht="14" hidden="1">
      <c r="A2706" s="78" t="s">
        <v>3123</v>
      </c>
      <c r="B2706" s="220">
        <v>50038</v>
      </c>
      <c r="C2706" s="185"/>
      <c r="D2706" s="103" t="str">
        <f>VLOOKUP(B2706, 'All Menu'!B:M, 4, 0)</f>
        <v>برغر عجل انجوس</v>
      </c>
      <c r="E2706" s="30" t="str">
        <f>VLOOKUP(B2706, 'All Menu'!B:M, 2, 0)</f>
        <v>قسم الملحمة</v>
      </c>
      <c r="F2706" s="103" t="str">
        <f>VLOOKUP(B2706, 'All Menu'!B:M, 3, 0)</f>
        <v>مارنيتد</v>
      </c>
      <c r="G2706" s="90" t="s">
        <v>3058</v>
      </c>
      <c r="H2706" s="221">
        <v>4425</v>
      </c>
      <c r="I2706" s="110" t="str">
        <f>VLOOKUP(H2706, 'RM &amp; SF'!B:H, 2, 0)</f>
        <v>ليبل المركزية دائري 5*5 سم*****</v>
      </c>
      <c r="J2706" s="184" t="str">
        <f>VLOOKUP(H2706, 'RM &amp; SF'!B:E, 4, 0)</f>
        <v>قطعة</v>
      </c>
      <c r="K2706" s="22">
        <v>8</v>
      </c>
      <c r="L2706" s="13">
        <f>VLOOKUP(H2706, 'RM &amp; SF'!B:H, 7, 0)</f>
        <v>5.7000000000000002E-3</v>
      </c>
      <c r="M2706" s="15">
        <f t="shared" si="139"/>
        <v>4.5600000000000002E-2</v>
      </c>
      <c r="N2706" s="21" t="s">
        <v>825</v>
      </c>
      <c r="O2706" s="4">
        <f>VLOOKUP(B2706, 'All Menu'!B:L, 6, 0)</f>
        <v>16</v>
      </c>
      <c r="P2706" s="6">
        <f>VLOOKUP(B2706, 'All Menu'!B:L, 9, 0)</f>
        <v>8.3203850798990757</v>
      </c>
      <c r="Q2706" s="14">
        <f>VLOOKUP(B2706, 'All Menu'!B:M, 12, 0)</f>
        <v>0.47997593250630777</v>
      </c>
      <c r="R2706" s="173">
        <f t="shared" si="140"/>
        <v>0</v>
      </c>
    </row>
    <row r="2707" spans="1:18" ht="14" hidden="1">
      <c r="A2707" s="78" t="s">
        <v>3123</v>
      </c>
      <c r="B2707" s="220">
        <v>50038</v>
      </c>
      <c r="C2707" s="185"/>
      <c r="D2707" s="103" t="str">
        <f>VLOOKUP(B2707, 'All Menu'!B:M, 4, 0)</f>
        <v>برغر عجل انجوس</v>
      </c>
      <c r="E2707" s="30" t="str">
        <f>VLOOKUP(B2707, 'All Menu'!B:M, 2, 0)</f>
        <v>قسم الملحمة</v>
      </c>
      <c r="F2707" s="103" t="str">
        <f>VLOOKUP(B2707, 'All Menu'!B:M, 3, 0)</f>
        <v>مارنيتد</v>
      </c>
      <c r="G2707" s="90" t="s">
        <v>2193</v>
      </c>
      <c r="H2707" s="221">
        <v>4309</v>
      </c>
      <c r="I2707" s="110" t="str">
        <f>VLOOKUP(H2707, 'RM &amp; SF'!B:H, 2, 0)</f>
        <v>اكياس بلاستيك مطبوع 55 سم*****</v>
      </c>
      <c r="J2707" s="184" t="str">
        <f>VLOOKUP(H2707, 'RM &amp; SF'!B:E, 4, 0)</f>
        <v>قطعة</v>
      </c>
      <c r="K2707" s="22">
        <v>1</v>
      </c>
      <c r="L2707" s="13">
        <f>VLOOKUP(H2707, 'RM &amp; SF'!B:H, 7, 0)</f>
        <v>5.5172413793103454E-2</v>
      </c>
      <c r="M2707" s="15">
        <f t="shared" si="139"/>
        <v>5.5172413793103454E-2</v>
      </c>
      <c r="N2707" s="21" t="s">
        <v>825</v>
      </c>
      <c r="O2707" s="4">
        <f>VLOOKUP(B2707, 'All Menu'!B:L, 6, 0)</f>
        <v>16</v>
      </c>
      <c r="P2707" s="6">
        <f>VLOOKUP(B2707, 'All Menu'!B:L, 9, 0)</f>
        <v>8.3203850798990757</v>
      </c>
      <c r="Q2707" s="14">
        <f>VLOOKUP(B2707, 'All Menu'!B:M, 12, 0)</f>
        <v>0.47997593250630777</v>
      </c>
      <c r="R2707" s="173">
        <f t="shared" si="140"/>
        <v>0</v>
      </c>
    </row>
    <row r="2708" spans="1:18" ht="14" hidden="1">
      <c r="A2708" s="78" t="s">
        <v>2365</v>
      </c>
      <c r="B2708" s="220">
        <v>50037</v>
      </c>
      <c r="C2708" s="185"/>
      <c r="D2708" s="103" t="str">
        <f>VLOOKUP(B2708, 'All Menu'!B:M, 4, 0)</f>
        <v>برغر عجل بلدي</v>
      </c>
      <c r="E2708" s="30" t="str">
        <f>VLOOKUP(B2708, 'All Menu'!B:M, 2, 0)</f>
        <v>قسم الملحمة</v>
      </c>
      <c r="F2708" s="103" t="str">
        <f>VLOOKUP(B2708, 'All Menu'!B:M, 3, 0)</f>
        <v>مارنيتد</v>
      </c>
      <c r="G2708" s="90" t="s">
        <v>3058</v>
      </c>
      <c r="H2708" s="226">
        <v>5373</v>
      </c>
      <c r="I2708" s="110" t="str">
        <f>VLOOKUP(H2708, 'RM &amp; SF'!B:H, 2, 0)</f>
        <v>قطعيات عجل مشكلة</v>
      </c>
      <c r="J2708" s="184" t="str">
        <f>VLOOKUP(H2708, 'RM &amp; SF'!B:E, 4, 0)</f>
        <v>غم</v>
      </c>
      <c r="K2708" s="22">
        <v>800</v>
      </c>
      <c r="L2708" s="13">
        <f>VLOOKUP(H2708, 'RM &amp; SF'!B:H, 7, 0)</f>
        <v>9.0100000000000006E-3</v>
      </c>
      <c r="M2708" s="15">
        <f t="shared" si="139"/>
        <v>7.2080000000000002</v>
      </c>
      <c r="N2708" s="21" t="s">
        <v>825</v>
      </c>
      <c r="O2708" s="4">
        <f>VLOOKUP(B2708, 'All Menu'!B:L, 6, 0)</f>
        <v>14</v>
      </c>
      <c r="P2708" s="6">
        <f>VLOOKUP(B2708, 'All Menu'!B:L, 9, 0)</f>
        <v>8.3203850798990757</v>
      </c>
      <c r="Q2708" s="14">
        <f>VLOOKUP(B2708, 'All Menu'!B:M, 12, 0)</f>
        <v>0.40568678000720887</v>
      </c>
      <c r="R2708" s="173">
        <f t="shared" si="140"/>
        <v>0</v>
      </c>
    </row>
    <row r="2709" spans="1:18" ht="14" hidden="1">
      <c r="A2709" s="78" t="s">
        <v>2365</v>
      </c>
      <c r="B2709" s="220">
        <v>50037</v>
      </c>
      <c r="C2709" s="185"/>
      <c r="D2709" s="103" t="str">
        <f>VLOOKUP(B2709, 'All Menu'!B:M, 4, 0)</f>
        <v>برغر عجل بلدي</v>
      </c>
      <c r="E2709" s="30" t="str">
        <f>VLOOKUP(B2709, 'All Menu'!B:M, 2, 0)</f>
        <v>قسم الملحمة</v>
      </c>
      <c r="F2709" s="103" t="str">
        <f>VLOOKUP(B2709, 'All Menu'!B:M, 3, 0)</f>
        <v>مارنيتد</v>
      </c>
      <c r="G2709" s="90" t="s">
        <v>3058</v>
      </c>
      <c r="H2709" s="221">
        <v>5379</v>
      </c>
      <c r="I2709" s="110" t="str">
        <f>VLOOKUP(H2709, 'RM &amp; SF'!B:H, 2, 0)</f>
        <v>دهن انجوس</v>
      </c>
      <c r="J2709" s="184" t="str">
        <f>VLOOKUP(H2709, 'RM &amp; SF'!B:E, 4, 0)</f>
        <v>غم</v>
      </c>
      <c r="K2709" s="22">
        <v>200</v>
      </c>
      <c r="L2709" s="13">
        <f>VLOOKUP(H2709, 'RM &amp; SF'!B:H, 7, 0)</f>
        <v>3.0000000000000001E-3</v>
      </c>
      <c r="M2709" s="15">
        <f t="shared" si="139"/>
        <v>0.6</v>
      </c>
      <c r="N2709" s="21" t="s">
        <v>825</v>
      </c>
      <c r="O2709" s="4">
        <f>VLOOKUP(B2709, 'All Menu'!B:L, 6, 0)</f>
        <v>14</v>
      </c>
      <c r="P2709" s="6">
        <f>VLOOKUP(B2709, 'All Menu'!B:L, 9, 0)</f>
        <v>8.3203850798990757</v>
      </c>
      <c r="Q2709" s="14">
        <f>VLOOKUP(B2709, 'All Menu'!B:M, 12, 0)</f>
        <v>0.40568678000720887</v>
      </c>
      <c r="R2709" s="173">
        <f t="shared" si="140"/>
        <v>0</v>
      </c>
    </row>
    <row r="2710" spans="1:18" ht="14" hidden="1">
      <c r="A2710" s="78" t="s">
        <v>2365</v>
      </c>
      <c r="B2710" s="220">
        <v>50037</v>
      </c>
      <c r="C2710" s="185"/>
      <c r="D2710" s="103" t="str">
        <f>VLOOKUP(B2710, 'All Menu'!B:M, 4, 0)</f>
        <v>برغر عجل بلدي</v>
      </c>
      <c r="E2710" s="30" t="str">
        <f>VLOOKUP(B2710, 'All Menu'!B:M, 2, 0)</f>
        <v>قسم الملحمة</v>
      </c>
      <c r="F2710" s="103" t="str">
        <f>VLOOKUP(B2710, 'All Menu'!B:M, 3, 0)</f>
        <v>مارنيتد</v>
      </c>
      <c r="G2710" s="90" t="s">
        <v>2212</v>
      </c>
      <c r="H2710" s="221">
        <v>4215</v>
      </c>
      <c r="I2710" s="110" t="str">
        <f>VLOOKUP(H2710, 'RM &amp; SF'!B:H, 2, 0)</f>
        <v>ملح صيني*****</v>
      </c>
      <c r="J2710" s="184" t="str">
        <f>VLOOKUP(H2710, 'RM &amp; SF'!B:E, 4, 0)</f>
        <v>غم</v>
      </c>
      <c r="K2710" s="22">
        <v>10</v>
      </c>
      <c r="L2710" s="13">
        <f>VLOOKUP(H2710, 'RM &amp; SF'!B:H, 7, 0)</f>
        <v>1.7240000000000001E-3</v>
      </c>
      <c r="M2710" s="15">
        <f t="shared" si="139"/>
        <v>1.7240000000000002E-2</v>
      </c>
      <c r="N2710" s="21" t="s">
        <v>825</v>
      </c>
      <c r="O2710" s="4">
        <f>VLOOKUP(B2710, 'All Menu'!B:L, 6, 0)</f>
        <v>14</v>
      </c>
      <c r="P2710" s="6">
        <f>VLOOKUP(B2710, 'All Menu'!B:L, 9, 0)</f>
        <v>8.3203850798990757</v>
      </c>
      <c r="Q2710" s="14">
        <f>VLOOKUP(B2710, 'All Menu'!B:M, 12, 0)</f>
        <v>0.40568678000720887</v>
      </c>
      <c r="R2710" s="173">
        <f t="shared" si="140"/>
        <v>0</v>
      </c>
    </row>
    <row r="2711" spans="1:18" ht="14" hidden="1">
      <c r="A2711" s="78" t="s">
        <v>2365</v>
      </c>
      <c r="B2711" s="220">
        <v>50037</v>
      </c>
      <c r="C2711" s="185"/>
      <c r="D2711" s="103" t="str">
        <f>VLOOKUP(B2711, 'All Menu'!B:M, 4, 0)</f>
        <v>برغر عجل بلدي</v>
      </c>
      <c r="E2711" s="30" t="str">
        <f>VLOOKUP(B2711, 'All Menu'!B:M, 2, 0)</f>
        <v>قسم الملحمة</v>
      </c>
      <c r="F2711" s="103" t="str">
        <f>VLOOKUP(B2711, 'All Menu'!B:M, 3, 0)</f>
        <v>مارنيتد</v>
      </c>
      <c r="G2711" s="90" t="s">
        <v>2366</v>
      </c>
      <c r="H2711" s="219" t="s">
        <v>764</v>
      </c>
      <c r="I2711" s="110" t="str">
        <f>VLOOKUP(H2711, 'RM &amp; SF'!B:H, 2, 0)</f>
        <v>صوص برجر</v>
      </c>
      <c r="J2711" s="184" t="str">
        <f>VLOOKUP(H2711, 'RM &amp; SF'!B:E, 4, 0)</f>
        <v>غم</v>
      </c>
      <c r="K2711" s="22">
        <v>100</v>
      </c>
      <c r="L2711" s="13">
        <f>VLOOKUP(H2711, 'RM &amp; SF'!B:H, 7, 0)</f>
        <v>1.8102439024390246E-3</v>
      </c>
      <c r="M2711" s="15">
        <f t="shared" si="139"/>
        <v>0.18102439024390246</v>
      </c>
      <c r="N2711" s="21" t="s">
        <v>825</v>
      </c>
      <c r="O2711" s="4">
        <f>VLOOKUP(B2711, 'All Menu'!B:L, 6, 0)</f>
        <v>14</v>
      </c>
      <c r="P2711" s="6">
        <f>VLOOKUP(B2711, 'All Menu'!B:L, 9, 0)</f>
        <v>8.3203850798990757</v>
      </c>
      <c r="Q2711" s="14">
        <f>VLOOKUP(B2711, 'All Menu'!B:M, 12, 0)</f>
        <v>0.40568678000720887</v>
      </c>
      <c r="R2711" s="173">
        <f t="shared" si="140"/>
        <v>0</v>
      </c>
    </row>
    <row r="2712" spans="1:18" ht="14" hidden="1">
      <c r="A2712" s="78" t="s">
        <v>2365</v>
      </c>
      <c r="B2712" s="220">
        <v>50037</v>
      </c>
      <c r="C2712" s="185"/>
      <c r="D2712" s="103" t="str">
        <f>VLOOKUP(B2712, 'All Menu'!B:M, 4, 0)</f>
        <v>برغر عجل بلدي</v>
      </c>
      <c r="E2712" s="30" t="str">
        <f>VLOOKUP(B2712, 'All Menu'!B:M, 2, 0)</f>
        <v>قسم الملحمة</v>
      </c>
      <c r="F2712" s="103" t="str">
        <f>VLOOKUP(B2712, 'All Menu'!B:M, 3, 0)</f>
        <v>مارنيتد</v>
      </c>
      <c r="G2712" s="90" t="s">
        <v>3058</v>
      </c>
      <c r="H2712" s="221">
        <v>5383</v>
      </c>
      <c r="I2712" s="110" t="str">
        <f>VLOOKUP(H2712, 'RM &amp; SF'!B:H, 2, 0)</f>
        <v>ورق برغر</v>
      </c>
      <c r="J2712" s="184" t="str">
        <f>VLOOKUP(H2712, 'RM &amp; SF'!B:E, 4, 0)</f>
        <v>قطعة</v>
      </c>
      <c r="K2712" s="22">
        <v>16</v>
      </c>
      <c r="L2712" s="13">
        <f>VLOOKUP(H2712, 'RM &amp; SF'!B:H, 7, 0)</f>
        <v>1.0775E-2</v>
      </c>
      <c r="M2712" s="15">
        <f t="shared" si="139"/>
        <v>0.1724</v>
      </c>
      <c r="N2712" s="21" t="s">
        <v>825</v>
      </c>
      <c r="O2712" s="4">
        <f>VLOOKUP(B2712, 'All Menu'!B:L, 6, 0)</f>
        <v>14</v>
      </c>
      <c r="P2712" s="6">
        <f>VLOOKUP(B2712, 'All Menu'!B:L, 9, 0)</f>
        <v>8.3203850798990757</v>
      </c>
      <c r="Q2712" s="14">
        <f>VLOOKUP(B2712, 'All Menu'!B:M, 12, 0)</f>
        <v>0.40568678000720887</v>
      </c>
      <c r="R2712" s="173">
        <f t="shared" si="140"/>
        <v>0</v>
      </c>
    </row>
    <row r="2713" spans="1:18" ht="14" hidden="1">
      <c r="A2713" s="78" t="s">
        <v>2365</v>
      </c>
      <c r="B2713" s="220">
        <v>50037</v>
      </c>
      <c r="C2713" s="185"/>
      <c r="D2713" s="103" t="str">
        <f>VLOOKUP(B2713, 'All Menu'!B:M, 4, 0)</f>
        <v>برغر عجل بلدي</v>
      </c>
      <c r="E2713" s="30" t="str">
        <f>VLOOKUP(B2713, 'All Menu'!B:M, 2, 0)</f>
        <v>قسم الملحمة</v>
      </c>
      <c r="F2713" s="103" t="str">
        <f>VLOOKUP(B2713, 'All Menu'!B:M, 3, 0)</f>
        <v>مارنيتد</v>
      </c>
      <c r="G2713" s="90" t="s">
        <v>3058</v>
      </c>
      <c r="H2713" s="221">
        <v>5268</v>
      </c>
      <c r="I2713" s="110" t="str">
        <f>VLOOKUP(H2713, 'RM &amp; SF'!B:H, 2, 0)</f>
        <v>صحن جامو</v>
      </c>
      <c r="J2713" s="184" t="str">
        <f>VLOOKUP(H2713, 'RM &amp; SF'!B:E, 4, 0)</f>
        <v>قطعة</v>
      </c>
      <c r="K2713" s="22">
        <v>1</v>
      </c>
      <c r="L2713" s="13">
        <f>VLOOKUP(H2713, 'RM &amp; SF'!B:H, 7, 0)</f>
        <v>4.0948275862068971E-2</v>
      </c>
      <c r="M2713" s="15">
        <f t="shared" si="139"/>
        <v>4.0948275862068971E-2</v>
      </c>
      <c r="N2713" s="21" t="s">
        <v>825</v>
      </c>
      <c r="O2713" s="4">
        <f>VLOOKUP(B2713, 'All Menu'!B:L, 6, 0)</f>
        <v>14</v>
      </c>
      <c r="P2713" s="6">
        <f>VLOOKUP(B2713, 'All Menu'!B:L, 9, 0)</f>
        <v>8.3203850798990757</v>
      </c>
      <c r="Q2713" s="14">
        <f>VLOOKUP(B2713, 'All Menu'!B:M, 12, 0)</f>
        <v>0.40568678000720887</v>
      </c>
      <c r="R2713" s="173">
        <f t="shared" si="140"/>
        <v>0</v>
      </c>
    </row>
    <row r="2714" spans="1:18" ht="14" hidden="1">
      <c r="A2714" s="78" t="s">
        <v>2365</v>
      </c>
      <c r="B2714" s="220">
        <v>50037</v>
      </c>
      <c r="C2714" s="185"/>
      <c r="D2714" s="103" t="str">
        <f>VLOOKUP(B2714, 'All Menu'!B:M, 4, 0)</f>
        <v>برغر عجل بلدي</v>
      </c>
      <c r="E2714" s="30" t="str">
        <f>VLOOKUP(B2714, 'All Menu'!B:M, 2, 0)</f>
        <v>قسم الملحمة</v>
      </c>
      <c r="F2714" s="103" t="str">
        <f>VLOOKUP(B2714, 'All Menu'!B:M, 3, 0)</f>
        <v>مارنيتد</v>
      </c>
      <c r="G2714" s="90" t="s">
        <v>3058</v>
      </c>
      <c r="H2714" s="221">
        <v>4425</v>
      </c>
      <c r="I2714" s="110" t="str">
        <f>VLOOKUP(H2714, 'RM &amp; SF'!B:H, 2, 0)</f>
        <v>ليبل المركزية دائري 5*5 سم*****</v>
      </c>
      <c r="J2714" s="184" t="str">
        <f>VLOOKUP(H2714, 'RM &amp; SF'!B:E, 4, 0)</f>
        <v>قطعة</v>
      </c>
      <c r="K2714" s="22">
        <v>8</v>
      </c>
      <c r="L2714" s="13">
        <f>VLOOKUP(H2714, 'RM &amp; SF'!B:H, 7, 0)</f>
        <v>5.7000000000000002E-3</v>
      </c>
      <c r="M2714" s="15">
        <f t="shared" si="139"/>
        <v>4.5600000000000002E-2</v>
      </c>
      <c r="N2714" s="21" t="s">
        <v>825</v>
      </c>
      <c r="O2714" s="4">
        <f>VLOOKUP(B2714, 'All Menu'!B:L, 6, 0)</f>
        <v>14</v>
      </c>
      <c r="P2714" s="6">
        <f>VLOOKUP(B2714, 'All Menu'!B:L, 9, 0)</f>
        <v>8.3203850798990757</v>
      </c>
      <c r="Q2714" s="14">
        <f>VLOOKUP(B2714, 'All Menu'!B:M, 12, 0)</f>
        <v>0.40568678000720887</v>
      </c>
      <c r="R2714" s="173">
        <f t="shared" si="140"/>
        <v>0</v>
      </c>
    </row>
    <row r="2715" spans="1:18" ht="14" hidden="1">
      <c r="A2715" s="78" t="s">
        <v>2365</v>
      </c>
      <c r="B2715" s="220">
        <v>50037</v>
      </c>
      <c r="C2715" s="185"/>
      <c r="D2715" s="103" t="str">
        <f>VLOOKUP(B2715, 'All Menu'!B:M, 4, 0)</f>
        <v>برغر عجل بلدي</v>
      </c>
      <c r="E2715" s="30" t="str">
        <f>VLOOKUP(B2715, 'All Menu'!B:M, 2, 0)</f>
        <v>قسم الملحمة</v>
      </c>
      <c r="F2715" s="103" t="str">
        <f>VLOOKUP(B2715, 'All Menu'!B:M, 3, 0)</f>
        <v>مارنيتد</v>
      </c>
      <c r="G2715" s="90" t="s">
        <v>2193</v>
      </c>
      <c r="H2715" s="221">
        <v>4309</v>
      </c>
      <c r="I2715" s="110" t="str">
        <f>VLOOKUP(H2715, 'RM &amp; SF'!B:H, 2, 0)</f>
        <v>اكياس بلاستيك مطبوع 55 سم*****</v>
      </c>
      <c r="J2715" s="184" t="str">
        <f>VLOOKUP(H2715, 'RM &amp; SF'!B:E, 4, 0)</f>
        <v>قطعة</v>
      </c>
      <c r="K2715" s="22">
        <v>1</v>
      </c>
      <c r="L2715" s="13">
        <f>VLOOKUP(H2715, 'RM &amp; SF'!B:H, 7, 0)</f>
        <v>5.5172413793103454E-2</v>
      </c>
      <c r="M2715" s="15">
        <f t="shared" si="139"/>
        <v>5.5172413793103454E-2</v>
      </c>
      <c r="N2715" s="21" t="s">
        <v>825</v>
      </c>
      <c r="O2715" s="4">
        <f>VLOOKUP(B2715, 'All Menu'!B:L, 6, 0)</f>
        <v>14</v>
      </c>
      <c r="P2715" s="6">
        <f>VLOOKUP(B2715, 'All Menu'!B:L, 9, 0)</f>
        <v>8.3203850798990757</v>
      </c>
      <c r="Q2715" s="14">
        <f>VLOOKUP(B2715, 'All Menu'!B:M, 12, 0)</f>
        <v>0.40568678000720887</v>
      </c>
      <c r="R2715" s="173">
        <f t="shared" si="140"/>
        <v>0</v>
      </c>
    </row>
    <row r="2716" spans="1:18" ht="14" hidden="1">
      <c r="A2716" s="78" t="s">
        <v>2882</v>
      </c>
      <c r="B2716" s="220">
        <v>60033</v>
      </c>
      <c r="C2716" s="185"/>
      <c r="D2716" s="103" t="str">
        <f>VLOOKUP(B2716, 'All Menu'!B:M, 4, 0)</f>
        <v>معلاق و سقط مشكوك</v>
      </c>
      <c r="E2716" s="30" t="str">
        <f>VLOOKUP(B2716, 'All Menu'!B:M, 2, 0)</f>
        <v>قسم الملحمة</v>
      </c>
      <c r="F2716" s="103" t="str">
        <f>VLOOKUP(B2716, 'All Menu'!B:M, 3, 0)</f>
        <v>لحوم مشكوكة</v>
      </c>
      <c r="G2716" s="90" t="s">
        <v>3058</v>
      </c>
      <c r="H2716" s="221">
        <v>5318</v>
      </c>
      <c r="I2716" s="110" t="str">
        <f>VLOOKUP(H2716, 'RM &amp; SF'!B:H, 2, 0)</f>
        <v>معلاق</v>
      </c>
      <c r="J2716" s="184" t="str">
        <f>VLOOKUP(H2716, 'RM &amp; SF'!B:E, 4, 0)</f>
        <v>قطعة</v>
      </c>
      <c r="K2716" s="22">
        <v>1</v>
      </c>
      <c r="L2716" s="13">
        <f>VLOOKUP(H2716, 'RM &amp; SF'!B:H, 7, 0)</f>
        <v>4.5</v>
      </c>
      <c r="M2716" s="15">
        <f t="shared" si="139"/>
        <v>4.5</v>
      </c>
      <c r="N2716" s="21" t="s">
        <v>825</v>
      </c>
      <c r="O2716" s="4">
        <f>VLOOKUP(B2716, 'All Menu'!B:L, 6, 0)</f>
        <v>14</v>
      </c>
      <c r="P2716" s="6">
        <f>VLOOKUP(B2716, 'All Menu'!B:L, 9, 0)</f>
        <v>5.7961459229208927</v>
      </c>
      <c r="Q2716" s="14">
        <f>VLOOKUP(B2716, 'All Menu'!B:M, 12, 0)</f>
        <v>0.58598957693422193</v>
      </c>
      <c r="R2716" s="173">
        <f t="shared" si="140"/>
        <v>0</v>
      </c>
    </row>
    <row r="2717" spans="1:18" ht="14" hidden="1">
      <c r="A2717" s="78" t="s">
        <v>2882</v>
      </c>
      <c r="B2717" s="220">
        <v>60033</v>
      </c>
      <c r="C2717" s="185"/>
      <c r="D2717" s="103" t="str">
        <f>VLOOKUP(B2717, 'All Menu'!B:M, 4, 0)</f>
        <v>معلاق و سقط مشكوك</v>
      </c>
      <c r="E2717" s="30" t="str">
        <f>VLOOKUP(B2717, 'All Menu'!B:M, 2, 0)</f>
        <v>قسم الملحمة</v>
      </c>
      <c r="F2717" s="103" t="str">
        <f>VLOOKUP(B2717, 'All Menu'!B:M, 3, 0)</f>
        <v>لحوم مشكوكة</v>
      </c>
      <c r="G2717" s="90" t="s">
        <v>2234</v>
      </c>
      <c r="H2717" s="221">
        <v>4503</v>
      </c>
      <c r="I2717" s="110" t="str">
        <f>VLOOKUP(H2717, 'RM &amp; SF'!B:H, 2, 0)</f>
        <v>بصل ناشف دفش*****</v>
      </c>
      <c r="J2717" s="184" t="str">
        <f>VLOOKUP(H2717, 'RM &amp; SF'!B:E, 4, 0)</f>
        <v>غم</v>
      </c>
      <c r="K2717" s="22">
        <v>150</v>
      </c>
      <c r="L2717" s="13">
        <f>VLOOKUP(H2717, 'RM &amp; SF'!B:H, 7, 0)</f>
        <v>2.5000000000000001E-4</v>
      </c>
      <c r="M2717" s="15">
        <f t="shared" si="139"/>
        <v>3.7499999999999999E-2</v>
      </c>
      <c r="N2717" s="21" t="s">
        <v>825</v>
      </c>
      <c r="O2717" s="4">
        <f>VLOOKUP(B2717, 'All Menu'!B:L, 6, 0)</f>
        <v>14</v>
      </c>
      <c r="P2717" s="6">
        <f>VLOOKUP(B2717, 'All Menu'!B:L, 9, 0)</f>
        <v>5.7961459229208927</v>
      </c>
      <c r="Q2717" s="14">
        <f>VLOOKUP(B2717, 'All Menu'!B:M, 12, 0)</f>
        <v>0.58598957693422193</v>
      </c>
      <c r="R2717" s="173">
        <f t="shared" si="140"/>
        <v>0</v>
      </c>
    </row>
    <row r="2718" spans="1:18" ht="14" hidden="1">
      <c r="A2718" s="78" t="s">
        <v>2882</v>
      </c>
      <c r="B2718" s="220">
        <v>60033</v>
      </c>
      <c r="C2718" s="185"/>
      <c r="D2718" s="103" t="str">
        <f>VLOOKUP(B2718, 'All Menu'!B:M, 4, 0)</f>
        <v>معلاق و سقط مشكوك</v>
      </c>
      <c r="E2718" s="30" t="str">
        <f>VLOOKUP(B2718, 'All Menu'!B:M, 2, 0)</f>
        <v>قسم الملحمة</v>
      </c>
      <c r="F2718" s="103" t="str">
        <f>VLOOKUP(B2718, 'All Menu'!B:M, 3, 0)</f>
        <v>لحوم مشكوكة</v>
      </c>
      <c r="G2718" s="90" t="s">
        <v>2309</v>
      </c>
      <c r="H2718" s="221">
        <v>4491</v>
      </c>
      <c r="I2718" s="110" t="str">
        <f>VLOOKUP(H2718, 'RM &amp; SF'!B:H, 2, 0)</f>
        <v>بندورة جامدة*****</v>
      </c>
      <c r="J2718" s="184" t="str">
        <f>VLOOKUP(H2718, 'RM &amp; SF'!B:E, 4, 0)</f>
        <v>غم</v>
      </c>
      <c r="K2718" s="22">
        <v>150</v>
      </c>
      <c r="L2718" s="13">
        <f>VLOOKUP(H2718, 'RM &amp; SF'!B:H, 7, 0)</f>
        <v>5.0000000000000001E-4</v>
      </c>
      <c r="M2718" s="15">
        <f t="shared" si="139"/>
        <v>7.4999999999999997E-2</v>
      </c>
      <c r="N2718" s="21" t="s">
        <v>825</v>
      </c>
      <c r="O2718" s="4">
        <f>VLOOKUP(B2718, 'All Menu'!B:L, 6, 0)</f>
        <v>14</v>
      </c>
      <c r="P2718" s="6">
        <f>VLOOKUP(B2718, 'All Menu'!B:L, 9, 0)</f>
        <v>5.7961459229208927</v>
      </c>
      <c r="Q2718" s="14">
        <f>VLOOKUP(B2718, 'All Menu'!B:M, 12, 0)</f>
        <v>0.58598957693422193</v>
      </c>
      <c r="R2718" s="173">
        <f t="shared" si="140"/>
        <v>0</v>
      </c>
    </row>
    <row r="2719" spans="1:18" ht="14" hidden="1">
      <c r="A2719" s="78" t="s">
        <v>2882</v>
      </c>
      <c r="B2719" s="220">
        <v>60033</v>
      </c>
      <c r="C2719" s="185"/>
      <c r="D2719" s="103" t="str">
        <f>VLOOKUP(B2719, 'All Menu'!B:M, 4, 0)</f>
        <v>معلاق و سقط مشكوك</v>
      </c>
      <c r="E2719" s="30" t="str">
        <f>VLOOKUP(B2719, 'All Menu'!B:M, 2, 0)</f>
        <v>قسم الملحمة</v>
      </c>
      <c r="F2719" s="103" t="str">
        <f>VLOOKUP(B2719, 'All Menu'!B:M, 3, 0)</f>
        <v>لحوم مشكوكة</v>
      </c>
      <c r="G2719" s="90" t="s">
        <v>2201</v>
      </c>
      <c r="H2719" s="221">
        <v>4412</v>
      </c>
      <c r="I2719" s="110" t="str">
        <f>VLOOKUP(H2719, 'RM &amp; SF'!B:H, 2, 0)</f>
        <v>اسياخ شوي رفيع سفري 1*100 حبة*****</v>
      </c>
      <c r="J2719" s="184" t="str">
        <f>VLOOKUP(H2719, 'RM &amp; SF'!B:E, 4, 0)</f>
        <v>قطعة</v>
      </c>
      <c r="K2719" s="22">
        <v>14</v>
      </c>
      <c r="L2719" s="13">
        <f>VLOOKUP(H2719, 'RM &amp; SF'!B:H, 7, 0)</f>
        <v>6.8970000000000004E-2</v>
      </c>
      <c r="M2719" s="15">
        <f t="shared" si="139"/>
        <v>0.9655800000000001</v>
      </c>
      <c r="N2719" s="21" t="s">
        <v>825</v>
      </c>
      <c r="O2719" s="4">
        <f>VLOOKUP(B2719, 'All Menu'!B:L, 6, 0)</f>
        <v>14</v>
      </c>
      <c r="P2719" s="6">
        <f>VLOOKUP(B2719, 'All Menu'!B:L, 9, 0)</f>
        <v>5.7961459229208927</v>
      </c>
      <c r="Q2719" s="14">
        <f>VLOOKUP(B2719, 'All Menu'!B:M, 12, 0)</f>
        <v>0.58598957693422193</v>
      </c>
      <c r="R2719" s="173">
        <f t="shared" si="140"/>
        <v>0</v>
      </c>
    </row>
    <row r="2720" spans="1:18" ht="14" hidden="1">
      <c r="A2720" s="78" t="s">
        <v>2882</v>
      </c>
      <c r="B2720" s="220">
        <v>60033</v>
      </c>
      <c r="C2720" s="185"/>
      <c r="D2720" s="103" t="str">
        <f>VLOOKUP(B2720, 'All Menu'!B:M, 4, 0)</f>
        <v>معلاق و سقط مشكوك</v>
      </c>
      <c r="E2720" s="30" t="str">
        <f>VLOOKUP(B2720, 'All Menu'!B:M, 2, 0)</f>
        <v>قسم الملحمة</v>
      </c>
      <c r="F2720" s="103" t="str">
        <f>VLOOKUP(B2720, 'All Menu'!B:M, 3, 0)</f>
        <v>لحوم مشكوكة</v>
      </c>
      <c r="G2720" s="90" t="s">
        <v>3058</v>
      </c>
      <c r="H2720" s="221">
        <v>4806</v>
      </c>
      <c r="I2720" s="110" t="str">
        <f>VLOOKUP(H2720, 'RM &amp; SF'!B:H, 2, 0)</f>
        <v>بوكس مشاوي كرتون (بوكس الرحلة) 38*26*5 سم 1*25 حبة*****</v>
      </c>
      <c r="J2720" s="184" t="str">
        <f>VLOOKUP(H2720, 'RM &amp; SF'!B:E, 4, 0)</f>
        <v>قطعة</v>
      </c>
      <c r="K2720" s="22">
        <v>1</v>
      </c>
      <c r="L2720" s="13">
        <f>VLOOKUP(H2720, 'RM &amp; SF'!B:H, 7, 0)</f>
        <v>0.218</v>
      </c>
      <c r="M2720" s="15">
        <f t="shared" si="139"/>
        <v>0.218</v>
      </c>
      <c r="N2720" s="21" t="s">
        <v>825</v>
      </c>
      <c r="O2720" s="4">
        <f>VLOOKUP(B2720, 'All Menu'!B:L, 6, 0)</f>
        <v>14</v>
      </c>
      <c r="P2720" s="6">
        <f>VLOOKUP(B2720, 'All Menu'!B:L, 9, 0)</f>
        <v>5.7961459229208927</v>
      </c>
      <c r="Q2720" s="14">
        <f>VLOOKUP(B2720, 'All Menu'!B:M, 12, 0)</f>
        <v>0.58598957693422193</v>
      </c>
      <c r="R2720" s="173">
        <f t="shared" si="140"/>
        <v>0</v>
      </c>
    </row>
    <row r="2721" spans="1:18" ht="14" hidden="1">
      <c r="A2721" s="78" t="s">
        <v>2882</v>
      </c>
      <c r="B2721" s="220">
        <v>60033</v>
      </c>
      <c r="C2721" s="185"/>
      <c r="D2721" s="103" t="str">
        <f>VLOOKUP(B2721, 'All Menu'!B:M, 4, 0)</f>
        <v>معلاق و سقط مشكوك</v>
      </c>
      <c r="E2721" s="30" t="str">
        <f>VLOOKUP(B2721, 'All Menu'!B:M, 2, 0)</f>
        <v>قسم الملحمة</v>
      </c>
      <c r="F2721" s="103" t="str">
        <f>VLOOKUP(B2721, 'All Menu'!B:M, 3, 0)</f>
        <v>لحوم مشكوكة</v>
      </c>
      <c r="G2721" s="90" t="s">
        <v>3058</v>
      </c>
      <c r="H2721" s="221">
        <v>5382</v>
      </c>
      <c r="I2721" s="110" t="str">
        <f>VLOOKUP(H2721, 'RM &amp; SF'!B:H, 2, 0)</f>
        <v>ورق زبدة</v>
      </c>
      <c r="J2721" s="184" t="str">
        <f>VLOOKUP(H2721, 'RM &amp; SF'!B:E, 4, 0)</f>
        <v>غم</v>
      </c>
      <c r="K2721" s="12">
        <v>0.02</v>
      </c>
      <c r="L2721" s="13">
        <f>VLOOKUP(H2721, 'RM &amp; SF'!B:H, 7, 0)</f>
        <v>3.2961460446247468E-3</v>
      </c>
      <c r="M2721" s="15">
        <f t="shared" si="139"/>
        <v>6.5922920892494934E-5</v>
      </c>
      <c r="N2721" s="21" t="s">
        <v>825</v>
      </c>
      <c r="O2721" s="4">
        <f>VLOOKUP(B2721, 'All Menu'!B:L, 6, 0)</f>
        <v>14</v>
      </c>
      <c r="P2721" s="6">
        <f>VLOOKUP(B2721, 'All Menu'!B:L, 9, 0)</f>
        <v>5.7961459229208927</v>
      </c>
      <c r="Q2721" s="14">
        <f>VLOOKUP(B2721, 'All Menu'!B:M, 12, 0)</f>
        <v>0.58598957693422193</v>
      </c>
      <c r="R2721" s="173">
        <f t="shared" si="140"/>
        <v>0</v>
      </c>
    </row>
    <row r="2722" spans="1:18" ht="14" hidden="1">
      <c r="A2722" s="78" t="s">
        <v>2884</v>
      </c>
      <c r="B2722" s="220">
        <v>60035</v>
      </c>
      <c r="C2722" s="185"/>
      <c r="D2722" s="103" t="str">
        <f>VLOOKUP(B2722, 'All Menu'!B:M, 4, 0)</f>
        <v>جناح مشكوك</v>
      </c>
      <c r="E2722" s="30" t="str">
        <f>VLOOKUP(B2722, 'All Menu'!B:M, 2, 0)</f>
        <v>قسم الملحمة</v>
      </c>
      <c r="F2722" s="103" t="str">
        <f>VLOOKUP(B2722, 'All Menu'!B:M, 3, 0)</f>
        <v>لحوم مشكوكة</v>
      </c>
      <c r="G2722" s="90" t="s">
        <v>2311</v>
      </c>
      <c r="H2722" s="221">
        <v>4583</v>
      </c>
      <c r="I2722" s="110" t="str">
        <f>VLOOKUP(H2722, 'RM &amp; SF'!B:H, 2, 0)</f>
        <v>اجنحة دجاج طازجة دلمونتي*****</v>
      </c>
      <c r="J2722" s="184" t="str">
        <f>VLOOKUP(H2722, 'RM &amp; SF'!B:E, 4, 0)</f>
        <v>غم</v>
      </c>
      <c r="K2722" s="22">
        <v>1000</v>
      </c>
      <c r="L2722" s="13">
        <f>VLOOKUP(H2722, 'RM &amp; SF'!B:H, 7, 0)</f>
        <v>1.8E-3</v>
      </c>
      <c r="M2722" s="15">
        <f t="shared" si="139"/>
        <v>1.8</v>
      </c>
      <c r="N2722" s="21" t="s">
        <v>825</v>
      </c>
      <c r="O2722" s="4">
        <f>VLOOKUP(B2722, 'All Menu'!B:L, 6, 0)</f>
        <v>8</v>
      </c>
      <c r="P2722" s="6">
        <f>VLOOKUP(B2722, 'All Menu'!B:L, 9, 0)</f>
        <v>3.3015919400000002</v>
      </c>
      <c r="Q2722" s="14">
        <f>VLOOKUP(B2722, 'All Menu'!B:M, 12, 0)</f>
        <v>0.58730100750000003</v>
      </c>
      <c r="R2722" s="173">
        <f t="shared" si="140"/>
        <v>0</v>
      </c>
    </row>
    <row r="2723" spans="1:18" ht="14" hidden="1">
      <c r="A2723" s="78" t="s">
        <v>2884</v>
      </c>
      <c r="B2723" s="220">
        <v>60035</v>
      </c>
      <c r="C2723" s="185"/>
      <c r="D2723" s="103" t="str">
        <f>VLOOKUP(B2723, 'All Menu'!B:M, 4, 0)</f>
        <v>جناح مشكوك</v>
      </c>
      <c r="E2723" s="30" t="str">
        <f>VLOOKUP(B2723, 'All Menu'!B:M, 2, 0)</f>
        <v>قسم الملحمة</v>
      </c>
      <c r="F2723" s="103" t="str">
        <f>VLOOKUP(B2723, 'All Menu'!B:M, 3, 0)</f>
        <v>لحوم مشكوكة</v>
      </c>
      <c r="G2723" s="90" t="s">
        <v>2234</v>
      </c>
      <c r="H2723" s="221">
        <v>4503</v>
      </c>
      <c r="I2723" s="110" t="str">
        <f>VLOOKUP(H2723, 'RM &amp; SF'!B:H, 2, 0)</f>
        <v>بصل ناشف دفش*****</v>
      </c>
      <c r="J2723" s="184" t="str">
        <f>VLOOKUP(H2723, 'RM &amp; SF'!B:E, 4, 0)</f>
        <v>غم</v>
      </c>
      <c r="K2723" s="22">
        <v>150</v>
      </c>
      <c r="L2723" s="13">
        <f>VLOOKUP(H2723, 'RM &amp; SF'!B:H, 7, 0)</f>
        <v>2.5000000000000001E-4</v>
      </c>
      <c r="M2723" s="15">
        <f t="shared" si="139"/>
        <v>3.7499999999999999E-2</v>
      </c>
      <c r="N2723" s="21" t="s">
        <v>825</v>
      </c>
      <c r="O2723" s="4">
        <f>VLOOKUP(B2723, 'All Menu'!B:L, 6, 0)</f>
        <v>8</v>
      </c>
      <c r="P2723" s="6">
        <f>VLOOKUP(B2723, 'All Menu'!B:L, 9, 0)</f>
        <v>3.3015919400000002</v>
      </c>
      <c r="Q2723" s="14">
        <f>VLOOKUP(B2723, 'All Menu'!B:M, 12, 0)</f>
        <v>0.58730100750000003</v>
      </c>
      <c r="R2723" s="173">
        <f t="shared" si="140"/>
        <v>0</v>
      </c>
    </row>
    <row r="2724" spans="1:18" ht="14" hidden="1">
      <c r="A2724" s="78" t="s">
        <v>2884</v>
      </c>
      <c r="B2724" s="220">
        <v>60035</v>
      </c>
      <c r="C2724" s="185"/>
      <c r="D2724" s="103" t="str">
        <f>VLOOKUP(B2724, 'All Menu'!B:M, 4, 0)</f>
        <v>جناح مشكوك</v>
      </c>
      <c r="E2724" s="30" t="str">
        <f>VLOOKUP(B2724, 'All Menu'!B:M, 2, 0)</f>
        <v>قسم الملحمة</v>
      </c>
      <c r="F2724" s="103" t="str">
        <f>VLOOKUP(B2724, 'All Menu'!B:M, 3, 0)</f>
        <v>لحوم مشكوكة</v>
      </c>
      <c r="G2724" s="90" t="s">
        <v>2309</v>
      </c>
      <c r="H2724" s="221">
        <v>4491</v>
      </c>
      <c r="I2724" s="110" t="str">
        <f>VLOOKUP(H2724, 'RM &amp; SF'!B:H, 2, 0)</f>
        <v>بندورة جامدة*****</v>
      </c>
      <c r="J2724" s="184" t="str">
        <f>VLOOKUP(H2724, 'RM &amp; SF'!B:E, 4, 0)</f>
        <v>غم</v>
      </c>
      <c r="K2724" s="22">
        <v>150</v>
      </c>
      <c r="L2724" s="13">
        <f>VLOOKUP(H2724, 'RM &amp; SF'!B:H, 7, 0)</f>
        <v>5.0000000000000001E-4</v>
      </c>
      <c r="M2724" s="15">
        <f t="shared" si="139"/>
        <v>7.4999999999999997E-2</v>
      </c>
      <c r="N2724" s="21" t="s">
        <v>825</v>
      </c>
      <c r="O2724" s="4">
        <f>VLOOKUP(B2724, 'All Menu'!B:L, 6, 0)</f>
        <v>8</v>
      </c>
      <c r="P2724" s="6">
        <f>VLOOKUP(B2724, 'All Menu'!B:L, 9, 0)</f>
        <v>3.3015919400000002</v>
      </c>
      <c r="Q2724" s="14">
        <f>VLOOKUP(B2724, 'All Menu'!B:M, 12, 0)</f>
        <v>0.58730100750000003</v>
      </c>
      <c r="R2724" s="173">
        <f t="shared" si="140"/>
        <v>0</v>
      </c>
    </row>
    <row r="2725" spans="1:18" ht="14" hidden="1">
      <c r="A2725" s="78" t="s">
        <v>2884</v>
      </c>
      <c r="B2725" s="220">
        <v>60035</v>
      </c>
      <c r="C2725" s="185"/>
      <c r="D2725" s="103" t="str">
        <f>VLOOKUP(B2725, 'All Menu'!B:M, 4, 0)</f>
        <v>جناح مشكوك</v>
      </c>
      <c r="E2725" s="30" t="str">
        <f>VLOOKUP(B2725, 'All Menu'!B:M, 2, 0)</f>
        <v>قسم الملحمة</v>
      </c>
      <c r="F2725" s="103" t="str">
        <f>VLOOKUP(B2725, 'All Menu'!B:M, 3, 0)</f>
        <v>لحوم مشكوكة</v>
      </c>
      <c r="G2725" s="90" t="s">
        <v>3058</v>
      </c>
      <c r="H2725" s="221">
        <v>5391</v>
      </c>
      <c r="I2725" s="110" t="str">
        <f>VLOOKUP(H2725, 'RM &amp; SF'!B:H, 2, 0)</f>
        <v>شبك شوي سفري</v>
      </c>
      <c r="J2725" s="184" t="str">
        <f>VLOOKUP(H2725, 'RM &amp; SF'!B:E, 4, 0)</f>
        <v>قطعة</v>
      </c>
      <c r="K2725" s="22">
        <v>1</v>
      </c>
      <c r="L2725" s="13">
        <f>VLOOKUP(H2725, 'RM &amp; SF'!B:H, 7, 0)</f>
        <v>1.167</v>
      </c>
      <c r="M2725" s="15">
        <f t="shared" si="139"/>
        <v>1.167</v>
      </c>
      <c r="N2725" s="21" t="s">
        <v>825</v>
      </c>
      <c r="O2725" s="4">
        <f>VLOOKUP(B2725, 'All Menu'!B:L, 6, 0)</f>
        <v>8</v>
      </c>
      <c r="P2725" s="6">
        <f>VLOOKUP(B2725, 'All Menu'!B:L, 9, 0)</f>
        <v>3.3015919400000002</v>
      </c>
      <c r="Q2725" s="14">
        <f>VLOOKUP(B2725, 'All Menu'!B:M, 12, 0)</f>
        <v>0.58730100750000003</v>
      </c>
      <c r="R2725" s="173">
        <f t="shared" si="140"/>
        <v>0</v>
      </c>
    </row>
    <row r="2726" spans="1:18" ht="14" hidden="1">
      <c r="A2726" s="78" t="s">
        <v>2884</v>
      </c>
      <c r="B2726" s="220">
        <v>60035</v>
      </c>
      <c r="C2726" s="185"/>
      <c r="D2726" s="103" t="str">
        <f>VLOOKUP(B2726, 'All Menu'!B:M, 4, 0)</f>
        <v>جناح مشكوك</v>
      </c>
      <c r="E2726" s="30" t="str">
        <f>VLOOKUP(B2726, 'All Menu'!B:M, 2, 0)</f>
        <v>قسم الملحمة</v>
      </c>
      <c r="F2726" s="103" t="str">
        <f>VLOOKUP(B2726, 'All Menu'!B:M, 3, 0)</f>
        <v>لحوم مشكوكة</v>
      </c>
      <c r="G2726" s="90" t="s">
        <v>2201</v>
      </c>
      <c r="H2726" s="221">
        <v>4412</v>
      </c>
      <c r="I2726" s="110" t="str">
        <f>VLOOKUP(H2726, 'RM &amp; SF'!B:H, 2, 0)</f>
        <v>اسياخ شوي رفيع سفري 1*100 حبة*****</v>
      </c>
      <c r="J2726" s="184" t="str">
        <f>VLOOKUP(H2726, 'RM &amp; SF'!B:E, 4, 0)</f>
        <v>قطعة</v>
      </c>
      <c r="K2726" s="22">
        <v>2</v>
      </c>
      <c r="L2726" s="13">
        <f>VLOOKUP(H2726, 'RM &amp; SF'!B:H, 7, 0)</f>
        <v>6.8970000000000004E-2</v>
      </c>
      <c r="M2726" s="15">
        <f t="shared" si="139"/>
        <v>0.13794000000000001</v>
      </c>
      <c r="N2726" s="21" t="s">
        <v>825</v>
      </c>
      <c r="O2726" s="4">
        <f>VLOOKUP(B2726, 'All Menu'!B:L, 6, 0)</f>
        <v>8</v>
      </c>
      <c r="P2726" s="6">
        <f>VLOOKUP(B2726, 'All Menu'!B:L, 9, 0)</f>
        <v>3.3015919400000002</v>
      </c>
      <c r="Q2726" s="14">
        <f>VLOOKUP(B2726, 'All Menu'!B:M, 12, 0)</f>
        <v>0.58730100750000003</v>
      </c>
      <c r="R2726" s="173">
        <f t="shared" si="140"/>
        <v>0</v>
      </c>
    </row>
    <row r="2727" spans="1:18" ht="14" hidden="1">
      <c r="A2727" s="78" t="s">
        <v>2884</v>
      </c>
      <c r="B2727" s="220">
        <v>60035</v>
      </c>
      <c r="C2727" s="185"/>
      <c r="D2727" s="103" t="str">
        <f>VLOOKUP(B2727, 'All Menu'!B:M, 4, 0)</f>
        <v>جناح مشكوك</v>
      </c>
      <c r="E2727" s="30" t="str">
        <f>VLOOKUP(B2727, 'All Menu'!B:M, 2, 0)</f>
        <v>قسم الملحمة</v>
      </c>
      <c r="F2727" s="103" t="str">
        <f>VLOOKUP(B2727, 'All Menu'!B:M, 3, 0)</f>
        <v>لحوم مشكوكة</v>
      </c>
      <c r="G2727" s="90" t="s">
        <v>2194</v>
      </c>
      <c r="H2727" s="221">
        <v>4323</v>
      </c>
      <c r="I2727" s="110" t="str">
        <f>VLOOKUP(H2727, 'RM &amp; SF'!B:H, 2, 0)</f>
        <v>قصدير رول 45 سم*2كغ*****</v>
      </c>
      <c r="J2727" s="184" t="str">
        <f>VLOOKUP(H2727, 'RM &amp; SF'!B:E, 4, 0)</f>
        <v>غم</v>
      </c>
      <c r="K2727" s="12">
        <v>0.06</v>
      </c>
      <c r="L2727" s="13">
        <f>VLOOKUP(H2727, 'RM &amp; SF'!B:H, 7, 0)</f>
        <v>1.7240000000000001E-3</v>
      </c>
      <c r="M2727" s="15">
        <f t="shared" si="139"/>
        <v>1.0344E-4</v>
      </c>
      <c r="N2727" s="21" t="s">
        <v>825</v>
      </c>
      <c r="O2727" s="4">
        <f>VLOOKUP(B2727, 'All Menu'!B:L, 6, 0)</f>
        <v>8</v>
      </c>
      <c r="P2727" s="6">
        <f>VLOOKUP(B2727, 'All Menu'!B:L, 9, 0)</f>
        <v>3.3015919400000002</v>
      </c>
      <c r="Q2727" s="14">
        <f>VLOOKUP(B2727, 'All Menu'!B:M, 12, 0)</f>
        <v>0.58730100750000003</v>
      </c>
      <c r="R2727" s="173">
        <f t="shared" si="140"/>
        <v>0</v>
      </c>
    </row>
    <row r="2728" spans="1:18" ht="14" hidden="1">
      <c r="A2728" s="78" t="s">
        <v>2884</v>
      </c>
      <c r="B2728" s="220">
        <v>60035</v>
      </c>
      <c r="C2728" s="185"/>
      <c r="D2728" s="103" t="str">
        <f>VLOOKUP(B2728, 'All Menu'!B:M, 4, 0)</f>
        <v>جناح مشكوك</v>
      </c>
      <c r="E2728" s="30" t="str">
        <f>VLOOKUP(B2728, 'All Menu'!B:M, 2, 0)</f>
        <v>قسم الملحمة</v>
      </c>
      <c r="F2728" s="103" t="str">
        <f>VLOOKUP(B2728, 'All Menu'!B:M, 3, 0)</f>
        <v>لحوم مشكوكة</v>
      </c>
      <c r="G2728" s="90" t="s">
        <v>3058</v>
      </c>
      <c r="H2728" s="221">
        <v>5274</v>
      </c>
      <c r="I2728" s="110" t="str">
        <f>VLOOKUP(H2728, 'RM &amp; SF'!B:H, 2, 0)</f>
        <v>نايلون للتغليف رول (رول جيلاتين) 45 سم*4 كغ*****</v>
      </c>
      <c r="J2728" s="184" t="str">
        <f>VLOOKUP(H2728, 'RM &amp; SF'!B:E, 4, 0)</f>
        <v>غم</v>
      </c>
      <c r="K2728" s="22">
        <v>20</v>
      </c>
      <c r="L2728" s="13">
        <f>VLOOKUP(H2728, 'RM &amp; SF'!B:H, 7, 0)</f>
        <v>2.0474249999999999E-3</v>
      </c>
      <c r="M2728" s="15">
        <f t="shared" si="139"/>
        <v>4.0948499999999999E-2</v>
      </c>
      <c r="N2728" s="21" t="s">
        <v>825</v>
      </c>
      <c r="O2728" s="4">
        <f>VLOOKUP(B2728, 'All Menu'!B:L, 6, 0)</f>
        <v>8</v>
      </c>
      <c r="P2728" s="6">
        <f>VLOOKUP(B2728, 'All Menu'!B:L, 9, 0)</f>
        <v>3.3015919400000002</v>
      </c>
      <c r="Q2728" s="14">
        <f>VLOOKUP(B2728, 'All Menu'!B:M, 12, 0)</f>
        <v>0.58730100750000003</v>
      </c>
      <c r="R2728" s="173">
        <f t="shared" si="140"/>
        <v>0</v>
      </c>
    </row>
    <row r="2729" spans="1:18" ht="14" hidden="1">
      <c r="A2729" s="78" t="s">
        <v>2884</v>
      </c>
      <c r="B2729" s="220">
        <v>60035</v>
      </c>
      <c r="C2729" s="185"/>
      <c r="D2729" s="103" t="str">
        <f>VLOOKUP(B2729, 'All Menu'!B:M, 4, 0)</f>
        <v>جناح مشكوك</v>
      </c>
      <c r="E2729" s="30" t="str">
        <f>VLOOKUP(B2729, 'All Menu'!B:M, 2, 0)</f>
        <v>قسم الملحمة</v>
      </c>
      <c r="F2729" s="103" t="str">
        <f>VLOOKUP(B2729, 'All Menu'!B:M, 3, 0)</f>
        <v>لحوم مشكوكة</v>
      </c>
      <c r="G2729" s="90" t="s">
        <v>3058</v>
      </c>
      <c r="H2729" s="221">
        <v>5300</v>
      </c>
      <c r="I2729" s="110" t="str">
        <f>VLOOKUP(H2729, 'RM &amp; SF'!B:H, 2, 0)</f>
        <v>صحن فلين اسود مخرم T2*****</v>
      </c>
      <c r="J2729" s="184" t="str">
        <f>VLOOKUP(H2729, 'RM &amp; SF'!B:E, 4, 0)</f>
        <v>قطعة</v>
      </c>
      <c r="K2729" s="22">
        <v>1</v>
      </c>
      <c r="L2729" s="13">
        <f>VLOOKUP(H2729, 'RM &amp; SF'!B:H, 7, 0)</f>
        <v>4.3099999999999999E-2</v>
      </c>
      <c r="M2729" s="15">
        <f t="shared" si="139"/>
        <v>4.3099999999999999E-2</v>
      </c>
      <c r="N2729" s="21" t="s">
        <v>825</v>
      </c>
      <c r="O2729" s="4">
        <f>VLOOKUP(B2729, 'All Menu'!B:L, 6, 0)</f>
        <v>8</v>
      </c>
      <c r="P2729" s="6">
        <f>VLOOKUP(B2729, 'All Menu'!B:L, 9, 0)</f>
        <v>3.3015919400000002</v>
      </c>
      <c r="Q2729" s="14">
        <f>VLOOKUP(B2729, 'All Menu'!B:M, 12, 0)</f>
        <v>0.58730100750000003</v>
      </c>
      <c r="R2729" s="173">
        <f t="shared" si="140"/>
        <v>0</v>
      </c>
    </row>
    <row r="2730" spans="1:18" ht="14" hidden="1">
      <c r="A2730" s="78" t="s">
        <v>3143</v>
      </c>
      <c r="B2730" s="220">
        <v>60039</v>
      </c>
      <c r="C2730" s="185"/>
      <c r="D2730" s="103" t="str">
        <f>VLOOKUP(B2730, 'All Menu'!B:M, 4, 0)</f>
        <v>كفتة عجل</v>
      </c>
      <c r="E2730" s="30" t="str">
        <f>VLOOKUP(B2730, 'All Menu'!B:M, 2, 0)</f>
        <v>قسم الملحمة</v>
      </c>
      <c r="F2730" s="103" t="str">
        <f>VLOOKUP(B2730, 'All Menu'!B:M, 3, 0)</f>
        <v>لحوم بلدية</v>
      </c>
      <c r="G2730" s="90" t="s">
        <v>3058</v>
      </c>
      <c r="H2730" s="221">
        <v>5373</v>
      </c>
      <c r="I2730" s="110" t="str">
        <f>VLOOKUP(H2730, 'RM &amp; SF'!B:H, 2, 0)</f>
        <v>قطعيات عجل مشكلة</v>
      </c>
      <c r="J2730" s="184" t="str">
        <f>VLOOKUP(H2730, 'RM &amp; SF'!B:E, 4, 0)</f>
        <v>غم</v>
      </c>
      <c r="K2730" s="22">
        <v>1000</v>
      </c>
      <c r="L2730" s="13">
        <f>VLOOKUP(H2730, 'RM &amp; SF'!B:H, 7, 0)</f>
        <v>9.0100000000000006E-3</v>
      </c>
      <c r="M2730" s="15">
        <f t="shared" si="139"/>
        <v>9.01</v>
      </c>
      <c r="N2730" s="21" t="s">
        <v>825</v>
      </c>
      <c r="O2730" s="4">
        <f>VLOOKUP(B2730, 'All Menu'!B:L, 6, 0)</f>
        <v>12</v>
      </c>
      <c r="P2730" s="6">
        <f>VLOOKUP(B2730, 'All Menu'!B:L, 9, 0)</f>
        <v>9.2655342471264373</v>
      </c>
      <c r="Q2730" s="14">
        <f>VLOOKUP(B2730, 'All Menu'!B:M, 12, 0)</f>
        <v>0.22787214607279691</v>
      </c>
      <c r="R2730" s="173">
        <f t="shared" si="140"/>
        <v>0</v>
      </c>
    </row>
    <row r="2731" spans="1:18" ht="14" hidden="1">
      <c r="A2731" s="78" t="s">
        <v>3143</v>
      </c>
      <c r="B2731" s="220">
        <v>60039</v>
      </c>
      <c r="C2731" s="185"/>
      <c r="D2731" s="103" t="str">
        <f>VLOOKUP(B2731, 'All Menu'!B:M, 4, 0)</f>
        <v>كفتة عجل</v>
      </c>
      <c r="E2731" s="30" t="str">
        <f>VLOOKUP(B2731, 'All Menu'!B:M, 2, 0)</f>
        <v>قسم الملحمة</v>
      </c>
      <c r="F2731" s="103" t="str">
        <f>VLOOKUP(B2731, 'All Menu'!B:M, 3, 0)</f>
        <v>لحوم بلدية</v>
      </c>
      <c r="G2731" s="90" t="s">
        <v>2234</v>
      </c>
      <c r="H2731" s="221">
        <v>4503</v>
      </c>
      <c r="I2731" s="110" t="str">
        <f>VLOOKUP(H2731, 'RM &amp; SF'!B:H, 2, 0)</f>
        <v>بصل ناشف دفش*****</v>
      </c>
      <c r="J2731" s="184" t="str">
        <f>VLOOKUP(H2731, 'RM &amp; SF'!B:E, 4, 0)</f>
        <v>غم</v>
      </c>
      <c r="K2731" s="22">
        <v>150</v>
      </c>
      <c r="L2731" s="13">
        <f>VLOOKUP(H2731, 'RM &amp; SF'!B:H, 7, 0)</f>
        <v>2.5000000000000001E-4</v>
      </c>
      <c r="M2731" s="15">
        <f t="shared" si="139"/>
        <v>3.7499999999999999E-2</v>
      </c>
      <c r="N2731" s="21" t="s">
        <v>825</v>
      </c>
      <c r="O2731" s="4">
        <f>VLOOKUP(B2731, 'All Menu'!B:L, 6, 0)</f>
        <v>12</v>
      </c>
      <c r="P2731" s="6">
        <f>VLOOKUP(B2731, 'All Menu'!B:L, 9, 0)</f>
        <v>9.2655342471264373</v>
      </c>
      <c r="Q2731" s="14">
        <f>VLOOKUP(B2731, 'All Menu'!B:M, 12, 0)</f>
        <v>0.22787214607279691</v>
      </c>
      <c r="R2731" s="173">
        <f t="shared" si="140"/>
        <v>0</v>
      </c>
    </row>
    <row r="2732" spans="1:18" ht="14" hidden="1">
      <c r="A2732" s="78" t="s">
        <v>3143</v>
      </c>
      <c r="B2732" s="220">
        <v>60039</v>
      </c>
      <c r="C2732" s="185"/>
      <c r="D2732" s="103" t="str">
        <f>VLOOKUP(B2732, 'All Menu'!B:M, 4, 0)</f>
        <v>كفتة عجل</v>
      </c>
      <c r="E2732" s="30" t="str">
        <f>VLOOKUP(B2732, 'All Menu'!B:M, 2, 0)</f>
        <v>قسم الملحمة</v>
      </c>
      <c r="F2732" s="103" t="str">
        <f>VLOOKUP(B2732, 'All Menu'!B:M, 3, 0)</f>
        <v>لحوم بلدية</v>
      </c>
      <c r="G2732" s="90" t="s">
        <v>2251</v>
      </c>
      <c r="H2732" s="221">
        <v>4544</v>
      </c>
      <c r="I2732" s="110" t="str">
        <f>VLOOKUP(H2732, 'RM &amp; SF'!B:H, 2, 0)</f>
        <v>بقدونس*****</v>
      </c>
      <c r="J2732" s="184" t="str">
        <f>VLOOKUP(H2732, 'RM &amp; SF'!B:E, 4, 0)</f>
        <v>غم</v>
      </c>
      <c r="K2732" s="22">
        <v>0.5</v>
      </c>
      <c r="L2732" s="13">
        <f>VLOOKUP(H2732, 'RM &amp; SF'!B:H, 7, 0)</f>
        <v>7.5000000000000002E-4</v>
      </c>
      <c r="M2732" s="15">
        <f t="shared" si="139"/>
        <v>3.7500000000000001E-4</v>
      </c>
      <c r="N2732" s="21" t="s">
        <v>825</v>
      </c>
      <c r="O2732" s="4">
        <f>VLOOKUP(B2732, 'All Menu'!B:L, 6, 0)</f>
        <v>12</v>
      </c>
      <c r="P2732" s="6">
        <f>VLOOKUP(B2732, 'All Menu'!B:L, 9, 0)</f>
        <v>9.2655342471264373</v>
      </c>
      <c r="Q2732" s="14">
        <f>VLOOKUP(B2732, 'All Menu'!B:M, 12, 0)</f>
        <v>0.22787214607279691</v>
      </c>
      <c r="R2732" s="173">
        <f t="shared" si="140"/>
        <v>0</v>
      </c>
    </row>
    <row r="2733" spans="1:18" ht="14" hidden="1">
      <c r="A2733" s="78" t="s">
        <v>3143</v>
      </c>
      <c r="B2733" s="220">
        <v>60039</v>
      </c>
      <c r="C2733" s="185"/>
      <c r="D2733" s="103" t="str">
        <f>VLOOKUP(B2733, 'All Menu'!B:M, 4, 0)</f>
        <v>كفتة عجل</v>
      </c>
      <c r="E2733" s="30" t="str">
        <f>VLOOKUP(B2733, 'All Menu'!B:M, 2, 0)</f>
        <v>قسم الملحمة</v>
      </c>
      <c r="F2733" s="103" t="str">
        <f>VLOOKUP(B2733, 'All Menu'!B:M, 3, 0)</f>
        <v>لحوم بلدية</v>
      </c>
      <c r="G2733" s="90" t="s">
        <v>2203</v>
      </c>
      <c r="H2733" s="221">
        <v>4152</v>
      </c>
      <c r="I2733" s="110" t="str">
        <f>VLOOKUP(H2733, 'RM &amp; SF'!B:H, 2, 0)</f>
        <v>ملح طعام 750غم*****</v>
      </c>
      <c r="J2733" s="184" t="str">
        <f>VLOOKUP(H2733, 'RM &amp; SF'!B:E, 4, 0)</f>
        <v>غم</v>
      </c>
      <c r="K2733" s="22">
        <v>5</v>
      </c>
      <c r="L2733" s="13">
        <f>VLOOKUP(H2733, 'RM &amp; SF'!B:H, 7, 0)</f>
        <v>1.7066666666666665E-4</v>
      </c>
      <c r="M2733" s="15">
        <f t="shared" si="139"/>
        <v>8.5333333333333322E-4</v>
      </c>
      <c r="N2733" s="21" t="s">
        <v>825</v>
      </c>
      <c r="O2733" s="4">
        <f>VLOOKUP(B2733, 'All Menu'!B:L, 6, 0)</f>
        <v>12</v>
      </c>
      <c r="P2733" s="6">
        <f>VLOOKUP(B2733, 'All Menu'!B:L, 9, 0)</f>
        <v>9.2655342471264373</v>
      </c>
      <c r="Q2733" s="14">
        <f>VLOOKUP(B2733, 'All Menu'!B:M, 12, 0)</f>
        <v>0.22787214607279691</v>
      </c>
      <c r="R2733" s="173">
        <f t="shared" si="140"/>
        <v>0</v>
      </c>
    </row>
    <row r="2734" spans="1:18" ht="14" hidden="1">
      <c r="A2734" s="78" t="s">
        <v>3143</v>
      </c>
      <c r="B2734" s="220">
        <v>60039</v>
      </c>
      <c r="C2734" s="185"/>
      <c r="D2734" s="103" t="str">
        <f>VLOOKUP(B2734, 'All Menu'!B:M, 4, 0)</f>
        <v>كفتة عجل</v>
      </c>
      <c r="E2734" s="30" t="str">
        <f>VLOOKUP(B2734, 'All Menu'!B:M, 2, 0)</f>
        <v>قسم الملحمة</v>
      </c>
      <c r="F2734" s="103" t="str">
        <f>VLOOKUP(B2734, 'All Menu'!B:M, 3, 0)</f>
        <v>لحوم بلدية</v>
      </c>
      <c r="G2734" s="90" t="s">
        <v>2206</v>
      </c>
      <c r="H2734" s="221">
        <v>4204</v>
      </c>
      <c r="I2734" s="110" t="str">
        <f>VLOOKUP(H2734, 'RM &amp; SF'!B:H, 2, 0)</f>
        <v>فلفل اسود ناعم*****</v>
      </c>
      <c r="J2734" s="184" t="str">
        <f>VLOOKUP(H2734, 'RM &amp; SF'!B:E, 4, 0)</f>
        <v>غم</v>
      </c>
      <c r="K2734" s="22">
        <v>5</v>
      </c>
      <c r="L2734" s="13">
        <f>VLOOKUP(H2734, 'RM &amp; SF'!B:H, 7, 0)</f>
        <v>6.8970000000000004E-3</v>
      </c>
      <c r="M2734" s="15">
        <f t="shared" si="139"/>
        <v>3.4485000000000002E-2</v>
      </c>
      <c r="N2734" s="21" t="s">
        <v>825</v>
      </c>
      <c r="O2734" s="4">
        <f>VLOOKUP(B2734, 'All Menu'!B:L, 6, 0)</f>
        <v>12</v>
      </c>
      <c r="P2734" s="6">
        <f>VLOOKUP(B2734, 'All Menu'!B:L, 9, 0)</f>
        <v>9.2655342471264373</v>
      </c>
      <c r="Q2734" s="14">
        <f>VLOOKUP(B2734, 'All Menu'!B:M, 12, 0)</f>
        <v>0.22787214607279691</v>
      </c>
      <c r="R2734" s="173">
        <f t="shared" si="140"/>
        <v>0</v>
      </c>
    </row>
    <row r="2735" spans="1:18" ht="14" hidden="1">
      <c r="A2735" s="78" t="s">
        <v>3143</v>
      </c>
      <c r="B2735" s="220">
        <v>60039</v>
      </c>
      <c r="C2735" s="185"/>
      <c r="D2735" s="103" t="str">
        <f>VLOOKUP(B2735, 'All Menu'!B:M, 4, 0)</f>
        <v>كفتة عجل</v>
      </c>
      <c r="E2735" s="30" t="str">
        <f>VLOOKUP(B2735, 'All Menu'!B:M, 2, 0)</f>
        <v>قسم الملحمة</v>
      </c>
      <c r="F2735" s="103" t="str">
        <f>VLOOKUP(B2735, 'All Menu'!B:M, 3, 0)</f>
        <v>لحوم بلدية</v>
      </c>
      <c r="G2735" s="90" t="s">
        <v>3058</v>
      </c>
      <c r="H2735" s="221">
        <v>5274</v>
      </c>
      <c r="I2735" s="110" t="str">
        <f>VLOOKUP(H2735, 'RM &amp; SF'!B:H, 2, 0)</f>
        <v>نايلون للتغليف رول (رول جيلاتين) 45 سم*4 كغ*****</v>
      </c>
      <c r="J2735" s="184" t="str">
        <f>VLOOKUP(H2735, 'RM &amp; SF'!B:E, 4, 0)</f>
        <v>غم</v>
      </c>
      <c r="K2735" s="22">
        <v>20</v>
      </c>
      <c r="L2735" s="13">
        <f>VLOOKUP(H2735, 'RM &amp; SF'!B:H, 7, 0)</f>
        <v>2.0474249999999999E-3</v>
      </c>
      <c r="M2735" s="15">
        <f t="shared" si="139"/>
        <v>4.0948499999999999E-2</v>
      </c>
      <c r="N2735" s="21" t="s">
        <v>825</v>
      </c>
      <c r="O2735" s="4">
        <f>VLOOKUP(B2735, 'All Menu'!B:L, 6, 0)</f>
        <v>12</v>
      </c>
      <c r="P2735" s="6">
        <f>VLOOKUP(B2735, 'All Menu'!B:L, 9, 0)</f>
        <v>9.2655342471264373</v>
      </c>
      <c r="Q2735" s="14">
        <f>VLOOKUP(B2735, 'All Menu'!B:M, 12, 0)</f>
        <v>0.22787214607279691</v>
      </c>
      <c r="R2735" s="173">
        <f t="shared" si="140"/>
        <v>0</v>
      </c>
    </row>
    <row r="2736" spans="1:18" ht="14" hidden="1">
      <c r="A2736" s="78" t="s">
        <v>3143</v>
      </c>
      <c r="B2736" s="220">
        <v>60039</v>
      </c>
      <c r="C2736" s="185"/>
      <c r="D2736" s="103" t="str">
        <f>VLOOKUP(B2736, 'All Menu'!B:M, 4, 0)</f>
        <v>كفتة عجل</v>
      </c>
      <c r="E2736" s="30" t="str">
        <f>VLOOKUP(B2736, 'All Menu'!B:M, 2, 0)</f>
        <v>قسم الملحمة</v>
      </c>
      <c r="F2736" s="103" t="str">
        <f>VLOOKUP(B2736, 'All Menu'!B:M, 3, 0)</f>
        <v>لحوم بلدية</v>
      </c>
      <c r="G2736" s="90" t="s">
        <v>2193</v>
      </c>
      <c r="H2736" s="221">
        <v>4309</v>
      </c>
      <c r="I2736" s="110" t="str">
        <f>VLOOKUP(H2736, 'RM &amp; SF'!B:H, 2, 0)</f>
        <v>اكياس بلاستيك مطبوع 55 سم*****</v>
      </c>
      <c r="J2736" s="184" t="str">
        <f>VLOOKUP(H2736, 'RM &amp; SF'!B:E, 4, 0)</f>
        <v>قطعة</v>
      </c>
      <c r="K2736" s="22">
        <v>1</v>
      </c>
      <c r="L2736" s="13">
        <f>VLOOKUP(H2736, 'RM &amp; SF'!B:H, 7, 0)</f>
        <v>5.5172413793103454E-2</v>
      </c>
      <c r="M2736" s="15">
        <f t="shared" si="139"/>
        <v>5.5172413793103454E-2</v>
      </c>
      <c r="N2736" s="21" t="s">
        <v>825</v>
      </c>
      <c r="O2736" s="4">
        <f>VLOOKUP(B2736, 'All Menu'!B:L, 6, 0)</f>
        <v>12</v>
      </c>
      <c r="P2736" s="6">
        <f>VLOOKUP(B2736, 'All Menu'!B:L, 9, 0)</f>
        <v>9.2655342471264373</v>
      </c>
      <c r="Q2736" s="14">
        <f>VLOOKUP(B2736, 'All Menu'!B:M, 12, 0)</f>
        <v>0.22787214607279691</v>
      </c>
      <c r="R2736" s="173">
        <f t="shared" si="140"/>
        <v>0</v>
      </c>
    </row>
    <row r="2737" spans="1:18" ht="14" hidden="1">
      <c r="A2737" s="78" t="s">
        <v>3143</v>
      </c>
      <c r="B2737" s="220">
        <v>60039</v>
      </c>
      <c r="C2737" s="185"/>
      <c r="D2737" s="103" t="str">
        <f>VLOOKUP(B2737, 'All Menu'!B:M, 4, 0)</f>
        <v>كفتة عجل</v>
      </c>
      <c r="E2737" s="30" t="str">
        <f>VLOOKUP(B2737, 'All Menu'!B:M, 2, 0)</f>
        <v>قسم الملحمة</v>
      </c>
      <c r="F2737" s="103" t="str">
        <f>VLOOKUP(B2737, 'All Menu'!B:M, 3, 0)</f>
        <v>لحوم بلدية</v>
      </c>
      <c r="G2737" s="90" t="s">
        <v>3058</v>
      </c>
      <c r="H2737" s="221">
        <v>5300</v>
      </c>
      <c r="I2737" s="110" t="str">
        <f>VLOOKUP(H2737, 'RM &amp; SF'!B:H, 2, 0)</f>
        <v>صحن فلين اسود مخرم T2*****</v>
      </c>
      <c r="J2737" s="184" t="str">
        <f>VLOOKUP(H2737, 'RM &amp; SF'!B:E, 4, 0)</f>
        <v>قطعة</v>
      </c>
      <c r="K2737" s="22">
        <v>2</v>
      </c>
      <c r="L2737" s="13">
        <f>VLOOKUP(H2737, 'RM &amp; SF'!B:H, 7, 0)</f>
        <v>4.3099999999999999E-2</v>
      </c>
      <c r="M2737" s="15">
        <f t="shared" si="139"/>
        <v>8.6199999999999999E-2</v>
      </c>
      <c r="N2737" s="21" t="s">
        <v>825</v>
      </c>
      <c r="O2737" s="4">
        <f>VLOOKUP(B2737, 'All Menu'!B:L, 6, 0)</f>
        <v>12</v>
      </c>
      <c r="P2737" s="6">
        <f>VLOOKUP(B2737, 'All Menu'!B:L, 9, 0)</f>
        <v>9.2655342471264373</v>
      </c>
      <c r="Q2737" s="14">
        <f>VLOOKUP(B2737, 'All Menu'!B:M, 12, 0)</f>
        <v>0.22787214607279691</v>
      </c>
      <c r="R2737" s="173">
        <f t="shared" si="140"/>
        <v>0</v>
      </c>
    </row>
    <row r="2738" spans="1:18" ht="14" hidden="1">
      <c r="A2738" s="78" t="s">
        <v>2847</v>
      </c>
      <c r="B2738" s="220">
        <v>50016</v>
      </c>
      <c r="C2738" s="185"/>
      <c r="D2738" s="103" t="str">
        <f>VLOOKUP(B2738, 'All Menu'!B:M, 4, 0)</f>
        <v>دجاج متبل-كيلو</v>
      </c>
      <c r="E2738" s="30" t="str">
        <f>VLOOKUP(B2738, 'All Menu'!B:M, 2, 0)</f>
        <v>قسم الملحمة</v>
      </c>
      <c r="F2738" s="103" t="str">
        <f>VLOOKUP(B2738, 'All Menu'!B:M, 3, 0)</f>
        <v>مارنيتد</v>
      </c>
      <c r="G2738" s="90" t="s">
        <v>3058</v>
      </c>
      <c r="H2738" s="221">
        <v>4577</v>
      </c>
      <c r="I2738" s="110" t="str">
        <f>VLOOKUP(H2738, 'RM &amp; SF'!B:H, 2, 0)</f>
        <v>دجاج حب مع رقبة طازج للمشاغل 1100-1400غم*****</v>
      </c>
      <c r="J2738" s="184" t="str">
        <f>VLOOKUP(H2738, 'RM &amp; SF'!B:E, 4, 0)</f>
        <v>غم</v>
      </c>
      <c r="K2738" s="124">
        <v>1000</v>
      </c>
      <c r="L2738" s="13">
        <f>VLOOKUP(H2738, 'RM &amp; SF'!B:H, 7, 0)</f>
        <v>2.3400000000000001E-3</v>
      </c>
      <c r="M2738" s="15">
        <f t="shared" si="139"/>
        <v>2.34</v>
      </c>
      <c r="N2738" s="21" t="s">
        <v>825</v>
      </c>
      <c r="O2738" s="4">
        <f>VLOOKUP(B2738, 'All Menu'!B:L, 6, 0)</f>
        <v>4.5</v>
      </c>
      <c r="P2738" s="6">
        <f>VLOOKUP(B2738, 'All Menu'!B:L, 9, 0)</f>
        <v>2.9873086330913488</v>
      </c>
      <c r="Q2738" s="14">
        <f>VLOOKUP(B2738, 'All Menu'!B:M, 12, 0)</f>
        <v>0.33615363709081136</v>
      </c>
      <c r="R2738" s="173">
        <f t="shared" si="140"/>
        <v>0</v>
      </c>
    </row>
    <row r="2739" spans="1:18" ht="14" hidden="1">
      <c r="A2739" s="78" t="s">
        <v>2847</v>
      </c>
      <c r="B2739" s="220">
        <v>50016</v>
      </c>
      <c r="C2739" s="185"/>
      <c r="D2739" s="103" t="str">
        <f>VLOOKUP(B2739, 'All Menu'!B:M, 4, 0)</f>
        <v>دجاج متبل-كيلو</v>
      </c>
      <c r="E2739" s="30" t="str">
        <f>VLOOKUP(B2739, 'All Menu'!B:M, 2, 0)</f>
        <v>قسم الملحمة</v>
      </c>
      <c r="F2739" s="103" t="str">
        <f>VLOOKUP(B2739, 'All Menu'!B:M, 3, 0)</f>
        <v>مارنيتد</v>
      </c>
      <c r="G2739" s="90" t="s">
        <v>2367</v>
      </c>
      <c r="H2739" s="219" t="s">
        <v>766</v>
      </c>
      <c r="I2739" s="110" t="str">
        <f>VLOOKUP(H2739, 'RM &amp; SF'!B:H, 2, 0)</f>
        <v>تتبيلة المركزية</v>
      </c>
      <c r="J2739" s="184" t="str">
        <f>VLOOKUP(H2739, 'RM &amp; SF'!B:E, 4, 0)</f>
        <v>غم</v>
      </c>
      <c r="K2739" s="122">
        <v>250</v>
      </c>
      <c r="L2739" s="13">
        <f>VLOOKUP(H2739, 'RM &amp; SF'!B:H, 7, 0)</f>
        <v>1.9567508771929825E-3</v>
      </c>
      <c r="M2739" s="126">
        <f t="shared" si="139"/>
        <v>0.48918771929824562</v>
      </c>
      <c r="N2739" s="21" t="s">
        <v>825</v>
      </c>
      <c r="O2739" s="4">
        <f>VLOOKUP(B2739, 'All Menu'!B:L, 6, 0)</f>
        <v>4.5</v>
      </c>
      <c r="P2739" s="6">
        <f>VLOOKUP(B2739, 'All Menu'!B:L, 9, 0)</f>
        <v>2.9873086330913488</v>
      </c>
      <c r="Q2739" s="14">
        <f>VLOOKUP(B2739, 'All Menu'!B:M, 12, 0)</f>
        <v>0.33615363709081136</v>
      </c>
      <c r="R2739" s="173">
        <f t="shared" si="140"/>
        <v>0</v>
      </c>
    </row>
    <row r="2740" spans="1:18" ht="14" hidden="1">
      <c r="A2740" s="78" t="s">
        <v>2847</v>
      </c>
      <c r="B2740" s="220">
        <v>50016</v>
      </c>
      <c r="C2740" s="185"/>
      <c r="D2740" s="103" t="str">
        <f>VLOOKUP(B2740, 'All Menu'!B:M, 4, 0)</f>
        <v>دجاج متبل-كيلو</v>
      </c>
      <c r="E2740" s="30" t="str">
        <f>VLOOKUP(B2740, 'All Menu'!B:M, 2, 0)</f>
        <v>قسم الملحمة</v>
      </c>
      <c r="F2740" s="103" t="str">
        <f>VLOOKUP(B2740, 'All Menu'!B:M, 3, 0)</f>
        <v>مارنيتد</v>
      </c>
      <c r="G2740" s="90" t="s">
        <v>3058</v>
      </c>
      <c r="H2740" s="221">
        <v>5301</v>
      </c>
      <c r="I2740" s="110" t="str">
        <f>VLOOKUP(H2740, 'RM &amp; SF'!B:H, 2, 0)</f>
        <v>صحن فلين اسود مخرم T3*****</v>
      </c>
      <c r="J2740" s="184" t="str">
        <f>VLOOKUP(H2740, 'RM &amp; SF'!B:E, 4, 0)</f>
        <v>قطعة</v>
      </c>
      <c r="K2740" s="122">
        <v>1</v>
      </c>
      <c r="L2740" s="13">
        <f>VLOOKUP(H2740, 'RM &amp; SF'!B:H, 7, 0)</f>
        <v>6.2E-2</v>
      </c>
      <c r="M2740" s="126">
        <f t="shared" ref="M2740:M2790" si="141">L2740*K2740</f>
        <v>6.2E-2</v>
      </c>
      <c r="N2740" s="129" t="s">
        <v>825</v>
      </c>
      <c r="O2740" s="4">
        <f>VLOOKUP(B2740, 'All Menu'!B:L, 6, 0)</f>
        <v>4.5</v>
      </c>
      <c r="P2740" s="6">
        <f>VLOOKUP(B2740, 'All Menu'!B:L, 9, 0)</f>
        <v>2.9873086330913488</v>
      </c>
      <c r="Q2740" s="14">
        <f>VLOOKUP(B2740, 'All Menu'!B:M, 12, 0)</f>
        <v>0.33615363709081136</v>
      </c>
      <c r="R2740" s="173">
        <f t="shared" si="140"/>
        <v>0</v>
      </c>
    </row>
    <row r="2741" spans="1:18" ht="14" hidden="1">
      <c r="A2741" s="78" t="s">
        <v>2847</v>
      </c>
      <c r="B2741" s="220">
        <v>50016</v>
      </c>
      <c r="C2741" s="185"/>
      <c r="D2741" s="103" t="str">
        <f>VLOOKUP(B2741, 'All Menu'!B:M, 4, 0)</f>
        <v>دجاج متبل-كيلو</v>
      </c>
      <c r="E2741" s="30" t="str">
        <f>VLOOKUP(B2741, 'All Menu'!B:M, 2, 0)</f>
        <v>قسم الملحمة</v>
      </c>
      <c r="F2741" s="103" t="str">
        <f>VLOOKUP(B2741, 'All Menu'!B:M, 3, 0)</f>
        <v>مارنيتد</v>
      </c>
      <c r="G2741" s="90" t="s">
        <v>3058</v>
      </c>
      <c r="H2741" s="221">
        <v>5274</v>
      </c>
      <c r="I2741" s="110" t="str">
        <f>VLOOKUP(H2741, 'RM &amp; SF'!B:H, 2, 0)</f>
        <v>نايلون للتغليف رول (رول جيلاتين) 45 سم*4 كغ*****</v>
      </c>
      <c r="J2741" s="184" t="str">
        <f>VLOOKUP(H2741, 'RM &amp; SF'!B:E, 4, 0)</f>
        <v>غم</v>
      </c>
      <c r="K2741" s="122">
        <v>20</v>
      </c>
      <c r="L2741" s="13">
        <f>VLOOKUP(H2741, 'RM &amp; SF'!B:H, 7, 0)</f>
        <v>2.0474249999999999E-3</v>
      </c>
      <c r="M2741" s="126">
        <f t="shared" si="141"/>
        <v>4.0948499999999999E-2</v>
      </c>
      <c r="N2741" s="129" t="s">
        <v>825</v>
      </c>
      <c r="O2741" s="4">
        <f>VLOOKUP(B2741, 'All Menu'!B:L, 6, 0)</f>
        <v>4.5</v>
      </c>
      <c r="P2741" s="6">
        <f>VLOOKUP(B2741, 'All Menu'!B:L, 9, 0)</f>
        <v>2.9873086330913488</v>
      </c>
      <c r="Q2741" s="14">
        <f>VLOOKUP(B2741, 'All Menu'!B:M, 12, 0)</f>
        <v>0.33615363709081136</v>
      </c>
      <c r="R2741" s="173">
        <f t="shared" si="140"/>
        <v>0</v>
      </c>
    </row>
    <row r="2742" spans="1:18" ht="14" hidden="1">
      <c r="A2742" s="78" t="s">
        <v>2847</v>
      </c>
      <c r="B2742" s="220">
        <v>50016</v>
      </c>
      <c r="C2742" s="185"/>
      <c r="D2742" s="103" t="str">
        <f>VLOOKUP(B2742, 'All Menu'!B:M, 4, 0)</f>
        <v>دجاج متبل-كيلو</v>
      </c>
      <c r="E2742" s="30" t="str">
        <f>VLOOKUP(B2742, 'All Menu'!B:M, 2, 0)</f>
        <v>قسم الملحمة</v>
      </c>
      <c r="F2742" s="103" t="str">
        <f>VLOOKUP(B2742, 'All Menu'!B:M, 3, 0)</f>
        <v>مارنيتد</v>
      </c>
      <c r="G2742" s="90" t="s">
        <v>2193</v>
      </c>
      <c r="H2742" s="221">
        <v>4309</v>
      </c>
      <c r="I2742" s="110" t="str">
        <f>VLOOKUP(H2742, 'RM &amp; SF'!B:H, 2, 0)</f>
        <v>اكياس بلاستيك مطبوع 55 سم*****</v>
      </c>
      <c r="J2742" s="184" t="str">
        <f>VLOOKUP(H2742, 'RM &amp; SF'!B:E, 4, 0)</f>
        <v>قطعة</v>
      </c>
      <c r="K2742" s="122">
        <v>1</v>
      </c>
      <c r="L2742" s="13">
        <f>VLOOKUP(H2742, 'RM &amp; SF'!B:H, 7, 0)</f>
        <v>5.5172413793103454E-2</v>
      </c>
      <c r="M2742" s="126">
        <f t="shared" si="141"/>
        <v>5.5172413793103454E-2</v>
      </c>
      <c r="N2742" s="129" t="s">
        <v>825</v>
      </c>
      <c r="O2742" s="4">
        <f>VLOOKUP(B2742, 'All Menu'!B:L, 6, 0)</f>
        <v>4.5</v>
      </c>
      <c r="P2742" s="6">
        <f>VLOOKUP(B2742, 'All Menu'!B:L, 9, 0)</f>
        <v>2.9873086330913488</v>
      </c>
      <c r="Q2742" s="14">
        <f>VLOOKUP(B2742, 'All Menu'!B:M, 12, 0)</f>
        <v>0.33615363709081136</v>
      </c>
      <c r="R2742" s="173">
        <f t="shared" si="140"/>
        <v>0</v>
      </c>
    </row>
    <row r="2743" spans="1:18" ht="14" hidden="1">
      <c r="A2743" s="78" t="s">
        <v>3118</v>
      </c>
      <c r="B2743" s="220">
        <v>50017</v>
      </c>
      <c r="C2743" s="185"/>
      <c r="D2743" s="103" t="str">
        <f>VLOOKUP(B2743, 'All Menu'!B:M, 4, 0)</f>
        <v>دجاج متبل -حبة</v>
      </c>
      <c r="E2743" s="30" t="str">
        <f>VLOOKUP(B2743, 'All Menu'!B:M, 2, 0)</f>
        <v>قسم الملحمة</v>
      </c>
      <c r="F2743" s="103" t="str">
        <f>VLOOKUP(B2743, 'All Menu'!B:M, 3, 0)</f>
        <v>مارنيتد</v>
      </c>
      <c r="G2743" s="90" t="s">
        <v>3058</v>
      </c>
      <c r="H2743" s="221">
        <v>4577</v>
      </c>
      <c r="I2743" s="110" t="str">
        <f>VLOOKUP(H2743, 'RM &amp; SF'!B:H, 2, 0)</f>
        <v>دجاج حب مع رقبة طازج للمشاغل 1100-1400غم*****</v>
      </c>
      <c r="J2743" s="184" t="str">
        <f>VLOOKUP(H2743, 'RM &amp; SF'!B:E, 4, 0)</f>
        <v>غم</v>
      </c>
      <c r="K2743" s="122">
        <v>1200</v>
      </c>
      <c r="L2743" s="13">
        <f>VLOOKUP(H2743, 'RM &amp; SF'!B:H, 7, 0)</f>
        <v>2.3400000000000001E-3</v>
      </c>
      <c r="M2743" s="126">
        <f t="shared" si="141"/>
        <v>2.8080000000000003</v>
      </c>
      <c r="N2743" s="129" t="s">
        <v>825</v>
      </c>
      <c r="O2743" s="4">
        <f>VLOOKUP(B2743, 'All Menu'!B:L, 6, 0)</f>
        <v>5</v>
      </c>
      <c r="P2743" s="6">
        <f>VLOOKUP(B2743, 'All Menu'!B:L, 9, 0)</f>
        <v>3.4553086330913492</v>
      </c>
      <c r="Q2743" s="14">
        <f>VLOOKUP(B2743, 'All Menu'!B:M, 12, 0)</f>
        <v>0.30893827338173019</v>
      </c>
      <c r="R2743" s="173">
        <f t="shared" si="140"/>
        <v>0</v>
      </c>
    </row>
    <row r="2744" spans="1:18" ht="14" hidden="1">
      <c r="A2744" s="78" t="s">
        <v>3118</v>
      </c>
      <c r="B2744" s="220">
        <v>50017</v>
      </c>
      <c r="C2744" s="185"/>
      <c r="D2744" s="103" t="str">
        <f>VLOOKUP(B2744, 'All Menu'!B:M, 4, 0)</f>
        <v>دجاج متبل -حبة</v>
      </c>
      <c r="E2744" s="30" t="str">
        <f>VLOOKUP(B2744, 'All Menu'!B:M, 2, 0)</f>
        <v>قسم الملحمة</v>
      </c>
      <c r="F2744" s="103" t="str">
        <f>VLOOKUP(B2744, 'All Menu'!B:M, 3, 0)</f>
        <v>مارنيتد</v>
      </c>
      <c r="G2744" s="90" t="s">
        <v>2367</v>
      </c>
      <c r="H2744" s="219" t="s">
        <v>766</v>
      </c>
      <c r="I2744" s="110" t="str">
        <f>VLOOKUP(H2744, 'RM &amp; SF'!B:H, 2, 0)</f>
        <v>تتبيلة المركزية</v>
      </c>
      <c r="J2744" s="184" t="str">
        <f>VLOOKUP(H2744, 'RM &amp; SF'!B:E, 4, 0)</f>
        <v>غم</v>
      </c>
      <c r="K2744" s="122">
        <v>250</v>
      </c>
      <c r="L2744" s="13">
        <f>VLOOKUP(H2744, 'RM &amp; SF'!B:H, 7, 0)</f>
        <v>1.9567508771929825E-3</v>
      </c>
      <c r="M2744" s="126">
        <f t="shared" si="141"/>
        <v>0.48918771929824562</v>
      </c>
      <c r="N2744" s="129" t="s">
        <v>825</v>
      </c>
      <c r="O2744" s="4">
        <f>VLOOKUP(B2744, 'All Menu'!B:L, 6, 0)</f>
        <v>5</v>
      </c>
      <c r="P2744" s="6">
        <f>VLOOKUP(B2744, 'All Menu'!B:L, 9, 0)</f>
        <v>3.4553086330913492</v>
      </c>
      <c r="Q2744" s="14">
        <f>VLOOKUP(B2744, 'All Menu'!B:M, 12, 0)</f>
        <v>0.30893827338173019</v>
      </c>
      <c r="R2744" s="173">
        <f t="shared" si="140"/>
        <v>0</v>
      </c>
    </row>
    <row r="2745" spans="1:18" ht="14" hidden="1">
      <c r="A2745" s="78" t="s">
        <v>3118</v>
      </c>
      <c r="B2745" s="220">
        <v>50017</v>
      </c>
      <c r="C2745" s="185"/>
      <c r="D2745" s="103" t="str">
        <f>VLOOKUP(B2745, 'All Menu'!B:M, 4, 0)</f>
        <v>دجاج متبل -حبة</v>
      </c>
      <c r="E2745" s="30" t="str">
        <f>VLOOKUP(B2745, 'All Menu'!B:M, 2, 0)</f>
        <v>قسم الملحمة</v>
      </c>
      <c r="F2745" s="103" t="str">
        <f>VLOOKUP(B2745, 'All Menu'!B:M, 3, 0)</f>
        <v>مارنيتد</v>
      </c>
      <c r="G2745" s="90" t="s">
        <v>3058</v>
      </c>
      <c r="H2745" s="221">
        <v>5301</v>
      </c>
      <c r="I2745" s="110" t="str">
        <f>VLOOKUP(H2745, 'RM &amp; SF'!B:H, 2, 0)</f>
        <v>صحن فلين اسود مخرم T3*****</v>
      </c>
      <c r="J2745" s="184" t="str">
        <f>VLOOKUP(H2745, 'RM &amp; SF'!B:E, 4, 0)</f>
        <v>قطعة</v>
      </c>
      <c r="K2745" s="122">
        <v>1</v>
      </c>
      <c r="L2745" s="13">
        <f>VLOOKUP(H2745, 'RM &amp; SF'!B:H, 7, 0)</f>
        <v>6.2E-2</v>
      </c>
      <c r="M2745" s="126">
        <f t="shared" si="141"/>
        <v>6.2E-2</v>
      </c>
      <c r="N2745" s="129" t="s">
        <v>825</v>
      </c>
      <c r="O2745" s="4">
        <f>VLOOKUP(B2745, 'All Menu'!B:L, 6, 0)</f>
        <v>5</v>
      </c>
      <c r="P2745" s="6">
        <f>VLOOKUP(B2745, 'All Menu'!B:L, 9, 0)</f>
        <v>3.4553086330913492</v>
      </c>
      <c r="Q2745" s="14">
        <f>VLOOKUP(B2745, 'All Menu'!B:M, 12, 0)</f>
        <v>0.30893827338173019</v>
      </c>
      <c r="R2745" s="173">
        <f t="shared" si="140"/>
        <v>0</v>
      </c>
    </row>
    <row r="2746" spans="1:18" ht="14" hidden="1">
      <c r="A2746" s="78" t="s">
        <v>3118</v>
      </c>
      <c r="B2746" s="220">
        <v>50017</v>
      </c>
      <c r="C2746" s="185"/>
      <c r="D2746" s="103" t="str">
        <f>VLOOKUP(B2746, 'All Menu'!B:M, 4, 0)</f>
        <v>دجاج متبل -حبة</v>
      </c>
      <c r="E2746" s="30" t="str">
        <f>VLOOKUP(B2746, 'All Menu'!B:M, 2, 0)</f>
        <v>قسم الملحمة</v>
      </c>
      <c r="F2746" s="103" t="str">
        <f>VLOOKUP(B2746, 'All Menu'!B:M, 3, 0)</f>
        <v>مارنيتد</v>
      </c>
      <c r="G2746" s="90" t="s">
        <v>3058</v>
      </c>
      <c r="H2746" s="221">
        <v>5274</v>
      </c>
      <c r="I2746" s="110" t="str">
        <f>VLOOKUP(H2746, 'RM &amp; SF'!B:H, 2, 0)</f>
        <v>نايلون للتغليف رول (رول جيلاتين) 45 سم*4 كغ*****</v>
      </c>
      <c r="J2746" s="184" t="str">
        <f>VLOOKUP(H2746, 'RM &amp; SF'!B:E, 4, 0)</f>
        <v>غم</v>
      </c>
      <c r="K2746" s="122">
        <v>20</v>
      </c>
      <c r="L2746" s="13">
        <f>VLOOKUP(H2746, 'RM &amp; SF'!B:H, 7, 0)</f>
        <v>2.0474249999999999E-3</v>
      </c>
      <c r="M2746" s="126">
        <f t="shared" si="141"/>
        <v>4.0948499999999999E-2</v>
      </c>
      <c r="N2746" s="129" t="s">
        <v>825</v>
      </c>
      <c r="O2746" s="4">
        <f>VLOOKUP(B2746, 'All Menu'!B:L, 6, 0)</f>
        <v>5</v>
      </c>
      <c r="P2746" s="6">
        <f>VLOOKUP(B2746, 'All Menu'!B:L, 9, 0)</f>
        <v>3.4553086330913492</v>
      </c>
      <c r="Q2746" s="14">
        <f>VLOOKUP(B2746, 'All Menu'!B:M, 12, 0)</f>
        <v>0.30893827338173019</v>
      </c>
      <c r="R2746" s="173">
        <f t="shared" si="140"/>
        <v>0</v>
      </c>
    </row>
    <row r="2747" spans="1:18" ht="14" hidden="1">
      <c r="A2747" s="78" t="s">
        <v>3118</v>
      </c>
      <c r="B2747" s="220">
        <v>50017</v>
      </c>
      <c r="C2747" s="185"/>
      <c r="D2747" s="103" t="str">
        <f>VLOOKUP(B2747, 'All Menu'!B:M, 4, 0)</f>
        <v>دجاج متبل -حبة</v>
      </c>
      <c r="E2747" s="30" t="str">
        <f>VLOOKUP(B2747, 'All Menu'!B:M, 2, 0)</f>
        <v>قسم الملحمة</v>
      </c>
      <c r="F2747" s="103" t="str">
        <f>VLOOKUP(B2747, 'All Menu'!B:M, 3, 0)</f>
        <v>مارنيتد</v>
      </c>
      <c r="G2747" s="90" t="s">
        <v>2193</v>
      </c>
      <c r="H2747" s="221">
        <v>4309</v>
      </c>
      <c r="I2747" s="110" t="str">
        <f>VLOOKUP(H2747, 'RM &amp; SF'!B:H, 2, 0)</f>
        <v>اكياس بلاستيك مطبوع 55 سم*****</v>
      </c>
      <c r="J2747" s="184" t="str">
        <f>VLOOKUP(H2747, 'RM &amp; SF'!B:E, 4, 0)</f>
        <v>قطعة</v>
      </c>
      <c r="K2747" s="122">
        <v>1</v>
      </c>
      <c r="L2747" s="13">
        <f>VLOOKUP(H2747, 'RM &amp; SF'!B:H, 7, 0)</f>
        <v>5.5172413793103454E-2</v>
      </c>
      <c r="M2747" s="126">
        <f t="shared" si="141"/>
        <v>5.5172413793103454E-2</v>
      </c>
      <c r="N2747" s="129" t="s">
        <v>825</v>
      </c>
      <c r="O2747" s="4">
        <f>VLOOKUP(B2747, 'All Menu'!B:L, 6, 0)</f>
        <v>5</v>
      </c>
      <c r="P2747" s="6">
        <f>VLOOKUP(B2747, 'All Menu'!B:L, 9, 0)</f>
        <v>3.4553086330913492</v>
      </c>
      <c r="Q2747" s="14">
        <f>VLOOKUP(B2747, 'All Menu'!B:M, 12, 0)</f>
        <v>0.30893827338173019</v>
      </c>
      <c r="R2747" s="173">
        <f t="shared" si="140"/>
        <v>0</v>
      </c>
    </row>
    <row r="2748" spans="1:18" ht="14" hidden="1">
      <c r="A2748" s="78" t="s">
        <v>2864</v>
      </c>
      <c r="B2748" s="220">
        <v>50041</v>
      </c>
      <c r="C2748" s="185"/>
      <c r="D2748" s="103" t="str">
        <f>VLOOKUP(B2748, 'All Menu'!B:M, 4, 0)</f>
        <v>شيش طاووق</v>
      </c>
      <c r="E2748" s="30" t="str">
        <f>VLOOKUP(B2748, 'All Menu'!B:M, 2, 0)</f>
        <v>قسم الملحمة</v>
      </c>
      <c r="F2748" s="103" t="str">
        <f>VLOOKUP(B2748, 'All Menu'!B:M, 3, 0)</f>
        <v>مارنيتد</v>
      </c>
      <c r="G2748" s="90" t="s">
        <v>2456</v>
      </c>
      <c r="H2748" s="219" t="s">
        <v>506</v>
      </c>
      <c r="I2748" s="110" t="str">
        <f>VLOOKUP(H2748, 'RM &amp; SF'!B:H, 2, 0)</f>
        <v>شيش</v>
      </c>
      <c r="J2748" s="184" t="str">
        <f>VLOOKUP(H2748, 'RM &amp; SF'!B:E, 4, 0)</f>
        <v>غم</v>
      </c>
      <c r="K2748" s="122">
        <v>1000</v>
      </c>
      <c r="L2748" s="13">
        <f>VLOOKUP(H2748, 'RM &amp; SF'!B:H, 7, 0)</f>
        <v>4.6721213030918281E-3</v>
      </c>
      <c r="M2748" s="126">
        <f t="shared" si="141"/>
        <v>4.6721213030918278</v>
      </c>
      <c r="N2748" s="129" t="s">
        <v>825</v>
      </c>
      <c r="O2748" s="4">
        <f>VLOOKUP(B2748, 'All Menu'!B:L, 6, 0)</f>
        <v>9</v>
      </c>
      <c r="P2748" s="6">
        <f>VLOOKUP(B2748, 'All Menu'!B:L, 9, 0)</f>
        <v>5.3194299361831767</v>
      </c>
      <c r="Q2748" s="14">
        <f>VLOOKUP(B2748, 'All Menu'!B:M, 12, 0)</f>
        <v>0.40895222931298036</v>
      </c>
      <c r="R2748" s="173">
        <f t="shared" si="140"/>
        <v>0</v>
      </c>
    </row>
    <row r="2749" spans="1:18" ht="14" hidden="1">
      <c r="A2749" s="78" t="s">
        <v>2864</v>
      </c>
      <c r="B2749" s="220">
        <v>50041</v>
      </c>
      <c r="C2749" s="185"/>
      <c r="D2749" s="103" t="str">
        <f>VLOOKUP(B2749, 'All Menu'!B:M, 4, 0)</f>
        <v>شيش طاووق</v>
      </c>
      <c r="E2749" s="30" t="str">
        <f>VLOOKUP(B2749, 'All Menu'!B:M, 2, 0)</f>
        <v>قسم الملحمة</v>
      </c>
      <c r="F2749" s="103" t="str">
        <f>VLOOKUP(B2749, 'All Menu'!B:M, 3, 0)</f>
        <v>مارنيتد</v>
      </c>
      <c r="G2749" s="90" t="s">
        <v>2367</v>
      </c>
      <c r="H2749" s="219" t="s">
        <v>766</v>
      </c>
      <c r="I2749" s="110" t="str">
        <f>VLOOKUP(H2749, 'RM &amp; SF'!B:H, 2, 0)</f>
        <v>تتبيلة المركزية</v>
      </c>
      <c r="J2749" s="184" t="str">
        <f>VLOOKUP(H2749, 'RM &amp; SF'!B:E, 4, 0)</f>
        <v>غم</v>
      </c>
      <c r="K2749" s="122">
        <v>250</v>
      </c>
      <c r="L2749" s="13">
        <f>VLOOKUP(H2749, 'RM &amp; SF'!B:H, 7, 0)</f>
        <v>1.9567508771929825E-3</v>
      </c>
      <c r="M2749" s="126">
        <f t="shared" si="141"/>
        <v>0.48918771929824562</v>
      </c>
      <c r="N2749" s="21" t="s">
        <v>825</v>
      </c>
      <c r="O2749" s="4">
        <f>VLOOKUP(B2749, 'All Menu'!B:L, 6, 0)</f>
        <v>9</v>
      </c>
      <c r="P2749" s="6">
        <f>VLOOKUP(B2749, 'All Menu'!B:L, 9, 0)</f>
        <v>5.3194299361831767</v>
      </c>
      <c r="Q2749" s="14">
        <f>VLOOKUP(B2749, 'All Menu'!B:M, 12, 0)</f>
        <v>0.40895222931298036</v>
      </c>
      <c r="R2749" s="173">
        <f t="shared" si="140"/>
        <v>0</v>
      </c>
    </row>
    <row r="2750" spans="1:18" ht="14" hidden="1">
      <c r="A2750" s="78" t="s">
        <v>2864</v>
      </c>
      <c r="B2750" s="220">
        <v>50041</v>
      </c>
      <c r="C2750" s="185"/>
      <c r="D2750" s="103" t="str">
        <f>VLOOKUP(B2750, 'All Menu'!B:M, 4, 0)</f>
        <v>شيش طاووق</v>
      </c>
      <c r="E2750" s="30" t="str">
        <f>VLOOKUP(B2750, 'All Menu'!B:M, 2, 0)</f>
        <v>قسم الملحمة</v>
      </c>
      <c r="F2750" s="103" t="str">
        <f>VLOOKUP(B2750, 'All Menu'!B:M, 3, 0)</f>
        <v>مارنيتد</v>
      </c>
      <c r="G2750" s="90" t="s">
        <v>3058</v>
      </c>
      <c r="H2750" s="221">
        <v>5301</v>
      </c>
      <c r="I2750" s="110" t="str">
        <f>VLOOKUP(H2750, 'RM &amp; SF'!B:H, 2, 0)</f>
        <v>صحن فلين اسود مخرم T3*****</v>
      </c>
      <c r="J2750" s="184" t="str">
        <f>VLOOKUP(H2750, 'RM &amp; SF'!B:E, 4, 0)</f>
        <v>قطعة</v>
      </c>
      <c r="K2750" s="122">
        <v>1</v>
      </c>
      <c r="L2750" s="13">
        <f>VLOOKUP(H2750, 'RM &amp; SF'!B:H, 7, 0)</f>
        <v>6.2E-2</v>
      </c>
      <c r="M2750" s="126">
        <f t="shared" si="141"/>
        <v>6.2E-2</v>
      </c>
      <c r="N2750" s="21" t="s">
        <v>825</v>
      </c>
      <c r="O2750" s="4">
        <f>VLOOKUP(B2750, 'All Menu'!B:L, 6, 0)</f>
        <v>9</v>
      </c>
      <c r="P2750" s="6">
        <f>VLOOKUP(B2750, 'All Menu'!B:L, 9, 0)</f>
        <v>5.3194299361831767</v>
      </c>
      <c r="Q2750" s="14">
        <f>VLOOKUP(B2750, 'All Menu'!B:M, 12, 0)</f>
        <v>0.40895222931298036</v>
      </c>
      <c r="R2750" s="173">
        <f t="shared" si="140"/>
        <v>0</v>
      </c>
    </row>
    <row r="2751" spans="1:18" ht="14" hidden="1">
      <c r="A2751" s="78" t="s">
        <v>2864</v>
      </c>
      <c r="B2751" s="220">
        <v>50041</v>
      </c>
      <c r="C2751" s="185"/>
      <c r="D2751" s="103" t="str">
        <f>VLOOKUP(B2751, 'All Menu'!B:M, 4, 0)</f>
        <v>شيش طاووق</v>
      </c>
      <c r="E2751" s="30" t="str">
        <f>VLOOKUP(B2751, 'All Menu'!B:M, 2, 0)</f>
        <v>قسم الملحمة</v>
      </c>
      <c r="F2751" s="103" t="str">
        <f>VLOOKUP(B2751, 'All Menu'!B:M, 3, 0)</f>
        <v>مارنيتد</v>
      </c>
      <c r="G2751" s="90" t="s">
        <v>3058</v>
      </c>
      <c r="H2751" s="221">
        <v>5274</v>
      </c>
      <c r="I2751" s="110" t="str">
        <f>VLOOKUP(H2751, 'RM &amp; SF'!B:H, 2, 0)</f>
        <v>نايلون للتغليف رول (رول جيلاتين) 45 سم*4 كغ*****</v>
      </c>
      <c r="J2751" s="184" t="str">
        <f>VLOOKUP(H2751, 'RM &amp; SF'!B:E, 4, 0)</f>
        <v>غم</v>
      </c>
      <c r="K2751" s="122">
        <v>20</v>
      </c>
      <c r="L2751" s="13">
        <f>VLOOKUP(H2751, 'RM &amp; SF'!B:H, 7, 0)</f>
        <v>2.0474249999999999E-3</v>
      </c>
      <c r="M2751" s="126">
        <f t="shared" si="141"/>
        <v>4.0948499999999999E-2</v>
      </c>
      <c r="N2751" s="21" t="s">
        <v>825</v>
      </c>
      <c r="O2751" s="4">
        <f>VLOOKUP(B2751, 'All Menu'!B:L, 6, 0)</f>
        <v>9</v>
      </c>
      <c r="P2751" s="6">
        <f>VLOOKUP(B2751, 'All Menu'!B:L, 9, 0)</f>
        <v>5.3194299361831767</v>
      </c>
      <c r="Q2751" s="14">
        <f>VLOOKUP(B2751, 'All Menu'!B:M, 12, 0)</f>
        <v>0.40895222931298036</v>
      </c>
      <c r="R2751" s="173">
        <f t="shared" si="140"/>
        <v>0</v>
      </c>
    </row>
    <row r="2752" spans="1:18" ht="14" hidden="1">
      <c r="A2752" s="78" t="s">
        <v>2864</v>
      </c>
      <c r="B2752" s="220">
        <v>50041</v>
      </c>
      <c r="C2752" s="185"/>
      <c r="D2752" s="103" t="str">
        <f>VLOOKUP(B2752, 'All Menu'!B:M, 4, 0)</f>
        <v>شيش طاووق</v>
      </c>
      <c r="E2752" s="30" t="str">
        <f>VLOOKUP(B2752, 'All Menu'!B:M, 2, 0)</f>
        <v>قسم الملحمة</v>
      </c>
      <c r="F2752" s="103" t="str">
        <f>VLOOKUP(B2752, 'All Menu'!B:M, 3, 0)</f>
        <v>مارنيتد</v>
      </c>
      <c r="G2752" s="90" t="s">
        <v>2193</v>
      </c>
      <c r="H2752" s="221">
        <v>4309</v>
      </c>
      <c r="I2752" s="110" t="str">
        <f>VLOOKUP(H2752, 'RM &amp; SF'!B:H, 2, 0)</f>
        <v>اكياس بلاستيك مطبوع 55 سم*****</v>
      </c>
      <c r="J2752" s="184" t="str">
        <f>VLOOKUP(H2752, 'RM &amp; SF'!B:E, 4, 0)</f>
        <v>قطعة</v>
      </c>
      <c r="K2752" s="122">
        <v>1</v>
      </c>
      <c r="L2752" s="13">
        <f>VLOOKUP(H2752, 'RM &amp; SF'!B:H, 7, 0)</f>
        <v>5.5172413793103454E-2</v>
      </c>
      <c r="M2752" s="126">
        <f t="shared" si="141"/>
        <v>5.5172413793103454E-2</v>
      </c>
      <c r="N2752" s="21" t="s">
        <v>825</v>
      </c>
      <c r="O2752" s="4">
        <f>VLOOKUP(B2752, 'All Menu'!B:L, 6, 0)</f>
        <v>9</v>
      </c>
      <c r="P2752" s="6">
        <f>VLOOKUP(B2752, 'All Menu'!B:L, 9, 0)</f>
        <v>5.3194299361831767</v>
      </c>
      <c r="Q2752" s="14">
        <f>VLOOKUP(B2752, 'All Menu'!B:M, 12, 0)</f>
        <v>0.40895222931298036</v>
      </c>
      <c r="R2752" s="173">
        <f t="shared" si="140"/>
        <v>0</v>
      </c>
    </row>
    <row r="2753" spans="1:18" ht="14" hidden="1">
      <c r="A2753" s="78" t="s">
        <v>2857</v>
      </c>
      <c r="B2753" s="220">
        <v>50028</v>
      </c>
      <c r="C2753" s="185"/>
      <c r="D2753" s="103" t="str">
        <f>VLOOKUP(B2753, 'All Menu'!B:M, 4, 0)</f>
        <v>لسانات منظفة</v>
      </c>
      <c r="E2753" s="30" t="str">
        <f>VLOOKUP(B2753, 'All Menu'!B:M, 2, 0)</f>
        <v>قسم الملحمة</v>
      </c>
      <c r="F2753" s="103" t="str">
        <f>VLOOKUP(B2753, 'All Menu'!B:M, 3, 0)</f>
        <v>سقط</v>
      </c>
      <c r="G2753" s="90" t="s">
        <v>3058</v>
      </c>
      <c r="H2753" s="221">
        <v>5385</v>
      </c>
      <c r="I2753" s="110" t="str">
        <f>VLOOKUP(H2753, 'RM &amp; SF'!B:H, 2, 0)</f>
        <v>لسانات غنم استرالي</v>
      </c>
      <c r="J2753" s="184" t="str">
        <f>VLOOKUP(H2753, 'RM &amp; SF'!B:E, 4, 0)</f>
        <v>غم</v>
      </c>
      <c r="K2753" s="122">
        <v>1000</v>
      </c>
      <c r="L2753" s="13">
        <f>VLOOKUP(H2753, 'RM &amp; SF'!B:H, 7, 0)</f>
        <v>4.2500000000000003E-3</v>
      </c>
      <c r="M2753" s="126">
        <f t="shared" si="141"/>
        <v>4.25</v>
      </c>
      <c r="N2753" s="21" t="s">
        <v>825</v>
      </c>
      <c r="O2753" s="4">
        <f>VLOOKUP(B2753, 'All Menu'!B:L, 6, 0)</f>
        <v>10</v>
      </c>
      <c r="P2753" s="6">
        <f>VLOOKUP(B2753, 'All Menu'!B:L, 9, 0)</f>
        <v>4.4081209137931037</v>
      </c>
      <c r="Q2753" s="14">
        <f>VLOOKUP(B2753, 'All Menu'!B:M, 12, 0)</f>
        <v>0.55918790862068968</v>
      </c>
      <c r="R2753" s="173">
        <f t="shared" si="140"/>
        <v>0</v>
      </c>
    </row>
    <row r="2754" spans="1:18" ht="14" hidden="1">
      <c r="A2754" s="78" t="s">
        <v>2857</v>
      </c>
      <c r="B2754" s="220">
        <v>50028</v>
      </c>
      <c r="C2754" s="185"/>
      <c r="D2754" s="103" t="str">
        <f>VLOOKUP(B2754, 'All Menu'!B:M, 4, 0)</f>
        <v>لسانات منظفة</v>
      </c>
      <c r="E2754" s="30" t="str">
        <f>VLOOKUP(B2754, 'All Menu'!B:M, 2, 0)</f>
        <v>قسم الملحمة</v>
      </c>
      <c r="F2754" s="103" t="str">
        <f>VLOOKUP(B2754, 'All Menu'!B:M, 3, 0)</f>
        <v>سقط</v>
      </c>
      <c r="G2754" s="90" t="s">
        <v>3058</v>
      </c>
      <c r="H2754" s="221">
        <v>5301</v>
      </c>
      <c r="I2754" s="110" t="str">
        <f>VLOOKUP(H2754, 'RM &amp; SF'!B:H, 2, 0)</f>
        <v>صحن فلين اسود مخرم T3*****</v>
      </c>
      <c r="J2754" s="184" t="str">
        <f>VLOOKUP(H2754, 'RM &amp; SF'!B:E, 4, 0)</f>
        <v>قطعة</v>
      </c>
      <c r="K2754" s="122">
        <v>1</v>
      </c>
      <c r="L2754" s="13">
        <f>VLOOKUP(H2754, 'RM &amp; SF'!B:H, 7, 0)</f>
        <v>6.2E-2</v>
      </c>
      <c r="M2754" s="126">
        <f t="shared" si="141"/>
        <v>6.2E-2</v>
      </c>
      <c r="N2754" s="21" t="s">
        <v>825</v>
      </c>
      <c r="O2754" s="4">
        <f>VLOOKUP(B2754, 'All Menu'!B:L, 6, 0)</f>
        <v>10</v>
      </c>
      <c r="P2754" s="6">
        <f>VLOOKUP(B2754, 'All Menu'!B:L, 9, 0)</f>
        <v>4.4081209137931037</v>
      </c>
      <c r="Q2754" s="14">
        <f>VLOOKUP(B2754, 'All Menu'!B:M, 12, 0)</f>
        <v>0.55918790862068968</v>
      </c>
      <c r="R2754" s="173">
        <f t="shared" si="140"/>
        <v>0</v>
      </c>
    </row>
    <row r="2755" spans="1:18" ht="14" hidden="1">
      <c r="A2755" s="78" t="s">
        <v>2857</v>
      </c>
      <c r="B2755" s="220">
        <v>50028</v>
      </c>
      <c r="C2755" s="185"/>
      <c r="D2755" s="103" t="str">
        <f>VLOOKUP(B2755, 'All Menu'!B:M, 4, 0)</f>
        <v>لسانات منظفة</v>
      </c>
      <c r="E2755" s="30" t="str">
        <f>VLOOKUP(B2755, 'All Menu'!B:M, 2, 0)</f>
        <v>قسم الملحمة</v>
      </c>
      <c r="F2755" s="103" t="str">
        <f>VLOOKUP(B2755, 'All Menu'!B:M, 3, 0)</f>
        <v>سقط</v>
      </c>
      <c r="G2755" s="90" t="s">
        <v>3058</v>
      </c>
      <c r="H2755" s="221">
        <v>5274</v>
      </c>
      <c r="I2755" s="110" t="str">
        <f>VLOOKUP(H2755, 'RM &amp; SF'!B:H, 2, 0)</f>
        <v>نايلون للتغليف رول (رول جيلاتين) 45 سم*4 كغ*****</v>
      </c>
      <c r="J2755" s="184" t="str">
        <f>VLOOKUP(H2755, 'RM &amp; SF'!B:E, 4, 0)</f>
        <v>غم</v>
      </c>
      <c r="K2755" s="122">
        <v>20</v>
      </c>
      <c r="L2755" s="13">
        <f>VLOOKUP(H2755, 'RM &amp; SF'!B:H, 7, 0)</f>
        <v>2.0474249999999999E-3</v>
      </c>
      <c r="M2755" s="126">
        <f t="shared" si="141"/>
        <v>4.0948499999999999E-2</v>
      </c>
      <c r="N2755" s="21" t="s">
        <v>825</v>
      </c>
      <c r="O2755" s="4">
        <f>VLOOKUP(B2755, 'All Menu'!B:L, 6, 0)</f>
        <v>10</v>
      </c>
      <c r="P2755" s="6">
        <f>VLOOKUP(B2755, 'All Menu'!B:L, 9, 0)</f>
        <v>4.4081209137931037</v>
      </c>
      <c r="Q2755" s="14">
        <f>VLOOKUP(B2755, 'All Menu'!B:M, 12, 0)</f>
        <v>0.55918790862068968</v>
      </c>
      <c r="R2755" s="173">
        <f t="shared" si="140"/>
        <v>0</v>
      </c>
    </row>
    <row r="2756" spans="1:18" ht="14" hidden="1">
      <c r="A2756" s="78" t="s">
        <v>2857</v>
      </c>
      <c r="B2756" s="220">
        <v>50028</v>
      </c>
      <c r="C2756" s="185"/>
      <c r="D2756" s="103" t="str">
        <f>VLOOKUP(B2756, 'All Menu'!B:M, 4, 0)</f>
        <v>لسانات منظفة</v>
      </c>
      <c r="E2756" s="30" t="str">
        <f>VLOOKUP(B2756, 'All Menu'!B:M, 2, 0)</f>
        <v>قسم الملحمة</v>
      </c>
      <c r="F2756" s="103" t="str">
        <f>VLOOKUP(B2756, 'All Menu'!B:M, 3, 0)</f>
        <v>سقط</v>
      </c>
      <c r="G2756" s="90" t="s">
        <v>2193</v>
      </c>
      <c r="H2756" s="221">
        <v>4309</v>
      </c>
      <c r="I2756" s="110" t="str">
        <f>VLOOKUP(H2756, 'RM &amp; SF'!B:H, 2, 0)</f>
        <v>اكياس بلاستيك مطبوع 55 سم*****</v>
      </c>
      <c r="J2756" s="184" t="str">
        <f>VLOOKUP(H2756, 'RM &amp; SF'!B:E, 4, 0)</f>
        <v>قطعة</v>
      </c>
      <c r="K2756" s="122">
        <v>1</v>
      </c>
      <c r="L2756" s="13">
        <f>VLOOKUP(H2756, 'RM &amp; SF'!B:H, 7, 0)</f>
        <v>5.5172413793103454E-2</v>
      </c>
      <c r="M2756" s="126">
        <f t="shared" si="141"/>
        <v>5.5172413793103454E-2</v>
      </c>
      <c r="N2756" s="21" t="s">
        <v>825</v>
      </c>
      <c r="O2756" s="4">
        <f>VLOOKUP(B2756, 'All Menu'!B:L, 6, 0)</f>
        <v>10</v>
      </c>
      <c r="P2756" s="6">
        <f>VLOOKUP(B2756, 'All Menu'!B:L, 9, 0)</f>
        <v>4.4081209137931037</v>
      </c>
      <c r="Q2756" s="14">
        <f>VLOOKUP(B2756, 'All Menu'!B:M, 12, 0)</f>
        <v>0.55918790862068968</v>
      </c>
      <c r="R2756" s="173">
        <f t="shared" si="140"/>
        <v>0</v>
      </c>
    </row>
    <row r="2757" spans="1:18" ht="14" hidden="1">
      <c r="A2757" s="78" t="s">
        <v>2905</v>
      </c>
      <c r="B2757" s="220">
        <v>60085</v>
      </c>
      <c r="C2757" s="185"/>
      <c r="D2757" s="103" t="str">
        <f>VLOOKUP(B2757, 'All Menu'!B:M, 4, 0)</f>
        <v>فيليه عجل 18</v>
      </c>
      <c r="E2757" s="30" t="str">
        <f>VLOOKUP(B2757, 'All Menu'!B:M, 2, 0)</f>
        <v>قسم الملحمة</v>
      </c>
      <c r="F2757" s="103" t="str">
        <f>VLOOKUP(B2757, 'All Menu'!B:M, 3, 0)</f>
        <v>لحوم بلدية</v>
      </c>
      <c r="G2757" s="90" t="s">
        <v>3058</v>
      </c>
      <c r="H2757" s="221">
        <v>5436</v>
      </c>
      <c r="I2757" s="110" t="str">
        <f>VLOOKUP(H2757, 'RM &amp; SF'!B:H, 2, 0)</f>
        <v>فتايل روماني</v>
      </c>
      <c r="J2757" s="184" t="str">
        <f>VLOOKUP(H2757, 'RM &amp; SF'!B:E, 4, 0)</f>
        <v>غم</v>
      </c>
      <c r="K2757" s="122">
        <v>800</v>
      </c>
      <c r="L2757" s="13">
        <f>VLOOKUP(H2757, 'RM &amp; SF'!B:H, 7, 0)</f>
        <v>2.1000000000000001E-2</v>
      </c>
      <c r="M2757" s="126">
        <f t="shared" si="141"/>
        <v>16.8</v>
      </c>
      <c r="N2757" s="21" t="s">
        <v>825</v>
      </c>
      <c r="O2757" s="4">
        <f>VLOOKUP(B2757, 'All Menu'!B:L, 6, 0)</f>
        <v>22</v>
      </c>
      <c r="P2757" s="6">
        <f>VLOOKUP(B2757, 'All Menu'!B:L, 9, 0)</f>
        <v>16.958120913793103</v>
      </c>
      <c r="Q2757" s="14">
        <f>VLOOKUP(B2757, 'All Menu'!B:M, 12, 0)</f>
        <v>0.22917632210031352</v>
      </c>
      <c r="R2757" s="173">
        <f t="shared" si="140"/>
        <v>0</v>
      </c>
    </row>
    <row r="2758" spans="1:18" ht="14" hidden="1">
      <c r="A2758" s="78" t="s">
        <v>2905</v>
      </c>
      <c r="B2758" s="220">
        <v>60085</v>
      </c>
      <c r="C2758" s="185"/>
      <c r="D2758" s="103" t="str">
        <f>VLOOKUP(B2758, 'All Menu'!B:M, 4, 0)</f>
        <v>فيليه عجل 18</v>
      </c>
      <c r="E2758" s="30" t="str">
        <f>VLOOKUP(B2758, 'All Menu'!B:M, 2, 0)</f>
        <v>قسم الملحمة</v>
      </c>
      <c r="F2758" s="103" t="str">
        <f>VLOOKUP(B2758, 'All Menu'!B:M, 3, 0)</f>
        <v>لحوم بلدية</v>
      </c>
      <c r="G2758" s="90" t="s">
        <v>3058</v>
      </c>
      <c r="H2758" s="221">
        <v>5301</v>
      </c>
      <c r="I2758" s="110" t="str">
        <f>VLOOKUP(H2758, 'RM &amp; SF'!B:H, 2, 0)</f>
        <v>صحن فلين اسود مخرم T3*****</v>
      </c>
      <c r="J2758" s="184" t="str">
        <f>VLOOKUP(H2758, 'RM &amp; SF'!B:E, 4, 0)</f>
        <v>قطعة</v>
      </c>
      <c r="K2758" s="122">
        <v>1</v>
      </c>
      <c r="L2758" s="13">
        <f>VLOOKUP(H2758, 'RM &amp; SF'!B:H, 7, 0)</f>
        <v>6.2E-2</v>
      </c>
      <c r="M2758" s="126">
        <f t="shared" si="141"/>
        <v>6.2E-2</v>
      </c>
      <c r="N2758" s="21" t="s">
        <v>825</v>
      </c>
      <c r="O2758" s="4">
        <f>VLOOKUP(B2758, 'All Menu'!B:L, 6, 0)</f>
        <v>22</v>
      </c>
      <c r="P2758" s="6">
        <f>VLOOKUP(B2758, 'All Menu'!B:L, 9, 0)</f>
        <v>16.958120913793103</v>
      </c>
      <c r="Q2758" s="14">
        <f>VLOOKUP(B2758, 'All Menu'!B:M, 12, 0)</f>
        <v>0.22917632210031352</v>
      </c>
      <c r="R2758" s="173">
        <f t="shared" si="140"/>
        <v>0</v>
      </c>
    </row>
    <row r="2759" spans="1:18" ht="14" hidden="1">
      <c r="A2759" s="78" t="s">
        <v>2905</v>
      </c>
      <c r="B2759" s="220">
        <v>60085</v>
      </c>
      <c r="C2759" s="185"/>
      <c r="D2759" s="103" t="str">
        <f>VLOOKUP(B2759, 'All Menu'!B:M, 4, 0)</f>
        <v>فيليه عجل 18</v>
      </c>
      <c r="E2759" s="30" t="str">
        <f>VLOOKUP(B2759, 'All Menu'!B:M, 2, 0)</f>
        <v>قسم الملحمة</v>
      </c>
      <c r="F2759" s="103" t="str">
        <f>VLOOKUP(B2759, 'All Menu'!B:M, 3, 0)</f>
        <v>لحوم بلدية</v>
      </c>
      <c r="G2759" s="90" t="s">
        <v>3058</v>
      </c>
      <c r="H2759" s="221">
        <v>5274</v>
      </c>
      <c r="I2759" s="110" t="str">
        <f>VLOOKUP(H2759, 'RM &amp; SF'!B:H, 2, 0)</f>
        <v>نايلون للتغليف رول (رول جيلاتين) 45 سم*4 كغ*****</v>
      </c>
      <c r="J2759" s="184" t="str">
        <f>VLOOKUP(H2759, 'RM &amp; SF'!B:E, 4, 0)</f>
        <v>غم</v>
      </c>
      <c r="K2759" s="122">
        <v>20</v>
      </c>
      <c r="L2759" s="13">
        <f>VLOOKUP(H2759, 'RM &amp; SF'!B:H, 7, 0)</f>
        <v>2.0474249999999999E-3</v>
      </c>
      <c r="M2759" s="126">
        <f t="shared" si="141"/>
        <v>4.0948499999999999E-2</v>
      </c>
      <c r="N2759" s="21" t="s">
        <v>825</v>
      </c>
      <c r="O2759" s="4">
        <f>VLOOKUP(B2759, 'All Menu'!B:L, 6, 0)</f>
        <v>22</v>
      </c>
      <c r="P2759" s="6">
        <f>VLOOKUP(B2759, 'All Menu'!B:L, 9, 0)</f>
        <v>16.958120913793103</v>
      </c>
      <c r="Q2759" s="14">
        <f>VLOOKUP(B2759, 'All Menu'!B:M, 12, 0)</f>
        <v>0.22917632210031352</v>
      </c>
      <c r="R2759" s="173">
        <f t="shared" si="140"/>
        <v>0</v>
      </c>
    </row>
    <row r="2760" spans="1:18" ht="14" hidden="1">
      <c r="A2760" s="78" t="s">
        <v>2905</v>
      </c>
      <c r="B2760" s="220">
        <v>60085</v>
      </c>
      <c r="C2760" s="185"/>
      <c r="D2760" s="103" t="str">
        <f>VLOOKUP(B2760, 'All Menu'!B:M, 4, 0)</f>
        <v>فيليه عجل 18</v>
      </c>
      <c r="E2760" s="30" t="str">
        <f>VLOOKUP(B2760, 'All Menu'!B:M, 2, 0)</f>
        <v>قسم الملحمة</v>
      </c>
      <c r="F2760" s="103" t="str">
        <f>VLOOKUP(B2760, 'All Menu'!B:M, 3, 0)</f>
        <v>لحوم بلدية</v>
      </c>
      <c r="G2760" s="90" t="s">
        <v>2193</v>
      </c>
      <c r="H2760" s="221">
        <v>4309</v>
      </c>
      <c r="I2760" s="110" t="str">
        <f>VLOOKUP(H2760, 'RM &amp; SF'!B:H, 2, 0)</f>
        <v>اكياس بلاستيك مطبوع 55 سم*****</v>
      </c>
      <c r="J2760" s="184" t="str">
        <f>VLOOKUP(H2760, 'RM &amp; SF'!B:E, 4, 0)</f>
        <v>قطعة</v>
      </c>
      <c r="K2760" s="122">
        <v>1</v>
      </c>
      <c r="L2760" s="13">
        <f>VLOOKUP(H2760, 'RM &amp; SF'!B:H, 7, 0)</f>
        <v>5.5172413793103454E-2</v>
      </c>
      <c r="M2760" s="126">
        <f t="shared" si="141"/>
        <v>5.5172413793103454E-2</v>
      </c>
      <c r="N2760" s="21" t="s">
        <v>825</v>
      </c>
      <c r="O2760" s="4">
        <f>VLOOKUP(B2760, 'All Menu'!B:L, 6, 0)</f>
        <v>22</v>
      </c>
      <c r="P2760" s="6">
        <f>VLOOKUP(B2760, 'All Menu'!B:L, 9, 0)</f>
        <v>16.958120913793103</v>
      </c>
      <c r="Q2760" s="14">
        <f>VLOOKUP(B2760, 'All Menu'!B:M, 12, 0)</f>
        <v>0.22917632210031352</v>
      </c>
      <c r="R2760" s="173">
        <f t="shared" ref="R2760:R2823" si="142">C2760*K2760</f>
        <v>0</v>
      </c>
    </row>
    <row r="2761" spans="1:18" ht="14" hidden="1">
      <c r="A2761" s="78" t="s">
        <v>2896</v>
      </c>
      <c r="B2761" s="220">
        <v>60056</v>
      </c>
      <c r="C2761" s="185"/>
      <c r="D2761" s="103" t="str">
        <f>VLOOKUP(B2761, 'All Menu'!B:M, 4, 0)</f>
        <v>فتايل بلدي مجروم</v>
      </c>
      <c r="E2761" s="30" t="str">
        <f>VLOOKUP(B2761, 'All Menu'!B:M, 2, 0)</f>
        <v>قسم الملحمة</v>
      </c>
      <c r="F2761" s="103" t="str">
        <f>VLOOKUP(B2761, 'All Menu'!B:M, 3, 0)</f>
        <v>لحوم بلدية</v>
      </c>
      <c r="G2761" s="90" t="s">
        <v>3058</v>
      </c>
      <c r="H2761" s="188">
        <v>5398</v>
      </c>
      <c r="I2761" s="110" t="str">
        <f>VLOOKUP(H2761, 'RM &amp; SF'!B:H, 2, 0)</f>
        <v xml:space="preserve">فيليه </v>
      </c>
      <c r="J2761" s="184" t="str">
        <f>VLOOKUP(H2761, 'RM &amp; SF'!B:E, 4, 0)</f>
        <v>غم</v>
      </c>
      <c r="K2761" s="122">
        <f>1000/0.8</f>
        <v>1250</v>
      </c>
      <c r="L2761" s="13">
        <f>VLOOKUP(H2761, 'RM &amp; SF'!B:H, 7, 0)</f>
        <v>2.1499999999999998E-2</v>
      </c>
      <c r="M2761" s="126">
        <f t="shared" si="141"/>
        <v>26.874999999999996</v>
      </c>
      <c r="N2761" s="21" t="s">
        <v>825</v>
      </c>
      <c r="O2761" s="4">
        <f>VLOOKUP(B2761, 'All Menu'!B:L, 6, 0)</f>
        <v>26</v>
      </c>
      <c r="P2761" s="6">
        <f>VLOOKUP(B2761, 'All Menu'!B:L, 9, 0)</f>
        <v>26.874999999999996</v>
      </c>
      <c r="Q2761" s="14">
        <f>VLOOKUP(B2761, 'All Menu'!B:M, 12, 0)</f>
        <v>-3.365384615384602E-2</v>
      </c>
      <c r="R2761" s="173">
        <f t="shared" si="142"/>
        <v>0</v>
      </c>
    </row>
    <row r="2762" spans="1:18" ht="14" hidden="1">
      <c r="A2762" s="78" t="s">
        <v>3148</v>
      </c>
      <c r="B2762" s="220">
        <v>60058</v>
      </c>
      <c r="C2762" s="185"/>
      <c r="D2762" s="103" t="str">
        <f>VLOOKUP(B2762, 'All Menu'!B:M, 4, 0)</f>
        <v>بلدي مجروم فيليه</v>
      </c>
      <c r="E2762" s="30" t="str">
        <f>VLOOKUP(B2762, 'All Menu'!B:M, 2, 0)</f>
        <v>قسم الملحمة</v>
      </c>
      <c r="F2762" s="103" t="str">
        <f>VLOOKUP(B2762, 'All Menu'!B:M, 3, 0)</f>
        <v>لحوم بلدية</v>
      </c>
      <c r="G2762" s="90" t="s">
        <v>3058</v>
      </c>
      <c r="H2762" s="188">
        <v>5398</v>
      </c>
      <c r="I2762" s="110" t="str">
        <f>VLOOKUP(H2762, 'RM &amp; SF'!B:H, 2, 0)</f>
        <v xml:space="preserve">فيليه </v>
      </c>
      <c r="J2762" s="184" t="str">
        <f>VLOOKUP(H2762, 'RM &amp; SF'!B:E, 4, 0)</f>
        <v>غم</v>
      </c>
      <c r="K2762" s="122">
        <f>1000/0.8</f>
        <v>1250</v>
      </c>
      <c r="L2762" s="13">
        <f>VLOOKUP(H2762, 'RM &amp; SF'!B:H, 7, 0)</f>
        <v>2.1499999999999998E-2</v>
      </c>
      <c r="M2762" s="126">
        <f t="shared" si="141"/>
        <v>26.874999999999996</v>
      </c>
      <c r="N2762" s="21" t="s">
        <v>825</v>
      </c>
      <c r="O2762" s="4">
        <f>VLOOKUP(B2762, 'All Menu'!B:L, 6, 0)</f>
        <v>24</v>
      </c>
      <c r="P2762" s="6">
        <f>VLOOKUP(B2762, 'All Menu'!B:L, 9, 0)</f>
        <v>26.874999999999996</v>
      </c>
      <c r="Q2762" s="14">
        <f>VLOOKUP(B2762, 'All Menu'!B:M, 12, 0)</f>
        <v>-0.11979166666666652</v>
      </c>
      <c r="R2762" s="173">
        <f t="shared" si="142"/>
        <v>0</v>
      </c>
    </row>
    <row r="2763" spans="1:18" ht="14" hidden="1">
      <c r="A2763" s="78" t="s">
        <v>3124</v>
      </c>
      <c r="B2763" s="220">
        <v>50047</v>
      </c>
      <c r="C2763" s="185"/>
      <c r="D2763" s="30" t="str">
        <f>VLOOKUP(B2763, 'All Menu'!B:M, 4, 0)</f>
        <v>احشاء خروف</v>
      </c>
      <c r="E2763" s="30" t="str">
        <f>VLOOKUP(B2763, 'All Menu'!B:M, 2, 0)</f>
        <v>قسم الملحمة</v>
      </c>
      <c r="F2763" s="103" t="str">
        <f>VLOOKUP(B2763, 'All Menu'!B:M, 3, 0)</f>
        <v>دواجن</v>
      </c>
      <c r="G2763" s="90" t="s">
        <v>3058</v>
      </c>
      <c r="H2763" s="221">
        <v>5318</v>
      </c>
      <c r="I2763" s="110" t="str">
        <f>VLOOKUP(H2763, 'RM &amp; SF'!B:H, 2, 0)</f>
        <v>معلاق</v>
      </c>
      <c r="J2763" s="184" t="str">
        <f>VLOOKUP(H2763, 'RM &amp; SF'!B:E, 4, 0)</f>
        <v>قطعة</v>
      </c>
      <c r="K2763" s="122">
        <v>1</v>
      </c>
      <c r="L2763" s="13">
        <f>VLOOKUP(H2763, 'RM &amp; SF'!B:H, 7, 0)</f>
        <v>4.5</v>
      </c>
      <c r="M2763" s="126">
        <f t="shared" si="141"/>
        <v>4.5</v>
      </c>
      <c r="N2763" s="21" t="s">
        <v>825</v>
      </c>
      <c r="O2763" s="4">
        <f>VLOOKUP(B2763, 'All Menu'!B:L, 6, 0)</f>
        <v>6.5</v>
      </c>
      <c r="P2763" s="6">
        <f>VLOOKUP(B2763, 'All Menu'!B:L, 9, 0)</f>
        <v>4.5</v>
      </c>
      <c r="Q2763" s="14">
        <f>VLOOKUP(B2763, 'All Menu'!B:M, 12, 0)</f>
        <v>0.30769230769230771</v>
      </c>
      <c r="R2763" s="173">
        <f t="shared" si="142"/>
        <v>0</v>
      </c>
    </row>
    <row r="2764" spans="1:18" ht="14" hidden="1">
      <c r="A2764" s="78" t="s">
        <v>3119</v>
      </c>
      <c r="B2764" s="220">
        <v>50024</v>
      </c>
      <c r="C2764" s="185"/>
      <c r="D2764" s="103" t="str">
        <f>VLOOKUP(B2764, 'All Menu'!B:M, 4, 0)</f>
        <v>نخاعات -حبة</v>
      </c>
      <c r="E2764" s="30" t="str">
        <f>VLOOKUP(B2764, 'All Menu'!B:M, 2, 0)</f>
        <v>قسم الملحمة</v>
      </c>
      <c r="F2764" s="103" t="str">
        <f>VLOOKUP(B2764, 'All Menu'!B:M, 3, 0)</f>
        <v>سقط</v>
      </c>
      <c r="G2764" s="90" t="s">
        <v>3058</v>
      </c>
      <c r="H2764" s="221">
        <v>5066</v>
      </c>
      <c r="I2764" s="110" t="str">
        <f>VLOOKUP(H2764, 'RM &amp; SF'!B:H, 2, 0)</f>
        <v>نخاعات نية*****</v>
      </c>
      <c r="J2764" s="184" t="str">
        <f>VLOOKUP(H2764, 'RM &amp; SF'!B:E, 4, 0)</f>
        <v>قطعة</v>
      </c>
      <c r="K2764" s="122">
        <v>1</v>
      </c>
      <c r="L2764" s="13">
        <f>VLOOKUP(H2764, 'RM &amp; SF'!B:H, 7, 0)</f>
        <v>1.25</v>
      </c>
      <c r="M2764" s="126">
        <f t="shared" si="141"/>
        <v>1.25</v>
      </c>
      <c r="N2764" s="21" t="s">
        <v>825</v>
      </c>
      <c r="O2764" s="4">
        <f>VLOOKUP(B2764, 'All Menu'!B:L, 6, 0)</f>
        <v>2.5</v>
      </c>
      <c r="P2764" s="6">
        <f>VLOOKUP(B2764, 'All Menu'!B:L, 9, 0)</f>
        <v>1.25</v>
      </c>
      <c r="Q2764" s="14">
        <f>VLOOKUP(B2764, 'All Menu'!B:M, 12, 0)</f>
        <v>0.5</v>
      </c>
      <c r="R2764" s="173">
        <f t="shared" si="142"/>
        <v>0</v>
      </c>
    </row>
    <row r="2765" spans="1:18" s="79" customFormat="1" ht="14" hidden="1">
      <c r="A2765" s="78" t="s">
        <v>3152</v>
      </c>
      <c r="B2765" s="220">
        <v>60088</v>
      </c>
      <c r="C2765" s="185"/>
      <c r="D2765" s="148" t="str">
        <f>VLOOKUP(B2765, 'All Menu'!B:M, 4, 0)</f>
        <v>خروف روماني 9.5</v>
      </c>
      <c r="E2765" s="30" t="str">
        <f>VLOOKUP(B2765, 'All Menu'!B:M, 2, 0)</f>
        <v>قسم الملحمة</v>
      </c>
      <c r="F2765" s="103" t="str">
        <f>VLOOKUP(B2765, 'All Menu'!B:M, 3, 0)</f>
        <v>لحوم مستوردة</v>
      </c>
      <c r="G2765" s="90" t="s">
        <v>3058</v>
      </c>
      <c r="H2765" s="229" t="s">
        <v>2146</v>
      </c>
      <c r="I2765" s="110" t="str">
        <f>VLOOKUP(H2765, 'RM &amp; SF'!B:H, 2, 0)</f>
        <v xml:space="preserve"> خروف روماني</v>
      </c>
      <c r="J2765" s="184" t="str">
        <f>VLOOKUP(H2765, 'RM &amp; SF'!B:E, 4, 0)</f>
        <v>غم</v>
      </c>
      <c r="K2765" s="135">
        <v>1000</v>
      </c>
      <c r="L2765" s="13">
        <f>VLOOKUP(H2765, 'RM &amp; SF'!B:H, 7, 0)</f>
        <v>1.1039193820514564E-2</v>
      </c>
      <c r="M2765" s="140">
        <f t="shared" si="141"/>
        <v>11.039193820514564</v>
      </c>
      <c r="N2765" s="141" t="s">
        <v>825</v>
      </c>
      <c r="O2765" s="134">
        <f>VLOOKUP(B2765, 'All Menu'!B:L, 6, 0)</f>
        <v>9.5</v>
      </c>
      <c r="P2765" s="136">
        <f>VLOOKUP(B2765, 'All Menu'!B:L, 9, 0)</f>
        <v>11.039193820514564</v>
      </c>
      <c r="Q2765" s="137">
        <f>VLOOKUP(B2765, 'All Menu'!B:M, 12, 0)</f>
        <v>-0.16202040215942778</v>
      </c>
      <c r="R2765" s="173">
        <f t="shared" si="142"/>
        <v>0</v>
      </c>
    </row>
    <row r="2766" spans="1:18" ht="14" hidden="1">
      <c r="A2766" s="78" t="s">
        <v>3131</v>
      </c>
      <c r="B2766" s="220">
        <v>60010</v>
      </c>
      <c r="C2766" s="185"/>
      <c r="D2766" s="103" t="str">
        <f>VLOOKUP(B2766, 'All Menu'!B:M, 4, 0)</f>
        <v>ريش خروف بلدي منضف</v>
      </c>
      <c r="E2766" s="30" t="str">
        <f>VLOOKUP(B2766, 'All Menu'!B:M, 2, 0)</f>
        <v>قسم الملحمة</v>
      </c>
      <c r="F2766" s="103" t="str">
        <f>VLOOKUP(B2766, 'All Menu'!B:M, 3, 0)</f>
        <v>لحوم بلدية</v>
      </c>
      <c r="G2766" s="90" t="s">
        <v>3058</v>
      </c>
      <c r="H2766" s="221" t="s">
        <v>2158</v>
      </c>
      <c r="I2766" s="110" t="str">
        <f>VLOOKUP(H2766, 'RM &amp; SF'!B:H, 2, 0)</f>
        <v>ريش ضأن متبلة***** ملحمه</v>
      </c>
      <c r="J2766" s="184" t="str">
        <f>VLOOKUP(H2766, 'RM &amp; SF'!B:E, 4, 0)</f>
        <v>غم</v>
      </c>
      <c r="K2766" s="122">
        <v>1000</v>
      </c>
      <c r="L2766" s="13">
        <f>VLOOKUP(H2766, 'RM &amp; SF'!B:H, 7, 0)</f>
        <v>1.1039193820514564E-2</v>
      </c>
      <c r="M2766" s="126">
        <f t="shared" si="141"/>
        <v>11.039193820514564</v>
      </c>
      <c r="N2766" s="21" t="s">
        <v>825</v>
      </c>
      <c r="O2766" s="4">
        <f>VLOOKUP(B2766, 'All Menu'!B:L, 6, 0)</f>
        <v>16</v>
      </c>
      <c r="P2766" s="6">
        <f>VLOOKUP(B2766, 'All Menu'!B:L, 9, 0)</f>
        <v>11.039193820514564</v>
      </c>
      <c r="Q2766" s="14">
        <f>VLOOKUP(B2766, 'All Menu'!B:M, 12, 0)</f>
        <v>0.31005038621783976</v>
      </c>
      <c r="R2766" s="173">
        <f t="shared" si="142"/>
        <v>0</v>
      </c>
    </row>
    <row r="2767" spans="1:18" ht="14" hidden="1">
      <c r="A2767" s="78" t="s">
        <v>3135</v>
      </c>
      <c r="B2767" s="220">
        <v>60015</v>
      </c>
      <c r="C2767" s="185"/>
      <c r="D2767" s="103" t="str">
        <f>VLOOKUP(B2767, 'All Menu'!B:M, 4, 0)</f>
        <v>فيليه بلدي منظف</v>
      </c>
      <c r="E2767" s="30" t="str">
        <f>VLOOKUP(B2767, 'All Menu'!B:M, 2, 0)</f>
        <v>قسم الملحمة</v>
      </c>
      <c r="F2767" s="103" t="str">
        <f>VLOOKUP(B2767, 'All Menu'!B:M, 3, 0)</f>
        <v>لحوم بلدية</v>
      </c>
      <c r="G2767" s="90" t="s">
        <v>3058</v>
      </c>
      <c r="H2767" s="188">
        <v>5398</v>
      </c>
      <c r="I2767" s="110" t="str">
        <f>VLOOKUP(H2767, 'RM &amp; SF'!B:H, 2, 0)</f>
        <v xml:space="preserve">فيليه </v>
      </c>
      <c r="J2767" s="184" t="str">
        <f>VLOOKUP(H2767, 'RM &amp; SF'!B:E, 4, 0)</f>
        <v>غم</v>
      </c>
      <c r="K2767" s="122">
        <v>1000</v>
      </c>
      <c r="L2767" s="13">
        <f>VLOOKUP(H2767, 'RM &amp; SF'!B:H, 7, 0)</f>
        <v>2.1499999999999998E-2</v>
      </c>
      <c r="M2767" s="126">
        <f t="shared" si="141"/>
        <v>21.5</v>
      </c>
      <c r="N2767" s="21" t="s">
        <v>825</v>
      </c>
      <c r="O2767" s="4">
        <f>VLOOKUP(B2767, 'All Menu'!B:L, 6, 0)</f>
        <v>20</v>
      </c>
      <c r="P2767" s="6">
        <f>VLOOKUP(B2767, 'All Menu'!B:L, 9, 0)</f>
        <v>21.5</v>
      </c>
      <c r="Q2767" s="14">
        <f>VLOOKUP(B2767, 'All Menu'!B:M, 12, 0)</f>
        <v>-7.4999999999999997E-2</v>
      </c>
      <c r="R2767" s="173">
        <f t="shared" si="142"/>
        <v>0</v>
      </c>
    </row>
    <row r="2768" spans="1:18" ht="15.5" hidden="1">
      <c r="A2768" s="78" t="s">
        <v>3137</v>
      </c>
      <c r="B2768" s="220">
        <v>60017</v>
      </c>
      <c r="C2768" s="185"/>
      <c r="D2768" s="103" t="str">
        <f>VLOOKUP(B2768, 'All Menu'!B:M, 4, 0)</f>
        <v>روز بيف بلدي منظف</v>
      </c>
      <c r="E2768" s="30" t="str">
        <f>VLOOKUP(B2768, 'All Menu'!B:M, 2, 0)</f>
        <v>قسم الملحمة</v>
      </c>
      <c r="F2768" s="103" t="str">
        <f>VLOOKUP(B2768, 'All Menu'!B:M, 3, 0)</f>
        <v>لحوم بلدية</v>
      </c>
      <c r="G2768" s="90" t="s">
        <v>3058</v>
      </c>
      <c r="H2768" s="112">
        <v>5401</v>
      </c>
      <c r="I2768" s="110" t="str">
        <f>VLOOKUP(H2768, 'RM &amp; SF'!B:H, 2, 0)</f>
        <v xml:space="preserve">روز بيف  </v>
      </c>
      <c r="J2768" s="184" t="str">
        <f>VLOOKUP(H2768, 'RM &amp; SF'!B:E, 4, 0)</f>
        <v>غم</v>
      </c>
      <c r="K2768" s="122">
        <v>1000</v>
      </c>
      <c r="L2768" s="13">
        <f>VLOOKUP(H2768, 'RM &amp; SF'!B:H, 7, 0)</f>
        <v>1.2580000000000001E-2</v>
      </c>
      <c r="M2768" s="126">
        <f t="shared" si="141"/>
        <v>12.58</v>
      </c>
      <c r="N2768" s="21" t="s">
        <v>825</v>
      </c>
      <c r="O2768" s="4">
        <f>VLOOKUP(B2768, 'All Menu'!B:L, 6, 0)</f>
        <v>14</v>
      </c>
      <c r="P2768" s="6">
        <f>VLOOKUP(B2768, 'All Menu'!B:L, 9, 0)</f>
        <v>12.58</v>
      </c>
      <c r="Q2768" s="14">
        <f>VLOOKUP(B2768, 'All Menu'!B:M, 12, 0)</f>
        <v>0.10142857142857142</v>
      </c>
      <c r="R2768" s="173">
        <f t="shared" si="142"/>
        <v>0</v>
      </c>
    </row>
    <row r="2769" spans="1:18" ht="14" hidden="1">
      <c r="A2769" s="78" t="s">
        <v>2841</v>
      </c>
      <c r="B2769" s="220">
        <v>50002</v>
      </c>
      <c r="C2769" s="185"/>
      <c r="D2769" s="30" t="str">
        <f>VLOOKUP(B2769, 'All Menu'!B:M, 4, 0)</f>
        <v>دجاج طازج</v>
      </c>
      <c r="E2769" s="30" t="str">
        <f>VLOOKUP(B2769, 'All Menu'!B:M, 2, 0)</f>
        <v>قسم الملحمة</v>
      </c>
      <c r="F2769" s="103" t="str">
        <f>VLOOKUP(B2769, 'All Menu'!B:M, 3, 0)</f>
        <v>دواجن</v>
      </c>
      <c r="G2769" s="90" t="s">
        <v>3058</v>
      </c>
      <c r="H2769" s="221">
        <v>5288</v>
      </c>
      <c r="I2769" s="110" t="str">
        <f>VLOOKUP(H2769, 'RM &amp; SF'!B:H, 2, 0)</f>
        <v>دجاج كيس طازج تمام*****</v>
      </c>
      <c r="J2769" s="184" t="str">
        <f>VLOOKUP(H2769, 'RM &amp; SF'!B:E, 4, 0)</f>
        <v>غم</v>
      </c>
      <c r="K2769" s="122">
        <v>1000</v>
      </c>
      <c r="L2769" s="13">
        <f>VLOOKUP(H2769, 'RM &amp; SF'!B:H, 7, 0)</f>
        <v>1.9E-3</v>
      </c>
      <c r="M2769" s="126">
        <f t="shared" si="141"/>
        <v>1.9</v>
      </c>
      <c r="N2769" s="21" t="s">
        <v>825</v>
      </c>
      <c r="O2769" s="4">
        <f>VLOOKUP(B2769, 'All Menu'!B:L, 6, 0)</f>
        <v>2.5</v>
      </c>
      <c r="P2769" s="6">
        <f>VLOOKUP(B2769, 'All Menu'!B:L, 9, 0)</f>
        <v>1.9</v>
      </c>
      <c r="Q2769" s="14">
        <f>VLOOKUP(B2769, 'All Menu'!B:M, 12, 0)</f>
        <v>0.24000000000000005</v>
      </c>
      <c r="R2769" s="173">
        <f t="shared" si="142"/>
        <v>0</v>
      </c>
    </row>
    <row r="2770" spans="1:18" ht="14" hidden="1">
      <c r="A2770" s="78" t="s">
        <v>2861</v>
      </c>
      <c r="B2770" s="220">
        <v>50035</v>
      </c>
      <c r="C2770" s="185"/>
      <c r="D2770" s="103" t="str">
        <f>VLOOKUP(B2770, 'All Menu'!B:M, 4, 0)</f>
        <v>عصاعيص خروف منظف</v>
      </c>
      <c r="E2770" s="30" t="str">
        <f>VLOOKUP(B2770, 'All Menu'!B:M, 2, 0)</f>
        <v>قسم الملحمة</v>
      </c>
      <c r="F2770" s="103" t="str">
        <f>VLOOKUP(B2770, 'All Menu'!B:M, 3, 0)</f>
        <v>سقط</v>
      </c>
      <c r="G2770" s="90" t="s">
        <v>3058</v>
      </c>
      <c r="H2770" s="221" t="s">
        <v>409</v>
      </c>
      <c r="I2770" s="110" t="str">
        <f>VLOOKUP(H2770, 'RM &amp; SF'!B:H, 2, 0)</f>
        <v>عصاعيص  خروف منظف</v>
      </c>
      <c r="J2770" s="184" t="str">
        <f>VLOOKUP(H2770, 'RM &amp; SF'!B:E, 4, 0)</f>
        <v>غم</v>
      </c>
      <c r="K2770" s="122">
        <v>1000</v>
      </c>
      <c r="L2770" s="13">
        <f>VLOOKUP(H2770, 'RM &amp; SF'!B:H, 7, 0)</f>
        <v>5.4999999999999997E-3</v>
      </c>
      <c r="M2770" s="126">
        <f t="shared" si="141"/>
        <v>5.5</v>
      </c>
      <c r="N2770" s="21" t="s">
        <v>825</v>
      </c>
      <c r="O2770" s="4">
        <f>VLOOKUP(B2770, 'All Menu'!B:L, 6, 0)</f>
        <v>7</v>
      </c>
      <c r="P2770" s="6">
        <f>VLOOKUP(B2770, 'All Menu'!B:L, 9, 0)</f>
        <v>5.5</v>
      </c>
      <c r="Q2770" s="14">
        <f>VLOOKUP(B2770, 'All Menu'!B:M, 12, 0)</f>
        <v>0.21428571428571427</v>
      </c>
      <c r="R2770" s="173">
        <f t="shared" si="142"/>
        <v>0</v>
      </c>
    </row>
    <row r="2771" spans="1:18" ht="14" hidden="1">
      <c r="A2771" s="78" t="s">
        <v>2878</v>
      </c>
      <c r="B2771" s="220">
        <v>60029</v>
      </c>
      <c r="C2771" s="185"/>
      <c r="D2771" s="103" t="str">
        <f>VLOOKUP(B2771, 'All Menu'!B:M, 4, 0)</f>
        <v>ريش مشكوك</v>
      </c>
      <c r="E2771" s="30" t="str">
        <f>VLOOKUP(B2771, 'All Menu'!B:M, 2, 0)</f>
        <v>قسم الملحمة</v>
      </c>
      <c r="F2771" s="103" t="str">
        <f>VLOOKUP(B2771, 'All Menu'!B:M, 3, 0)</f>
        <v>لحوم مشكوكة</v>
      </c>
      <c r="G2771" s="90" t="s">
        <v>3058</v>
      </c>
      <c r="H2771" s="221" t="s">
        <v>2158</v>
      </c>
      <c r="I2771" s="110" t="str">
        <f>VLOOKUP(H2771, 'RM &amp; SF'!B:H, 2, 0)</f>
        <v>ريش ضأن متبلة***** ملحمه</v>
      </c>
      <c r="J2771" s="184" t="str">
        <f>VLOOKUP(H2771, 'RM &amp; SF'!B:E, 4, 0)</f>
        <v>غم</v>
      </c>
      <c r="K2771" s="122">
        <v>1000</v>
      </c>
      <c r="L2771" s="13">
        <f>VLOOKUP(H2771, 'RM &amp; SF'!B:H, 7, 0)</f>
        <v>1.1039193820514564E-2</v>
      </c>
      <c r="M2771" s="126">
        <f t="shared" si="141"/>
        <v>11.039193820514564</v>
      </c>
      <c r="N2771" s="21" t="s">
        <v>825</v>
      </c>
      <c r="O2771" s="4">
        <f>VLOOKUP(B2771, 'All Menu'!B:L, 6, 0)</f>
        <v>20</v>
      </c>
      <c r="P2771" s="6">
        <f>VLOOKUP(B2771, 'All Menu'!B:L, 9, 0)</f>
        <v>12.540785760514565</v>
      </c>
      <c r="Q2771" s="14">
        <f>VLOOKUP(B2771, 'All Menu'!B:M, 12, 0)</f>
        <v>0.37296071197427177</v>
      </c>
      <c r="R2771" s="173">
        <f t="shared" si="142"/>
        <v>0</v>
      </c>
    </row>
    <row r="2772" spans="1:18" ht="14" hidden="1">
      <c r="A2772" s="78" t="s">
        <v>2878</v>
      </c>
      <c r="B2772" s="220">
        <v>60029</v>
      </c>
      <c r="C2772" s="185"/>
      <c r="D2772" s="103" t="str">
        <f>VLOOKUP(B2772, 'All Menu'!B:M, 4, 0)</f>
        <v>ريش مشكوك</v>
      </c>
      <c r="E2772" s="30" t="str">
        <f>VLOOKUP(B2772, 'All Menu'!B:M, 2, 0)</f>
        <v>قسم الملحمة</v>
      </c>
      <c r="F2772" s="103" t="str">
        <f>VLOOKUP(B2772, 'All Menu'!B:M, 3, 0)</f>
        <v>لحوم مشكوكة</v>
      </c>
      <c r="G2772" s="90" t="s">
        <v>2234</v>
      </c>
      <c r="H2772" s="221">
        <v>4503</v>
      </c>
      <c r="I2772" s="110" t="str">
        <f>VLOOKUP(H2772, 'RM &amp; SF'!B:H, 2, 0)</f>
        <v>بصل ناشف دفش*****</v>
      </c>
      <c r="J2772" s="184" t="str">
        <f>VLOOKUP(H2772, 'RM &amp; SF'!B:E, 4, 0)</f>
        <v>غم</v>
      </c>
      <c r="K2772" s="122">
        <v>150</v>
      </c>
      <c r="L2772" s="13">
        <f>VLOOKUP(H2772, 'RM &amp; SF'!B:H, 7, 0)</f>
        <v>2.5000000000000001E-4</v>
      </c>
      <c r="M2772" s="126">
        <f t="shared" si="141"/>
        <v>3.7499999999999999E-2</v>
      </c>
      <c r="N2772" s="21" t="s">
        <v>825</v>
      </c>
      <c r="O2772" s="4">
        <f>VLOOKUP(B2772, 'All Menu'!B:L, 6, 0)</f>
        <v>20</v>
      </c>
      <c r="P2772" s="6">
        <f>VLOOKUP(B2772, 'All Menu'!B:L, 9, 0)</f>
        <v>12.540785760514565</v>
      </c>
      <c r="Q2772" s="14">
        <f>VLOOKUP(B2772, 'All Menu'!B:M, 12, 0)</f>
        <v>0.37296071197427177</v>
      </c>
      <c r="R2772" s="173">
        <f t="shared" si="142"/>
        <v>0</v>
      </c>
    </row>
    <row r="2773" spans="1:18" ht="14" hidden="1">
      <c r="A2773" s="78" t="s">
        <v>2878</v>
      </c>
      <c r="B2773" s="220">
        <v>60029</v>
      </c>
      <c r="C2773" s="185"/>
      <c r="D2773" s="103" t="str">
        <f>VLOOKUP(B2773, 'All Menu'!B:M, 4, 0)</f>
        <v>ريش مشكوك</v>
      </c>
      <c r="E2773" s="30" t="str">
        <f>VLOOKUP(B2773, 'All Menu'!B:M, 2, 0)</f>
        <v>قسم الملحمة</v>
      </c>
      <c r="F2773" s="103" t="str">
        <f>VLOOKUP(B2773, 'All Menu'!B:M, 3, 0)</f>
        <v>لحوم مشكوكة</v>
      </c>
      <c r="G2773" s="90" t="s">
        <v>2309</v>
      </c>
      <c r="H2773" s="221">
        <v>4491</v>
      </c>
      <c r="I2773" s="110" t="str">
        <f>VLOOKUP(H2773, 'RM &amp; SF'!B:H, 2, 0)</f>
        <v>بندورة جامدة*****</v>
      </c>
      <c r="J2773" s="184" t="str">
        <f>VLOOKUP(H2773, 'RM &amp; SF'!B:E, 4, 0)</f>
        <v>غم</v>
      </c>
      <c r="K2773" s="122">
        <v>150</v>
      </c>
      <c r="L2773" s="13">
        <f>VLOOKUP(H2773, 'RM &amp; SF'!B:H, 7, 0)</f>
        <v>5.0000000000000001E-4</v>
      </c>
      <c r="M2773" s="126">
        <f t="shared" si="141"/>
        <v>7.4999999999999997E-2</v>
      </c>
      <c r="N2773" s="21" t="s">
        <v>825</v>
      </c>
      <c r="O2773" s="4">
        <f>VLOOKUP(B2773, 'All Menu'!B:L, 6, 0)</f>
        <v>20</v>
      </c>
      <c r="P2773" s="6">
        <f>VLOOKUP(B2773, 'All Menu'!B:L, 9, 0)</f>
        <v>12.540785760514565</v>
      </c>
      <c r="Q2773" s="14">
        <f>VLOOKUP(B2773, 'All Menu'!B:M, 12, 0)</f>
        <v>0.37296071197427177</v>
      </c>
      <c r="R2773" s="173">
        <f t="shared" si="142"/>
        <v>0</v>
      </c>
    </row>
    <row r="2774" spans="1:18" ht="14" hidden="1">
      <c r="A2774" s="78" t="s">
        <v>2878</v>
      </c>
      <c r="B2774" s="220">
        <v>60029</v>
      </c>
      <c r="C2774" s="185"/>
      <c r="D2774" s="103" t="str">
        <f>VLOOKUP(B2774, 'All Menu'!B:M, 4, 0)</f>
        <v>ريش مشكوك</v>
      </c>
      <c r="E2774" s="30" t="str">
        <f>VLOOKUP(B2774, 'All Menu'!B:M, 2, 0)</f>
        <v>قسم الملحمة</v>
      </c>
      <c r="F2774" s="103" t="str">
        <f>VLOOKUP(B2774, 'All Menu'!B:M, 3, 0)</f>
        <v>لحوم مشكوكة</v>
      </c>
      <c r="G2774" s="90" t="s">
        <v>3058</v>
      </c>
      <c r="H2774" s="221">
        <v>5391</v>
      </c>
      <c r="I2774" s="110" t="str">
        <f>VLOOKUP(H2774, 'RM &amp; SF'!B:H, 2, 0)</f>
        <v>شبك شوي سفري</v>
      </c>
      <c r="J2774" s="184" t="str">
        <f>VLOOKUP(H2774, 'RM &amp; SF'!B:E, 4, 0)</f>
        <v>قطعة</v>
      </c>
      <c r="K2774" s="122">
        <v>1</v>
      </c>
      <c r="L2774" s="13">
        <f>VLOOKUP(H2774, 'RM &amp; SF'!B:H, 7, 0)</f>
        <v>1.167</v>
      </c>
      <c r="M2774" s="126">
        <f t="shared" si="141"/>
        <v>1.167</v>
      </c>
      <c r="N2774" s="21" t="s">
        <v>825</v>
      </c>
      <c r="O2774" s="4">
        <f>VLOOKUP(B2774, 'All Menu'!B:L, 6, 0)</f>
        <v>20</v>
      </c>
      <c r="P2774" s="6">
        <f>VLOOKUP(B2774, 'All Menu'!B:L, 9, 0)</f>
        <v>12.540785760514565</v>
      </c>
      <c r="Q2774" s="14">
        <f>VLOOKUP(B2774, 'All Menu'!B:M, 12, 0)</f>
        <v>0.37296071197427177</v>
      </c>
      <c r="R2774" s="173">
        <f t="shared" si="142"/>
        <v>0</v>
      </c>
    </row>
    <row r="2775" spans="1:18" ht="14" hidden="1">
      <c r="A2775" s="78" t="s">
        <v>2878</v>
      </c>
      <c r="B2775" s="220">
        <v>60029</v>
      </c>
      <c r="C2775" s="185"/>
      <c r="D2775" s="103" t="str">
        <f>VLOOKUP(B2775, 'All Menu'!B:M, 4, 0)</f>
        <v>ريش مشكوك</v>
      </c>
      <c r="E2775" s="30" t="str">
        <f>VLOOKUP(B2775, 'All Menu'!B:M, 2, 0)</f>
        <v>قسم الملحمة</v>
      </c>
      <c r="F2775" s="103" t="str">
        <f>VLOOKUP(B2775, 'All Menu'!B:M, 3, 0)</f>
        <v>لحوم مشكوكة</v>
      </c>
      <c r="G2775" s="90" t="s">
        <v>2201</v>
      </c>
      <c r="H2775" s="221">
        <v>4412</v>
      </c>
      <c r="I2775" s="110" t="str">
        <f>VLOOKUP(H2775, 'RM &amp; SF'!B:H, 2, 0)</f>
        <v>اسياخ شوي رفيع سفري 1*100 حبة*****</v>
      </c>
      <c r="J2775" s="184" t="str">
        <f>VLOOKUP(H2775, 'RM &amp; SF'!B:E, 4, 0)</f>
        <v>قطعة</v>
      </c>
      <c r="K2775" s="122">
        <v>2</v>
      </c>
      <c r="L2775" s="13">
        <f>VLOOKUP(H2775, 'RM &amp; SF'!B:H, 7, 0)</f>
        <v>6.8970000000000004E-2</v>
      </c>
      <c r="M2775" s="126">
        <f t="shared" si="141"/>
        <v>0.13794000000000001</v>
      </c>
      <c r="N2775" s="21" t="s">
        <v>825</v>
      </c>
      <c r="O2775" s="4">
        <f>VLOOKUP(B2775, 'All Menu'!B:L, 6, 0)</f>
        <v>20</v>
      </c>
      <c r="P2775" s="6">
        <f>VLOOKUP(B2775, 'All Menu'!B:L, 9, 0)</f>
        <v>12.540785760514565</v>
      </c>
      <c r="Q2775" s="14">
        <f>VLOOKUP(B2775, 'All Menu'!B:M, 12, 0)</f>
        <v>0.37296071197427177</v>
      </c>
      <c r="R2775" s="173">
        <f t="shared" si="142"/>
        <v>0</v>
      </c>
    </row>
    <row r="2776" spans="1:18" ht="14" hidden="1">
      <c r="A2776" s="78" t="s">
        <v>2878</v>
      </c>
      <c r="B2776" s="220">
        <v>60029</v>
      </c>
      <c r="C2776" s="185"/>
      <c r="D2776" s="103" t="str">
        <f>VLOOKUP(B2776, 'All Menu'!B:M, 4, 0)</f>
        <v>ريش مشكوك</v>
      </c>
      <c r="E2776" s="30" t="str">
        <f>VLOOKUP(B2776, 'All Menu'!B:M, 2, 0)</f>
        <v>قسم الملحمة</v>
      </c>
      <c r="F2776" s="103" t="str">
        <f>VLOOKUP(B2776, 'All Menu'!B:M, 3, 0)</f>
        <v>لحوم مشكوكة</v>
      </c>
      <c r="G2776" s="90" t="s">
        <v>2194</v>
      </c>
      <c r="H2776" s="221">
        <v>4323</v>
      </c>
      <c r="I2776" s="110" t="str">
        <f>VLOOKUP(H2776, 'RM &amp; SF'!B:H, 2, 0)</f>
        <v>قصدير رول 45 سم*2كغ*****</v>
      </c>
      <c r="J2776" s="184" t="str">
        <f>VLOOKUP(H2776, 'RM &amp; SF'!B:E, 4, 0)</f>
        <v>غم</v>
      </c>
      <c r="K2776" s="27">
        <v>0.06</v>
      </c>
      <c r="L2776" s="13">
        <f>VLOOKUP(H2776, 'RM &amp; SF'!B:H, 7, 0)</f>
        <v>1.7240000000000001E-3</v>
      </c>
      <c r="M2776" s="126">
        <f t="shared" si="141"/>
        <v>1.0344E-4</v>
      </c>
      <c r="N2776" s="21" t="s">
        <v>825</v>
      </c>
      <c r="O2776" s="4">
        <f>VLOOKUP(B2776, 'All Menu'!B:L, 6, 0)</f>
        <v>20</v>
      </c>
      <c r="P2776" s="6">
        <f>VLOOKUP(B2776, 'All Menu'!B:L, 9, 0)</f>
        <v>12.540785760514565</v>
      </c>
      <c r="Q2776" s="14">
        <f>VLOOKUP(B2776, 'All Menu'!B:M, 12, 0)</f>
        <v>0.37296071197427177</v>
      </c>
      <c r="R2776" s="173">
        <f t="shared" si="142"/>
        <v>0</v>
      </c>
    </row>
    <row r="2777" spans="1:18" ht="14" hidden="1">
      <c r="A2777" s="78" t="s">
        <v>2878</v>
      </c>
      <c r="B2777" s="220">
        <v>60029</v>
      </c>
      <c r="C2777" s="185"/>
      <c r="D2777" s="103" t="str">
        <f>VLOOKUP(B2777, 'All Menu'!B:M, 4, 0)</f>
        <v>ريش مشكوك</v>
      </c>
      <c r="E2777" s="30" t="str">
        <f>VLOOKUP(B2777, 'All Menu'!B:M, 2, 0)</f>
        <v>قسم الملحمة</v>
      </c>
      <c r="F2777" s="103" t="str">
        <f>VLOOKUP(B2777, 'All Menu'!B:M, 3, 0)</f>
        <v>لحوم مشكوكة</v>
      </c>
      <c r="G2777" s="90" t="s">
        <v>3058</v>
      </c>
      <c r="H2777" s="221">
        <v>5274</v>
      </c>
      <c r="I2777" s="110" t="str">
        <f>VLOOKUP(H2777, 'RM &amp; SF'!B:H, 2, 0)</f>
        <v>نايلون للتغليف رول (رول جيلاتين) 45 سم*4 كغ*****</v>
      </c>
      <c r="J2777" s="184" t="str">
        <f>VLOOKUP(H2777, 'RM &amp; SF'!B:E, 4, 0)</f>
        <v>غم</v>
      </c>
      <c r="K2777" s="122">
        <v>20</v>
      </c>
      <c r="L2777" s="13">
        <f>VLOOKUP(H2777, 'RM &amp; SF'!B:H, 7, 0)</f>
        <v>2.0474249999999999E-3</v>
      </c>
      <c r="M2777" s="126">
        <f t="shared" si="141"/>
        <v>4.0948499999999999E-2</v>
      </c>
      <c r="N2777" s="21" t="s">
        <v>825</v>
      </c>
      <c r="O2777" s="4">
        <f>VLOOKUP(B2777, 'All Menu'!B:L, 6, 0)</f>
        <v>20</v>
      </c>
      <c r="P2777" s="6">
        <f>VLOOKUP(B2777, 'All Menu'!B:L, 9, 0)</f>
        <v>12.540785760514565</v>
      </c>
      <c r="Q2777" s="14">
        <f>VLOOKUP(B2777, 'All Menu'!B:M, 12, 0)</f>
        <v>0.37296071197427177</v>
      </c>
      <c r="R2777" s="173">
        <f t="shared" si="142"/>
        <v>0</v>
      </c>
    </row>
    <row r="2778" spans="1:18" ht="14" hidden="1">
      <c r="A2778" s="78" t="s">
        <v>2878</v>
      </c>
      <c r="B2778" s="220">
        <v>60029</v>
      </c>
      <c r="C2778" s="185"/>
      <c r="D2778" s="103" t="str">
        <f>VLOOKUP(B2778, 'All Menu'!B:M, 4, 0)</f>
        <v>ريش مشكوك</v>
      </c>
      <c r="E2778" s="30" t="str">
        <f>VLOOKUP(B2778, 'All Menu'!B:M, 2, 0)</f>
        <v>قسم الملحمة</v>
      </c>
      <c r="F2778" s="103" t="str">
        <f>VLOOKUP(B2778, 'All Menu'!B:M, 3, 0)</f>
        <v>لحوم مشكوكة</v>
      </c>
      <c r="G2778" s="90" t="s">
        <v>3058</v>
      </c>
      <c r="H2778" s="221">
        <v>5300</v>
      </c>
      <c r="I2778" s="110" t="str">
        <f>VLOOKUP(H2778, 'RM &amp; SF'!B:H, 2, 0)</f>
        <v>صحن فلين اسود مخرم T2*****</v>
      </c>
      <c r="J2778" s="184" t="str">
        <f>VLOOKUP(H2778, 'RM &amp; SF'!B:E, 4, 0)</f>
        <v>قطعة</v>
      </c>
      <c r="K2778" s="122">
        <v>1</v>
      </c>
      <c r="L2778" s="13">
        <f>VLOOKUP(H2778, 'RM &amp; SF'!B:H, 7, 0)</f>
        <v>4.3099999999999999E-2</v>
      </c>
      <c r="M2778" s="126">
        <f t="shared" si="141"/>
        <v>4.3099999999999999E-2</v>
      </c>
      <c r="N2778" s="21" t="s">
        <v>825</v>
      </c>
      <c r="O2778" s="4">
        <f>VLOOKUP(B2778, 'All Menu'!B:L, 6, 0)</f>
        <v>20</v>
      </c>
      <c r="P2778" s="6">
        <f>VLOOKUP(B2778, 'All Menu'!B:L, 9, 0)</f>
        <v>12.540785760514565</v>
      </c>
      <c r="Q2778" s="14">
        <f>VLOOKUP(B2778, 'All Menu'!B:M, 12, 0)</f>
        <v>0.37296071197427177</v>
      </c>
      <c r="R2778" s="173">
        <f t="shared" si="142"/>
        <v>0</v>
      </c>
    </row>
    <row r="2779" spans="1:18" ht="14" hidden="1">
      <c r="A2779" s="78" t="s">
        <v>2856</v>
      </c>
      <c r="B2779" s="220">
        <v>50027</v>
      </c>
      <c r="C2779" s="185"/>
      <c r="D2779" s="103" t="str">
        <f>VLOOKUP(B2779, 'All Menu'!B:M, 4, 0)</f>
        <v>لسانات مع لغلوغ</v>
      </c>
      <c r="E2779" s="30" t="str">
        <f>VLOOKUP(B2779, 'All Menu'!B:M, 2, 0)</f>
        <v>قسم الملحمة</v>
      </c>
      <c r="F2779" s="103" t="str">
        <f>VLOOKUP(B2779, 'All Menu'!B:M, 3, 0)</f>
        <v>سقط</v>
      </c>
      <c r="G2779" s="90" t="s">
        <v>3058</v>
      </c>
      <c r="H2779" s="221">
        <v>5407</v>
      </c>
      <c r="I2779" s="110" t="str">
        <f>VLOOKUP(H2779, 'RM &amp; SF'!B:H, 2, 0)</f>
        <v>لسانات مع لغلوغ طازج</v>
      </c>
      <c r="J2779" s="184" t="str">
        <f>VLOOKUP(H2779, 'RM &amp; SF'!B:E, 4, 0)</f>
        <v>غم</v>
      </c>
      <c r="K2779" s="122">
        <v>1000</v>
      </c>
      <c r="L2779" s="13">
        <f>VLOOKUP(H2779, 'RM &amp; SF'!B:H, 7, 0)</f>
        <v>2.5000000000000001E-3</v>
      </c>
      <c r="M2779" s="126">
        <f t="shared" si="141"/>
        <v>2.5</v>
      </c>
      <c r="N2779" s="21" t="s">
        <v>825</v>
      </c>
      <c r="O2779" s="4">
        <f>VLOOKUP(B2779, 'All Menu'!B:L, 6, 0)</f>
        <v>6.5</v>
      </c>
      <c r="P2779" s="6">
        <f>VLOOKUP(B2779, 'All Menu'!B:L, 9, 0)</f>
        <v>2.5</v>
      </c>
      <c r="Q2779" s="14">
        <f>VLOOKUP(B2779, 'All Menu'!B:M, 12, 0)</f>
        <v>0.61538461538461542</v>
      </c>
      <c r="R2779" s="173">
        <f t="shared" si="142"/>
        <v>0</v>
      </c>
    </row>
    <row r="2780" spans="1:18" ht="14" hidden="1">
      <c r="A2780" s="78" t="s">
        <v>2849</v>
      </c>
      <c r="B2780" s="220">
        <v>50019</v>
      </c>
      <c r="C2780" s="185"/>
      <c r="D2780" s="103" t="str">
        <f>VLOOKUP(B2780, 'All Menu'!B:M, 4, 0)</f>
        <v>كبدة خروف</v>
      </c>
      <c r="E2780" s="30" t="str">
        <f>VLOOKUP(B2780, 'All Menu'!B:M, 2, 0)</f>
        <v>قسم الملحمة</v>
      </c>
      <c r="F2780" s="103" t="str">
        <f>VLOOKUP(B2780, 'All Menu'!B:M, 3, 0)</f>
        <v>سقط</v>
      </c>
      <c r="G2780" s="90" t="s">
        <v>3058</v>
      </c>
      <c r="H2780" s="221">
        <v>1082</v>
      </c>
      <c r="I2780" s="110" t="str">
        <f>VLOOKUP(H2780, 'RM &amp; SF'!B:H, 2, 0)</f>
        <v>كبدة غنم</v>
      </c>
      <c r="J2780" s="184" t="str">
        <f>VLOOKUP(H2780, 'RM &amp; SF'!B:E, 4, 0)</f>
        <v>غم</v>
      </c>
      <c r="K2780" s="122">
        <v>1000</v>
      </c>
      <c r="L2780" s="13">
        <f>VLOOKUP(H2780, 'RM &amp; SF'!B:H, 7, 0)</f>
        <v>7.0000000000000001E-3</v>
      </c>
      <c r="M2780" s="126">
        <f t="shared" si="141"/>
        <v>7</v>
      </c>
      <c r="N2780" s="21" t="s">
        <v>825</v>
      </c>
      <c r="O2780" s="4">
        <f>VLOOKUP(B2780, 'All Menu'!B:L, 6, 0)</f>
        <v>11</v>
      </c>
      <c r="P2780" s="6">
        <f>VLOOKUP(B2780, 'All Menu'!B:L, 9, 0)</f>
        <v>7</v>
      </c>
      <c r="Q2780" s="14">
        <f>VLOOKUP(B2780, 'All Menu'!B:M, 12, 0)</f>
        <v>0.36363636363636365</v>
      </c>
      <c r="R2780" s="173">
        <f t="shared" si="142"/>
        <v>0</v>
      </c>
    </row>
    <row r="2781" spans="1:18" ht="14" hidden="1">
      <c r="A2781" s="78" t="s">
        <v>2865</v>
      </c>
      <c r="B2781" s="220">
        <v>50042</v>
      </c>
      <c r="C2781" s="185"/>
      <c r="D2781" s="103" t="str">
        <f>VLOOKUP(B2781, 'All Menu'!B:M, 4, 0)</f>
        <v>نقانق</v>
      </c>
      <c r="E2781" s="30" t="str">
        <f>VLOOKUP(B2781, 'All Menu'!B:M, 2, 0)</f>
        <v>قسم الملحمة</v>
      </c>
      <c r="F2781" s="103" t="str">
        <f>VLOOKUP(B2781, 'All Menu'!B:M, 3, 0)</f>
        <v>مارنيتد</v>
      </c>
      <c r="G2781" s="90" t="s">
        <v>2378</v>
      </c>
      <c r="H2781" s="219" t="s">
        <v>798</v>
      </c>
      <c r="I2781" s="110" t="str">
        <f>VLOOKUP(H2781, 'RM &amp; SF'!B:H, 2, 0)</f>
        <v>سجق</v>
      </c>
      <c r="J2781" s="184" t="str">
        <f>VLOOKUP(H2781, 'RM &amp; SF'!B:E, 4, 0)</f>
        <v>غم</v>
      </c>
      <c r="K2781" s="27">
        <v>1000</v>
      </c>
      <c r="L2781" s="13">
        <f>VLOOKUP(H2781, 'RM &amp; SF'!B:H, 7, 0)</f>
        <v>3.284080212555334E-3</v>
      </c>
      <c r="M2781" s="63">
        <f t="shared" si="141"/>
        <v>3.2840802125553341</v>
      </c>
      <c r="N2781" s="4" t="s">
        <v>825</v>
      </c>
      <c r="O2781" s="4">
        <f>VLOOKUP(B2781, 'All Menu'!B:L, 6, 0)</f>
        <v>10</v>
      </c>
      <c r="P2781" s="6">
        <f>VLOOKUP(B2781, 'All Menu'!B:L, 9, 0)</f>
        <v>3.2840802125553341</v>
      </c>
      <c r="Q2781" s="14">
        <f>VLOOKUP(B2781, 'All Menu'!B:M, 12, 0)</f>
        <v>0.67159197874446652</v>
      </c>
      <c r="R2781" s="173">
        <f t="shared" si="142"/>
        <v>0</v>
      </c>
    </row>
    <row r="2782" spans="1:18" ht="14" hidden="1">
      <c r="A2782" s="78" t="s">
        <v>3151</v>
      </c>
      <c r="B2782" s="220">
        <v>60087</v>
      </c>
      <c r="C2782" s="185"/>
      <c r="D2782" s="103" t="str">
        <f>VLOOKUP(B2782, 'All Menu'!B:M, 4, 0)</f>
        <v>فيليه بلدي 24</v>
      </c>
      <c r="E2782" s="30" t="str">
        <f>VLOOKUP(B2782, 'All Menu'!B:M, 2, 0)</f>
        <v>قسم الملحمة</v>
      </c>
      <c r="F2782" s="103" t="str">
        <f>VLOOKUP(B2782, 'All Menu'!B:M, 3, 0)</f>
        <v>لحوم بلدية</v>
      </c>
      <c r="G2782" s="90" t="s">
        <v>3058</v>
      </c>
      <c r="H2782" s="188">
        <v>5398</v>
      </c>
      <c r="I2782" s="110" t="str">
        <f>VLOOKUP(H2782, 'RM &amp; SF'!B:H, 2, 0)</f>
        <v xml:space="preserve">فيليه </v>
      </c>
      <c r="J2782" s="184" t="str">
        <f>VLOOKUP(H2782, 'RM &amp; SF'!B:E, 4, 0)</f>
        <v>غم</v>
      </c>
      <c r="K2782" s="111">
        <v>1000</v>
      </c>
      <c r="L2782" s="13">
        <f>VLOOKUP(H2782, 'RM &amp; SF'!B:H, 7, 0)</f>
        <v>2.1499999999999998E-2</v>
      </c>
      <c r="M2782" s="127">
        <f t="shared" si="141"/>
        <v>21.5</v>
      </c>
      <c r="N2782" s="121" t="s">
        <v>825</v>
      </c>
      <c r="O2782" s="121">
        <f>VLOOKUP(B2782, 'All Menu'!B:L, 6, 0)</f>
        <v>24</v>
      </c>
      <c r="P2782" s="130">
        <f>VLOOKUP(B2782, 'All Menu'!B:L, 9, 0)</f>
        <v>21.5</v>
      </c>
      <c r="Q2782" s="132">
        <f>VLOOKUP(B2782, 'All Menu'!B:M, 12, 0)</f>
        <v>0.10416666666666667</v>
      </c>
      <c r="R2782" s="173">
        <f t="shared" si="142"/>
        <v>0</v>
      </c>
    </row>
    <row r="2783" spans="1:18" ht="15.5" hidden="1">
      <c r="A2783" s="78" t="s">
        <v>2324</v>
      </c>
      <c r="B2783" s="220" t="s">
        <v>1952</v>
      </c>
      <c r="C2783" s="185"/>
      <c r="D2783" s="30" t="str">
        <f>VLOOKUP(B2783, 'All Menu'!B:M, 4, 0)</f>
        <v>خبز برغر</v>
      </c>
      <c r="E2783" s="30" t="str">
        <f>VLOOKUP(B2783, 'All Menu'!B:M, 2, 0)</f>
        <v>قسم الملحمة</v>
      </c>
      <c r="F2783" s="103" t="str">
        <f>VLOOKUP(B2783, 'All Menu'!B:M, 3, 0)</f>
        <v>لحوم مشكوكة</v>
      </c>
      <c r="G2783" s="90" t="s">
        <v>2324</v>
      </c>
      <c r="H2783" s="112">
        <v>5450</v>
      </c>
      <c r="I2783" s="110" t="str">
        <f>VLOOKUP(H2783, 'RM &amp; SF'!B:H, 2, 0)</f>
        <v>خبز برغر</v>
      </c>
      <c r="J2783" s="184" t="str">
        <f>VLOOKUP(H2783, 'RM &amp; SF'!B:E, 4, 0)</f>
        <v>قطعة</v>
      </c>
      <c r="K2783" s="111">
        <v>4</v>
      </c>
      <c r="L2783" s="13">
        <f>VLOOKUP(H2783, 'RM &amp; SF'!B:H, 7, 0)</f>
        <v>0.17499999999999999</v>
      </c>
      <c r="M2783" s="127">
        <f t="shared" si="141"/>
        <v>0.7</v>
      </c>
      <c r="N2783" s="121" t="s">
        <v>825</v>
      </c>
      <c r="O2783" s="121">
        <f>VLOOKUP(B2783, 'All Menu'!B:L, 6, 0)</f>
        <v>1.5</v>
      </c>
      <c r="P2783" s="130">
        <f>VLOOKUP(B2783, 'All Menu'!B:L, 9, 0)</f>
        <v>0.7</v>
      </c>
      <c r="Q2783" s="132">
        <f>VLOOKUP(B2783, 'All Menu'!B:M, 12, 0)</f>
        <v>0.53333333333333333</v>
      </c>
      <c r="R2783" s="173">
        <f t="shared" si="142"/>
        <v>0</v>
      </c>
    </row>
    <row r="2784" spans="1:18" ht="14" hidden="1">
      <c r="A2784" s="78" t="s">
        <v>2867</v>
      </c>
      <c r="B2784" s="220">
        <v>50048</v>
      </c>
      <c r="C2784" s="185"/>
      <c r="D2784" s="30" t="str">
        <f>VLOOKUP(B2784, 'All Menu'!B:M, 4, 0)</f>
        <v>فاهيتا الدجاج</v>
      </c>
      <c r="E2784" s="30" t="str">
        <f>VLOOKUP(B2784, 'All Menu'!B:M, 2, 0)</f>
        <v>قسم الملحمة</v>
      </c>
      <c r="F2784" s="103" t="str">
        <f>VLOOKUP(B2784, 'All Menu'!B:M, 3, 0)</f>
        <v>دواجن</v>
      </c>
      <c r="G2784" s="90" t="s">
        <v>3058</v>
      </c>
      <c r="H2784" s="219">
        <v>5409</v>
      </c>
      <c r="I2784" s="110" t="str">
        <f>VLOOKUP(H2784, 'RM &amp; SF'!B:H, 2, 0)</f>
        <v>زوايد دجاج - طلبات مارت</v>
      </c>
      <c r="J2784" s="184" t="str">
        <f>VLOOKUP(H2784, 'RM &amp; SF'!B:E, 4, 0)</f>
        <v>غم</v>
      </c>
      <c r="K2784" s="111">
        <v>1000</v>
      </c>
      <c r="L2784" s="13">
        <f>VLOOKUP(H2784, 'RM &amp; SF'!B:H, 7, 0)</f>
        <v>4.0000000000000001E-3</v>
      </c>
      <c r="M2784" s="127">
        <f t="shared" si="141"/>
        <v>4</v>
      </c>
      <c r="N2784" s="121" t="s">
        <v>825</v>
      </c>
      <c r="O2784" s="121">
        <f>VLOOKUP(B2784, 'All Menu'!B:L, 6, 0)</f>
        <v>8</v>
      </c>
      <c r="P2784" s="130">
        <f>VLOOKUP(B2784, 'All Menu'!B:L, 9, 0)</f>
        <v>4.186896</v>
      </c>
      <c r="Q2784" s="132">
        <f>VLOOKUP(B2784, 'All Menu'!B:M, 12, 0)</f>
        <v>0.47663800000000001</v>
      </c>
      <c r="R2784" s="173">
        <f t="shared" si="142"/>
        <v>0</v>
      </c>
    </row>
    <row r="2785" spans="1:18" ht="14" hidden="1">
      <c r="A2785" s="78" t="s">
        <v>2867</v>
      </c>
      <c r="B2785" s="220">
        <v>50048</v>
      </c>
      <c r="C2785" s="185"/>
      <c r="D2785" s="30" t="str">
        <f>VLOOKUP(B2785, 'All Menu'!B:M, 4, 0)</f>
        <v>فاهيتا الدجاج</v>
      </c>
      <c r="E2785" s="30" t="str">
        <f>VLOOKUP(B2785, 'All Menu'!B:M, 2, 0)</f>
        <v>قسم الملحمة</v>
      </c>
      <c r="F2785" s="103" t="str">
        <f>VLOOKUP(B2785, 'All Menu'!B:M, 3, 0)</f>
        <v>دواجن</v>
      </c>
      <c r="G2785" s="90" t="s">
        <v>2203</v>
      </c>
      <c r="H2785" s="188">
        <v>4152</v>
      </c>
      <c r="I2785" s="110" t="str">
        <f>VLOOKUP(H2785, 'RM &amp; SF'!B:H, 2, 0)</f>
        <v>ملح طعام 750غم*****</v>
      </c>
      <c r="J2785" s="184" t="str">
        <f>VLOOKUP(H2785, 'RM &amp; SF'!B:E, 4, 0)</f>
        <v>غم</v>
      </c>
      <c r="K2785" s="111">
        <v>9</v>
      </c>
      <c r="L2785" s="13">
        <f>VLOOKUP(H2785, 'RM &amp; SF'!B:H, 7, 0)</f>
        <v>1.7066666666666665E-4</v>
      </c>
      <c r="M2785" s="127">
        <f t="shared" si="141"/>
        <v>1.5359999999999998E-3</v>
      </c>
      <c r="N2785" s="121" t="s">
        <v>825</v>
      </c>
      <c r="O2785" s="121">
        <f>VLOOKUP(B2785, 'All Menu'!B:L, 6, 0)</f>
        <v>8</v>
      </c>
      <c r="P2785" s="130">
        <f>VLOOKUP(B2785, 'All Menu'!B:L, 9, 0)</f>
        <v>4.186896</v>
      </c>
      <c r="Q2785" s="132">
        <f>VLOOKUP(B2785, 'All Menu'!B:M, 12, 0)</f>
        <v>0.47663800000000001</v>
      </c>
      <c r="R2785" s="173">
        <f t="shared" si="142"/>
        <v>0</v>
      </c>
    </row>
    <row r="2786" spans="1:18" ht="14" hidden="1">
      <c r="A2786" s="78" t="s">
        <v>2867</v>
      </c>
      <c r="B2786" s="220">
        <v>50048</v>
      </c>
      <c r="C2786" s="185"/>
      <c r="D2786" s="30" t="str">
        <f>VLOOKUP(B2786, 'All Menu'!B:M, 4, 0)</f>
        <v>فاهيتا الدجاج</v>
      </c>
      <c r="E2786" s="30" t="str">
        <f>VLOOKUP(B2786, 'All Menu'!B:M, 2, 0)</f>
        <v>قسم الملحمة</v>
      </c>
      <c r="F2786" s="103" t="str">
        <f>VLOOKUP(B2786, 'All Menu'!B:M, 3, 0)</f>
        <v>دواجن</v>
      </c>
      <c r="G2786" s="90" t="s">
        <v>2288</v>
      </c>
      <c r="H2786" s="188">
        <v>4219</v>
      </c>
      <c r="I2786" s="110" t="str">
        <f>VLOOKUP(H2786, 'RM &amp; SF'!B:H, 2, 0)</f>
        <v>بابريكا حلوة*****</v>
      </c>
      <c r="J2786" s="184" t="str">
        <f>VLOOKUP(H2786, 'RM &amp; SF'!B:E, 4, 0)</f>
        <v>غم</v>
      </c>
      <c r="K2786" s="111">
        <v>10</v>
      </c>
      <c r="L2786" s="13">
        <f>VLOOKUP(H2786, 'RM &amp; SF'!B:H, 7, 0)</f>
        <v>2.5859999999999998E-3</v>
      </c>
      <c r="M2786" s="127">
        <f t="shared" si="141"/>
        <v>2.5859999999999998E-2</v>
      </c>
      <c r="N2786" s="121" t="s">
        <v>825</v>
      </c>
      <c r="O2786" s="121">
        <f>VLOOKUP(B2786, 'All Menu'!B:L, 6, 0)</f>
        <v>8</v>
      </c>
      <c r="P2786" s="130">
        <f>VLOOKUP(B2786, 'All Menu'!B:L, 9, 0)</f>
        <v>4.186896</v>
      </c>
      <c r="Q2786" s="132">
        <f>VLOOKUP(B2786, 'All Menu'!B:M, 12, 0)</f>
        <v>0.47663800000000001</v>
      </c>
      <c r="R2786" s="173">
        <f t="shared" si="142"/>
        <v>0</v>
      </c>
    </row>
    <row r="2787" spans="1:18" ht="14" hidden="1">
      <c r="A2787" s="78" t="s">
        <v>2867</v>
      </c>
      <c r="B2787" s="220">
        <v>50048</v>
      </c>
      <c r="C2787" s="185"/>
      <c r="D2787" s="30" t="str">
        <f>VLOOKUP(B2787, 'All Menu'!B:M, 4, 0)</f>
        <v>فاهيتا الدجاج</v>
      </c>
      <c r="E2787" s="30" t="str">
        <f>VLOOKUP(B2787, 'All Menu'!B:M, 2, 0)</f>
        <v>قسم الملحمة</v>
      </c>
      <c r="F2787" s="103" t="str">
        <f>VLOOKUP(B2787, 'All Menu'!B:M, 3, 0)</f>
        <v>دواجن</v>
      </c>
      <c r="G2787" s="90" t="s">
        <v>2239</v>
      </c>
      <c r="H2787" s="188">
        <v>4513</v>
      </c>
      <c r="I2787" s="110" t="str">
        <f>VLOOKUP(H2787, 'RM &amp; SF'!B:H, 2, 0)</f>
        <v>ليمون اصفر*****</v>
      </c>
      <c r="J2787" s="184" t="str">
        <f>VLOOKUP(H2787, 'RM &amp; SF'!B:E, 4, 0)</f>
        <v>غم</v>
      </c>
      <c r="K2787" s="111">
        <v>13</v>
      </c>
      <c r="L2787" s="13">
        <f>VLOOKUP(H2787, 'RM &amp; SF'!B:H, 7, 0)</f>
        <v>1.75E-3</v>
      </c>
      <c r="M2787" s="127">
        <f t="shared" si="141"/>
        <v>2.2749999999999999E-2</v>
      </c>
      <c r="N2787" s="121" t="s">
        <v>825</v>
      </c>
      <c r="O2787" s="121">
        <f>VLOOKUP(B2787, 'All Menu'!B:L, 6, 0)</f>
        <v>8</v>
      </c>
      <c r="P2787" s="130">
        <f>VLOOKUP(B2787, 'All Menu'!B:L, 9, 0)</f>
        <v>4.186896</v>
      </c>
      <c r="Q2787" s="132">
        <f>VLOOKUP(B2787, 'All Menu'!B:M, 12, 0)</f>
        <v>0.47663800000000001</v>
      </c>
      <c r="R2787" s="173">
        <f t="shared" si="142"/>
        <v>0</v>
      </c>
    </row>
    <row r="2788" spans="1:18" ht="14" hidden="1">
      <c r="A2788" s="78" t="s">
        <v>2867</v>
      </c>
      <c r="B2788" s="220">
        <v>50048</v>
      </c>
      <c r="C2788" s="185"/>
      <c r="D2788" s="30" t="str">
        <f>VLOOKUP(B2788, 'All Menu'!B:M, 4, 0)</f>
        <v>فاهيتا الدجاج</v>
      </c>
      <c r="E2788" s="30" t="str">
        <f>VLOOKUP(B2788, 'All Menu'!B:M, 2, 0)</f>
        <v>قسم الملحمة</v>
      </c>
      <c r="F2788" s="103" t="str">
        <f>VLOOKUP(B2788, 'All Menu'!B:M, 3, 0)</f>
        <v>دواجن</v>
      </c>
      <c r="G2788" s="90" t="s">
        <v>2256</v>
      </c>
      <c r="H2788" s="188">
        <v>4574</v>
      </c>
      <c r="I2788" s="110" t="str">
        <f>VLOOKUP(H2788, 'RM &amp; SF'!B:H, 2, 0)</f>
        <v>عصير برتقال طازج 2.5 لتر*****</v>
      </c>
      <c r="J2788" s="184" t="str">
        <f>VLOOKUP(H2788, 'RM &amp; SF'!B:E, 4, 0)</f>
        <v>مل</v>
      </c>
      <c r="K2788" s="111">
        <v>35</v>
      </c>
      <c r="L2788" s="13">
        <f>VLOOKUP(H2788, 'RM &amp; SF'!B:H, 7, 0)</f>
        <v>2E-3</v>
      </c>
      <c r="M2788" s="127">
        <f t="shared" si="141"/>
        <v>7.0000000000000007E-2</v>
      </c>
      <c r="N2788" s="121" t="s">
        <v>825</v>
      </c>
      <c r="O2788" s="121">
        <f>VLOOKUP(B2788, 'All Menu'!B:L, 6, 0)</f>
        <v>8</v>
      </c>
      <c r="P2788" s="130">
        <f>VLOOKUP(B2788, 'All Menu'!B:L, 9, 0)</f>
        <v>4.186896</v>
      </c>
      <c r="Q2788" s="132">
        <f>VLOOKUP(B2788, 'All Menu'!B:M, 12, 0)</f>
        <v>0.47663800000000001</v>
      </c>
      <c r="R2788" s="173">
        <f t="shared" si="142"/>
        <v>0</v>
      </c>
    </row>
    <row r="2789" spans="1:18" ht="14" hidden="1">
      <c r="A2789" s="78" t="s">
        <v>2867</v>
      </c>
      <c r="B2789" s="220">
        <v>50048</v>
      </c>
      <c r="C2789" s="185"/>
      <c r="D2789" s="30" t="str">
        <f>VLOOKUP(B2789, 'All Menu'!B:M, 4, 0)</f>
        <v>فاهيتا الدجاج</v>
      </c>
      <c r="E2789" s="30" t="str">
        <f>VLOOKUP(B2789, 'All Menu'!B:M, 2, 0)</f>
        <v>قسم الملحمة</v>
      </c>
      <c r="F2789" s="103" t="str">
        <f>VLOOKUP(B2789, 'All Menu'!B:M, 3, 0)</f>
        <v>دواجن</v>
      </c>
      <c r="G2789" s="90" t="s">
        <v>2260</v>
      </c>
      <c r="H2789" s="188">
        <v>4160</v>
      </c>
      <c r="I2789" s="110" t="str">
        <f>VLOOKUP(H2789, 'RM &amp; SF'!B:H, 2, 0)</f>
        <v>زيت صويا 18 لتر*****</v>
      </c>
      <c r="J2789" s="184" t="str">
        <f>VLOOKUP(H2789, 'RM &amp; SF'!B:E, 4, 0)</f>
        <v>مل</v>
      </c>
      <c r="K2789" s="111">
        <v>50</v>
      </c>
      <c r="L2789" s="13">
        <f>VLOOKUP(H2789, 'RM &amp; SF'!B:H, 7, 0)</f>
        <v>1.335E-3</v>
      </c>
      <c r="M2789" s="127">
        <f t="shared" si="141"/>
        <v>6.6750000000000004E-2</v>
      </c>
      <c r="N2789" s="121" t="s">
        <v>825</v>
      </c>
      <c r="O2789" s="121">
        <f>VLOOKUP(B2789, 'All Menu'!B:L, 6, 0)</f>
        <v>8</v>
      </c>
      <c r="P2789" s="130">
        <f>VLOOKUP(B2789, 'All Menu'!B:L, 9, 0)</f>
        <v>4.186896</v>
      </c>
      <c r="Q2789" s="132">
        <f>VLOOKUP(B2789, 'All Menu'!B:M, 12, 0)</f>
        <v>0.47663800000000001</v>
      </c>
      <c r="R2789" s="173">
        <f t="shared" si="142"/>
        <v>0</v>
      </c>
    </row>
    <row r="2790" spans="1:18" ht="14" hidden="1">
      <c r="A2790" s="78" t="s">
        <v>2907</v>
      </c>
      <c r="B2790" s="220">
        <v>60089</v>
      </c>
      <c r="C2790" s="185"/>
      <c r="D2790" s="30" t="str">
        <f>VLOOKUP(B2790, 'All Menu'!B:M, 4, 0)</f>
        <v xml:space="preserve">خروف بلدي مفصل </v>
      </c>
      <c r="E2790" s="30" t="str">
        <f>VLOOKUP(B2790, 'All Menu'!B:M, 2, 0)</f>
        <v>قسم الملحمة</v>
      </c>
      <c r="F2790" s="103" t="str">
        <f>VLOOKUP(B2790, 'All Menu'!B:M, 3, 0)</f>
        <v>لحوم بلدية</v>
      </c>
      <c r="G2790" s="90" t="s">
        <v>3058</v>
      </c>
      <c r="H2790" s="188" t="s">
        <v>2147</v>
      </c>
      <c r="I2790" s="110" t="str">
        <f>VLOOKUP(H2790, 'RM &amp; SF'!B:H, 2, 0)</f>
        <v>لحمة قطع نية بالكيلو*****</v>
      </c>
      <c r="J2790" s="184" t="str">
        <f>VLOOKUP(H2790, 'RM &amp; SF'!B:E, 4, 0)</f>
        <v>غم</v>
      </c>
      <c r="K2790" s="111">
        <v>1000</v>
      </c>
      <c r="L2790" s="13">
        <f>VLOOKUP(H2790, 'RM &amp; SF'!B:H, 7, 0)</f>
        <v>1.1039193820514564E-2</v>
      </c>
      <c r="M2790" s="127">
        <f t="shared" si="141"/>
        <v>11.039193820514564</v>
      </c>
      <c r="N2790" s="121" t="s">
        <v>825</v>
      </c>
      <c r="O2790" s="121">
        <f>VLOOKUP(B2790, 'All Menu'!B:L, 6, 0)</f>
        <v>14.5</v>
      </c>
      <c r="P2790" s="130">
        <f>VLOOKUP(B2790, 'All Menu'!B:L, 9, 0)</f>
        <v>11.039193820514564</v>
      </c>
      <c r="Q2790" s="132">
        <f>VLOOKUP(B2790, 'All Menu'!B:M, 12, 0)</f>
        <v>0.2386762882403749</v>
      </c>
      <c r="R2790" s="173">
        <f t="shared" si="142"/>
        <v>0</v>
      </c>
    </row>
    <row r="2791" spans="1:18" ht="14" hidden="1">
      <c r="A2791" s="78" t="s">
        <v>2306</v>
      </c>
      <c r="B2791" s="220" t="s">
        <v>1285</v>
      </c>
      <c r="C2791" s="185"/>
      <c r="D2791" s="30" t="str">
        <f>VLOOKUP(B2791, 'All Menu'!B:M, 4, 0)</f>
        <v>مشعل فحم</v>
      </c>
      <c r="E2791" s="30" t="str">
        <f>VLOOKUP(B2791, 'All Menu'!B:M, 2, 0)</f>
        <v>قسم الملحمة</v>
      </c>
      <c r="F2791" s="103" t="str">
        <f>VLOOKUP(B2791, 'All Menu'!B:M, 3, 0)</f>
        <v>لحوم مشكوكة</v>
      </c>
      <c r="G2791" s="90" t="s">
        <v>2306</v>
      </c>
      <c r="H2791" s="188">
        <v>5390</v>
      </c>
      <c r="I2791" s="110" t="str">
        <f>VLOOKUP(H2791, 'RM &amp; SF'!B:H, 2, 0)</f>
        <v>مشعل فحم</v>
      </c>
      <c r="J2791" s="184" t="str">
        <f>VLOOKUP(H2791, 'RM &amp; SF'!B:E, 4, 0)</f>
        <v>قطعة</v>
      </c>
      <c r="K2791" s="111">
        <v>1</v>
      </c>
      <c r="L2791" s="13">
        <f>VLOOKUP(H2791, 'RM &amp; SF'!B:H, 7, 0)</f>
        <v>0.79</v>
      </c>
      <c r="M2791" s="127">
        <f t="shared" ref="M2791:M2813" si="143">L2791*K2791</f>
        <v>0.79</v>
      </c>
      <c r="N2791" s="121" t="s">
        <v>825</v>
      </c>
      <c r="O2791" s="121">
        <f>VLOOKUP(B2791, 'All Menu'!B:L, 6, 0)</f>
        <v>1</v>
      </c>
      <c r="P2791" s="130">
        <f>VLOOKUP(B2791, 'All Menu'!B:L, 9, 0)</f>
        <v>0.79</v>
      </c>
      <c r="Q2791" s="132">
        <f>VLOOKUP(B2791, 'All Menu'!B:M, 12, 0)</f>
        <v>0.20999999999999996</v>
      </c>
      <c r="R2791" s="173">
        <f t="shared" si="142"/>
        <v>0</v>
      </c>
    </row>
    <row r="2792" spans="1:18" ht="14" hidden="1">
      <c r="A2792" s="78" t="s">
        <v>2378</v>
      </c>
      <c r="B2792" s="220">
        <v>60054</v>
      </c>
      <c r="C2792" s="185"/>
      <c r="D2792" s="30" t="str">
        <f>VLOOKUP(B2792, 'All Menu'!B:M, 4, 0)</f>
        <v>سجق</v>
      </c>
      <c r="E2792" s="30" t="str">
        <f>VLOOKUP(B2792, 'All Menu'!B:M, 2, 0)</f>
        <v>قسم الملحمة</v>
      </c>
      <c r="F2792" s="103" t="str">
        <f>VLOOKUP(B2792, 'All Menu'!B:M, 3, 0)</f>
        <v>مارنيتد</v>
      </c>
      <c r="G2792" s="90" t="s">
        <v>2378</v>
      </c>
      <c r="H2792" s="219" t="s">
        <v>798</v>
      </c>
      <c r="I2792" s="110" t="str">
        <f>VLOOKUP(H2792, 'RM &amp; SF'!B:H, 2, 0)</f>
        <v>سجق</v>
      </c>
      <c r="J2792" s="184" t="str">
        <f>VLOOKUP(H2792, 'RM &amp; SF'!B:E, 4, 0)</f>
        <v>غم</v>
      </c>
      <c r="K2792" s="111">
        <v>1000</v>
      </c>
      <c r="L2792" s="13">
        <f>VLOOKUP(H2792, 'RM &amp; SF'!B:H, 7, 0)</f>
        <v>3.284080212555334E-3</v>
      </c>
      <c r="M2792" s="127">
        <f t="shared" si="143"/>
        <v>3.2840802125553341</v>
      </c>
      <c r="N2792" s="121" t="s">
        <v>825</v>
      </c>
      <c r="O2792" s="121">
        <f>VLOOKUP(B2792, 'All Menu'!B:L, 6, 0)</f>
        <v>10</v>
      </c>
      <c r="P2792" s="130">
        <f>VLOOKUP(B2792, 'All Menu'!B:L, 9, 0)</f>
        <v>3.2840802125553341</v>
      </c>
      <c r="Q2792" s="132">
        <f>VLOOKUP(B2792, 'All Menu'!B:M, 12, 0)</f>
        <v>0.67159197874446652</v>
      </c>
      <c r="R2792" s="173">
        <f t="shared" si="142"/>
        <v>0</v>
      </c>
    </row>
    <row r="2793" spans="1:18" ht="14" hidden="1">
      <c r="A2793" s="78" t="s">
        <v>2866</v>
      </c>
      <c r="B2793" s="220">
        <v>50046</v>
      </c>
      <c r="C2793" s="185"/>
      <c r="D2793" s="30" t="str">
        <f>VLOOKUP(B2793, 'All Menu'!B:M, 4, 0)</f>
        <v>درم ستيك</v>
      </c>
      <c r="E2793" s="30" t="str">
        <f>VLOOKUP(B2793, 'All Menu'!B:M, 2, 0)</f>
        <v>قسم الملحمة</v>
      </c>
      <c r="F2793" s="103" t="str">
        <f>VLOOKUP(B2793, 'All Menu'!B:M, 3, 0)</f>
        <v>دواجن</v>
      </c>
      <c r="G2793" s="90" t="s">
        <v>2457</v>
      </c>
      <c r="H2793" s="188" t="s">
        <v>401</v>
      </c>
      <c r="I2793" s="110" t="str">
        <f>VLOOKUP(H2793, 'RM &amp; SF'!B:H, 2, 0)</f>
        <v>درم ستيك</v>
      </c>
      <c r="J2793" s="184" t="str">
        <f>VLOOKUP(H2793, 'RM &amp; SF'!B:E, 4, 0)</f>
        <v>غم</v>
      </c>
      <c r="K2793" s="111">
        <v>1000</v>
      </c>
      <c r="L2793" s="13">
        <f>VLOOKUP(H2793, 'RM &amp; SF'!B:H, 7, 0)</f>
        <v>1.6000000000000001E-3</v>
      </c>
      <c r="M2793" s="127">
        <f t="shared" si="143"/>
        <v>1.6</v>
      </c>
      <c r="N2793" s="121" t="s">
        <v>825</v>
      </c>
      <c r="O2793" s="121">
        <f>VLOOKUP(B2793, 'All Menu'!B:L, 6, 0)</f>
        <v>4.5</v>
      </c>
      <c r="P2793" s="130">
        <f>VLOOKUP(B2793, 'All Menu'!B:L, 9, 0)</f>
        <v>1.6</v>
      </c>
      <c r="Q2793" s="132">
        <f>VLOOKUP(B2793, 'All Menu'!B:M, 12, 0)</f>
        <v>0.64444444444444438</v>
      </c>
      <c r="R2793" s="173">
        <f t="shared" si="142"/>
        <v>0</v>
      </c>
    </row>
    <row r="2794" spans="1:18" ht="14" hidden="1">
      <c r="A2794" s="78" t="s">
        <v>3147</v>
      </c>
      <c r="B2794" s="220">
        <v>60057</v>
      </c>
      <c r="C2794" s="185"/>
      <c r="D2794" s="30" t="str">
        <f>VLOOKUP(B2794, 'All Menu'!B:M, 4, 0)</f>
        <v>مجروم عكاوي</v>
      </c>
      <c r="E2794" s="30" t="str">
        <f>VLOOKUP(B2794, 'All Menu'!B:M, 2, 0)</f>
        <v>قسم الملحمة</v>
      </c>
      <c r="F2794" s="103" t="str">
        <f>VLOOKUP(B2794, 'All Menu'!B:M, 3, 0)</f>
        <v>لحوم بلدية</v>
      </c>
      <c r="G2794" s="90" t="s">
        <v>3058</v>
      </c>
      <c r="H2794" s="188">
        <v>5315</v>
      </c>
      <c r="I2794" s="110" t="str">
        <f>VLOOKUP(H2794, 'RM &amp; SF'!B:H, 2, 0)</f>
        <v>خاروف بلدي صغير</v>
      </c>
      <c r="J2794" s="184" t="str">
        <f>VLOOKUP(H2794, 'RM &amp; SF'!B:E, 4, 0)</f>
        <v>غم</v>
      </c>
      <c r="K2794" s="111">
        <v>1500</v>
      </c>
      <c r="L2794" s="13">
        <f>VLOOKUP(H2794, 'RM &amp; SF'!B:H, 7, 0)</f>
        <v>1.15E-2</v>
      </c>
      <c r="M2794" s="127">
        <f t="shared" si="143"/>
        <v>17.25</v>
      </c>
      <c r="N2794" s="121" t="s">
        <v>825</v>
      </c>
      <c r="O2794" s="121">
        <f>VLOOKUP(B2794, 'All Menu'!B:L, 6, 0)</f>
        <v>22</v>
      </c>
      <c r="P2794" s="130">
        <f>VLOOKUP(B2794, 'All Menu'!B:L, 9, 0)</f>
        <v>17.25</v>
      </c>
      <c r="Q2794" s="132">
        <f>VLOOKUP(B2794, 'All Menu'!B:M, 12, 0)</f>
        <v>0.21590909090909091</v>
      </c>
      <c r="R2794" s="173">
        <f t="shared" si="142"/>
        <v>0</v>
      </c>
    </row>
    <row r="2795" spans="1:18" ht="14" hidden="1">
      <c r="A2795" s="78" t="s">
        <v>3146</v>
      </c>
      <c r="B2795" s="220">
        <v>60053</v>
      </c>
      <c r="C2795" s="185"/>
      <c r="D2795" s="30" t="str">
        <f>VLOOKUP(B2795, 'All Menu'!B:M, 4, 0)</f>
        <v>مفروم مكس مستورد</v>
      </c>
      <c r="E2795" s="30" t="str">
        <f>VLOOKUP(B2795, 'All Menu'!B:M, 2, 0)</f>
        <v>قسم الملحمة</v>
      </c>
      <c r="F2795" s="103" t="str">
        <f>VLOOKUP(B2795, 'All Menu'!B:M, 3, 0)</f>
        <v>لحوم مستوردة</v>
      </c>
      <c r="G2795" s="90" t="s">
        <v>3058</v>
      </c>
      <c r="H2795" s="226">
        <v>5373</v>
      </c>
      <c r="I2795" s="110" t="str">
        <f>VLOOKUP(H2795, 'RM &amp; SF'!B:H, 2, 0)</f>
        <v>قطعيات عجل مشكلة</v>
      </c>
      <c r="J2795" s="184" t="str">
        <f>VLOOKUP(H2795, 'RM &amp; SF'!B:E, 4, 0)</f>
        <v>غم</v>
      </c>
      <c r="K2795" s="111">
        <v>1000</v>
      </c>
      <c r="L2795" s="13">
        <f>VLOOKUP(H2795, 'RM &amp; SF'!B:H, 7, 0)</f>
        <v>9.0100000000000006E-3</v>
      </c>
      <c r="M2795" s="127">
        <f t="shared" si="143"/>
        <v>9.01</v>
      </c>
      <c r="N2795" s="121" t="s">
        <v>825</v>
      </c>
      <c r="O2795" s="121">
        <f>VLOOKUP(B2795, 'All Menu'!B:L, 6, 0)</f>
        <v>10</v>
      </c>
      <c r="P2795" s="130">
        <f>VLOOKUP(B2795, 'All Menu'!B:L, 9, 0)</f>
        <v>9.01</v>
      </c>
      <c r="Q2795" s="132">
        <f>VLOOKUP(B2795, 'All Menu'!B:M, 12, 0)</f>
        <v>9.9000000000000019E-2</v>
      </c>
      <c r="R2795" s="173">
        <f t="shared" si="142"/>
        <v>0</v>
      </c>
    </row>
    <row r="2796" spans="1:18" ht="14.5" hidden="1">
      <c r="A2796" s="78" t="s">
        <v>2912</v>
      </c>
      <c r="B2796" s="220" t="s">
        <v>1961</v>
      </c>
      <c r="C2796" s="185"/>
      <c r="D2796" s="30" t="str">
        <f>VLOOKUP(B2796, 'All Menu'!B:M, 4, 0)</f>
        <v>بوكس صاجية اللحمة روز بيف</v>
      </c>
      <c r="E2796" s="30" t="str">
        <f>VLOOKUP(B2796, 'All Menu'!B:M, 2, 0)</f>
        <v>قسم الملحمة</v>
      </c>
      <c r="F2796" s="103" t="str">
        <f>VLOOKUP(B2796, 'All Menu'!B:M, 3, 0)</f>
        <v>لحوم مشكوكة</v>
      </c>
      <c r="G2796" s="90" t="s">
        <v>3058</v>
      </c>
      <c r="H2796" s="219">
        <v>5401</v>
      </c>
      <c r="I2796" s="110" t="str">
        <f>VLOOKUP(H2796, 'RM &amp; SF'!B:H, 2, 0)</f>
        <v xml:space="preserve">روز بيف  </v>
      </c>
      <c r="J2796" s="184" t="str">
        <f>VLOOKUP(H2796, 'RM &amp; SF'!B:E, 4, 0)</f>
        <v>غم</v>
      </c>
      <c r="K2796" s="109">
        <v>1000</v>
      </c>
      <c r="L2796" s="13">
        <f>VLOOKUP(H2796, 'RM &amp; SF'!B:H, 7, 0)</f>
        <v>1.2580000000000001E-2</v>
      </c>
      <c r="M2796" s="127">
        <f t="shared" si="143"/>
        <v>12.58</v>
      </c>
      <c r="N2796" s="121" t="s">
        <v>825</v>
      </c>
      <c r="O2796" s="121">
        <f>VLOOKUP(B2796, 'All Menu'!B:L, 6, 0)</f>
        <v>19.850000000000001</v>
      </c>
      <c r="P2796" s="130">
        <f>VLOOKUP(B2796, 'All Menu'!B:L, 9, 0)</f>
        <v>16.244582771598072</v>
      </c>
      <c r="Q2796" s="132">
        <f>VLOOKUP(B2796, 'All Menu'!B:M, 12, 0)</f>
        <v>0.18163310974317023</v>
      </c>
      <c r="R2796" s="173">
        <f t="shared" si="142"/>
        <v>0</v>
      </c>
    </row>
    <row r="2797" spans="1:18" ht="14.5" hidden="1">
      <c r="A2797" s="78" t="s">
        <v>2912</v>
      </c>
      <c r="B2797" s="220" t="s">
        <v>1961</v>
      </c>
      <c r="C2797" s="185"/>
      <c r="D2797" s="30" t="str">
        <f>VLOOKUP(B2797, 'All Menu'!B:M, 4, 0)</f>
        <v>بوكس صاجية اللحمة روز بيف</v>
      </c>
      <c r="E2797" s="30" t="str">
        <f>VLOOKUP(B2797, 'All Menu'!B:M, 2, 0)</f>
        <v>قسم الملحمة</v>
      </c>
      <c r="F2797" s="103" t="str">
        <f>VLOOKUP(B2797, 'All Menu'!B:M, 3, 0)</f>
        <v>لحوم مشكوكة</v>
      </c>
      <c r="G2797" s="90" t="s">
        <v>2234</v>
      </c>
      <c r="H2797" s="188">
        <v>4503</v>
      </c>
      <c r="I2797" s="110" t="str">
        <f>VLOOKUP(H2797, 'RM &amp; SF'!B:H, 2, 0)</f>
        <v>بصل ناشف دفش*****</v>
      </c>
      <c r="J2797" s="184" t="str">
        <f>VLOOKUP(H2797, 'RM &amp; SF'!B:E, 4, 0)</f>
        <v>غم</v>
      </c>
      <c r="K2797" s="109">
        <v>400</v>
      </c>
      <c r="L2797" s="13">
        <f>VLOOKUP(H2797, 'RM &amp; SF'!B:H, 7, 0)</f>
        <v>2.5000000000000001E-4</v>
      </c>
      <c r="M2797" s="127">
        <f t="shared" si="143"/>
        <v>0.1</v>
      </c>
      <c r="N2797" s="121" t="s">
        <v>825</v>
      </c>
      <c r="O2797" s="121">
        <f>VLOOKUP(B2797, 'All Menu'!B:L, 6, 0)</f>
        <v>19.850000000000001</v>
      </c>
      <c r="P2797" s="130">
        <f>VLOOKUP(B2797, 'All Menu'!B:L, 9, 0)</f>
        <v>16.244582771598072</v>
      </c>
      <c r="Q2797" s="132">
        <f>VLOOKUP(B2797, 'All Menu'!B:M, 12, 0)</f>
        <v>0.18163310974317023</v>
      </c>
      <c r="R2797" s="173">
        <f t="shared" si="142"/>
        <v>0</v>
      </c>
    </row>
    <row r="2798" spans="1:18" ht="14.5" hidden="1">
      <c r="A2798" s="78" t="s">
        <v>2912</v>
      </c>
      <c r="B2798" s="220" t="s">
        <v>1961</v>
      </c>
      <c r="C2798" s="185"/>
      <c r="D2798" s="30" t="str">
        <f>VLOOKUP(B2798, 'All Menu'!B:M, 4, 0)</f>
        <v>بوكس صاجية اللحمة روز بيف</v>
      </c>
      <c r="E2798" s="30" t="str">
        <f>VLOOKUP(B2798, 'All Menu'!B:M, 2, 0)</f>
        <v>قسم الملحمة</v>
      </c>
      <c r="F2798" s="103" t="str">
        <f>VLOOKUP(B2798, 'All Menu'!B:M, 3, 0)</f>
        <v>لحوم مشكوكة</v>
      </c>
      <c r="G2798" s="90" t="s">
        <v>2233</v>
      </c>
      <c r="H2798" s="219">
        <v>4501</v>
      </c>
      <c r="I2798" s="110" t="str">
        <f>VLOOKUP(H2798, 'RM &amp; SF'!B:H, 2, 0)</f>
        <v>فلفل حلو احمر*****</v>
      </c>
      <c r="J2798" s="184" t="str">
        <f>VLOOKUP(H2798, 'RM &amp; SF'!B:E, 4, 0)</f>
        <v>غم</v>
      </c>
      <c r="K2798" s="109">
        <v>250</v>
      </c>
      <c r="L2798" s="13">
        <f>VLOOKUP(H2798, 'RM &amp; SF'!B:H, 7, 0)</f>
        <v>7.5000000000000002E-4</v>
      </c>
      <c r="M2798" s="127">
        <f t="shared" si="143"/>
        <v>0.1875</v>
      </c>
      <c r="N2798" s="121" t="s">
        <v>825</v>
      </c>
      <c r="O2798" s="121">
        <f>VLOOKUP(B2798, 'All Menu'!B:L, 6, 0)</f>
        <v>19.850000000000001</v>
      </c>
      <c r="P2798" s="130">
        <f>VLOOKUP(B2798, 'All Menu'!B:L, 9, 0)</f>
        <v>16.244582771598072</v>
      </c>
      <c r="Q2798" s="132">
        <f>VLOOKUP(B2798, 'All Menu'!B:M, 12, 0)</f>
        <v>0.18163310974317023</v>
      </c>
      <c r="R2798" s="173">
        <f t="shared" si="142"/>
        <v>0</v>
      </c>
    </row>
    <row r="2799" spans="1:18" ht="14.5" hidden="1">
      <c r="A2799" s="78" t="s">
        <v>2912</v>
      </c>
      <c r="B2799" s="220" t="s">
        <v>1961</v>
      </c>
      <c r="C2799" s="185"/>
      <c r="D2799" s="30" t="str">
        <f>VLOOKUP(B2799, 'All Menu'!B:M, 4, 0)</f>
        <v>بوكس صاجية اللحمة روز بيف</v>
      </c>
      <c r="E2799" s="30" t="str">
        <f>VLOOKUP(B2799, 'All Menu'!B:M, 2, 0)</f>
        <v>قسم الملحمة</v>
      </c>
      <c r="F2799" s="103" t="str">
        <f>VLOOKUP(B2799, 'All Menu'!B:M, 3, 0)</f>
        <v>لحوم مشكوكة</v>
      </c>
      <c r="G2799" s="90" t="s">
        <v>2206</v>
      </c>
      <c r="H2799" s="219">
        <v>4204</v>
      </c>
      <c r="I2799" s="110" t="str">
        <f>VLOOKUP(H2799, 'RM &amp; SF'!B:H, 2, 0)</f>
        <v>فلفل اسود ناعم*****</v>
      </c>
      <c r="J2799" s="184" t="str">
        <f>VLOOKUP(H2799, 'RM &amp; SF'!B:E, 4, 0)</f>
        <v>غم</v>
      </c>
      <c r="K2799" s="109">
        <v>15</v>
      </c>
      <c r="L2799" s="13">
        <f>VLOOKUP(H2799, 'RM &amp; SF'!B:H, 7, 0)</f>
        <v>6.8970000000000004E-3</v>
      </c>
      <c r="M2799" s="127">
        <f t="shared" si="143"/>
        <v>0.10345500000000001</v>
      </c>
      <c r="N2799" s="121" t="s">
        <v>825</v>
      </c>
      <c r="O2799" s="121">
        <f>VLOOKUP(B2799, 'All Menu'!B:L, 6, 0)</f>
        <v>19.850000000000001</v>
      </c>
      <c r="P2799" s="130">
        <f>VLOOKUP(B2799, 'All Menu'!B:L, 9, 0)</f>
        <v>16.244582771598072</v>
      </c>
      <c r="Q2799" s="132">
        <f>VLOOKUP(B2799, 'All Menu'!B:M, 12, 0)</f>
        <v>0.18163310974317023</v>
      </c>
      <c r="R2799" s="173">
        <f t="shared" si="142"/>
        <v>0</v>
      </c>
    </row>
    <row r="2800" spans="1:18" ht="14.5" hidden="1">
      <c r="A2800" s="78" t="s">
        <v>2912</v>
      </c>
      <c r="B2800" s="220" t="s">
        <v>1961</v>
      </c>
      <c r="C2800" s="185"/>
      <c r="D2800" s="30" t="str">
        <f>VLOOKUP(B2800, 'All Menu'!B:M, 4, 0)</f>
        <v>بوكس صاجية اللحمة روز بيف</v>
      </c>
      <c r="E2800" s="30" t="str">
        <f>VLOOKUP(B2800, 'All Menu'!B:M, 2, 0)</f>
        <v>قسم الملحمة</v>
      </c>
      <c r="F2800" s="103" t="str">
        <f>VLOOKUP(B2800, 'All Menu'!B:M, 3, 0)</f>
        <v>لحوم مشكوكة</v>
      </c>
      <c r="G2800" s="90" t="s">
        <v>2259</v>
      </c>
      <c r="H2800" s="219">
        <v>4159</v>
      </c>
      <c r="I2800" s="110" t="str">
        <f>VLOOKUP(H2800, 'RM &amp; SF'!B:H, 2, 0)</f>
        <v>زيت زيتون 16 كغ*****</v>
      </c>
      <c r="J2800" s="184" t="str">
        <f>VLOOKUP(H2800, 'RM &amp; SF'!B:E, 4, 0)</f>
        <v>غم</v>
      </c>
      <c r="K2800" s="109">
        <v>100</v>
      </c>
      <c r="L2800" s="13">
        <f>VLOOKUP(H2800, 'RM &amp; SF'!B:H, 7, 0)</f>
        <v>7.4999999999999997E-3</v>
      </c>
      <c r="M2800" s="127">
        <f t="shared" si="143"/>
        <v>0.75</v>
      </c>
      <c r="N2800" s="121" t="s">
        <v>825</v>
      </c>
      <c r="O2800" s="121">
        <f>VLOOKUP(B2800, 'All Menu'!B:L, 6, 0)</f>
        <v>19.850000000000001</v>
      </c>
      <c r="P2800" s="130">
        <f>VLOOKUP(B2800, 'All Menu'!B:L, 9, 0)</f>
        <v>16.244582771598072</v>
      </c>
      <c r="Q2800" s="132">
        <f>VLOOKUP(B2800, 'All Menu'!B:M, 12, 0)</f>
        <v>0.18163310974317023</v>
      </c>
      <c r="R2800" s="173">
        <f t="shared" si="142"/>
        <v>0</v>
      </c>
    </row>
    <row r="2801" spans="1:18" ht="14.5" hidden="1">
      <c r="A2801" s="78" t="s">
        <v>2912</v>
      </c>
      <c r="B2801" s="220" t="s">
        <v>1961</v>
      </c>
      <c r="C2801" s="185"/>
      <c r="D2801" s="30" t="str">
        <f>VLOOKUP(B2801, 'All Menu'!B:M, 4, 0)</f>
        <v>بوكس صاجية اللحمة روز بيف</v>
      </c>
      <c r="E2801" s="30" t="str">
        <f>VLOOKUP(B2801, 'All Menu'!B:M, 2, 0)</f>
        <v>قسم الملحمة</v>
      </c>
      <c r="F2801" s="103" t="str">
        <f>VLOOKUP(B2801, 'All Menu'!B:M, 3, 0)</f>
        <v>لحوم مشكوكة</v>
      </c>
      <c r="G2801" s="90" t="s">
        <v>3058</v>
      </c>
      <c r="H2801" s="219">
        <v>4268</v>
      </c>
      <c r="I2801" s="110" t="str">
        <f>VLOOKUP(H2801, 'RM &amp; SF'!B:H, 2, 0)</f>
        <v>بكجات مشاوي مطبوع رقم 2 1*50 حبة*****</v>
      </c>
      <c r="J2801" s="184" t="str">
        <f>VLOOKUP(H2801, 'RM &amp; SF'!B:E, 4, 0)</f>
        <v>قطعة</v>
      </c>
      <c r="K2801" s="109">
        <v>2</v>
      </c>
      <c r="L2801" s="13">
        <f>VLOOKUP(H2801, 'RM &amp; SF'!B:H, 7, 0)</f>
        <v>0.33620689655172414</v>
      </c>
      <c r="M2801" s="127">
        <f t="shared" si="143"/>
        <v>0.67241379310344829</v>
      </c>
      <c r="N2801" s="121" t="s">
        <v>825</v>
      </c>
      <c r="O2801" s="121">
        <f>VLOOKUP(B2801, 'All Menu'!B:L, 6, 0)</f>
        <v>19.850000000000001</v>
      </c>
      <c r="P2801" s="130">
        <f>VLOOKUP(B2801, 'All Menu'!B:L, 9, 0)</f>
        <v>16.244582771598072</v>
      </c>
      <c r="Q2801" s="132">
        <f>VLOOKUP(B2801, 'All Menu'!B:M, 12, 0)</f>
        <v>0.18163310974317023</v>
      </c>
      <c r="R2801" s="173">
        <f t="shared" si="142"/>
        <v>0</v>
      </c>
    </row>
    <row r="2802" spans="1:18" ht="14.5" hidden="1">
      <c r="A2802" s="78" t="s">
        <v>2912</v>
      </c>
      <c r="B2802" s="220" t="s">
        <v>1961</v>
      </c>
      <c r="C2802" s="185"/>
      <c r="D2802" s="30" t="str">
        <f>VLOOKUP(B2802, 'All Menu'!B:M, 4, 0)</f>
        <v>بوكس صاجية اللحمة روز بيف</v>
      </c>
      <c r="E2802" s="30" t="str">
        <f>VLOOKUP(B2802, 'All Menu'!B:M, 2, 0)</f>
        <v>قسم الملحمة</v>
      </c>
      <c r="F2802" s="103" t="str">
        <f>VLOOKUP(B2802, 'All Menu'!B:M, 3, 0)</f>
        <v>لحوم مشكوكة</v>
      </c>
      <c r="G2802" s="90" t="s">
        <v>2331</v>
      </c>
      <c r="H2802" s="219" t="s">
        <v>530</v>
      </c>
      <c r="I2802" s="110" t="str">
        <f>VLOOKUP(H2802, 'RM &amp; SF'!B:H, 2, 0)</f>
        <v>خبز صاج</v>
      </c>
      <c r="J2802" s="184" t="str">
        <f>VLOOKUP(H2802, 'RM &amp; SF'!B:E, 4, 0)</f>
        <v>غم</v>
      </c>
      <c r="K2802" s="109">
        <v>10</v>
      </c>
      <c r="L2802" s="13">
        <f>VLOOKUP(H2802, 'RM &amp; SF'!B:H, 7, 0)</f>
        <v>1.8806451612903227E-4</v>
      </c>
      <c r="M2802" s="127">
        <f t="shared" si="143"/>
        <v>1.8806451612903227E-3</v>
      </c>
      <c r="N2802" s="121" t="s">
        <v>825</v>
      </c>
      <c r="O2802" s="121">
        <f>VLOOKUP(B2802, 'All Menu'!B:L, 6, 0)</f>
        <v>19.850000000000001</v>
      </c>
      <c r="P2802" s="130">
        <f>VLOOKUP(B2802, 'All Menu'!B:L, 9, 0)</f>
        <v>16.244582771598072</v>
      </c>
      <c r="Q2802" s="132">
        <f>VLOOKUP(B2802, 'All Menu'!B:M, 12, 0)</f>
        <v>0.18163310974317023</v>
      </c>
      <c r="R2802" s="173">
        <f t="shared" si="142"/>
        <v>0</v>
      </c>
    </row>
    <row r="2803" spans="1:18" ht="14.5" hidden="1">
      <c r="A2803" s="78" t="s">
        <v>2912</v>
      </c>
      <c r="B2803" s="220" t="s">
        <v>1961</v>
      </c>
      <c r="C2803" s="185"/>
      <c r="D2803" s="30" t="str">
        <f>VLOOKUP(B2803, 'All Menu'!B:M, 4, 0)</f>
        <v>بوكس صاجية اللحمة روز بيف</v>
      </c>
      <c r="E2803" s="30" t="str">
        <f>VLOOKUP(B2803, 'All Menu'!B:M, 2, 0)</f>
        <v>قسم الملحمة</v>
      </c>
      <c r="F2803" s="103" t="str">
        <f>VLOOKUP(B2803, 'All Menu'!B:M, 3, 0)</f>
        <v>لحوم مشكوكة</v>
      </c>
      <c r="G2803" s="90" t="s">
        <v>3058</v>
      </c>
      <c r="H2803" s="219">
        <v>4168</v>
      </c>
      <c r="I2803" s="110" t="str">
        <f>VLOOKUP(H2803, 'RM &amp; SF'!B:H, 2, 0)</f>
        <v>مشروب غازي ماتركس 250 مل*****</v>
      </c>
      <c r="J2803" s="184" t="str">
        <f>VLOOKUP(H2803, 'RM &amp; SF'!B:E, 4, 0)</f>
        <v>قطعة</v>
      </c>
      <c r="K2803" s="109">
        <v>8</v>
      </c>
      <c r="L2803" s="13">
        <f>VLOOKUP(H2803, 'RM &amp; SF'!B:H, 7, 0)</f>
        <v>0.13741666666666666</v>
      </c>
      <c r="M2803" s="127">
        <f t="shared" si="143"/>
        <v>1.0993333333333333</v>
      </c>
      <c r="N2803" s="121" t="s">
        <v>825</v>
      </c>
      <c r="O2803" s="121">
        <f>VLOOKUP(B2803, 'All Menu'!B:L, 6, 0)</f>
        <v>19.850000000000001</v>
      </c>
      <c r="P2803" s="130">
        <f>VLOOKUP(B2803, 'All Menu'!B:L, 9, 0)</f>
        <v>16.244582771598072</v>
      </c>
      <c r="Q2803" s="132">
        <f>VLOOKUP(B2803, 'All Menu'!B:M, 12, 0)</f>
        <v>0.18163310974317023</v>
      </c>
      <c r="R2803" s="173">
        <f t="shared" si="142"/>
        <v>0</v>
      </c>
    </row>
    <row r="2804" spans="1:18" ht="14.5" hidden="1">
      <c r="A2804" s="78" t="s">
        <v>2912</v>
      </c>
      <c r="B2804" s="220" t="s">
        <v>1961</v>
      </c>
      <c r="C2804" s="185"/>
      <c r="D2804" s="30" t="str">
        <f>VLOOKUP(B2804, 'All Menu'!B:M, 4, 0)</f>
        <v>بوكس صاجية اللحمة روز بيف</v>
      </c>
      <c r="E2804" s="30" t="str">
        <f>VLOOKUP(B2804, 'All Menu'!B:M, 2, 0)</f>
        <v>قسم الملحمة</v>
      </c>
      <c r="F2804" s="103" t="str">
        <f>VLOOKUP(B2804, 'All Menu'!B:M, 3, 0)</f>
        <v>لحوم مشكوكة</v>
      </c>
      <c r="G2804" s="90" t="s">
        <v>3058</v>
      </c>
      <c r="H2804" s="219">
        <v>5387</v>
      </c>
      <c r="I2804" s="110" t="str">
        <f>VLOOKUP(H2804, 'RM &amp; SF'!B:H, 2, 0)</f>
        <v>فحم صغير 2 كيلو</v>
      </c>
      <c r="J2804" s="184" t="str">
        <f>VLOOKUP(H2804, 'RM &amp; SF'!B:E, 4, 0)</f>
        <v>قطعة</v>
      </c>
      <c r="K2804" s="109">
        <v>0.5</v>
      </c>
      <c r="L2804" s="13">
        <f>VLOOKUP(H2804, 'RM &amp; SF'!B:H, 7, 0)</f>
        <v>1.5</v>
      </c>
      <c r="M2804" s="127">
        <f t="shared" si="143"/>
        <v>0.75</v>
      </c>
      <c r="N2804" s="121" t="s">
        <v>825</v>
      </c>
      <c r="O2804" s="121">
        <f>VLOOKUP(B2804, 'All Menu'!B:L, 6, 0)</f>
        <v>19.850000000000001</v>
      </c>
      <c r="P2804" s="130">
        <f>VLOOKUP(B2804, 'All Menu'!B:L, 9, 0)</f>
        <v>16.244582771598072</v>
      </c>
      <c r="Q2804" s="132">
        <f>VLOOKUP(B2804, 'All Menu'!B:M, 12, 0)</f>
        <v>0.18163310974317023</v>
      </c>
      <c r="R2804" s="173">
        <f t="shared" si="142"/>
        <v>0</v>
      </c>
    </row>
    <row r="2805" spans="1:18" ht="14" hidden="1">
      <c r="A2805" s="78" t="s">
        <v>2913</v>
      </c>
      <c r="B2805" s="220" t="s">
        <v>1962</v>
      </c>
      <c r="C2805" s="185"/>
      <c r="D2805" s="30" t="str">
        <f>VLOOKUP(B2805, 'All Menu'!B:M, 4, 0)</f>
        <v>بوكس صدر مسحب</v>
      </c>
      <c r="E2805" s="30" t="str">
        <f>VLOOKUP(B2805, 'All Menu'!B:M, 2, 0)</f>
        <v>قسم الملحمة</v>
      </c>
      <c r="F2805" s="103" t="str">
        <f>VLOOKUP(B2805, 'All Menu'!B:M, 3, 0)</f>
        <v>لحوم مشكوكة</v>
      </c>
      <c r="G2805" s="90" t="s">
        <v>3058</v>
      </c>
      <c r="H2805" s="188">
        <v>5386</v>
      </c>
      <c r="I2805" s="110" t="str">
        <f>VLOOKUP(H2805, 'RM &amp; SF'!B:H, 2, 0)</f>
        <v>مسحب الطاحونة - طلبات مارت</v>
      </c>
      <c r="J2805" s="184" t="str">
        <f>VLOOKUP(H2805, 'RM &amp; SF'!B:E, 4, 0)</f>
        <v>غم</v>
      </c>
      <c r="K2805" s="110">
        <v>1000</v>
      </c>
      <c r="L2805" s="13">
        <f>VLOOKUP(H2805, 'RM &amp; SF'!B:H, 7, 0)</f>
        <v>4.2000000000000006E-3</v>
      </c>
      <c r="M2805" s="127">
        <f t="shared" si="143"/>
        <v>4.2</v>
      </c>
      <c r="N2805" s="121" t="s">
        <v>825</v>
      </c>
      <c r="O2805" s="121">
        <f>VLOOKUP(B2805, 'All Menu'!B:L, 6, 0)</f>
        <v>9.85</v>
      </c>
      <c r="P2805" s="130">
        <f>VLOOKUP(B2805, 'All Menu'!B:L, 9, 0)</f>
        <v>6.6868945417130146</v>
      </c>
      <c r="Q2805" s="132">
        <f>VLOOKUP(B2805, 'All Menu'!B:M, 12, 0)</f>
        <v>0.32112745769411016</v>
      </c>
      <c r="R2805" s="173">
        <f t="shared" si="142"/>
        <v>0</v>
      </c>
    </row>
    <row r="2806" spans="1:18" ht="14" hidden="1">
      <c r="A2806" s="78" t="s">
        <v>2913</v>
      </c>
      <c r="B2806" s="220" t="s">
        <v>1962</v>
      </c>
      <c r="C2806" s="185"/>
      <c r="D2806" s="30" t="str">
        <f>VLOOKUP(B2806, 'All Menu'!B:M, 4, 0)</f>
        <v>بوكس صدر مسحب</v>
      </c>
      <c r="E2806" s="30" t="str">
        <f>VLOOKUP(B2806, 'All Menu'!B:M, 2, 0)</f>
        <v>قسم الملحمة</v>
      </c>
      <c r="F2806" s="103" t="str">
        <f>VLOOKUP(B2806, 'All Menu'!B:M, 3, 0)</f>
        <v>لحوم مشكوكة</v>
      </c>
      <c r="G2806" s="90" t="s">
        <v>2234</v>
      </c>
      <c r="H2806" s="188">
        <v>4503</v>
      </c>
      <c r="I2806" s="110" t="str">
        <f>VLOOKUP(H2806, 'RM &amp; SF'!B:H, 2, 0)</f>
        <v>بصل ناشف دفش*****</v>
      </c>
      <c r="J2806" s="184" t="str">
        <f>VLOOKUP(H2806, 'RM &amp; SF'!B:E, 4, 0)</f>
        <v>غم</v>
      </c>
      <c r="K2806" s="110">
        <v>250</v>
      </c>
      <c r="L2806" s="13">
        <f>VLOOKUP(H2806, 'RM &amp; SF'!B:H, 7, 0)</f>
        <v>2.5000000000000001E-4</v>
      </c>
      <c r="M2806" s="127">
        <f t="shared" si="143"/>
        <v>6.25E-2</v>
      </c>
      <c r="N2806" s="121" t="s">
        <v>825</v>
      </c>
      <c r="O2806" s="121">
        <f>VLOOKUP(B2806, 'All Menu'!B:L, 6, 0)</f>
        <v>9.85</v>
      </c>
      <c r="P2806" s="130">
        <f>VLOOKUP(B2806, 'All Menu'!B:L, 9, 0)</f>
        <v>6.6868945417130146</v>
      </c>
      <c r="Q2806" s="132">
        <f>VLOOKUP(B2806, 'All Menu'!B:M, 12, 0)</f>
        <v>0.32112745769411016</v>
      </c>
      <c r="R2806" s="173">
        <f t="shared" si="142"/>
        <v>0</v>
      </c>
    </row>
    <row r="2807" spans="1:18" ht="14" hidden="1">
      <c r="A2807" s="78" t="s">
        <v>2913</v>
      </c>
      <c r="B2807" s="220" t="s">
        <v>1962</v>
      </c>
      <c r="C2807" s="185"/>
      <c r="D2807" s="30" t="str">
        <f>VLOOKUP(B2807, 'All Menu'!B:M, 4, 0)</f>
        <v>بوكس صدر مسحب</v>
      </c>
      <c r="E2807" s="30" t="str">
        <f>VLOOKUP(B2807, 'All Menu'!B:M, 2, 0)</f>
        <v>قسم الملحمة</v>
      </c>
      <c r="F2807" s="103" t="str">
        <f>VLOOKUP(B2807, 'All Menu'!B:M, 3, 0)</f>
        <v>لحوم مشكوكة</v>
      </c>
      <c r="G2807" s="90" t="s">
        <v>2233</v>
      </c>
      <c r="H2807" s="219">
        <v>4501</v>
      </c>
      <c r="I2807" s="110" t="str">
        <f>VLOOKUP(H2807, 'RM &amp; SF'!B:H, 2, 0)</f>
        <v>فلفل حلو احمر*****</v>
      </c>
      <c r="J2807" s="184" t="str">
        <f>VLOOKUP(H2807, 'RM &amp; SF'!B:E, 4, 0)</f>
        <v>غم</v>
      </c>
      <c r="K2807" s="110">
        <v>250</v>
      </c>
      <c r="L2807" s="13">
        <f>VLOOKUP(H2807, 'RM &amp; SF'!B:H, 7, 0)</f>
        <v>7.5000000000000002E-4</v>
      </c>
      <c r="M2807" s="127">
        <f t="shared" si="143"/>
        <v>0.1875</v>
      </c>
      <c r="N2807" s="121" t="s">
        <v>825</v>
      </c>
      <c r="O2807" s="121">
        <f>VLOOKUP(B2807, 'All Menu'!B:L, 6, 0)</f>
        <v>9.85</v>
      </c>
      <c r="P2807" s="130">
        <f>VLOOKUP(B2807, 'All Menu'!B:L, 9, 0)</f>
        <v>6.6868945417130146</v>
      </c>
      <c r="Q2807" s="132">
        <f>VLOOKUP(B2807, 'All Menu'!B:M, 12, 0)</f>
        <v>0.32112745769411016</v>
      </c>
      <c r="R2807" s="173">
        <f t="shared" si="142"/>
        <v>0</v>
      </c>
    </row>
    <row r="2808" spans="1:18" ht="14" hidden="1">
      <c r="A2808" s="78" t="s">
        <v>2913</v>
      </c>
      <c r="B2808" s="220" t="s">
        <v>1962</v>
      </c>
      <c r="C2808" s="185"/>
      <c r="D2808" s="30" t="str">
        <f>VLOOKUP(B2808, 'All Menu'!B:M, 4, 0)</f>
        <v>بوكس صدر مسحب</v>
      </c>
      <c r="E2808" s="30" t="str">
        <f>VLOOKUP(B2808, 'All Menu'!B:M, 2, 0)</f>
        <v>قسم الملحمة</v>
      </c>
      <c r="F2808" s="103" t="str">
        <f>VLOOKUP(B2808, 'All Menu'!B:M, 3, 0)</f>
        <v>لحوم مشكوكة</v>
      </c>
      <c r="G2808" s="90" t="s">
        <v>2203</v>
      </c>
      <c r="H2808" s="188">
        <v>4152</v>
      </c>
      <c r="I2808" s="110" t="str">
        <f>VLOOKUP(H2808, 'RM &amp; SF'!B:H, 2, 0)</f>
        <v>ملح طعام 750غم*****</v>
      </c>
      <c r="J2808" s="184" t="str">
        <f>VLOOKUP(H2808, 'RM &amp; SF'!B:E, 4, 0)</f>
        <v>غم</v>
      </c>
      <c r="K2808" s="110">
        <v>7</v>
      </c>
      <c r="L2808" s="13">
        <f>VLOOKUP(H2808, 'RM &amp; SF'!B:H, 7, 0)</f>
        <v>1.7066666666666665E-4</v>
      </c>
      <c r="M2808" s="127">
        <f t="shared" si="143"/>
        <v>1.1946666666666666E-3</v>
      </c>
      <c r="N2808" s="121" t="s">
        <v>825</v>
      </c>
      <c r="O2808" s="121">
        <f>VLOOKUP(B2808, 'All Menu'!B:L, 6, 0)</f>
        <v>9.85</v>
      </c>
      <c r="P2808" s="130">
        <f>VLOOKUP(B2808, 'All Menu'!B:L, 9, 0)</f>
        <v>6.6868945417130146</v>
      </c>
      <c r="Q2808" s="132">
        <f>VLOOKUP(B2808, 'All Menu'!B:M, 12, 0)</f>
        <v>0.32112745769411016</v>
      </c>
      <c r="R2808" s="173">
        <f t="shared" si="142"/>
        <v>0</v>
      </c>
    </row>
    <row r="2809" spans="1:18" ht="14" hidden="1">
      <c r="A2809" s="78" t="s">
        <v>2913</v>
      </c>
      <c r="B2809" s="220" t="s">
        <v>1962</v>
      </c>
      <c r="C2809" s="185"/>
      <c r="D2809" s="30" t="str">
        <f>VLOOKUP(B2809, 'All Menu'!B:M, 4, 0)</f>
        <v>بوكس صدر مسحب</v>
      </c>
      <c r="E2809" s="30" t="str">
        <f>VLOOKUP(B2809, 'All Menu'!B:M, 2, 0)</f>
        <v>قسم الملحمة</v>
      </c>
      <c r="F2809" s="103" t="str">
        <f>VLOOKUP(B2809, 'All Menu'!B:M, 3, 0)</f>
        <v>لحوم مشكوكة</v>
      </c>
      <c r="G2809" s="90" t="s">
        <v>2206</v>
      </c>
      <c r="H2809" s="219">
        <v>4204</v>
      </c>
      <c r="I2809" s="110" t="str">
        <f>VLOOKUP(H2809, 'RM &amp; SF'!B:H, 2, 0)</f>
        <v>فلفل اسود ناعم*****</v>
      </c>
      <c r="J2809" s="184" t="str">
        <f>VLOOKUP(H2809, 'RM &amp; SF'!B:E, 4, 0)</f>
        <v>غم</v>
      </c>
      <c r="K2809" s="110">
        <v>7</v>
      </c>
      <c r="L2809" s="13">
        <f>VLOOKUP(H2809, 'RM &amp; SF'!B:H, 7, 0)</f>
        <v>6.8970000000000004E-3</v>
      </c>
      <c r="M2809" s="127">
        <f t="shared" si="143"/>
        <v>4.8279000000000002E-2</v>
      </c>
      <c r="N2809" s="121" t="s">
        <v>825</v>
      </c>
      <c r="O2809" s="121">
        <f>VLOOKUP(B2809, 'All Menu'!B:L, 6, 0)</f>
        <v>9.85</v>
      </c>
      <c r="P2809" s="130">
        <f>VLOOKUP(B2809, 'All Menu'!B:L, 9, 0)</f>
        <v>6.6868945417130146</v>
      </c>
      <c r="Q2809" s="132">
        <f>VLOOKUP(B2809, 'All Menu'!B:M, 12, 0)</f>
        <v>0.32112745769411016</v>
      </c>
      <c r="R2809" s="173">
        <f t="shared" si="142"/>
        <v>0</v>
      </c>
    </row>
    <row r="2810" spans="1:18" ht="14" hidden="1">
      <c r="A2810" s="78" t="s">
        <v>2913</v>
      </c>
      <c r="B2810" s="220" t="s">
        <v>1962</v>
      </c>
      <c r="C2810" s="185"/>
      <c r="D2810" s="30" t="str">
        <f>VLOOKUP(B2810, 'All Menu'!B:M, 4, 0)</f>
        <v>بوكس صدر مسحب</v>
      </c>
      <c r="E2810" s="30" t="str">
        <f>VLOOKUP(B2810, 'All Menu'!B:M, 2, 0)</f>
        <v>قسم الملحمة</v>
      </c>
      <c r="F2810" s="103" t="str">
        <f>VLOOKUP(B2810, 'All Menu'!B:M, 3, 0)</f>
        <v>لحوم مشكوكة</v>
      </c>
      <c r="G2810" s="90" t="s">
        <v>3058</v>
      </c>
      <c r="H2810" s="219">
        <v>4268</v>
      </c>
      <c r="I2810" s="110" t="str">
        <f>VLOOKUP(H2810, 'RM &amp; SF'!B:H, 2, 0)</f>
        <v>بكجات مشاوي مطبوع رقم 2 1*50 حبة*****</v>
      </c>
      <c r="J2810" s="184" t="str">
        <f>VLOOKUP(H2810, 'RM &amp; SF'!B:E, 4, 0)</f>
        <v>قطعة</v>
      </c>
      <c r="K2810" s="110" t="s">
        <v>1965</v>
      </c>
      <c r="L2810" s="13">
        <f>VLOOKUP(H2810, 'RM &amp; SF'!B:H, 7, 0)</f>
        <v>0.33620689655172414</v>
      </c>
      <c r="M2810" s="127">
        <f t="shared" si="143"/>
        <v>0.33620689655172414</v>
      </c>
      <c r="N2810" s="121" t="s">
        <v>825</v>
      </c>
      <c r="O2810" s="121">
        <f>VLOOKUP(B2810, 'All Menu'!B:L, 6, 0)</f>
        <v>9.85</v>
      </c>
      <c r="P2810" s="130">
        <f>VLOOKUP(B2810, 'All Menu'!B:L, 9, 0)</f>
        <v>6.6868945417130146</v>
      </c>
      <c r="Q2810" s="132">
        <f>VLOOKUP(B2810, 'All Menu'!B:M, 12, 0)</f>
        <v>0.32112745769411016</v>
      </c>
      <c r="R2810" s="173">
        <f t="shared" si="142"/>
        <v>0</v>
      </c>
    </row>
    <row r="2811" spans="1:18" ht="14" hidden="1">
      <c r="A2811" s="78" t="s">
        <v>2913</v>
      </c>
      <c r="B2811" s="220" t="s">
        <v>1962</v>
      </c>
      <c r="C2811" s="185"/>
      <c r="D2811" s="30" t="str">
        <f>VLOOKUP(B2811, 'All Menu'!B:M, 4, 0)</f>
        <v>بوكس صدر مسحب</v>
      </c>
      <c r="E2811" s="30" t="str">
        <f>VLOOKUP(B2811, 'All Menu'!B:M, 2, 0)</f>
        <v>قسم الملحمة</v>
      </c>
      <c r="F2811" s="103" t="str">
        <f>VLOOKUP(B2811, 'All Menu'!B:M, 3, 0)</f>
        <v>لحوم مشكوكة</v>
      </c>
      <c r="G2811" s="90" t="s">
        <v>3058</v>
      </c>
      <c r="H2811" s="219">
        <v>4168</v>
      </c>
      <c r="I2811" s="110" t="str">
        <f>VLOOKUP(H2811, 'RM &amp; SF'!B:H, 2, 0)</f>
        <v>مشروب غازي ماتركس 250 مل*****</v>
      </c>
      <c r="J2811" s="184" t="str">
        <f>VLOOKUP(H2811, 'RM &amp; SF'!B:E, 4, 0)</f>
        <v>قطعة</v>
      </c>
      <c r="K2811" s="110">
        <v>8</v>
      </c>
      <c r="L2811" s="13">
        <f>VLOOKUP(H2811, 'RM &amp; SF'!B:H, 7, 0)</f>
        <v>0.13741666666666666</v>
      </c>
      <c r="M2811" s="127">
        <f t="shared" si="143"/>
        <v>1.0993333333333333</v>
      </c>
      <c r="N2811" s="121" t="s">
        <v>825</v>
      </c>
      <c r="O2811" s="121">
        <f>VLOOKUP(B2811, 'All Menu'!B:L, 6, 0)</f>
        <v>9.85</v>
      </c>
      <c r="P2811" s="130">
        <f>VLOOKUP(B2811, 'All Menu'!B:L, 9, 0)</f>
        <v>6.6868945417130146</v>
      </c>
      <c r="Q2811" s="132">
        <f>VLOOKUP(B2811, 'All Menu'!B:M, 12, 0)</f>
        <v>0.32112745769411016</v>
      </c>
      <c r="R2811" s="173">
        <f t="shared" si="142"/>
        <v>0</v>
      </c>
    </row>
    <row r="2812" spans="1:18" ht="14" hidden="1">
      <c r="A2812" s="78" t="s">
        <v>2913</v>
      </c>
      <c r="B2812" s="220" t="s">
        <v>1962</v>
      </c>
      <c r="C2812" s="185"/>
      <c r="D2812" s="30" t="str">
        <f>VLOOKUP(B2812, 'All Menu'!B:M, 4, 0)</f>
        <v>بوكس صدر مسحب</v>
      </c>
      <c r="E2812" s="30" t="str">
        <f>VLOOKUP(B2812, 'All Menu'!B:M, 2, 0)</f>
        <v>قسم الملحمة</v>
      </c>
      <c r="F2812" s="103" t="str">
        <f>VLOOKUP(B2812, 'All Menu'!B:M, 3, 0)</f>
        <v>لحوم مشكوكة</v>
      </c>
      <c r="G2812" s="90" t="s">
        <v>3058</v>
      </c>
      <c r="H2812" s="219">
        <v>5387</v>
      </c>
      <c r="I2812" s="110" t="str">
        <f>VLOOKUP(H2812, 'RM &amp; SF'!B:H, 2, 0)</f>
        <v>فحم صغير 2 كيلو</v>
      </c>
      <c r="J2812" s="184" t="str">
        <f>VLOOKUP(H2812, 'RM &amp; SF'!B:E, 4, 0)</f>
        <v>قطعة</v>
      </c>
      <c r="K2812" s="110">
        <v>0.5</v>
      </c>
      <c r="L2812" s="13">
        <f>VLOOKUP(H2812, 'RM &amp; SF'!B:H, 7, 0)</f>
        <v>1.5</v>
      </c>
      <c r="M2812" s="127">
        <f t="shared" si="143"/>
        <v>0.75</v>
      </c>
      <c r="N2812" s="121" t="s">
        <v>825</v>
      </c>
      <c r="O2812" s="121">
        <f>VLOOKUP(B2812, 'All Menu'!B:L, 6, 0)</f>
        <v>9.85</v>
      </c>
      <c r="P2812" s="130">
        <f>VLOOKUP(B2812, 'All Menu'!B:L, 9, 0)</f>
        <v>6.6868945417130146</v>
      </c>
      <c r="Q2812" s="132">
        <f>VLOOKUP(B2812, 'All Menu'!B:M, 12, 0)</f>
        <v>0.32112745769411016</v>
      </c>
      <c r="R2812" s="173">
        <f t="shared" si="142"/>
        <v>0</v>
      </c>
    </row>
    <row r="2813" spans="1:18" ht="14" hidden="1">
      <c r="A2813" s="78" t="s">
        <v>2913</v>
      </c>
      <c r="B2813" s="220" t="s">
        <v>1962</v>
      </c>
      <c r="C2813" s="185"/>
      <c r="D2813" s="30" t="str">
        <f>VLOOKUP(B2813, 'All Menu'!B:M, 4, 0)</f>
        <v>بوكس صدر مسحب</v>
      </c>
      <c r="E2813" s="30" t="str">
        <f>VLOOKUP(B2813, 'All Menu'!B:M, 2, 0)</f>
        <v>قسم الملحمة</v>
      </c>
      <c r="F2813" s="103" t="str">
        <f>VLOOKUP(B2813, 'All Menu'!B:M, 3, 0)</f>
        <v>لحوم مشكوكة</v>
      </c>
      <c r="G2813" s="90" t="s">
        <v>2331</v>
      </c>
      <c r="H2813" s="219" t="s">
        <v>530</v>
      </c>
      <c r="I2813" s="110" t="str">
        <f>VLOOKUP(H2813, 'RM &amp; SF'!B:H, 2, 0)</f>
        <v>خبز صاج</v>
      </c>
      <c r="J2813" s="184" t="str">
        <f>VLOOKUP(H2813, 'RM &amp; SF'!B:E, 4, 0)</f>
        <v>غم</v>
      </c>
      <c r="K2813" s="110">
        <v>10</v>
      </c>
      <c r="L2813" s="13">
        <f>VLOOKUP(H2813, 'RM &amp; SF'!B:H, 7, 0)</f>
        <v>1.8806451612903227E-4</v>
      </c>
      <c r="M2813" s="127">
        <f t="shared" si="143"/>
        <v>1.8806451612903227E-3</v>
      </c>
      <c r="N2813" s="121" t="s">
        <v>825</v>
      </c>
      <c r="O2813" s="121">
        <f>VLOOKUP(B2813, 'All Menu'!B:L, 6, 0)</f>
        <v>9.85</v>
      </c>
      <c r="P2813" s="130">
        <f>VLOOKUP(B2813, 'All Menu'!B:L, 9, 0)</f>
        <v>6.6868945417130146</v>
      </c>
      <c r="Q2813" s="132">
        <f>VLOOKUP(B2813, 'All Menu'!B:M, 12, 0)</f>
        <v>0.32112745769411016</v>
      </c>
      <c r="R2813" s="173">
        <f t="shared" si="142"/>
        <v>0</v>
      </c>
    </row>
    <row r="2814" spans="1:18" ht="14.5" hidden="1">
      <c r="A2814" s="78" t="s">
        <v>2914</v>
      </c>
      <c r="B2814" s="220" t="s">
        <v>1963</v>
      </c>
      <c r="C2814" s="185"/>
      <c r="D2814" s="30" t="str">
        <f>VLOOKUP(B2814, 'All Menu'!B:M, 4, 0)</f>
        <v>بوكس صاجية اللحمة خروف</v>
      </c>
      <c r="E2814" s="30" t="str">
        <f>VLOOKUP(B2814, 'All Menu'!B:M, 2, 0)</f>
        <v>قسم الملحمة</v>
      </c>
      <c r="F2814" s="103" t="str">
        <f>VLOOKUP(B2814, 'All Menu'!B:M, 3, 0)</f>
        <v>لحوم مشكوكة</v>
      </c>
      <c r="G2814" s="90" t="s">
        <v>3058</v>
      </c>
      <c r="H2814" s="188">
        <v>5398</v>
      </c>
      <c r="I2814" s="110" t="str">
        <f>VLOOKUP(H2814, 'RM &amp; SF'!B:H, 2, 0)</f>
        <v xml:space="preserve">فيليه </v>
      </c>
      <c r="J2814" s="184" t="str">
        <f>VLOOKUP(H2814, 'RM &amp; SF'!B:E, 4, 0)</f>
        <v>غم</v>
      </c>
      <c r="K2814" s="109">
        <v>500</v>
      </c>
      <c r="L2814" s="13">
        <f>VLOOKUP(H2814, 'RM &amp; SF'!B:H, 7, 0)</f>
        <v>2.1499999999999998E-2</v>
      </c>
      <c r="M2814" s="127">
        <f>20.86/2</f>
        <v>10.43</v>
      </c>
      <c r="N2814" s="121" t="s">
        <v>825</v>
      </c>
      <c r="O2814" s="121">
        <f>VLOOKUP(B2814, 'All Menu'!B:L, 6, 0)</f>
        <v>19.850000000000001</v>
      </c>
      <c r="P2814" s="130">
        <f>VLOOKUP(B2814, 'All Menu'!B:L, 9, 0)</f>
        <v>14.174101438264739</v>
      </c>
      <c r="Q2814" s="132">
        <f>VLOOKUP(B2814, 'All Menu'!B:M, 12, 0)</f>
        <v>0.28593947414283438</v>
      </c>
      <c r="R2814" s="173">
        <f t="shared" si="142"/>
        <v>0</v>
      </c>
    </row>
    <row r="2815" spans="1:18" ht="14.5" hidden="1">
      <c r="A2815" s="78" t="s">
        <v>2914</v>
      </c>
      <c r="B2815" s="220" t="s">
        <v>1963</v>
      </c>
      <c r="C2815" s="185"/>
      <c r="D2815" s="30" t="str">
        <f>VLOOKUP(B2815, 'All Menu'!B:M, 4, 0)</f>
        <v>بوكس صاجية اللحمة خروف</v>
      </c>
      <c r="E2815" s="30" t="str">
        <f>VLOOKUP(B2815, 'All Menu'!B:M, 2, 0)</f>
        <v>قسم الملحمة</v>
      </c>
      <c r="F2815" s="103" t="str">
        <f>VLOOKUP(B2815, 'All Menu'!B:M, 3, 0)</f>
        <v>لحوم مشكوكة</v>
      </c>
      <c r="G2815" s="90" t="s">
        <v>2234</v>
      </c>
      <c r="H2815" s="188">
        <v>4503</v>
      </c>
      <c r="I2815" s="110" t="str">
        <f>VLOOKUP(H2815, 'RM &amp; SF'!B:H, 2, 0)</f>
        <v>بصل ناشف دفش*****</v>
      </c>
      <c r="J2815" s="184" t="str">
        <f>VLOOKUP(H2815, 'RM &amp; SF'!B:E, 4, 0)</f>
        <v>غم</v>
      </c>
      <c r="K2815" s="109">
        <v>400</v>
      </c>
      <c r="L2815" s="13">
        <f>VLOOKUP(H2815, 'RM &amp; SF'!B:H, 7, 0)</f>
        <v>2.5000000000000001E-4</v>
      </c>
      <c r="M2815" s="127">
        <f t="shared" ref="M2815:M2824" si="144">L2815*K2815</f>
        <v>0.1</v>
      </c>
      <c r="N2815" s="121" t="s">
        <v>825</v>
      </c>
      <c r="O2815" s="121">
        <f>VLOOKUP(B2815, 'All Menu'!B:L, 6, 0)</f>
        <v>19.850000000000001</v>
      </c>
      <c r="P2815" s="130">
        <f>VLOOKUP(B2815, 'All Menu'!B:L, 9, 0)</f>
        <v>14.174101438264739</v>
      </c>
      <c r="Q2815" s="132">
        <f>VLOOKUP(B2815, 'All Menu'!B:M, 12, 0)</f>
        <v>0.28593947414283438</v>
      </c>
      <c r="R2815" s="173">
        <f t="shared" si="142"/>
        <v>0</v>
      </c>
    </row>
    <row r="2816" spans="1:18" ht="14.5" hidden="1">
      <c r="A2816" s="78" t="s">
        <v>2914</v>
      </c>
      <c r="B2816" s="220" t="s">
        <v>1963</v>
      </c>
      <c r="C2816" s="185"/>
      <c r="D2816" s="30" t="str">
        <f>VLOOKUP(B2816, 'All Menu'!B:M, 4, 0)</f>
        <v>بوكس صاجية اللحمة خروف</v>
      </c>
      <c r="E2816" s="30" t="str">
        <f>VLOOKUP(B2816, 'All Menu'!B:M, 2, 0)</f>
        <v>قسم الملحمة</v>
      </c>
      <c r="F2816" s="103" t="str">
        <f>VLOOKUP(B2816, 'All Menu'!B:M, 3, 0)</f>
        <v>لحوم مشكوكة</v>
      </c>
      <c r="G2816" s="90" t="s">
        <v>2233</v>
      </c>
      <c r="H2816" s="219">
        <v>4501</v>
      </c>
      <c r="I2816" s="110" t="str">
        <f>VLOOKUP(H2816, 'RM &amp; SF'!B:H, 2, 0)</f>
        <v>فلفل حلو احمر*****</v>
      </c>
      <c r="J2816" s="184" t="str">
        <f>VLOOKUP(H2816, 'RM &amp; SF'!B:E, 4, 0)</f>
        <v>غم</v>
      </c>
      <c r="K2816" s="109">
        <v>250</v>
      </c>
      <c r="L2816" s="13">
        <f>VLOOKUP(H2816, 'RM &amp; SF'!B:H, 7, 0)</f>
        <v>7.5000000000000002E-4</v>
      </c>
      <c r="M2816" s="127">
        <f t="shared" si="144"/>
        <v>0.1875</v>
      </c>
      <c r="N2816" s="121" t="s">
        <v>825</v>
      </c>
      <c r="O2816" s="121">
        <f>VLOOKUP(B2816, 'All Menu'!B:L, 6, 0)</f>
        <v>19.850000000000001</v>
      </c>
      <c r="P2816" s="130">
        <f>VLOOKUP(B2816, 'All Menu'!B:L, 9, 0)</f>
        <v>14.174101438264739</v>
      </c>
      <c r="Q2816" s="132">
        <f>VLOOKUP(B2816, 'All Menu'!B:M, 12, 0)</f>
        <v>0.28593947414283438</v>
      </c>
      <c r="R2816" s="173">
        <f t="shared" si="142"/>
        <v>0</v>
      </c>
    </row>
    <row r="2817" spans="1:18" ht="14.5" hidden="1">
      <c r="A2817" s="78" t="s">
        <v>2914</v>
      </c>
      <c r="B2817" s="220" t="s">
        <v>1963</v>
      </c>
      <c r="C2817" s="185"/>
      <c r="D2817" s="30" t="str">
        <f>VLOOKUP(B2817, 'All Menu'!B:M, 4, 0)</f>
        <v>بوكس صاجية اللحمة خروف</v>
      </c>
      <c r="E2817" s="30" t="str">
        <f>VLOOKUP(B2817, 'All Menu'!B:M, 2, 0)</f>
        <v>قسم الملحمة</v>
      </c>
      <c r="F2817" s="103" t="str">
        <f>VLOOKUP(B2817, 'All Menu'!B:M, 3, 0)</f>
        <v>لحوم مشكوكة</v>
      </c>
      <c r="G2817" s="90" t="s">
        <v>2206</v>
      </c>
      <c r="H2817" s="219">
        <v>4204</v>
      </c>
      <c r="I2817" s="110" t="str">
        <f>VLOOKUP(H2817, 'RM &amp; SF'!B:H, 2, 0)</f>
        <v>فلفل اسود ناعم*****</v>
      </c>
      <c r="J2817" s="184" t="str">
        <f>VLOOKUP(H2817, 'RM &amp; SF'!B:E, 4, 0)</f>
        <v>غم</v>
      </c>
      <c r="K2817" s="109">
        <v>7</v>
      </c>
      <c r="L2817" s="13">
        <f>VLOOKUP(H2817, 'RM &amp; SF'!B:H, 7, 0)</f>
        <v>6.8970000000000004E-3</v>
      </c>
      <c r="M2817" s="127">
        <f t="shared" si="144"/>
        <v>4.8279000000000002E-2</v>
      </c>
      <c r="N2817" s="121" t="s">
        <v>825</v>
      </c>
      <c r="O2817" s="121">
        <f>VLOOKUP(B2817, 'All Menu'!B:L, 6, 0)</f>
        <v>19.850000000000001</v>
      </c>
      <c r="P2817" s="130">
        <f>VLOOKUP(B2817, 'All Menu'!B:L, 9, 0)</f>
        <v>14.174101438264739</v>
      </c>
      <c r="Q2817" s="132">
        <f>VLOOKUP(B2817, 'All Menu'!B:M, 12, 0)</f>
        <v>0.28593947414283438</v>
      </c>
      <c r="R2817" s="173">
        <f t="shared" si="142"/>
        <v>0</v>
      </c>
    </row>
    <row r="2818" spans="1:18" ht="14.5" hidden="1">
      <c r="A2818" s="78" t="s">
        <v>2914</v>
      </c>
      <c r="B2818" s="220" t="s">
        <v>1963</v>
      </c>
      <c r="C2818" s="185"/>
      <c r="D2818" s="30" t="str">
        <f>VLOOKUP(B2818, 'All Menu'!B:M, 4, 0)</f>
        <v>بوكس صاجية اللحمة خروف</v>
      </c>
      <c r="E2818" s="30" t="str">
        <f>VLOOKUP(B2818, 'All Menu'!B:M, 2, 0)</f>
        <v>قسم الملحمة</v>
      </c>
      <c r="F2818" s="103" t="str">
        <f>VLOOKUP(B2818, 'All Menu'!B:M, 3, 0)</f>
        <v>لحوم مشكوكة</v>
      </c>
      <c r="G2818" s="90" t="s">
        <v>2203</v>
      </c>
      <c r="H2818" s="188">
        <v>4152</v>
      </c>
      <c r="I2818" s="110" t="str">
        <f>VLOOKUP(H2818, 'RM &amp; SF'!B:H, 2, 0)</f>
        <v>ملح طعام 750غم*****</v>
      </c>
      <c r="J2818" s="184" t="str">
        <f>VLOOKUP(H2818, 'RM &amp; SF'!B:E, 4, 0)</f>
        <v>غم</v>
      </c>
      <c r="K2818" s="109">
        <v>7</v>
      </c>
      <c r="L2818" s="13">
        <f>VLOOKUP(H2818, 'RM &amp; SF'!B:H, 7, 0)</f>
        <v>1.7066666666666665E-4</v>
      </c>
      <c r="M2818" s="127">
        <f t="shared" si="144"/>
        <v>1.1946666666666666E-3</v>
      </c>
      <c r="N2818" s="121" t="s">
        <v>825</v>
      </c>
      <c r="O2818" s="121">
        <f>VLOOKUP(B2818, 'All Menu'!B:L, 6, 0)</f>
        <v>19.850000000000001</v>
      </c>
      <c r="P2818" s="130">
        <f>VLOOKUP(B2818, 'All Menu'!B:L, 9, 0)</f>
        <v>14.174101438264739</v>
      </c>
      <c r="Q2818" s="132">
        <f>VLOOKUP(B2818, 'All Menu'!B:M, 12, 0)</f>
        <v>0.28593947414283438</v>
      </c>
      <c r="R2818" s="173">
        <f t="shared" si="142"/>
        <v>0</v>
      </c>
    </row>
    <row r="2819" spans="1:18" ht="14.5" hidden="1">
      <c r="A2819" s="78" t="s">
        <v>2914</v>
      </c>
      <c r="B2819" s="220" t="s">
        <v>1963</v>
      </c>
      <c r="C2819" s="185"/>
      <c r="D2819" s="30" t="str">
        <f>VLOOKUP(B2819, 'All Menu'!B:M, 4, 0)</f>
        <v>بوكس صاجية اللحمة خروف</v>
      </c>
      <c r="E2819" s="30" t="str">
        <f>VLOOKUP(B2819, 'All Menu'!B:M, 2, 0)</f>
        <v>قسم الملحمة</v>
      </c>
      <c r="F2819" s="103" t="str">
        <f>VLOOKUP(B2819, 'All Menu'!B:M, 3, 0)</f>
        <v>لحوم مشكوكة</v>
      </c>
      <c r="G2819" s="90" t="s">
        <v>2260</v>
      </c>
      <c r="H2819" s="188">
        <v>4160</v>
      </c>
      <c r="I2819" s="110" t="str">
        <f>VLOOKUP(H2819, 'RM &amp; SF'!B:H, 2, 0)</f>
        <v>زيت صويا 18 لتر*****</v>
      </c>
      <c r="J2819" s="184" t="str">
        <f>VLOOKUP(H2819, 'RM &amp; SF'!B:E, 4, 0)</f>
        <v>مل</v>
      </c>
      <c r="K2819" s="109">
        <v>100</v>
      </c>
      <c r="L2819" s="13">
        <f>VLOOKUP(H2819, 'RM &amp; SF'!B:H, 7, 0)</f>
        <v>1.335E-3</v>
      </c>
      <c r="M2819" s="127">
        <f t="shared" si="144"/>
        <v>0.13350000000000001</v>
      </c>
      <c r="N2819" s="121" t="s">
        <v>825</v>
      </c>
      <c r="O2819" s="121">
        <f>VLOOKUP(B2819, 'All Menu'!B:L, 6, 0)</f>
        <v>19.850000000000001</v>
      </c>
      <c r="P2819" s="130">
        <f>VLOOKUP(B2819, 'All Menu'!B:L, 9, 0)</f>
        <v>14.174101438264739</v>
      </c>
      <c r="Q2819" s="132">
        <f>VLOOKUP(B2819, 'All Menu'!B:M, 12, 0)</f>
        <v>0.28593947414283438</v>
      </c>
      <c r="R2819" s="173">
        <f t="shared" si="142"/>
        <v>0</v>
      </c>
    </row>
    <row r="2820" spans="1:18" ht="14.5" hidden="1">
      <c r="A2820" s="78" t="s">
        <v>2914</v>
      </c>
      <c r="B2820" s="220" t="s">
        <v>1963</v>
      </c>
      <c r="C2820" s="185"/>
      <c r="D2820" s="30" t="str">
        <f>VLOOKUP(B2820, 'All Menu'!B:M, 4, 0)</f>
        <v>بوكس صاجية اللحمة خروف</v>
      </c>
      <c r="E2820" s="30" t="str">
        <f>VLOOKUP(B2820, 'All Menu'!B:M, 2, 0)</f>
        <v>قسم الملحمة</v>
      </c>
      <c r="F2820" s="103" t="str">
        <f>VLOOKUP(B2820, 'All Menu'!B:M, 3, 0)</f>
        <v>لحوم مشكوكة</v>
      </c>
      <c r="G2820" s="90" t="s">
        <v>3058</v>
      </c>
      <c r="H2820" s="188" t="s">
        <v>2149</v>
      </c>
      <c r="I2820" s="110" t="str">
        <f>VLOOKUP(H2820, 'RM &amp; SF'!B:H, 2, 0)</f>
        <v>لية ملحمه</v>
      </c>
      <c r="J2820" s="184" t="str">
        <f>VLOOKUP(H2820, 'RM &amp; SF'!B:E, 4, 0)</f>
        <v>غم</v>
      </c>
      <c r="K2820" s="109">
        <v>150</v>
      </c>
      <c r="L2820" s="13">
        <f>VLOOKUP(H2820, 'RM &amp; SF'!B:H, 7, 0)</f>
        <v>5.0000000000000001E-3</v>
      </c>
      <c r="M2820" s="127">
        <f t="shared" si="144"/>
        <v>0.75</v>
      </c>
      <c r="N2820" s="121" t="s">
        <v>825</v>
      </c>
      <c r="O2820" s="121">
        <f>VLOOKUP(B2820, 'All Menu'!B:L, 6, 0)</f>
        <v>19.850000000000001</v>
      </c>
      <c r="P2820" s="130">
        <f>VLOOKUP(B2820, 'All Menu'!B:L, 9, 0)</f>
        <v>14.174101438264739</v>
      </c>
      <c r="Q2820" s="132">
        <f>VLOOKUP(B2820, 'All Menu'!B:M, 12, 0)</f>
        <v>0.28593947414283438</v>
      </c>
      <c r="R2820" s="173">
        <f t="shared" si="142"/>
        <v>0</v>
      </c>
    </row>
    <row r="2821" spans="1:18" ht="14.5" hidden="1">
      <c r="A2821" s="78" t="s">
        <v>2914</v>
      </c>
      <c r="B2821" s="220" t="s">
        <v>1963</v>
      </c>
      <c r="C2821" s="185"/>
      <c r="D2821" s="30" t="str">
        <f>VLOOKUP(B2821, 'All Menu'!B:M, 4, 0)</f>
        <v>بوكس صاجية اللحمة خروف</v>
      </c>
      <c r="E2821" s="30" t="str">
        <f>VLOOKUP(B2821, 'All Menu'!B:M, 2, 0)</f>
        <v>قسم الملحمة</v>
      </c>
      <c r="F2821" s="103" t="str">
        <f>VLOOKUP(B2821, 'All Menu'!B:M, 3, 0)</f>
        <v>لحوم مشكوكة</v>
      </c>
      <c r="G2821" s="90" t="s">
        <v>3058</v>
      </c>
      <c r="H2821" s="219">
        <v>4268</v>
      </c>
      <c r="I2821" s="110" t="str">
        <f>VLOOKUP(H2821, 'RM &amp; SF'!B:H, 2, 0)</f>
        <v>بكجات مشاوي مطبوع رقم 2 1*50 حبة*****</v>
      </c>
      <c r="J2821" s="184" t="str">
        <f>VLOOKUP(H2821, 'RM &amp; SF'!B:E, 4, 0)</f>
        <v>قطعة</v>
      </c>
      <c r="K2821" s="109">
        <v>2</v>
      </c>
      <c r="L2821" s="13">
        <f>VLOOKUP(H2821, 'RM &amp; SF'!B:H, 7, 0)</f>
        <v>0.33620689655172414</v>
      </c>
      <c r="M2821" s="127">
        <f t="shared" si="144"/>
        <v>0.67241379310344829</v>
      </c>
      <c r="N2821" s="121" t="s">
        <v>825</v>
      </c>
      <c r="O2821" s="121">
        <f>VLOOKUP(B2821, 'All Menu'!B:L, 6, 0)</f>
        <v>19.850000000000001</v>
      </c>
      <c r="P2821" s="130">
        <f>VLOOKUP(B2821, 'All Menu'!B:L, 9, 0)</f>
        <v>14.174101438264739</v>
      </c>
      <c r="Q2821" s="132">
        <f>VLOOKUP(B2821, 'All Menu'!B:M, 12, 0)</f>
        <v>0.28593947414283438</v>
      </c>
      <c r="R2821" s="173">
        <f t="shared" si="142"/>
        <v>0</v>
      </c>
    </row>
    <row r="2822" spans="1:18" ht="14.5" hidden="1">
      <c r="A2822" s="78" t="s">
        <v>2914</v>
      </c>
      <c r="B2822" s="220" t="s">
        <v>1963</v>
      </c>
      <c r="C2822" s="185"/>
      <c r="D2822" s="30" t="str">
        <f>VLOOKUP(B2822, 'All Menu'!B:M, 4, 0)</f>
        <v>بوكس صاجية اللحمة خروف</v>
      </c>
      <c r="E2822" s="30" t="str">
        <f>VLOOKUP(B2822, 'All Menu'!B:M, 2, 0)</f>
        <v>قسم الملحمة</v>
      </c>
      <c r="F2822" s="103" t="str">
        <f>VLOOKUP(B2822, 'All Menu'!B:M, 3, 0)</f>
        <v>لحوم مشكوكة</v>
      </c>
      <c r="G2822" s="90" t="s">
        <v>2331</v>
      </c>
      <c r="H2822" s="219" t="s">
        <v>530</v>
      </c>
      <c r="I2822" s="110" t="str">
        <f>VLOOKUP(H2822, 'RM &amp; SF'!B:H, 2, 0)</f>
        <v>خبز صاج</v>
      </c>
      <c r="J2822" s="184" t="str">
        <f>VLOOKUP(H2822, 'RM &amp; SF'!B:E, 4, 0)</f>
        <v>غم</v>
      </c>
      <c r="K2822" s="109">
        <v>10</v>
      </c>
      <c r="L2822" s="13">
        <f>VLOOKUP(H2822, 'RM &amp; SF'!B:H, 7, 0)</f>
        <v>1.8806451612903227E-4</v>
      </c>
      <c r="M2822" s="127">
        <f t="shared" si="144"/>
        <v>1.8806451612903227E-3</v>
      </c>
      <c r="N2822" s="121" t="s">
        <v>825</v>
      </c>
      <c r="O2822" s="121">
        <f>VLOOKUP(B2822, 'All Menu'!B:L, 6, 0)</f>
        <v>19.850000000000001</v>
      </c>
      <c r="P2822" s="130">
        <f>VLOOKUP(B2822, 'All Menu'!B:L, 9, 0)</f>
        <v>14.174101438264739</v>
      </c>
      <c r="Q2822" s="132">
        <f>VLOOKUP(B2822, 'All Menu'!B:M, 12, 0)</f>
        <v>0.28593947414283438</v>
      </c>
      <c r="R2822" s="173">
        <f t="shared" si="142"/>
        <v>0</v>
      </c>
    </row>
    <row r="2823" spans="1:18" ht="14.5" hidden="1">
      <c r="A2823" s="78" t="s">
        <v>2914</v>
      </c>
      <c r="B2823" s="220" t="s">
        <v>1963</v>
      </c>
      <c r="C2823" s="185"/>
      <c r="D2823" s="30" t="str">
        <f>VLOOKUP(B2823, 'All Menu'!B:M, 4, 0)</f>
        <v>بوكس صاجية اللحمة خروف</v>
      </c>
      <c r="E2823" s="30" t="str">
        <f>VLOOKUP(B2823, 'All Menu'!B:M, 2, 0)</f>
        <v>قسم الملحمة</v>
      </c>
      <c r="F2823" s="103" t="str">
        <f>VLOOKUP(B2823, 'All Menu'!B:M, 3, 0)</f>
        <v>لحوم مشكوكة</v>
      </c>
      <c r="G2823" s="90" t="s">
        <v>3058</v>
      </c>
      <c r="H2823" s="219">
        <v>4168</v>
      </c>
      <c r="I2823" s="110" t="str">
        <f>VLOOKUP(H2823, 'RM &amp; SF'!B:H, 2, 0)</f>
        <v>مشروب غازي ماتركس 250 مل*****</v>
      </c>
      <c r="J2823" s="184" t="str">
        <f>VLOOKUP(H2823, 'RM &amp; SF'!B:E, 4, 0)</f>
        <v>قطعة</v>
      </c>
      <c r="K2823" s="109">
        <v>8</v>
      </c>
      <c r="L2823" s="13">
        <f>VLOOKUP(H2823, 'RM &amp; SF'!B:H, 7, 0)</f>
        <v>0.13741666666666666</v>
      </c>
      <c r="M2823" s="127">
        <f t="shared" si="144"/>
        <v>1.0993333333333333</v>
      </c>
      <c r="N2823" s="121" t="s">
        <v>825</v>
      </c>
      <c r="O2823" s="121">
        <f>VLOOKUP(B2823, 'All Menu'!B:L, 6, 0)</f>
        <v>19.850000000000001</v>
      </c>
      <c r="P2823" s="130">
        <f>VLOOKUP(B2823, 'All Menu'!B:L, 9, 0)</f>
        <v>14.174101438264739</v>
      </c>
      <c r="Q2823" s="132">
        <f>VLOOKUP(B2823, 'All Menu'!B:M, 12, 0)</f>
        <v>0.28593947414283438</v>
      </c>
      <c r="R2823" s="173">
        <f t="shared" si="142"/>
        <v>0</v>
      </c>
    </row>
    <row r="2824" spans="1:18" ht="14.5" hidden="1">
      <c r="A2824" s="78" t="s">
        <v>2914</v>
      </c>
      <c r="B2824" s="220" t="s">
        <v>1963</v>
      </c>
      <c r="C2824" s="185"/>
      <c r="D2824" s="30" t="str">
        <f>VLOOKUP(B2824, 'All Menu'!B:M, 4, 0)</f>
        <v>بوكس صاجية اللحمة خروف</v>
      </c>
      <c r="E2824" s="30" t="str">
        <f>VLOOKUP(B2824, 'All Menu'!B:M, 2, 0)</f>
        <v>قسم الملحمة</v>
      </c>
      <c r="F2824" s="103" t="str">
        <f>VLOOKUP(B2824, 'All Menu'!B:M, 3, 0)</f>
        <v>لحوم مشكوكة</v>
      </c>
      <c r="G2824" s="90" t="s">
        <v>3058</v>
      </c>
      <c r="H2824" s="219">
        <v>5387</v>
      </c>
      <c r="I2824" s="110" t="str">
        <f>VLOOKUP(H2824, 'RM &amp; SF'!B:H, 2, 0)</f>
        <v>فحم صغير 2 كيلو</v>
      </c>
      <c r="J2824" s="184" t="str">
        <f>VLOOKUP(H2824, 'RM &amp; SF'!B:E, 4, 0)</f>
        <v>قطعة</v>
      </c>
      <c r="K2824" s="109">
        <v>0.5</v>
      </c>
      <c r="L2824" s="13">
        <f>VLOOKUP(H2824, 'RM &amp; SF'!B:H, 7, 0)</f>
        <v>1.5</v>
      </c>
      <c r="M2824" s="127">
        <f t="shared" si="144"/>
        <v>0.75</v>
      </c>
      <c r="N2824" s="121" t="s">
        <v>825</v>
      </c>
      <c r="O2824" s="121">
        <f>VLOOKUP(B2824, 'All Menu'!B:L, 6, 0)</f>
        <v>19.850000000000001</v>
      </c>
      <c r="P2824" s="130">
        <f>VLOOKUP(B2824, 'All Menu'!B:L, 9, 0)</f>
        <v>14.174101438264739</v>
      </c>
      <c r="Q2824" s="132">
        <f>VLOOKUP(B2824, 'All Menu'!B:M, 12, 0)</f>
        <v>0.28593947414283438</v>
      </c>
      <c r="R2824" s="173">
        <f t="shared" ref="R2824:R2886" si="145">C2824*K2824</f>
        <v>0</v>
      </c>
    </row>
    <row r="2825" spans="1:18" ht="14" hidden="1">
      <c r="A2825" s="78" t="s">
        <v>2317</v>
      </c>
      <c r="B2825" s="220">
        <v>50060</v>
      </c>
      <c r="C2825" s="185"/>
      <c r="D2825" s="30" t="str">
        <f>VLOOKUP(B2825, 'All Menu'!B:M, 4, 0)</f>
        <v>نتر</v>
      </c>
      <c r="E2825" s="30" t="str">
        <f>VLOOKUP(B2825, 'All Menu'!B:M, 2, 0)</f>
        <v>قسم الملحمة</v>
      </c>
      <c r="F2825" s="103" t="str">
        <f>VLOOKUP(B2825, 'All Menu'!B:M, 3, 0)</f>
        <v>سقط</v>
      </c>
      <c r="G2825" s="90" t="s">
        <v>3058</v>
      </c>
      <c r="H2825" s="221">
        <v>5430</v>
      </c>
      <c r="I2825" s="110" t="str">
        <f>VLOOKUP(H2825, 'RM &amp; SF'!B:H, 2, 0)</f>
        <v>نتر ملحمه</v>
      </c>
      <c r="J2825" s="184" t="str">
        <f>VLOOKUP(H2825, 'RM &amp; SF'!B:E, 4, 0)</f>
        <v>غم</v>
      </c>
      <c r="K2825" s="27">
        <v>1000</v>
      </c>
      <c r="L2825" s="13">
        <f>VLOOKUP(H2825, 'RM &amp; SF'!B:H, 7, 0)</f>
        <v>1E-3</v>
      </c>
      <c r="M2825" s="28">
        <f t="shared" ref="M2825:M2845" si="146">L2825*K2825</f>
        <v>1</v>
      </c>
      <c r="N2825" s="26" t="s">
        <v>825</v>
      </c>
      <c r="O2825" s="26">
        <f>VLOOKUP(B2825, 'All Menu'!B:L, 6, 0)</f>
        <v>1</v>
      </c>
      <c r="P2825" s="131">
        <f>VLOOKUP(B2825, 'All Menu'!B:L, 9, 0)</f>
        <v>1</v>
      </c>
      <c r="Q2825" s="133">
        <f>VLOOKUP(B2825, 'All Menu'!B:M, 12, 0)</f>
        <v>0</v>
      </c>
      <c r="R2825" s="173">
        <f t="shared" si="145"/>
        <v>0</v>
      </c>
    </row>
    <row r="2826" spans="1:18" ht="15.5" hidden="1">
      <c r="A2826" s="78" t="s">
        <v>2879</v>
      </c>
      <c r="B2826" s="220">
        <v>60030</v>
      </c>
      <c r="C2826" s="185"/>
      <c r="D2826" s="30" t="str">
        <f>VLOOKUP(B2826, 'All Menu'!B:M, 4, 0)</f>
        <v>بقلاوة مشكوك</v>
      </c>
      <c r="E2826" s="30" t="str">
        <f>VLOOKUP(B2826, 'All Menu'!B:M, 2, 0)</f>
        <v>قسم الملحمة</v>
      </c>
      <c r="F2826" s="103" t="str">
        <f>VLOOKUP(B2826, 'All Menu'!B:M, 3, 0)</f>
        <v>لحوم مشكوكة</v>
      </c>
      <c r="G2826" s="90" t="s">
        <v>3058</v>
      </c>
      <c r="H2826" s="112">
        <v>5401</v>
      </c>
      <c r="I2826" s="110" t="str">
        <f>VLOOKUP(H2826, 'RM &amp; SF'!B:H, 2, 0)</f>
        <v xml:space="preserve">روز بيف  </v>
      </c>
      <c r="J2826" s="184" t="str">
        <f>VLOOKUP(H2826, 'RM &amp; SF'!B:E, 4, 0)</f>
        <v>غم</v>
      </c>
      <c r="K2826" s="22">
        <v>500</v>
      </c>
      <c r="L2826" s="13">
        <f>VLOOKUP(H2826, 'RM &amp; SF'!B:H, 7, 0)</f>
        <v>1.2580000000000001E-2</v>
      </c>
      <c r="M2826" s="15">
        <f t="shared" si="146"/>
        <v>6.29</v>
      </c>
      <c r="N2826" s="21" t="s">
        <v>825</v>
      </c>
      <c r="O2826" s="4">
        <f>VLOOKUP(B2826, 'All Menu'!B:L, 6, 0)</f>
        <v>22</v>
      </c>
      <c r="P2826" s="6">
        <f>VLOOKUP(B2826, 'All Menu'!B:L, 9, 0)</f>
        <v>9.581059597476651</v>
      </c>
      <c r="Q2826" s="14">
        <f>VLOOKUP(B2826, 'All Menu'!B:M, 12, 0)</f>
        <v>0.56449729102378854</v>
      </c>
      <c r="R2826" s="173">
        <f t="shared" si="145"/>
        <v>0</v>
      </c>
    </row>
    <row r="2827" spans="1:18" ht="14" hidden="1">
      <c r="A2827" s="78" t="s">
        <v>2879</v>
      </c>
      <c r="B2827" s="220">
        <v>60030</v>
      </c>
      <c r="C2827" s="185"/>
      <c r="D2827" s="30" t="str">
        <f>VLOOKUP(B2827, 'All Menu'!B:M, 4, 0)</f>
        <v>بقلاوة مشكوك</v>
      </c>
      <c r="E2827" s="30" t="str">
        <f>VLOOKUP(B2827, 'All Menu'!B:M, 2, 0)</f>
        <v>قسم الملحمة</v>
      </c>
      <c r="F2827" s="103" t="str">
        <f>VLOOKUP(B2827, 'All Menu'!B:M, 3, 0)</f>
        <v>لحوم مشكوكة</v>
      </c>
      <c r="G2827" s="90" t="s">
        <v>3058</v>
      </c>
      <c r="H2827" s="188" t="s">
        <v>2149</v>
      </c>
      <c r="I2827" s="110" t="str">
        <f>VLOOKUP(H2827, 'RM &amp; SF'!B:H, 2, 0)</f>
        <v>لية ملحمه</v>
      </c>
      <c r="J2827" s="184" t="str">
        <f>VLOOKUP(H2827, 'RM &amp; SF'!B:E, 4, 0)</f>
        <v>غم</v>
      </c>
      <c r="K2827" s="22">
        <v>250</v>
      </c>
      <c r="L2827" s="13">
        <f>VLOOKUP(H2827, 'RM &amp; SF'!B:H, 7, 0)</f>
        <v>5.0000000000000001E-3</v>
      </c>
      <c r="M2827" s="15">
        <f t="shared" si="146"/>
        <v>1.25</v>
      </c>
      <c r="N2827" s="21" t="s">
        <v>825</v>
      </c>
      <c r="O2827" s="4">
        <f>VLOOKUP(B2827, 'All Menu'!B:L, 6, 0)</f>
        <v>22</v>
      </c>
      <c r="P2827" s="6">
        <f>VLOOKUP(B2827, 'All Menu'!B:L, 9, 0)</f>
        <v>9.581059597476651</v>
      </c>
      <c r="Q2827" s="14">
        <f>VLOOKUP(B2827, 'All Menu'!B:M, 12, 0)</f>
        <v>0.56449729102378854</v>
      </c>
      <c r="R2827" s="173">
        <f t="shared" si="145"/>
        <v>0</v>
      </c>
    </row>
    <row r="2828" spans="1:18" ht="14" hidden="1">
      <c r="A2828" s="78" t="s">
        <v>2879</v>
      </c>
      <c r="B2828" s="220">
        <v>60030</v>
      </c>
      <c r="C2828" s="185"/>
      <c r="D2828" s="30" t="str">
        <f>VLOOKUP(B2828, 'All Menu'!B:M, 4, 0)</f>
        <v>بقلاوة مشكوك</v>
      </c>
      <c r="E2828" s="30" t="str">
        <f>VLOOKUP(B2828, 'All Menu'!B:M, 2, 0)</f>
        <v>قسم الملحمة</v>
      </c>
      <c r="F2828" s="103" t="str">
        <f>VLOOKUP(B2828, 'All Menu'!B:M, 3, 0)</f>
        <v>لحوم مشكوكة</v>
      </c>
      <c r="G2828" s="90" t="s">
        <v>2461</v>
      </c>
      <c r="H2828" s="219" t="s">
        <v>2027</v>
      </c>
      <c r="I2828" s="110" t="str">
        <f>VLOOKUP(H2828, 'RM &amp; SF'!B:H, 2, 0)</f>
        <v xml:space="preserve">كباب اضنة </v>
      </c>
      <c r="J2828" s="184" t="str">
        <f>VLOOKUP(H2828, 'RM &amp; SF'!B:E, 4, 0)</f>
        <v>غم</v>
      </c>
      <c r="K2828" s="22">
        <v>250</v>
      </c>
      <c r="L2828" s="13">
        <f>VLOOKUP(H2828, 'RM &amp; SF'!B:H, 7, 0)</f>
        <v>3.7556186197916668E-3</v>
      </c>
      <c r="M2828" s="15">
        <f t="shared" si="146"/>
        <v>0.93890465494791675</v>
      </c>
      <c r="N2828" s="21" t="s">
        <v>825</v>
      </c>
      <c r="O2828" s="4">
        <f>VLOOKUP(B2828, 'All Menu'!B:L, 6, 0)</f>
        <v>22</v>
      </c>
      <c r="P2828" s="6">
        <f>VLOOKUP(B2828, 'All Menu'!B:L, 9, 0)</f>
        <v>9.581059597476651</v>
      </c>
      <c r="Q2828" s="14">
        <f>VLOOKUP(B2828, 'All Menu'!B:M, 12, 0)</f>
        <v>0.56449729102378854</v>
      </c>
      <c r="R2828" s="173">
        <f t="shared" si="145"/>
        <v>0</v>
      </c>
    </row>
    <row r="2829" spans="1:18" ht="14" hidden="1">
      <c r="A2829" s="78" t="s">
        <v>2879</v>
      </c>
      <c r="B2829" s="220">
        <v>60030</v>
      </c>
      <c r="C2829" s="185"/>
      <c r="D2829" s="30" t="str">
        <f>VLOOKUP(B2829, 'All Menu'!B:M, 4, 0)</f>
        <v>بقلاوة مشكوك</v>
      </c>
      <c r="E2829" s="30" t="str">
        <f>VLOOKUP(B2829, 'All Menu'!B:M, 2, 0)</f>
        <v>قسم الملحمة</v>
      </c>
      <c r="F2829" s="103" t="str">
        <f>VLOOKUP(B2829, 'All Menu'!B:M, 3, 0)</f>
        <v>لحوم مشكوكة</v>
      </c>
      <c r="G2829" s="90" t="s">
        <v>2234</v>
      </c>
      <c r="H2829" s="221">
        <v>4503</v>
      </c>
      <c r="I2829" s="110" t="str">
        <f>VLOOKUP(H2829, 'RM &amp; SF'!B:H, 2, 0)</f>
        <v>بصل ناشف دفش*****</v>
      </c>
      <c r="J2829" s="184" t="str">
        <f>VLOOKUP(H2829, 'RM &amp; SF'!B:E, 4, 0)</f>
        <v>غم</v>
      </c>
      <c r="K2829" s="22">
        <v>600</v>
      </c>
      <c r="L2829" s="13">
        <f>VLOOKUP(H2829, 'RM &amp; SF'!B:H, 7, 0)</f>
        <v>2.5000000000000001E-4</v>
      </c>
      <c r="M2829" s="15">
        <f t="shared" si="146"/>
        <v>0.15</v>
      </c>
      <c r="N2829" s="21" t="s">
        <v>825</v>
      </c>
      <c r="O2829" s="4">
        <f>VLOOKUP(B2829, 'All Menu'!B:L, 6, 0)</f>
        <v>22</v>
      </c>
      <c r="P2829" s="6">
        <f>VLOOKUP(B2829, 'All Menu'!B:L, 9, 0)</f>
        <v>9.581059597476651</v>
      </c>
      <c r="Q2829" s="14">
        <f>VLOOKUP(B2829, 'All Menu'!B:M, 12, 0)</f>
        <v>0.56449729102378854</v>
      </c>
      <c r="R2829" s="173">
        <f t="shared" si="145"/>
        <v>0</v>
      </c>
    </row>
    <row r="2830" spans="1:18" ht="14" hidden="1">
      <c r="A2830" s="78" t="s">
        <v>2879</v>
      </c>
      <c r="B2830" s="220">
        <v>60030</v>
      </c>
      <c r="C2830" s="185"/>
      <c r="D2830" s="30" t="str">
        <f>VLOOKUP(B2830, 'All Menu'!B:M, 4, 0)</f>
        <v>بقلاوة مشكوك</v>
      </c>
      <c r="E2830" s="30" t="str">
        <f>VLOOKUP(B2830, 'All Menu'!B:M, 2, 0)</f>
        <v>قسم الملحمة</v>
      </c>
      <c r="F2830" s="103" t="str">
        <f>VLOOKUP(B2830, 'All Menu'!B:M, 3, 0)</f>
        <v>لحوم مشكوكة</v>
      </c>
      <c r="G2830" s="90" t="s">
        <v>2309</v>
      </c>
      <c r="H2830" s="221">
        <v>4491</v>
      </c>
      <c r="I2830" s="110" t="str">
        <f>VLOOKUP(H2830, 'RM &amp; SF'!B:H, 2, 0)</f>
        <v>بندورة جامدة*****</v>
      </c>
      <c r="J2830" s="184" t="str">
        <f>VLOOKUP(H2830, 'RM &amp; SF'!B:E, 4, 0)</f>
        <v>غم</v>
      </c>
      <c r="K2830" s="22">
        <v>500</v>
      </c>
      <c r="L2830" s="13">
        <f>VLOOKUP(H2830, 'RM &amp; SF'!B:H, 7, 0)</f>
        <v>5.0000000000000001E-4</v>
      </c>
      <c r="M2830" s="15">
        <f t="shared" si="146"/>
        <v>0.25</v>
      </c>
      <c r="N2830" s="21" t="s">
        <v>825</v>
      </c>
      <c r="O2830" s="4">
        <f>VLOOKUP(B2830, 'All Menu'!B:L, 6, 0)</f>
        <v>22</v>
      </c>
      <c r="P2830" s="6">
        <f>VLOOKUP(B2830, 'All Menu'!B:L, 9, 0)</f>
        <v>9.581059597476651</v>
      </c>
      <c r="Q2830" s="14">
        <f>VLOOKUP(B2830, 'All Menu'!B:M, 12, 0)</f>
        <v>0.56449729102378854</v>
      </c>
      <c r="R2830" s="173">
        <f t="shared" si="145"/>
        <v>0</v>
      </c>
    </row>
    <row r="2831" spans="1:18" ht="14" hidden="1">
      <c r="A2831" s="78" t="s">
        <v>2879</v>
      </c>
      <c r="B2831" s="220">
        <v>60030</v>
      </c>
      <c r="C2831" s="185"/>
      <c r="D2831" s="30" t="str">
        <f>VLOOKUP(B2831, 'All Menu'!B:M, 4, 0)</f>
        <v>بقلاوة مشكوك</v>
      </c>
      <c r="E2831" s="30" t="str">
        <f>VLOOKUP(B2831, 'All Menu'!B:M, 2, 0)</f>
        <v>قسم الملحمة</v>
      </c>
      <c r="F2831" s="103" t="str">
        <f>VLOOKUP(B2831, 'All Menu'!B:M, 3, 0)</f>
        <v>لحوم مشكوكة</v>
      </c>
      <c r="G2831" s="90" t="s">
        <v>3058</v>
      </c>
      <c r="H2831" s="221">
        <v>4806</v>
      </c>
      <c r="I2831" s="110" t="str">
        <f>VLOOKUP(H2831, 'RM &amp; SF'!B:H, 2, 0)</f>
        <v>بوكس مشاوي كرتون (بوكس الرحلة) 38*26*5 سم 1*25 حبة*****</v>
      </c>
      <c r="J2831" s="184" t="str">
        <f>VLOOKUP(H2831, 'RM &amp; SF'!B:E, 4, 0)</f>
        <v>قطعة</v>
      </c>
      <c r="K2831" s="22">
        <v>1</v>
      </c>
      <c r="L2831" s="13">
        <f>VLOOKUP(H2831, 'RM &amp; SF'!B:H, 7, 0)</f>
        <v>0.218</v>
      </c>
      <c r="M2831" s="15">
        <f t="shared" si="146"/>
        <v>0.218</v>
      </c>
      <c r="N2831" s="21" t="s">
        <v>825</v>
      </c>
      <c r="O2831" s="4">
        <f>VLOOKUP(B2831, 'All Menu'!B:L, 6, 0)</f>
        <v>22</v>
      </c>
      <c r="P2831" s="6">
        <f>VLOOKUP(B2831, 'All Menu'!B:L, 9, 0)</f>
        <v>9.581059597476651</v>
      </c>
      <c r="Q2831" s="14">
        <f>VLOOKUP(B2831, 'All Menu'!B:M, 12, 0)</f>
        <v>0.56449729102378854</v>
      </c>
      <c r="R2831" s="173">
        <f t="shared" si="145"/>
        <v>0</v>
      </c>
    </row>
    <row r="2832" spans="1:18" ht="14" hidden="1">
      <c r="A2832" s="78" t="s">
        <v>2879</v>
      </c>
      <c r="B2832" s="220">
        <v>60030</v>
      </c>
      <c r="C2832" s="185"/>
      <c r="D2832" s="30" t="str">
        <f>VLOOKUP(B2832, 'All Menu'!B:M, 4, 0)</f>
        <v>بقلاوة مشكوك</v>
      </c>
      <c r="E2832" s="30" t="str">
        <f>VLOOKUP(B2832, 'All Menu'!B:M, 2, 0)</f>
        <v>قسم الملحمة</v>
      </c>
      <c r="F2832" s="103" t="str">
        <f>VLOOKUP(B2832, 'All Menu'!B:M, 3, 0)</f>
        <v>لحوم مشكوكة</v>
      </c>
      <c r="G2832" s="90" t="s">
        <v>3058</v>
      </c>
      <c r="H2832" s="221">
        <v>5427</v>
      </c>
      <c r="I2832" s="110" t="str">
        <f>VLOOKUP(H2832, 'RM &amp; SF'!B:H, 2, 0)</f>
        <v>رول تغليف ورقي مطبوع 13 كغ 60*120 سم*****</v>
      </c>
      <c r="J2832" s="184" t="str">
        <f>VLOOKUP(H2832, 'RM &amp; SF'!B:E, 4, 0)</f>
        <v>غم</v>
      </c>
      <c r="K2832" s="12">
        <v>1</v>
      </c>
      <c r="L2832" s="13">
        <f>VLOOKUP(H2832, 'RM &amp; SF'!B:H, 7, 0)</f>
        <v>1.3649425287356322E-3</v>
      </c>
      <c r="M2832" s="15">
        <f t="shared" si="146"/>
        <v>1.3649425287356322E-3</v>
      </c>
      <c r="N2832" s="21" t="s">
        <v>825</v>
      </c>
      <c r="O2832" s="4">
        <f>VLOOKUP(B2832, 'All Menu'!B:L, 6, 0)</f>
        <v>22</v>
      </c>
      <c r="P2832" s="6">
        <f>VLOOKUP(B2832, 'All Menu'!B:L, 9, 0)</f>
        <v>9.581059597476651</v>
      </c>
      <c r="Q2832" s="14">
        <f>VLOOKUP(B2832, 'All Menu'!B:M, 12, 0)</f>
        <v>0.56449729102378854</v>
      </c>
      <c r="R2832" s="173">
        <f t="shared" si="145"/>
        <v>0</v>
      </c>
    </row>
    <row r="2833" spans="1:18" ht="14" hidden="1">
      <c r="A2833" s="78" t="s">
        <v>2879</v>
      </c>
      <c r="B2833" s="220">
        <v>60030</v>
      </c>
      <c r="C2833" s="185"/>
      <c r="D2833" s="30" t="str">
        <f>VLOOKUP(B2833, 'All Menu'!B:M, 4, 0)</f>
        <v>بقلاوة مشكوك</v>
      </c>
      <c r="E2833" s="30" t="str">
        <f>VLOOKUP(B2833, 'All Menu'!B:M, 2, 0)</f>
        <v>قسم الملحمة</v>
      </c>
      <c r="F2833" s="103" t="str">
        <f>VLOOKUP(B2833, 'All Menu'!B:M, 3, 0)</f>
        <v>لحوم مشكوكة</v>
      </c>
      <c r="G2833" s="90" t="s">
        <v>2201</v>
      </c>
      <c r="H2833" s="221">
        <v>4412</v>
      </c>
      <c r="I2833" s="110" t="str">
        <f>VLOOKUP(H2833, 'RM &amp; SF'!B:H, 2, 0)</f>
        <v>اسياخ شوي رفيع سفري 1*100 حبة*****</v>
      </c>
      <c r="J2833" s="184" t="str">
        <f>VLOOKUP(H2833, 'RM &amp; SF'!B:E, 4, 0)</f>
        <v>قطعة</v>
      </c>
      <c r="K2833" s="22">
        <v>7</v>
      </c>
      <c r="L2833" s="13">
        <f>VLOOKUP(H2833, 'RM &amp; SF'!B:H, 7, 0)</f>
        <v>6.8970000000000004E-2</v>
      </c>
      <c r="M2833" s="28">
        <f t="shared" si="146"/>
        <v>0.48279000000000005</v>
      </c>
      <c r="N2833" s="26" t="s">
        <v>825</v>
      </c>
      <c r="O2833" s="26">
        <f>VLOOKUP(B2833, 'All Menu'!B:L, 6, 0)</f>
        <v>22</v>
      </c>
      <c r="P2833" s="131">
        <f>VLOOKUP(B2833, 'All Menu'!B:L, 9, 0)</f>
        <v>9.581059597476651</v>
      </c>
      <c r="Q2833" s="133">
        <f>VLOOKUP(B2833, 'All Menu'!B:M, 12, 0)</f>
        <v>0.56449729102378854</v>
      </c>
      <c r="R2833" s="173">
        <f t="shared" si="145"/>
        <v>0</v>
      </c>
    </row>
    <row r="2834" spans="1:18" ht="15.5" hidden="1">
      <c r="A2834" s="78" t="s">
        <v>2880</v>
      </c>
      <c r="B2834" s="220">
        <v>60031</v>
      </c>
      <c r="C2834" s="185"/>
      <c r="D2834" s="30" t="str">
        <f>VLOOKUP(B2834, 'All Menu'!B:M, 4, 0)</f>
        <v>سويس رول مشكوك</v>
      </c>
      <c r="E2834" s="30" t="str">
        <f>VLOOKUP(B2834, 'All Menu'!B:M, 2, 0)</f>
        <v>قسم الملحمة</v>
      </c>
      <c r="F2834" s="103" t="str">
        <f>VLOOKUP(B2834, 'All Menu'!B:M, 3, 0)</f>
        <v>لحوم مشكوكة</v>
      </c>
      <c r="G2834" s="90" t="s">
        <v>3058</v>
      </c>
      <c r="H2834" s="112">
        <v>5401</v>
      </c>
      <c r="I2834" s="110" t="str">
        <f>VLOOKUP(H2834, 'RM &amp; SF'!B:H, 2, 0)</f>
        <v xml:space="preserve">روز بيف  </v>
      </c>
      <c r="J2834" s="184" t="str">
        <f>VLOOKUP(H2834, 'RM &amp; SF'!B:E, 4, 0)</f>
        <v>غم</v>
      </c>
      <c r="K2834" s="22">
        <v>400</v>
      </c>
      <c r="L2834" s="13">
        <f>VLOOKUP(H2834, 'RM &amp; SF'!B:H, 7, 0)</f>
        <v>1.2580000000000001E-2</v>
      </c>
      <c r="M2834" s="15">
        <f t="shared" si="146"/>
        <v>5.032</v>
      </c>
      <c r="N2834" s="21" t="s">
        <v>825</v>
      </c>
      <c r="O2834" s="4">
        <f>VLOOKUP(B2834, 'All Menu'!B:L, 6, 0)</f>
        <v>22</v>
      </c>
      <c r="P2834" s="6">
        <f>VLOOKUP(B2834, 'All Menu'!B:L, 9, 0)</f>
        <v>8.8181905284662339</v>
      </c>
      <c r="Q2834" s="14">
        <f>VLOOKUP(B2834, 'All Menu'!B:M, 12, 0)</f>
        <v>0.59917315779698932</v>
      </c>
      <c r="R2834" s="173">
        <f t="shared" si="145"/>
        <v>0</v>
      </c>
    </row>
    <row r="2835" spans="1:18" ht="14" hidden="1">
      <c r="A2835" s="78" t="s">
        <v>2880</v>
      </c>
      <c r="B2835" s="220">
        <v>60031</v>
      </c>
      <c r="C2835" s="185"/>
      <c r="D2835" s="30" t="str">
        <f>VLOOKUP(B2835, 'All Menu'!B:M, 4, 0)</f>
        <v>سويس رول مشكوك</v>
      </c>
      <c r="E2835" s="30" t="str">
        <f>VLOOKUP(B2835, 'All Menu'!B:M, 2, 0)</f>
        <v>قسم الملحمة</v>
      </c>
      <c r="F2835" s="103" t="str">
        <f>VLOOKUP(B2835, 'All Menu'!B:M, 3, 0)</f>
        <v>لحوم مشكوكة</v>
      </c>
      <c r="G2835" s="90" t="s">
        <v>3058</v>
      </c>
      <c r="H2835" s="188" t="s">
        <v>2149</v>
      </c>
      <c r="I2835" s="110" t="str">
        <f>VLOOKUP(H2835, 'RM &amp; SF'!B:H, 2, 0)</f>
        <v>لية ملحمه</v>
      </c>
      <c r="J2835" s="184" t="str">
        <f>VLOOKUP(H2835, 'RM &amp; SF'!B:E, 4, 0)</f>
        <v>غم</v>
      </c>
      <c r="K2835" s="22">
        <v>300</v>
      </c>
      <c r="L2835" s="13">
        <f>VLOOKUP(H2835, 'RM &amp; SF'!B:H, 7, 0)</f>
        <v>5.0000000000000001E-3</v>
      </c>
      <c r="M2835" s="15">
        <f t="shared" si="146"/>
        <v>1.5</v>
      </c>
      <c r="N2835" s="21" t="s">
        <v>825</v>
      </c>
      <c r="O2835" s="4">
        <f>VLOOKUP(B2835, 'All Menu'!B:L, 6, 0)</f>
        <v>22</v>
      </c>
      <c r="P2835" s="6">
        <f>VLOOKUP(B2835, 'All Menu'!B:L, 9, 0)</f>
        <v>8.8181905284662339</v>
      </c>
      <c r="Q2835" s="14">
        <f>VLOOKUP(B2835, 'All Menu'!B:M, 12, 0)</f>
        <v>0.59917315779698932</v>
      </c>
      <c r="R2835" s="173">
        <f t="shared" si="145"/>
        <v>0</v>
      </c>
    </row>
    <row r="2836" spans="1:18" ht="14" hidden="1">
      <c r="A2836" s="78" t="s">
        <v>2880</v>
      </c>
      <c r="B2836" s="220">
        <v>60031</v>
      </c>
      <c r="C2836" s="185"/>
      <c r="D2836" s="30" t="str">
        <f>VLOOKUP(B2836, 'All Menu'!B:M, 4, 0)</f>
        <v>سويس رول مشكوك</v>
      </c>
      <c r="E2836" s="30" t="str">
        <f>VLOOKUP(B2836, 'All Menu'!B:M, 2, 0)</f>
        <v>قسم الملحمة</v>
      </c>
      <c r="F2836" s="103" t="str">
        <f>VLOOKUP(B2836, 'All Menu'!B:M, 3, 0)</f>
        <v>لحوم مشكوكة</v>
      </c>
      <c r="G2836" s="90" t="s">
        <v>2461</v>
      </c>
      <c r="H2836" s="219" t="s">
        <v>2027</v>
      </c>
      <c r="I2836" s="110" t="str">
        <f>VLOOKUP(H2836, 'RM &amp; SF'!B:H, 2, 0)</f>
        <v xml:space="preserve">كباب اضنة </v>
      </c>
      <c r="J2836" s="184" t="str">
        <f>VLOOKUP(H2836, 'RM &amp; SF'!B:E, 4, 0)</f>
        <v>غم</v>
      </c>
      <c r="K2836" s="22">
        <v>300</v>
      </c>
      <c r="L2836" s="13">
        <f>VLOOKUP(H2836, 'RM &amp; SF'!B:H, 7, 0)</f>
        <v>3.7556186197916668E-3</v>
      </c>
      <c r="M2836" s="15">
        <f t="shared" si="146"/>
        <v>1.1266855859375</v>
      </c>
      <c r="N2836" s="21" t="s">
        <v>825</v>
      </c>
      <c r="O2836" s="4">
        <f>VLOOKUP(B2836, 'All Menu'!B:L, 6, 0)</f>
        <v>22</v>
      </c>
      <c r="P2836" s="6">
        <f>VLOOKUP(B2836, 'All Menu'!B:L, 9, 0)</f>
        <v>8.8181905284662339</v>
      </c>
      <c r="Q2836" s="14">
        <f>VLOOKUP(B2836, 'All Menu'!B:M, 12, 0)</f>
        <v>0.59917315779698932</v>
      </c>
      <c r="R2836" s="173">
        <f t="shared" si="145"/>
        <v>0</v>
      </c>
    </row>
    <row r="2837" spans="1:18" ht="14" hidden="1">
      <c r="A2837" s="78" t="s">
        <v>2880</v>
      </c>
      <c r="B2837" s="220">
        <v>60031</v>
      </c>
      <c r="C2837" s="185"/>
      <c r="D2837" s="30" t="str">
        <f>VLOOKUP(B2837, 'All Menu'!B:M, 4, 0)</f>
        <v>سويس رول مشكوك</v>
      </c>
      <c r="E2837" s="30" t="str">
        <f>VLOOKUP(B2837, 'All Menu'!B:M, 2, 0)</f>
        <v>قسم الملحمة</v>
      </c>
      <c r="F2837" s="103" t="str">
        <f>VLOOKUP(B2837, 'All Menu'!B:M, 3, 0)</f>
        <v>لحوم مشكوكة</v>
      </c>
      <c r="G2837" s="90" t="s">
        <v>2234</v>
      </c>
      <c r="H2837" s="221">
        <v>4503</v>
      </c>
      <c r="I2837" s="110" t="str">
        <f>VLOOKUP(H2837, 'RM &amp; SF'!B:H, 2, 0)</f>
        <v>بصل ناشف دفش*****</v>
      </c>
      <c r="J2837" s="184" t="str">
        <f>VLOOKUP(H2837, 'RM &amp; SF'!B:E, 4, 0)</f>
        <v>غم</v>
      </c>
      <c r="K2837" s="22">
        <v>150</v>
      </c>
      <c r="L2837" s="13">
        <f>VLOOKUP(H2837, 'RM &amp; SF'!B:H, 7, 0)</f>
        <v>2.5000000000000001E-4</v>
      </c>
      <c r="M2837" s="15">
        <f t="shared" si="146"/>
        <v>3.7499999999999999E-2</v>
      </c>
      <c r="N2837" s="21" t="s">
        <v>825</v>
      </c>
      <c r="O2837" s="4">
        <f>VLOOKUP(B2837, 'All Menu'!B:L, 6, 0)</f>
        <v>22</v>
      </c>
      <c r="P2837" s="6">
        <f>VLOOKUP(B2837, 'All Menu'!B:L, 9, 0)</f>
        <v>8.8181905284662339</v>
      </c>
      <c r="Q2837" s="14">
        <f>VLOOKUP(B2837, 'All Menu'!B:M, 12, 0)</f>
        <v>0.59917315779698932</v>
      </c>
      <c r="R2837" s="173">
        <f t="shared" si="145"/>
        <v>0</v>
      </c>
    </row>
    <row r="2838" spans="1:18" ht="14" hidden="1">
      <c r="A2838" s="78" t="s">
        <v>2880</v>
      </c>
      <c r="B2838" s="220">
        <v>60031</v>
      </c>
      <c r="C2838" s="185"/>
      <c r="D2838" s="30" t="str">
        <f>VLOOKUP(B2838, 'All Menu'!B:M, 4, 0)</f>
        <v>سويس رول مشكوك</v>
      </c>
      <c r="E2838" s="30" t="str">
        <f>VLOOKUP(B2838, 'All Menu'!B:M, 2, 0)</f>
        <v>قسم الملحمة</v>
      </c>
      <c r="F2838" s="103" t="str">
        <f>VLOOKUP(B2838, 'All Menu'!B:M, 3, 0)</f>
        <v>لحوم مشكوكة</v>
      </c>
      <c r="G2838" s="90" t="s">
        <v>2309</v>
      </c>
      <c r="H2838" s="221">
        <v>4491</v>
      </c>
      <c r="I2838" s="110" t="str">
        <f>VLOOKUP(H2838, 'RM &amp; SF'!B:H, 2, 0)</f>
        <v>بندورة جامدة*****</v>
      </c>
      <c r="J2838" s="184" t="str">
        <f>VLOOKUP(H2838, 'RM &amp; SF'!B:E, 4, 0)</f>
        <v>غم</v>
      </c>
      <c r="K2838" s="22">
        <v>150</v>
      </c>
      <c r="L2838" s="13">
        <f>VLOOKUP(H2838, 'RM &amp; SF'!B:H, 7, 0)</f>
        <v>5.0000000000000001E-4</v>
      </c>
      <c r="M2838" s="15">
        <f t="shared" si="146"/>
        <v>7.4999999999999997E-2</v>
      </c>
      <c r="N2838" s="21" t="s">
        <v>825</v>
      </c>
      <c r="O2838" s="4">
        <f>VLOOKUP(B2838, 'All Menu'!B:L, 6, 0)</f>
        <v>22</v>
      </c>
      <c r="P2838" s="6">
        <f>VLOOKUP(B2838, 'All Menu'!B:L, 9, 0)</f>
        <v>8.8181905284662339</v>
      </c>
      <c r="Q2838" s="14">
        <f>VLOOKUP(B2838, 'All Menu'!B:M, 12, 0)</f>
        <v>0.59917315779698932</v>
      </c>
      <c r="R2838" s="173">
        <f t="shared" si="145"/>
        <v>0</v>
      </c>
    </row>
    <row r="2839" spans="1:18" ht="14" hidden="1">
      <c r="A2839" s="78" t="s">
        <v>2880</v>
      </c>
      <c r="B2839" s="220">
        <v>60031</v>
      </c>
      <c r="C2839" s="185"/>
      <c r="D2839" s="30" t="str">
        <f>VLOOKUP(B2839, 'All Menu'!B:M, 4, 0)</f>
        <v>سويس رول مشكوك</v>
      </c>
      <c r="E2839" s="30" t="str">
        <f>VLOOKUP(B2839, 'All Menu'!B:M, 2, 0)</f>
        <v>قسم الملحمة</v>
      </c>
      <c r="F2839" s="103" t="str">
        <f>VLOOKUP(B2839, 'All Menu'!B:M, 3, 0)</f>
        <v>لحوم مشكوكة</v>
      </c>
      <c r="G2839" s="90" t="s">
        <v>2201</v>
      </c>
      <c r="H2839" s="221">
        <v>4412</v>
      </c>
      <c r="I2839" s="110" t="str">
        <f>VLOOKUP(H2839, 'RM &amp; SF'!B:H, 2, 0)</f>
        <v>اسياخ شوي رفيع سفري 1*100 حبة*****</v>
      </c>
      <c r="J2839" s="184" t="str">
        <f>VLOOKUP(H2839, 'RM &amp; SF'!B:E, 4, 0)</f>
        <v>قطعة</v>
      </c>
      <c r="K2839" s="22">
        <v>12</v>
      </c>
      <c r="L2839" s="13">
        <f>VLOOKUP(H2839, 'RM &amp; SF'!B:H, 7, 0)</f>
        <v>6.8970000000000004E-2</v>
      </c>
      <c r="M2839" s="15">
        <f t="shared" si="146"/>
        <v>0.82764000000000004</v>
      </c>
      <c r="N2839" s="21" t="s">
        <v>825</v>
      </c>
      <c r="O2839" s="4">
        <f>VLOOKUP(B2839, 'All Menu'!B:L, 6, 0)</f>
        <v>22</v>
      </c>
      <c r="P2839" s="6">
        <f>VLOOKUP(B2839, 'All Menu'!B:L, 9, 0)</f>
        <v>8.8181905284662339</v>
      </c>
      <c r="Q2839" s="14">
        <f>VLOOKUP(B2839, 'All Menu'!B:M, 12, 0)</f>
        <v>0.59917315779698932</v>
      </c>
      <c r="R2839" s="173">
        <f t="shared" si="145"/>
        <v>0</v>
      </c>
    </row>
    <row r="2840" spans="1:18" ht="14" hidden="1">
      <c r="A2840" s="78" t="s">
        <v>2880</v>
      </c>
      <c r="B2840" s="220">
        <v>60031</v>
      </c>
      <c r="C2840" s="185"/>
      <c r="D2840" s="30" t="str">
        <f>VLOOKUP(B2840, 'All Menu'!B:M, 4, 0)</f>
        <v>سويس رول مشكوك</v>
      </c>
      <c r="E2840" s="30" t="str">
        <f>VLOOKUP(B2840, 'All Menu'!B:M, 2, 0)</f>
        <v>قسم الملحمة</v>
      </c>
      <c r="F2840" s="103" t="str">
        <f>VLOOKUP(B2840, 'All Menu'!B:M, 3, 0)</f>
        <v>لحوم مشكوكة</v>
      </c>
      <c r="G2840" s="90" t="s">
        <v>3058</v>
      </c>
      <c r="H2840" s="221">
        <v>4806</v>
      </c>
      <c r="I2840" s="110" t="str">
        <f>VLOOKUP(H2840, 'RM &amp; SF'!B:H, 2, 0)</f>
        <v>بوكس مشاوي كرتون (بوكس الرحلة) 38*26*5 سم 1*25 حبة*****</v>
      </c>
      <c r="J2840" s="184" t="str">
        <f>VLOOKUP(H2840, 'RM &amp; SF'!B:E, 4, 0)</f>
        <v>قطعة</v>
      </c>
      <c r="K2840" s="22">
        <v>1</v>
      </c>
      <c r="L2840" s="13">
        <f>VLOOKUP(H2840, 'RM &amp; SF'!B:H, 7, 0)</f>
        <v>0.218</v>
      </c>
      <c r="M2840" s="15">
        <f t="shared" si="146"/>
        <v>0.218</v>
      </c>
      <c r="N2840" s="21" t="s">
        <v>825</v>
      </c>
      <c r="O2840" s="4">
        <f>VLOOKUP(B2840, 'All Menu'!B:L, 6, 0)</f>
        <v>22</v>
      </c>
      <c r="P2840" s="6">
        <f>VLOOKUP(B2840, 'All Menu'!B:L, 9, 0)</f>
        <v>8.8181905284662339</v>
      </c>
      <c r="Q2840" s="14">
        <f>VLOOKUP(B2840, 'All Menu'!B:M, 12, 0)</f>
        <v>0.59917315779698932</v>
      </c>
      <c r="R2840" s="173">
        <f t="shared" si="145"/>
        <v>0</v>
      </c>
    </row>
    <row r="2841" spans="1:18" ht="14" hidden="1">
      <c r="A2841" s="78" t="s">
        <v>2880</v>
      </c>
      <c r="B2841" s="220">
        <v>60031</v>
      </c>
      <c r="C2841" s="185"/>
      <c r="D2841" s="30" t="str">
        <f>VLOOKUP(B2841, 'All Menu'!B:M, 4, 0)</f>
        <v>سويس رول مشكوك</v>
      </c>
      <c r="E2841" s="30" t="str">
        <f>VLOOKUP(B2841, 'All Menu'!B:M, 2, 0)</f>
        <v>قسم الملحمة</v>
      </c>
      <c r="F2841" s="103" t="str">
        <f>VLOOKUP(B2841, 'All Menu'!B:M, 3, 0)</f>
        <v>لحوم مشكوكة</v>
      </c>
      <c r="G2841" s="90" t="s">
        <v>3058</v>
      </c>
      <c r="H2841" s="188">
        <v>5427</v>
      </c>
      <c r="I2841" s="110" t="str">
        <f>VLOOKUP(H2841, 'RM &amp; SF'!B:H, 2, 0)</f>
        <v>رول تغليف ورقي مطبوع 13 كغ 60*120 سم*****</v>
      </c>
      <c r="J2841" s="184" t="str">
        <f>VLOOKUP(H2841, 'RM &amp; SF'!B:E, 4, 0)</f>
        <v>غم</v>
      </c>
      <c r="K2841" s="27">
        <v>1</v>
      </c>
      <c r="L2841" s="13">
        <f>VLOOKUP(H2841, 'RM &amp; SF'!B:H, 7, 0)</f>
        <v>1.3649425287356322E-3</v>
      </c>
      <c r="M2841" s="28">
        <f t="shared" si="146"/>
        <v>1.3649425287356322E-3</v>
      </c>
      <c r="N2841" s="26" t="s">
        <v>825</v>
      </c>
      <c r="O2841" s="26">
        <f>VLOOKUP(B2841, 'All Menu'!B:L, 6, 0)</f>
        <v>22</v>
      </c>
      <c r="P2841" s="131">
        <f>VLOOKUP(B2841, 'All Menu'!B:L, 9, 0)</f>
        <v>8.8181905284662339</v>
      </c>
      <c r="Q2841" s="133">
        <f>VLOOKUP(B2841, 'All Menu'!B:M, 12, 0)</f>
        <v>0.59917315779698932</v>
      </c>
      <c r="R2841" s="173">
        <f t="shared" si="145"/>
        <v>0</v>
      </c>
    </row>
    <row r="2842" spans="1:18" ht="14" hidden="1">
      <c r="A2842" s="78" t="s">
        <v>2895</v>
      </c>
      <c r="B2842" s="220">
        <v>60049</v>
      </c>
      <c r="C2842" s="185"/>
      <c r="D2842" s="30" t="str">
        <f>VLOOKUP(B2842, 'All Menu'!B:M, 4, 0)</f>
        <v>خروف بلدي - كامل</v>
      </c>
      <c r="E2842" s="30" t="str">
        <f>VLOOKUP(B2842, 'All Menu'!B:M, 2, 0)</f>
        <v>قسم الملحمة</v>
      </c>
      <c r="F2842" s="103" t="str">
        <f>VLOOKUP(B2842, 'All Menu'!B:M, 3, 0)</f>
        <v>لحوم بلدية</v>
      </c>
      <c r="G2842" s="90" t="s">
        <v>3058</v>
      </c>
      <c r="H2842" s="188">
        <v>5359</v>
      </c>
      <c r="I2842" s="110" t="str">
        <f>VLOOKUP(H2842, 'RM &amp; SF'!B:H, 2, 0)</f>
        <v>خروف بلدي حي*****</v>
      </c>
      <c r="J2842" s="184" t="str">
        <f>VLOOKUP(H2842, 'RM &amp; SF'!B:E, 4, 0)</f>
        <v>غم</v>
      </c>
      <c r="K2842" s="27">
        <v>1</v>
      </c>
      <c r="L2842" s="13">
        <f>VLOOKUP(H2842, 'RM &amp; SF'!B:H, 7, 0)</f>
        <v>5.25</v>
      </c>
      <c r="M2842" s="28">
        <f t="shared" si="146"/>
        <v>5.25</v>
      </c>
      <c r="N2842" s="26" t="s">
        <v>825</v>
      </c>
      <c r="O2842" s="26">
        <f>VLOOKUP(B2842, 'All Menu'!B:L, 6, 0)</f>
        <v>6</v>
      </c>
      <c r="P2842" s="131">
        <f>VLOOKUP(B2842, 'All Menu'!B:L, 9, 0)</f>
        <v>5.25</v>
      </c>
      <c r="Q2842" s="133">
        <f>VLOOKUP(B2842, 'All Menu'!B:M, 12, 0)</f>
        <v>0.125</v>
      </c>
      <c r="R2842" s="173">
        <f t="shared" si="145"/>
        <v>0</v>
      </c>
    </row>
    <row r="2843" spans="1:18" ht="14" hidden="1">
      <c r="A2843" s="78" t="s">
        <v>3145</v>
      </c>
      <c r="B2843" s="220">
        <v>60050</v>
      </c>
      <c r="C2843" s="185"/>
      <c r="D2843" s="30" t="str">
        <f>VLOOKUP(B2843, 'All Menu'!B:M, 4, 0)</f>
        <v>خروف روماني - كامل</v>
      </c>
      <c r="E2843" s="30" t="str">
        <f>VLOOKUP(B2843, 'All Menu'!B:M, 2, 0)</f>
        <v>قسم الملحمة</v>
      </c>
      <c r="F2843" s="103" t="str">
        <f>VLOOKUP(B2843, 'All Menu'!B:M, 3, 0)</f>
        <v>لحوم بلدية</v>
      </c>
      <c r="G2843" s="90" t="s">
        <v>3058</v>
      </c>
      <c r="H2843" s="188">
        <v>5358</v>
      </c>
      <c r="I2843" s="110" t="str">
        <f>VLOOKUP(H2843, 'RM &amp; SF'!B:H, 2, 0)</f>
        <v>خروف روماني حي*****</v>
      </c>
      <c r="J2843" s="184" t="str">
        <f>VLOOKUP(H2843, 'RM &amp; SF'!B:E, 4, 0)</f>
        <v>غم</v>
      </c>
      <c r="K2843" s="27">
        <v>1000</v>
      </c>
      <c r="L2843" s="13">
        <f>VLOOKUP(H2843, 'RM &amp; SF'!B:H, 7, 0)</f>
        <v>5.0999999999999995E-3</v>
      </c>
      <c r="M2843" s="28">
        <f t="shared" si="146"/>
        <v>5.0999999999999996</v>
      </c>
      <c r="N2843" s="26" t="s">
        <v>825</v>
      </c>
      <c r="O2843" s="26">
        <f>VLOOKUP(B2843, 'All Menu'!B:L, 6, 0)</f>
        <v>5.75</v>
      </c>
      <c r="P2843" s="131">
        <f>VLOOKUP(B2843, 'All Menu'!B:L, 9, 0)</f>
        <v>5.0999999999999996</v>
      </c>
      <c r="Q2843" s="133">
        <f>VLOOKUP(B2843, 'All Menu'!B:M, 12, 0)</f>
        <v>0.11304347826086962</v>
      </c>
      <c r="R2843" s="173">
        <f t="shared" si="145"/>
        <v>0</v>
      </c>
    </row>
    <row r="2844" spans="1:18" ht="14" hidden="1">
      <c r="A2844" s="78" t="s">
        <v>3153</v>
      </c>
      <c r="B2844" s="220">
        <v>204050</v>
      </c>
      <c r="C2844" s="185"/>
      <c r="D2844" s="30" t="str">
        <f>VLOOKUP(B2844, 'All Menu'!B:M, 4, 0)</f>
        <v>زيت مستعمل</v>
      </c>
      <c r="E2844" s="30" t="str">
        <f>VLOOKUP(B2844, 'All Menu'!B:M, 2, 0)</f>
        <v>قسم الملحمة</v>
      </c>
      <c r="F2844" s="103" t="str">
        <f>VLOOKUP(B2844, 'All Menu'!B:M, 3, 0)</f>
        <v>سقط</v>
      </c>
      <c r="G2844" s="90" t="s">
        <v>3058</v>
      </c>
      <c r="H2844" s="188">
        <v>204050</v>
      </c>
      <c r="I2844" s="110" t="str">
        <f>VLOOKUP(H2844, 'RM &amp; SF'!B:H, 2, 0)</f>
        <v>زيت مستعمل</v>
      </c>
      <c r="J2844" s="184" t="str">
        <f>VLOOKUP(H2844, 'RM &amp; SF'!B:E, 4, 0)</f>
        <v>غم</v>
      </c>
      <c r="K2844" s="27"/>
      <c r="L2844" s="13">
        <f>VLOOKUP(H2844, 'RM &amp; SF'!B:H, 7, 0)</f>
        <v>0</v>
      </c>
      <c r="M2844" s="28">
        <f t="shared" si="146"/>
        <v>0</v>
      </c>
      <c r="N2844" s="26" t="s">
        <v>825</v>
      </c>
      <c r="O2844" s="26">
        <f>VLOOKUP(B2844, 'All Menu'!B:L, 6, 0)</f>
        <v>1</v>
      </c>
      <c r="P2844" s="131">
        <f>VLOOKUP(B2844, 'All Menu'!B:L, 9, 0)</f>
        <v>0</v>
      </c>
      <c r="Q2844" s="133">
        <f>VLOOKUP(B2844, 'All Menu'!B:M, 12, 0)</f>
        <v>1</v>
      </c>
      <c r="R2844" s="173">
        <f t="shared" si="145"/>
        <v>0</v>
      </c>
    </row>
    <row r="2845" spans="1:18" ht="14" hidden="1">
      <c r="A2845" s="78" t="s">
        <v>2547</v>
      </c>
      <c r="B2845" s="220" t="s">
        <v>1891</v>
      </c>
      <c r="C2845" s="185"/>
      <c r="D2845" s="30" t="str">
        <f>VLOOKUP(B2845, 'All Menu'!B:M, 4, 0)</f>
        <v>مياه غازية</v>
      </c>
      <c r="E2845" s="30" t="str">
        <f>VLOOKUP(B2845, 'All Menu'!B:M, 2, 0)</f>
        <v>قسم الصالة</v>
      </c>
      <c r="F2845" s="103" t="str">
        <f>VLOOKUP(B2845, 'All Menu'!B:M, 3, 0)</f>
        <v>باريستا صالة</v>
      </c>
      <c r="G2845" s="90" t="s">
        <v>3058</v>
      </c>
      <c r="H2845" s="188">
        <v>4171</v>
      </c>
      <c r="I2845" s="110" t="str">
        <f>VLOOKUP(H2845, 'RM &amp; SF'!B:H, 2, 0)</f>
        <v>مياه غازية 200 مل*****</v>
      </c>
      <c r="J2845" s="184" t="str">
        <f>VLOOKUP(H2845, 'RM &amp; SF'!B:E, 4, 0)</f>
        <v>مل</v>
      </c>
      <c r="K2845" s="27">
        <v>1</v>
      </c>
      <c r="L2845" s="13">
        <f>VLOOKUP(H2845, 'RM &amp; SF'!B:H, 7, 0)</f>
        <v>2.8735500000000003E-3</v>
      </c>
      <c r="M2845" s="28">
        <f t="shared" si="146"/>
        <v>2.8735500000000003E-3</v>
      </c>
      <c r="N2845" s="26" t="s">
        <v>825</v>
      </c>
      <c r="O2845" s="26">
        <f>VLOOKUP(B2845, 'All Menu'!B:L, 6, 0)</f>
        <v>2.1551724137931036</v>
      </c>
      <c r="P2845" s="131">
        <f>VLOOKUP(B2845, 'All Menu'!B:L, 9, 0)</f>
        <v>2.8735500000000003E-3</v>
      </c>
      <c r="Q2845" s="133">
        <f>VLOOKUP(B2845, 'All Menu'!B:M, 12, 0)</f>
        <v>0.9986666728000001</v>
      </c>
      <c r="R2845" s="173">
        <f t="shared" si="145"/>
        <v>0</v>
      </c>
    </row>
    <row r="2846" spans="1:18" ht="14" hidden="1">
      <c r="A2846" s="78" t="s">
        <v>2553</v>
      </c>
      <c r="B2846" s="220" t="s">
        <v>1608</v>
      </c>
      <c r="C2846" s="185"/>
      <c r="D2846" s="30" t="str">
        <f>VLOOKUP(B2846, 'All Menu'!B:M, 4, 0)</f>
        <v>فتة دجاج</v>
      </c>
      <c r="E2846" s="30" t="str">
        <f>VLOOKUP(B2846, 'All Menu'!B:M, 2, 0)</f>
        <v>قسم الصالة</v>
      </c>
      <c r="F2846" s="103" t="str">
        <f>VLOOKUP(B2846, 'All Menu'!B:M, 3, 0)</f>
        <v>فتات صالة</v>
      </c>
      <c r="G2846" s="90" t="s">
        <v>2330</v>
      </c>
      <c r="H2846" s="219" t="s">
        <v>490</v>
      </c>
      <c r="I2846" s="110" t="str">
        <f>VLOOKUP(H2846, 'RM &amp; SF'!B:H, 2, 0)</f>
        <v>خبز مقلي</v>
      </c>
      <c r="J2846" s="184" t="str">
        <f>VLOOKUP(H2846, 'RM &amp; SF'!B:E, 4, 0)</f>
        <v>غم</v>
      </c>
      <c r="K2846" s="27">
        <v>75</v>
      </c>
      <c r="L2846" s="13">
        <f>VLOOKUP(H2846, 'RM &amp; SF'!B:H, 7, 0)</f>
        <v>2.2857142857142859E-4</v>
      </c>
      <c r="M2846" s="28">
        <f t="shared" ref="M2846:M2910" si="147">L2846*K2846</f>
        <v>1.7142857142857144E-2</v>
      </c>
      <c r="N2846" s="26" t="s">
        <v>825</v>
      </c>
      <c r="O2846" s="26">
        <f>VLOOKUP(B2846, 'All Menu'!B:L, 6, 0)</f>
        <v>3.8793103448275863</v>
      </c>
      <c r="P2846" s="131">
        <f>VLOOKUP(B2846, 'All Menu'!B:L, 9, 0)</f>
        <v>1.4293392954936059</v>
      </c>
      <c r="Q2846" s="133">
        <f>VLOOKUP(B2846, 'All Menu'!B:M, 12, 0)</f>
        <v>0.6315480927172038</v>
      </c>
      <c r="R2846" s="173">
        <f t="shared" si="145"/>
        <v>0</v>
      </c>
    </row>
    <row r="2847" spans="1:18" ht="14" hidden="1">
      <c r="A2847" s="78" t="s">
        <v>2553</v>
      </c>
      <c r="B2847" s="220" t="s">
        <v>1608</v>
      </c>
      <c r="C2847" s="185"/>
      <c r="D2847" s="30" t="str">
        <f>VLOOKUP(B2847, 'All Menu'!B:M, 4, 0)</f>
        <v>فتة دجاج</v>
      </c>
      <c r="E2847" s="30" t="str">
        <f>VLOOKUP(B2847, 'All Menu'!B:M, 2, 0)</f>
        <v>قسم الصالة</v>
      </c>
      <c r="F2847" s="103" t="str">
        <f>VLOOKUP(B2847, 'All Menu'!B:M, 3, 0)</f>
        <v>فتات صالة</v>
      </c>
      <c r="G2847" s="90" t="s">
        <v>2434</v>
      </c>
      <c r="H2847" s="219" t="s">
        <v>574</v>
      </c>
      <c r="I2847" s="110" t="str">
        <f>VLOOKUP(H2847, 'RM &amp; SF'!B:H, 2, 0)</f>
        <v>صوص بندورة</v>
      </c>
      <c r="J2847" s="184" t="str">
        <f>VLOOKUP(H2847, 'RM &amp; SF'!B:E, 4, 0)</f>
        <v>غم</v>
      </c>
      <c r="K2847" s="27">
        <v>350</v>
      </c>
      <c r="L2847" s="13">
        <f>VLOOKUP(H2847, 'RM &amp; SF'!B:H, 7, 0)</f>
        <v>1.1346600487634969E-3</v>
      </c>
      <c r="M2847" s="28">
        <f t="shared" si="147"/>
        <v>0.39713101706722392</v>
      </c>
      <c r="N2847" s="26" t="s">
        <v>825</v>
      </c>
      <c r="O2847" s="26">
        <f>VLOOKUP(B2847, 'All Menu'!B:L, 6, 0)</f>
        <v>3.8793103448275863</v>
      </c>
      <c r="P2847" s="131">
        <f>VLOOKUP(B2847, 'All Menu'!B:L, 9, 0)</f>
        <v>1.4293392954936059</v>
      </c>
      <c r="Q2847" s="133">
        <f>VLOOKUP(B2847, 'All Menu'!B:M, 12, 0)</f>
        <v>0.6315480927172038</v>
      </c>
      <c r="R2847" s="173">
        <f t="shared" si="145"/>
        <v>0</v>
      </c>
    </row>
    <row r="2848" spans="1:18" ht="14" hidden="1">
      <c r="A2848" s="78" t="s">
        <v>2553</v>
      </c>
      <c r="B2848" s="220" t="s">
        <v>1608</v>
      </c>
      <c r="C2848" s="185"/>
      <c r="D2848" s="30" t="str">
        <f>VLOOKUP(B2848, 'All Menu'!B:M, 4, 0)</f>
        <v>فتة دجاج</v>
      </c>
      <c r="E2848" s="30" t="str">
        <f>VLOOKUP(B2848, 'All Menu'!B:M, 2, 0)</f>
        <v>قسم الصالة</v>
      </c>
      <c r="F2848" s="103" t="str">
        <f>VLOOKUP(B2848, 'All Menu'!B:M, 3, 0)</f>
        <v>فتات صالة</v>
      </c>
      <c r="G2848" s="90" t="s">
        <v>2445</v>
      </c>
      <c r="H2848" s="219" t="s">
        <v>668</v>
      </c>
      <c r="I2848" s="110" t="str">
        <f>VLOOKUP(H2848, 'RM &amp; SF'!B:H, 2, 0)</f>
        <v>دجاج مسحب بالفرن انترناشونال</v>
      </c>
      <c r="J2848" s="184" t="str">
        <f>VLOOKUP(H2848, 'RM &amp; SF'!B:E, 4, 0)</f>
        <v>غم</v>
      </c>
      <c r="K2848" s="27">
        <v>170</v>
      </c>
      <c r="L2848" s="13">
        <f>VLOOKUP(H2848, 'RM &amp; SF'!B:H, 7, 0)</f>
        <v>4.5947853888888886E-3</v>
      </c>
      <c r="M2848" s="28">
        <f t="shared" si="147"/>
        <v>0.78111351611111102</v>
      </c>
      <c r="N2848" s="26" t="s">
        <v>825</v>
      </c>
      <c r="O2848" s="26">
        <f>VLOOKUP(B2848, 'All Menu'!B:L, 6, 0)</f>
        <v>3.8793103448275863</v>
      </c>
      <c r="P2848" s="131">
        <f>VLOOKUP(B2848, 'All Menu'!B:L, 9, 0)</f>
        <v>1.4293392954936059</v>
      </c>
      <c r="Q2848" s="133">
        <f>VLOOKUP(B2848, 'All Menu'!B:M, 12, 0)</f>
        <v>0.6315480927172038</v>
      </c>
      <c r="R2848" s="173">
        <f t="shared" si="145"/>
        <v>0</v>
      </c>
    </row>
    <row r="2849" spans="1:18" ht="14" hidden="1">
      <c r="A2849" s="78" t="s">
        <v>2553</v>
      </c>
      <c r="B2849" s="220" t="s">
        <v>1608</v>
      </c>
      <c r="C2849" s="185"/>
      <c r="D2849" s="30" t="str">
        <f>VLOOKUP(B2849, 'All Menu'!B:M, 4, 0)</f>
        <v>فتة دجاج</v>
      </c>
      <c r="E2849" s="30" t="str">
        <f>VLOOKUP(B2849, 'All Menu'!B:M, 2, 0)</f>
        <v>قسم الصالة</v>
      </c>
      <c r="F2849" s="103" t="str">
        <f>VLOOKUP(B2849, 'All Menu'!B:M, 3, 0)</f>
        <v>فتات صالة</v>
      </c>
      <c r="G2849" s="90" t="s">
        <v>2180</v>
      </c>
      <c r="H2849" s="188">
        <v>4791</v>
      </c>
      <c r="I2849" s="110" t="str">
        <f>VLOOKUP(H2849, 'RM &amp; SF'!B:H, 2, 0)</f>
        <v>سمنة بلدية 5 كغ*****</v>
      </c>
      <c r="J2849" s="184" t="str">
        <f>VLOOKUP(H2849, 'RM &amp; SF'!B:E, 4, 0)</f>
        <v>غم</v>
      </c>
      <c r="K2849" s="27">
        <v>15</v>
      </c>
      <c r="L2849" s="13">
        <f>VLOOKUP(H2849, 'RM &amp; SF'!B:H, 7, 0)</f>
        <v>8.3330000000000001E-3</v>
      </c>
      <c r="M2849" s="28">
        <f t="shared" si="147"/>
        <v>0.12499499999999999</v>
      </c>
      <c r="N2849" s="26" t="s">
        <v>825</v>
      </c>
      <c r="O2849" s="26">
        <f>VLOOKUP(B2849, 'All Menu'!B:L, 6, 0)</f>
        <v>3.8793103448275863</v>
      </c>
      <c r="P2849" s="131">
        <f>VLOOKUP(B2849, 'All Menu'!B:L, 9, 0)</f>
        <v>1.4293392954936059</v>
      </c>
      <c r="Q2849" s="133">
        <f>VLOOKUP(B2849, 'All Menu'!B:M, 12, 0)</f>
        <v>0.6315480927172038</v>
      </c>
      <c r="R2849" s="173">
        <f t="shared" si="145"/>
        <v>0</v>
      </c>
    </row>
    <row r="2850" spans="1:18" ht="14" hidden="1">
      <c r="A2850" s="78" t="s">
        <v>2553</v>
      </c>
      <c r="B2850" s="220" t="s">
        <v>1608</v>
      </c>
      <c r="C2850" s="185"/>
      <c r="D2850" s="30" t="str">
        <f>VLOOKUP(B2850, 'All Menu'!B:M, 4, 0)</f>
        <v>فتة دجاج</v>
      </c>
      <c r="E2850" s="30" t="str">
        <f>VLOOKUP(B2850, 'All Menu'!B:M, 2, 0)</f>
        <v>قسم الصالة</v>
      </c>
      <c r="F2850" s="103" t="str">
        <f>VLOOKUP(B2850, 'All Menu'!B:M, 3, 0)</f>
        <v>فتات صالة</v>
      </c>
      <c r="G2850" s="90" t="s">
        <v>2341</v>
      </c>
      <c r="H2850" s="219" t="s">
        <v>706</v>
      </c>
      <c r="I2850" s="110" t="str">
        <f>VLOOKUP(H2850, 'RM &amp; SF'!B:H, 2, 0)</f>
        <v>لوز مقلي</v>
      </c>
      <c r="J2850" s="184" t="str">
        <f>VLOOKUP(H2850, 'RM &amp; SF'!B:E, 4, 0)</f>
        <v>غم</v>
      </c>
      <c r="K2850" s="27">
        <v>20</v>
      </c>
      <c r="L2850" s="13">
        <f>VLOOKUP(H2850, 'RM &amp; SF'!B:H, 7, 0)</f>
        <v>4.1352327586206888E-3</v>
      </c>
      <c r="M2850" s="28">
        <f t="shared" si="147"/>
        <v>8.270465517241378E-2</v>
      </c>
      <c r="N2850" s="26" t="s">
        <v>825</v>
      </c>
      <c r="O2850" s="26">
        <f>VLOOKUP(B2850, 'All Menu'!B:L, 6, 0)</f>
        <v>3.8793103448275863</v>
      </c>
      <c r="P2850" s="131">
        <f>VLOOKUP(B2850, 'All Menu'!B:L, 9, 0)</f>
        <v>1.4293392954936059</v>
      </c>
      <c r="Q2850" s="133">
        <f>VLOOKUP(B2850, 'All Menu'!B:M, 12, 0)</f>
        <v>0.6315480927172038</v>
      </c>
      <c r="R2850" s="173">
        <f t="shared" si="145"/>
        <v>0</v>
      </c>
    </row>
    <row r="2851" spans="1:18" ht="14" hidden="1">
      <c r="A2851" s="78" t="s">
        <v>2553</v>
      </c>
      <c r="B2851" s="220" t="s">
        <v>1608</v>
      </c>
      <c r="C2851" s="185"/>
      <c r="D2851" s="30" t="str">
        <f>VLOOKUP(B2851, 'All Menu'!B:M, 4, 0)</f>
        <v>فتة دجاج</v>
      </c>
      <c r="E2851" s="30" t="str">
        <f>VLOOKUP(B2851, 'All Menu'!B:M, 2, 0)</f>
        <v>قسم الصالة</v>
      </c>
      <c r="F2851" s="103" t="str">
        <f>VLOOKUP(B2851, 'All Menu'!B:M, 3, 0)</f>
        <v>فتات صالة</v>
      </c>
      <c r="G2851" s="90" t="s">
        <v>2251</v>
      </c>
      <c r="H2851" s="188">
        <v>4544</v>
      </c>
      <c r="I2851" s="110" t="str">
        <f>VLOOKUP(H2851, 'RM &amp; SF'!B:H, 2, 0)</f>
        <v>بقدونس*****</v>
      </c>
      <c r="J2851" s="184" t="str">
        <f>VLOOKUP(H2851, 'RM &amp; SF'!B:E, 4, 0)</f>
        <v>غم</v>
      </c>
      <c r="K2851" s="27">
        <v>3.0000000000000001E-3</v>
      </c>
      <c r="L2851" s="13">
        <f>VLOOKUP(H2851, 'RM &amp; SF'!B:H, 7, 0)</f>
        <v>7.5000000000000002E-4</v>
      </c>
      <c r="M2851" s="28">
        <f t="shared" si="147"/>
        <v>2.2500000000000001E-6</v>
      </c>
      <c r="N2851" s="26" t="s">
        <v>825</v>
      </c>
      <c r="O2851" s="26">
        <f>VLOOKUP(B2851, 'All Menu'!B:L, 6, 0)</f>
        <v>3.8793103448275863</v>
      </c>
      <c r="P2851" s="131">
        <f>VLOOKUP(B2851, 'All Menu'!B:L, 9, 0)</f>
        <v>1.4293392954936059</v>
      </c>
      <c r="Q2851" s="133">
        <f>VLOOKUP(B2851, 'All Menu'!B:M, 12, 0)</f>
        <v>0.6315480927172038</v>
      </c>
      <c r="R2851" s="173">
        <f t="shared" si="145"/>
        <v>0</v>
      </c>
    </row>
    <row r="2852" spans="1:18" ht="14" hidden="1">
      <c r="A2852" s="78" t="s">
        <v>2553</v>
      </c>
      <c r="B2852" s="220" t="s">
        <v>1608</v>
      </c>
      <c r="C2852" s="185"/>
      <c r="D2852" s="30" t="str">
        <f>VLOOKUP(B2852, 'All Menu'!B:M, 4, 0)</f>
        <v>فتة دجاج</v>
      </c>
      <c r="E2852" s="30" t="str">
        <f>VLOOKUP(B2852, 'All Menu'!B:M, 2, 0)</f>
        <v>قسم الصالة</v>
      </c>
      <c r="F2852" s="103" t="str">
        <f>VLOOKUP(B2852, 'All Menu'!B:M, 3, 0)</f>
        <v>فتات صالة</v>
      </c>
      <c r="G2852" s="90" t="s">
        <v>2244</v>
      </c>
      <c r="H2852" s="188">
        <v>4522</v>
      </c>
      <c r="I2852" s="110" t="str">
        <f>VLOOKUP(H2852, 'RM &amp; SF'!B:H, 2, 0)</f>
        <v>رمان*****</v>
      </c>
      <c r="J2852" s="184" t="str">
        <f>VLOOKUP(H2852, 'RM &amp; SF'!B:E, 4, 0)</f>
        <v>غم</v>
      </c>
      <c r="K2852" s="27">
        <v>15</v>
      </c>
      <c r="L2852" s="13">
        <f>VLOOKUP(H2852, 'RM &amp; SF'!B:H, 7, 0)</f>
        <v>1.75E-3</v>
      </c>
      <c r="M2852" s="28">
        <f t="shared" si="147"/>
        <v>2.6249999999999999E-2</v>
      </c>
      <c r="N2852" s="26" t="s">
        <v>825</v>
      </c>
      <c r="O2852" s="26">
        <f>VLOOKUP(B2852, 'All Menu'!B:L, 6, 0)</f>
        <v>3.8793103448275863</v>
      </c>
      <c r="P2852" s="131">
        <f>VLOOKUP(B2852, 'All Menu'!B:L, 9, 0)</f>
        <v>1.4293392954936059</v>
      </c>
      <c r="Q2852" s="133">
        <f>VLOOKUP(B2852, 'All Menu'!B:M, 12, 0)</f>
        <v>0.6315480927172038</v>
      </c>
      <c r="R2852" s="173">
        <f t="shared" si="145"/>
        <v>0</v>
      </c>
    </row>
    <row r="2853" spans="1:18" ht="14" hidden="1">
      <c r="A2853" s="78" t="s">
        <v>2939</v>
      </c>
      <c r="B2853" s="220" t="s">
        <v>1174</v>
      </c>
      <c r="C2853" s="185"/>
      <c r="D2853" s="110" t="s">
        <v>1807</v>
      </c>
      <c r="E2853" s="30" t="str">
        <f>VLOOKUP(B2853, 'All Menu'!B:M, 2, 0)</f>
        <v>قسم المقبلات</v>
      </c>
      <c r="F2853" s="103" t="str">
        <f>VLOOKUP(B2853, 'All Menu'!B:M, 3, 0)</f>
        <v>المقبلات سفري</v>
      </c>
      <c r="G2853" s="90" t="s">
        <v>2443</v>
      </c>
      <c r="H2853" s="219" t="s">
        <v>664</v>
      </c>
      <c r="I2853" s="110" t="str">
        <f>VLOOKUP(H2853, 'RM &amp; SF'!B:H, 2, 0)</f>
        <v xml:space="preserve">ضربة تبولة </v>
      </c>
      <c r="J2853" s="184" t="str">
        <f>VLOOKUP(H2853, 'RM &amp; SF'!B:E, 4, 0)</f>
        <v>غم</v>
      </c>
      <c r="K2853" s="177">
        <v>280</v>
      </c>
      <c r="L2853" s="13">
        <f>VLOOKUP(H2853, 'RM &amp; SF'!B:H, 7, 0)</f>
        <v>1.9595000000000002E-4</v>
      </c>
      <c r="M2853" s="28">
        <f t="shared" si="147"/>
        <v>5.4866000000000005E-2</v>
      </c>
      <c r="N2853" s="26" t="s">
        <v>825</v>
      </c>
      <c r="O2853" s="26">
        <f>VLOOKUP(B2853, 'All Menu'!B:L, 6, 0)</f>
        <v>13.793103448275863</v>
      </c>
      <c r="P2853" s="131">
        <f>VLOOKUP(B2853, 'All Menu'!B:L, 9, 0)</f>
        <v>0.76950670387486686</v>
      </c>
      <c r="Q2853" s="133">
        <f>VLOOKUP(B2853, 'All Menu'!B:M, 12, 0)</f>
        <v>0.94421076396907211</v>
      </c>
      <c r="R2853" s="173">
        <f t="shared" si="145"/>
        <v>0</v>
      </c>
    </row>
    <row r="2854" spans="1:18" ht="14" hidden="1">
      <c r="A2854" s="78" t="s">
        <v>2939</v>
      </c>
      <c r="B2854" s="220" t="s">
        <v>1174</v>
      </c>
      <c r="C2854" s="185"/>
      <c r="D2854" s="110" t="s">
        <v>1807</v>
      </c>
      <c r="E2854" s="30" t="str">
        <f>VLOOKUP(B2854, 'All Menu'!B:M, 2, 0)</f>
        <v>قسم المقبلات</v>
      </c>
      <c r="F2854" s="103" t="str">
        <f>VLOOKUP(B2854, 'All Menu'!B:M, 3, 0)</f>
        <v>المقبلات سفري</v>
      </c>
      <c r="G2854" s="90" t="s">
        <v>2250</v>
      </c>
      <c r="H2854" s="219">
        <v>4531</v>
      </c>
      <c r="I2854" s="110" t="str">
        <f>VLOOKUP(H2854, 'RM &amp; SF'!B:H, 2, 0)</f>
        <v>فراولة*****</v>
      </c>
      <c r="J2854" s="184" t="str">
        <f>VLOOKUP(H2854, 'RM &amp; SF'!B:E, 4, 0)</f>
        <v>غم</v>
      </c>
      <c r="K2854" s="177">
        <v>60</v>
      </c>
      <c r="L2854" s="13">
        <f>VLOOKUP(H2854, 'RM &amp; SF'!B:H, 7, 0)</f>
        <v>2.5000000000000001E-3</v>
      </c>
      <c r="M2854" s="28">
        <f t="shared" si="147"/>
        <v>0.15</v>
      </c>
      <c r="N2854" s="26" t="s">
        <v>825</v>
      </c>
      <c r="O2854" s="26">
        <f>VLOOKUP(B2854, 'All Menu'!B:L, 6, 0)</f>
        <v>13.793103448275863</v>
      </c>
      <c r="P2854" s="131">
        <f>VLOOKUP(B2854, 'All Menu'!B:L, 9, 0)</f>
        <v>0.76950670387486686</v>
      </c>
      <c r="Q2854" s="133">
        <f>VLOOKUP(B2854, 'All Menu'!B:M, 12, 0)</f>
        <v>0.94421076396907211</v>
      </c>
      <c r="R2854" s="173">
        <f t="shared" si="145"/>
        <v>0</v>
      </c>
    </row>
    <row r="2855" spans="1:18" ht="14" hidden="1">
      <c r="A2855" s="78" t="s">
        <v>2939</v>
      </c>
      <c r="B2855" s="220" t="s">
        <v>1174</v>
      </c>
      <c r="C2855" s="185"/>
      <c r="D2855" s="110" t="s">
        <v>1807</v>
      </c>
      <c r="E2855" s="30" t="str">
        <f>VLOOKUP(B2855, 'All Menu'!B:M, 2, 0)</f>
        <v>قسم المقبلات</v>
      </c>
      <c r="F2855" s="103" t="str">
        <f>VLOOKUP(B2855, 'All Menu'!B:M, 3, 0)</f>
        <v>المقبلات سفري</v>
      </c>
      <c r="G2855" s="90" t="s">
        <v>2249</v>
      </c>
      <c r="H2855" s="219">
        <v>4530</v>
      </c>
      <c r="I2855" s="110" t="str">
        <f>VLOOKUP(H2855, 'RM &amp; SF'!B:H, 2, 0)</f>
        <v>*****كيوي</v>
      </c>
      <c r="J2855" s="184" t="str">
        <f>VLOOKUP(H2855, 'RM &amp; SF'!B:E, 4, 0)</f>
        <v>غم</v>
      </c>
      <c r="K2855" s="177">
        <v>50</v>
      </c>
      <c r="L2855" s="13">
        <f>VLOOKUP(H2855, 'RM &amp; SF'!B:H, 7, 0)</f>
        <v>3.5000000000000001E-3</v>
      </c>
      <c r="M2855" s="28">
        <f t="shared" si="147"/>
        <v>0.17500000000000002</v>
      </c>
      <c r="N2855" s="26" t="s">
        <v>825</v>
      </c>
      <c r="O2855" s="26">
        <f>VLOOKUP(B2855, 'All Menu'!B:L, 6, 0)</f>
        <v>13.793103448275863</v>
      </c>
      <c r="P2855" s="131">
        <f>VLOOKUP(B2855, 'All Menu'!B:L, 9, 0)</f>
        <v>0.76950670387486686</v>
      </c>
      <c r="Q2855" s="133">
        <f>VLOOKUP(B2855, 'All Menu'!B:M, 12, 0)</f>
        <v>0.94421076396907211</v>
      </c>
      <c r="R2855" s="173">
        <f t="shared" si="145"/>
        <v>0</v>
      </c>
    </row>
    <row r="2856" spans="1:18" ht="14" hidden="1">
      <c r="A2856" s="78" t="s">
        <v>2939</v>
      </c>
      <c r="B2856" s="220" t="s">
        <v>1174</v>
      </c>
      <c r="C2856" s="185"/>
      <c r="D2856" s="110" t="s">
        <v>1807</v>
      </c>
      <c r="E2856" s="30" t="str">
        <f>VLOOKUP(B2856, 'All Menu'!B:M, 2, 0)</f>
        <v>قسم المقبلات</v>
      </c>
      <c r="F2856" s="103" t="str">
        <f>VLOOKUP(B2856, 'All Menu'!B:M, 3, 0)</f>
        <v>المقبلات سفري</v>
      </c>
      <c r="G2856" s="90" t="s">
        <v>2244</v>
      </c>
      <c r="H2856" s="219">
        <v>4522</v>
      </c>
      <c r="I2856" s="110" t="str">
        <f>VLOOKUP(H2856, 'RM &amp; SF'!B:H, 2, 0)</f>
        <v>رمان*****</v>
      </c>
      <c r="J2856" s="184" t="str">
        <f>VLOOKUP(H2856, 'RM &amp; SF'!B:E, 4, 0)</f>
        <v>غم</v>
      </c>
      <c r="K2856" s="177">
        <v>25</v>
      </c>
      <c r="L2856" s="13">
        <f>VLOOKUP(H2856, 'RM &amp; SF'!B:H, 7, 0)</f>
        <v>1.75E-3</v>
      </c>
      <c r="M2856" s="28">
        <f t="shared" si="147"/>
        <v>4.3750000000000004E-2</v>
      </c>
      <c r="N2856" s="26" t="s">
        <v>825</v>
      </c>
      <c r="O2856" s="26">
        <f>VLOOKUP(B2856, 'All Menu'!B:L, 6, 0)</f>
        <v>13.793103448275863</v>
      </c>
      <c r="P2856" s="131">
        <f>VLOOKUP(B2856, 'All Menu'!B:L, 9, 0)</f>
        <v>0.76950670387486686</v>
      </c>
      <c r="Q2856" s="133">
        <f>VLOOKUP(B2856, 'All Menu'!B:M, 12, 0)</f>
        <v>0.94421076396907211</v>
      </c>
      <c r="R2856" s="173">
        <f t="shared" si="145"/>
        <v>0</v>
      </c>
    </row>
    <row r="2857" spans="1:18" ht="14" hidden="1">
      <c r="A2857" s="78" t="s">
        <v>2939</v>
      </c>
      <c r="B2857" s="220" t="s">
        <v>1174</v>
      </c>
      <c r="C2857" s="185"/>
      <c r="D2857" s="110" t="s">
        <v>1807</v>
      </c>
      <c r="E2857" s="30" t="str">
        <f>VLOOKUP(B2857, 'All Menu'!B:M, 2, 0)</f>
        <v>قسم المقبلات</v>
      </c>
      <c r="F2857" s="103" t="str">
        <f>VLOOKUP(B2857, 'All Menu'!B:M, 3, 0)</f>
        <v>المقبلات سفري</v>
      </c>
      <c r="G2857" s="90" t="s">
        <v>3058</v>
      </c>
      <c r="H2857" s="219">
        <v>4151</v>
      </c>
      <c r="I2857" s="110" t="str">
        <f>VLOOKUP(H2857, 'RM &amp; SF'!B:H, 2, 0)</f>
        <v>زبيب ذهبي*****</v>
      </c>
      <c r="J2857" s="184" t="str">
        <f>VLOOKUP(H2857, 'RM &amp; SF'!B:E, 4, 0)</f>
        <v>غم</v>
      </c>
      <c r="K2857" s="177">
        <v>20</v>
      </c>
      <c r="L2857" s="13">
        <f>VLOOKUP(H2857, 'RM &amp; SF'!B:H, 7, 0)</f>
        <v>3.0172413793103452E-3</v>
      </c>
      <c r="M2857" s="28">
        <f t="shared" si="147"/>
        <v>6.0344827586206906E-2</v>
      </c>
      <c r="N2857" s="26" t="s">
        <v>825</v>
      </c>
      <c r="O2857" s="26">
        <f>VLOOKUP(B2857, 'All Menu'!B:L, 6, 0)</f>
        <v>13.793103448275863</v>
      </c>
      <c r="P2857" s="131">
        <f>VLOOKUP(B2857, 'All Menu'!B:L, 9, 0)</f>
        <v>0.76950670387486686</v>
      </c>
      <c r="Q2857" s="133">
        <f>VLOOKUP(B2857, 'All Menu'!B:M, 12, 0)</f>
        <v>0.94421076396907211</v>
      </c>
      <c r="R2857" s="173">
        <f t="shared" si="145"/>
        <v>0</v>
      </c>
    </row>
    <row r="2858" spans="1:18" ht="14" hidden="1">
      <c r="A2858" s="78" t="s">
        <v>2939</v>
      </c>
      <c r="B2858" s="220" t="s">
        <v>1174</v>
      </c>
      <c r="C2858" s="185"/>
      <c r="D2858" s="110" t="s">
        <v>1807</v>
      </c>
      <c r="E2858" s="30" t="str">
        <f>VLOOKUP(B2858, 'All Menu'!B:M, 2, 0)</f>
        <v>قسم المقبلات</v>
      </c>
      <c r="F2858" s="103" t="str">
        <f>VLOOKUP(B2858, 'All Menu'!B:M, 3, 0)</f>
        <v>المقبلات سفري</v>
      </c>
      <c r="G2858" s="90" t="s">
        <v>2382</v>
      </c>
      <c r="H2858" s="219" t="s">
        <v>526</v>
      </c>
      <c r="I2858" s="110" t="str">
        <f>VLOOKUP(H2858, 'RM &amp; SF'!B:H, 2, 0)</f>
        <v>فنغريت صوص</v>
      </c>
      <c r="J2858" s="184" t="str">
        <f>VLOOKUP(H2858, 'RM &amp; SF'!B:E, 4, 0)</f>
        <v>غم</v>
      </c>
      <c r="K2858" s="177">
        <v>30</v>
      </c>
      <c r="L2858" s="13">
        <f>VLOOKUP(H2858, 'RM &amp; SF'!B:H, 7, 0)</f>
        <v>1.6448625429553263E-3</v>
      </c>
      <c r="M2858" s="28">
        <f t="shared" si="147"/>
        <v>4.9345876288659787E-2</v>
      </c>
      <c r="N2858" s="26" t="s">
        <v>825</v>
      </c>
      <c r="O2858" s="26">
        <f>VLOOKUP(B2858, 'All Menu'!B:L, 6, 0)</f>
        <v>13.793103448275863</v>
      </c>
      <c r="P2858" s="131">
        <f>VLOOKUP(B2858, 'All Menu'!B:L, 9, 0)</f>
        <v>0.76950670387486686</v>
      </c>
      <c r="Q2858" s="133">
        <f>VLOOKUP(B2858, 'All Menu'!B:M, 12, 0)</f>
        <v>0.94421076396907211</v>
      </c>
      <c r="R2858" s="173">
        <f t="shared" si="145"/>
        <v>0</v>
      </c>
    </row>
    <row r="2859" spans="1:18" ht="14" hidden="1">
      <c r="A2859" s="78" t="s">
        <v>2939</v>
      </c>
      <c r="B2859" s="220" t="s">
        <v>1174</v>
      </c>
      <c r="C2859" s="185"/>
      <c r="D2859" s="110" t="s">
        <v>1807</v>
      </c>
      <c r="E2859" s="30" t="str">
        <f>VLOOKUP(B2859, 'All Menu'!B:M, 2, 0)</f>
        <v>قسم المقبلات</v>
      </c>
      <c r="F2859" s="103" t="str">
        <f>VLOOKUP(B2859, 'All Menu'!B:M, 3, 0)</f>
        <v>المقبلات سفري</v>
      </c>
      <c r="G2859" s="90" t="s">
        <v>2320</v>
      </c>
      <c r="H2859" s="219">
        <v>5291</v>
      </c>
      <c r="I2859" s="110" t="str">
        <f>VLOOKUP(H2859, 'RM &amp; SF'!B:H, 2, 0)</f>
        <v>تين مجفف (قطين)*****</v>
      </c>
      <c r="J2859" s="184" t="str">
        <f>VLOOKUP(H2859, 'RM &amp; SF'!B:E, 4, 0)</f>
        <v>غم</v>
      </c>
      <c r="K2859" s="177">
        <v>75</v>
      </c>
      <c r="L2859" s="13">
        <f>VLOOKUP(H2859, 'RM &amp; SF'!B:H, 7, 0)</f>
        <v>2.2559999999999998E-3</v>
      </c>
      <c r="M2859" s="28">
        <f t="shared" ref="M2859" si="148">L2859*K2859</f>
        <v>0.16919999999999999</v>
      </c>
      <c r="N2859" s="26" t="s">
        <v>825</v>
      </c>
      <c r="O2859" s="26">
        <f>VLOOKUP(B2859, 'All Menu'!B:L, 6, 0)</f>
        <v>13.793103448275863</v>
      </c>
      <c r="P2859" s="131">
        <f>VLOOKUP(B2859, 'All Menu'!B:L, 9, 0)</f>
        <v>0.76950670387486686</v>
      </c>
      <c r="Q2859" s="133">
        <f>VLOOKUP(B2859, 'All Menu'!B:M, 12, 0)</f>
        <v>0.94421076396907211</v>
      </c>
      <c r="R2859" s="173">
        <f t="shared" ref="R2859" si="149">C2859*K2859</f>
        <v>0</v>
      </c>
    </row>
    <row r="2860" spans="1:18" ht="14" hidden="1">
      <c r="A2860" s="78" t="s">
        <v>2939</v>
      </c>
      <c r="B2860" s="220" t="s">
        <v>1174</v>
      </c>
      <c r="C2860" s="185"/>
      <c r="D2860" s="110" t="s">
        <v>1807</v>
      </c>
      <c r="E2860" s="30" t="str">
        <f>VLOOKUP(B2860, 'All Menu'!B:M, 2, 0)</f>
        <v>قسم المقبلات</v>
      </c>
      <c r="F2860" s="103" t="str">
        <f>VLOOKUP(B2860, 'All Menu'!B:M, 3, 0)</f>
        <v>المقبلات سفري</v>
      </c>
      <c r="G2860" s="90" t="s">
        <v>2307</v>
      </c>
      <c r="H2860" s="219">
        <v>4284</v>
      </c>
      <c r="I2860" s="110" t="str">
        <f>VLOOKUP(H2860, 'RM &amp; SF'!B:H, 2, 0)</f>
        <v>علب سلطة بلاستيك شفاف (كرستال) دائرية متصل 500 مل*****</v>
      </c>
      <c r="J2860" s="184" t="str">
        <f>VLOOKUP(H2860, 'RM &amp; SF'!B:E, 4, 0)</f>
        <v>قطعة</v>
      </c>
      <c r="K2860" s="177">
        <v>1</v>
      </c>
      <c r="L2860" s="13">
        <f>VLOOKUP(H2860, 'RM &amp; SF'!B:H, 7, 0)</f>
        <v>6.7000000000000004E-2</v>
      </c>
      <c r="M2860" s="28">
        <f t="shared" si="147"/>
        <v>6.7000000000000004E-2</v>
      </c>
      <c r="N2860" s="26" t="s">
        <v>825</v>
      </c>
      <c r="O2860" s="26">
        <f>VLOOKUP(B2860, 'All Menu'!B:L, 6, 0)</f>
        <v>13.793103448275863</v>
      </c>
      <c r="P2860" s="131">
        <f>VLOOKUP(B2860, 'All Menu'!B:L, 9, 0)</f>
        <v>0.76950670387486686</v>
      </c>
      <c r="Q2860" s="133">
        <f>VLOOKUP(B2860, 'All Menu'!B:M, 12, 0)</f>
        <v>0.94421076396907211</v>
      </c>
      <c r="R2860" s="173">
        <f t="shared" si="145"/>
        <v>0</v>
      </c>
    </row>
    <row r="2861" spans="1:18" ht="14" hidden="1">
      <c r="A2861" s="78" t="s">
        <v>2940</v>
      </c>
      <c r="B2861" s="220" t="s">
        <v>1077</v>
      </c>
      <c r="C2861" s="185"/>
      <c r="D2861" s="110" t="s">
        <v>1692</v>
      </c>
      <c r="E2861" s="30" t="str">
        <f>VLOOKUP(B2861, 'All Menu'!B:M, 2, 0)</f>
        <v>قسم الصواني</v>
      </c>
      <c r="F2861" s="103" t="str">
        <f>VLOOKUP(B2861, 'All Menu'!B:M, 3, 0)</f>
        <v>صواني وصجيات سفري</v>
      </c>
      <c r="G2861" s="90" t="s">
        <v>3058</v>
      </c>
      <c r="H2861" s="219">
        <v>5077</v>
      </c>
      <c r="I2861" s="110" t="str">
        <f>VLOOKUP(H2861, 'RM &amp; SF'!B:H, 2, 0)</f>
        <v>نقانق عربي*****</v>
      </c>
      <c r="J2861" s="184" t="str">
        <f>VLOOKUP(H2861, 'RM &amp; SF'!B:E, 4, 0)</f>
        <v>غم</v>
      </c>
      <c r="K2861" s="177">
        <v>300</v>
      </c>
      <c r="L2861" s="13">
        <f>VLOOKUP(H2861, 'RM &amp; SF'!B:H, 7, 0)</f>
        <v>2.4172999999999998E-3</v>
      </c>
      <c r="M2861" s="28">
        <f t="shared" si="147"/>
        <v>0.72519</v>
      </c>
      <c r="N2861" s="26" t="s">
        <v>825</v>
      </c>
      <c r="O2861" s="26">
        <f>VLOOKUP(B2861, 'All Menu'!B:L, 6, 0)</f>
        <v>5.6034482758620694</v>
      </c>
      <c r="P2861" s="131">
        <f>VLOOKUP(B2861, 'All Menu'!B:L, 9, 0)</f>
        <v>1.4675020986281051</v>
      </c>
      <c r="Q2861" s="133">
        <f>VLOOKUP(B2861, 'All Menu'!B:M, 12, 0)</f>
        <v>0.73810731778329197</v>
      </c>
      <c r="R2861" s="173">
        <f t="shared" si="145"/>
        <v>0</v>
      </c>
    </row>
    <row r="2862" spans="1:18" ht="14" hidden="1">
      <c r="A2862" s="78" t="s">
        <v>2940</v>
      </c>
      <c r="B2862" s="220" t="s">
        <v>1077</v>
      </c>
      <c r="C2862" s="185"/>
      <c r="D2862" s="110" t="s">
        <v>1692</v>
      </c>
      <c r="E2862" s="30" t="str">
        <f>VLOOKUP(B2862, 'All Menu'!B:M, 2, 0)</f>
        <v>قسم الصواني</v>
      </c>
      <c r="F2862" s="103" t="str">
        <f>VLOOKUP(B2862, 'All Menu'!B:M, 3, 0)</f>
        <v>صواني وصجيات سفري</v>
      </c>
      <c r="G2862" s="90" t="s">
        <v>2233</v>
      </c>
      <c r="H2862" s="219">
        <v>4501</v>
      </c>
      <c r="I2862" s="110" t="str">
        <f>VLOOKUP(H2862, 'RM &amp; SF'!B:H, 2, 0)</f>
        <v>فلفل حلو احمر*****</v>
      </c>
      <c r="J2862" s="184" t="str">
        <f>VLOOKUP(H2862, 'RM &amp; SF'!B:E, 4, 0)</f>
        <v>غم</v>
      </c>
      <c r="K2862" s="177">
        <v>120</v>
      </c>
      <c r="L2862" s="13">
        <f>VLOOKUP(H2862, 'RM &amp; SF'!B:H, 7, 0)</f>
        <v>7.5000000000000002E-4</v>
      </c>
      <c r="M2862" s="28">
        <f t="shared" si="147"/>
        <v>0.09</v>
      </c>
      <c r="N2862" s="26" t="s">
        <v>825</v>
      </c>
      <c r="O2862" s="26">
        <f>VLOOKUP(B2862, 'All Menu'!B:L, 6, 0)</f>
        <v>5.6034482758620694</v>
      </c>
      <c r="P2862" s="131">
        <f>VLOOKUP(B2862, 'All Menu'!B:L, 9, 0)</f>
        <v>1.4675020986281051</v>
      </c>
      <c r="Q2862" s="133">
        <f>VLOOKUP(B2862, 'All Menu'!B:M, 12, 0)</f>
        <v>0.73810731778329197</v>
      </c>
      <c r="R2862" s="173">
        <f t="shared" si="145"/>
        <v>0</v>
      </c>
    </row>
    <row r="2863" spans="1:18" ht="14" hidden="1">
      <c r="A2863" s="78" t="s">
        <v>2940</v>
      </c>
      <c r="B2863" s="220" t="s">
        <v>1077</v>
      </c>
      <c r="C2863" s="185"/>
      <c r="D2863" s="110" t="s">
        <v>1692</v>
      </c>
      <c r="E2863" s="30" t="str">
        <f>VLOOKUP(B2863, 'All Menu'!B:M, 2, 0)</f>
        <v>قسم الصواني</v>
      </c>
      <c r="F2863" s="103" t="str">
        <f>VLOOKUP(B2863, 'All Menu'!B:M, 3, 0)</f>
        <v>صواني وصجيات سفري</v>
      </c>
      <c r="G2863" s="90" t="s">
        <v>2234</v>
      </c>
      <c r="H2863" s="219">
        <v>4503</v>
      </c>
      <c r="I2863" s="110" t="str">
        <f>VLOOKUP(H2863, 'RM &amp; SF'!B:H, 2, 0)</f>
        <v>بصل ناشف دفش*****</v>
      </c>
      <c r="J2863" s="184" t="str">
        <f>VLOOKUP(H2863, 'RM &amp; SF'!B:E, 4, 0)</f>
        <v>غم</v>
      </c>
      <c r="K2863" s="177">
        <v>140</v>
      </c>
      <c r="L2863" s="13">
        <f>VLOOKUP(H2863, 'RM &amp; SF'!B:H, 7, 0)</f>
        <v>2.5000000000000001E-4</v>
      </c>
      <c r="M2863" s="28">
        <f t="shared" si="147"/>
        <v>3.5000000000000003E-2</v>
      </c>
      <c r="N2863" s="26" t="s">
        <v>825</v>
      </c>
      <c r="O2863" s="26">
        <f>VLOOKUP(B2863, 'All Menu'!B:L, 6, 0)</f>
        <v>5.6034482758620694</v>
      </c>
      <c r="P2863" s="131">
        <f>VLOOKUP(B2863, 'All Menu'!B:L, 9, 0)</f>
        <v>1.4675020986281051</v>
      </c>
      <c r="Q2863" s="133">
        <f>VLOOKUP(B2863, 'All Menu'!B:M, 12, 0)</f>
        <v>0.73810731778329197</v>
      </c>
      <c r="R2863" s="173">
        <f t="shared" si="145"/>
        <v>0</v>
      </c>
    </row>
    <row r="2864" spans="1:18" ht="14" hidden="1">
      <c r="A2864" s="78" t="s">
        <v>2940</v>
      </c>
      <c r="B2864" s="220" t="s">
        <v>1077</v>
      </c>
      <c r="C2864" s="185"/>
      <c r="D2864" s="110" t="s">
        <v>1692</v>
      </c>
      <c r="E2864" s="30" t="str">
        <f>VLOOKUP(B2864, 'All Menu'!B:M, 2, 0)</f>
        <v>قسم الصواني</v>
      </c>
      <c r="F2864" s="103" t="str">
        <f>VLOOKUP(B2864, 'All Menu'!B:M, 3, 0)</f>
        <v>صواني وصجيات سفري</v>
      </c>
      <c r="G2864" s="90" t="s">
        <v>2260</v>
      </c>
      <c r="H2864" s="219">
        <v>4160</v>
      </c>
      <c r="I2864" s="110" t="str">
        <f>VLOOKUP(H2864, 'RM &amp; SF'!B:H, 2, 0)</f>
        <v>زيت صويا 18 لتر*****</v>
      </c>
      <c r="J2864" s="184" t="str">
        <f>VLOOKUP(H2864, 'RM &amp; SF'!B:E, 4, 0)</f>
        <v>مل</v>
      </c>
      <c r="K2864" s="177">
        <v>60</v>
      </c>
      <c r="L2864" s="13">
        <f>VLOOKUP(H2864, 'RM &amp; SF'!B:H, 7, 0)</f>
        <v>1.335E-3</v>
      </c>
      <c r="M2864" s="28">
        <f t="shared" si="147"/>
        <v>8.0100000000000005E-2</v>
      </c>
      <c r="N2864" s="26" t="s">
        <v>825</v>
      </c>
      <c r="O2864" s="26">
        <f>VLOOKUP(B2864, 'All Menu'!B:L, 6, 0)</f>
        <v>5.6034482758620694</v>
      </c>
      <c r="P2864" s="131">
        <f>VLOOKUP(B2864, 'All Menu'!B:L, 9, 0)</f>
        <v>1.4675020986281051</v>
      </c>
      <c r="Q2864" s="133">
        <f>VLOOKUP(B2864, 'All Menu'!B:M, 12, 0)</f>
        <v>0.73810731778329197</v>
      </c>
      <c r="R2864" s="173">
        <f t="shared" si="145"/>
        <v>0</v>
      </c>
    </row>
    <row r="2865" spans="1:18" ht="14" hidden="1">
      <c r="A2865" s="78" t="s">
        <v>2940</v>
      </c>
      <c r="B2865" s="220" t="s">
        <v>1077</v>
      </c>
      <c r="C2865" s="185"/>
      <c r="D2865" s="110" t="s">
        <v>1692</v>
      </c>
      <c r="E2865" s="30" t="str">
        <f>VLOOKUP(B2865, 'All Menu'!B:M, 2, 0)</f>
        <v>قسم الصواني</v>
      </c>
      <c r="F2865" s="103" t="str">
        <f>VLOOKUP(B2865, 'All Menu'!B:M, 3, 0)</f>
        <v>صواني وصجيات سفري</v>
      </c>
      <c r="G2865" s="90" t="s">
        <v>2251</v>
      </c>
      <c r="H2865" s="219">
        <v>4544</v>
      </c>
      <c r="I2865" s="110" t="str">
        <f>VLOOKUP(H2865, 'RM &amp; SF'!B:H, 2, 0)</f>
        <v>بقدونس*****</v>
      </c>
      <c r="J2865" s="184" t="str">
        <f>VLOOKUP(H2865, 'RM &amp; SF'!B:E, 4, 0)</f>
        <v>غم</v>
      </c>
      <c r="K2865" s="12">
        <v>10</v>
      </c>
      <c r="L2865" s="13">
        <f>VLOOKUP(H2865, 'RM &amp; SF'!B:H, 7, 0)</f>
        <v>7.5000000000000002E-4</v>
      </c>
      <c r="M2865" s="28">
        <f t="shared" si="147"/>
        <v>7.4999999999999997E-3</v>
      </c>
      <c r="N2865" s="26" t="s">
        <v>825</v>
      </c>
      <c r="O2865" s="26">
        <f>VLOOKUP(B2865, 'All Menu'!B:L, 6, 0)</f>
        <v>5.6034482758620694</v>
      </c>
      <c r="P2865" s="131">
        <f>VLOOKUP(B2865, 'All Menu'!B:L, 9, 0)</f>
        <v>1.4675020986281051</v>
      </c>
      <c r="Q2865" s="133">
        <f>VLOOKUP(B2865, 'All Menu'!B:M, 12, 0)</f>
        <v>0.73810731778329197</v>
      </c>
      <c r="R2865" s="173">
        <f t="shared" si="145"/>
        <v>0</v>
      </c>
    </row>
    <row r="2866" spans="1:18" ht="14" hidden="1">
      <c r="A2866" s="78" t="s">
        <v>2940</v>
      </c>
      <c r="B2866" s="220" t="s">
        <v>1077</v>
      </c>
      <c r="C2866" s="185"/>
      <c r="D2866" s="110" t="s">
        <v>1692</v>
      </c>
      <c r="E2866" s="30" t="str">
        <f>VLOOKUP(B2866, 'All Menu'!B:M, 2, 0)</f>
        <v>قسم الصواني</v>
      </c>
      <c r="F2866" s="103" t="str">
        <f>VLOOKUP(B2866, 'All Menu'!B:M, 3, 0)</f>
        <v>صواني وصجيات سفري</v>
      </c>
      <c r="G2866" s="90" t="s">
        <v>2203</v>
      </c>
      <c r="H2866" s="219">
        <v>4152</v>
      </c>
      <c r="I2866" s="110" t="str">
        <f>VLOOKUP(H2866, 'RM &amp; SF'!B:H, 2, 0)</f>
        <v>ملح طعام 750غم*****</v>
      </c>
      <c r="J2866" s="184" t="str">
        <f>VLOOKUP(H2866, 'RM &amp; SF'!B:E, 4, 0)</f>
        <v>غم</v>
      </c>
      <c r="K2866" s="177">
        <v>10</v>
      </c>
      <c r="L2866" s="13">
        <f>VLOOKUP(H2866, 'RM &amp; SF'!B:H, 7, 0)</f>
        <v>1.7066666666666665E-4</v>
      </c>
      <c r="M2866" s="28">
        <f t="shared" si="147"/>
        <v>1.7066666666666664E-3</v>
      </c>
      <c r="N2866" s="26" t="s">
        <v>825</v>
      </c>
      <c r="O2866" s="26">
        <f>VLOOKUP(B2866, 'All Menu'!B:L, 6, 0)</f>
        <v>5.6034482758620694</v>
      </c>
      <c r="P2866" s="131">
        <f>VLOOKUP(B2866, 'All Menu'!B:L, 9, 0)</f>
        <v>1.4675020986281051</v>
      </c>
      <c r="Q2866" s="133">
        <f>VLOOKUP(B2866, 'All Menu'!B:M, 12, 0)</f>
        <v>0.73810731778329197</v>
      </c>
      <c r="R2866" s="173">
        <f t="shared" si="145"/>
        <v>0</v>
      </c>
    </row>
    <row r="2867" spans="1:18" ht="14" hidden="1">
      <c r="A2867" s="78" t="s">
        <v>2940</v>
      </c>
      <c r="B2867" s="220" t="s">
        <v>1077</v>
      </c>
      <c r="C2867" s="185"/>
      <c r="D2867" s="110" t="s">
        <v>1692</v>
      </c>
      <c r="E2867" s="30" t="str">
        <f>VLOOKUP(B2867, 'All Menu'!B:M, 2, 0)</f>
        <v>قسم الصواني</v>
      </c>
      <c r="F2867" s="103" t="str">
        <f>VLOOKUP(B2867, 'All Menu'!B:M, 3, 0)</f>
        <v>صواني وصجيات سفري</v>
      </c>
      <c r="G2867" s="90" t="s">
        <v>2206</v>
      </c>
      <c r="H2867" s="219">
        <v>4204</v>
      </c>
      <c r="I2867" s="110" t="str">
        <f>VLOOKUP(H2867, 'RM &amp; SF'!B:H, 2, 0)</f>
        <v>فلفل اسود ناعم*****</v>
      </c>
      <c r="J2867" s="184" t="str">
        <f>VLOOKUP(H2867, 'RM &amp; SF'!B:E, 4, 0)</f>
        <v>غم</v>
      </c>
      <c r="K2867" s="177">
        <v>8</v>
      </c>
      <c r="L2867" s="13">
        <f>VLOOKUP(H2867, 'RM &amp; SF'!B:H, 7, 0)</f>
        <v>6.8970000000000004E-3</v>
      </c>
      <c r="M2867" s="28">
        <f t="shared" si="147"/>
        <v>5.5176000000000003E-2</v>
      </c>
      <c r="N2867" s="26" t="s">
        <v>825</v>
      </c>
      <c r="O2867" s="26">
        <f>VLOOKUP(B2867, 'All Menu'!B:L, 6, 0)</f>
        <v>5.6034482758620694</v>
      </c>
      <c r="P2867" s="131">
        <f>VLOOKUP(B2867, 'All Menu'!B:L, 9, 0)</f>
        <v>1.4675020986281051</v>
      </c>
      <c r="Q2867" s="133">
        <f>VLOOKUP(B2867, 'All Menu'!B:M, 12, 0)</f>
        <v>0.73810731778329197</v>
      </c>
      <c r="R2867" s="173">
        <f t="shared" si="145"/>
        <v>0</v>
      </c>
    </row>
    <row r="2868" spans="1:18" ht="14" hidden="1">
      <c r="A2868" s="78" t="s">
        <v>2940</v>
      </c>
      <c r="B2868" s="220" t="s">
        <v>1077</v>
      </c>
      <c r="C2868" s="185"/>
      <c r="D2868" s="110" t="s">
        <v>1692</v>
      </c>
      <c r="E2868" s="30" t="str">
        <f>VLOOKUP(B2868, 'All Menu'!B:M, 2, 0)</f>
        <v>قسم الصواني</v>
      </c>
      <c r="F2868" s="103" t="str">
        <f>VLOOKUP(B2868, 'All Menu'!B:M, 3, 0)</f>
        <v>صواني وصجيات سفري</v>
      </c>
      <c r="G2868" s="90" t="s">
        <v>2223</v>
      </c>
      <c r="H2868" s="219">
        <v>4241</v>
      </c>
      <c r="I2868" s="110" t="str">
        <f>VLOOKUP(H2868, 'RM &amp; SF'!B:H, 2, 0)</f>
        <v>بهارات كيجن عادي*****</v>
      </c>
      <c r="J2868" s="184" t="str">
        <f>VLOOKUP(H2868, 'RM &amp; SF'!B:E, 4, 0)</f>
        <v>غم</v>
      </c>
      <c r="K2868" s="177">
        <v>6</v>
      </c>
      <c r="L2868" s="13">
        <f>VLOOKUP(H2868, 'RM &amp; SF'!B:H, 7, 0)</f>
        <v>3.8790000000000001E-3</v>
      </c>
      <c r="M2868" s="28">
        <f t="shared" si="147"/>
        <v>2.3274E-2</v>
      </c>
      <c r="N2868" s="26" t="s">
        <v>825</v>
      </c>
      <c r="O2868" s="26">
        <f>VLOOKUP(B2868, 'All Menu'!B:L, 6, 0)</f>
        <v>5.6034482758620694</v>
      </c>
      <c r="P2868" s="131">
        <f>VLOOKUP(B2868, 'All Menu'!B:L, 9, 0)</f>
        <v>1.4675020986281051</v>
      </c>
      <c r="Q2868" s="133">
        <f>VLOOKUP(B2868, 'All Menu'!B:M, 12, 0)</f>
        <v>0.73810731778329197</v>
      </c>
      <c r="R2868" s="173">
        <f t="shared" si="145"/>
        <v>0</v>
      </c>
    </row>
    <row r="2869" spans="1:18" ht="15.5" hidden="1">
      <c r="A2869" s="78" t="s">
        <v>2940</v>
      </c>
      <c r="B2869" s="220" t="s">
        <v>1077</v>
      </c>
      <c r="C2869" s="185"/>
      <c r="D2869" s="110" t="s">
        <v>1692</v>
      </c>
      <c r="E2869" s="30" t="str">
        <f>VLOOKUP(B2869, 'All Menu'!B:M, 2, 0)</f>
        <v>قسم الصواني</v>
      </c>
      <c r="F2869" s="103" t="str">
        <f>VLOOKUP(B2869, 'All Menu'!B:M, 3, 0)</f>
        <v>صواني وصجيات سفري</v>
      </c>
      <c r="G2869" s="90" t="s">
        <v>2321</v>
      </c>
      <c r="H2869" s="67">
        <v>5292</v>
      </c>
      <c r="I2869" s="110" t="str">
        <f>VLOOKUP(H2869, 'RM &amp; SF'!B:H, 2, 0)</f>
        <v>ثوم مقشر*****</v>
      </c>
      <c r="J2869" s="184" t="str">
        <f>VLOOKUP(H2869, 'RM &amp; SF'!B:E, 4, 0)</f>
        <v>غم</v>
      </c>
      <c r="K2869" s="177">
        <v>6</v>
      </c>
      <c r="L2869" s="13">
        <f>VLOOKUP(H2869, 'RM &amp; SF'!B:H, 7, 0)</f>
        <v>4.4999999999999997E-3</v>
      </c>
      <c r="M2869" s="28">
        <f t="shared" si="147"/>
        <v>2.6999999999999996E-2</v>
      </c>
      <c r="N2869" s="26" t="s">
        <v>825</v>
      </c>
      <c r="O2869" s="26">
        <f>VLOOKUP(B2869, 'All Menu'!B:L, 6, 0)</f>
        <v>5.6034482758620694</v>
      </c>
      <c r="P2869" s="131">
        <f>VLOOKUP(B2869, 'All Menu'!B:L, 9, 0)</f>
        <v>1.4675020986281051</v>
      </c>
      <c r="Q2869" s="133">
        <f>VLOOKUP(B2869, 'All Menu'!B:M, 12, 0)</f>
        <v>0.73810731778329197</v>
      </c>
      <c r="R2869" s="173">
        <f t="shared" si="145"/>
        <v>0</v>
      </c>
    </row>
    <row r="2870" spans="1:18" ht="14" hidden="1">
      <c r="A2870" s="78" t="s">
        <v>2940</v>
      </c>
      <c r="B2870" s="220" t="s">
        <v>1077</v>
      </c>
      <c r="C2870" s="185"/>
      <c r="D2870" s="110" t="s">
        <v>1692</v>
      </c>
      <c r="E2870" s="30" t="str">
        <f>VLOOKUP(B2870, 'All Menu'!B:M, 2, 0)</f>
        <v>قسم الصواني</v>
      </c>
      <c r="F2870" s="103" t="str">
        <f>VLOOKUP(B2870, 'All Menu'!B:M, 3, 0)</f>
        <v>صواني وصجيات سفري</v>
      </c>
      <c r="G2870" s="90" t="s">
        <v>2231</v>
      </c>
      <c r="H2870" s="219">
        <v>4499</v>
      </c>
      <c r="I2870" s="110" t="str">
        <f>VLOOKUP(H2870, 'RM &amp; SF'!B:H, 2, 0)</f>
        <v>فلفل حار اخضر*****</v>
      </c>
      <c r="J2870" s="184" t="str">
        <f>VLOOKUP(H2870, 'RM &amp; SF'!B:E, 4, 0)</f>
        <v>غم</v>
      </c>
      <c r="K2870" s="177">
        <v>40</v>
      </c>
      <c r="L2870" s="13">
        <f>VLOOKUP(H2870, 'RM &amp; SF'!B:H, 7, 0)</f>
        <v>5.0000000000000001E-4</v>
      </c>
      <c r="M2870" s="28">
        <f t="shared" si="147"/>
        <v>0.02</v>
      </c>
      <c r="N2870" s="26" t="s">
        <v>825</v>
      </c>
      <c r="O2870" s="26">
        <f>VLOOKUP(B2870, 'All Menu'!B:L, 6, 0)</f>
        <v>5.6034482758620694</v>
      </c>
      <c r="P2870" s="131">
        <f>VLOOKUP(B2870, 'All Menu'!B:L, 9, 0)</f>
        <v>1.4675020986281051</v>
      </c>
      <c r="Q2870" s="133">
        <f>VLOOKUP(B2870, 'All Menu'!B:M, 12, 0)</f>
        <v>0.73810731778329197</v>
      </c>
      <c r="R2870" s="173">
        <f t="shared" si="145"/>
        <v>0</v>
      </c>
    </row>
    <row r="2871" spans="1:18" ht="14" hidden="1">
      <c r="A2871" s="78" t="s">
        <v>2940</v>
      </c>
      <c r="B2871" s="220" t="s">
        <v>1077</v>
      </c>
      <c r="C2871" s="185"/>
      <c r="D2871" s="110" t="s">
        <v>1692</v>
      </c>
      <c r="E2871" s="30" t="str">
        <f>VLOOKUP(B2871, 'All Menu'!B:M, 2, 0)</f>
        <v>قسم الصواني</v>
      </c>
      <c r="F2871" s="103" t="str">
        <f>VLOOKUP(B2871, 'All Menu'!B:M, 3, 0)</f>
        <v>صواني وصجيات سفري</v>
      </c>
      <c r="G2871" s="90" t="s">
        <v>2331</v>
      </c>
      <c r="H2871" s="219" t="s">
        <v>530</v>
      </c>
      <c r="I2871" s="110" t="str">
        <f>VLOOKUP(H2871, 'RM &amp; SF'!B:H, 2, 0)</f>
        <v>خبز صاج</v>
      </c>
      <c r="J2871" s="184" t="str">
        <f>VLOOKUP(H2871, 'RM &amp; SF'!B:E, 4, 0)</f>
        <v>غم</v>
      </c>
      <c r="K2871" s="177">
        <v>200</v>
      </c>
      <c r="L2871" s="13">
        <f>VLOOKUP(H2871, 'RM &amp; SF'!B:H, 7, 0)</f>
        <v>1.8806451612903227E-4</v>
      </c>
      <c r="M2871" s="28">
        <f t="shared" si="147"/>
        <v>3.7612903225806453E-2</v>
      </c>
      <c r="N2871" s="26" t="s">
        <v>825</v>
      </c>
      <c r="O2871" s="26">
        <f>VLOOKUP(B2871, 'All Menu'!B:L, 6, 0)</f>
        <v>5.6034482758620694</v>
      </c>
      <c r="P2871" s="131">
        <f>VLOOKUP(B2871, 'All Menu'!B:L, 9, 0)</f>
        <v>1.4675020986281051</v>
      </c>
      <c r="Q2871" s="133">
        <f>VLOOKUP(B2871, 'All Menu'!B:M, 12, 0)</f>
        <v>0.73810731778329197</v>
      </c>
      <c r="R2871" s="173">
        <f t="shared" si="145"/>
        <v>0</v>
      </c>
    </row>
    <row r="2872" spans="1:18" ht="14" hidden="1">
      <c r="A2872" s="78" t="s">
        <v>2940</v>
      </c>
      <c r="B2872" s="220" t="s">
        <v>1077</v>
      </c>
      <c r="C2872" s="185"/>
      <c r="D2872" s="110" t="s">
        <v>1692</v>
      </c>
      <c r="E2872" s="30" t="str">
        <f>VLOOKUP(B2872, 'All Menu'!B:M, 2, 0)</f>
        <v>قسم الصواني</v>
      </c>
      <c r="F2872" s="103" t="str">
        <f>VLOOKUP(B2872, 'All Menu'!B:M, 3, 0)</f>
        <v>صواني وصجيات سفري</v>
      </c>
      <c r="G2872" s="90" t="s">
        <v>3058</v>
      </c>
      <c r="H2872" s="219">
        <v>5424</v>
      </c>
      <c r="I2872" s="110" t="str">
        <f>VLOOKUP(H2872, 'RM &amp; SF'!B:H, 2, 0)</f>
        <v>علب قصدير مدور 1/2 كغ RZ 25*****</v>
      </c>
      <c r="J2872" s="184" t="str">
        <f>VLOOKUP(H2872, 'RM &amp; SF'!B:E, 4, 0)</f>
        <v>قطعة</v>
      </c>
      <c r="K2872" s="177">
        <v>1</v>
      </c>
      <c r="L2872" s="13">
        <f>VLOOKUP(H2872, 'RM &amp; SF'!B:H, 7, 0)</f>
        <v>0.1149425287356322</v>
      </c>
      <c r="M2872" s="28">
        <f t="shared" si="147"/>
        <v>0.1149425287356322</v>
      </c>
      <c r="N2872" s="26" t="s">
        <v>825</v>
      </c>
      <c r="O2872" s="26">
        <f>VLOOKUP(B2872, 'All Menu'!B:L, 6, 0)</f>
        <v>5.6034482758620694</v>
      </c>
      <c r="P2872" s="131">
        <f>VLOOKUP(B2872, 'All Menu'!B:L, 9, 0)</f>
        <v>1.4675020986281051</v>
      </c>
      <c r="Q2872" s="133">
        <f>VLOOKUP(B2872, 'All Menu'!B:M, 12, 0)</f>
        <v>0.73810731778329197</v>
      </c>
      <c r="R2872" s="173">
        <f t="shared" si="145"/>
        <v>0</v>
      </c>
    </row>
    <row r="2873" spans="1:18" ht="14" hidden="1">
      <c r="A2873" s="78" t="s">
        <v>2940</v>
      </c>
      <c r="B2873" s="220" t="s">
        <v>1077</v>
      </c>
      <c r="C2873" s="185"/>
      <c r="D2873" s="110" t="s">
        <v>1692</v>
      </c>
      <c r="E2873" s="30" t="str">
        <f>VLOOKUP(B2873, 'All Menu'!B:M, 2, 0)</f>
        <v>قسم الصواني</v>
      </c>
      <c r="F2873" s="103" t="str">
        <f>VLOOKUP(B2873, 'All Menu'!B:M, 3, 0)</f>
        <v>صواني وصجيات سفري</v>
      </c>
      <c r="G2873" s="90" t="s">
        <v>3058</v>
      </c>
      <c r="H2873" s="219">
        <v>4274</v>
      </c>
      <c r="I2873" s="110" t="str">
        <f>VLOOKUP(H2873, 'RM &amp; SF'!B:H, 2, 0)</f>
        <v>علب المركزية مطبوع + قاطع رقم 1 1*100 حبة*****</v>
      </c>
      <c r="J2873" s="184" t="str">
        <f>VLOOKUP(H2873, 'RM &amp; SF'!B:E, 4, 0)</f>
        <v>قطعة</v>
      </c>
      <c r="K2873" s="177">
        <v>1</v>
      </c>
      <c r="L2873" s="13">
        <f>VLOOKUP(H2873, 'RM &amp; SF'!B:H, 7, 0)</f>
        <v>0.25</v>
      </c>
      <c r="M2873" s="28">
        <f t="shared" si="147"/>
        <v>0.25</v>
      </c>
      <c r="N2873" s="26" t="s">
        <v>825</v>
      </c>
      <c r="O2873" s="26">
        <f>VLOOKUP(B2873, 'All Menu'!B:L, 6, 0)</f>
        <v>5.6034482758620694</v>
      </c>
      <c r="P2873" s="131">
        <f>VLOOKUP(B2873, 'All Menu'!B:L, 9, 0)</f>
        <v>1.4675020986281051</v>
      </c>
      <c r="Q2873" s="133">
        <f>VLOOKUP(B2873, 'All Menu'!B:M, 12, 0)</f>
        <v>0.73810731778329197</v>
      </c>
      <c r="R2873" s="173">
        <f t="shared" si="145"/>
        <v>0</v>
      </c>
    </row>
    <row r="2874" spans="1:18" ht="14" hidden="1">
      <c r="A2874" s="78" t="s">
        <v>2941</v>
      </c>
      <c r="B2874" s="220" t="s">
        <v>1078</v>
      </c>
      <c r="C2874" s="185"/>
      <c r="D2874" s="110" t="s">
        <v>1737</v>
      </c>
      <c r="E2874" s="30" t="str">
        <f>VLOOKUP(B2874, 'All Menu'!B:M, 2, 0)</f>
        <v>قسم الصواني</v>
      </c>
      <c r="F2874" s="103" t="str">
        <f>VLOOKUP(B2874, 'All Menu'!B:M, 3, 0)</f>
        <v>صواني وصجيات سفري</v>
      </c>
      <c r="G2874" s="90" t="s">
        <v>3058</v>
      </c>
      <c r="H2874" s="219">
        <v>5077</v>
      </c>
      <c r="I2874" s="110" t="str">
        <f>VLOOKUP(H2874, 'RM &amp; SF'!B:H, 2, 0)</f>
        <v>نقانق عربي*****</v>
      </c>
      <c r="J2874" s="184" t="str">
        <f>VLOOKUP(H2874, 'RM &amp; SF'!B:E, 4, 0)</f>
        <v>غم</v>
      </c>
      <c r="K2874" s="177">
        <v>600</v>
      </c>
      <c r="L2874" s="13">
        <f>VLOOKUP(H2874, 'RM &amp; SF'!B:H, 7, 0)</f>
        <v>2.4172999999999998E-3</v>
      </c>
      <c r="M2874" s="28">
        <f t="shared" si="147"/>
        <v>1.45038</v>
      </c>
      <c r="N2874" s="26" t="s">
        <v>825</v>
      </c>
      <c r="O2874" s="26">
        <f>VLOOKUP(B2874, 'All Menu'!B:L, 6, 0)</f>
        <v>10.344827586206897</v>
      </c>
      <c r="P2874" s="131">
        <f>VLOOKUP(B2874, 'All Menu'!B:L, 9, 0)</f>
        <v>2.5329647652947718</v>
      </c>
      <c r="Q2874" s="133">
        <f>VLOOKUP(B2874, 'All Menu'!B:M, 12, 0)</f>
        <v>0.75514673935483878</v>
      </c>
      <c r="R2874" s="173">
        <f t="shared" si="145"/>
        <v>0</v>
      </c>
    </row>
    <row r="2875" spans="1:18" ht="14" hidden="1">
      <c r="A2875" s="78" t="s">
        <v>2941</v>
      </c>
      <c r="B2875" s="220" t="s">
        <v>1078</v>
      </c>
      <c r="C2875" s="185"/>
      <c r="D2875" s="110" t="s">
        <v>1737</v>
      </c>
      <c r="E2875" s="30" t="str">
        <f>VLOOKUP(B2875, 'All Menu'!B:M, 2, 0)</f>
        <v>قسم الصواني</v>
      </c>
      <c r="F2875" s="103" t="str">
        <f>VLOOKUP(B2875, 'All Menu'!B:M, 3, 0)</f>
        <v>صواني وصجيات سفري</v>
      </c>
      <c r="G2875" s="90" t="s">
        <v>2233</v>
      </c>
      <c r="H2875" s="219">
        <v>4501</v>
      </c>
      <c r="I2875" s="110" t="str">
        <f>VLOOKUP(H2875, 'RM &amp; SF'!B:H, 2, 0)</f>
        <v>فلفل حلو احمر*****</v>
      </c>
      <c r="J2875" s="184" t="str">
        <f>VLOOKUP(H2875, 'RM &amp; SF'!B:E, 4, 0)</f>
        <v>غم</v>
      </c>
      <c r="K2875" s="177">
        <v>240</v>
      </c>
      <c r="L2875" s="13">
        <f>VLOOKUP(H2875, 'RM &amp; SF'!B:H, 7, 0)</f>
        <v>7.5000000000000002E-4</v>
      </c>
      <c r="M2875" s="28">
        <f t="shared" si="147"/>
        <v>0.18</v>
      </c>
      <c r="N2875" s="26" t="s">
        <v>825</v>
      </c>
      <c r="O2875" s="26">
        <f>VLOOKUP(B2875, 'All Menu'!B:L, 6, 0)</f>
        <v>10.344827586206897</v>
      </c>
      <c r="P2875" s="131">
        <f>VLOOKUP(B2875, 'All Menu'!B:L, 9, 0)</f>
        <v>2.5329647652947718</v>
      </c>
      <c r="Q2875" s="133">
        <f>VLOOKUP(B2875, 'All Menu'!B:M, 12, 0)</f>
        <v>0.75514673935483878</v>
      </c>
      <c r="R2875" s="173">
        <f t="shared" si="145"/>
        <v>0</v>
      </c>
    </row>
    <row r="2876" spans="1:18" ht="14" hidden="1">
      <c r="A2876" s="78" t="s">
        <v>2941</v>
      </c>
      <c r="B2876" s="220" t="s">
        <v>1078</v>
      </c>
      <c r="C2876" s="185"/>
      <c r="D2876" s="110" t="s">
        <v>1737</v>
      </c>
      <c r="E2876" s="30" t="str">
        <f>VLOOKUP(B2876, 'All Menu'!B:M, 2, 0)</f>
        <v>قسم الصواني</v>
      </c>
      <c r="F2876" s="103" t="str">
        <f>VLOOKUP(B2876, 'All Menu'!B:M, 3, 0)</f>
        <v>صواني وصجيات سفري</v>
      </c>
      <c r="G2876" s="90" t="s">
        <v>2234</v>
      </c>
      <c r="H2876" s="219">
        <v>4503</v>
      </c>
      <c r="I2876" s="110" t="str">
        <f>VLOOKUP(H2876, 'RM &amp; SF'!B:H, 2, 0)</f>
        <v>بصل ناشف دفش*****</v>
      </c>
      <c r="J2876" s="184" t="str">
        <f>VLOOKUP(H2876, 'RM &amp; SF'!B:E, 4, 0)</f>
        <v>غم</v>
      </c>
      <c r="K2876" s="177">
        <v>280</v>
      </c>
      <c r="L2876" s="13">
        <f>VLOOKUP(H2876, 'RM &amp; SF'!B:H, 7, 0)</f>
        <v>2.5000000000000001E-4</v>
      </c>
      <c r="M2876" s="28">
        <f t="shared" si="147"/>
        <v>7.0000000000000007E-2</v>
      </c>
      <c r="N2876" s="26" t="s">
        <v>825</v>
      </c>
      <c r="O2876" s="26">
        <f>VLOOKUP(B2876, 'All Menu'!B:L, 6, 0)</f>
        <v>10.344827586206897</v>
      </c>
      <c r="P2876" s="131">
        <f>VLOOKUP(B2876, 'All Menu'!B:L, 9, 0)</f>
        <v>2.5329647652947718</v>
      </c>
      <c r="Q2876" s="133">
        <f>VLOOKUP(B2876, 'All Menu'!B:M, 12, 0)</f>
        <v>0.75514673935483878</v>
      </c>
      <c r="R2876" s="173">
        <f t="shared" si="145"/>
        <v>0</v>
      </c>
    </row>
    <row r="2877" spans="1:18" ht="14" hidden="1">
      <c r="A2877" s="78" t="s">
        <v>2941</v>
      </c>
      <c r="B2877" s="220" t="s">
        <v>1078</v>
      </c>
      <c r="C2877" s="185"/>
      <c r="D2877" s="110" t="s">
        <v>1737</v>
      </c>
      <c r="E2877" s="30" t="str">
        <f>VLOOKUP(B2877, 'All Menu'!B:M, 2, 0)</f>
        <v>قسم الصواني</v>
      </c>
      <c r="F2877" s="103" t="str">
        <f>VLOOKUP(B2877, 'All Menu'!B:M, 3, 0)</f>
        <v>صواني وصجيات سفري</v>
      </c>
      <c r="G2877" s="90" t="s">
        <v>2260</v>
      </c>
      <c r="H2877" s="219">
        <v>4160</v>
      </c>
      <c r="I2877" s="110" t="str">
        <f>VLOOKUP(H2877, 'RM &amp; SF'!B:H, 2, 0)</f>
        <v>زيت صويا 18 لتر*****</v>
      </c>
      <c r="J2877" s="184" t="str">
        <f>VLOOKUP(H2877, 'RM &amp; SF'!B:E, 4, 0)</f>
        <v>مل</v>
      </c>
      <c r="K2877" s="177">
        <v>120</v>
      </c>
      <c r="L2877" s="13">
        <f>VLOOKUP(H2877, 'RM &amp; SF'!B:H, 7, 0)</f>
        <v>1.335E-3</v>
      </c>
      <c r="M2877" s="28">
        <f t="shared" si="147"/>
        <v>0.16020000000000001</v>
      </c>
      <c r="N2877" s="26" t="s">
        <v>825</v>
      </c>
      <c r="O2877" s="26">
        <f>VLOOKUP(B2877, 'All Menu'!B:L, 6, 0)</f>
        <v>10.344827586206897</v>
      </c>
      <c r="P2877" s="131">
        <f>VLOOKUP(B2877, 'All Menu'!B:L, 9, 0)</f>
        <v>2.5329647652947718</v>
      </c>
      <c r="Q2877" s="133">
        <f>VLOOKUP(B2877, 'All Menu'!B:M, 12, 0)</f>
        <v>0.75514673935483878</v>
      </c>
      <c r="R2877" s="173">
        <f t="shared" si="145"/>
        <v>0</v>
      </c>
    </row>
    <row r="2878" spans="1:18" ht="14" hidden="1">
      <c r="A2878" s="78" t="s">
        <v>2941</v>
      </c>
      <c r="B2878" s="220" t="s">
        <v>1078</v>
      </c>
      <c r="C2878" s="185"/>
      <c r="D2878" s="110" t="s">
        <v>1737</v>
      </c>
      <c r="E2878" s="30" t="str">
        <f>VLOOKUP(B2878, 'All Menu'!B:M, 2, 0)</f>
        <v>قسم الصواني</v>
      </c>
      <c r="F2878" s="103" t="str">
        <f>VLOOKUP(B2878, 'All Menu'!B:M, 3, 0)</f>
        <v>صواني وصجيات سفري</v>
      </c>
      <c r="G2878" s="90" t="s">
        <v>2251</v>
      </c>
      <c r="H2878" s="219">
        <v>4544</v>
      </c>
      <c r="I2878" s="110" t="str">
        <f>VLOOKUP(H2878, 'RM &amp; SF'!B:H, 2, 0)</f>
        <v>بقدونس*****</v>
      </c>
      <c r="J2878" s="184" t="str">
        <f>VLOOKUP(H2878, 'RM &amp; SF'!B:E, 4, 0)</f>
        <v>غم</v>
      </c>
      <c r="K2878" s="78">
        <v>20</v>
      </c>
      <c r="L2878" s="13">
        <f>VLOOKUP(H2878, 'RM &amp; SF'!B:H, 7, 0)</f>
        <v>7.5000000000000002E-4</v>
      </c>
      <c r="M2878" s="28">
        <f t="shared" si="147"/>
        <v>1.4999999999999999E-2</v>
      </c>
      <c r="N2878" s="26" t="s">
        <v>825</v>
      </c>
      <c r="O2878" s="26">
        <f>VLOOKUP(B2878, 'All Menu'!B:L, 6, 0)</f>
        <v>10.344827586206897</v>
      </c>
      <c r="P2878" s="131">
        <f>VLOOKUP(B2878, 'All Menu'!B:L, 9, 0)</f>
        <v>2.5329647652947718</v>
      </c>
      <c r="Q2878" s="133">
        <f>VLOOKUP(B2878, 'All Menu'!B:M, 12, 0)</f>
        <v>0.75514673935483878</v>
      </c>
      <c r="R2878" s="173">
        <f t="shared" si="145"/>
        <v>0</v>
      </c>
    </row>
    <row r="2879" spans="1:18" ht="14" hidden="1">
      <c r="A2879" s="78" t="s">
        <v>2941</v>
      </c>
      <c r="B2879" s="220" t="s">
        <v>1078</v>
      </c>
      <c r="C2879" s="185"/>
      <c r="D2879" s="110" t="s">
        <v>1737</v>
      </c>
      <c r="E2879" s="30" t="str">
        <f>VLOOKUP(B2879, 'All Menu'!B:M, 2, 0)</f>
        <v>قسم الصواني</v>
      </c>
      <c r="F2879" s="103" t="str">
        <f>VLOOKUP(B2879, 'All Menu'!B:M, 3, 0)</f>
        <v>صواني وصجيات سفري</v>
      </c>
      <c r="G2879" s="90" t="s">
        <v>2203</v>
      </c>
      <c r="H2879" s="219">
        <v>4152</v>
      </c>
      <c r="I2879" s="110" t="str">
        <f>VLOOKUP(H2879, 'RM &amp; SF'!B:H, 2, 0)</f>
        <v>ملح طعام 750غم*****</v>
      </c>
      <c r="J2879" s="184" t="str">
        <f>VLOOKUP(H2879, 'RM &amp; SF'!B:E, 4, 0)</f>
        <v>غم</v>
      </c>
      <c r="K2879" s="177">
        <v>20</v>
      </c>
      <c r="L2879" s="13">
        <f>VLOOKUP(H2879, 'RM &amp; SF'!B:H, 7, 0)</f>
        <v>1.7066666666666665E-4</v>
      </c>
      <c r="M2879" s="28">
        <f t="shared" si="147"/>
        <v>3.4133333333333329E-3</v>
      </c>
      <c r="N2879" s="26" t="s">
        <v>825</v>
      </c>
      <c r="O2879" s="26">
        <f>VLOOKUP(B2879, 'All Menu'!B:L, 6, 0)</f>
        <v>10.344827586206897</v>
      </c>
      <c r="P2879" s="131">
        <f>VLOOKUP(B2879, 'All Menu'!B:L, 9, 0)</f>
        <v>2.5329647652947718</v>
      </c>
      <c r="Q2879" s="133">
        <f>VLOOKUP(B2879, 'All Menu'!B:M, 12, 0)</f>
        <v>0.75514673935483878</v>
      </c>
      <c r="R2879" s="173">
        <f t="shared" si="145"/>
        <v>0</v>
      </c>
    </row>
    <row r="2880" spans="1:18" ht="14" hidden="1">
      <c r="A2880" s="78" t="s">
        <v>2941</v>
      </c>
      <c r="B2880" s="220" t="s">
        <v>1078</v>
      </c>
      <c r="C2880" s="185"/>
      <c r="D2880" s="110" t="s">
        <v>1737</v>
      </c>
      <c r="E2880" s="30" t="str">
        <f>VLOOKUP(B2880, 'All Menu'!B:M, 2, 0)</f>
        <v>قسم الصواني</v>
      </c>
      <c r="F2880" s="103" t="str">
        <f>VLOOKUP(B2880, 'All Menu'!B:M, 3, 0)</f>
        <v>صواني وصجيات سفري</v>
      </c>
      <c r="G2880" s="90" t="s">
        <v>2206</v>
      </c>
      <c r="H2880" s="219">
        <v>4204</v>
      </c>
      <c r="I2880" s="110" t="str">
        <f>VLOOKUP(H2880, 'RM &amp; SF'!B:H, 2, 0)</f>
        <v>فلفل اسود ناعم*****</v>
      </c>
      <c r="J2880" s="184" t="str">
        <f>VLOOKUP(H2880, 'RM &amp; SF'!B:E, 4, 0)</f>
        <v>غم</v>
      </c>
      <c r="K2880" s="177">
        <v>16</v>
      </c>
      <c r="L2880" s="13">
        <f>VLOOKUP(H2880, 'RM &amp; SF'!B:H, 7, 0)</f>
        <v>6.8970000000000004E-3</v>
      </c>
      <c r="M2880" s="28">
        <f t="shared" si="147"/>
        <v>0.11035200000000001</v>
      </c>
      <c r="N2880" s="26" t="s">
        <v>825</v>
      </c>
      <c r="O2880" s="26">
        <f>VLOOKUP(B2880, 'All Menu'!B:L, 6, 0)</f>
        <v>10.344827586206897</v>
      </c>
      <c r="P2880" s="131">
        <f>VLOOKUP(B2880, 'All Menu'!B:L, 9, 0)</f>
        <v>2.5329647652947718</v>
      </c>
      <c r="Q2880" s="133">
        <f>VLOOKUP(B2880, 'All Menu'!B:M, 12, 0)</f>
        <v>0.75514673935483878</v>
      </c>
      <c r="R2880" s="173">
        <f t="shared" si="145"/>
        <v>0</v>
      </c>
    </row>
    <row r="2881" spans="1:18" ht="14" hidden="1">
      <c r="A2881" s="78" t="s">
        <v>2941</v>
      </c>
      <c r="B2881" s="220" t="s">
        <v>1078</v>
      </c>
      <c r="C2881" s="185"/>
      <c r="D2881" s="110" t="s">
        <v>1737</v>
      </c>
      <c r="E2881" s="30" t="str">
        <f>VLOOKUP(B2881, 'All Menu'!B:M, 2, 0)</f>
        <v>قسم الصواني</v>
      </c>
      <c r="F2881" s="103" t="str">
        <f>VLOOKUP(B2881, 'All Menu'!B:M, 3, 0)</f>
        <v>صواني وصجيات سفري</v>
      </c>
      <c r="G2881" s="90" t="s">
        <v>2223</v>
      </c>
      <c r="H2881" s="219">
        <v>4241</v>
      </c>
      <c r="I2881" s="110" t="str">
        <f>VLOOKUP(H2881, 'RM &amp; SF'!B:H, 2, 0)</f>
        <v>بهارات كيجن عادي*****</v>
      </c>
      <c r="J2881" s="184" t="str">
        <f>VLOOKUP(H2881, 'RM &amp; SF'!B:E, 4, 0)</f>
        <v>غم</v>
      </c>
      <c r="K2881" s="177">
        <v>16</v>
      </c>
      <c r="L2881" s="13">
        <f>VLOOKUP(H2881, 'RM &amp; SF'!B:H, 7, 0)</f>
        <v>3.8790000000000001E-3</v>
      </c>
      <c r="M2881" s="28">
        <f t="shared" si="147"/>
        <v>6.2064000000000001E-2</v>
      </c>
      <c r="N2881" s="26" t="s">
        <v>825</v>
      </c>
      <c r="O2881" s="26">
        <f>VLOOKUP(B2881, 'All Menu'!B:L, 6, 0)</f>
        <v>10.344827586206897</v>
      </c>
      <c r="P2881" s="131">
        <f>VLOOKUP(B2881, 'All Menu'!B:L, 9, 0)</f>
        <v>2.5329647652947718</v>
      </c>
      <c r="Q2881" s="133">
        <f>VLOOKUP(B2881, 'All Menu'!B:M, 12, 0)</f>
        <v>0.75514673935483878</v>
      </c>
      <c r="R2881" s="173">
        <f t="shared" si="145"/>
        <v>0</v>
      </c>
    </row>
    <row r="2882" spans="1:18" ht="15.5" hidden="1">
      <c r="A2882" s="78" t="s">
        <v>2941</v>
      </c>
      <c r="B2882" s="220" t="s">
        <v>1078</v>
      </c>
      <c r="C2882" s="185"/>
      <c r="D2882" s="110" t="s">
        <v>1737</v>
      </c>
      <c r="E2882" s="30" t="str">
        <f>VLOOKUP(B2882, 'All Menu'!B:M, 2, 0)</f>
        <v>قسم الصواني</v>
      </c>
      <c r="F2882" s="103" t="str">
        <f>VLOOKUP(B2882, 'All Menu'!B:M, 3, 0)</f>
        <v>صواني وصجيات سفري</v>
      </c>
      <c r="G2882" s="90" t="s">
        <v>2321</v>
      </c>
      <c r="H2882" s="67">
        <v>5292</v>
      </c>
      <c r="I2882" s="110" t="str">
        <f>VLOOKUP(H2882, 'RM &amp; SF'!B:H, 2, 0)</f>
        <v>ثوم مقشر*****</v>
      </c>
      <c r="J2882" s="184" t="str">
        <f>VLOOKUP(H2882, 'RM &amp; SF'!B:E, 4, 0)</f>
        <v>غم</v>
      </c>
      <c r="K2882" s="177">
        <v>12</v>
      </c>
      <c r="L2882" s="13">
        <f>VLOOKUP(H2882, 'RM &amp; SF'!B:H, 7, 0)</f>
        <v>4.4999999999999997E-3</v>
      </c>
      <c r="M2882" s="28">
        <f t="shared" si="147"/>
        <v>5.3999999999999992E-2</v>
      </c>
      <c r="N2882" s="26" t="s">
        <v>825</v>
      </c>
      <c r="O2882" s="26">
        <f>VLOOKUP(B2882, 'All Menu'!B:L, 6, 0)</f>
        <v>10.344827586206897</v>
      </c>
      <c r="P2882" s="131">
        <f>VLOOKUP(B2882, 'All Menu'!B:L, 9, 0)</f>
        <v>2.5329647652947718</v>
      </c>
      <c r="Q2882" s="133">
        <f>VLOOKUP(B2882, 'All Menu'!B:M, 12, 0)</f>
        <v>0.75514673935483878</v>
      </c>
      <c r="R2882" s="173">
        <f t="shared" si="145"/>
        <v>0</v>
      </c>
    </row>
    <row r="2883" spans="1:18" ht="14" hidden="1">
      <c r="A2883" s="78" t="s">
        <v>2941</v>
      </c>
      <c r="B2883" s="220" t="s">
        <v>1078</v>
      </c>
      <c r="C2883" s="185"/>
      <c r="D2883" s="110" t="s">
        <v>1737</v>
      </c>
      <c r="E2883" s="30" t="str">
        <f>VLOOKUP(B2883, 'All Menu'!B:M, 2, 0)</f>
        <v>قسم الصواني</v>
      </c>
      <c r="F2883" s="103" t="str">
        <f>VLOOKUP(B2883, 'All Menu'!B:M, 3, 0)</f>
        <v>صواني وصجيات سفري</v>
      </c>
      <c r="G2883" s="90" t="s">
        <v>2234</v>
      </c>
      <c r="H2883" s="219">
        <v>4503</v>
      </c>
      <c r="I2883" s="110" t="str">
        <f>VLOOKUP(H2883, 'RM &amp; SF'!B:H, 2, 0)</f>
        <v>بصل ناشف دفش*****</v>
      </c>
      <c r="J2883" s="184" t="str">
        <f>VLOOKUP(H2883, 'RM &amp; SF'!B:E, 4, 0)</f>
        <v>غم</v>
      </c>
      <c r="K2883" s="177">
        <v>20</v>
      </c>
      <c r="L2883" s="13">
        <f>VLOOKUP(H2883, 'RM &amp; SF'!B:H, 7, 0)</f>
        <v>2.5000000000000001E-4</v>
      </c>
      <c r="M2883" s="28">
        <f t="shared" si="147"/>
        <v>5.0000000000000001E-3</v>
      </c>
      <c r="N2883" s="26" t="s">
        <v>825</v>
      </c>
      <c r="O2883" s="26">
        <f>VLOOKUP(B2883, 'All Menu'!B:L, 6, 0)</f>
        <v>10.344827586206897</v>
      </c>
      <c r="P2883" s="131">
        <f>VLOOKUP(B2883, 'All Menu'!B:L, 9, 0)</f>
        <v>2.5329647652947718</v>
      </c>
      <c r="Q2883" s="133">
        <f>VLOOKUP(B2883, 'All Menu'!B:M, 12, 0)</f>
        <v>0.75514673935483878</v>
      </c>
      <c r="R2883" s="173">
        <f t="shared" si="145"/>
        <v>0</v>
      </c>
    </row>
    <row r="2884" spans="1:18" ht="14" hidden="1">
      <c r="A2884" s="78" t="s">
        <v>2941</v>
      </c>
      <c r="B2884" s="220" t="s">
        <v>1078</v>
      </c>
      <c r="C2884" s="185"/>
      <c r="D2884" s="110" t="s">
        <v>1737</v>
      </c>
      <c r="E2884" s="30" t="str">
        <f>VLOOKUP(B2884, 'All Menu'!B:M, 2, 0)</f>
        <v>قسم الصواني</v>
      </c>
      <c r="F2884" s="103" t="str">
        <f>VLOOKUP(B2884, 'All Menu'!B:M, 3, 0)</f>
        <v>صواني وصجيات سفري</v>
      </c>
      <c r="G2884" s="90" t="s">
        <v>2231</v>
      </c>
      <c r="H2884" s="219">
        <v>4499</v>
      </c>
      <c r="I2884" s="110" t="str">
        <f>VLOOKUP(H2884, 'RM &amp; SF'!B:H, 2, 0)</f>
        <v>فلفل حار اخضر*****</v>
      </c>
      <c r="J2884" s="184" t="str">
        <f>VLOOKUP(H2884, 'RM &amp; SF'!B:E, 4, 0)</f>
        <v>غم</v>
      </c>
      <c r="K2884" s="177">
        <v>40</v>
      </c>
      <c r="L2884" s="13">
        <f>VLOOKUP(H2884, 'RM &amp; SF'!B:H, 7, 0)</f>
        <v>5.0000000000000001E-4</v>
      </c>
      <c r="M2884" s="28">
        <f t="shared" si="147"/>
        <v>0.02</v>
      </c>
      <c r="N2884" s="26" t="s">
        <v>825</v>
      </c>
      <c r="O2884" s="26">
        <f>VLOOKUP(B2884, 'All Menu'!B:L, 6, 0)</f>
        <v>10.344827586206897</v>
      </c>
      <c r="P2884" s="131">
        <f>VLOOKUP(B2884, 'All Menu'!B:L, 9, 0)</f>
        <v>2.5329647652947718</v>
      </c>
      <c r="Q2884" s="133">
        <f>VLOOKUP(B2884, 'All Menu'!B:M, 12, 0)</f>
        <v>0.75514673935483878</v>
      </c>
      <c r="R2884" s="173">
        <f t="shared" si="145"/>
        <v>0</v>
      </c>
    </row>
    <row r="2885" spans="1:18" ht="14" hidden="1">
      <c r="A2885" s="78" t="s">
        <v>2941</v>
      </c>
      <c r="B2885" s="220" t="s">
        <v>1078</v>
      </c>
      <c r="C2885" s="185"/>
      <c r="D2885" s="110" t="s">
        <v>1737</v>
      </c>
      <c r="E2885" s="30" t="str">
        <f>VLOOKUP(B2885, 'All Menu'!B:M, 2, 0)</f>
        <v>قسم الصواني</v>
      </c>
      <c r="F2885" s="103" t="str">
        <f>VLOOKUP(B2885, 'All Menu'!B:M, 3, 0)</f>
        <v>صواني وصجيات سفري</v>
      </c>
      <c r="G2885" s="90" t="s">
        <v>2331</v>
      </c>
      <c r="H2885" s="219" t="s">
        <v>530</v>
      </c>
      <c r="I2885" s="110" t="str">
        <f>VLOOKUP(H2885, 'RM &amp; SF'!B:H, 2, 0)</f>
        <v>خبز صاج</v>
      </c>
      <c r="J2885" s="184" t="str">
        <f>VLOOKUP(H2885, 'RM &amp; SF'!B:E, 4, 0)</f>
        <v>غم</v>
      </c>
      <c r="K2885" s="177">
        <v>200</v>
      </c>
      <c r="L2885" s="13">
        <f>VLOOKUP(H2885, 'RM &amp; SF'!B:H, 7, 0)</f>
        <v>1.8806451612903227E-4</v>
      </c>
      <c r="M2885" s="28">
        <f t="shared" si="147"/>
        <v>3.7612903225806453E-2</v>
      </c>
      <c r="N2885" s="26" t="s">
        <v>825</v>
      </c>
      <c r="O2885" s="26">
        <f>VLOOKUP(B2885, 'All Menu'!B:L, 6, 0)</f>
        <v>10.344827586206897</v>
      </c>
      <c r="P2885" s="131">
        <f>VLOOKUP(B2885, 'All Menu'!B:L, 9, 0)</f>
        <v>2.5329647652947718</v>
      </c>
      <c r="Q2885" s="133">
        <f>VLOOKUP(B2885, 'All Menu'!B:M, 12, 0)</f>
        <v>0.75514673935483878</v>
      </c>
      <c r="R2885" s="173">
        <f t="shared" si="145"/>
        <v>0</v>
      </c>
    </row>
    <row r="2886" spans="1:18" ht="14" hidden="1">
      <c r="A2886" s="78" t="s">
        <v>2941</v>
      </c>
      <c r="B2886" s="220" t="s">
        <v>1078</v>
      </c>
      <c r="C2886" s="185"/>
      <c r="D2886" s="110" t="s">
        <v>1737</v>
      </c>
      <c r="E2886" s="30" t="str">
        <f>VLOOKUP(B2886, 'All Menu'!B:M, 2, 0)</f>
        <v>قسم الصواني</v>
      </c>
      <c r="F2886" s="103" t="str">
        <f>VLOOKUP(B2886, 'All Menu'!B:M, 3, 0)</f>
        <v>صواني وصجيات سفري</v>
      </c>
      <c r="G2886" s="90" t="s">
        <v>3058</v>
      </c>
      <c r="H2886" s="219">
        <v>5424</v>
      </c>
      <c r="I2886" s="110" t="str">
        <f>VLOOKUP(H2886, 'RM &amp; SF'!B:H, 2, 0)</f>
        <v>علب قصدير مدور 1/2 كغ RZ 25*****</v>
      </c>
      <c r="J2886" s="184" t="str">
        <f>VLOOKUP(H2886, 'RM &amp; SF'!B:E, 4, 0)</f>
        <v>قطعة</v>
      </c>
      <c r="K2886" s="177">
        <v>1</v>
      </c>
      <c r="L2886" s="13">
        <f>VLOOKUP(H2886, 'RM &amp; SF'!B:H, 7, 0)</f>
        <v>0.1149425287356322</v>
      </c>
      <c r="M2886" s="28">
        <f t="shared" si="147"/>
        <v>0.1149425287356322</v>
      </c>
      <c r="N2886" s="26" t="s">
        <v>825</v>
      </c>
      <c r="O2886" s="26">
        <f>VLOOKUP(B2886, 'All Menu'!B:L, 6, 0)</f>
        <v>10.344827586206897</v>
      </c>
      <c r="P2886" s="131">
        <f>VLOOKUP(B2886, 'All Menu'!B:L, 9, 0)</f>
        <v>2.5329647652947718</v>
      </c>
      <c r="Q2886" s="133">
        <f>VLOOKUP(B2886, 'All Menu'!B:M, 12, 0)</f>
        <v>0.75514673935483878</v>
      </c>
      <c r="R2886" s="173">
        <f t="shared" si="145"/>
        <v>0</v>
      </c>
    </row>
    <row r="2887" spans="1:18" ht="14" hidden="1">
      <c r="A2887" s="78" t="s">
        <v>2941</v>
      </c>
      <c r="B2887" s="220" t="s">
        <v>1078</v>
      </c>
      <c r="C2887" s="185"/>
      <c r="D2887" s="110" t="s">
        <v>1737</v>
      </c>
      <c r="E2887" s="30" t="str">
        <f>VLOOKUP(B2887, 'All Menu'!B:M, 2, 0)</f>
        <v>قسم الصواني</v>
      </c>
      <c r="F2887" s="103" t="str">
        <f>VLOOKUP(B2887, 'All Menu'!B:M, 3, 0)</f>
        <v>صواني وصجيات سفري</v>
      </c>
      <c r="G2887" s="90" t="s">
        <v>3058</v>
      </c>
      <c r="H2887" s="219">
        <v>4274</v>
      </c>
      <c r="I2887" s="110" t="str">
        <f>VLOOKUP(H2887, 'RM &amp; SF'!B:H, 2, 0)</f>
        <v>علب المركزية مطبوع + قاطع رقم 1 1*100 حبة*****</v>
      </c>
      <c r="J2887" s="184" t="str">
        <f>VLOOKUP(H2887, 'RM &amp; SF'!B:E, 4, 0)</f>
        <v>قطعة</v>
      </c>
      <c r="K2887" s="177">
        <v>1</v>
      </c>
      <c r="L2887" s="13">
        <f>VLOOKUP(H2887, 'RM &amp; SF'!B:H, 7, 0)</f>
        <v>0.25</v>
      </c>
      <c r="M2887" s="28">
        <f t="shared" si="147"/>
        <v>0.25</v>
      </c>
      <c r="N2887" s="26" t="s">
        <v>825</v>
      </c>
      <c r="O2887" s="26">
        <f>VLOOKUP(B2887, 'All Menu'!B:L, 6, 0)</f>
        <v>10.344827586206897</v>
      </c>
      <c r="P2887" s="131">
        <f>VLOOKUP(B2887, 'All Menu'!B:L, 9, 0)</f>
        <v>2.5329647652947718</v>
      </c>
      <c r="Q2887" s="133">
        <f>VLOOKUP(B2887, 'All Menu'!B:M, 12, 0)</f>
        <v>0.75514673935483878</v>
      </c>
      <c r="R2887" s="173">
        <f t="shared" ref="R2887:R2950" si="150">C2887*K2887</f>
        <v>0</v>
      </c>
    </row>
    <row r="2888" spans="1:18" ht="14" hidden="1">
      <c r="A2888" s="78" t="s">
        <v>2942</v>
      </c>
      <c r="B2888" s="220" t="s">
        <v>1106</v>
      </c>
      <c r="C2888" s="185"/>
      <c r="D2888" s="110" t="s">
        <v>1695</v>
      </c>
      <c r="E2888" s="30" t="str">
        <f>VLOOKUP(B2888, 'All Menu'!B:M, 2, 0)</f>
        <v>قسم الصواني</v>
      </c>
      <c r="F2888" s="103" t="str">
        <f>VLOOKUP(B2888, 'All Menu'!B:M, 3, 0)</f>
        <v>صواني وصجيات سفري</v>
      </c>
      <c r="G2888" s="90" t="s">
        <v>2282</v>
      </c>
      <c r="H2888" s="219">
        <v>4137</v>
      </c>
      <c r="I2888" s="110" t="str">
        <f>VLOOKUP(H2888, 'RM &amp; SF'!B:H, 2, 0)</f>
        <v>فريكة خشنة*****</v>
      </c>
      <c r="J2888" s="184" t="str">
        <f>VLOOKUP(H2888, 'RM &amp; SF'!B:E, 4, 0)</f>
        <v>غم</v>
      </c>
      <c r="K2888" s="177">
        <v>700</v>
      </c>
      <c r="L2888" s="13">
        <f>VLOOKUP(H2888, 'RM &amp; SF'!B:H, 7, 0)</f>
        <v>2.2059000000000002E-3</v>
      </c>
      <c r="M2888" s="28">
        <f t="shared" si="147"/>
        <v>1.5441300000000002</v>
      </c>
      <c r="N2888" s="26" t="s">
        <v>825</v>
      </c>
      <c r="O2888" s="26">
        <f>VLOOKUP(B2888, 'All Menu'!B:L, 6, 0)</f>
        <v>12.068965517241381</v>
      </c>
      <c r="P2888" s="131">
        <f>VLOOKUP(B2888, 'All Menu'!B:L, 9, 0)</f>
        <v>6.0986681080459766</v>
      </c>
      <c r="Q2888" s="133">
        <f>VLOOKUP(B2888, 'All Menu'!B:M, 12, 0)</f>
        <v>0.49468178533333346</v>
      </c>
      <c r="R2888" s="173">
        <f t="shared" si="150"/>
        <v>0</v>
      </c>
    </row>
    <row r="2889" spans="1:18" ht="14" hidden="1">
      <c r="A2889" s="78" t="s">
        <v>2942</v>
      </c>
      <c r="B2889" s="220" t="s">
        <v>1106</v>
      </c>
      <c r="C2889" s="185"/>
      <c r="D2889" s="110" t="s">
        <v>1695</v>
      </c>
      <c r="E2889" s="30" t="str">
        <f>VLOOKUP(B2889, 'All Menu'!B:M, 2, 0)</f>
        <v>قسم الصواني</v>
      </c>
      <c r="F2889" s="103" t="str">
        <f>VLOOKUP(B2889, 'All Menu'!B:M, 3, 0)</f>
        <v>صواني وصجيات سفري</v>
      </c>
      <c r="G2889" s="90" t="s">
        <v>2445</v>
      </c>
      <c r="H2889" s="219" t="s">
        <v>668</v>
      </c>
      <c r="I2889" s="110" t="str">
        <f>VLOOKUP(H2889, 'RM &amp; SF'!B:H, 2, 0)</f>
        <v>دجاج مسحب بالفرن انترناشونال</v>
      </c>
      <c r="J2889" s="184" t="str">
        <f>VLOOKUP(H2889, 'RM &amp; SF'!B:E, 4, 0)</f>
        <v>غم</v>
      </c>
      <c r="K2889" s="177">
        <v>300</v>
      </c>
      <c r="L2889" s="13">
        <f>VLOOKUP(H2889, 'RM &amp; SF'!B:H, 7, 0)</f>
        <v>4.5947853888888886E-3</v>
      </c>
      <c r="M2889" s="28">
        <f t="shared" si="147"/>
        <v>1.3784356166666667</v>
      </c>
      <c r="N2889" s="26" t="s">
        <v>825</v>
      </c>
      <c r="O2889" s="26">
        <f>VLOOKUP(B2889, 'All Menu'!B:L, 6, 0)</f>
        <v>12.068965517241381</v>
      </c>
      <c r="P2889" s="131">
        <f>VLOOKUP(B2889, 'All Menu'!B:L, 9, 0)</f>
        <v>6.0986681080459766</v>
      </c>
      <c r="Q2889" s="133">
        <f>VLOOKUP(B2889, 'All Menu'!B:M, 12, 0)</f>
        <v>0.49468178533333346</v>
      </c>
      <c r="R2889" s="173">
        <f t="shared" si="150"/>
        <v>0</v>
      </c>
    </row>
    <row r="2890" spans="1:18" ht="14" hidden="1">
      <c r="A2890" s="78" t="s">
        <v>2942</v>
      </c>
      <c r="B2890" s="220" t="s">
        <v>1106</v>
      </c>
      <c r="C2890" s="185"/>
      <c r="D2890" s="110" t="s">
        <v>1695</v>
      </c>
      <c r="E2890" s="30" t="str">
        <f>VLOOKUP(B2890, 'All Menu'!B:M, 2, 0)</f>
        <v>قسم الصواني</v>
      </c>
      <c r="F2890" s="103" t="str">
        <f>VLOOKUP(B2890, 'All Menu'!B:M, 3, 0)</f>
        <v>صواني وصجيات سفري</v>
      </c>
      <c r="G2890" s="90" t="s">
        <v>2240</v>
      </c>
      <c r="H2890" s="219">
        <v>4515</v>
      </c>
      <c r="I2890" s="110" t="str">
        <f>VLOOKUP(H2890, 'RM &amp; SF'!B:H, 2, 0)</f>
        <v>فطر طازج (فطر فرش)*****</v>
      </c>
      <c r="J2890" s="184" t="str">
        <f>VLOOKUP(H2890, 'RM &amp; SF'!B:E, 4, 0)</f>
        <v>غم</v>
      </c>
      <c r="K2890" s="177">
        <v>160</v>
      </c>
      <c r="L2890" s="13">
        <f>VLOOKUP(H2890, 'RM &amp; SF'!B:H, 7, 0)</f>
        <v>5.9999999999999993E-3</v>
      </c>
      <c r="M2890" s="28">
        <f t="shared" si="147"/>
        <v>0.95999999999999985</v>
      </c>
      <c r="N2890" s="26" t="s">
        <v>825</v>
      </c>
      <c r="O2890" s="26">
        <f>VLOOKUP(B2890, 'All Menu'!B:L, 6, 0)</f>
        <v>12.068965517241381</v>
      </c>
      <c r="P2890" s="131">
        <f>VLOOKUP(B2890, 'All Menu'!B:L, 9, 0)</f>
        <v>6.0986681080459766</v>
      </c>
      <c r="Q2890" s="133">
        <f>VLOOKUP(B2890, 'All Menu'!B:M, 12, 0)</f>
        <v>0.49468178533333346</v>
      </c>
      <c r="R2890" s="173">
        <f t="shared" si="150"/>
        <v>0</v>
      </c>
    </row>
    <row r="2891" spans="1:18" ht="14" hidden="1">
      <c r="A2891" s="78" t="s">
        <v>2942</v>
      </c>
      <c r="B2891" s="220" t="s">
        <v>1106</v>
      </c>
      <c r="C2891" s="185"/>
      <c r="D2891" s="110" t="s">
        <v>1695</v>
      </c>
      <c r="E2891" s="30" t="str">
        <f>VLOOKUP(B2891, 'All Menu'!B:M, 2, 0)</f>
        <v>قسم الصواني</v>
      </c>
      <c r="F2891" s="103" t="str">
        <f>VLOOKUP(B2891, 'All Menu'!B:M, 3, 0)</f>
        <v>صواني وصجيات سفري</v>
      </c>
      <c r="G2891" s="90" t="s">
        <v>2291</v>
      </c>
      <c r="H2891" s="219">
        <v>4556</v>
      </c>
      <c r="I2891" s="110" t="str">
        <f>VLOOKUP(H2891, 'RM &amp; SF'!B:H, 2, 0)</f>
        <v>كريما طبخ 1 لتر*****</v>
      </c>
      <c r="J2891" s="184" t="str">
        <f>VLOOKUP(H2891, 'RM &amp; SF'!B:E, 4, 0)</f>
        <v>مل</v>
      </c>
      <c r="K2891" s="177">
        <v>800</v>
      </c>
      <c r="L2891" s="13">
        <f>VLOOKUP(H2891, 'RM &amp; SF'!B:H, 7, 0)</f>
        <v>2.2269999999999998E-3</v>
      </c>
      <c r="M2891" s="28">
        <f t="shared" si="147"/>
        <v>1.7815999999999999</v>
      </c>
      <c r="N2891" s="26" t="s">
        <v>825</v>
      </c>
      <c r="O2891" s="26">
        <f>VLOOKUP(B2891, 'All Menu'!B:L, 6, 0)</f>
        <v>12.068965517241381</v>
      </c>
      <c r="P2891" s="131">
        <f>VLOOKUP(B2891, 'All Menu'!B:L, 9, 0)</f>
        <v>6.0986681080459766</v>
      </c>
      <c r="Q2891" s="133">
        <f>VLOOKUP(B2891, 'All Menu'!B:M, 12, 0)</f>
        <v>0.49468178533333346</v>
      </c>
      <c r="R2891" s="173">
        <f t="shared" si="150"/>
        <v>0</v>
      </c>
    </row>
    <row r="2892" spans="1:18" ht="14" hidden="1">
      <c r="A2892" s="78" t="s">
        <v>2942</v>
      </c>
      <c r="B2892" s="220" t="s">
        <v>1106</v>
      </c>
      <c r="C2892" s="185"/>
      <c r="D2892" s="110" t="s">
        <v>1695</v>
      </c>
      <c r="E2892" s="30" t="str">
        <f>VLOOKUP(B2892, 'All Menu'!B:M, 2, 0)</f>
        <v>قسم الصواني</v>
      </c>
      <c r="F2892" s="103" t="str">
        <f>VLOOKUP(B2892, 'All Menu'!B:M, 3, 0)</f>
        <v>صواني وصجيات سفري</v>
      </c>
      <c r="G2892" s="90" t="s">
        <v>2173</v>
      </c>
      <c r="H2892" s="219">
        <v>4624</v>
      </c>
      <c r="I2892" s="110" t="str">
        <f>VLOOKUP(H2892, 'RM &amp; SF'!B:H, 2, 0)</f>
        <v>جبنة موزريلا قالب 2.380 كغ*****</v>
      </c>
      <c r="J2892" s="184" t="str">
        <f>VLOOKUP(H2892, 'RM &amp; SF'!B:E, 4, 0)</f>
        <v>غم</v>
      </c>
      <c r="K2892" s="177">
        <v>40</v>
      </c>
      <c r="L2892" s="13">
        <f>VLOOKUP(H2892, 'RM &amp; SF'!B:H, 7, 0)</f>
        <v>5.1749999999999999E-3</v>
      </c>
      <c r="M2892" s="28">
        <f t="shared" si="147"/>
        <v>0.20699999999999999</v>
      </c>
      <c r="N2892" s="26" t="s">
        <v>825</v>
      </c>
      <c r="O2892" s="26">
        <f>VLOOKUP(B2892, 'All Menu'!B:L, 6, 0)</f>
        <v>12.068965517241381</v>
      </c>
      <c r="P2892" s="131">
        <f>VLOOKUP(B2892, 'All Menu'!B:L, 9, 0)</f>
        <v>6.0986681080459766</v>
      </c>
      <c r="Q2892" s="133">
        <f>VLOOKUP(B2892, 'All Menu'!B:M, 12, 0)</f>
        <v>0.49468178533333346</v>
      </c>
      <c r="R2892" s="173">
        <f t="shared" si="150"/>
        <v>0</v>
      </c>
    </row>
    <row r="2893" spans="1:18" ht="14" hidden="1">
      <c r="A2893" s="78" t="s">
        <v>2942</v>
      </c>
      <c r="B2893" s="220" t="s">
        <v>1106</v>
      </c>
      <c r="C2893" s="185"/>
      <c r="D2893" s="110" t="s">
        <v>1695</v>
      </c>
      <c r="E2893" s="30" t="str">
        <f>VLOOKUP(B2893, 'All Menu'!B:M, 2, 0)</f>
        <v>قسم الصواني</v>
      </c>
      <c r="F2893" s="103" t="str">
        <f>VLOOKUP(B2893, 'All Menu'!B:M, 3, 0)</f>
        <v>صواني وصجيات سفري</v>
      </c>
      <c r="G2893" s="90" t="s">
        <v>2234</v>
      </c>
      <c r="H2893" s="219">
        <v>4503</v>
      </c>
      <c r="I2893" s="110" t="str">
        <f>VLOOKUP(H2893, 'RM &amp; SF'!B:H, 2, 0)</f>
        <v>بصل ناشف دفش*****</v>
      </c>
      <c r="J2893" s="184" t="str">
        <f>VLOOKUP(H2893, 'RM &amp; SF'!B:E, 4, 0)</f>
        <v>غم</v>
      </c>
      <c r="K2893" s="177">
        <v>20</v>
      </c>
      <c r="L2893" s="13">
        <f>VLOOKUP(H2893, 'RM &amp; SF'!B:H, 7, 0)</f>
        <v>2.5000000000000001E-4</v>
      </c>
      <c r="M2893" s="28">
        <f t="shared" si="147"/>
        <v>5.0000000000000001E-3</v>
      </c>
      <c r="N2893" s="26" t="s">
        <v>825</v>
      </c>
      <c r="O2893" s="26">
        <f>VLOOKUP(B2893, 'All Menu'!B:L, 6, 0)</f>
        <v>12.068965517241381</v>
      </c>
      <c r="P2893" s="131">
        <f>VLOOKUP(B2893, 'All Menu'!B:L, 9, 0)</f>
        <v>6.0986681080459766</v>
      </c>
      <c r="Q2893" s="133">
        <f>VLOOKUP(B2893, 'All Menu'!B:M, 12, 0)</f>
        <v>0.49468178533333346</v>
      </c>
      <c r="R2893" s="173">
        <f t="shared" si="150"/>
        <v>0</v>
      </c>
    </row>
    <row r="2894" spans="1:18" ht="14" hidden="1">
      <c r="A2894" s="78" t="s">
        <v>2942</v>
      </c>
      <c r="B2894" s="220" t="s">
        <v>1106</v>
      </c>
      <c r="C2894" s="185"/>
      <c r="D2894" s="110" t="s">
        <v>1695</v>
      </c>
      <c r="E2894" s="30" t="str">
        <f>VLOOKUP(B2894, 'All Menu'!B:M, 2, 0)</f>
        <v>قسم الصواني</v>
      </c>
      <c r="F2894" s="103" t="str">
        <f>VLOOKUP(B2894, 'All Menu'!B:M, 3, 0)</f>
        <v>صواني وصجيات سفري</v>
      </c>
      <c r="G2894" s="90" t="s">
        <v>2177</v>
      </c>
      <c r="H2894" s="219">
        <v>4566</v>
      </c>
      <c r="I2894" s="110" t="str">
        <f>VLOOKUP(H2894, 'RM &amp; SF'!B:H, 2, 0)</f>
        <v>زبدة صفائح 5*2 كغ*****</v>
      </c>
      <c r="J2894" s="184" t="str">
        <f>VLOOKUP(H2894, 'RM &amp; SF'!B:E, 4, 0)</f>
        <v>غم</v>
      </c>
      <c r="K2894" s="177">
        <v>80</v>
      </c>
      <c r="L2894" s="13">
        <f>VLOOKUP(H2894, 'RM &amp; SF'!B:H, 7, 0)</f>
        <v>2E-3</v>
      </c>
      <c r="M2894" s="28">
        <f t="shared" si="147"/>
        <v>0.16</v>
      </c>
      <c r="N2894" s="26" t="s">
        <v>825</v>
      </c>
      <c r="O2894" s="26">
        <f>VLOOKUP(B2894, 'All Menu'!B:L, 6, 0)</f>
        <v>12.068965517241381</v>
      </c>
      <c r="P2894" s="131">
        <f>VLOOKUP(B2894, 'All Menu'!B:L, 9, 0)</f>
        <v>6.0986681080459766</v>
      </c>
      <c r="Q2894" s="133">
        <f>VLOOKUP(B2894, 'All Menu'!B:M, 12, 0)</f>
        <v>0.49468178533333346</v>
      </c>
      <c r="R2894" s="173">
        <f t="shared" si="150"/>
        <v>0</v>
      </c>
    </row>
    <row r="2895" spans="1:18" ht="14" hidden="1">
      <c r="A2895" s="78" t="s">
        <v>2942</v>
      </c>
      <c r="B2895" s="220" t="s">
        <v>1106</v>
      </c>
      <c r="C2895" s="185"/>
      <c r="D2895" s="110" t="s">
        <v>1695</v>
      </c>
      <c r="E2895" s="30" t="str">
        <f>VLOOKUP(B2895, 'All Menu'!B:M, 2, 0)</f>
        <v>قسم الصواني</v>
      </c>
      <c r="F2895" s="103" t="str">
        <f>VLOOKUP(B2895, 'All Menu'!B:M, 3, 0)</f>
        <v>صواني وصجيات سفري</v>
      </c>
      <c r="G2895" s="90" t="s">
        <v>2341</v>
      </c>
      <c r="H2895" s="219" t="s">
        <v>706</v>
      </c>
      <c r="I2895" s="110" t="str">
        <f>VLOOKUP(H2895, 'RM &amp; SF'!B:H, 2, 0)</f>
        <v>لوز مقلي</v>
      </c>
      <c r="J2895" s="184" t="str">
        <f>VLOOKUP(H2895, 'RM &amp; SF'!B:E, 4, 0)</f>
        <v>غم</v>
      </c>
      <c r="K2895" s="177">
        <v>15</v>
      </c>
      <c r="L2895" s="13">
        <f>VLOOKUP(H2895, 'RM &amp; SF'!B:H, 7, 0)</f>
        <v>4.1352327586206888E-3</v>
      </c>
      <c r="M2895" s="28">
        <f t="shared" si="147"/>
        <v>6.2028491379310331E-2</v>
      </c>
      <c r="N2895" s="26" t="s">
        <v>825</v>
      </c>
      <c r="O2895" s="26">
        <f>VLOOKUP(B2895, 'All Menu'!B:L, 6, 0)</f>
        <v>12.068965517241381</v>
      </c>
      <c r="P2895" s="131">
        <f>VLOOKUP(B2895, 'All Menu'!B:L, 9, 0)</f>
        <v>6.0986681080459766</v>
      </c>
      <c r="Q2895" s="133">
        <f>VLOOKUP(B2895, 'All Menu'!B:M, 12, 0)</f>
        <v>0.49468178533333346</v>
      </c>
      <c r="R2895" s="173">
        <f t="shared" si="150"/>
        <v>0</v>
      </c>
    </row>
    <row r="2896" spans="1:18" ht="14" hidden="1">
      <c r="A2896" s="78" t="s">
        <v>2942</v>
      </c>
      <c r="B2896" s="220" t="s">
        <v>1106</v>
      </c>
      <c r="C2896" s="185"/>
      <c r="D2896" s="110" t="s">
        <v>1695</v>
      </c>
      <c r="E2896" s="30" t="str">
        <f>VLOOKUP(B2896, 'All Menu'!B:M, 2, 0)</f>
        <v>قسم الصواني</v>
      </c>
      <c r="F2896" s="103" t="str">
        <f>VLOOKUP(B2896, 'All Menu'!B:M, 3, 0)</f>
        <v>صواني وصجيات سفري</v>
      </c>
      <c r="G2896" s="90" t="s">
        <v>2195</v>
      </c>
      <c r="H2896" s="219">
        <v>4329</v>
      </c>
      <c r="I2896" s="110" t="str">
        <f>VLOOKUP(H2896, 'RM &amp; SF'!B:H, 2, 0)</f>
        <v>ملاعق بلاستيك مع معقم مطبوع 1*500 حبة*****</v>
      </c>
      <c r="J2896" s="184" t="str">
        <f>VLOOKUP(H2896, 'RM &amp; SF'!B:E, 4, 0)</f>
        <v>قطعة</v>
      </c>
      <c r="K2896" s="177">
        <v>1</v>
      </c>
      <c r="L2896" s="13">
        <f>VLOOKUP(H2896, 'RM &amp; SF'!B:H, 7, 0)</f>
        <v>4.7399999999999997E-4</v>
      </c>
      <c r="M2896" s="28">
        <f t="shared" si="147"/>
        <v>4.7399999999999997E-4</v>
      </c>
      <c r="N2896" s="26" t="s">
        <v>825</v>
      </c>
      <c r="O2896" s="26">
        <f>VLOOKUP(B2896, 'All Menu'!B:L, 6, 0)</f>
        <v>12.068965517241381</v>
      </c>
      <c r="P2896" s="131">
        <f>VLOOKUP(B2896, 'All Menu'!B:L, 9, 0)</f>
        <v>6.0986681080459766</v>
      </c>
      <c r="Q2896" s="133">
        <f>VLOOKUP(B2896, 'All Menu'!B:M, 12, 0)</f>
        <v>0.49468178533333346</v>
      </c>
      <c r="R2896" s="173">
        <f t="shared" si="150"/>
        <v>0</v>
      </c>
    </row>
    <row r="2897" spans="1:18" ht="14" hidden="1">
      <c r="A2897" s="78" t="s">
        <v>2943</v>
      </c>
      <c r="B2897" s="220" t="s">
        <v>1086</v>
      </c>
      <c r="C2897" s="185"/>
      <c r="D2897" s="110" t="s">
        <v>1703</v>
      </c>
      <c r="E2897" s="30" t="str">
        <f>VLOOKUP(B2897, 'All Menu'!B:M, 2, 0)</f>
        <v>قسم الصواني</v>
      </c>
      <c r="F2897" s="103" t="str">
        <f>VLOOKUP(B2897, 'All Menu'!B:M, 3, 0)</f>
        <v>صواني وصجيات سفري</v>
      </c>
      <c r="G2897" s="90" t="s">
        <v>2434</v>
      </c>
      <c r="H2897" s="219" t="s">
        <v>574</v>
      </c>
      <c r="I2897" s="110" t="str">
        <f>VLOOKUP(H2897, 'RM &amp; SF'!B:H, 2, 0)</f>
        <v>صوص بندورة</v>
      </c>
      <c r="J2897" s="184" t="str">
        <f>VLOOKUP(H2897, 'RM &amp; SF'!B:E, 4, 0)</f>
        <v>غم</v>
      </c>
      <c r="K2897" s="177">
        <v>1000</v>
      </c>
      <c r="L2897" s="13">
        <f>VLOOKUP(H2897, 'RM &amp; SF'!B:H, 7, 0)</f>
        <v>1.1346600487634969E-3</v>
      </c>
      <c r="M2897" s="28">
        <f t="shared" si="147"/>
        <v>1.134660048763497</v>
      </c>
      <c r="N2897" s="26" t="s">
        <v>825</v>
      </c>
      <c r="O2897" s="26">
        <f>VLOOKUP(B2897, 'All Menu'!B:L, 6, 0)</f>
        <v>8.6206896551724146</v>
      </c>
      <c r="P2897" s="131">
        <f>VLOOKUP(B2897, 'All Menu'!B:L, 9, 0)</f>
        <v>6.1457205660048757</v>
      </c>
      <c r="Q2897" s="133">
        <f>VLOOKUP(B2897, 'All Menu'!B:M, 12, 0)</f>
        <v>0.28709641434343447</v>
      </c>
      <c r="R2897" s="173">
        <f t="shared" si="150"/>
        <v>0</v>
      </c>
    </row>
    <row r="2898" spans="1:18" ht="14" hidden="1">
      <c r="A2898" s="78" t="s">
        <v>2943</v>
      </c>
      <c r="B2898" s="220" t="s">
        <v>1086</v>
      </c>
      <c r="C2898" s="185"/>
      <c r="D2898" s="110" t="s">
        <v>1703</v>
      </c>
      <c r="E2898" s="30" t="str">
        <f>VLOOKUP(B2898, 'All Menu'!B:M, 2, 0)</f>
        <v>قسم الصواني</v>
      </c>
      <c r="F2898" s="103" t="str">
        <f>VLOOKUP(B2898, 'All Menu'!B:M, 3, 0)</f>
        <v>صواني وصجيات سفري</v>
      </c>
      <c r="G2898" s="90" t="s">
        <v>2231</v>
      </c>
      <c r="H2898" s="219">
        <v>4499</v>
      </c>
      <c r="I2898" s="110" t="str">
        <f>VLOOKUP(H2898, 'RM &amp; SF'!B:H, 2, 0)</f>
        <v>فلفل حار اخضر*****</v>
      </c>
      <c r="J2898" s="184" t="str">
        <f>VLOOKUP(H2898, 'RM &amp; SF'!B:E, 4, 0)</f>
        <v>غم</v>
      </c>
      <c r="K2898" s="177">
        <v>20</v>
      </c>
      <c r="L2898" s="13">
        <f>VLOOKUP(H2898, 'RM &amp; SF'!B:H, 7, 0)</f>
        <v>5.0000000000000001E-4</v>
      </c>
      <c r="M2898" s="28">
        <f t="shared" si="147"/>
        <v>0.01</v>
      </c>
      <c r="N2898" s="26" t="s">
        <v>825</v>
      </c>
      <c r="O2898" s="26">
        <f>VLOOKUP(B2898, 'All Menu'!B:L, 6, 0)</f>
        <v>8.6206896551724146</v>
      </c>
      <c r="P2898" s="131">
        <f>VLOOKUP(B2898, 'All Menu'!B:L, 9, 0)</f>
        <v>6.1457205660048757</v>
      </c>
      <c r="Q2898" s="133">
        <f>VLOOKUP(B2898, 'All Menu'!B:M, 12, 0)</f>
        <v>0.28709641434343447</v>
      </c>
      <c r="R2898" s="173">
        <f t="shared" si="150"/>
        <v>0</v>
      </c>
    </row>
    <row r="2899" spans="1:18" ht="14" hidden="1">
      <c r="A2899" s="78" t="s">
        <v>2943</v>
      </c>
      <c r="B2899" s="220" t="s">
        <v>1086</v>
      </c>
      <c r="C2899" s="185"/>
      <c r="D2899" s="110" t="s">
        <v>1703</v>
      </c>
      <c r="E2899" s="30" t="str">
        <f>VLOOKUP(B2899, 'All Menu'!B:M, 2, 0)</f>
        <v>قسم الصواني</v>
      </c>
      <c r="F2899" s="103" t="str">
        <f>VLOOKUP(B2899, 'All Menu'!B:M, 3, 0)</f>
        <v>صواني وصجيات سفري</v>
      </c>
      <c r="G2899" s="90" t="s">
        <v>2341</v>
      </c>
      <c r="H2899" s="219" t="s">
        <v>706</v>
      </c>
      <c r="I2899" s="110" t="str">
        <f>VLOOKUP(H2899, 'RM &amp; SF'!B:H, 2, 0)</f>
        <v>لوز مقلي</v>
      </c>
      <c r="J2899" s="184" t="str">
        <f>VLOOKUP(H2899, 'RM &amp; SF'!B:E, 4, 0)</f>
        <v>غم</v>
      </c>
      <c r="K2899" s="177">
        <v>20</v>
      </c>
      <c r="L2899" s="13">
        <f>VLOOKUP(H2899, 'RM &amp; SF'!B:H, 7, 0)</f>
        <v>4.1352327586206888E-3</v>
      </c>
      <c r="M2899" s="28">
        <f t="shared" si="147"/>
        <v>8.270465517241378E-2</v>
      </c>
      <c r="N2899" s="26" t="s">
        <v>825</v>
      </c>
      <c r="O2899" s="26">
        <f>VLOOKUP(B2899, 'All Menu'!B:L, 6, 0)</f>
        <v>8.6206896551724146</v>
      </c>
      <c r="P2899" s="131">
        <f>VLOOKUP(B2899, 'All Menu'!B:L, 9, 0)</f>
        <v>6.1457205660048757</v>
      </c>
      <c r="Q2899" s="133">
        <f>VLOOKUP(B2899, 'All Menu'!B:M, 12, 0)</f>
        <v>0.28709641434343447</v>
      </c>
      <c r="R2899" s="173">
        <f t="shared" si="150"/>
        <v>0</v>
      </c>
    </row>
    <row r="2900" spans="1:18" ht="14" hidden="1">
      <c r="A2900" s="78" t="s">
        <v>2943</v>
      </c>
      <c r="B2900" s="220" t="s">
        <v>1086</v>
      </c>
      <c r="C2900" s="185"/>
      <c r="D2900" s="110" t="s">
        <v>1703</v>
      </c>
      <c r="E2900" s="30" t="str">
        <f>VLOOKUP(B2900, 'All Menu'!B:M, 2, 0)</f>
        <v>قسم الصواني</v>
      </c>
      <c r="F2900" s="103" t="str">
        <f>VLOOKUP(B2900, 'All Menu'!B:M, 3, 0)</f>
        <v>صواني وصجيات سفري</v>
      </c>
      <c r="G2900" s="90" t="s">
        <v>2251</v>
      </c>
      <c r="H2900" s="219">
        <v>4544</v>
      </c>
      <c r="I2900" s="110" t="str">
        <f>VLOOKUP(H2900, 'RM &amp; SF'!B:H, 2, 0)</f>
        <v>بقدونس*****</v>
      </c>
      <c r="J2900" s="184" t="str">
        <f>VLOOKUP(H2900, 'RM &amp; SF'!B:E, 4, 0)</f>
        <v>غم</v>
      </c>
      <c r="K2900" s="177">
        <v>60</v>
      </c>
      <c r="L2900" s="13">
        <f>VLOOKUP(H2900, 'RM &amp; SF'!B:H, 7, 0)</f>
        <v>7.5000000000000002E-4</v>
      </c>
      <c r="M2900" s="28">
        <f t="shared" si="147"/>
        <v>4.4999999999999998E-2</v>
      </c>
      <c r="N2900" s="26" t="s">
        <v>825</v>
      </c>
      <c r="O2900" s="26">
        <f>VLOOKUP(B2900, 'All Menu'!B:L, 6, 0)</f>
        <v>8.6206896551724146</v>
      </c>
      <c r="P2900" s="131">
        <f>VLOOKUP(B2900, 'All Menu'!B:L, 9, 0)</f>
        <v>6.1457205660048757</v>
      </c>
      <c r="Q2900" s="133">
        <f>VLOOKUP(B2900, 'All Menu'!B:M, 12, 0)</f>
        <v>0.28709641434343447</v>
      </c>
      <c r="R2900" s="173">
        <f t="shared" si="150"/>
        <v>0</v>
      </c>
    </row>
    <row r="2901" spans="1:18" ht="14" hidden="1">
      <c r="A2901" s="78" t="s">
        <v>2943</v>
      </c>
      <c r="B2901" s="220" t="s">
        <v>1086</v>
      </c>
      <c r="C2901" s="185"/>
      <c r="D2901" s="110" t="s">
        <v>1703</v>
      </c>
      <c r="E2901" s="30" t="str">
        <f>VLOOKUP(B2901, 'All Menu'!B:M, 2, 0)</f>
        <v>قسم الصواني</v>
      </c>
      <c r="F2901" s="103" t="str">
        <f>VLOOKUP(B2901, 'All Menu'!B:M, 3, 0)</f>
        <v>صواني وصجيات سفري</v>
      </c>
      <c r="G2901" s="90" t="s">
        <v>2203</v>
      </c>
      <c r="H2901" s="219">
        <v>4152</v>
      </c>
      <c r="I2901" s="110" t="str">
        <f>VLOOKUP(H2901, 'RM &amp; SF'!B:H, 2, 0)</f>
        <v>ملح طعام 750غم*****</v>
      </c>
      <c r="J2901" s="184" t="str">
        <f>VLOOKUP(H2901, 'RM &amp; SF'!B:E, 4, 0)</f>
        <v>غم</v>
      </c>
      <c r="K2901" s="177">
        <v>20</v>
      </c>
      <c r="L2901" s="13">
        <f>VLOOKUP(H2901, 'RM &amp; SF'!B:H, 7, 0)</f>
        <v>1.7066666666666665E-4</v>
      </c>
      <c r="M2901" s="28">
        <f t="shared" si="147"/>
        <v>3.4133333333333329E-3</v>
      </c>
      <c r="N2901" s="26" t="s">
        <v>825</v>
      </c>
      <c r="O2901" s="26">
        <f>VLOOKUP(B2901, 'All Menu'!B:L, 6, 0)</f>
        <v>8.6206896551724146</v>
      </c>
      <c r="P2901" s="131">
        <f>VLOOKUP(B2901, 'All Menu'!B:L, 9, 0)</f>
        <v>6.1457205660048757</v>
      </c>
      <c r="Q2901" s="133">
        <f>VLOOKUP(B2901, 'All Menu'!B:M, 12, 0)</f>
        <v>0.28709641434343447</v>
      </c>
      <c r="R2901" s="173">
        <f t="shared" si="150"/>
        <v>0</v>
      </c>
    </row>
    <row r="2902" spans="1:18" ht="14" hidden="1">
      <c r="A2902" s="78" t="s">
        <v>2943</v>
      </c>
      <c r="B2902" s="220" t="s">
        <v>1086</v>
      </c>
      <c r="C2902" s="185"/>
      <c r="D2902" s="110" t="s">
        <v>1703</v>
      </c>
      <c r="E2902" s="30" t="str">
        <f>VLOOKUP(B2902, 'All Menu'!B:M, 2, 0)</f>
        <v>قسم الصواني</v>
      </c>
      <c r="F2902" s="103" t="str">
        <f>VLOOKUP(B2902, 'All Menu'!B:M, 3, 0)</f>
        <v>صواني وصجيات سفري</v>
      </c>
      <c r="G2902" s="90" t="s">
        <v>3058</v>
      </c>
      <c r="H2902" s="219">
        <v>5373</v>
      </c>
      <c r="I2902" s="110" t="str">
        <f>VLOOKUP(H2902, 'RM &amp; SF'!B:H, 2, 0)</f>
        <v>قطعيات عجل مشكلة</v>
      </c>
      <c r="J2902" s="184" t="str">
        <f>VLOOKUP(H2902, 'RM &amp; SF'!B:E, 4, 0)</f>
        <v>غم</v>
      </c>
      <c r="K2902" s="177">
        <v>500</v>
      </c>
      <c r="L2902" s="13">
        <f>VLOOKUP(H2902, 'RM &amp; SF'!B:H, 7, 0)</f>
        <v>9.0100000000000006E-3</v>
      </c>
      <c r="M2902" s="28">
        <f t="shared" si="147"/>
        <v>4.5049999999999999</v>
      </c>
      <c r="N2902" s="26" t="s">
        <v>825</v>
      </c>
      <c r="O2902" s="26">
        <f>VLOOKUP(B2902, 'All Menu'!B:L, 6, 0)</f>
        <v>8.6206896551724146</v>
      </c>
      <c r="P2902" s="131">
        <f>VLOOKUP(B2902, 'All Menu'!B:L, 9, 0)</f>
        <v>6.1457205660048757</v>
      </c>
      <c r="Q2902" s="133">
        <f>VLOOKUP(B2902, 'All Menu'!B:M, 12, 0)</f>
        <v>0.28709641434343447</v>
      </c>
      <c r="R2902" s="173">
        <f t="shared" si="150"/>
        <v>0</v>
      </c>
    </row>
    <row r="2903" spans="1:18" ht="14" hidden="1">
      <c r="A2903" s="78" t="s">
        <v>2943</v>
      </c>
      <c r="B2903" s="220" t="s">
        <v>1086</v>
      </c>
      <c r="C2903" s="185"/>
      <c r="D2903" s="110" t="s">
        <v>1703</v>
      </c>
      <c r="E2903" s="30" t="str">
        <f>VLOOKUP(B2903, 'All Menu'!B:M, 2, 0)</f>
        <v>قسم الصواني</v>
      </c>
      <c r="F2903" s="103" t="str">
        <f>VLOOKUP(B2903, 'All Menu'!B:M, 3, 0)</f>
        <v>صواني وصجيات سفري</v>
      </c>
      <c r="G2903" s="90" t="s">
        <v>3058</v>
      </c>
      <c r="H2903" s="219">
        <v>5424</v>
      </c>
      <c r="I2903" s="110" t="str">
        <f>VLOOKUP(H2903, 'RM &amp; SF'!B:H, 2, 0)</f>
        <v>علب قصدير مدور 1/2 كغ RZ 25*****</v>
      </c>
      <c r="J2903" s="184" t="str">
        <f>VLOOKUP(H2903, 'RM &amp; SF'!B:E, 4, 0)</f>
        <v>قطعة</v>
      </c>
      <c r="K2903" s="177">
        <v>1</v>
      </c>
      <c r="L2903" s="13">
        <f>VLOOKUP(H2903, 'RM &amp; SF'!B:H, 7, 0)</f>
        <v>0.1149425287356322</v>
      </c>
      <c r="M2903" s="28">
        <f t="shared" si="147"/>
        <v>0.1149425287356322</v>
      </c>
      <c r="N2903" s="26" t="s">
        <v>825</v>
      </c>
      <c r="O2903" s="26">
        <f>VLOOKUP(B2903, 'All Menu'!B:L, 6, 0)</f>
        <v>8.6206896551724146</v>
      </c>
      <c r="P2903" s="131">
        <f>VLOOKUP(B2903, 'All Menu'!B:L, 9, 0)</f>
        <v>6.1457205660048757</v>
      </c>
      <c r="Q2903" s="133">
        <f>VLOOKUP(B2903, 'All Menu'!B:M, 12, 0)</f>
        <v>0.28709641434343447</v>
      </c>
      <c r="R2903" s="173">
        <f t="shared" si="150"/>
        <v>0</v>
      </c>
    </row>
    <row r="2904" spans="1:18" ht="14" hidden="1">
      <c r="A2904" s="78" t="s">
        <v>2943</v>
      </c>
      <c r="B2904" s="220" t="s">
        <v>1086</v>
      </c>
      <c r="C2904" s="185"/>
      <c r="D2904" s="110" t="s">
        <v>1703</v>
      </c>
      <c r="E2904" s="30" t="str">
        <f>VLOOKUP(B2904, 'All Menu'!B:M, 2, 0)</f>
        <v>قسم الصواني</v>
      </c>
      <c r="F2904" s="103" t="str">
        <f>VLOOKUP(B2904, 'All Menu'!B:M, 3, 0)</f>
        <v>صواني وصجيات سفري</v>
      </c>
      <c r="G2904" s="90" t="s">
        <v>3058</v>
      </c>
      <c r="H2904" s="219">
        <v>4274</v>
      </c>
      <c r="I2904" s="110" t="str">
        <f>VLOOKUP(H2904, 'RM &amp; SF'!B:H, 2, 0)</f>
        <v>علب المركزية مطبوع + قاطع رقم 1 1*100 حبة*****</v>
      </c>
      <c r="J2904" s="184" t="str">
        <f>VLOOKUP(H2904, 'RM &amp; SF'!B:E, 4, 0)</f>
        <v>قطعة</v>
      </c>
      <c r="K2904" s="177">
        <v>1</v>
      </c>
      <c r="L2904" s="13">
        <f>VLOOKUP(H2904, 'RM &amp; SF'!B:H, 7, 0)</f>
        <v>0.25</v>
      </c>
      <c r="M2904" s="28">
        <f t="shared" si="147"/>
        <v>0.25</v>
      </c>
      <c r="N2904" s="26" t="s">
        <v>825</v>
      </c>
      <c r="O2904" s="26">
        <f>VLOOKUP(B2904, 'All Menu'!B:L, 6, 0)</f>
        <v>8.6206896551724146</v>
      </c>
      <c r="P2904" s="131">
        <f>VLOOKUP(B2904, 'All Menu'!B:L, 9, 0)</f>
        <v>6.1457205660048757</v>
      </c>
      <c r="Q2904" s="133">
        <f>VLOOKUP(B2904, 'All Menu'!B:M, 12, 0)</f>
        <v>0.28709641434343447</v>
      </c>
      <c r="R2904" s="173">
        <f t="shared" si="150"/>
        <v>0</v>
      </c>
    </row>
    <row r="2905" spans="1:18" ht="14" hidden="1">
      <c r="A2905" s="78" t="s">
        <v>2944</v>
      </c>
      <c r="B2905" s="220" t="s">
        <v>919</v>
      </c>
      <c r="C2905" s="185"/>
      <c r="D2905" s="110" t="s">
        <v>1821</v>
      </c>
      <c r="E2905" s="30" t="str">
        <f>VLOOKUP(B2905, 'All Menu'!B:M, 2, 0)</f>
        <v>قسم الصواني</v>
      </c>
      <c r="F2905" s="103" t="str">
        <f>VLOOKUP(B2905, 'All Menu'!B:M, 3, 0)</f>
        <v>صواني وصجيات سفري</v>
      </c>
      <c r="G2905" s="90" t="s">
        <v>2404</v>
      </c>
      <c r="H2905" s="219" t="s">
        <v>488</v>
      </c>
      <c r="I2905" s="110" t="str">
        <f>VLOOKUP(H2905, 'RM &amp; SF'!B:H, 2, 0)</f>
        <v>حمص</v>
      </c>
      <c r="J2905" s="184" t="str">
        <f>VLOOKUP(H2905, 'RM &amp; SF'!B:E, 4, 0)</f>
        <v>غم</v>
      </c>
      <c r="K2905" s="177">
        <v>400</v>
      </c>
      <c r="L2905" s="13">
        <f>VLOOKUP(H2905, 'RM &amp; SF'!B:H, 7, 0)</f>
        <v>1.3232918279569891E-3</v>
      </c>
      <c r="M2905" s="28">
        <f t="shared" si="147"/>
        <v>0.52931673118279565</v>
      </c>
      <c r="N2905" s="26" t="s">
        <v>825</v>
      </c>
      <c r="O2905" s="26">
        <f>VLOOKUP(B2905, 'All Menu'!B:L, 6, 0)</f>
        <v>6.4655172413793105</v>
      </c>
      <c r="P2905" s="131">
        <f>VLOOKUP(B2905, 'All Menu'!B:L, 9, 0)</f>
        <v>2.820059690952911</v>
      </c>
      <c r="Q2905" s="133">
        <f>VLOOKUP(B2905, 'All Menu'!B:M, 12, 0)</f>
        <v>0.56383076779928309</v>
      </c>
      <c r="R2905" s="173">
        <f t="shared" si="150"/>
        <v>0</v>
      </c>
    </row>
    <row r="2906" spans="1:18" ht="14" hidden="1">
      <c r="A2906" s="78" t="s">
        <v>2944</v>
      </c>
      <c r="B2906" s="220" t="s">
        <v>919</v>
      </c>
      <c r="C2906" s="185"/>
      <c r="D2906" s="110" t="s">
        <v>1821</v>
      </c>
      <c r="E2906" s="30" t="str">
        <f>VLOOKUP(B2906, 'All Menu'!B:M, 2, 0)</f>
        <v>قسم الصواني</v>
      </c>
      <c r="F2906" s="103" t="str">
        <f>VLOOKUP(B2906, 'All Menu'!B:M, 3, 0)</f>
        <v>صواني وصجيات سفري</v>
      </c>
      <c r="G2906" s="90" t="s">
        <v>2405</v>
      </c>
      <c r="H2906" s="219" t="s">
        <v>494</v>
      </c>
      <c r="I2906" s="110" t="str">
        <f>VLOOKUP(H2906, 'RM &amp; SF'!B:H, 2, 0)</f>
        <v>لحمة مفرومة</v>
      </c>
      <c r="J2906" s="184" t="str">
        <f>VLOOKUP(H2906, 'RM &amp; SF'!B:E, 4, 0)</f>
        <v>غم</v>
      </c>
      <c r="K2906" s="177">
        <v>220</v>
      </c>
      <c r="L2906" s="13">
        <f>VLOOKUP(H2906, 'RM &amp; SF'!B:H, 7, 0)</f>
        <v>7.2070000000000007E-3</v>
      </c>
      <c r="M2906" s="28">
        <f t="shared" si="147"/>
        <v>1.5855400000000002</v>
      </c>
      <c r="N2906" s="26" t="s">
        <v>825</v>
      </c>
      <c r="O2906" s="26">
        <f>VLOOKUP(B2906, 'All Menu'!B:L, 6, 0)</f>
        <v>6.4655172413793105</v>
      </c>
      <c r="P2906" s="131">
        <f>VLOOKUP(B2906, 'All Menu'!B:L, 9, 0)</f>
        <v>2.820059690952911</v>
      </c>
      <c r="Q2906" s="133">
        <f>VLOOKUP(B2906, 'All Menu'!B:M, 12, 0)</f>
        <v>0.56383076779928309</v>
      </c>
      <c r="R2906" s="173">
        <f t="shared" si="150"/>
        <v>0</v>
      </c>
    </row>
    <row r="2907" spans="1:18" ht="14" hidden="1">
      <c r="A2907" s="78" t="s">
        <v>2944</v>
      </c>
      <c r="B2907" s="220" t="s">
        <v>919</v>
      </c>
      <c r="C2907" s="185"/>
      <c r="D2907" s="110" t="s">
        <v>1821</v>
      </c>
      <c r="E2907" s="30" t="str">
        <f>VLOOKUP(B2907, 'All Menu'!B:M, 2, 0)</f>
        <v>قسم الصواني</v>
      </c>
      <c r="F2907" s="103" t="str">
        <f>VLOOKUP(B2907, 'All Menu'!B:M, 3, 0)</f>
        <v>صواني وصجيات سفري</v>
      </c>
      <c r="G2907" s="90" t="s">
        <v>2341</v>
      </c>
      <c r="H2907" s="219" t="s">
        <v>706</v>
      </c>
      <c r="I2907" s="110" t="str">
        <f>VLOOKUP(H2907, 'RM &amp; SF'!B:H, 2, 0)</f>
        <v>لوز مقلي</v>
      </c>
      <c r="J2907" s="184" t="str">
        <f>VLOOKUP(H2907, 'RM &amp; SF'!B:E, 4, 0)</f>
        <v>غم</v>
      </c>
      <c r="K2907" s="177">
        <v>30</v>
      </c>
      <c r="L2907" s="13">
        <f>VLOOKUP(H2907, 'RM &amp; SF'!B:H, 7, 0)</f>
        <v>4.1352327586206888E-3</v>
      </c>
      <c r="M2907" s="28">
        <f t="shared" si="147"/>
        <v>0.12405698275862066</v>
      </c>
      <c r="N2907" s="26" t="s">
        <v>825</v>
      </c>
      <c r="O2907" s="26">
        <f>VLOOKUP(B2907, 'All Menu'!B:L, 6, 0)</f>
        <v>6.4655172413793105</v>
      </c>
      <c r="P2907" s="131">
        <f>VLOOKUP(B2907, 'All Menu'!B:L, 9, 0)</f>
        <v>2.820059690952911</v>
      </c>
      <c r="Q2907" s="133">
        <f>VLOOKUP(B2907, 'All Menu'!B:M, 12, 0)</f>
        <v>0.56383076779928309</v>
      </c>
      <c r="R2907" s="173">
        <f t="shared" si="150"/>
        <v>0</v>
      </c>
    </row>
    <row r="2908" spans="1:18" ht="14" hidden="1">
      <c r="A2908" s="78" t="s">
        <v>2944</v>
      </c>
      <c r="B2908" s="220" t="s">
        <v>919</v>
      </c>
      <c r="C2908" s="185"/>
      <c r="D2908" s="110" t="s">
        <v>1821</v>
      </c>
      <c r="E2908" s="30" t="str">
        <f>VLOOKUP(B2908, 'All Menu'!B:M, 2, 0)</f>
        <v>قسم الصواني</v>
      </c>
      <c r="F2908" s="103" t="str">
        <f>VLOOKUP(B2908, 'All Menu'!B:M, 3, 0)</f>
        <v>صواني وصجيات سفري</v>
      </c>
      <c r="G2908" s="90" t="s">
        <v>2357</v>
      </c>
      <c r="H2908" s="219" t="s">
        <v>744</v>
      </c>
      <c r="I2908" s="110" t="str">
        <f>VLOOKUP(H2908, 'RM &amp; SF'!B:H, 2, 0)</f>
        <v>زيت زيتون مكسور</v>
      </c>
      <c r="J2908" s="184" t="str">
        <f>VLOOKUP(H2908, 'RM &amp; SF'!B:E, 4, 0)</f>
        <v>غم</v>
      </c>
      <c r="K2908" s="177">
        <v>40</v>
      </c>
      <c r="L2908" s="13">
        <f>VLOOKUP(H2908, 'RM &amp; SF'!B:H, 7, 0)</f>
        <v>3.3899999999999998E-3</v>
      </c>
      <c r="M2908" s="28">
        <f t="shared" si="147"/>
        <v>0.1356</v>
      </c>
      <c r="N2908" s="26" t="s">
        <v>825</v>
      </c>
      <c r="O2908" s="26">
        <f>VLOOKUP(B2908, 'All Menu'!B:L, 6, 0)</f>
        <v>6.4655172413793105</v>
      </c>
      <c r="P2908" s="131">
        <f>VLOOKUP(B2908, 'All Menu'!B:L, 9, 0)</f>
        <v>2.820059690952911</v>
      </c>
      <c r="Q2908" s="133">
        <f>VLOOKUP(B2908, 'All Menu'!B:M, 12, 0)</f>
        <v>0.56383076779928309</v>
      </c>
      <c r="R2908" s="173">
        <f t="shared" si="150"/>
        <v>0</v>
      </c>
    </row>
    <row r="2909" spans="1:18" ht="14" hidden="1">
      <c r="A2909" s="78" t="s">
        <v>2944</v>
      </c>
      <c r="B2909" s="220" t="s">
        <v>919</v>
      </c>
      <c r="C2909" s="185"/>
      <c r="D2909" s="110" t="s">
        <v>1821</v>
      </c>
      <c r="E2909" s="30" t="str">
        <f>VLOOKUP(B2909, 'All Menu'!B:M, 2, 0)</f>
        <v>قسم الصواني</v>
      </c>
      <c r="F2909" s="103" t="str">
        <f>VLOOKUP(B2909, 'All Menu'!B:M, 3, 0)</f>
        <v>صواني وصجيات سفري</v>
      </c>
      <c r="G2909" s="90" t="s">
        <v>2251</v>
      </c>
      <c r="H2909" s="219">
        <v>4544</v>
      </c>
      <c r="I2909" s="110" t="str">
        <f>VLOOKUP(H2909, 'RM &amp; SF'!B:H, 2, 0)</f>
        <v>بقدونس*****</v>
      </c>
      <c r="J2909" s="184" t="str">
        <f>VLOOKUP(H2909, 'RM &amp; SF'!B:E, 4, 0)</f>
        <v>غم</v>
      </c>
      <c r="K2909" s="177">
        <v>50</v>
      </c>
      <c r="L2909" s="13">
        <f>VLOOKUP(H2909, 'RM &amp; SF'!B:H, 7, 0)</f>
        <v>7.5000000000000002E-4</v>
      </c>
      <c r="M2909" s="28">
        <f t="shared" si="147"/>
        <v>3.7499999999999999E-2</v>
      </c>
      <c r="N2909" s="26" t="s">
        <v>825</v>
      </c>
      <c r="O2909" s="26">
        <f>VLOOKUP(B2909, 'All Menu'!B:L, 6, 0)</f>
        <v>6.4655172413793105</v>
      </c>
      <c r="P2909" s="131">
        <f>VLOOKUP(B2909, 'All Menu'!B:L, 9, 0)</f>
        <v>2.820059690952911</v>
      </c>
      <c r="Q2909" s="133">
        <f>VLOOKUP(B2909, 'All Menu'!B:M, 12, 0)</f>
        <v>0.56383076779928309</v>
      </c>
      <c r="R2909" s="173">
        <f t="shared" si="150"/>
        <v>0</v>
      </c>
    </row>
    <row r="2910" spans="1:18" ht="14" hidden="1">
      <c r="A2910" s="78" t="s">
        <v>2944</v>
      </c>
      <c r="B2910" s="220" t="s">
        <v>919</v>
      </c>
      <c r="C2910" s="185"/>
      <c r="D2910" s="110" t="s">
        <v>1821</v>
      </c>
      <c r="E2910" s="30" t="str">
        <f>VLOOKUP(B2910, 'All Menu'!B:M, 2, 0)</f>
        <v>قسم الصواني</v>
      </c>
      <c r="F2910" s="103" t="str">
        <f>VLOOKUP(B2910, 'All Menu'!B:M, 3, 0)</f>
        <v>صواني وصجيات سفري</v>
      </c>
      <c r="G2910" s="90" t="s">
        <v>3058</v>
      </c>
      <c r="H2910" s="219">
        <v>5424</v>
      </c>
      <c r="I2910" s="110" t="str">
        <f>VLOOKUP(H2910, 'RM &amp; SF'!B:H, 2, 0)</f>
        <v>علب قصدير مدور 1/2 كغ RZ 25*****</v>
      </c>
      <c r="J2910" s="184" t="str">
        <f>VLOOKUP(H2910, 'RM &amp; SF'!B:E, 4, 0)</f>
        <v>قطعة</v>
      </c>
      <c r="K2910" s="177">
        <v>1</v>
      </c>
      <c r="L2910" s="13">
        <f>VLOOKUP(H2910, 'RM &amp; SF'!B:H, 7, 0)</f>
        <v>0.1149425287356322</v>
      </c>
      <c r="M2910" s="28">
        <f t="shared" si="147"/>
        <v>0.1149425287356322</v>
      </c>
      <c r="N2910" s="26" t="s">
        <v>825</v>
      </c>
      <c r="O2910" s="26">
        <f>VLOOKUP(B2910, 'All Menu'!B:L, 6, 0)</f>
        <v>6.4655172413793105</v>
      </c>
      <c r="P2910" s="131">
        <f>VLOOKUP(B2910, 'All Menu'!B:L, 9, 0)</f>
        <v>2.820059690952911</v>
      </c>
      <c r="Q2910" s="133">
        <f>VLOOKUP(B2910, 'All Menu'!B:M, 12, 0)</f>
        <v>0.56383076779928309</v>
      </c>
      <c r="R2910" s="173">
        <f t="shared" si="150"/>
        <v>0</v>
      </c>
    </row>
    <row r="2911" spans="1:18" ht="14" hidden="1">
      <c r="A2911" s="78" t="s">
        <v>2944</v>
      </c>
      <c r="B2911" s="220" t="s">
        <v>919</v>
      </c>
      <c r="C2911" s="185"/>
      <c r="D2911" s="110" t="s">
        <v>1821</v>
      </c>
      <c r="E2911" s="30" t="str">
        <f>VLOOKUP(B2911, 'All Menu'!B:M, 2, 0)</f>
        <v>قسم الصواني</v>
      </c>
      <c r="F2911" s="103" t="str">
        <f>VLOOKUP(B2911, 'All Menu'!B:M, 3, 0)</f>
        <v>صواني وصجيات سفري</v>
      </c>
      <c r="G2911" s="90" t="s">
        <v>3058</v>
      </c>
      <c r="H2911" s="219">
        <v>4275</v>
      </c>
      <c r="I2911" s="110" t="str">
        <f>VLOOKUP(H2911, 'RM &amp; SF'!B:H, 2, 0)</f>
        <v>علب المركزية مطبوع + قاطع رقم 2 1*100 حبة*****</v>
      </c>
      <c r="J2911" s="184" t="str">
        <f>VLOOKUP(H2911, 'RM &amp; SF'!B:E, 4, 0)</f>
        <v>قطعة</v>
      </c>
      <c r="K2911" s="177">
        <v>1</v>
      </c>
      <c r="L2911" s="13">
        <f>VLOOKUP(H2911, 'RM &amp; SF'!B:H, 7, 0)</f>
        <v>0.2931034482758621</v>
      </c>
      <c r="M2911" s="28">
        <f t="shared" ref="M2911:M2928" si="151">L2911*K2911</f>
        <v>0.2931034482758621</v>
      </c>
      <c r="N2911" s="26" t="s">
        <v>825</v>
      </c>
      <c r="O2911" s="26">
        <f>VLOOKUP(B2911, 'All Menu'!B:L, 6, 0)</f>
        <v>6.4655172413793105</v>
      </c>
      <c r="P2911" s="131">
        <f>VLOOKUP(B2911, 'All Menu'!B:L, 9, 0)</f>
        <v>2.820059690952911</v>
      </c>
      <c r="Q2911" s="133">
        <f>VLOOKUP(B2911, 'All Menu'!B:M, 12, 0)</f>
        <v>0.56383076779928309</v>
      </c>
      <c r="R2911" s="173">
        <f t="shared" si="150"/>
        <v>0</v>
      </c>
    </row>
    <row r="2912" spans="1:18" ht="14" hidden="1">
      <c r="A2912" s="78" t="s">
        <v>2945</v>
      </c>
      <c r="B2912" s="220" t="s">
        <v>920</v>
      </c>
      <c r="C2912" s="185"/>
      <c r="D2912" s="110" t="s">
        <v>1822</v>
      </c>
      <c r="E2912" s="30" t="str">
        <f>VLOOKUP(B2912, 'All Menu'!B:M, 2, 0)</f>
        <v>قسم الصواني</v>
      </c>
      <c r="F2912" s="103" t="str">
        <f>VLOOKUP(B2912, 'All Menu'!B:M, 3, 0)</f>
        <v>صواني وصجيات سفري</v>
      </c>
      <c r="G2912" s="90" t="s">
        <v>2404</v>
      </c>
      <c r="H2912" s="219" t="s">
        <v>488</v>
      </c>
      <c r="I2912" s="110" t="str">
        <f>VLOOKUP(H2912, 'RM &amp; SF'!B:H, 2, 0)</f>
        <v>حمص</v>
      </c>
      <c r="J2912" s="184" t="str">
        <f>VLOOKUP(H2912, 'RM &amp; SF'!B:E, 4, 0)</f>
        <v>غم</v>
      </c>
      <c r="K2912" s="177">
        <v>800</v>
      </c>
      <c r="L2912" s="13">
        <f>VLOOKUP(H2912, 'RM &amp; SF'!B:H, 7, 0)</f>
        <v>1.3232918279569891E-3</v>
      </c>
      <c r="M2912" s="28">
        <f t="shared" si="151"/>
        <v>1.0586334623655913</v>
      </c>
      <c r="N2912" s="26" t="s">
        <v>825</v>
      </c>
      <c r="O2912" s="26">
        <f>VLOOKUP(B2912, 'All Menu'!B:L, 6, 0)</f>
        <v>12.068965517241381</v>
      </c>
      <c r="P2912" s="131">
        <f>VLOOKUP(B2912, 'All Menu'!B:L, 9, 0)</f>
        <v>6.0909734048943269</v>
      </c>
      <c r="Q2912" s="133">
        <f>VLOOKUP(B2912, 'All Menu'!B:M, 12, 0)</f>
        <v>0.49531934645161296</v>
      </c>
      <c r="R2912" s="173">
        <f t="shared" si="150"/>
        <v>0</v>
      </c>
    </row>
    <row r="2913" spans="1:18" ht="14" hidden="1">
      <c r="A2913" s="78" t="s">
        <v>2945</v>
      </c>
      <c r="B2913" s="220" t="s">
        <v>920</v>
      </c>
      <c r="C2913" s="185"/>
      <c r="D2913" s="110" t="s">
        <v>1822</v>
      </c>
      <c r="E2913" s="30" t="str">
        <f>VLOOKUP(B2913, 'All Menu'!B:M, 2, 0)</f>
        <v>قسم الصواني</v>
      </c>
      <c r="F2913" s="103" t="str">
        <f>VLOOKUP(B2913, 'All Menu'!B:M, 3, 0)</f>
        <v>صواني وصجيات سفري</v>
      </c>
      <c r="G2913" s="90" t="s">
        <v>2405</v>
      </c>
      <c r="H2913" s="219" t="s">
        <v>494</v>
      </c>
      <c r="I2913" s="110" t="str">
        <f>VLOOKUP(H2913, 'RM &amp; SF'!B:H, 2, 0)</f>
        <v>لحمة مفرومة</v>
      </c>
      <c r="J2913" s="184" t="str">
        <f>VLOOKUP(H2913, 'RM &amp; SF'!B:E, 4, 0)</f>
        <v>غم</v>
      </c>
      <c r="K2913" s="177">
        <v>440</v>
      </c>
      <c r="L2913" s="13">
        <f>VLOOKUP(H2913, 'RM &amp; SF'!B:H, 7, 0)</f>
        <v>7.2070000000000007E-3</v>
      </c>
      <c r="M2913" s="28">
        <f t="shared" si="151"/>
        <v>3.1710800000000003</v>
      </c>
      <c r="N2913" s="26" t="s">
        <v>825</v>
      </c>
      <c r="O2913" s="26">
        <f>VLOOKUP(B2913, 'All Menu'!B:L, 6, 0)</f>
        <v>12.068965517241381</v>
      </c>
      <c r="P2913" s="131">
        <f>VLOOKUP(B2913, 'All Menu'!B:L, 9, 0)</f>
        <v>6.0909734048943269</v>
      </c>
      <c r="Q2913" s="133">
        <f>VLOOKUP(B2913, 'All Menu'!B:M, 12, 0)</f>
        <v>0.49531934645161296</v>
      </c>
      <c r="R2913" s="173">
        <f t="shared" si="150"/>
        <v>0</v>
      </c>
    </row>
    <row r="2914" spans="1:18" ht="14" hidden="1">
      <c r="A2914" s="78" t="s">
        <v>2945</v>
      </c>
      <c r="B2914" s="220" t="s">
        <v>920</v>
      </c>
      <c r="C2914" s="185"/>
      <c r="D2914" s="110" t="s">
        <v>1822</v>
      </c>
      <c r="E2914" s="30" t="str">
        <f>VLOOKUP(B2914, 'All Menu'!B:M, 2, 0)</f>
        <v>قسم الصواني</v>
      </c>
      <c r="F2914" s="103" t="str">
        <f>VLOOKUP(B2914, 'All Menu'!B:M, 3, 0)</f>
        <v>صواني وصجيات سفري</v>
      </c>
      <c r="G2914" s="90" t="s">
        <v>3058</v>
      </c>
      <c r="H2914" s="219" t="s">
        <v>3042</v>
      </c>
      <c r="I2914" s="110" t="str">
        <f>VLOOKUP(H2914, 'RM &amp; SF'!B:H, 2, 0)</f>
        <v>علبة لوز مقلي 60 غرام</v>
      </c>
      <c r="J2914" s="184" t="str">
        <f>VLOOKUP(H2914, 'RM &amp; SF'!B:E, 4, 0)</f>
        <v>قطعة</v>
      </c>
      <c r="K2914" s="177">
        <v>60</v>
      </c>
      <c r="L2914" s="13">
        <f>VLOOKUP(H2914, 'RM &amp; SF'!B:H, 7, 0)</f>
        <v>1.9075232758620688E-2</v>
      </c>
      <c r="M2914" s="28">
        <f t="shared" si="151"/>
        <v>1.1445139655172414</v>
      </c>
      <c r="N2914" s="26" t="s">
        <v>825</v>
      </c>
      <c r="O2914" s="26">
        <f>VLOOKUP(B2914, 'All Menu'!B:L, 6, 0)</f>
        <v>12.068965517241381</v>
      </c>
      <c r="P2914" s="131">
        <f>VLOOKUP(B2914, 'All Menu'!B:L, 9, 0)</f>
        <v>6.0909734048943269</v>
      </c>
      <c r="Q2914" s="133">
        <f>VLOOKUP(B2914, 'All Menu'!B:M, 12, 0)</f>
        <v>0.49531934645161296</v>
      </c>
      <c r="R2914" s="173">
        <f t="shared" si="150"/>
        <v>0</v>
      </c>
    </row>
    <row r="2915" spans="1:18" ht="14" hidden="1">
      <c r="A2915" s="78" t="s">
        <v>2945</v>
      </c>
      <c r="B2915" s="220" t="s">
        <v>920</v>
      </c>
      <c r="C2915" s="185"/>
      <c r="D2915" s="110" t="s">
        <v>1822</v>
      </c>
      <c r="E2915" s="30" t="str">
        <f>VLOOKUP(B2915, 'All Menu'!B:M, 2, 0)</f>
        <v>قسم الصواني</v>
      </c>
      <c r="F2915" s="103" t="str">
        <f>VLOOKUP(B2915, 'All Menu'!B:M, 3, 0)</f>
        <v>صواني وصجيات سفري</v>
      </c>
      <c r="G2915" s="90" t="s">
        <v>2357</v>
      </c>
      <c r="H2915" s="219" t="s">
        <v>744</v>
      </c>
      <c r="I2915" s="110" t="str">
        <f>VLOOKUP(H2915, 'RM &amp; SF'!B:H, 2, 0)</f>
        <v>زيت زيتون مكسور</v>
      </c>
      <c r="J2915" s="184" t="str">
        <f>VLOOKUP(H2915, 'RM &amp; SF'!B:E, 4, 0)</f>
        <v>غم</v>
      </c>
      <c r="K2915" s="177">
        <v>80</v>
      </c>
      <c r="L2915" s="13">
        <f>VLOOKUP(H2915, 'RM &amp; SF'!B:H, 7, 0)</f>
        <v>3.3899999999999998E-3</v>
      </c>
      <c r="M2915" s="28">
        <f t="shared" si="151"/>
        <v>0.2712</v>
      </c>
      <c r="N2915" s="26" t="s">
        <v>825</v>
      </c>
      <c r="O2915" s="26">
        <f>VLOOKUP(B2915, 'All Menu'!B:L, 6, 0)</f>
        <v>12.068965517241381</v>
      </c>
      <c r="P2915" s="131">
        <f>VLOOKUP(B2915, 'All Menu'!B:L, 9, 0)</f>
        <v>6.0909734048943269</v>
      </c>
      <c r="Q2915" s="133">
        <f>VLOOKUP(B2915, 'All Menu'!B:M, 12, 0)</f>
        <v>0.49531934645161296</v>
      </c>
      <c r="R2915" s="173">
        <f t="shared" si="150"/>
        <v>0</v>
      </c>
    </row>
    <row r="2916" spans="1:18" ht="14" hidden="1">
      <c r="A2916" s="78" t="s">
        <v>2945</v>
      </c>
      <c r="B2916" s="220" t="s">
        <v>920</v>
      </c>
      <c r="C2916" s="185"/>
      <c r="D2916" s="110" t="s">
        <v>1822</v>
      </c>
      <c r="E2916" s="30" t="str">
        <f>VLOOKUP(B2916, 'All Menu'!B:M, 2, 0)</f>
        <v>قسم الصواني</v>
      </c>
      <c r="F2916" s="103" t="str">
        <f>VLOOKUP(B2916, 'All Menu'!B:M, 3, 0)</f>
        <v>صواني وصجيات سفري</v>
      </c>
      <c r="G2916" s="90" t="s">
        <v>2251</v>
      </c>
      <c r="H2916" s="219">
        <v>4544</v>
      </c>
      <c r="I2916" s="110" t="str">
        <f>VLOOKUP(H2916, 'RM &amp; SF'!B:H, 2, 0)</f>
        <v>بقدونس*****</v>
      </c>
      <c r="J2916" s="184" t="str">
        <f>VLOOKUP(H2916, 'RM &amp; SF'!B:E, 4, 0)</f>
        <v>غم</v>
      </c>
      <c r="K2916" s="177">
        <v>50</v>
      </c>
      <c r="L2916" s="13">
        <f>VLOOKUP(H2916, 'RM &amp; SF'!B:H, 7, 0)</f>
        <v>7.5000000000000002E-4</v>
      </c>
      <c r="M2916" s="28">
        <f t="shared" si="151"/>
        <v>3.7499999999999999E-2</v>
      </c>
      <c r="N2916" s="26" t="s">
        <v>825</v>
      </c>
      <c r="O2916" s="26">
        <f>VLOOKUP(B2916, 'All Menu'!B:L, 6, 0)</f>
        <v>12.068965517241381</v>
      </c>
      <c r="P2916" s="131">
        <f>VLOOKUP(B2916, 'All Menu'!B:L, 9, 0)</f>
        <v>6.0909734048943269</v>
      </c>
      <c r="Q2916" s="133">
        <f>VLOOKUP(B2916, 'All Menu'!B:M, 12, 0)</f>
        <v>0.49531934645161296</v>
      </c>
      <c r="R2916" s="173">
        <f t="shared" si="150"/>
        <v>0</v>
      </c>
    </row>
    <row r="2917" spans="1:18" ht="14" hidden="1">
      <c r="A2917" s="78" t="s">
        <v>2945</v>
      </c>
      <c r="B2917" s="220" t="s">
        <v>920</v>
      </c>
      <c r="C2917" s="185"/>
      <c r="D2917" s="110" t="s">
        <v>1822</v>
      </c>
      <c r="E2917" s="30" t="str">
        <f>VLOOKUP(B2917, 'All Menu'!B:M, 2, 0)</f>
        <v>قسم الصواني</v>
      </c>
      <c r="F2917" s="103" t="str">
        <f>VLOOKUP(B2917, 'All Menu'!B:M, 3, 0)</f>
        <v>صواني وصجيات سفري</v>
      </c>
      <c r="G2917" s="90" t="s">
        <v>3058</v>
      </c>
      <c r="H2917" s="219">
        <v>5424</v>
      </c>
      <c r="I2917" s="110" t="str">
        <f>VLOOKUP(H2917, 'RM &amp; SF'!B:H, 2, 0)</f>
        <v>علب قصدير مدور 1/2 كغ RZ 25*****</v>
      </c>
      <c r="J2917" s="184" t="str">
        <f>VLOOKUP(H2917, 'RM &amp; SF'!B:E, 4, 0)</f>
        <v>قطعة</v>
      </c>
      <c r="K2917" s="177">
        <v>1</v>
      </c>
      <c r="L2917" s="13">
        <f>VLOOKUP(H2917, 'RM &amp; SF'!B:H, 7, 0)</f>
        <v>0.1149425287356322</v>
      </c>
      <c r="M2917" s="28">
        <f t="shared" si="151"/>
        <v>0.1149425287356322</v>
      </c>
      <c r="N2917" s="26" t="s">
        <v>825</v>
      </c>
      <c r="O2917" s="26">
        <f>VLOOKUP(B2917, 'All Menu'!B:L, 6, 0)</f>
        <v>12.068965517241381</v>
      </c>
      <c r="P2917" s="131">
        <f>VLOOKUP(B2917, 'All Menu'!B:L, 9, 0)</f>
        <v>6.0909734048943269</v>
      </c>
      <c r="Q2917" s="133">
        <f>VLOOKUP(B2917, 'All Menu'!B:M, 12, 0)</f>
        <v>0.49531934645161296</v>
      </c>
      <c r="R2917" s="173">
        <f t="shared" si="150"/>
        <v>0</v>
      </c>
    </row>
    <row r="2918" spans="1:18" ht="14" hidden="1">
      <c r="A2918" s="78" t="s">
        <v>2945</v>
      </c>
      <c r="B2918" s="220" t="s">
        <v>920</v>
      </c>
      <c r="C2918" s="185"/>
      <c r="D2918" s="110" t="s">
        <v>1822</v>
      </c>
      <c r="E2918" s="30" t="str">
        <f>VLOOKUP(B2918, 'All Menu'!B:M, 2, 0)</f>
        <v>قسم الصواني</v>
      </c>
      <c r="F2918" s="103" t="str">
        <f>VLOOKUP(B2918, 'All Menu'!B:M, 3, 0)</f>
        <v>صواني وصجيات سفري</v>
      </c>
      <c r="G2918" s="90" t="s">
        <v>3058</v>
      </c>
      <c r="H2918" s="219">
        <v>4275</v>
      </c>
      <c r="I2918" s="110" t="str">
        <f>VLOOKUP(H2918, 'RM &amp; SF'!B:H, 2, 0)</f>
        <v>علب المركزية مطبوع + قاطع رقم 2 1*100 حبة*****</v>
      </c>
      <c r="J2918" s="184" t="str">
        <f>VLOOKUP(H2918, 'RM &amp; SF'!B:E, 4, 0)</f>
        <v>قطعة</v>
      </c>
      <c r="K2918" s="177">
        <v>1</v>
      </c>
      <c r="L2918" s="13">
        <f>VLOOKUP(H2918, 'RM &amp; SF'!B:H, 7, 0)</f>
        <v>0.2931034482758621</v>
      </c>
      <c r="M2918" s="28">
        <f t="shared" si="151"/>
        <v>0.2931034482758621</v>
      </c>
      <c r="N2918" s="26" t="s">
        <v>825</v>
      </c>
      <c r="O2918" s="26">
        <f>VLOOKUP(B2918, 'All Menu'!B:L, 6, 0)</f>
        <v>12.068965517241381</v>
      </c>
      <c r="P2918" s="131">
        <f>VLOOKUP(B2918, 'All Menu'!B:L, 9, 0)</f>
        <v>6.0909734048943269</v>
      </c>
      <c r="Q2918" s="133">
        <f>VLOOKUP(B2918, 'All Menu'!B:M, 12, 0)</f>
        <v>0.49531934645161296</v>
      </c>
      <c r="R2918" s="173">
        <f t="shared" si="150"/>
        <v>0</v>
      </c>
    </row>
    <row r="2919" spans="1:18" ht="14" hidden="1">
      <c r="A2919" s="78" t="s">
        <v>2946</v>
      </c>
      <c r="B2919" s="220" t="s">
        <v>915</v>
      </c>
      <c r="C2919" s="185"/>
      <c r="D2919" s="110" t="s">
        <v>1562</v>
      </c>
      <c r="E2919" s="30" t="str">
        <f>VLOOKUP(B2919, 'All Menu'!B:M, 2, 0)</f>
        <v>قسم الصواني</v>
      </c>
      <c r="F2919" s="103" t="str">
        <f>VLOOKUP(B2919, 'All Menu'!B:M, 3, 0)</f>
        <v>صواني وصجيات سفري</v>
      </c>
      <c r="G2919" s="90" t="s">
        <v>3058</v>
      </c>
      <c r="H2919" s="219">
        <v>4584</v>
      </c>
      <c r="I2919" s="110" t="str">
        <f>VLOOKUP(H2919, 'RM &amp; SF'!B:H, 2, 0)</f>
        <v>كبدة دجاج طازجة*****</v>
      </c>
      <c r="J2919" s="184" t="str">
        <f>VLOOKUP(H2919, 'RM &amp; SF'!B:E, 4, 0)</f>
        <v>غم</v>
      </c>
      <c r="K2919" s="177">
        <v>400</v>
      </c>
      <c r="L2919" s="13">
        <f>VLOOKUP(H2919, 'RM &amp; SF'!B:H, 7, 0)</f>
        <v>1.2999999999999999E-3</v>
      </c>
      <c r="M2919" s="28">
        <f t="shared" si="151"/>
        <v>0.52</v>
      </c>
      <c r="N2919" s="26" t="s">
        <v>825</v>
      </c>
      <c r="O2919" s="26">
        <f>VLOOKUP(B2919, 'All Menu'!B:L, 6, 0)</f>
        <v>5.1724137931034484</v>
      </c>
      <c r="P2919" s="131">
        <f>VLOOKUP(B2919, 'All Menu'!B:L, 9, 0)</f>
        <v>1.5146459770114944</v>
      </c>
      <c r="Q2919" s="133">
        <f>VLOOKUP(B2919, 'All Menu'!B:M, 12, 0)</f>
        <v>0.70716844444444438</v>
      </c>
      <c r="R2919" s="173">
        <f t="shared" si="150"/>
        <v>0</v>
      </c>
    </row>
    <row r="2920" spans="1:18" ht="14" hidden="1">
      <c r="A2920" s="78" t="s">
        <v>2946</v>
      </c>
      <c r="B2920" s="220" t="s">
        <v>915</v>
      </c>
      <c r="C2920" s="185"/>
      <c r="D2920" s="110" t="s">
        <v>1562</v>
      </c>
      <c r="E2920" s="30" t="str">
        <f>VLOOKUP(B2920, 'All Menu'!B:M, 2, 0)</f>
        <v>قسم الصواني</v>
      </c>
      <c r="F2920" s="103" t="str">
        <f>VLOOKUP(B2920, 'All Menu'!B:M, 3, 0)</f>
        <v>صواني وصجيات سفري</v>
      </c>
      <c r="G2920" s="90" t="s">
        <v>2209</v>
      </c>
      <c r="H2920" s="219">
        <v>4546</v>
      </c>
      <c r="I2920" s="110" t="str">
        <f>VLOOKUP(H2920, 'RM &amp; SF'!B:H, 2, 0)</f>
        <v>كزبرة*****</v>
      </c>
      <c r="J2920" s="184" t="str">
        <f>VLOOKUP(H2920, 'RM &amp; SF'!B:E, 4, 0)</f>
        <v>قطعة</v>
      </c>
      <c r="K2920" s="177">
        <v>0.1</v>
      </c>
      <c r="L2920" s="13">
        <f>VLOOKUP(H2920, 'RM &amp; SF'!B:H, 7, 0)</f>
        <v>1E-3</v>
      </c>
      <c r="M2920" s="28">
        <f t="shared" si="151"/>
        <v>1E-4</v>
      </c>
      <c r="N2920" s="26" t="s">
        <v>825</v>
      </c>
      <c r="O2920" s="26">
        <f>VLOOKUP(B2920, 'All Menu'!B:L, 6, 0)</f>
        <v>5.1724137931034484</v>
      </c>
      <c r="P2920" s="131">
        <f>VLOOKUP(B2920, 'All Menu'!B:L, 9, 0)</f>
        <v>1.5146459770114944</v>
      </c>
      <c r="Q2920" s="133">
        <f>VLOOKUP(B2920, 'All Menu'!B:M, 12, 0)</f>
        <v>0.70716844444444438</v>
      </c>
      <c r="R2920" s="173">
        <f t="shared" si="150"/>
        <v>0</v>
      </c>
    </row>
    <row r="2921" spans="1:18" ht="14" hidden="1">
      <c r="A2921" s="78" t="s">
        <v>2946</v>
      </c>
      <c r="B2921" s="220" t="s">
        <v>915</v>
      </c>
      <c r="C2921" s="185"/>
      <c r="D2921" s="110" t="s">
        <v>1562</v>
      </c>
      <c r="E2921" s="30" t="str">
        <f>VLOOKUP(B2921, 'All Menu'!B:M, 2, 0)</f>
        <v>قسم الصواني</v>
      </c>
      <c r="F2921" s="103" t="str">
        <f>VLOOKUP(B2921, 'All Menu'!B:M, 3, 0)</f>
        <v>صواني وصجيات سفري</v>
      </c>
      <c r="G2921" s="90" t="s">
        <v>2255</v>
      </c>
      <c r="H2921" s="219">
        <v>4573</v>
      </c>
      <c r="I2921" s="110" t="str">
        <f>VLOOKUP(H2921, 'RM &amp; SF'!B:H, 2, 0)</f>
        <v>عصير ليمون طازج 2.5 لتر*****</v>
      </c>
      <c r="J2921" s="184" t="str">
        <f>VLOOKUP(H2921, 'RM &amp; SF'!B:E, 4, 0)</f>
        <v>مل</v>
      </c>
      <c r="K2921" s="177">
        <v>60</v>
      </c>
      <c r="L2921" s="13">
        <f>VLOOKUP(H2921, 'RM &amp; SF'!B:H, 7, 0)</f>
        <v>2.5999999999999999E-3</v>
      </c>
      <c r="M2921" s="28">
        <f t="shared" si="151"/>
        <v>0.156</v>
      </c>
      <c r="N2921" s="26" t="s">
        <v>825</v>
      </c>
      <c r="O2921" s="26">
        <f>VLOOKUP(B2921, 'All Menu'!B:L, 6, 0)</f>
        <v>5.1724137931034484</v>
      </c>
      <c r="P2921" s="131">
        <f>VLOOKUP(B2921, 'All Menu'!B:L, 9, 0)</f>
        <v>1.5146459770114944</v>
      </c>
      <c r="Q2921" s="133">
        <f>VLOOKUP(B2921, 'All Menu'!B:M, 12, 0)</f>
        <v>0.70716844444444438</v>
      </c>
      <c r="R2921" s="173">
        <f t="shared" si="150"/>
        <v>0</v>
      </c>
    </row>
    <row r="2922" spans="1:18" ht="14" hidden="1">
      <c r="A2922" s="78" t="s">
        <v>2946</v>
      </c>
      <c r="B2922" s="220" t="s">
        <v>915</v>
      </c>
      <c r="C2922" s="185"/>
      <c r="D2922" s="110" t="s">
        <v>1562</v>
      </c>
      <c r="E2922" s="30" t="str">
        <f>VLOOKUP(B2922, 'All Menu'!B:M, 2, 0)</f>
        <v>قسم الصواني</v>
      </c>
      <c r="F2922" s="103" t="str">
        <f>VLOOKUP(B2922, 'All Menu'!B:M, 3, 0)</f>
        <v>صواني وصجيات سفري</v>
      </c>
      <c r="G2922" s="90" t="s">
        <v>2357</v>
      </c>
      <c r="H2922" s="219" t="s">
        <v>744</v>
      </c>
      <c r="I2922" s="110" t="str">
        <f>VLOOKUP(H2922, 'RM &amp; SF'!B:H, 2, 0)</f>
        <v>زيت زيتون مكسور</v>
      </c>
      <c r="J2922" s="184" t="str">
        <f>VLOOKUP(H2922, 'RM &amp; SF'!B:E, 4, 0)</f>
        <v>غم</v>
      </c>
      <c r="K2922" s="177">
        <v>60</v>
      </c>
      <c r="L2922" s="13">
        <f>VLOOKUP(H2922, 'RM &amp; SF'!B:H, 7, 0)</f>
        <v>3.3899999999999998E-3</v>
      </c>
      <c r="M2922" s="28">
        <f t="shared" si="151"/>
        <v>0.2034</v>
      </c>
      <c r="N2922" s="26" t="s">
        <v>825</v>
      </c>
      <c r="O2922" s="26">
        <f>VLOOKUP(B2922, 'All Menu'!B:L, 6, 0)</f>
        <v>5.1724137931034484</v>
      </c>
      <c r="P2922" s="131">
        <f>VLOOKUP(B2922, 'All Menu'!B:L, 9, 0)</f>
        <v>1.5146459770114944</v>
      </c>
      <c r="Q2922" s="133">
        <f>VLOOKUP(B2922, 'All Menu'!B:M, 12, 0)</f>
        <v>0.70716844444444438</v>
      </c>
      <c r="R2922" s="173">
        <f t="shared" si="150"/>
        <v>0</v>
      </c>
    </row>
    <row r="2923" spans="1:18" ht="15.5" hidden="1">
      <c r="A2923" s="78" t="s">
        <v>2946</v>
      </c>
      <c r="B2923" s="220" t="s">
        <v>915</v>
      </c>
      <c r="C2923" s="185"/>
      <c r="D2923" s="110" t="s">
        <v>1562</v>
      </c>
      <c r="E2923" s="30" t="str">
        <f>VLOOKUP(B2923, 'All Menu'!B:M, 2, 0)</f>
        <v>قسم الصواني</v>
      </c>
      <c r="F2923" s="103" t="str">
        <f>VLOOKUP(B2923, 'All Menu'!B:M, 3, 0)</f>
        <v>صواني وصجيات سفري</v>
      </c>
      <c r="G2923" s="90" t="s">
        <v>2321</v>
      </c>
      <c r="H2923" s="67">
        <v>5292</v>
      </c>
      <c r="I2923" s="110" t="str">
        <f>VLOOKUP(H2923, 'RM &amp; SF'!B:H, 2, 0)</f>
        <v>ثوم مقشر*****</v>
      </c>
      <c r="J2923" s="184" t="str">
        <f>VLOOKUP(H2923, 'RM &amp; SF'!B:E, 4, 0)</f>
        <v>غم</v>
      </c>
      <c r="K2923" s="177">
        <v>20</v>
      </c>
      <c r="L2923" s="13">
        <f>VLOOKUP(H2923, 'RM &amp; SF'!B:H, 7, 0)</f>
        <v>4.4999999999999997E-3</v>
      </c>
      <c r="M2923" s="28">
        <f t="shared" si="151"/>
        <v>0.09</v>
      </c>
      <c r="N2923" s="26" t="s">
        <v>825</v>
      </c>
      <c r="O2923" s="26">
        <f>VLOOKUP(B2923, 'All Menu'!B:L, 6, 0)</f>
        <v>5.1724137931034484</v>
      </c>
      <c r="P2923" s="131">
        <f>VLOOKUP(B2923, 'All Menu'!B:L, 9, 0)</f>
        <v>1.5146459770114944</v>
      </c>
      <c r="Q2923" s="133">
        <f>VLOOKUP(B2923, 'All Menu'!B:M, 12, 0)</f>
        <v>0.70716844444444438</v>
      </c>
      <c r="R2923" s="173">
        <f t="shared" si="150"/>
        <v>0</v>
      </c>
    </row>
    <row r="2924" spans="1:18" ht="14" hidden="1">
      <c r="A2924" s="78" t="s">
        <v>2946</v>
      </c>
      <c r="B2924" s="220" t="s">
        <v>915</v>
      </c>
      <c r="C2924" s="185"/>
      <c r="D2924" s="110" t="s">
        <v>1562</v>
      </c>
      <c r="E2924" s="30" t="str">
        <f>VLOOKUP(B2924, 'All Menu'!B:M, 2, 0)</f>
        <v>قسم الصواني</v>
      </c>
      <c r="F2924" s="103" t="str">
        <f>VLOOKUP(B2924, 'All Menu'!B:M, 3, 0)</f>
        <v>صواني وصجيات سفري</v>
      </c>
      <c r="G2924" s="90" t="s">
        <v>2231</v>
      </c>
      <c r="H2924" s="219">
        <v>4499</v>
      </c>
      <c r="I2924" s="110" t="str">
        <f>VLOOKUP(H2924, 'RM &amp; SF'!B:H, 2, 0)</f>
        <v>فلفل حار اخضر*****</v>
      </c>
      <c r="J2924" s="184" t="str">
        <f>VLOOKUP(H2924, 'RM &amp; SF'!B:E, 4, 0)</f>
        <v>غم</v>
      </c>
      <c r="K2924" s="177">
        <v>14</v>
      </c>
      <c r="L2924" s="13">
        <f>VLOOKUP(H2924, 'RM &amp; SF'!B:H, 7, 0)</f>
        <v>5.0000000000000001E-4</v>
      </c>
      <c r="M2924" s="28">
        <f t="shared" si="151"/>
        <v>7.0000000000000001E-3</v>
      </c>
      <c r="N2924" s="26" t="s">
        <v>825</v>
      </c>
      <c r="O2924" s="26">
        <f>VLOOKUP(B2924, 'All Menu'!B:L, 6, 0)</f>
        <v>5.1724137931034484</v>
      </c>
      <c r="P2924" s="131">
        <f>VLOOKUP(B2924, 'All Menu'!B:L, 9, 0)</f>
        <v>1.5146459770114944</v>
      </c>
      <c r="Q2924" s="133">
        <f>VLOOKUP(B2924, 'All Menu'!B:M, 12, 0)</f>
        <v>0.70716844444444438</v>
      </c>
      <c r="R2924" s="173">
        <f t="shared" si="150"/>
        <v>0</v>
      </c>
    </row>
    <row r="2925" spans="1:18" ht="14" hidden="1">
      <c r="A2925" s="78" t="s">
        <v>2946</v>
      </c>
      <c r="B2925" s="220" t="s">
        <v>915</v>
      </c>
      <c r="C2925" s="185"/>
      <c r="D2925" s="110" t="s">
        <v>1562</v>
      </c>
      <c r="E2925" s="30" t="str">
        <f>VLOOKUP(B2925, 'All Menu'!B:M, 2, 0)</f>
        <v>قسم الصواني</v>
      </c>
      <c r="F2925" s="103" t="str">
        <f>VLOOKUP(B2925, 'All Menu'!B:M, 3, 0)</f>
        <v>صواني وصجيات سفري</v>
      </c>
      <c r="G2925" s="90" t="s">
        <v>2234</v>
      </c>
      <c r="H2925" s="219">
        <v>4503</v>
      </c>
      <c r="I2925" s="110" t="str">
        <f>VLOOKUP(H2925, 'RM &amp; SF'!B:H, 2, 0)</f>
        <v>بصل ناشف دفش*****</v>
      </c>
      <c r="J2925" s="184" t="str">
        <f>VLOOKUP(H2925, 'RM &amp; SF'!B:E, 4, 0)</f>
        <v>غم</v>
      </c>
      <c r="K2925" s="177">
        <v>200</v>
      </c>
      <c r="L2925" s="13">
        <f>VLOOKUP(H2925, 'RM &amp; SF'!B:H, 7, 0)</f>
        <v>2.5000000000000001E-4</v>
      </c>
      <c r="M2925" s="28">
        <f t="shared" si="151"/>
        <v>0.05</v>
      </c>
      <c r="N2925" s="26" t="s">
        <v>825</v>
      </c>
      <c r="O2925" s="26">
        <f>VLOOKUP(B2925, 'All Menu'!B:L, 6, 0)</f>
        <v>5.1724137931034484</v>
      </c>
      <c r="P2925" s="131">
        <f>VLOOKUP(B2925, 'All Menu'!B:L, 9, 0)</f>
        <v>1.5146459770114944</v>
      </c>
      <c r="Q2925" s="133">
        <f>VLOOKUP(B2925, 'All Menu'!B:M, 12, 0)</f>
        <v>0.70716844444444438</v>
      </c>
      <c r="R2925" s="173">
        <f t="shared" si="150"/>
        <v>0</v>
      </c>
    </row>
    <row r="2926" spans="1:18" ht="14" hidden="1">
      <c r="A2926" s="78" t="s">
        <v>2946</v>
      </c>
      <c r="B2926" s="220" t="s">
        <v>915</v>
      </c>
      <c r="C2926" s="185"/>
      <c r="D2926" s="110" t="s">
        <v>1562</v>
      </c>
      <c r="E2926" s="30" t="str">
        <f>VLOOKUP(B2926, 'All Menu'!B:M, 2, 0)</f>
        <v>قسم الصواني</v>
      </c>
      <c r="F2926" s="103" t="str">
        <f>VLOOKUP(B2926, 'All Menu'!B:M, 3, 0)</f>
        <v>صواني وصجيات سفري</v>
      </c>
      <c r="G2926" s="90" t="s">
        <v>2260</v>
      </c>
      <c r="H2926" s="219">
        <v>4160</v>
      </c>
      <c r="I2926" s="110" t="str">
        <f>VLOOKUP(H2926, 'RM &amp; SF'!B:H, 2, 0)</f>
        <v>زيت صويا 18 لتر*****</v>
      </c>
      <c r="J2926" s="184" t="str">
        <f>VLOOKUP(H2926, 'RM &amp; SF'!B:E, 4, 0)</f>
        <v>مل</v>
      </c>
      <c r="K2926" s="177">
        <v>60</v>
      </c>
      <c r="L2926" s="13">
        <f>VLOOKUP(H2926, 'RM &amp; SF'!B:H, 7, 0)</f>
        <v>1.335E-3</v>
      </c>
      <c r="M2926" s="28">
        <f t="shared" si="151"/>
        <v>8.0100000000000005E-2</v>
      </c>
      <c r="N2926" s="26" t="s">
        <v>825</v>
      </c>
      <c r="O2926" s="26">
        <f>VLOOKUP(B2926, 'All Menu'!B:L, 6, 0)</f>
        <v>5.1724137931034484</v>
      </c>
      <c r="P2926" s="131">
        <f>VLOOKUP(B2926, 'All Menu'!B:L, 9, 0)</f>
        <v>1.5146459770114944</v>
      </c>
      <c r="Q2926" s="133">
        <f>VLOOKUP(B2926, 'All Menu'!B:M, 12, 0)</f>
        <v>0.70716844444444438</v>
      </c>
      <c r="R2926" s="173">
        <f t="shared" si="150"/>
        <v>0</v>
      </c>
    </row>
    <row r="2927" spans="1:18" ht="14" hidden="1">
      <c r="A2927" s="78" t="s">
        <v>2946</v>
      </c>
      <c r="B2927" s="220" t="s">
        <v>915</v>
      </c>
      <c r="C2927" s="185"/>
      <c r="D2927" s="110" t="s">
        <v>1562</v>
      </c>
      <c r="E2927" s="30" t="str">
        <f>VLOOKUP(B2927, 'All Menu'!B:M, 2, 0)</f>
        <v>قسم الصواني</v>
      </c>
      <c r="F2927" s="103" t="str">
        <f>VLOOKUP(B2927, 'All Menu'!B:M, 3, 0)</f>
        <v>صواني وصجيات سفري</v>
      </c>
      <c r="G2927" s="90" t="s">
        <v>3058</v>
      </c>
      <c r="H2927" s="219">
        <v>5424</v>
      </c>
      <c r="I2927" s="110" t="str">
        <f>VLOOKUP(H2927, 'RM &amp; SF'!B:H, 2, 0)</f>
        <v>علب قصدير مدور 1/2 كغ RZ 25*****</v>
      </c>
      <c r="J2927" s="184" t="str">
        <f>VLOOKUP(H2927, 'RM &amp; SF'!B:E, 4, 0)</f>
        <v>قطعة</v>
      </c>
      <c r="K2927" s="177">
        <v>1</v>
      </c>
      <c r="L2927" s="13">
        <f>VLOOKUP(H2927, 'RM &amp; SF'!B:H, 7, 0)</f>
        <v>0.1149425287356322</v>
      </c>
      <c r="M2927" s="28">
        <f t="shared" si="151"/>
        <v>0.1149425287356322</v>
      </c>
      <c r="N2927" s="26" t="s">
        <v>825</v>
      </c>
      <c r="O2927" s="26">
        <f>VLOOKUP(B2927, 'All Menu'!B:L, 6, 0)</f>
        <v>5.1724137931034484</v>
      </c>
      <c r="P2927" s="131">
        <f>VLOOKUP(B2927, 'All Menu'!B:L, 9, 0)</f>
        <v>1.5146459770114944</v>
      </c>
      <c r="Q2927" s="133">
        <f>VLOOKUP(B2927, 'All Menu'!B:M, 12, 0)</f>
        <v>0.70716844444444438</v>
      </c>
      <c r="R2927" s="173">
        <f t="shared" si="150"/>
        <v>0</v>
      </c>
    </row>
    <row r="2928" spans="1:18" ht="14" hidden="1">
      <c r="A2928" s="78" t="s">
        <v>2946</v>
      </c>
      <c r="B2928" s="220" t="s">
        <v>915</v>
      </c>
      <c r="C2928" s="185"/>
      <c r="D2928" s="110" t="s">
        <v>1562</v>
      </c>
      <c r="E2928" s="30" t="str">
        <f>VLOOKUP(B2928, 'All Menu'!B:M, 2, 0)</f>
        <v>قسم الصواني</v>
      </c>
      <c r="F2928" s="103" t="str">
        <f>VLOOKUP(B2928, 'All Menu'!B:M, 3, 0)</f>
        <v>صواني وصجيات سفري</v>
      </c>
      <c r="G2928" s="90" t="s">
        <v>3058</v>
      </c>
      <c r="H2928" s="219">
        <v>4275</v>
      </c>
      <c r="I2928" s="110" t="str">
        <f>VLOOKUP(H2928, 'RM &amp; SF'!B:H, 2, 0)</f>
        <v>علب المركزية مطبوع + قاطع رقم 2 1*100 حبة*****</v>
      </c>
      <c r="J2928" s="184" t="str">
        <f>VLOOKUP(H2928, 'RM &amp; SF'!B:E, 4, 0)</f>
        <v>قطعة</v>
      </c>
      <c r="K2928" s="177">
        <v>1</v>
      </c>
      <c r="L2928" s="13">
        <f>VLOOKUP(H2928, 'RM &amp; SF'!B:H, 7, 0)</f>
        <v>0.2931034482758621</v>
      </c>
      <c r="M2928" s="28">
        <f t="shared" si="151"/>
        <v>0.2931034482758621</v>
      </c>
      <c r="N2928" s="26" t="s">
        <v>825</v>
      </c>
      <c r="O2928" s="26">
        <f>VLOOKUP(B2928, 'All Menu'!B:L, 6, 0)</f>
        <v>5.1724137931034484</v>
      </c>
      <c r="P2928" s="131">
        <f>VLOOKUP(B2928, 'All Menu'!B:L, 9, 0)</f>
        <v>1.5146459770114944</v>
      </c>
      <c r="Q2928" s="133">
        <f>VLOOKUP(B2928, 'All Menu'!B:M, 12, 0)</f>
        <v>0.70716844444444438</v>
      </c>
      <c r="R2928" s="173">
        <f t="shared" si="150"/>
        <v>0</v>
      </c>
    </row>
    <row r="2929" spans="1:18" ht="14" hidden="1">
      <c r="A2929" s="78" t="s">
        <v>3082</v>
      </c>
      <c r="B2929" s="220" t="s">
        <v>1165</v>
      </c>
      <c r="C2929" s="185"/>
      <c r="D2929" s="30" t="str">
        <f>VLOOKUP(B2929, 'All Menu'!B:M, 4, 0)</f>
        <v>مقلوبة فول دجاج 1 دجاجة</v>
      </c>
      <c r="E2929" s="30" t="str">
        <f>VLOOKUP(B2929, 'All Menu'!B:M, 2, 0)</f>
        <v>قسم التواصي</v>
      </c>
      <c r="F2929" s="103" t="str">
        <f>VLOOKUP(B2929, 'All Menu'!B:M, 3, 0)</f>
        <v>التواصي سفري</v>
      </c>
      <c r="G2929" s="90" t="s">
        <v>2424</v>
      </c>
      <c r="H2929" s="221" t="s">
        <v>624</v>
      </c>
      <c r="I2929" s="110" t="str">
        <f>VLOOKUP(H2929, 'RM &amp; SF'!B:H, 2, 0)</f>
        <v>طبخة مقلوبة</v>
      </c>
      <c r="J2929" s="184" t="str">
        <f>VLOOKUP(H2929, 'RM &amp; SF'!B:E, 4, 0)</f>
        <v>غم</v>
      </c>
      <c r="K2929" s="22">
        <v>1000</v>
      </c>
      <c r="L2929" s="13">
        <f>VLOOKUP(H2929, 'RM &amp; SF'!B:H, 7, 0)</f>
        <v>5.309965277777778E-4</v>
      </c>
      <c r="M2929" s="15">
        <f t="shared" ref="M2929" si="152">L2929*K2929</f>
        <v>0.53099652777777784</v>
      </c>
      <c r="N2929" s="21" t="s">
        <v>825</v>
      </c>
      <c r="O2929" s="4">
        <f>VLOOKUP(B2929, 'All Menu'!B:L, 6, 0)</f>
        <v>10.344827586206897</v>
      </c>
      <c r="P2929" s="6">
        <f>VLOOKUP(B2929, 'All Menu'!B:L, 9, 0)</f>
        <v>3.8964989277777784</v>
      </c>
      <c r="Q2929" s="14">
        <f>VLOOKUP(B2929, 'All Menu'!B:M, 12, 0)</f>
        <v>0.62333843698148139</v>
      </c>
      <c r="R2929" s="173">
        <f t="shared" si="150"/>
        <v>0</v>
      </c>
    </row>
    <row r="2930" spans="1:18" ht="14" hidden="1">
      <c r="A2930" s="78" t="s">
        <v>3082</v>
      </c>
      <c r="B2930" s="220" t="s">
        <v>1165</v>
      </c>
      <c r="C2930" s="185"/>
      <c r="D2930" s="30" t="str">
        <f>VLOOKUP(B2930, 'All Menu'!B:M, 4, 0)</f>
        <v>مقلوبة فول دجاج 1 دجاجة</v>
      </c>
      <c r="E2930" s="30" t="str">
        <f>VLOOKUP(B2930, 'All Menu'!B:M, 2, 0)</f>
        <v>قسم التواصي</v>
      </c>
      <c r="F2930" s="103" t="str">
        <f>VLOOKUP(B2930, 'All Menu'!B:M, 3, 0)</f>
        <v>التواصي سفري</v>
      </c>
      <c r="G2930" s="90" t="s">
        <v>2417</v>
      </c>
      <c r="H2930" s="219" t="s">
        <v>544</v>
      </c>
      <c r="I2930" s="110" t="str">
        <f>VLOOKUP(H2930, 'RM &amp; SF'!B:H, 2, 0)</f>
        <v>دجاجة متبلة</v>
      </c>
      <c r="J2930" s="184" t="str">
        <f>VLOOKUP(H2930, 'RM &amp; SF'!B:E, 4, 0)</f>
        <v>قطعة</v>
      </c>
      <c r="K2930" s="177">
        <v>1</v>
      </c>
      <c r="L2930" s="13">
        <f>VLOOKUP(H2930, 'RM &amp; SF'!B:H, 7, 0)</f>
        <v>3.0853324000000004</v>
      </c>
      <c r="M2930" s="15">
        <f t="shared" ref="M2930:M2993" si="153">L2930*K2930</f>
        <v>3.0853324000000004</v>
      </c>
      <c r="N2930" s="21" t="s">
        <v>825</v>
      </c>
      <c r="O2930" s="4">
        <f>VLOOKUP(B2930, 'All Menu'!B:L, 6, 0)</f>
        <v>10.344827586206897</v>
      </c>
      <c r="P2930" s="6">
        <f>VLOOKUP(B2930, 'All Menu'!B:L, 9, 0)</f>
        <v>3.8964989277777784</v>
      </c>
      <c r="Q2930" s="14">
        <f>VLOOKUP(B2930, 'All Menu'!B:M, 12, 0)</f>
        <v>0.62333843698148139</v>
      </c>
      <c r="R2930" s="173">
        <f t="shared" si="150"/>
        <v>0</v>
      </c>
    </row>
    <row r="2931" spans="1:18" ht="14" hidden="1">
      <c r="A2931" s="78" t="s">
        <v>3082</v>
      </c>
      <c r="B2931" s="220" t="s">
        <v>1165</v>
      </c>
      <c r="C2931" s="185"/>
      <c r="D2931" s="30" t="str">
        <f>VLOOKUP(B2931, 'All Menu'!B:M, 4, 0)</f>
        <v>مقلوبة فول دجاج 1 دجاجة</v>
      </c>
      <c r="E2931" s="30" t="str">
        <f>VLOOKUP(B2931, 'All Menu'!B:M, 2, 0)</f>
        <v>قسم التواصي</v>
      </c>
      <c r="F2931" s="103" t="str">
        <f>VLOOKUP(B2931, 'All Menu'!B:M, 3, 0)</f>
        <v>التواصي سفري</v>
      </c>
      <c r="G2931" s="90" t="s">
        <v>3058</v>
      </c>
      <c r="H2931" s="219">
        <v>4354</v>
      </c>
      <c r="I2931" s="110" t="str">
        <f>VLOOKUP(H2931, 'RM &amp; SF'!B:H, 2, 0)</f>
        <v>سدر بلاستيك دائري 35 سم*****</v>
      </c>
      <c r="J2931" s="184" t="str">
        <f>VLOOKUP(H2931, 'RM &amp; SF'!B:E, 4, 0)</f>
        <v>قطعة</v>
      </c>
      <c r="K2931" s="78">
        <v>1</v>
      </c>
      <c r="L2931" s="13">
        <f>VLOOKUP(H2931, 'RM &amp; SF'!B:H, 7, 0)</f>
        <v>0.28016999999999997</v>
      </c>
      <c r="M2931" s="15">
        <f t="shared" si="153"/>
        <v>0.28016999999999997</v>
      </c>
      <c r="N2931" s="21" t="s">
        <v>825</v>
      </c>
      <c r="O2931" s="4">
        <f>VLOOKUP(B2931, 'All Menu'!B:L, 6, 0)</f>
        <v>10.344827586206897</v>
      </c>
      <c r="P2931" s="6">
        <f>VLOOKUP(B2931, 'All Menu'!B:L, 9, 0)</f>
        <v>3.8964989277777784</v>
      </c>
      <c r="Q2931" s="14">
        <f>VLOOKUP(B2931, 'All Menu'!B:M, 12, 0)</f>
        <v>0.62333843698148139</v>
      </c>
      <c r="R2931" s="173">
        <f t="shared" si="150"/>
        <v>0</v>
      </c>
    </row>
    <row r="2932" spans="1:18" ht="14" hidden="1">
      <c r="A2932" s="78" t="s">
        <v>3083</v>
      </c>
      <c r="B2932" s="220" t="s">
        <v>1166</v>
      </c>
      <c r="C2932" s="185"/>
      <c r="D2932" s="30" t="str">
        <f>VLOOKUP(B2932, 'All Menu'!B:M, 4, 0)</f>
        <v>مقلوبة زهرة دجاج 1 دجاجة</v>
      </c>
      <c r="E2932" s="30" t="str">
        <f>VLOOKUP(B2932, 'All Menu'!B:M, 2, 0)</f>
        <v>قسم التواصي</v>
      </c>
      <c r="F2932" s="103" t="str">
        <f>VLOOKUP(B2932, 'All Menu'!B:M, 3, 0)</f>
        <v>التواصي سفري</v>
      </c>
      <c r="G2932" s="90" t="s">
        <v>2424</v>
      </c>
      <c r="H2932" s="219" t="s">
        <v>624</v>
      </c>
      <c r="I2932" s="110" t="str">
        <f>VLOOKUP(H2932, 'RM &amp; SF'!B:H, 2, 0)</f>
        <v>طبخة مقلوبة</v>
      </c>
      <c r="J2932" s="184" t="str">
        <f>VLOOKUP(H2932, 'RM &amp; SF'!B:E, 4, 0)</f>
        <v>غم</v>
      </c>
      <c r="K2932" s="78">
        <v>1000</v>
      </c>
      <c r="L2932" s="13">
        <f>VLOOKUP(H2932, 'RM &amp; SF'!B:H, 7, 0)</f>
        <v>5.309965277777778E-4</v>
      </c>
      <c r="M2932" s="15">
        <f t="shared" si="153"/>
        <v>0.53099652777777784</v>
      </c>
      <c r="N2932" s="21" t="s">
        <v>825</v>
      </c>
      <c r="O2932" s="4">
        <f>VLOOKUP(B2932, 'All Menu'!B:L, 6, 0)</f>
        <v>10.344827586206897</v>
      </c>
      <c r="P2932" s="6">
        <f>VLOOKUP(B2932, 'All Menu'!B:L, 9, 0)</f>
        <v>3.8964989277777784</v>
      </c>
      <c r="Q2932" s="14">
        <f>VLOOKUP(B2932, 'All Menu'!B:M, 12, 0)</f>
        <v>0.62333843698148139</v>
      </c>
      <c r="R2932" s="173">
        <f t="shared" si="150"/>
        <v>0</v>
      </c>
    </row>
    <row r="2933" spans="1:18" ht="14" hidden="1">
      <c r="A2933" s="78" t="s">
        <v>3083</v>
      </c>
      <c r="B2933" s="220" t="s">
        <v>1166</v>
      </c>
      <c r="C2933" s="185"/>
      <c r="D2933" s="30" t="str">
        <f>VLOOKUP(B2933, 'All Menu'!B:M, 4, 0)</f>
        <v>مقلوبة زهرة دجاج 1 دجاجة</v>
      </c>
      <c r="E2933" s="30" t="str">
        <f>VLOOKUP(B2933, 'All Menu'!B:M, 2, 0)</f>
        <v>قسم التواصي</v>
      </c>
      <c r="F2933" s="103" t="str">
        <f>VLOOKUP(B2933, 'All Menu'!B:M, 3, 0)</f>
        <v>التواصي سفري</v>
      </c>
      <c r="G2933" s="90" t="s">
        <v>2417</v>
      </c>
      <c r="H2933" s="219" t="s">
        <v>544</v>
      </c>
      <c r="I2933" s="110" t="str">
        <f>VLOOKUP(H2933, 'RM &amp; SF'!B:H, 2, 0)</f>
        <v>دجاجة متبلة</v>
      </c>
      <c r="J2933" s="184" t="str">
        <f>VLOOKUP(H2933, 'RM &amp; SF'!B:E, 4, 0)</f>
        <v>قطعة</v>
      </c>
      <c r="K2933" s="78">
        <v>1</v>
      </c>
      <c r="L2933" s="13">
        <f>VLOOKUP(H2933, 'RM &amp; SF'!B:H, 7, 0)</f>
        <v>3.0853324000000004</v>
      </c>
      <c r="M2933" s="15">
        <f t="shared" si="153"/>
        <v>3.0853324000000004</v>
      </c>
      <c r="N2933" s="21" t="s">
        <v>825</v>
      </c>
      <c r="O2933" s="4">
        <f>VLOOKUP(B2933, 'All Menu'!B:L, 6, 0)</f>
        <v>10.344827586206897</v>
      </c>
      <c r="P2933" s="6">
        <f>VLOOKUP(B2933, 'All Menu'!B:L, 9, 0)</f>
        <v>3.8964989277777784</v>
      </c>
      <c r="Q2933" s="14">
        <f>VLOOKUP(B2933, 'All Menu'!B:M, 12, 0)</f>
        <v>0.62333843698148139</v>
      </c>
      <c r="R2933" s="173">
        <f t="shared" si="150"/>
        <v>0</v>
      </c>
    </row>
    <row r="2934" spans="1:18" ht="14" hidden="1">
      <c r="A2934" s="78" t="s">
        <v>3083</v>
      </c>
      <c r="B2934" s="220" t="s">
        <v>1166</v>
      </c>
      <c r="C2934" s="185"/>
      <c r="D2934" s="30" t="str">
        <f>VLOOKUP(B2934, 'All Menu'!B:M, 4, 0)</f>
        <v>مقلوبة زهرة دجاج 1 دجاجة</v>
      </c>
      <c r="E2934" s="30" t="str">
        <f>VLOOKUP(B2934, 'All Menu'!B:M, 2, 0)</f>
        <v>قسم التواصي</v>
      </c>
      <c r="F2934" s="103" t="str">
        <f>VLOOKUP(B2934, 'All Menu'!B:M, 3, 0)</f>
        <v>التواصي سفري</v>
      </c>
      <c r="G2934" s="90" t="s">
        <v>3058</v>
      </c>
      <c r="H2934" s="219">
        <v>4354</v>
      </c>
      <c r="I2934" s="110" t="str">
        <f>VLOOKUP(H2934, 'RM &amp; SF'!B:H, 2, 0)</f>
        <v>سدر بلاستيك دائري 35 سم*****</v>
      </c>
      <c r="J2934" s="184" t="str">
        <f>VLOOKUP(H2934, 'RM &amp; SF'!B:E, 4, 0)</f>
        <v>قطعة</v>
      </c>
      <c r="K2934" s="78">
        <v>1</v>
      </c>
      <c r="L2934" s="13">
        <f>VLOOKUP(H2934, 'RM &amp; SF'!B:H, 7, 0)</f>
        <v>0.28016999999999997</v>
      </c>
      <c r="M2934" s="15">
        <f t="shared" si="153"/>
        <v>0.28016999999999997</v>
      </c>
      <c r="N2934" s="21" t="s">
        <v>825</v>
      </c>
      <c r="O2934" s="4">
        <f>VLOOKUP(B2934, 'All Menu'!B:L, 6, 0)</f>
        <v>10.344827586206897</v>
      </c>
      <c r="P2934" s="6">
        <f>VLOOKUP(B2934, 'All Menu'!B:L, 9, 0)</f>
        <v>3.8964989277777784</v>
      </c>
      <c r="Q2934" s="14">
        <f>VLOOKUP(B2934, 'All Menu'!B:M, 12, 0)</f>
        <v>0.62333843698148139</v>
      </c>
      <c r="R2934" s="173">
        <f t="shared" si="150"/>
        <v>0</v>
      </c>
    </row>
    <row r="2935" spans="1:18" ht="14" hidden="1">
      <c r="A2935" s="78" t="s">
        <v>2949</v>
      </c>
      <c r="B2935" s="220" t="s">
        <v>1172</v>
      </c>
      <c r="C2935" s="185"/>
      <c r="D2935" s="30" t="str">
        <f>VLOOKUP(B2935, 'All Menu'!B:M, 4, 0)</f>
        <v>مقلوبة دجاجة</v>
      </c>
      <c r="E2935" s="30" t="str">
        <f>VLOOKUP(B2935, 'All Menu'!B:M, 2, 0)</f>
        <v>قسم التواصي</v>
      </c>
      <c r="F2935" s="103" t="str">
        <f>VLOOKUP(B2935, 'All Menu'!B:M, 3, 0)</f>
        <v>التواصي سفري2</v>
      </c>
      <c r="G2935" s="90" t="s">
        <v>2309</v>
      </c>
      <c r="H2935" s="219">
        <v>4491</v>
      </c>
      <c r="I2935" s="110" t="str">
        <f>VLOOKUP(H2935, 'RM &amp; SF'!B:H, 2, 0)</f>
        <v>بندورة جامدة*****</v>
      </c>
      <c r="J2935" s="184" t="str">
        <f>VLOOKUP(H2935, 'RM &amp; SF'!B:E, 4, 0)</f>
        <v>غم</v>
      </c>
      <c r="K2935" s="78">
        <v>150</v>
      </c>
      <c r="L2935" s="13">
        <f>VLOOKUP(H2935, 'RM &amp; SF'!B:H, 7, 0)</f>
        <v>5.0000000000000001E-4</v>
      </c>
      <c r="M2935" s="15">
        <f t="shared" si="153"/>
        <v>7.4999999999999997E-2</v>
      </c>
      <c r="N2935" s="21" t="s">
        <v>825</v>
      </c>
      <c r="O2935" s="4">
        <f>VLOOKUP(B2935, 'All Menu'!B:L, 6, 0)</f>
        <v>11.206896551724139</v>
      </c>
      <c r="P2935" s="6">
        <f>VLOOKUP(B2935, 'All Menu'!B:L, 9, 0)</f>
        <v>6.2112614459770112</v>
      </c>
      <c r="Q2935" s="14">
        <f>VLOOKUP(B2935, 'All Menu'!B:M, 12, 0)</f>
        <v>0.44576436328205132</v>
      </c>
      <c r="R2935" s="173">
        <f t="shared" si="150"/>
        <v>0</v>
      </c>
    </row>
    <row r="2936" spans="1:18" ht="14" hidden="1">
      <c r="A2936" s="78" t="s">
        <v>2949</v>
      </c>
      <c r="B2936" s="220" t="s">
        <v>1172</v>
      </c>
      <c r="C2936" s="185"/>
      <c r="D2936" s="30" t="str">
        <f>VLOOKUP(B2936, 'All Menu'!B:M, 4, 0)</f>
        <v>مقلوبة دجاجة</v>
      </c>
      <c r="E2936" s="30" t="str">
        <f>VLOOKUP(B2936, 'All Menu'!B:M, 2, 0)</f>
        <v>قسم التواصي</v>
      </c>
      <c r="F2936" s="103" t="str">
        <f>VLOOKUP(B2936, 'All Menu'!B:M, 3, 0)</f>
        <v>التواصي سفري2</v>
      </c>
      <c r="G2936" s="90" t="s">
        <v>2247</v>
      </c>
      <c r="H2936" s="219">
        <v>4525</v>
      </c>
      <c r="I2936" s="110" t="str">
        <f>VLOOKUP(H2936, 'RM &amp; SF'!B:H, 2, 0)</f>
        <v>زهرة*****</v>
      </c>
      <c r="J2936" s="184" t="str">
        <f>VLOOKUP(H2936, 'RM &amp; SF'!B:E, 4, 0)</f>
        <v>غم</v>
      </c>
      <c r="K2936" s="78">
        <v>700</v>
      </c>
      <c r="L2936" s="13">
        <f>VLOOKUP(H2936, 'RM &amp; SF'!B:H, 7, 0)</f>
        <v>1E-3</v>
      </c>
      <c r="M2936" s="15">
        <f t="shared" si="153"/>
        <v>0.70000000000000007</v>
      </c>
      <c r="N2936" s="21" t="s">
        <v>825</v>
      </c>
      <c r="O2936" s="4">
        <f>VLOOKUP(B2936, 'All Menu'!B:L, 6, 0)</f>
        <v>11.206896551724139</v>
      </c>
      <c r="P2936" s="6">
        <f>VLOOKUP(B2936, 'All Menu'!B:L, 9, 0)</f>
        <v>6.2112614459770112</v>
      </c>
      <c r="Q2936" s="14">
        <f>VLOOKUP(B2936, 'All Menu'!B:M, 12, 0)</f>
        <v>0.44576436328205132</v>
      </c>
      <c r="R2936" s="173">
        <f t="shared" si="150"/>
        <v>0</v>
      </c>
    </row>
    <row r="2937" spans="1:18" ht="14" hidden="1">
      <c r="A2937" s="78" t="s">
        <v>2949</v>
      </c>
      <c r="B2937" s="220" t="s">
        <v>1172</v>
      </c>
      <c r="C2937" s="185"/>
      <c r="D2937" s="30" t="str">
        <f>VLOOKUP(B2937, 'All Menu'!B:M, 4, 0)</f>
        <v>مقلوبة دجاجة</v>
      </c>
      <c r="E2937" s="30" t="str">
        <f>VLOOKUP(B2937, 'All Menu'!B:M, 2, 0)</f>
        <v>قسم التواصي</v>
      </c>
      <c r="F2937" s="103" t="str">
        <f>VLOOKUP(B2937, 'All Menu'!B:M, 3, 0)</f>
        <v>التواصي سفري2</v>
      </c>
      <c r="G2937" s="90" t="s">
        <v>2230</v>
      </c>
      <c r="H2937" s="219">
        <v>4497</v>
      </c>
      <c r="I2937" s="110" t="str">
        <f>VLOOKUP(H2937, 'RM &amp; SF'!B:H, 2, 0)</f>
        <v>بطاطا*****</v>
      </c>
      <c r="J2937" s="184" t="str">
        <f>VLOOKUP(H2937, 'RM &amp; SF'!B:E, 4, 0)</f>
        <v>غم</v>
      </c>
      <c r="K2937" s="78">
        <v>500</v>
      </c>
      <c r="L2937" s="13">
        <f>VLOOKUP(H2937, 'RM &amp; SF'!B:H, 7, 0)</f>
        <v>4.0000000000000002E-4</v>
      </c>
      <c r="M2937" s="15">
        <f t="shared" si="153"/>
        <v>0.2</v>
      </c>
      <c r="N2937" s="21" t="s">
        <v>825</v>
      </c>
      <c r="O2937" s="4">
        <f>VLOOKUP(B2937, 'All Menu'!B:L, 6, 0)</f>
        <v>11.206896551724139</v>
      </c>
      <c r="P2937" s="6">
        <f>VLOOKUP(B2937, 'All Menu'!B:L, 9, 0)</f>
        <v>6.2112614459770112</v>
      </c>
      <c r="Q2937" s="14">
        <f>VLOOKUP(B2937, 'All Menu'!B:M, 12, 0)</f>
        <v>0.44576436328205132</v>
      </c>
      <c r="R2937" s="173">
        <f t="shared" si="150"/>
        <v>0</v>
      </c>
    </row>
    <row r="2938" spans="1:18" ht="14" hidden="1">
      <c r="A2938" s="78" t="s">
        <v>2949</v>
      </c>
      <c r="B2938" s="220" t="s">
        <v>1172</v>
      </c>
      <c r="C2938" s="185"/>
      <c r="D2938" s="30" t="str">
        <f>VLOOKUP(B2938, 'All Menu'!B:M, 4, 0)</f>
        <v>مقلوبة دجاجة</v>
      </c>
      <c r="E2938" s="30" t="str">
        <f>VLOOKUP(B2938, 'All Menu'!B:M, 2, 0)</f>
        <v>قسم التواصي</v>
      </c>
      <c r="F2938" s="103" t="str">
        <f>VLOOKUP(B2938, 'All Menu'!B:M, 3, 0)</f>
        <v>التواصي سفري2</v>
      </c>
      <c r="G2938" s="90" t="s">
        <v>2229</v>
      </c>
      <c r="H2938" s="219">
        <v>4494</v>
      </c>
      <c r="I2938" s="110" t="str">
        <f>VLOOKUP(H2938, 'RM &amp; SF'!B:H, 2, 0)</f>
        <v>باذنجان (اسود) كلاسك*****</v>
      </c>
      <c r="J2938" s="184" t="str">
        <f>VLOOKUP(H2938, 'RM &amp; SF'!B:E, 4, 0)</f>
        <v>غم</v>
      </c>
      <c r="K2938" s="78">
        <v>700</v>
      </c>
      <c r="L2938" s="13">
        <f>VLOOKUP(H2938, 'RM &amp; SF'!B:H, 7, 0)</f>
        <v>4.4999999999999999E-4</v>
      </c>
      <c r="M2938" s="15">
        <f t="shared" si="153"/>
        <v>0.315</v>
      </c>
      <c r="N2938" s="21" t="s">
        <v>825</v>
      </c>
      <c r="O2938" s="4">
        <f>VLOOKUP(B2938, 'All Menu'!B:L, 6, 0)</f>
        <v>11.206896551724139</v>
      </c>
      <c r="P2938" s="6">
        <f>VLOOKUP(B2938, 'All Menu'!B:L, 9, 0)</f>
        <v>6.2112614459770112</v>
      </c>
      <c r="Q2938" s="14">
        <f>VLOOKUP(B2938, 'All Menu'!B:M, 12, 0)</f>
        <v>0.44576436328205132</v>
      </c>
      <c r="R2938" s="173">
        <f t="shared" si="150"/>
        <v>0</v>
      </c>
    </row>
    <row r="2939" spans="1:18" ht="14" hidden="1">
      <c r="A2939" s="78" t="s">
        <v>2949</v>
      </c>
      <c r="B2939" s="220" t="s">
        <v>1172</v>
      </c>
      <c r="C2939" s="185"/>
      <c r="D2939" s="30" t="str">
        <f>VLOOKUP(B2939, 'All Menu'!B:M, 4, 0)</f>
        <v>مقلوبة دجاجة</v>
      </c>
      <c r="E2939" s="30" t="str">
        <f>VLOOKUP(B2939, 'All Menu'!B:M, 2, 0)</f>
        <v>قسم التواصي</v>
      </c>
      <c r="F2939" s="103" t="str">
        <f>VLOOKUP(B2939, 'All Menu'!B:M, 3, 0)</f>
        <v>التواصي سفري2</v>
      </c>
      <c r="G2939" s="90" t="s">
        <v>2281</v>
      </c>
      <c r="H2939" s="219">
        <v>4133</v>
      </c>
      <c r="I2939" s="110" t="str">
        <f>VLOOKUP(H2939, 'RM &amp; SF'!B:H, 2, 0)</f>
        <v>ارز بسمتي ذهبي*****</v>
      </c>
      <c r="J2939" s="184" t="str">
        <f>VLOOKUP(H2939, 'RM &amp; SF'!B:E, 4, 0)</f>
        <v>غم</v>
      </c>
      <c r="K2939" s="78">
        <v>300</v>
      </c>
      <c r="L2939" s="13">
        <f>VLOOKUP(H2939, 'RM &amp; SF'!B:H, 7, 0)</f>
        <v>1.1000000000000001E-3</v>
      </c>
      <c r="M2939" s="15">
        <f t="shared" si="153"/>
        <v>0.33</v>
      </c>
      <c r="N2939" s="21" t="s">
        <v>825</v>
      </c>
      <c r="O2939" s="4">
        <f>VLOOKUP(B2939, 'All Menu'!B:L, 6, 0)</f>
        <v>11.206896551724139</v>
      </c>
      <c r="P2939" s="6">
        <f>VLOOKUP(B2939, 'All Menu'!B:L, 9, 0)</f>
        <v>6.2112614459770112</v>
      </c>
      <c r="Q2939" s="14">
        <f>VLOOKUP(B2939, 'All Menu'!B:M, 12, 0)</f>
        <v>0.44576436328205132</v>
      </c>
      <c r="R2939" s="173">
        <f t="shared" si="150"/>
        <v>0</v>
      </c>
    </row>
    <row r="2940" spans="1:18" ht="14" hidden="1">
      <c r="A2940" s="78" t="s">
        <v>2949</v>
      </c>
      <c r="B2940" s="220" t="s">
        <v>1172</v>
      </c>
      <c r="C2940" s="185"/>
      <c r="D2940" s="30" t="str">
        <f>VLOOKUP(B2940, 'All Menu'!B:M, 4, 0)</f>
        <v>مقلوبة دجاجة</v>
      </c>
      <c r="E2940" s="30" t="str">
        <f>VLOOKUP(B2940, 'All Menu'!B:M, 2, 0)</f>
        <v>قسم التواصي</v>
      </c>
      <c r="F2940" s="103" t="str">
        <f>VLOOKUP(B2940, 'All Menu'!B:M, 3, 0)</f>
        <v>التواصي سفري2</v>
      </c>
      <c r="G2940" s="90" t="s">
        <v>2279</v>
      </c>
      <c r="H2940" s="219">
        <v>4100</v>
      </c>
      <c r="I2940" s="110" t="str">
        <f>VLOOKUP(H2940, 'RM &amp; SF'!B:H, 2, 0)</f>
        <v>معكرونة شعيرية 500 غم*****</v>
      </c>
      <c r="J2940" s="184" t="str">
        <f>VLOOKUP(H2940, 'RM &amp; SF'!B:E, 4, 0)</f>
        <v>غم</v>
      </c>
      <c r="K2940" s="78">
        <v>50</v>
      </c>
      <c r="L2940" s="13">
        <f>VLOOKUP(H2940, 'RM &amp; SF'!B:H, 7, 0)</f>
        <v>9.9199999999999983E-4</v>
      </c>
      <c r="M2940" s="15">
        <f t="shared" si="153"/>
        <v>4.9599999999999991E-2</v>
      </c>
      <c r="N2940" s="21" t="s">
        <v>825</v>
      </c>
      <c r="O2940" s="4">
        <f>VLOOKUP(B2940, 'All Menu'!B:L, 6, 0)</f>
        <v>11.206896551724139</v>
      </c>
      <c r="P2940" s="6">
        <f>VLOOKUP(B2940, 'All Menu'!B:L, 9, 0)</f>
        <v>6.2112614459770112</v>
      </c>
      <c r="Q2940" s="14">
        <f>VLOOKUP(B2940, 'All Menu'!B:M, 12, 0)</f>
        <v>0.44576436328205132</v>
      </c>
      <c r="R2940" s="173">
        <f t="shared" si="150"/>
        <v>0</v>
      </c>
    </row>
    <row r="2941" spans="1:18" ht="14" hidden="1">
      <c r="A2941" s="78" t="s">
        <v>2949</v>
      </c>
      <c r="B2941" s="220" t="s">
        <v>1172</v>
      </c>
      <c r="C2941" s="185"/>
      <c r="D2941" s="30" t="str">
        <f>VLOOKUP(B2941, 'All Menu'!B:M, 4, 0)</f>
        <v>مقلوبة دجاجة</v>
      </c>
      <c r="E2941" s="30" t="str">
        <f>VLOOKUP(B2941, 'All Menu'!B:M, 2, 0)</f>
        <v>قسم التواصي</v>
      </c>
      <c r="F2941" s="103" t="str">
        <f>VLOOKUP(B2941, 'All Menu'!B:M, 3, 0)</f>
        <v>التواصي سفري2</v>
      </c>
      <c r="G2941" s="90" t="s">
        <v>2417</v>
      </c>
      <c r="H2941" s="219" t="s">
        <v>544</v>
      </c>
      <c r="I2941" s="110" t="str">
        <f>VLOOKUP(H2941, 'RM &amp; SF'!B:H, 2, 0)</f>
        <v>دجاجة متبلة</v>
      </c>
      <c r="J2941" s="184" t="str">
        <f>VLOOKUP(H2941, 'RM &amp; SF'!B:E, 4, 0)</f>
        <v>قطعة</v>
      </c>
      <c r="K2941" s="78">
        <v>1</v>
      </c>
      <c r="L2941" s="13">
        <f>VLOOKUP(H2941, 'RM &amp; SF'!B:H, 7, 0)</f>
        <v>3.0853324000000004</v>
      </c>
      <c r="M2941" s="15">
        <f t="shared" si="153"/>
        <v>3.0853324000000004</v>
      </c>
      <c r="N2941" s="21" t="s">
        <v>825</v>
      </c>
      <c r="O2941" s="4">
        <f>VLOOKUP(B2941, 'All Menu'!B:L, 6, 0)</f>
        <v>11.206896551724139</v>
      </c>
      <c r="P2941" s="6">
        <f>VLOOKUP(B2941, 'All Menu'!B:L, 9, 0)</f>
        <v>6.2112614459770112</v>
      </c>
      <c r="Q2941" s="14">
        <f>VLOOKUP(B2941, 'All Menu'!B:M, 12, 0)</f>
        <v>0.44576436328205132</v>
      </c>
      <c r="R2941" s="173">
        <f t="shared" si="150"/>
        <v>0</v>
      </c>
    </row>
    <row r="2942" spans="1:18" ht="14" hidden="1">
      <c r="A2942" s="78" t="s">
        <v>2949</v>
      </c>
      <c r="B2942" s="220" t="s">
        <v>1172</v>
      </c>
      <c r="C2942" s="185"/>
      <c r="D2942" s="30" t="str">
        <f>VLOOKUP(B2942, 'All Menu'!B:M, 4, 0)</f>
        <v>مقلوبة دجاجة</v>
      </c>
      <c r="E2942" s="30" t="str">
        <f>VLOOKUP(B2942, 'All Menu'!B:M, 2, 0)</f>
        <v>قسم التواصي</v>
      </c>
      <c r="F2942" s="103" t="str">
        <f>VLOOKUP(B2942, 'All Menu'!B:M, 3, 0)</f>
        <v>التواصي سفري2</v>
      </c>
      <c r="G2942" s="90" t="s">
        <v>2234</v>
      </c>
      <c r="H2942" s="219">
        <v>4503</v>
      </c>
      <c r="I2942" s="110" t="str">
        <f>VLOOKUP(H2942, 'RM &amp; SF'!B:H, 2, 0)</f>
        <v>بصل ناشف دفش*****</v>
      </c>
      <c r="J2942" s="184" t="str">
        <f>VLOOKUP(H2942, 'RM &amp; SF'!B:E, 4, 0)</f>
        <v>غم</v>
      </c>
      <c r="K2942" s="78">
        <v>150</v>
      </c>
      <c r="L2942" s="13">
        <f>VLOOKUP(H2942, 'RM &amp; SF'!B:H, 7, 0)</f>
        <v>2.5000000000000001E-4</v>
      </c>
      <c r="M2942" s="15">
        <f t="shared" si="153"/>
        <v>3.7499999999999999E-2</v>
      </c>
      <c r="N2942" s="21" t="s">
        <v>825</v>
      </c>
      <c r="O2942" s="4">
        <f>VLOOKUP(B2942, 'All Menu'!B:L, 6, 0)</f>
        <v>11.206896551724139</v>
      </c>
      <c r="P2942" s="6">
        <f>VLOOKUP(B2942, 'All Menu'!B:L, 9, 0)</f>
        <v>6.2112614459770112</v>
      </c>
      <c r="Q2942" s="14">
        <f>VLOOKUP(B2942, 'All Menu'!B:M, 12, 0)</f>
        <v>0.44576436328205132</v>
      </c>
      <c r="R2942" s="173">
        <f t="shared" si="150"/>
        <v>0</v>
      </c>
    </row>
    <row r="2943" spans="1:18" ht="14" hidden="1">
      <c r="A2943" s="78" t="s">
        <v>2949</v>
      </c>
      <c r="B2943" s="220" t="s">
        <v>1172</v>
      </c>
      <c r="C2943" s="185"/>
      <c r="D2943" s="30" t="str">
        <f>VLOOKUP(B2943, 'All Menu'!B:M, 4, 0)</f>
        <v>مقلوبة دجاجة</v>
      </c>
      <c r="E2943" s="30" t="str">
        <f>VLOOKUP(B2943, 'All Menu'!B:M, 2, 0)</f>
        <v>قسم التواصي</v>
      </c>
      <c r="F2943" s="103" t="str">
        <f>VLOOKUP(B2943, 'All Menu'!B:M, 3, 0)</f>
        <v>التواصي سفري2</v>
      </c>
      <c r="G2943" s="90" t="s">
        <v>2222</v>
      </c>
      <c r="H2943" s="219">
        <v>4240</v>
      </c>
      <c r="I2943" s="110" t="str">
        <f>VLOOKUP(H2943, 'RM &amp; SF'!B:H, 2, 0)</f>
        <v>كركم ناعم*****</v>
      </c>
      <c r="J2943" s="184" t="str">
        <f>VLOOKUP(H2943, 'RM &amp; SF'!B:E, 4, 0)</f>
        <v>غم</v>
      </c>
      <c r="K2943" s="78">
        <v>7</v>
      </c>
      <c r="L2943" s="13">
        <f>VLOOKUP(H2943, 'RM &amp; SF'!B:H, 7, 0)</f>
        <v>1.9399999999999999E-3</v>
      </c>
      <c r="M2943" s="15">
        <f t="shared" si="153"/>
        <v>1.3579999999999998E-2</v>
      </c>
      <c r="N2943" s="21" t="s">
        <v>825</v>
      </c>
      <c r="O2943" s="4">
        <f>VLOOKUP(B2943, 'All Menu'!B:L, 6, 0)</f>
        <v>11.206896551724139</v>
      </c>
      <c r="P2943" s="6">
        <f>VLOOKUP(B2943, 'All Menu'!B:L, 9, 0)</f>
        <v>6.2112614459770112</v>
      </c>
      <c r="Q2943" s="14">
        <f>VLOOKUP(B2943, 'All Menu'!B:M, 12, 0)</f>
        <v>0.44576436328205132</v>
      </c>
      <c r="R2943" s="173">
        <f t="shared" si="150"/>
        <v>0</v>
      </c>
    </row>
    <row r="2944" spans="1:18" ht="14" hidden="1">
      <c r="A2944" s="78" t="s">
        <v>2949</v>
      </c>
      <c r="B2944" s="220" t="s">
        <v>1172</v>
      </c>
      <c r="C2944" s="185"/>
      <c r="D2944" s="30" t="str">
        <f>VLOOKUP(B2944, 'All Menu'!B:M, 4, 0)</f>
        <v>مقلوبة دجاجة</v>
      </c>
      <c r="E2944" s="30" t="str">
        <f>VLOOKUP(B2944, 'All Menu'!B:M, 2, 0)</f>
        <v>قسم التواصي</v>
      </c>
      <c r="F2944" s="103" t="str">
        <f>VLOOKUP(B2944, 'All Menu'!B:M, 3, 0)</f>
        <v>التواصي سفري2</v>
      </c>
      <c r="G2944" s="90" t="s">
        <v>2213</v>
      </c>
      <c r="H2944" s="219">
        <v>4218</v>
      </c>
      <c r="I2944" s="110" t="str">
        <f>VLOOKUP(H2944, 'RM &amp; SF'!B:H, 2, 0)</f>
        <v>بهارات مشكلة*****</v>
      </c>
      <c r="J2944" s="184" t="str">
        <f>VLOOKUP(H2944, 'RM &amp; SF'!B:E, 4, 0)</f>
        <v>غم</v>
      </c>
      <c r="K2944" s="78">
        <v>15</v>
      </c>
      <c r="L2944" s="13">
        <f>VLOOKUP(H2944, 'RM &amp; SF'!B:H, 7, 0)</f>
        <v>3.0169999999999997E-3</v>
      </c>
      <c r="M2944" s="15">
        <f t="shared" si="153"/>
        <v>4.5254999999999997E-2</v>
      </c>
      <c r="N2944" s="21" t="s">
        <v>825</v>
      </c>
      <c r="O2944" s="4">
        <f>VLOOKUP(B2944, 'All Menu'!B:L, 6, 0)</f>
        <v>11.206896551724139</v>
      </c>
      <c r="P2944" s="6">
        <f>VLOOKUP(B2944, 'All Menu'!B:L, 9, 0)</f>
        <v>6.2112614459770112</v>
      </c>
      <c r="Q2944" s="14">
        <f>VLOOKUP(B2944, 'All Menu'!B:M, 12, 0)</f>
        <v>0.44576436328205132</v>
      </c>
      <c r="R2944" s="173">
        <f t="shared" si="150"/>
        <v>0</v>
      </c>
    </row>
    <row r="2945" spans="1:18" ht="14" hidden="1">
      <c r="A2945" s="78" t="s">
        <v>2949</v>
      </c>
      <c r="B2945" s="220" t="s">
        <v>1172</v>
      </c>
      <c r="C2945" s="185"/>
      <c r="D2945" s="30" t="str">
        <f>VLOOKUP(B2945, 'All Menu'!B:M, 4, 0)</f>
        <v>مقلوبة دجاجة</v>
      </c>
      <c r="E2945" s="30" t="str">
        <f>VLOOKUP(B2945, 'All Menu'!B:M, 2, 0)</f>
        <v>قسم التواصي</v>
      </c>
      <c r="F2945" s="103" t="str">
        <f>VLOOKUP(B2945, 'All Menu'!B:M, 3, 0)</f>
        <v>التواصي سفري2</v>
      </c>
      <c r="G2945" s="90" t="s">
        <v>2180</v>
      </c>
      <c r="H2945" s="219">
        <v>4791</v>
      </c>
      <c r="I2945" s="110" t="str">
        <f>VLOOKUP(H2945, 'RM &amp; SF'!B:H, 2, 0)</f>
        <v>سمنة بلدية 5 كغ*****</v>
      </c>
      <c r="J2945" s="184" t="str">
        <f>VLOOKUP(H2945, 'RM &amp; SF'!B:E, 4, 0)</f>
        <v>غم</v>
      </c>
      <c r="K2945" s="78">
        <v>50</v>
      </c>
      <c r="L2945" s="13">
        <f>VLOOKUP(H2945, 'RM &amp; SF'!B:H, 7, 0)</f>
        <v>8.3330000000000001E-3</v>
      </c>
      <c r="M2945" s="15">
        <f t="shared" si="153"/>
        <v>0.41665000000000002</v>
      </c>
      <c r="N2945" s="21" t="s">
        <v>825</v>
      </c>
      <c r="O2945" s="4">
        <f>VLOOKUP(B2945, 'All Menu'!B:L, 6, 0)</f>
        <v>11.206896551724139</v>
      </c>
      <c r="P2945" s="6">
        <f>VLOOKUP(B2945, 'All Menu'!B:L, 9, 0)</f>
        <v>6.2112614459770112</v>
      </c>
      <c r="Q2945" s="14">
        <f>VLOOKUP(B2945, 'All Menu'!B:M, 12, 0)</f>
        <v>0.44576436328205132</v>
      </c>
      <c r="R2945" s="173">
        <f t="shared" si="150"/>
        <v>0</v>
      </c>
    </row>
    <row r="2946" spans="1:18" ht="14" hidden="1">
      <c r="A2946" s="78" t="s">
        <v>2949</v>
      </c>
      <c r="B2946" s="220" t="s">
        <v>1172</v>
      </c>
      <c r="C2946" s="185"/>
      <c r="D2946" s="30" t="str">
        <f>VLOOKUP(B2946, 'All Menu'!B:M, 4, 0)</f>
        <v>مقلوبة دجاجة</v>
      </c>
      <c r="E2946" s="30" t="str">
        <f>VLOOKUP(B2946, 'All Menu'!B:M, 2, 0)</f>
        <v>قسم التواصي</v>
      </c>
      <c r="F2946" s="103" t="str">
        <f>VLOOKUP(B2946, 'All Menu'!B:M, 3, 0)</f>
        <v>التواصي سفري2</v>
      </c>
      <c r="G2946" s="90" t="s">
        <v>2206</v>
      </c>
      <c r="H2946" s="219">
        <v>4204</v>
      </c>
      <c r="I2946" s="110" t="str">
        <f>VLOOKUP(H2946, 'RM &amp; SF'!B:H, 2, 0)</f>
        <v>فلفل اسود ناعم*****</v>
      </c>
      <c r="J2946" s="184" t="str">
        <f>VLOOKUP(H2946, 'RM &amp; SF'!B:E, 4, 0)</f>
        <v>غم</v>
      </c>
      <c r="K2946" s="78">
        <v>7</v>
      </c>
      <c r="L2946" s="13">
        <f>VLOOKUP(H2946, 'RM &amp; SF'!B:H, 7, 0)</f>
        <v>6.8970000000000004E-3</v>
      </c>
      <c r="M2946" s="15">
        <f t="shared" si="153"/>
        <v>4.8279000000000002E-2</v>
      </c>
      <c r="N2946" s="21" t="s">
        <v>825</v>
      </c>
      <c r="O2946" s="4">
        <f>VLOOKUP(B2946, 'All Menu'!B:L, 6, 0)</f>
        <v>11.206896551724139</v>
      </c>
      <c r="P2946" s="6">
        <f>VLOOKUP(B2946, 'All Menu'!B:L, 9, 0)</f>
        <v>6.2112614459770112</v>
      </c>
      <c r="Q2946" s="14">
        <f>VLOOKUP(B2946, 'All Menu'!B:M, 12, 0)</f>
        <v>0.44576436328205132</v>
      </c>
      <c r="R2946" s="173">
        <f t="shared" si="150"/>
        <v>0</v>
      </c>
    </row>
    <row r="2947" spans="1:18" ht="14" hidden="1">
      <c r="A2947" s="78" t="s">
        <v>2949</v>
      </c>
      <c r="B2947" s="220" t="s">
        <v>1172</v>
      </c>
      <c r="C2947" s="185"/>
      <c r="D2947" s="30" t="str">
        <f>VLOOKUP(B2947, 'All Menu'!B:M, 4, 0)</f>
        <v>مقلوبة دجاجة</v>
      </c>
      <c r="E2947" s="30" t="str">
        <f>VLOOKUP(B2947, 'All Menu'!B:M, 2, 0)</f>
        <v>قسم التواصي</v>
      </c>
      <c r="F2947" s="103" t="str">
        <f>VLOOKUP(B2947, 'All Menu'!B:M, 3, 0)</f>
        <v>التواصي سفري2</v>
      </c>
      <c r="G2947" s="90" t="s">
        <v>2222</v>
      </c>
      <c r="H2947" s="219">
        <v>4240</v>
      </c>
      <c r="I2947" s="110" t="str">
        <f>VLOOKUP(H2947, 'RM &amp; SF'!B:H, 2, 0)</f>
        <v>كركم ناعم*****</v>
      </c>
      <c r="J2947" s="184" t="str">
        <f>VLOOKUP(H2947, 'RM &amp; SF'!B:E, 4, 0)</f>
        <v>غم</v>
      </c>
      <c r="K2947" s="78">
        <v>8</v>
      </c>
      <c r="L2947" s="13">
        <f>VLOOKUP(H2947, 'RM &amp; SF'!B:H, 7, 0)</f>
        <v>1.9399999999999999E-3</v>
      </c>
      <c r="M2947" s="15">
        <f t="shared" si="153"/>
        <v>1.5519999999999999E-2</v>
      </c>
      <c r="N2947" s="21" t="s">
        <v>825</v>
      </c>
      <c r="O2947" s="4">
        <f>VLOOKUP(B2947, 'All Menu'!B:L, 6, 0)</f>
        <v>11.206896551724139</v>
      </c>
      <c r="P2947" s="6">
        <f>VLOOKUP(B2947, 'All Menu'!B:L, 9, 0)</f>
        <v>6.2112614459770112</v>
      </c>
      <c r="Q2947" s="14">
        <f>VLOOKUP(B2947, 'All Menu'!B:M, 12, 0)</f>
        <v>0.44576436328205132</v>
      </c>
      <c r="R2947" s="173">
        <f t="shared" si="150"/>
        <v>0</v>
      </c>
    </row>
    <row r="2948" spans="1:18" ht="14" hidden="1">
      <c r="A2948" s="78" t="s">
        <v>2949</v>
      </c>
      <c r="B2948" s="220" t="s">
        <v>1172</v>
      </c>
      <c r="C2948" s="185"/>
      <c r="D2948" s="30" t="str">
        <f>VLOOKUP(B2948, 'All Menu'!B:M, 4, 0)</f>
        <v>مقلوبة دجاجة</v>
      </c>
      <c r="E2948" s="30" t="str">
        <f>VLOOKUP(B2948, 'All Menu'!B:M, 2, 0)</f>
        <v>قسم التواصي</v>
      </c>
      <c r="F2948" s="103" t="str">
        <f>VLOOKUP(B2948, 'All Menu'!B:M, 3, 0)</f>
        <v>التواصي سفري2</v>
      </c>
      <c r="G2948" s="90" t="s">
        <v>2211</v>
      </c>
      <c r="H2948" s="219">
        <v>4214</v>
      </c>
      <c r="I2948" s="110" t="str">
        <f>VLOOKUP(H2948, 'RM &amp; SF'!B:H, 2, 0)</f>
        <v>قرفة ناعمة*****</v>
      </c>
      <c r="J2948" s="184" t="str">
        <f>VLOOKUP(H2948, 'RM &amp; SF'!B:E, 4, 0)</f>
        <v>غم</v>
      </c>
      <c r="K2948" s="78">
        <v>6</v>
      </c>
      <c r="L2948" s="13">
        <f>VLOOKUP(H2948, 'RM &amp; SF'!B:H, 7, 0)</f>
        <v>2.8020000000000002E-3</v>
      </c>
      <c r="M2948" s="15">
        <f t="shared" si="153"/>
        <v>1.6812000000000001E-2</v>
      </c>
      <c r="N2948" s="21" t="s">
        <v>825</v>
      </c>
      <c r="O2948" s="4">
        <f>VLOOKUP(B2948, 'All Menu'!B:L, 6, 0)</f>
        <v>11.206896551724139</v>
      </c>
      <c r="P2948" s="6">
        <f>VLOOKUP(B2948, 'All Menu'!B:L, 9, 0)</f>
        <v>6.2112614459770112</v>
      </c>
      <c r="Q2948" s="14">
        <f>VLOOKUP(B2948, 'All Menu'!B:M, 12, 0)</f>
        <v>0.44576436328205132</v>
      </c>
      <c r="R2948" s="173">
        <f t="shared" si="150"/>
        <v>0</v>
      </c>
    </row>
    <row r="2949" spans="1:18" ht="14" hidden="1">
      <c r="A2949" s="78" t="s">
        <v>2949</v>
      </c>
      <c r="B2949" s="220" t="s">
        <v>1172</v>
      </c>
      <c r="C2949" s="185"/>
      <c r="D2949" s="30" t="str">
        <f>VLOOKUP(B2949, 'All Menu'!B:M, 4, 0)</f>
        <v>مقلوبة دجاجة</v>
      </c>
      <c r="E2949" s="30" t="str">
        <f>VLOOKUP(B2949, 'All Menu'!B:M, 2, 0)</f>
        <v>قسم التواصي</v>
      </c>
      <c r="F2949" s="103" t="str">
        <f>VLOOKUP(B2949, 'All Menu'!B:M, 3, 0)</f>
        <v>التواصي سفري2</v>
      </c>
      <c r="G2949" s="90" t="s">
        <v>2208</v>
      </c>
      <c r="H2949" s="219">
        <v>4211</v>
      </c>
      <c r="I2949" s="110" t="str">
        <f>VLOOKUP(H2949, 'RM &amp; SF'!B:H, 2, 0)</f>
        <v>كزبرة ناعمة*****</v>
      </c>
      <c r="J2949" s="184" t="str">
        <f>VLOOKUP(H2949, 'RM &amp; SF'!B:E, 4, 0)</f>
        <v>غم</v>
      </c>
      <c r="K2949" s="78">
        <v>15</v>
      </c>
      <c r="L2949" s="13">
        <f>VLOOKUP(H2949, 'RM &amp; SF'!B:H, 7, 0)</f>
        <v>1.5089999999999999E-3</v>
      </c>
      <c r="M2949" s="15">
        <f t="shared" si="153"/>
        <v>2.2634999999999999E-2</v>
      </c>
      <c r="N2949" s="21" t="s">
        <v>825</v>
      </c>
      <c r="O2949" s="4">
        <f>VLOOKUP(B2949, 'All Menu'!B:L, 6, 0)</f>
        <v>11.206896551724139</v>
      </c>
      <c r="P2949" s="6">
        <f>VLOOKUP(B2949, 'All Menu'!B:L, 9, 0)</f>
        <v>6.2112614459770112</v>
      </c>
      <c r="Q2949" s="14">
        <f>VLOOKUP(B2949, 'All Menu'!B:M, 12, 0)</f>
        <v>0.44576436328205132</v>
      </c>
      <c r="R2949" s="173">
        <f t="shared" si="150"/>
        <v>0</v>
      </c>
    </row>
    <row r="2950" spans="1:18" ht="14" hidden="1">
      <c r="A2950" s="78" t="s">
        <v>2949</v>
      </c>
      <c r="B2950" s="220" t="s">
        <v>1172</v>
      </c>
      <c r="C2950" s="185"/>
      <c r="D2950" s="30" t="str">
        <f>VLOOKUP(B2950, 'All Menu'!B:M, 4, 0)</f>
        <v>مقلوبة دجاجة</v>
      </c>
      <c r="E2950" s="30" t="str">
        <f>VLOOKUP(B2950, 'All Menu'!B:M, 2, 0)</f>
        <v>قسم التواصي</v>
      </c>
      <c r="F2950" s="103" t="str">
        <f>VLOOKUP(B2950, 'All Menu'!B:M, 3, 0)</f>
        <v>التواصي سفري2</v>
      </c>
      <c r="G2950" s="90" t="s">
        <v>2203</v>
      </c>
      <c r="H2950" s="219">
        <v>4152</v>
      </c>
      <c r="I2950" s="110" t="str">
        <f>VLOOKUP(H2950, 'RM &amp; SF'!B:H, 2, 0)</f>
        <v>ملح طعام 750غم*****</v>
      </c>
      <c r="J2950" s="184" t="str">
        <f>VLOOKUP(H2950, 'RM &amp; SF'!B:E, 4, 0)</f>
        <v>غم</v>
      </c>
      <c r="K2950" s="78">
        <v>100</v>
      </c>
      <c r="L2950" s="13">
        <f>VLOOKUP(H2950, 'RM &amp; SF'!B:H, 7, 0)</f>
        <v>1.7066666666666665E-4</v>
      </c>
      <c r="M2950" s="15">
        <f t="shared" si="153"/>
        <v>1.7066666666666664E-2</v>
      </c>
      <c r="N2950" s="21" t="s">
        <v>825</v>
      </c>
      <c r="O2950" s="4">
        <f>VLOOKUP(B2950, 'All Menu'!B:L, 6, 0)</f>
        <v>11.206896551724139</v>
      </c>
      <c r="P2950" s="6">
        <f>VLOOKUP(B2950, 'All Menu'!B:L, 9, 0)</f>
        <v>6.2112614459770112</v>
      </c>
      <c r="Q2950" s="14">
        <f>VLOOKUP(B2950, 'All Menu'!B:M, 12, 0)</f>
        <v>0.44576436328205132</v>
      </c>
      <c r="R2950" s="173">
        <f t="shared" si="150"/>
        <v>0</v>
      </c>
    </row>
    <row r="2951" spans="1:18" ht="14" hidden="1">
      <c r="A2951" s="78" t="s">
        <v>2949</v>
      </c>
      <c r="B2951" s="220" t="s">
        <v>1172</v>
      </c>
      <c r="C2951" s="185"/>
      <c r="D2951" s="30" t="str">
        <f>VLOOKUP(B2951, 'All Menu'!B:M, 4, 0)</f>
        <v>مقلوبة دجاجة</v>
      </c>
      <c r="E2951" s="30" t="str">
        <f>VLOOKUP(B2951, 'All Menu'!B:M, 2, 0)</f>
        <v>قسم التواصي</v>
      </c>
      <c r="F2951" s="103" t="str">
        <f>VLOOKUP(B2951, 'All Menu'!B:M, 3, 0)</f>
        <v>التواصي سفري2</v>
      </c>
      <c r="G2951" s="90" t="s">
        <v>3058</v>
      </c>
      <c r="H2951" s="219">
        <v>4232</v>
      </c>
      <c r="I2951" s="110" t="str">
        <f>VLOOKUP(H2951, 'RM &amp; SF'!B:H, 2, 0)</f>
        <v>بهار سادة ناعم*****</v>
      </c>
      <c r="J2951" s="184" t="str">
        <f>VLOOKUP(H2951, 'RM &amp; SF'!B:E, 4, 0)</f>
        <v>غم</v>
      </c>
      <c r="K2951" s="78">
        <v>7</v>
      </c>
      <c r="L2951" s="13">
        <f>VLOOKUP(H2951, 'RM &amp; SF'!B:H, 7, 0)</f>
        <v>1.0345E-2</v>
      </c>
      <c r="M2951" s="15">
        <f t="shared" si="153"/>
        <v>7.2415000000000007E-2</v>
      </c>
      <c r="N2951" s="21" t="s">
        <v>825</v>
      </c>
      <c r="O2951" s="4">
        <f>VLOOKUP(B2951, 'All Menu'!B:L, 6, 0)</f>
        <v>11.206896551724139</v>
      </c>
      <c r="P2951" s="6">
        <f>VLOOKUP(B2951, 'All Menu'!B:L, 9, 0)</f>
        <v>6.2112614459770112</v>
      </c>
      <c r="Q2951" s="14">
        <f>VLOOKUP(B2951, 'All Menu'!B:M, 12, 0)</f>
        <v>0.44576436328205132</v>
      </c>
      <c r="R2951" s="173">
        <f t="shared" ref="R2951:R3014" si="154">C2951*K2951</f>
        <v>0</v>
      </c>
    </row>
    <row r="2952" spans="1:18" ht="14" hidden="1">
      <c r="A2952" s="78" t="s">
        <v>2949</v>
      </c>
      <c r="B2952" s="220" t="s">
        <v>1172</v>
      </c>
      <c r="C2952" s="185"/>
      <c r="D2952" s="30" t="str">
        <f>VLOOKUP(B2952, 'All Menu'!B:M, 4, 0)</f>
        <v>مقلوبة دجاجة</v>
      </c>
      <c r="E2952" s="30" t="str">
        <f>VLOOKUP(B2952, 'All Menu'!B:M, 2, 0)</f>
        <v>قسم التواصي</v>
      </c>
      <c r="F2952" s="103" t="str">
        <f>VLOOKUP(B2952, 'All Menu'!B:M, 3, 0)</f>
        <v>التواصي سفري2</v>
      </c>
      <c r="G2952" s="90" t="s">
        <v>3058</v>
      </c>
      <c r="H2952" s="219">
        <v>4022</v>
      </c>
      <c r="I2952" s="110" t="str">
        <f>VLOOKUP(H2952, 'RM &amp; SF'!B:H, 2, 0)</f>
        <v>مرق الدجاج بودرة 1 كغ*****</v>
      </c>
      <c r="J2952" s="184" t="str">
        <f>VLOOKUP(H2952, 'RM &amp; SF'!B:E, 4, 0)</f>
        <v>غم</v>
      </c>
      <c r="K2952" s="78">
        <v>3</v>
      </c>
      <c r="L2952" s="13">
        <f>VLOOKUP(H2952, 'RM &amp; SF'!B:H, 7, 0)</f>
        <v>4.7054597701149427E-3</v>
      </c>
      <c r="M2952" s="15">
        <f t="shared" si="153"/>
        <v>1.4116379310344828E-2</v>
      </c>
      <c r="N2952" s="21" t="s">
        <v>825</v>
      </c>
      <c r="O2952" s="4">
        <f>VLOOKUP(B2952, 'All Menu'!B:L, 6, 0)</f>
        <v>11.206896551724139</v>
      </c>
      <c r="P2952" s="6">
        <f>VLOOKUP(B2952, 'All Menu'!B:L, 9, 0)</f>
        <v>6.2112614459770112</v>
      </c>
      <c r="Q2952" s="14">
        <f>VLOOKUP(B2952, 'All Menu'!B:M, 12, 0)</f>
        <v>0.44576436328205132</v>
      </c>
      <c r="R2952" s="173">
        <f t="shared" si="154"/>
        <v>0</v>
      </c>
    </row>
    <row r="2953" spans="1:18" ht="14" hidden="1">
      <c r="A2953" s="78" t="s">
        <v>2949</v>
      </c>
      <c r="B2953" s="220" t="s">
        <v>1172</v>
      </c>
      <c r="C2953" s="185"/>
      <c r="D2953" s="30" t="str">
        <f>VLOOKUP(B2953, 'All Menu'!B:M, 4, 0)</f>
        <v>مقلوبة دجاجة</v>
      </c>
      <c r="E2953" s="30" t="str">
        <f>VLOOKUP(B2953, 'All Menu'!B:M, 2, 0)</f>
        <v>قسم التواصي</v>
      </c>
      <c r="F2953" s="103" t="str">
        <f>VLOOKUP(B2953, 'All Menu'!B:M, 3, 0)</f>
        <v>التواصي سفري2</v>
      </c>
      <c r="G2953" s="90" t="s">
        <v>2260</v>
      </c>
      <c r="H2953" s="219">
        <v>4160</v>
      </c>
      <c r="I2953" s="110" t="str">
        <f>VLOOKUP(H2953, 'RM &amp; SF'!B:H, 2, 0)</f>
        <v>زيت صويا 18 لتر*****</v>
      </c>
      <c r="J2953" s="184" t="str">
        <f>VLOOKUP(H2953, 'RM &amp; SF'!B:E, 4, 0)</f>
        <v>مل</v>
      </c>
      <c r="K2953" s="78">
        <v>100</v>
      </c>
      <c r="L2953" s="13">
        <f>VLOOKUP(H2953, 'RM &amp; SF'!B:H, 7, 0)</f>
        <v>1.335E-3</v>
      </c>
      <c r="M2953" s="15">
        <f t="shared" si="153"/>
        <v>0.13350000000000001</v>
      </c>
      <c r="N2953" s="21" t="s">
        <v>825</v>
      </c>
      <c r="O2953" s="4">
        <f>VLOOKUP(B2953, 'All Menu'!B:L, 6, 0)</f>
        <v>11.206896551724139</v>
      </c>
      <c r="P2953" s="6">
        <f>VLOOKUP(B2953, 'All Menu'!B:L, 9, 0)</f>
        <v>6.2112614459770112</v>
      </c>
      <c r="Q2953" s="14">
        <f>VLOOKUP(B2953, 'All Menu'!B:M, 12, 0)</f>
        <v>0.44576436328205132</v>
      </c>
      <c r="R2953" s="173">
        <f t="shared" si="154"/>
        <v>0</v>
      </c>
    </row>
    <row r="2954" spans="1:18" ht="14" hidden="1">
      <c r="A2954" s="78" t="s">
        <v>2949</v>
      </c>
      <c r="B2954" s="220" t="s">
        <v>1172</v>
      </c>
      <c r="C2954" s="185"/>
      <c r="D2954" s="30" t="str">
        <f>VLOOKUP(B2954, 'All Menu'!B:M, 4, 0)</f>
        <v>مقلوبة دجاجة</v>
      </c>
      <c r="E2954" s="30" t="str">
        <f>VLOOKUP(B2954, 'All Menu'!B:M, 2, 0)</f>
        <v>قسم التواصي</v>
      </c>
      <c r="F2954" s="103" t="str">
        <f>VLOOKUP(B2954, 'All Menu'!B:M, 3, 0)</f>
        <v>التواصي سفري2</v>
      </c>
      <c r="G2954" s="90" t="s">
        <v>2202</v>
      </c>
      <c r="H2954" s="219">
        <v>4930</v>
      </c>
      <c r="I2954" s="110" t="str">
        <f>VLOOKUP(H2954, 'RM &amp; SF'!B:H, 2, 0)</f>
        <v>طنجرة المنيوم مع غطاء 25 سم*10 سم (رقم 2)*****</v>
      </c>
      <c r="J2954" s="184" t="str">
        <f>VLOOKUP(H2954, 'RM &amp; SF'!B:E, 4, 0)</f>
        <v>قطعة</v>
      </c>
      <c r="K2954" s="78">
        <v>1</v>
      </c>
      <c r="L2954" s="13">
        <f>VLOOKUP(H2954, 'RM &amp; SF'!B:H, 7, 0)</f>
        <v>0.60299999999999998</v>
      </c>
      <c r="M2954" s="15">
        <f t="shared" si="153"/>
        <v>0.60299999999999998</v>
      </c>
      <c r="N2954" s="21" t="s">
        <v>825</v>
      </c>
      <c r="O2954" s="4">
        <f>VLOOKUP(B2954, 'All Menu'!B:L, 6, 0)</f>
        <v>11.206896551724139</v>
      </c>
      <c r="P2954" s="6">
        <f>VLOOKUP(B2954, 'All Menu'!B:L, 9, 0)</f>
        <v>6.2112614459770112</v>
      </c>
      <c r="Q2954" s="14">
        <f>VLOOKUP(B2954, 'All Menu'!B:M, 12, 0)</f>
        <v>0.44576436328205132</v>
      </c>
      <c r="R2954" s="173">
        <f t="shared" si="154"/>
        <v>0</v>
      </c>
    </row>
    <row r="2955" spans="1:18" ht="14" hidden="1">
      <c r="A2955" s="78" t="s">
        <v>3075</v>
      </c>
      <c r="B2955" s="220" t="s">
        <v>1189</v>
      </c>
      <c r="C2955" s="185"/>
      <c r="D2955" s="30" t="str">
        <f>VLOOKUP(B2955, 'All Menu'!B:M, 4, 0)</f>
        <v>سمبوسك جبنة</v>
      </c>
      <c r="E2955" s="30" t="str">
        <f>VLOOKUP(B2955, 'All Menu'!B:M, 2, 0)</f>
        <v>قسم التواصي</v>
      </c>
      <c r="F2955" s="103" t="str">
        <f>VLOOKUP(B2955, 'All Menu'!B:M, 3, 0)</f>
        <v>تجهيزات</v>
      </c>
      <c r="G2955" s="90" t="s">
        <v>2327</v>
      </c>
      <c r="H2955" s="219" t="s">
        <v>684</v>
      </c>
      <c r="I2955" s="110" t="str">
        <f>VLOOKUP(H2955, 'RM &amp; SF'!B:H, 2, 0)</f>
        <v>سمبوسك جبنة</v>
      </c>
      <c r="J2955" s="184" t="str">
        <f>VLOOKUP(H2955, 'RM &amp; SF'!B:E, 4, 0)</f>
        <v>قطعة</v>
      </c>
      <c r="K2955" s="78">
        <v>15</v>
      </c>
      <c r="L2955" s="13">
        <f>VLOOKUP(H2955, 'RM &amp; SF'!B:H, 7, 0)</f>
        <v>0.1167055</v>
      </c>
      <c r="M2955" s="15">
        <f t="shared" si="153"/>
        <v>1.7505825000000002</v>
      </c>
      <c r="N2955" s="21" t="s">
        <v>825</v>
      </c>
      <c r="O2955" s="4">
        <f>VLOOKUP(B2955, 'All Menu'!B:L, 6, 0)</f>
        <v>5.9</v>
      </c>
      <c r="P2955" s="6">
        <f>VLOOKUP(B2955, 'All Menu'!B:L, 9, 0)</f>
        <v>1.7505825000000002</v>
      </c>
      <c r="Q2955" s="14">
        <f>VLOOKUP(B2955, 'All Menu'!B:M, 12, 0)</f>
        <v>0.70329110169491527</v>
      </c>
      <c r="R2955" s="173">
        <f t="shared" si="154"/>
        <v>0</v>
      </c>
    </row>
    <row r="2956" spans="1:18" ht="14" hidden="1">
      <c r="A2956" s="78" t="s">
        <v>3076</v>
      </c>
      <c r="B2956" s="220" t="s">
        <v>1190</v>
      </c>
      <c r="C2956" s="185"/>
      <c r="D2956" s="30" t="str">
        <f>VLOOKUP(B2956, 'All Menu'!B:M, 4, 0)</f>
        <v>سمبوسك لحمة</v>
      </c>
      <c r="E2956" s="30" t="str">
        <f>VLOOKUP(B2956, 'All Menu'!B:M, 2, 0)</f>
        <v>قسم التواصي</v>
      </c>
      <c r="F2956" s="103" t="str">
        <f>VLOOKUP(B2956, 'All Menu'!B:M, 3, 0)</f>
        <v>تجهيزات</v>
      </c>
      <c r="G2956" s="90" t="s">
        <v>2328</v>
      </c>
      <c r="H2956" s="219" t="s">
        <v>686</v>
      </c>
      <c r="I2956" s="110" t="str">
        <f>VLOOKUP(H2956, 'RM &amp; SF'!B:H, 2, 0)</f>
        <v>سمبوسك لحمة</v>
      </c>
      <c r="J2956" s="184" t="str">
        <f>VLOOKUP(H2956, 'RM &amp; SF'!B:E, 4, 0)</f>
        <v>قطعة</v>
      </c>
      <c r="K2956" s="78">
        <v>15</v>
      </c>
      <c r="L2956" s="13">
        <f>VLOOKUP(H2956, 'RM &amp; SF'!B:H, 7, 0)</f>
        <v>0.22020393333333332</v>
      </c>
      <c r="M2956" s="15">
        <f t="shared" si="153"/>
        <v>3.3030589999999997</v>
      </c>
      <c r="N2956" s="21" t="s">
        <v>825</v>
      </c>
      <c r="O2956" s="4">
        <f>VLOOKUP(B2956, 'All Menu'!B:L, 6, 0)</f>
        <v>4.9000000000000004</v>
      </c>
      <c r="P2956" s="6">
        <f>VLOOKUP(B2956, 'All Menu'!B:L, 9, 0)</f>
        <v>3.3030589999999997</v>
      </c>
      <c r="Q2956" s="14">
        <f>VLOOKUP(B2956, 'All Menu'!B:M, 12, 0)</f>
        <v>0.32590632653061236</v>
      </c>
      <c r="R2956" s="173">
        <f t="shared" si="154"/>
        <v>0</v>
      </c>
    </row>
    <row r="2957" spans="1:18" ht="14" hidden="1">
      <c r="A2957" s="78" t="s">
        <v>3078</v>
      </c>
      <c r="B2957" s="220" t="s">
        <v>1210</v>
      </c>
      <c r="C2957" s="185"/>
      <c r="D2957" s="30" t="str">
        <f>VLOOKUP(B2957, 'All Menu'!B:M, 4, 0)</f>
        <v>بخاري لحم 1 كيلو</v>
      </c>
      <c r="E2957" s="30" t="str">
        <f>VLOOKUP(B2957, 'All Menu'!B:M, 2, 0)</f>
        <v>قسم التواصي</v>
      </c>
      <c r="F2957" s="103" t="str">
        <f>VLOOKUP(B2957, 'All Menu'!B:M, 3, 0)</f>
        <v>التواصي سفري</v>
      </c>
      <c r="G2957" s="90" t="s">
        <v>2400</v>
      </c>
      <c r="H2957" s="219" t="s">
        <v>602</v>
      </c>
      <c r="I2957" s="110" t="str">
        <f>VLOOKUP(H2957, 'RM &amp; SF'!B:H, 2, 0)</f>
        <v>رز بخاري</v>
      </c>
      <c r="J2957" s="184" t="str">
        <f>VLOOKUP(H2957, 'RM &amp; SF'!B:E, 4, 0)</f>
        <v>غم</v>
      </c>
      <c r="K2957" s="78">
        <v>1500</v>
      </c>
      <c r="L2957" s="13">
        <f>VLOOKUP(H2957, 'RM &amp; SF'!B:H, 7, 0)</f>
        <v>4.4593620738566888E-4</v>
      </c>
      <c r="M2957" s="15">
        <f t="shared" si="153"/>
        <v>0.66890431107850334</v>
      </c>
      <c r="N2957" s="21" t="s">
        <v>825</v>
      </c>
      <c r="O2957" s="4">
        <f>VLOOKUP(B2957, 'All Menu'!B:L, 6, 0)</f>
        <v>19.827586206896552</v>
      </c>
      <c r="P2957" s="6">
        <f>VLOOKUP(B2957, 'All Menu'!B:L, 9, 0)</f>
        <v>13.239955823720623</v>
      </c>
      <c r="Q2957" s="14">
        <f>VLOOKUP(B2957, 'All Menu'!B:M, 12, 0)</f>
        <v>0.33224570628191641</v>
      </c>
      <c r="R2957" s="173">
        <f t="shared" si="154"/>
        <v>0</v>
      </c>
    </row>
    <row r="2958" spans="1:18" ht="14" hidden="1">
      <c r="A2958" s="78" t="s">
        <v>3078</v>
      </c>
      <c r="B2958" s="220" t="s">
        <v>1210</v>
      </c>
      <c r="C2958" s="185"/>
      <c r="D2958" s="30" t="str">
        <f>VLOOKUP(B2958, 'All Menu'!B:M, 4, 0)</f>
        <v>بخاري لحم 1 كيلو</v>
      </c>
      <c r="E2958" s="30" t="str">
        <f>VLOOKUP(B2958, 'All Menu'!B:M, 2, 0)</f>
        <v>قسم التواصي</v>
      </c>
      <c r="F2958" s="103" t="str">
        <f>VLOOKUP(B2958, 'All Menu'!B:M, 3, 0)</f>
        <v>التواصي سفري</v>
      </c>
      <c r="G2958" s="90" t="s">
        <v>3058</v>
      </c>
      <c r="H2958" s="219">
        <v>4608</v>
      </c>
      <c r="I2958" s="110" t="str">
        <f>VLOOKUP(H2958, 'RM &amp; SF'!B:H, 2, 0)</f>
        <v>لحمة قطع نية بالكيلو*****</v>
      </c>
      <c r="J2958" s="184" t="str">
        <f>VLOOKUP(H2958, 'RM &amp; SF'!B:E, 4, 0)</f>
        <v>غم</v>
      </c>
      <c r="K2958" s="78">
        <v>1000</v>
      </c>
      <c r="L2958" s="13">
        <f>VLOOKUP(H2958, 'RM &amp; SF'!B:H, 7, 0)</f>
        <v>1.1615493158849017E-2</v>
      </c>
      <c r="M2958" s="15">
        <f t="shared" si="153"/>
        <v>11.615493158849016</v>
      </c>
      <c r="N2958" s="21" t="s">
        <v>825</v>
      </c>
      <c r="O2958" s="4">
        <f>VLOOKUP(B2958, 'All Menu'!B:L, 6, 0)</f>
        <v>19.827586206896552</v>
      </c>
      <c r="P2958" s="6">
        <f>VLOOKUP(B2958, 'All Menu'!B:L, 9, 0)</f>
        <v>13.239955823720623</v>
      </c>
      <c r="Q2958" s="14">
        <f>VLOOKUP(B2958, 'All Menu'!B:M, 12, 0)</f>
        <v>0.33224570628191641</v>
      </c>
      <c r="R2958" s="173">
        <f t="shared" si="154"/>
        <v>0</v>
      </c>
    </row>
    <row r="2959" spans="1:18" ht="14" hidden="1">
      <c r="A2959" s="78" t="s">
        <v>3078</v>
      </c>
      <c r="B2959" s="220" t="s">
        <v>1210</v>
      </c>
      <c r="C2959" s="185"/>
      <c r="D2959" s="30" t="str">
        <f>VLOOKUP(B2959, 'All Menu'!B:M, 4, 0)</f>
        <v>بخاري لحم 1 كيلو</v>
      </c>
      <c r="E2959" s="30" t="str">
        <f>VLOOKUP(B2959, 'All Menu'!B:M, 2, 0)</f>
        <v>قسم التواصي</v>
      </c>
      <c r="F2959" s="103" t="str">
        <f>VLOOKUP(B2959, 'All Menu'!B:M, 3, 0)</f>
        <v>التواصي سفري</v>
      </c>
      <c r="G2959" s="90" t="s">
        <v>2341</v>
      </c>
      <c r="H2959" s="219" t="s">
        <v>706</v>
      </c>
      <c r="I2959" s="110" t="str">
        <f>VLOOKUP(H2959, 'RM &amp; SF'!B:H, 2, 0)</f>
        <v>لوز مقلي</v>
      </c>
      <c r="J2959" s="184" t="str">
        <f>VLOOKUP(H2959, 'RM &amp; SF'!B:E, 4, 0)</f>
        <v>غم</v>
      </c>
      <c r="K2959" s="78">
        <v>150</v>
      </c>
      <c r="L2959" s="13">
        <f>VLOOKUP(H2959, 'RM &amp; SF'!B:H, 7, 0)</f>
        <v>4.1352327586206888E-3</v>
      </c>
      <c r="M2959" s="15">
        <f t="shared" si="153"/>
        <v>0.62028491379310335</v>
      </c>
      <c r="N2959" s="21" t="s">
        <v>825</v>
      </c>
      <c r="O2959" s="4">
        <f>VLOOKUP(B2959, 'All Menu'!B:L, 6, 0)</f>
        <v>19.827586206896552</v>
      </c>
      <c r="P2959" s="6">
        <f>VLOOKUP(B2959, 'All Menu'!B:L, 9, 0)</f>
        <v>13.239955823720623</v>
      </c>
      <c r="Q2959" s="14">
        <f>VLOOKUP(B2959, 'All Menu'!B:M, 12, 0)</f>
        <v>0.33224570628191641</v>
      </c>
      <c r="R2959" s="173">
        <f t="shared" si="154"/>
        <v>0</v>
      </c>
    </row>
    <row r="2960" spans="1:18" ht="14" hidden="1">
      <c r="A2960" s="78" t="s">
        <v>3078</v>
      </c>
      <c r="B2960" s="220" t="s">
        <v>1210</v>
      </c>
      <c r="C2960" s="185"/>
      <c r="D2960" s="30" t="str">
        <f>VLOOKUP(B2960, 'All Menu'!B:M, 4, 0)</f>
        <v>بخاري لحم 1 كيلو</v>
      </c>
      <c r="E2960" s="30" t="str">
        <f>VLOOKUP(B2960, 'All Menu'!B:M, 2, 0)</f>
        <v>قسم التواصي</v>
      </c>
      <c r="F2960" s="103" t="str">
        <f>VLOOKUP(B2960, 'All Menu'!B:M, 3, 0)</f>
        <v>التواصي سفري</v>
      </c>
      <c r="G2960" s="90" t="s">
        <v>3058</v>
      </c>
      <c r="H2960" s="219">
        <v>4354</v>
      </c>
      <c r="I2960" s="110" t="str">
        <f>VLOOKUP(H2960, 'RM &amp; SF'!B:H, 2, 0)</f>
        <v>سدر بلاستيك دائري 35 سم*****</v>
      </c>
      <c r="J2960" s="184" t="str">
        <f>VLOOKUP(H2960, 'RM &amp; SF'!B:E, 4, 0)</f>
        <v>قطعة</v>
      </c>
      <c r="K2960" s="78">
        <v>1</v>
      </c>
      <c r="L2960" s="13">
        <f>VLOOKUP(H2960, 'RM &amp; SF'!B:H, 7, 0)</f>
        <v>0.28016999999999997</v>
      </c>
      <c r="M2960" s="15">
        <f t="shared" si="153"/>
        <v>0.28016999999999997</v>
      </c>
      <c r="N2960" s="21" t="s">
        <v>825</v>
      </c>
      <c r="O2960" s="4">
        <f>VLOOKUP(B2960, 'All Menu'!B:L, 6, 0)</f>
        <v>19.827586206896552</v>
      </c>
      <c r="P2960" s="6">
        <f>VLOOKUP(B2960, 'All Menu'!B:L, 9, 0)</f>
        <v>13.239955823720623</v>
      </c>
      <c r="Q2960" s="14">
        <f>VLOOKUP(B2960, 'All Menu'!B:M, 12, 0)</f>
        <v>0.33224570628191641</v>
      </c>
      <c r="R2960" s="173">
        <f t="shared" si="154"/>
        <v>0</v>
      </c>
    </row>
    <row r="2961" spans="1:18" ht="14" hidden="1">
      <c r="A2961" s="78" t="s">
        <v>3078</v>
      </c>
      <c r="B2961" s="220" t="s">
        <v>1210</v>
      </c>
      <c r="C2961" s="185"/>
      <c r="D2961" s="30" t="str">
        <f>VLOOKUP(B2961, 'All Menu'!B:M, 4, 0)</f>
        <v>بخاري لحم 1 كيلو</v>
      </c>
      <c r="E2961" s="30" t="str">
        <f>VLOOKUP(B2961, 'All Menu'!B:M, 2, 0)</f>
        <v>قسم التواصي</v>
      </c>
      <c r="F2961" s="103" t="str">
        <f>VLOOKUP(B2961, 'All Menu'!B:M, 3, 0)</f>
        <v>التواصي سفري</v>
      </c>
      <c r="G2961" s="90" t="s">
        <v>2194</v>
      </c>
      <c r="H2961" s="219">
        <v>4323</v>
      </c>
      <c r="I2961" s="110" t="str">
        <f>VLOOKUP(H2961, 'RM &amp; SF'!B:H, 2, 0)</f>
        <v>قصدير رول 45 سم*2كغ*****</v>
      </c>
      <c r="J2961" s="184" t="str">
        <f>VLOOKUP(H2961, 'RM &amp; SF'!B:E, 4, 0)</f>
        <v>غم</v>
      </c>
      <c r="K2961" s="78">
        <v>0.06</v>
      </c>
      <c r="L2961" s="13">
        <f>VLOOKUP(H2961, 'RM &amp; SF'!B:H, 7, 0)</f>
        <v>1.7240000000000001E-3</v>
      </c>
      <c r="M2961" s="15">
        <f t="shared" si="153"/>
        <v>1.0344E-4</v>
      </c>
      <c r="N2961" s="21" t="s">
        <v>825</v>
      </c>
      <c r="O2961" s="4">
        <f>VLOOKUP(B2961, 'All Menu'!B:L, 6, 0)</f>
        <v>19.827586206896552</v>
      </c>
      <c r="P2961" s="6">
        <f>VLOOKUP(B2961, 'All Menu'!B:L, 9, 0)</f>
        <v>13.239955823720623</v>
      </c>
      <c r="Q2961" s="14">
        <f>VLOOKUP(B2961, 'All Menu'!B:M, 12, 0)</f>
        <v>0.33224570628191641</v>
      </c>
      <c r="R2961" s="173">
        <f t="shared" si="154"/>
        <v>0</v>
      </c>
    </row>
    <row r="2962" spans="1:18" ht="14" hidden="1">
      <c r="A2962" s="78" t="s">
        <v>3078</v>
      </c>
      <c r="B2962" s="220" t="s">
        <v>1210</v>
      </c>
      <c r="C2962" s="185"/>
      <c r="D2962" s="30" t="str">
        <f>VLOOKUP(B2962, 'All Menu'!B:M, 4, 0)</f>
        <v>بخاري لحم 1 كيلو</v>
      </c>
      <c r="E2962" s="30" t="str">
        <f>VLOOKUP(B2962, 'All Menu'!B:M, 2, 0)</f>
        <v>قسم التواصي</v>
      </c>
      <c r="F2962" s="103" t="str">
        <f>VLOOKUP(B2962, 'All Menu'!B:M, 3, 0)</f>
        <v>التواصي سفري</v>
      </c>
      <c r="G2962" s="90" t="s">
        <v>3058</v>
      </c>
      <c r="H2962" s="219">
        <v>5378</v>
      </c>
      <c r="I2962" s="110" t="str">
        <f>VLOOKUP(H2962, 'RM &amp; SF'!B:H, 2, 0)</f>
        <v>رول مركزية تواصي</v>
      </c>
      <c r="J2962" s="184" t="str">
        <f>VLOOKUP(H2962, 'RM &amp; SF'!B:E, 4, 0)</f>
        <v>غم</v>
      </c>
      <c r="K2962" s="78">
        <v>20</v>
      </c>
      <c r="L2962" s="13">
        <f>VLOOKUP(H2962, 'RM &amp; SF'!B:H, 7, 0)</f>
        <v>2.7499999999999998E-3</v>
      </c>
      <c r="M2962" s="15">
        <f t="shared" si="153"/>
        <v>5.4999999999999993E-2</v>
      </c>
      <c r="N2962" s="21" t="s">
        <v>825</v>
      </c>
      <c r="O2962" s="4">
        <f>VLOOKUP(B2962, 'All Menu'!B:L, 6, 0)</f>
        <v>19.827586206896552</v>
      </c>
      <c r="P2962" s="6">
        <f>VLOOKUP(B2962, 'All Menu'!B:L, 9, 0)</f>
        <v>13.239955823720623</v>
      </c>
      <c r="Q2962" s="14">
        <f>VLOOKUP(B2962, 'All Menu'!B:M, 12, 0)</f>
        <v>0.33224570628191641</v>
      </c>
      <c r="R2962" s="173">
        <f t="shared" si="154"/>
        <v>0</v>
      </c>
    </row>
    <row r="2963" spans="1:18" ht="14" hidden="1">
      <c r="A2963" s="78" t="s">
        <v>3081</v>
      </c>
      <c r="B2963" s="220" t="s">
        <v>1211</v>
      </c>
      <c r="C2963" s="185"/>
      <c r="D2963" s="30" t="str">
        <f>VLOOKUP(B2963, 'All Menu'!B:M, 4, 0)</f>
        <v>بخاري دجاج 1 دجاجة</v>
      </c>
      <c r="E2963" s="30" t="str">
        <f>VLOOKUP(B2963, 'All Menu'!B:M, 2, 0)</f>
        <v>قسم التواصي</v>
      </c>
      <c r="F2963" s="103" t="str">
        <f>VLOOKUP(B2963, 'All Menu'!B:M, 3, 0)</f>
        <v>التواصي سفري</v>
      </c>
      <c r="G2963" s="90" t="s">
        <v>2400</v>
      </c>
      <c r="H2963" s="219" t="s">
        <v>602</v>
      </c>
      <c r="I2963" s="110" t="str">
        <f>VLOOKUP(H2963, 'RM &amp; SF'!B:H, 2, 0)</f>
        <v>رز بخاري</v>
      </c>
      <c r="J2963" s="184" t="str">
        <f>VLOOKUP(H2963, 'RM &amp; SF'!B:E, 4, 0)</f>
        <v>غم</v>
      </c>
      <c r="K2963" s="78">
        <v>1500</v>
      </c>
      <c r="L2963" s="13">
        <f>VLOOKUP(H2963, 'RM &amp; SF'!B:H, 7, 0)</f>
        <v>4.4593620738566888E-4</v>
      </c>
      <c r="M2963" s="15">
        <f t="shared" si="153"/>
        <v>0.66890431107850334</v>
      </c>
      <c r="N2963" s="21" t="s">
        <v>825</v>
      </c>
      <c r="O2963" s="4">
        <f>VLOOKUP(B2963, 'All Menu'!B:L, 6, 0)</f>
        <v>8.6206896551724146</v>
      </c>
      <c r="P2963" s="6">
        <f>VLOOKUP(B2963, 'All Menu'!B:L, 9, 0)</f>
        <v>4.4921930432753632</v>
      </c>
      <c r="Q2963" s="14">
        <f>VLOOKUP(B2963, 'All Menu'!B:M, 12, 0)</f>
        <v>0.47890560698005791</v>
      </c>
      <c r="R2963" s="173">
        <f t="shared" si="154"/>
        <v>0</v>
      </c>
    </row>
    <row r="2964" spans="1:18" ht="14" hidden="1">
      <c r="A2964" s="78" t="s">
        <v>3081</v>
      </c>
      <c r="B2964" s="220" t="s">
        <v>1211</v>
      </c>
      <c r="C2964" s="185"/>
      <c r="D2964" s="30" t="str">
        <f>VLOOKUP(B2964, 'All Menu'!B:M, 4, 0)</f>
        <v>بخاري دجاج 1 دجاجة</v>
      </c>
      <c r="E2964" s="30" t="str">
        <f>VLOOKUP(B2964, 'All Menu'!B:M, 2, 0)</f>
        <v>قسم التواصي</v>
      </c>
      <c r="F2964" s="103" t="str">
        <f>VLOOKUP(B2964, 'All Menu'!B:M, 3, 0)</f>
        <v>التواصي سفري</v>
      </c>
      <c r="G2964" s="90" t="s">
        <v>2354</v>
      </c>
      <c r="H2964" s="219" t="s">
        <v>734</v>
      </c>
      <c r="I2964" s="110" t="str">
        <f>VLOOKUP(H2964, 'RM &amp; SF'!B:H, 2, 0)</f>
        <v>دجاج اللاين متبل</v>
      </c>
      <c r="J2964" s="184" t="str">
        <f>VLOOKUP(H2964, 'RM &amp; SF'!B:E, 4, 0)</f>
        <v>قطعة</v>
      </c>
      <c r="K2964" s="78">
        <v>1</v>
      </c>
      <c r="L2964" s="13">
        <f>VLOOKUP(H2964, 'RM &amp; SF'!B:H, 7, 0)</f>
        <v>2.9227303784037559</v>
      </c>
      <c r="M2964" s="15">
        <f t="shared" si="153"/>
        <v>2.9227303784037559</v>
      </c>
      <c r="N2964" s="21" t="s">
        <v>825</v>
      </c>
      <c r="O2964" s="4">
        <f>VLOOKUP(B2964, 'All Menu'!B:L, 6, 0)</f>
        <v>8.6206896551724146</v>
      </c>
      <c r="P2964" s="6">
        <f>VLOOKUP(B2964, 'All Menu'!B:L, 9, 0)</f>
        <v>4.4921930432753632</v>
      </c>
      <c r="Q2964" s="14">
        <f>VLOOKUP(B2964, 'All Menu'!B:M, 12, 0)</f>
        <v>0.47890560698005791</v>
      </c>
      <c r="R2964" s="173">
        <f t="shared" si="154"/>
        <v>0</v>
      </c>
    </row>
    <row r="2965" spans="1:18" ht="14" hidden="1">
      <c r="A2965" s="78" t="s">
        <v>3081</v>
      </c>
      <c r="B2965" s="220" t="s">
        <v>1211</v>
      </c>
      <c r="C2965" s="185"/>
      <c r="D2965" s="30" t="str">
        <f>VLOOKUP(B2965, 'All Menu'!B:M, 4, 0)</f>
        <v>بخاري دجاج 1 دجاجة</v>
      </c>
      <c r="E2965" s="30" t="str">
        <f>VLOOKUP(B2965, 'All Menu'!B:M, 2, 0)</f>
        <v>قسم التواصي</v>
      </c>
      <c r="F2965" s="103" t="str">
        <f>VLOOKUP(B2965, 'All Menu'!B:M, 3, 0)</f>
        <v>التواصي سفري</v>
      </c>
      <c r="G2965" s="90" t="s">
        <v>3058</v>
      </c>
      <c r="H2965" s="219">
        <v>4354</v>
      </c>
      <c r="I2965" s="110" t="str">
        <f>VLOOKUP(H2965, 'RM &amp; SF'!B:H, 2, 0)</f>
        <v>سدر بلاستيك دائري 35 سم*****</v>
      </c>
      <c r="J2965" s="184" t="str">
        <f>VLOOKUP(H2965, 'RM &amp; SF'!B:E, 4, 0)</f>
        <v>قطعة</v>
      </c>
      <c r="K2965" s="78">
        <v>1</v>
      </c>
      <c r="L2965" s="13">
        <f>VLOOKUP(H2965, 'RM &amp; SF'!B:H, 7, 0)</f>
        <v>0.28016999999999997</v>
      </c>
      <c r="M2965" s="15">
        <f t="shared" si="153"/>
        <v>0.28016999999999997</v>
      </c>
      <c r="N2965" s="21" t="s">
        <v>825</v>
      </c>
      <c r="O2965" s="4">
        <f>VLOOKUP(B2965, 'All Menu'!B:L, 6, 0)</f>
        <v>8.6206896551724146</v>
      </c>
      <c r="P2965" s="6">
        <f>VLOOKUP(B2965, 'All Menu'!B:L, 9, 0)</f>
        <v>4.4921930432753632</v>
      </c>
      <c r="Q2965" s="14">
        <f>VLOOKUP(B2965, 'All Menu'!B:M, 12, 0)</f>
        <v>0.47890560698005791</v>
      </c>
      <c r="R2965" s="173">
        <f t="shared" si="154"/>
        <v>0</v>
      </c>
    </row>
    <row r="2966" spans="1:18" ht="14" hidden="1">
      <c r="A2966" s="78" t="s">
        <v>3081</v>
      </c>
      <c r="B2966" s="220" t="s">
        <v>1211</v>
      </c>
      <c r="C2966" s="185"/>
      <c r="D2966" s="30" t="str">
        <f>VLOOKUP(B2966, 'All Menu'!B:M, 4, 0)</f>
        <v>بخاري دجاج 1 دجاجة</v>
      </c>
      <c r="E2966" s="30" t="str">
        <f>VLOOKUP(B2966, 'All Menu'!B:M, 2, 0)</f>
        <v>قسم التواصي</v>
      </c>
      <c r="F2966" s="103" t="str">
        <f>VLOOKUP(B2966, 'All Menu'!B:M, 3, 0)</f>
        <v>التواصي سفري</v>
      </c>
      <c r="G2966" s="90" t="s">
        <v>2341</v>
      </c>
      <c r="H2966" s="219" t="s">
        <v>706</v>
      </c>
      <c r="I2966" s="110" t="str">
        <f>VLOOKUP(H2966, 'RM &amp; SF'!B:H, 2, 0)</f>
        <v>لوز مقلي</v>
      </c>
      <c r="J2966" s="184" t="str">
        <f>VLOOKUP(H2966, 'RM &amp; SF'!B:E, 4, 0)</f>
        <v>غم</v>
      </c>
      <c r="K2966" s="78">
        <v>150</v>
      </c>
      <c r="L2966" s="13">
        <f>VLOOKUP(H2966, 'RM &amp; SF'!B:H, 7, 0)</f>
        <v>4.1352327586206888E-3</v>
      </c>
      <c r="M2966" s="15">
        <f t="shared" si="153"/>
        <v>0.62028491379310335</v>
      </c>
      <c r="N2966" s="21" t="s">
        <v>825</v>
      </c>
      <c r="O2966" s="4">
        <f>VLOOKUP(B2966, 'All Menu'!B:L, 6, 0)</f>
        <v>8.6206896551724146</v>
      </c>
      <c r="P2966" s="6">
        <f>VLOOKUP(B2966, 'All Menu'!B:L, 9, 0)</f>
        <v>4.4921930432753632</v>
      </c>
      <c r="Q2966" s="14">
        <f>VLOOKUP(B2966, 'All Menu'!B:M, 12, 0)</f>
        <v>0.47890560698005791</v>
      </c>
      <c r="R2966" s="173">
        <f t="shared" si="154"/>
        <v>0</v>
      </c>
    </row>
    <row r="2967" spans="1:18" ht="14" hidden="1">
      <c r="A2967" s="78" t="s">
        <v>3081</v>
      </c>
      <c r="B2967" s="220" t="s">
        <v>1211</v>
      </c>
      <c r="C2967" s="185"/>
      <c r="D2967" s="30" t="str">
        <f>VLOOKUP(B2967, 'All Menu'!B:M, 4, 0)</f>
        <v>بخاري دجاج 1 دجاجة</v>
      </c>
      <c r="E2967" s="30" t="str">
        <f>VLOOKUP(B2967, 'All Menu'!B:M, 2, 0)</f>
        <v>قسم التواصي</v>
      </c>
      <c r="F2967" s="103" t="str">
        <f>VLOOKUP(B2967, 'All Menu'!B:M, 3, 0)</f>
        <v>التواصي سفري</v>
      </c>
      <c r="G2967" s="90" t="s">
        <v>2194</v>
      </c>
      <c r="H2967" s="219">
        <v>4323</v>
      </c>
      <c r="I2967" s="110" t="str">
        <f>VLOOKUP(H2967, 'RM &amp; SF'!B:H, 2, 0)</f>
        <v>قصدير رول 45 سم*2كغ*****</v>
      </c>
      <c r="J2967" s="184" t="str">
        <f>VLOOKUP(H2967, 'RM &amp; SF'!B:E, 4, 0)</f>
        <v>غم</v>
      </c>
      <c r="K2967" s="78">
        <v>0.06</v>
      </c>
      <c r="L2967" s="13">
        <f>VLOOKUP(H2967, 'RM &amp; SF'!B:H, 7, 0)</f>
        <v>1.7240000000000001E-3</v>
      </c>
      <c r="M2967" s="15">
        <f t="shared" si="153"/>
        <v>1.0344E-4</v>
      </c>
      <c r="N2967" s="21" t="s">
        <v>825</v>
      </c>
      <c r="O2967" s="4">
        <f>VLOOKUP(B2967, 'All Menu'!B:L, 6, 0)</f>
        <v>8.6206896551724146</v>
      </c>
      <c r="P2967" s="6">
        <f>VLOOKUP(B2967, 'All Menu'!B:L, 9, 0)</f>
        <v>4.4921930432753632</v>
      </c>
      <c r="Q2967" s="14">
        <f>VLOOKUP(B2967, 'All Menu'!B:M, 12, 0)</f>
        <v>0.47890560698005791</v>
      </c>
      <c r="R2967" s="173">
        <f t="shared" si="154"/>
        <v>0</v>
      </c>
    </row>
    <row r="2968" spans="1:18" ht="14" hidden="1">
      <c r="A2968" s="78" t="s">
        <v>2954</v>
      </c>
      <c r="B2968" s="220" t="s">
        <v>1229</v>
      </c>
      <c r="C2968" s="185"/>
      <c r="D2968" s="30" t="str">
        <f>VLOOKUP(B2968, 'All Menu'!B:M, 4, 0)</f>
        <v>رغيف مسخن</v>
      </c>
      <c r="E2968" s="30" t="str">
        <f>VLOOKUP(B2968, 'All Menu'!B:M, 2, 0)</f>
        <v>قسم التواصي</v>
      </c>
      <c r="F2968" s="103" t="str">
        <f>VLOOKUP(B2968, 'All Menu'!B:M, 3, 0)</f>
        <v>التواصي سفري2</v>
      </c>
      <c r="G2968" s="90" t="s">
        <v>2425</v>
      </c>
      <c r="H2968" s="219" t="s">
        <v>648</v>
      </c>
      <c r="I2968" s="110" t="str">
        <f>VLOOKUP(H2968, 'RM &amp; SF'!B:H, 2, 0)</f>
        <v xml:space="preserve">خبز تنور </v>
      </c>
      <c r="J2968" s="184" t="str">
        <f>VLOOKUP(H2968, 'RM &amp; SF'!B:E, 4, 0)</f>
        <v>غم</v>
      </c>
      <c r="K2968" s="78">
        <v>100</v>
      </c>
      <c r="L2968" s="13">
        <f>VLOOKUP(H2968, 'RM &amp; SF'!B:H, 7, 0)</f>
        <v>1.5104950793650793E-4</v>
      </c>
      <c r="M2968" s="15">
        <f t="shared" si="153"/>
        <v>1.5104950793650793E-2</v>
      </c>
      <c r="N2968" s="21" t="s">
        <v>825</v>
      </c>
      <c r="O2968" s="4">
        <f>VLOOKUP(B2968, 'All Menu'!B:L, 6, 0)</f>
        <v>1.7241379310344829</v>
      </c>
      <c r="P2968" s="6">
        <f>VLOOKUP(B2968, 'All Menu'!B:L, 9, 0)</f>
        <v>1.2075036059660642</v>
      </c>
      <c r="Q2968" s="14">
        <f>VLOOKUP(B2968, 'All Menu'!B:M, 12, 0)</f>
        <v>0.29964790853968282</v>
      </c>
      <c r="R2968" s="173">
        <f t="shared" si="154"/>
        <v>0</v>
      </c>
    </row>
    <row r="2969" spans="1:18" ht="14" hidden="1">
      <c r="A2969" s="78" t="s">
        <v>2954</v>
      </c>
      <c r="B2969" s="220" t="s">
        <v>1229</v>
      </c>
      <c r="C2969" s="185"/>
      <c r="D2969" s="30" t="str">
        <f>VLOOKUP(B2969, 'All Menu'!B:M, 4, 0)</f>
        <v>رغيف مسخن</v>
      </c>
      <c r="E2969" s="30" t="str">
        <f>VLOOKUP(B2969, 'All Menu'!B:M, 2, 0)</f>
        <v>قسم التواصي</v>
      </c>
      <c r="F2969" s="103" t="str">
        <f>VLOOKUP(B2969, 'All Menu'!B:M, 3, 0)</f>
        <v>التواصي سفري2</v>
      </c>
      <c r="G2969" s="90" t="s">
        <v>2363</v>
      </c>
      <c r="H2969" s="219" t="s">
        <v>758</v>
      </c>
      <c r="I2969" s="110" t="str">
        <f>VLOOKUP(H2969, 'RM &amp; SF'!B:H, 2, 0)</f>
        <v>ضربه بصل مسخن</v>
      </c>
      <c r="J2969" s="184" t="str">
        <f>VLOOKUP(H2969, 'RM &amp; SF'!B:E, 4, 0)</f>
        <v>غم</v>
      </c>
      <c r="K2969" s="78">
        <v>480</v>
      </c>
      <c r="L2969" s="13">
        <f>VLOOKUP(H2969, 'RM &amp; SF'!B:H, 7, 0)</f>
        <v>2.2669666666666663E-3</v>
      </c>
      <c r="M2969" s="15">
        <f t="shared" si="153"/>
        <v>1.0881439999999998</v>
      </c>
      <c r="N2969" s="21" t="s">
        <v>825</v>
      </c>
      <c r="O2969" s="4">
        <f>VLOOKUP(B2969, 'All Menu'!B:L, 6, 0)</f>
        <v>1.7241379310344829</v>
      </c>
      <c r="P2969" s="6">
        <f>VLOOKUP(B2969, 'All Menu'!B:L, 9, 0)</f>
        <v>1.2075036059660642</v>
      </c>
      <c r="Q2969" s="14">
        <f>VLOOKUP(B2969, 'All Menu'!B:M, 12, 0)</f>
        <v>0.29964790853968282</v>
      </c>
      <c r="R2969" s="173">
        <f t="shared" si="154"/>
        <v>0</v>
      </c>
    </row>
    <row r="2970" spans="1:18" ht="14" hidden="1">
      <c r="A2970" s="78" t="s">
        <v>2954</v>
      </c>
      <c r="B2970" s="220" t="s">
        <v>1229</v>
      </c>
      <c r="C2970" s="185"/>
      <c r="D2970" s="30" t="str">
        <f>VLOOKUP(B2970, 'All Menu'!B:M, 4, 0)</f>
        <v>رغيف مسخن</v>
      </c>
      <c r="E2970" s="30" t="str">
        <f>VLOOKUP(B2970, 'All Menu'!B:M, 2, 0)</f>
        <v>قسم التواصي</v>
      </c>
      <c r="F2970" s="103" t="str">
        <f>VLOOKUP(B2970, 'All Menu'!B:M, 3, 0)</f>
        <v>التواصي سفري2</v>
      </c>
      <c r="G2970" s="90" t="s">
        <v>2215</v>
      </c>
      <c r="H2970" s="219">
        <v>4224</v>
      </c>
      <c r="I2970" s="110" t="str">
        <f>VLOOKUP(H2970, 'RM &amp; SF'!B:H, 2, 0)</f>
        <v>سماق*****</v>
      </c>
      <c r="J2970" s="184" t="str">
        <f>VLOOKUP(H2970, 'RM &amp; SF'!B:E, 4, 0)</f>
        <v>غم</v>
      </c>
      <c r="K2970" s="78">
        <v>5</v>
      </c>
      <c r="L2970" s="13">
        <f>VLOOKUP(H2970, 'RM &amp; SF'!B:H, 7, 0)</f>
        <v>4.3099999999999996E-3</v>
      </c>
      <c r="M2970" s="15">
        <f t="shared" si="153"/>
        <v>2.155E-2</v>
      </c>
      <c r="N2970" s="21" t="s">
        <v>825</v>
      </c>
      <c r="O2970" s="4">
        <f>VLOOKUP(B2970, 'All Menu'!B:L, 6, 0)</f>
        <v>1.7241379310344829</v>
      </c>
      <c r="P2970" s="6">
        <f>VLOOKUP(B2970, 'All Menu'!B:L, 9, 0)</f>
        <v>1.2075036059660642</v>
      </c>
      <c r="Q2970" s="14">
        <f>VLOOKUP(B2970, 'All Menu'!B:M, 12, 0)</f>
        <v>0.29964790853968282</v>
      </c>
      <c r="R2970" s="173">
        <f t="shared" si="154"/>
        <v>0</v>
      </c>
    </row>
    <row r="2971" spans="1:18" ht="14" hidden="1">
      <c r="A2971" s="78" t="s">
        <v>2954</v>
      </c>
      <c r="B2971" s="220" t="s">
        <v>1229</v>
      </c>
      <c r="C2971" s="185"/>
      <c r="D2971" s="30" t="str">
        <f>VLOOKUP(B2971, 'All Menu'!B:M, 4, 0)</f>
        <v>رغيف مسخن</v>
      </c>
      <c r="E2971" s="30" t="str">
        <f>VLOOKUP(B2971, 'All Menu'!B:M, 2, 0)</f>
        <v>قسم التواصي</v>
      </c>
      <c r="F2971" s="103" t="str">
        <f>VLOOKUP(B2971, 'All Menu'!B:M, 3, 0)</f>
        <v>التواصي سفري2</v>
      </c>
      <c r="G2971" s="90" t="s">
        <v>2341</v>
      </c>
      <c r="H2971" s="219" t="s">
        <v>706</v>
      </c>
      <c r="I2971" s="110" t="str">
        <f>VLOOKUP(H2971, 'RM &amp; SF'!B:H, 2, 0)</f>
        <v>لوز مقلي</v>
      </c>
      <c r="J2971" s="184" t="str">
        <f>VLOOKUP(H2971, 'RM &amp; SF'!B:E, 4, 0)</f>
        <v>غم</v>
      </c>
      <c r="K2971" s="78">
        <v>20</v>
      </c>
      <c r="L2971" s="13">
        <f>VLOOKUP(H2971, 'RM &amp; SF'!B:H, 7, 0)</f>
        <v>4.1352327586206888E-3</v>
      </c>
      <c r="M2971" s="15">
        <f t="shared" si="153"/>
        <v>8.270465517241378E-2</v>
      </c>
      <c r="N2971" s="21" t="s">
        <v>825</v>
      </c>
      <c r="O2971" s="4">
        <f>VLOOKUP(B2971, 'All Menu'!B:L, 6, 0)</f>
        <v>1.7241379310344829</v>
      </c>
      <c r="P2971" s="6">
        <f>VLOOKUP(B2971, 'All Menu'!B:L, 9, 0)</f>
        <v>1.2075036059660642</v>
      </c>
      <c r="Q2971" s="14">
        <f>VLOOKUP(B2971, 'All Menu'!B:M, 12, 0)</f>
        <v>0.29964790853968282</v>
      </c>
      <c r="R2971" s="173">
        <f t="shared" si="154"/>
        <v>0</v>
      </c>
    </row>
    <row r="2972" spans="1:18" ht="14" hidden="1">
      <c r="A2972" s="78" t="s">
        <v>2951</v>
      </c>
      <c r="B2972" s="220" t="s">
        <v>1271</v>
      </c>
      <c r="C2972" s="185"/>
      <c r="D2972" s="30" t="str">
        <f>VLOOKUP(B2972, 'All Menu'!B:M, 4, 0)</f>
        <v>مفتول نص دجاجة</v>
      </c>
      <c r="E2972" s="30" t="str">
        <f>VLOOKUP(B2972, 'All Menu'!B:M, 2, 0)</f>
        <v>قسم التواصي</v>
      </c>
      <c r="F2972" s="103" t="str">
        <f>VLOOKUP(B2972, 'All Menu'!B:M, 3, 0)</f>
        <v>التواصي سفري2</v>
      </c>
      <c r="G2972" s="90" t="s">
        <v>2348</v>
      </c>
      <c r="H2972" s="219" t="s">
        <v>720</v>
      </c>
      <c r="I2972" s="110" t="str">
        <f>VLOOKUP(H2972, 'RM &amp; SF'!B:H, 2, 0)</f>
        <v>ضربة مفتول</v>
      </c>
      <c r="J2972" s="184" t="str">
        <f>VLOOKUP(H2972, 'RM &amp; SF'!B:E, 4, 0)</f>
        <v>غم</v>
      </c>
      <c r="K2972" s="78">
        <v>1000</v>
      </c>
      <c r="L2972" s="13">
        <f>VLOOKUP(H2972, 'RM &amp; SF'!B:H, 7, 0)</f>
        <v>3.8807146464646462E-4</v>
      </c>
      <c r="M2972" s="15">
        <f t="shared" si="153"/>
        <v>0.38807146464646464</v>
      </c>
      <c r="N2972" s="21" t="s">
        <v>825</v>
      </c>
      <c r="O2972" s="4">
        <f>VLOOKUP(B2972, 'All Menu'!B:L, 6, 0)</f>
        <v>6.4655172413793105</v>
      </c>
      <c r="P2972" s="6">
        <f>VLOOKUP(B2972, 'All Menu'!B:L, 9, 0)</f>
        <v>3.56744167782476</v>
      </c>
      <c r="Q2972" s="14">
        <f>VLOOKUP(B2972, 'All Menu'!B:M, 12, 0)</f>
        <v>0.4482356871631038</v>
      </c>
      <c r="R2972" s="173">
        <f t="shared" si="154"/>
        <v>0</v>
      </c>
    </row>
    <row r="2973" spans="1:18" ht="14" hidden="1">
      <c r="A2973" s="78" t="s">
        <v>2951</v>
      </c>
      <c r="B2973" s="220" t="s">
        <v>1271</v>
      </c>
      <c r="C2973" s="185"/>
      <c r="D2973" s="30" t="str">
        <f>VLOOKUP(B2973, 'All Menu'!B:M, 4, 0)</f>
        <v>مفتول نص دجاجة</v>
      </c>
      <c r="E2973" s="30" t="str">
        <f>VLOOKUP(B2973, 'All Menu'!B:M, 2, 0)</f>
        <v>قسم التواصي</v>
      </c>
      <c r="F2973" s="103" t="str">
        <f>VLOOKUP(B2973, 'All Menu'!B:M, 3, 0)</f>
        <v>التواصي سفري2</v>
      </c>
      <c r="G2973" s="90" t="s">
        <v>2350</v>
      </c>
      <c r="H2973" s="219" t="s">
        <v>724</v>
      </c>
      <c r="I2973" s="110" t="str">
        <f>VLOOKUP(H2973, 'RM &amp; SF'!B:H, 2, 0)</f>
        <v>دجاج  مفتول</v>
      </c>
      <c r="J2973" s="184" t="str">
        <f>VLOOKUP(H2973, 'RM &amp; SF'!B:E, 4, 0)</f>
        <v>قطعة</v>
      </c>
      <c r="K2973" s="78">
        <v>0.5</v>
      </c>
      <c r="L2973" s="13">
        <f>VLOOKUP(H2973, 'RM &amp; SF'!B:H, 7, 0)</f>
        <v>0.90277388888888899</v>
      </c>
      <c r="M2973" s="15">
        <f t="shared" si="153"/>
        <v>0.45138694444444449</v>
      </c>
      <c r="N2973" s="21" t="s">
        <v>825</v>
      </c>
      <c r="O2973" s="4">
        <f>VLOOKUP(B2973, 'All Menu'!B:L, 6, 0)</f>
        <v>6.4655172413793105</v>
      </c>
      <c r="P2973" s="6">
        <f>VLOOKUP(B2973, 'All Menu'!B:L, 9, 0)</f>
        <v>3.56744167782476</v>
      </c>
      <c r="Q2973" s="14">
        <f>VLOOKUP(B2973, 'All Menu'!B:M, 12, 0)</f>
        <v>0.4482356871631038</v>
      </c>
      <c r="R2973" s="173">
        <f t="shared" si="154"/>
        <v>0</v>
      </c>
    </row>
    <row r="2974" spans="1:18" ht="14" hidden="1">
      <c r="A2974" s="78" t="s">
        <v>2951</v>
      </c>
      <c r="B2974" s="220" t="s">
        <v>1271</v>
      </c>
      <c r="C2974" s="185"/>
      <c r="D2974" s="30" t="str">
        <f>VLOOKUP(B2974, 'All Menu'!B:M, 4, 0)</f>
        <v>مفتول نص دجاجة</v>
      </c>
      <c r="E2974" s="30" t="str">
        <f>VLOOKUP(B2974, 'All Menu'!B:M, 2, 0)</f>
        <v>قسم التواصي</v>
      </c>
      <c r="F2974" s="103" t="str">
        <f>VLOOKUP(B2974, 'All Menu'!B:M, 3, 0)</f>
        <v>التواصي سفري2</v>
      </c>
      <c r="G2974" s="90" t="s">
        <v>2349</v>
      </c>
      <c r="H2974" s="219" t="s">
        <v>722</v>
      </c>
      <c r="I2974" s="110" t="str">
        <f>VLOOKUP(H2974, 'RM &amp; SF'!B:H, 2, 0)</f>
        <v>يخنة  مفتول</v>
      </c>
      <c r="J2974" s="184" t="str">
        <f>VLOOKUP(H2974, 'RM &amp; SF'!B:E, 4, 0)</f>
        <v>غم</v>
      </c>
      <c r="K2974" s="78">
        <v>1000</v>
      </c>
      <c r="L2974" s="13">
        <f>VLOOKUP(H2974, 'RM &amp; SF'!B:H, 7, 0)</f>
        <v>2.7279832687338509E-3</v>
      </c>
      <c r="M2974" s="15">
        <f t="shared" si="153"/>
        <v>2.7279832687338508</v>
      </c>
      <c r="N2974" s="21" t="s">
        <v>825</v>
      </c>
      <c r="O2974" s="4">
        <f>VLOOKUP(B2974, 'All Menu'!B:L, 6, 0)</f>
        <v>6.4655172413793105</v>
      </c>
      <c r="P2974" s="6">
        <f>VLOOKUP(B2974, 'All Menu'!B:L, 9, 0)</f>
        <v>3.56744167782476</v>
      </c>
      <c r="Q2974" s="14">
        <f>VLOOKUP(B2974, 'All Menu'!B:M, 12, 0)</f>
        <v>0.4482356871631038</v>
      </c>
      <c r="R2974" s="173">
        <f t="shared" si="154"/>
        <v>0</v>
      </c>
    </row>
    <row r="2975" spans="1:18" ht="14" hidden="1">
      <c r="A2975" s="78" t="s">
        <v>2952</v>
      </c>
      <c r="B2975" s="220" t="s">
        <v>1272</v>
      </c>
      <c r="C2975" s="185"/>
      <c r="D2975" s="30" t="str">
        <f>VLOOKUP(B2975, 'All Menu'!B:M, 4, 0)</f>
        <v>مفتول دجاجة</v>
      </c>
      <c r="E2975" s="30" t="str">
        <f>VLOOKUP(B2975, 'All Menu'!B:M, 2, 0)</f>
        <v>قسم التواصي</v>
      </c>
      <c r="F2975" s="103" t="str">
        <f>VLOOKUP(B2975, 'All Menu'!B:M, 3, 0)</f>
        <v>التواصي سفري2</v>
      </c>
      <c r="G2975" s="90" t="s">
        <v>2348</v>
      </c>
      <c r="H2975" s="219" t="s">
        <v>720</v>
      </c>
      <c r="I2975" s="110" t="str">
        <f>VLOOKUP(H2975, 'RM &amp; SF'!B:H, 2, 0)</f>
        <v>ضربة مفتول</v>
      </c>
      <c r="J2975" s="184" t="str">
        <f>VLOOKUP(H2975, 'RM &amp; SF'!B:E, 4, 0)</f>
        <v>غم</v>
      </c>
      <c r="K2975" s="78">
        <v>1500</v>
      </c>
      <c r="L2975" s="13">
        <f>VLOOKUP(H2975, 'RM &amp; SF'!B:H, 7, 0)</f>
        <v>3.8807146464646462E-4</v>
      </c>
      <c r="M2975" s="15">
        <f t="shared" si="153"/>
        <v>0.58210719696969693</v>
      </c>
      <c r="N2975" s="21" t="s">
        <v>825</v>
      </c>
      <c r="O2975" s="4">
        <f>VLOOKUP(B2975, 'All Menu'!B:L, 6, 0)</f>
        <v>10.344827586206897</v>
      </c>
      <c r="P2975" s="6">
        <f>VLOOKUP(B2975, 'All Menu'!B:L, 9, 0)</f>
        <v>4.2128643545924369</v>
      </c>
      <c r="Q2975" s="14">
        <f>VLOOKUP(B2975, 'All Menu'!B:M, 12, 0)</f>
        <v>0.59275644572273112</v>
      </c>
      <c r="R2975" s="173">
        <f t="shared" si="154"/>
        <v>0</v>
      </c>
    </row>
    <row r="2976" spans="1:18" ht="14" hidden="1">
      <c r="A2976" s="78" t="s">
        <v>2952</v>
      </c>
      <c r="B2976" s="220" t="s">
        <v>1272</v>
      </c>
      <c r="C2976" s="185"/>
      <c r="D2976" s="30" t="str">
        <f>VLOOKUP(B2976, 'All Menu'!B:M, 4, 0)</f>
        <v>مفتول دجاجة</v>
      </c>
      <c r="E2976" s="30" t="str">
        <f>VLOOKUP(B2976, 'All Menu'!B:M, 2, 0)</f>
        <v>قسم التواصي</v>
      </c>
      <c r="F2976" s="103" t="str">
        <f>VLOOKUP(B2976, 'All Menu'!B:M, 3, 0)</f>
        <v>التواصي سفري2</v>
      </c>
      <c r="G2976" s="90" t="s">
        <v>2349</v>
      </c>
      <c r="H2976" s="219" t="s">
        <v>722</v>
      </c>
      <c r="I2976" s="110" t="str">
        <f>VLOOKUP(H2976, 'RM &amp; SF'!B:H, 2, 0)</f>
        <v>يخنة  مفتول</v>
      </c>
      <c r="J2976" s="184" t="str">
        <f>VLOOKUP(H2976, 'RM &amp; SF'!B:E, 4, 0)</f>
        <v>غم</v>
      </c>
      <c r="K2976" s="78">
        <v>1000</v>
      </c>
      <c r="L2976" s="13">
        <f>VLOOKUP(H2976, 'RM &amp; SF'!B:H, 7, 0)</f>
        <v>2.7279832687338509E-3</v>
      </c>
      <c r="M2976" s="15">
        <f t="shared" si="153"/>
        <v>2.7279832687338508</v>
      </c>
      <c r="N2976" s="21" t="s">
        <v>825</v>
      </c>
      <c r="O2976" s="4">
        <f>VLOOKUP(B2976, 'All Menu'!B:L, 6, 0)</f>
        <v>10.344827586206897</v>
      </c>
      <c r="P2976" s="6">
        <f>VLOOKUP(B2976, 'All Menu'!B:L, 9, 0)</f>
        <v>4.2128643545924369</v>
      </c>
      <c r="Q2976" s="14">
        <f>VLOOKUP(B2976, 'All Menu'!B:M, 12, 0)</f>
        <v>0.59275644572273112</v>
      </c>
      <c r="R2976" s="173">
        <f t="shared" si="154"/>
        <v>0</v>
      </c>
    </row>
    <row r="2977" spans="1:18" ht="14" hidden="1">
      <c r="A2977" s="78" t="s">
        <v>2952</v>
      </c>
      <c r="B2977" s="220" t="s">
        <v>1272</v>
      </c>
      <c r="C2977" s="185"/>
      <c r="D2977" s="30" t="str">
        <f>VLOOKUP(B2977, 'All Menu'!B:M, 4, 0)</f>
        <v>مفتول دجاجة</v>
      </c>
      <c r="E2977" s="30" t="str">
        <f>VLOOKUP(B2977, 'All Menu'!B:M, 2, 0)</f>
        <v>قسم التواصي</v>
      </c>
      <c r="F2977" s="103" t="str">
        <f>VLOOKUP(B2977, 'All Menu'!B:M, 3, 0)</f>
        <v>التواصي سفري2</v>
      </c>
      <c r="G2977" s="90" t="s">
        <v>2350</v>
      </c>
      <c r="H2977" s="219" t="s">
        <v>724</v>
      </c>
      <c r="I2977" s="110" t="str">
        <f>VLOOKUP(H2977, 'RM &amp; SF'!B:H, 2, 0)</f>
        <v>دجاج  مفتول</v>
      </c>
      <c r="J2977" s="184" t="str">
        <f>VLOOKUP(H2977, 'RM &amp; SF'!B:E, 4, 0)</f>
        <v>قطعة</v>
      </c>
      <c r="K2977" s="78">
        <v>1</v>
      </c>
      <c r="L2977" s="13">
        <f>VLOOKUP(H2977, 'RM &amp; SF'!B:H, 7, 0)</f>
        <v>0.90277388888888899</v>
      </c>
      <c r="M2977" s="15">
        <f t="shared" si="153"/>
        <v>0.90277388888888899</v>
      </c>
      <c r="N2977" s="21" t="s">
        <v>825</v>
      </c>
      <c r="O2977" s="4">
        <f>VLOOKUP(B2977, 'All Menu'!B:L, 6, 0)</f>
        <v>10.344827586206897</v>
      </c>
      <c r="P2977" s="6">
        <f>VLOOKUP(B2977, 'All Menu'!B:L, 9, 0)</f>
        <v>4.2128643545924369</v>
      </c>
      <c r="Q2977" s="14">
        <f>VLOOKUP(B2977, 'All Menu'!B:M, 12, 0)</f>
        <v>0.59275644572273112</v>
      </c>
      <c r="R2977" s="173">
        <f t="shared" si="154"/>
        <v>0</v>
      </c>
    </row>
    <row r="2978" spans="1:18" ht="14" hidden="1">
      <c r="A2978" s="78" t="s">
        <v>2953</v>
      </c>
      <c r="B2978" s="220" t="s">
        <v>1273</v>
      </c>
      <c r="C2978" s="185"/>
      <c r="D2978" s="30" t="str">
        <f>VLOOKUP(B2978, 'All Menu'!B:M, 4, 0)</f>
        <v>مفتول دجاجتين</v>
      </c>
      <c r="E2978" s="30" t="str">
        <f>VLOOKUP(B2978, 'All Menu'!B:M, 2, 0)</f>
        <v>قسم التواصي</v>
      </c>
      <c r="F2978" s="103" t="str">
        <f>VLOOKUP(B2978, 'All Menu'!B:M, 3, 0)</f>
        <v>التواصي سفري2</v>
      </c>
      <c r="G2978" s="90" t="s">
        <v>2348</v>
      </c>
      <c r="H2978" s="219" t="s">
        <v>720</v>
      </c>
      <c r="I2978" s="110" t="str">
        <f>VLOOKUP(H2978, 'RM &amp; SF'!B:H, 2, 0)</f>
        <v>ضربة مفتول</v>
      </c>
      <c r="J2978" s="184" t="str">
        <f>VLOOKUP(H2978, 'RM &amp; SF'!B:E, 4, 0)</f>
        <v>غم</v>
      </c>
      <c r="K2978" s="78">
        <v>2500</v>
      </c>
      <c r="L2978" s="13">
        <f>VLOOKUP(H2978, 'RM &amp; SF'!B:H, 7, 0)</f>
        <v>3.8807146464646462E-4</v>
      </c>
      <c r="M2978" s="15">
        <f t="shared" si="153"/>
        <v>0.97017866161616151</v>
      </c>
      <c r="N2978" s="21" t="s">
        <v>825</v>
      </c>
      <c r="O2978" s="4">
        <f>VLOOKUP(B2978, 'All Menu'!B:L, 6, 0)</f>
        <v>17.241379310344829</v>
      </c>
      <c r="P2978" s="6">
        <f>VLOOKUP(B2978, 'All Menu'!B:L, 9, 0)</f>
        <v>8.2316929768616411</v>
      </c>
      <c r="Q2978" s="14">
        <f>VLOOKUP(B2978, 'All Menu'!B:M, 12, 0)</f>
        <v>0.52256180734202484</v>
      </c>
      <c r="R2978" s="173">
        <f t="shared" si="154"/>
        <v>0</v>
      </c>
    </row>
    <row r="2979" spans="1:18" ht="14" hidden="1">
      <c r="A2979" s="78" t="s">
        <v>2953</v>
      </c>
      <c r="B2979" s="220" t="s">
        <v>1273</v>
      </c>
      <c r="C2979" s="185"/>
      <c r="D2979" s="30" t="str">
        <f>VLOOKUP(B2979, 'All Menu'!B:M, 4, 0)</f>
        <v>مفتول دجاجتين</v>
      </c>
      <c r="E2979" s="30" t="str">
        <f>VLOOKUP(B2979, 'All Menu'!B:M, 2, 0)</f>
        <v>قسم التواصي</v>
      </c>
      <c r="F2979" s="103" t="str">
        <f>VLOOKUP(B2979, 'All Menu'!B:M, 3, 0)</f>
        <v>التواصي سفري2</v>
      </c>
      <c r="G2979" s="90" t="s">
        <v>2349</v>
      </c>
      <c r="H2979" s="219" t="s">
        <v>722</v>
      </c>
      <c r="I2979" s="110" t="str">
        <f>VLOOKUP(H2979, 'RM &amp; SF'!B:H, 2, 0)</f>
        <v>يخنة  مفتول</v>
      </c>
      <c r="J2979" s="184" t="str">
        <f>VLOOKUP(H2979, 'RM &amp; SF'!B:E, 4, 0)</f>
        <v>غم</v>
      </c>
      <c r="K2979" s="78">
        <v>2000</v>
      </c>
      <c r="L2979" s="13">
        <f>VLOOKUP(H2979, 'RM &amp; SF'!B:H, 7, 0)</f>
        <v>2.7279832687338509E-3</v>
      </c>
      <c r="M2979" s="15">
        <f t="shared" si="153"/>
        <v>5.4559665374677015</v>
      </c>
      <c r="N2979" s="21" t="s">
        <v>825</v>
      </c>
      <c r="O2979" s="4">
        <f>VLOOKUP(B2979, 'All Menu'!B:L, 6, 0)</f>
        <v>17.241379310344829</v>
      </c>
      <c r="P2979" s="6">
        <f>VLOOKUP(B2979, 'All Menu'!B:L, 9, 0)</f>
        <v>8.2316929768616411</v>
      </c>
      <c r="Q2979" s="14">
        <f>VLOOKUP(B2979, 'All Menu'!B:M, 12, 0)</f>
        <v>0.52256180734202484</v>
      </c>
      <c r="R2979" s="173">
        <f t="shared" si="154"/>
        <v>0</v>
      </c>
    </row>
    <row r="2980" spans="1:18" ht="14" hidden="1">
      <c r="A2980" s="78" t="s">
        <v>2953</v>
      </c>
      <c r="B2980" s="220" t="s">
        <v>1273</v>
      </c>
      <c r="C2980" s="185"/>
      <c r="D2980" s="30" t="str">
        <f>VLOOKUP(B2980, 'All Menu'!B:M, 4, 0)</f>
        <v>مفتول دجاجتين</v>
      </c>
      <c r="E2980" s="30" t="str">
        <f>VLOOKUP(B2980, 'All Menu'!B:M, 2, 0)</f>
        <v>قسم التواصي</v>
      </c>
      <c r="F2980" s="103" t="str">
        <f>VLOOKUP(B2980, 'All Menu'!B:M, 3, 0)</f>
        <v>التواصي سفري2</v>
      </c>
      <c r="G2980" s="90" t="s">
        <v>2350</v>
      </c>
      <c r="H2980" s="219" t="s">
        <v>724</v>
      </c>
      <c r="I2980" s="110" t="str">
        <f>VLOOKUP(H2980, 'RM &amp; SF'!B:H, 2, 0)</f>
        <v>دجاج  مفتول</v>
      </c>
      <c r="J2980" s="184" t="str">
        <f>VLOOKUP(H2980, 'RM &amp; SF'!B:E, 4, 0)</f>
        <v>قطعة</v>
      </c>
      <c r="K2980" s="78">
        <v>2</v>
      </c>
      <c r="L2980" s="13">
        <f>VLOOKUP(H2980, 'RM &amp; SF'!B:H, 7, 0)</f>
        <v>0.90277388888888899</v>
      </c>
      <c r="M2980" s="15">
        <f t="shared" si="153"/>
        <v>1.805547777777778</v>
      </c>
      <c r="N2980" s="21" t="s">
        <v>825</v>
      </c>
      <c r="O2980" s="4">
        <f>VLOOKUP(B2980, 'All Menu'!B:L, 6, 0)</f>
        <v>17.241379310344829</v>
      </c>
      <c r="P2980" s="6">
        <f>VLOOKUP(B2980, 'All Menu'!B:L, 9, 0)</f>
        <v>8.2316929768616411</v>
      </c>
      <c r="Q2980" s="14">
        <f>VLOOKUP(B2980, 'All Menu'!B:M, 12, 0)</f>
        <v>0.52256180734202484</v>
      </c>
      <c r="R2980" s="173">
        <f t="shared" si="154"/>
        <v>0</v>
      </c>
    </row>
    <row r="2981" spans="1:18" ht="14" hidden="1">
      <c r="A2981" s="78" t="s">
        <v>2955</v>
      </c>
      <c r="B2981" s="220" t="s">
        <v>1281</v>
      </c>
      <c r="C2981" s="185"/>
      <c r="D2981" s="30" t="str">
        <f>VLOOKUP(B2981, 'All Menu'!B:M, 4, 0)</f>
        <v>برياني دجاجة</v>
      </c>
      <c r="E2981" s="30" t="str">
        <f>VLOOKUP(B2981, 'All Menu'!B:M, 2, 0)</f>
        <v>قسم التواصي</v>
      </c>
      <c r="F2981" s="103" t="str">
        <f>VLOOKUP(B2981, 'All Menu'!B:M, 3, 0)</f>
        <v>التواصي سفري</v>
      </c>
      <c r="G2981" s="90" t="s">
        <v>2413</v>
      </c>
      <c r="H2981" s="219" t="s">
        <v>696</v>
      </c>
      <c r="I2981" s="110" t="str">
        <f>VLOOKUP(H2981, 'RM &amp; SF'!B:H, 2, 0)</f>
        <v>رز برياني</v>
      </c>
      <c r="J2981" s="184" t="str">
        <f>VLOOKUP(H2981, 'RM &amp; SF'!B:E, 4, 0)</f>
        <v>غم</v>
      </c>
      <c r="K2981" s="78">
        <v>1500</v>
      </c>
      <c r="L2981" s="13">
        <f>VLOOKUP(H2981, 'RM &amp; SF'!B:H, 7, 0)</f>
        <v>4.0283955555555555E-4</v>
      </c>
      <c r="M2981" s="15">
        <f t="shared" si="153"/>
        <v>0.60425933333333337</v>
      </c>
      <c r="N2981" s="21" t="s">
        <v>825</v>
      </c>
      <c r="O2981" s="4">
        <f>VLOOKUP(B2981, 'All Menu'!B:L, 6, 0)</f>
        <v>8.6206896551724146</v>
      </c>
      <c r="P2981" s="6">
        <f>VLOOKUP(B2981, 'All Menu'!B:L, 9, 0)</f>
        <v>4.6398193029978412</v>
      </c>
      <c r="Q2981" s="14">
        <f>VLOOKUP(B2981, 'All Menu'!B:M, 12, 0)</f>
        <v>0.46178096085225045</v>
      </c>
      <c r="R2981" s="173">
        <f t="shared" si="154"/>
        <v>0</v>
      </c>
    </row>
    <row r="2982" spans="1:18" ht="14" hidden="1">
      <c r="A2982" s="78" t="s">
        <v>2955</v>
      </c>
      <c r="B2982" s="220" t="s">
        <v>1281</v>
      </c>
      <c r="C2982" s="185"/>
      <c r="D2982" s="30" t="str">
        <f>VLOOKUP(B2982, 'All Menu'!B:M, 4, 0)</f>
        <v>برياني دجاجة</v>
      </c>
      <c r="E2982" s="30" t="str">
        <f>VLOOKUP(B2982, 'All Menu'!B:M, 2, 0)</f>
        <v>قسم التواصي</v>
      </c>
      <c r="F2982" s="103" t="str">
        <f>VLOOKUP(B2982, 'All Menu'!B:M, 3, 0)</f>
        <v>التواصي سفري</v>
      </c>
      <c r="G2982" s="90" t="s">
        <v>2417</v>
      </c>
      <c r="H2982" s="219" t="s">
        <v>544</v>
      </c>
      <c r="I2982" s="110" t="str">
        <f>VLOOKUP(H2982, 'RM &amp; SF'!B:H, 2, 0)</f>
        <v>دجاجة متبلة</v>
      </c>
      <c r="J2982" s="184" t="str">
        <f>VLOOKUP(H2982, 'RM &amp; SF'!B:E, 4, 0)</f>
        <v>قطعة</v>
      </c>
      <c r="K2982" s="78">
        <v>1</v>
      </c>
      <c r="L2982" s="13">
        <f>VLOOKUP(H2982, 'RM &amp; SF'!B:H, 7, 0)</f>
        <v>3.0853324000000004</v>
      </c>
      <c r="M2982" s="15">
        <f t="shared" si="153"/>
        <v>3.0853324000000004</v>
      </c>
      <c r="N2982" s="21" t="s">
        <v>825</v>
      </c>
      <c r="O2982" s="4">
        <f>VLOOKUP(B2982, 'All Menu'!B:L, 6, 0)</f>
        <v>8.6206896551724146</v>
      </c>
      <c r="P2982" s="6">
        <f>VLOOKUP(B2982, 'All Menu'!B:L, 9, 0)</f>
        <v>4.6398193029978412</v>
      </c>
      <c r="Q2982" s="14">
        <f>VLOOKUP(B2982, 'All Menu'!B:M, 12, 0)</f>
        <v>0.46178096085225045</v>
      </c>
      <c r="R2982" s="173">
        <f t="shared" si="154"/>
        <v>0</v>
      </c>
    </row>
    <row r="2983" spans="1:18" ht="14" hidden="1">
      <c r="A2983" s="78" t="s">
        <v>2955</v>
      </c>
      <c r="B2983" s="220" t="s">
        <v>1281</v>
      </c>
      <c r="C2983" s="185"/>
      <c r="D2983" s="30" t="str">
        <f>VLOOKUP(B2983, 'All Menu'!B:M, 4, 0)</f>
        <v>برياني دجاجة</v>
      </c>
      <c r="E2983" s="30" t="str">
        <f>VLOOKUP(B2983, 'All Menu'!B:M, 2, 0)</f>
        <v>قسم التواصي</v>
      </c>
      <c r="F2983" s="103" t="str">
        <f>VLOOKUP(B2983, 'All Menu'!B:M, 3, 0)</f>
        <v>التواصي سفري</v>
      </c>
      <c r="G2983" s="90" t="s">
        <v>2341</v>
      </c>
      <c r="H2983" s="219" t="s">
        <v>706</v>
      </c>
      <c r="I2983" s="110" t="str">
        <f>VLOOKUP(H2983, 'RM &amp; SF'!B:H, 2, 0)</f>
        <v>لوز مقلي</v>
      </c>
      <c r="J2983" s="184" t="str">
        <f>VLOOKUP(H2983, 'RM &amp; SF'!B:E, 4, 0)</f>
        <v>غم</v>
      </c>
      <c r="K2983" s="78">
        <v>80</v>
      </c>
      <c r="L2983" s="13">
        <f>VLOOKUP(H2983, 'RM &amp; SF'!B:H, 7, 0)</f>
        <v>4.1352327586206888E-3</v>
      </c>
      <c r="M2983" s="15">
        <f t="shared" si="153"/>
        <v>0.33081862068965512</v>
      </c>
      <c r="N2983" s="21" t="s">
        <v>825</v>
      </c>
      <c r="O2983" s="4">
        <f>VLOOKUP(B2983, 'All Menu'!B:L, 6, 0)</f>
        <v>8.6206896551724146</v>
      </c>
      <c r="P2983" s="6">
        <f>VLOOKUP(B2983, 'All Menu'!B:L, 9, 0)</f>
        <v>4.6398193029978412</v>
      </c>
      <c r="Q2983" s="14">
        <f>VLOOKUP(B2983, 'All Menu'!B:M, 12, 0)</f>
        <v>0.46178096085225045</v>
      </c>
      <c r="R2983" s="173">
        <f t="shared" si="154"/>
        <v>0</v>
      </c>
    </row>
    <row r="2984" spans="1:18" ht="14" hidden="1">
      <c r="A2984" s="78" t="s">
        <v>2955</v>
      </c>
      <c r="B2984" s="220" t="s">
        <v>1281</v>
      </c>
      <c r="C2984" s="185"/>
      <c r="D2984" s="30" t="str">
        <f>VLOOKUP(B2984, 'All Menu'!B:M, 4, 0)</f>
        <v>برياني دجاجة</v>
      </c>
      <c r="E2984" s="30" t="str">
        <f>VLOOKUP(B2984, 'All Menu'!B:M, 2, 0)</f>
        <v>قسم التواصي</v>
      </c>
      <c r="F2984" s="103" t="str">
        <f>VLOOKUP(B2984, 'All Menu'!B:M, 3, 0)</f>
        <v>التواصي سفري</v>
      </c>
      <c r="G2984" s="90" t="s">
        <v>2228</v>
      </c>
      <c r="H2984" s="219" t="s">
        <v>566</v>
      </c>
      <c r="I2984" s="110" t="str">
        <f>VLOOKUP(H2984, 'RM &amp; SF'!B:H, 2, 0)</f>
        <v>خيار بلبن</v>
      </c>
      <c r="J2984" s="184" t="str">
        <f>VLOOKUP(H2984, 'RM &amp; SF'!B:E, 4, 0)</f>
        <v>غم</v>
      </c>
      <c r="K2984" s="78">
        <v>250</v>
      </c>
      <c r="L2984" s="13">
        <f>VLOOKUP(H2984, 'RM &amp; SF'!B:H, 7, 0)</f>
        <v>1.0121557958994094E-3</v>
      </c>
      <c r="M2984" s="15">
        <f t="shared" si="153"/>
        <v>0.25303894897485235</v>
      </c>
      <c r="N2984" s="21" t="s">
        <v>825</v>
      </c>
      <c r="O2984" s="4">
        <f>VLOOKUP(B2984, 'All Menu'!B:L, 6, 0)</f>
        <v>8.6206896551724146</v>
      </c>
      <c r="P2984" s="6">
        <f>VLOOKUP(B2984, 'All Menu'!B:L, 9, 0)</f>
        <v>4.6398193029978412</v>
      </c>
      <c r="Q2984" s="14">
        <f>VLOOKUP(B2984, 'All Menu'!B:M, 12, 0)</f>
        <v>0.46178096085225045</v>
      </c>
      <c r="R2984" s="173">
        <f t="shared" si="154"/>
        <v>0</v>
      </c>
    </row>
    <row r="2985" spans="1:18" ht="14" hidden="1">
      <c r="A2985" s="78" t="s">
        <v>2955</v>
      </c>
      <c r="B2985" s="220" t="s">
        <v>1281</v>
      </c>
      <c r="C2985" s="185"/>
      <c r="D2985" s="30" t="str">
        <f>VLOOKUP(B2985, 'All Menu'!B:M, 4, 0)</f>
        <v>برياني دجاجة</v>
      </c>
      <c r="E2985" s="30" t="str">
        <f>VLOOKUP(B2985, 'All Menu'!B:M, 2, 0)</f>
        <v>قسم التواصي</v>
      </c>
      <c r="F2985" s="103" t="str">
        <f>VLOOKUP(B2985, 'All Menu'!B:M, 3, 0)</f>
        <v>التواصي سفري</v>
      </c>
      <c r="G2985" s="90" t="s">
        <v>2191</v>
      </c>
      <c r="H2985" s="219">
        <v>4282</v>
      </c>
      <c r="I2985" s="110" t="str">
        <f>VLOOKUP(H2985, 'RM &amp; SF'!B:H, 2, 0)</f>
        <v>علب سوشي اسود رقم 3*****</v>
      </c>
      <c r="J2985" s="184" t="str">
        <f>VLOOKUP(H2985, 'RM &amp; SF'!B:E, 4, 0)</f>
        <v>قطعة</v>
      </c>
      <c r="K2985" s="78">
        <v>1</v>
      </c>
      <c r="L2985" s="13">
        <f>VLOOKUP(H2985, 'RM &amp; SF'!B:H, 7, 0)</f>
        <v>8.6199999999999999E-2</v>
      </c>
      <c r="M2985" s="15">
        <f t="shared" si="153"/>
        <v>8.6199999999999999E-2</v>
      </c>
      <c r="N2985" s="21" t="s">
        <v>825</v>
      </c>
      <c r="O2985" s="4">
        <f>VLOOKUP(B2985, 'All Menu'!B:L, 6, 0)</f>
        <v>8.6206896551724146</v>
      </c>
      <c r="P2985" s="6">
        <f>VLOOKUP(B2985, 'All Menu'!B:L, 9, 0)</f>
        <v>4.6398193029978412</v>
      </c>
      <c r="Q2985" s="14">
        <f>VLOOKUP(B2985, 'All Menu'!B:M, 12, 0)</f>
        <v>0.46178096085225045</v>
      </c>
      <c r="R2985" s="173">
        <f t="shared" si="154"/>
        <v>0</v>
      </c>
    </row>
    <row r="2986" spans="1:18" ht="14" hidden="1">
      <c r="A2986" s="78" t="s">
        <v>2955</v>
      </c>
      <c r="B2986" s="220" t="s">
        <v>1281</v>
      </c>
      <c r="C2986" s="185"/>
      <c r="D2986" s="30" t="str">
        <f>VLOOKUP(B2986, 'All Menu'!B:M, 4, 0)</f>
        <v>برياني دجاجة</v>
      </c>
      <c r="E2986" s="30" t="str">
        <f>VLOOKUP(B2986, 'All Menu'!B:M, 2, 0)</f>
        <v>قسم التواصي</v>
      </c>
      <c r="F2986" s="103" t="str">
        <f>VLOOKUP(B2986, 'All Menu'!B:M, 3, 0)</f>
        <v>التواصي سفري</v>
      </c>
      <c r="G2986" s="90" t="s">
        <v>3058</v>
      </c>
      <c r="H2986" s="219">
        <v>4354</v>
      </c>
      <c r="I2986" s="110" t="str">
        <f>VLOOKUP(H2986, 'RM &amp; SF'!B:H, 2, 0)</f>
        <v>سدر بلاستيك دائري 35 سم*****</v>
      </c>
      <c r="J2986" s="184" t="str">
        <f>VLOOKUP(H2986, 'RM &amp; SF'!B:E, 4, 0)</f>
        <v>قطعة</v>
      </c>
      <c r="K2986" s="78">
        <v>1</v>
      </c>
      <c r="L2986" s="13">
        <f>VLOOKUP(H2986, 'RM &amp; SF'!B:H, 7, 0)</f>
        <v>0.28016999999999997</v>
      </c>
      <c r="M2986" s="15">
        <f t="shared" si="153"/>
        <v>0.28016999999999997</v>
      </c>
      <c r="N2986" s="21" t="s">
        <v>825</v>
      </c>
      <c r="O2986" s="4">
        <f>VLOOKUP(B2986, 'All Menu'!B:L, 6, 0)</f>
        <v>8.6206896551724146</v>
      </c>
      <c r="P2986" s="6">
        <f>VLOOKUP(B2986, 'All Menu'!B:L, 9, 0)</f>
        <v>4.6398193029978412</v>
      </c>
      <c r="Q2986" s="14">
        <f>VLOOKUP(B2986, 'All Menu'!B:M, 12, 0)</f>
        <v>0.46178096085225045</v>
      </c>
      <c r="R2986" s="173">
        <f t="shared" si="154"/>
        <v>0</v>
      </c>
    </row>
    <row r="2987" spans="1:18" ht="14" hidden="1">
      <c r="A2987" s="78" t="s">
        <v>3077</v>
      </c>
      <c r="B2987" s="220" t="s">
        <v>1291</v>
      </c>
      <c r="C2987" s="185"/>
      <c r="D2987" s="30" t="str">
        <f>VLOOKUP(B2987, 'All Menu'!B:M, 4, 0)</f>
        <v>مضغوط لحم 1 كيلو</v>
      </c>
      <c r="E2987" s="30" t="str">
        <f>VLOOKUP(B2987, 'All Menu'!B:M, 2, 0)</f>
        <v>قسم التواصي</v>
      </c>
      <c r="F2987" s="103" t="str">
        <f>VLOOKUP(B2987, 'All Menu'!B:M, 3, 0)</f>
        <v>التواصي سفري</v>
      </c>
      <c r="G2987" s="90" t="s">
        <v>2391</v>
      </c>
      <c r="H2987" s="219" t="s">
        <v>594</v>
      </c>
      <c r="I2987" s="110" t="str">
        <f>VLOOKUP(H2987, 'RM &amp; SF'!B:H, 2, 0)</f>
        <v xml:space="preserve">رز مضغوط </v>
      </c>
      <c r="J2987" s="184" t="str">
        <f>VLOOKUP(H2987, 'RM &amp; SF'!B:E, 4, 0)</f>
        <v>غم</v>
      </c>
      <c r="K2987" s="78">
        <v>2000</v>
      </c>
      <c r="L2987" s="13">
        <f>VLOOKUP(H2987, 'RM &amp; SF'!B:H, 7, 0)</f>
        <v>4.4997460919540231E-4</v>
      </c>
      <c r="M2987" s="15">
        <f t="shared" si="153"/>
        <v>0.89994921839080466</v>
      </c>
      <c r="N2987" s="21" t="s">
        <v>825</v>
      </c>
      <c r="O2987" s="4">
        <f>VLOOKUP(B2987, 'All Menu'!B:L, 6, 0)</f>
        <v>19.827586206896552</v>
      </c>
      <c r="P2987" s="6">
        <f>VLOOKUP(B2987, 'All Menu'!B:L, 9, 0)</f>
        <v>13.471000731032925</v>
      </c>
      <c r="Q2987" s="14">
        <f>VLOOKUP(B2987, 'All Menu'!B:M, 12, 0)</f>
        <v>0.32059300660877421</v>
      </c>
      <c r="R2987" s="173">
        <f t="shared" si="154"/>
        <v>0</v>
      </c>
    </row>
    <row r="2988" spans="1:18" ht="14" hidden="1">
      <c r="A2988" s="78" t="s">
        <v>3077</v>
      </c>
      <c r="B2988" s="220" t="s">
        <v>1291</v>
      </c>
      <c r="C2988" s="185"/>
      <c r="D2988" s="30" t="str">
        <f>VLOOKUP(B2988, 'All Menu'!B:M, 4, 0)</f>
        <v>مضغوط لحم 1 كيلو</v>
      </c>
      <c r="E2988" s="30" t="str">
        <f>VLOOKUP(B2988, 'All Menu'!B:M, 2, 0)</f>
        <v>قسم التواصي</v>
      </c>
      <c r="F2988" s="103" t="str">
        <f>VLOOKUP(B2988, 'All Menu'!B:M, 3, 0)</f>
        <v>التواصي سفري</v>
      </c>
      <c r="G2988" s="90" t="s">
        <v>3058</v>
      </c>
      <c r="H2988" s="219">
        <v>4608</v>
      </c>
      <c r="I2988" s="110" t="str">
        <f>VLOOKUP(H2988, 'RM &amp; SF'!B:H, 2, 0)</f>
        <v>لحمة قطع نية بالكيلو*****</v>
      </c>
      <c r="J2988" s="184" t="str">
        <f>VLOOKUP(H2988, 'RM &amp; SF'!B:E, 4, 0)</f>
        <v>غم</v>
      </c>
      <c r="K2988" s="78">
        <v>1000</v>
      </c>
      <c r="L2988" s="13">
        <f>VLOOKUP(H2988, 'RM &amp; SF'!B:H, 7, 0)</f>
        <v>1.1615493158849017E-2</v>
      </c>
      <c r="M2988" s="15">
        <f t="shared" si="153"/>
        <v>11.615493158849016</v>
      </c>
      <c r="N2988" s="21" t="s">
        <v>825</v>
      </c>
      <c r="O2988" s="4">
        <f>VLOOKUP(B2988, 'All Menu'!B:L, 6, 0)</f>
        <v>19.827586206896552</v>
      </c>
      <c r="P2988" s="6">
        <f>VLOOKUP(B2988, 'All Menu'!B:L, 9, 0)</f>
        <v>13.471000731032925</v>
      </c>
      <c r="Q2988" s="14">
        <f>VLOOKUP(B2988, 'All Menu'!B:M, 12, 0)</f>
        <v>0.32059300660877421</v>
      </c>
      <c r="R2988" s="173">
        <f t="shared" si="154"/>
        <v>0</v>
      </c>
    </row>
    <row r="2989" spans="1:18" ht="14" hidden="1">
      <c r="A2989" s="78" t="s">
        <v>3077</v>
      </c>
      <c r="B2989" s="220" t="s">
        <v>1291</v>
      </c>
      <c r="C2989" s="185"/>
      <c r="D2989" s="30" t="str">
        <f>VLOOKUP(B2989, 'All Menu'!B:M, 4, 0)</f>
        <v>مضغوط لحم 1 كيلو</v>
      </c>
      <c r="E2989" s="30" t="str">
        <f>VLOOKUP(B2989, 'All Menu'!B:M, 2, 0)</f>
        <v>قسم التواصي</v>
      </c>
      <c r="F2989" s="103" t="str">
        <f>VLOOKUP(B2989, 'All Menu'!B:M, 3, 0)</f>
        <v>التواصي سفري</v>
      </c>
      <c r="G2989" s="90" t="s">
        <v>2341</v>
      </c>
      <c r="H2989" s="219" t="s">
        <v>706</v>
      </c>
      <c r="I2989" s="110" t="str">
        <f>VLOOKUP(H2989, 'RM &amp; SF'!B:H, 2, 0)</f>
        <v>لوز مقلي</v>
      </c>
      <c r="J2989" s="184" t="str">
        <f>VLOOKUP(H2989, 'RM &amp; SF'!B:E, 4, 0)</f>
        <v>غم</v>
      </c>
      <c r="K2989" s="78">
        <v>150</v>
      </c>
      <c r="L2989" s="13">
        <f>VLOOKUP(H2989, 'RM &amp; SF'!B:H, 7, 0)</f>
        <v>4.1352327586206888E-3</v>
      </c>
      <c r="M2989" s="15">
        <f t="shared" si="153"/>
        <v>0.62028491379310335</v>
      </c>
      <c r="N2989" s="21" t="s">
        <v>825</v>
      </c>
      <c r="O2989" s="4">
        <f>VLOOKUP(B2989, 'All Menu'!B:L, 6, 0)</f>
        <v>19.827586206896552</v>
      </c>
      <c r="P2989" s="6">
        <f>VLOOKUP(B2989, 'All Menu'!B:L, 9, 0)</f>
        <v>13.471000731032925</v>
      </c>
      <c r="Q2989" s="14">
        <f>VLOOKUP(B2989, 'All Menu'!B:M, 12, 0)</f>
        <v>0.32059300660877421</v>
      </c>
      <c r="R2989" s="173">
        <f t="shared" si="154"/>
        <v>0</v>
      </c>
    </row>
    <row r="2990" spans="1:18" ht="14" hidden="1">
      <c r="A2990" s="78" t="s">
        <v>3077</v>
      </c>
      <c r="B2990" s="220" t="s">
        <v>1291</v>
      </c>
      <c r="C2990" s="185"/>
      <c r="D2990" s="30" t="str">
        <f>VLOOKUP(B2990, 'All Menu'!B:M, 4, 0)</f>
        <v>مضغوط لحم 1 كيلو</v>
      </c>
      <c r="E2990" s="30" t="str">
        <f>VLOOKUP(B2990, 'All Menu'!B:M, 2, 0)</f>
        <v>قسم التواصي</v>
      </c>
      <c r="F2990" s="103" t="str">
        <f>VLOOKUP(B2990, 'All Menu'!B:M, 3, 0)</f>
        <v>التواصي سفري</v>
      </c>
      <c r="G2990" s="90" t="s">
        <v>3058</v>
      </c>
      <c r="H2990" s="219">
        <v>4354</v>
      </c>
      <c r="I2990" s="110" t="str">
        <f>VLOOKUP(H2990, 'RM &amp; SF'!B:H, 2, 0)</f>
        <v>سدر بلاستيك دائري 35 سم*****</v>
      </c>
      <c r="J2990" s="184" t="str">
        <f>VLOOKUP(H2990, 'RM &amp; SF'!B:E, 4, 0)</f>
        <v>قطعة</v>
      </c>
      <c r="K2990" s="78">
        <v>1</v>
      </c>
      <c r="L2990" s="13">
        <f>VLOOKUP(H2990, 'RM &amp; SF'!B:H, 7, 0)</f>
        <v>0.28016999999999997</v>
      </c>
      <c r="M2990" s="15">
        <f t="shared" si="153"/>
        <v>0.28016999999999997</v>
      </c>
      <c r="N2990" s="21" t="s">
        <v>825</v>
      </c>
      <c r="O2990" s="4">
        <f>VLOOKUP(B2990, 'All Menu'!B:L, 6, 0)</f>
        <v>19.827586206896552</v>
      </c>
      <c r="P2990" s="6">
        <f>VLOOKUP(B2990, 'All Menu'!B:L, 9, 0)</f>
        <v>13.471000731032925</v>
      </c>
      <c r="Q2990" s="14">
        <f>VLOOKUP(B2990, 'All Menu'!B:M, 12, 0)</f>
        <v>0.32059300660877421</v>
      </c>
      <c r="R2990" s="173">
        <f t="shared" si="154"/>
        <v>0</v>
      </c>
    </row>
    <row r="2991" spans="1:18" ht="14" hidden="1">
      <c r="A2991" s="78" t="s">
        <v>3077</v>
      </c>
      <c r="B2991" s="220" t="s">
        <v>1291</v>
      </c>
      <c r="C2991" s="185"/>
      <c r="D2991" s="30" t="str">
        <f>VLOOKUP(B2991, 'All Menu'!B:M, 4, 0)</f>
        <v>مضغوط لحم 1 كيلو</v>
      </c>
      <c r="E2991" s="30" t="str">
        <f>VLOOKUP(B2991, 'All Menu'!B:M, 2, 0)</f>
        <v>قسم التواصي</v>
      </c>
      <c r="F2991" s="103" t="str">
        <f>VLOOKUP(B2991, 'All Menu'!B:M, 3, 0)</f>
        <v>التواصي سفري</v>
      </c>
      <c r="G2991" s="90" t="s">
        <v>2194</v>
      </c>
      <c r="H2991" s="219">
        <v>4323</v>
      </c>
      <c r="I2991" s="110" t="str">
        <f>VLOOKUP(H2991, 'RM &amp; SF'!B:H, 2, 0)</f>
        <v>قصدير رول 45 سم*2كغ*****</v>
      </c>
      <c r="J2991" s="184" t="str">
        <f>VLOOKUP(H2991, 'RM &amp; SF'!B:E, 4, 0)</f>
        <v>غم</v>
      </c>
      <c r="K2991" s="78">
        <v>0.06</v>
      </c>
      <c r="L2991" s="13">
        <f>VLOOKUP(H2991, 'RM &amp; SF'!B:H, 7, 0)</f>
        <v>1.7240000000000001E-3</v>
      </c>
      <c r="M2991" s="15">
        <f t="shared" si="153"/>
        <v>1.0344E-4</v>
      </c>
      <c r="N2991" s="21" t="s">
        <v>825</v>
      </c>
      <c r="O2991" s="4">
        <f>VLOOKUP(B2991, 'All Menu'!B:L, 6, 0)</f>
        <v>19.827586206896552</v>
      </c>
      <c r="P2991" s="6">
        <f>VLOOKUP(B2991, 'All Menu'!B:L, 9, 0)</f>
        <v>13.471000731032925</v>
      </c>
      <c r="Q2991" s="14">
        <f>VLOOKUP(B2991, 'All Menu'!B:M, 12, 0)</f>
        <v>0.32059300660877421</v>
      </c>
      <c r="R2991" s="173">
        <f t="shared" si="154"/>
        <v>0</v>
      </c>
    </row>
    <row r="2992" spans="1:18" ht="14" hidden="1">
      <c r="A2992" s="78" t="s">
        <v>3077</v>
      </c>
      <c r="B2992" s="220" t="s">
        <v>1291</v>
      </c>
      <c r="C2992" s="185"/>
      <c r="D2992" s="30" t="str">
        <f>VLOOKUP(B2992, 'All Menu'!B:M, 4, 0)</f>
        <v>مضغوط لحم 1 كيلو</v>
      </c>
      <c r="E2992" s="30" t="str">
        <f>VLOOKUP(B2992, 'All Menu'!B:M, 2, 0)</f>
        <v>قسم التواصي</v>
      </c>
      <c r="F2992" s="103" t="str">
        <f>VLOOKUP(B2992, 'All Menu'!B:M, 3, 0)</f>
        <v>التواصي سفري</v>
      </c>
      <c r="G2992" s="90" t="s">
        <v>3058</v>
      </c>
      <c r="H2992" s="219">
        <v>5378</v>
      </c>
      <c r="I2992" s="110" t="str">
        <f>VLOOKUP(H2992, 'RM &amp; SF'!B:H, 2, 0)</f>
        <v>رول مركزية تواصي</v>
      </c>
      <c r="J2992" s="184" t="str">
        <f>VLOOKUP(H2992, 'RM &amp; SF'!B:E, 4, 0)</f>
        <v>غم</v>
      </c>
      <c r="K2992" s="78">
        <v>20</v>
      </c>
      <c r="L2992" s="13">
        <f>VLOOKUP(H2992, 'RM &amp; SF'!B:H, 7, 0)</f>
        <v>2.7499999999999998E-3</v>
      </c>
      <c r="M2992" s="15">
        <f t="shared" si="153"/>
        <v>5.4999999999999993E-2</v>
      </c>
      <c r="N2992" s="21" t="s">
        <v>825</v>
      </c>
      <c r="O2992" s="4">
        <f>VLOOKUP(B2992, 'All Menu'!B:L, 6, 0)</f>
        <v>19.827586206896552</v>
      </c>
      <c r="P2992" s="6">
        <f>VLOOKUP(B2992, 'All Menu'!B:L, 9, 0)</f>
        <v>13.471000731032925</v>
      </c>
      <c r="Q2992" s="14">
        <f>VLOOKUP(B2992, 'All Menu'!B:M, 12, 0)</f>
        <v>0.32059300660877421</v>
      </c>
      <c r="R2992" s="173">
        <f t="shared" si="154"/>
        <v>0</v>
      </c>
    </row>
    <row r="2993" spans="1:18" ht="14" hidden="1">
      <c r="A2993" s="78" t="s">
        <v>3080</v>
      </c>
      <c r="B2993" s="220" t="s">
        <v>1292</v>
      </c>
      <c r="C2993" s="185"/>
      <c r="D2993" s="30" t="str">
        <f>VLOOKUP(B2993, 'All Menu'!B:M, 4, 0)</f>
        <v>مضغوط دجاج 1 دجاجة</v>
      </c>
      <c r="E2993" s="30" t="str">
        <f>VLOOKUP(B2993, 'All Menu'!B:M, 2, 0)</f>
        <v>قسم التواصي</v>
      </c>
      <c r="F2993" s="103" t="str">
        <f>VLOOKUP(B2993, 'All Menu'!B:M, 3, 0)</f>
        <v>التواصي سفري</v>
      </c>
      <c r="G2993" s="90" t="s">
        <v>2391</v>
      </c>
      <c r="H2993" s="219" t="s">
        <v>594</v>
      </c>
      <c r="I2993" s="110" t="str">
        <f>VLOOKUP(H2993, 'RM &amp; SF'!B:H, 2, 0)</f>
        <v xml:space="preserve">رز مضغوط </v>
      </c>
      <c r="J2993" s="184" t="str">
        <f>VLOOKUP(H2993, 'RM &amp; SF'!B:E, 4, 0)</f>
        <v>غم</v>
      </c>
      <c r="K2993" s="78">
        <v>1000</v>
      </c>
      <c r="L2993" s="13">
        <f>VLOOKUP(H2993, 'RM &amp; SF'!B:H, 7, 0)</f>
        <v>4.4997460919540231E-4</v>
      </c>
      <c r="M2993" s="15">
        <f t="shared" si="153"/>
        <v>0.44997460919540233</v>
      </c>
      <c r="N2993" s="21" t="s">
        <v>825</v>
      </c>
      <c r="O2993" s="4">
        <f>VLOOKUP(B2993, 'All Menu'!B:L, 6, 0)</f>
        <v>8.6206896551724146</v>
      </c>
      <c r="P2993" s="6">
        <f>VLOOKUP(B2993, 'All Menu'!B:L, 9, 0)</f>
        <v>4.4358653629885065</v>
      </c>
      <c r="Q2993" s="14">
        <f>VLOOKUP(B2993, 'All Menu'!B:M, 12, 0)</f>
        <v>0.48543961789333329</v>
      </c>
      <c r="R2993" s="173">
        <f t="shared" si="154"/>
        <v>0</v>
      </c>
    </row>
    <row r="2994" spans="1:18" ht="14" hidden="1">
      <c r="A2994" s="78" t="s">
        <v>3080</v>
      </c>
      <c r="B2994" s="220" t="s">
        <v>1292</v>
      </c>
      <c r="C2994" s="185"/>
      <c r="D2994" s="30" t="str">
        <f>VLOOKUP(B2994, 'All Menu'!B:M, 4, 0)</f>
        <v>مضغوط دجاج 1 دجاجة</v>
      </c>
      <c r="E2994" s="30" t="str">
        <f>VLOOKUP(B2994, 'All Menu'!B:M, 2, 0)</f>
        <v>قسم التواصي</v>
      </c>
      <c r="F2994" s="103" t="str">
        <f>VLOOKUP(B2994, 'All Menu'!B:M, 3, 0)</f>
        <v>التواصي سفري</v>
      </c>
      <c r="G2994" s="90" t="s">
        <v>2417</v>
      </c>
      <c r="H2994" s="219" t="s">
        <v>544</v>
      </c>
      <c r="I2994" s="110" t="str">
        <f>VLOOKUP(H2994, 'RM &amp; SF'!B:H, 2, 0)</f>
        <v>دجاجة متبلة</v>
      </c>
      <c r="J2994" s="184" t="str">
        <f>VLOOKUP(H2994, 'RM &amp; SF'!B:E, 4, 0)</f>
        <v>قطعة</v>
      </c>
      <c r="K2994" s="78">
        <v>1</v>
      </c>
      <c r="L2994" s="13">
        <f>VLOOKUP(H2994, 'RM &amp; SF'!B:H, 7, 0)</f>
        <v>3.0853324000000004</v>
      </c>
      <c r="M2994" s="15">
        <f t="shared" ref="M2994:M3057" si="155">L2994*K2994</f>
        <v>3.0853324000000004</v>
      </c>
      <c r="N2994" s="21" t="s">
        <v>825</v>
      </c>
      <c r="O2994" s="4">
        <f>VLOOKUP(B2994, 'All Menu'!B:L, 6, 0)</f>
        <v>8.6206896551724146</v>
      </c>
      <c r="P2994" s="6">
        <f>VLOOKUP(B2994, 'All Menu'!B:L, 9, 0)</f>
        <v>4.4358653629885065</v>
      </c>
      <c r="Q2994" s="14">
        <f>VLOOKUP(B2994, 'All Menu'!B:M, 12, 0)</f>
        <v>0.48543961789333329</v>
      </c>
      <c r="R2994" s="173">
        <f t="shared" si="154"/>
        <v>0</v>
      </c>
    </row>
    <row r="2995" spans="1:18" ht="14" hidden="1">
      <c r="A2995" s="78" t="s">
        <v>3080</v>
      </c>
      <c r="B2995" s="220" t="s">
        <v>1292</v>
      </c>
      <c r="C2995" s="185"/>
      <c r="D2995" s="30" t="str">
        <f>VLOOKUP(B2995, 'All Menu'!B:M, 4, 0)</f>
        <v>مضغوط دجاج 1 دجاجة</v>
      </c>
      <c r="E2995" s="30" t="str">
        <f>VLOOKUP(B2995, 'All Menu'!B:M, 2, 0)</f>
        <v>قسم التواصي</v>
      </c>
      <c r="F2995" s="103" t="str">
        <f>VLOOKUP(B2995, 'All Menu'!B:M, 3, 0)</f>
        <v>التواصي سفري</v>
      </c>
      <c r="G2995" s="90" t="s">
        <v>3058</v>
      </c>
      <c r="H2995" s="219">
        <v>4354</v>
      </c>
      <c r="I2995" s="110" t="str">
        <f>VLOOKUP(H2995, 'RM &amp; SF'!B:H, 2, 0)</f>
        <v>سدر بلاستيك دائري 35 سم*****</v>
      </c>
      <c r="J2995" s="184" t="str">
        <f>VLOOKUP(H2995, 'RM &amp; SF'!B:E, 4, 0)</f>
        <v>قطعة</v>
      </c>
      <c r="K2995" s="78">
        <v>1</v>
      </c>
      <c r="L2995" s="13">
        <f>VLOOKUP(H2995, 'RM &amp; SF'!B:H, 7, 0)</f>
        <v>0.28016999999999997</v>
      </c>
      <c r="M2995" s="15">
        <f t="shared" si="155"/>
        <v>0.28016999999999997</v>
      </c>
      <c r="N2995" s="21" t="s">
        <v>825</v>
      </c>
      <c r="O2995" s="4">
        <f>VLOOKUP(B2995, 'All Menu'!B:L, 6, 0)</f>
        <v>8.6206896551724146</v>
      </c>
      <c r="P2995" s="6">
        <f>VLOOKUP(B2995, 'All Menu'!B:L, 9, 0)</f>
        <v>4.4358653629885065</v>
      </c>
      <c r="Q2995" s="14">
        <f>VLOOKUP(B2995, 'All Menu'!B:M, 12, 0)</f>
        <v>0.48543961789333329</v>
      </c>
      <c r="R2995" s="173">
        <f t="shared" si="154"/>
        <v>0</v>
      </c>
    </row>
    <row r="2996" spans="1:18" ht="14" hidden="1">
      <c r="A2996" s="78" t="s">
        <v>3080</v>
      </c>
      <c r="B2996" s="220" t="s">
        <v>1292</v>
      </c>
      <c r="C2996" s="185"/>
      <c r="D2996" s="30" t="str">
        <f>VLOOKUP(B2996, 'All Menu'!B:M, 4, 0)</f>
        <v>مضغوط دجاج 1 دجاجة</v>
      </c>
      <c r="E2996" s="30" t="str">
        <f>VLOOKUP(B2996, 'All Menu'!B:M, 2, 0)</f>
        <v>قسم التواصي</v>
      </c>
      <c r="F2996" s="103" t="str">
        <f>VLOOKUP(B2996, 'All Menu'!B:M, 3, 0)</f>
        <v>التواصي سفري</v>
      </c>
      <c r="G2996" s="90" t="s">
        <v>2341</v>
      </c>
      <c r="H2996" s="219" t="s">
        <v>706</v>
      </c>
      <c r="I2996" s="110" t="str">
        <f>VLOOKUP(H2996, 'RM &amp; SF'!B:H, 2, 0)</f>
        <v>لوز مقلي</v>
      </c>
      <c r="J2996" s="184" t="str">
        <f>VLOOKUP(H2996, 'RM &amp; SF'!B:E, 4, 0)</f>
        <v>غم</v>
      </c>
      <c r="K2996" s="78">
        <v>150</v>
      </c>
      <c r="L2996" s="13">
        <f>VLOOKUP(H2996, 'RM &amp; SF'!B:H, 7, 0)</f>
        <v>4.1352327586206888E-3</v>
      </c>
      <c r="M2996" s="15">
        <f t="shared" si="155"/>
        <v>0.62028491379310335</v>
      </c>
      <c r="N2996" s="21" t="s">
        <v>825</v>
      </c>
      <c r="O2996" s="4">
        <f>VLOOKUP(B2996, 'All Menu'!B:L, 6, 0)</f>
        <v>8.6206896551724146</v>
      </c>
      <c r="P2996" s="6">
        <f>VLOOKUP(B2996, 'All Menu'!B:L, 9, 0)</f>
        <v>4.4358653629885065</v>
      </c>
      <c r="Q2996" s="14">
        <f>VLOOKUP(B2996, 'All Menu'!B:M, 12, 0)</f>
        <v>0.48543961789333329</v>
      </c>
      <c r="R2996" s="173">
        <f t="shared" si="154"/>
        <v>0</v>
      </c>
    </row>
    <row r="2997" spans="1:18" ht="14" hidden="1">
      <c r="A2997" s="78" t="s">
        <v>3080</v>
      </c>
      <c r="B2997" s="220" t="s">
        <v>1292</v>
      </c>
      <c r="C2997" s="185"/>
      <c r="D2997" s="30" t="str">
        <f>VLOOKUP(B2997, 'All Menu'!B:M, 4, 0)</f>
        <v>مضغوط دجاج 1 دجاجة</v>
      </c>
      <c r="E2997" s="30" t="str">
        <f>VLOOKUP(B2997, 'All Menu'!B:M, 2, 0)</f>
        <v>قسم التواصي</v>
      </c>
      <c r="F2997" s="103" t="str">
        <f>VLOOKUP(B2997, 'All Menu'!B:M, 3, 0)</f>
        <v>التواصي سفري</v>
      </c>
      <c r="G2997" s="90" t="s">
        <v>2194</v>
      </c>
      <c r="H2997" s="219">
        <v>4323</v>
      </c>
      <c r="I2997" s="110" t="str">
        <f>VLOOKUP(H2997, 'RM &amp; SF'!B:H, 2, 0)</f>
        <v>قصدير رول 45 سم*2كغ*****</v>
      </c>
      <c r="J2997" s="184" t="str">
        <f>VLOOKUP(H2997, 'RM &amp; SF'!B:E, 4, 0)</f>
        <v>غم</v>
      </c>
      <c r="K2997" s="78">
        <v>0.06</v>
      </c>
      <c r="L2997" s="13">
        <f>VLOOKUP(H2997, 'RM &amp; SF'!B:H, 7, 0)</f>
        <v>1.7240000000000001E-3</v>
      </c>
      <c r="M2997" s="15">
        <f t="shared" si="155"/>
        <v>1.0344E-4</v>
      </c>
      <c r="N2997" s="21" t="s">
        <v>825</v>
      </c>
      <c r="O2997" s="4">
        <f>VLOOKUP(B2997, 'All Menu'!B:L, 6, 0)</f>
        <v>8.6206896551724146</v>
      </c>
      <c r="P2997" s="6">
        <f>VLOOKUP(B2997, 'All Menu'!B:L, 9, 0)</f>
        <v>4.4358653629885065</v>
      </c>
      <c r="Q2997" s="14">
        <f>VLOOKUP(B2997, 'All Menu'!B:M, 12, 0)</f>
        <v>0.48543961789333329</v>
      </c>
      <c r="R2997" s="173">
        <f t="shared" si="154"/>
        <v>0</v>
      </c>
    </row>
    <row r="2998" spans="1:18" ht="14" hidden="1">
      <c r="A2998" s="78" t="s">
        <v>2948</v>
      </c>
      <c r="B2998" s="220" t="s">
        <v>1296</v>
      </c>
      <c r="C2998" s="185"/>
      <c r="D2998" s="30" t="str">
        <f>VLOOKUP(B2998, 'All Menu'!B:M, 4, 0)</f>
        <v>دولمة عراقية / كيلو</v>
      </c>
      <c r="E2998" s="30" t="str">
        <f>VLOOKUP(B2998, 'All Menu'!B:M, 2, 0)</f>
        <v>قسم التواصي</v>
      </c>
      <c r="F2998" s="103" t="str">
        <f>VLOOKUP(B2998, 'All Menu'!B:M, 3, 0)</f>
        <v>التواصي سفري2</v>
      </c>
      <c r="G2998" s="90" t="s">
        <v>2369</v>
      </c>
      <c r="H2998" s="219" t="s">
        <v>770</v>
      </c>
      <c r="I2998" s="110" t="str">
        <f>VLOOKUP(H2998, 'RM &amp; SF'!B:H, 2, 0)</f>
        <v>ضربة دولمة</v>
      </c>
      <c r="J2998" s="184" t="str">
        <f>VLOOKUP(H2998, 'RM &amp; SF'!B:E, 4, 0)</f>
        <v>غم</v>
      </c>
      <c r="K2998" s="78">
        <v>1000</v>
      </c>
      <c r="L2998" s="13">
        <f>VLOOKUP(H2998, 'RM &amp; SF'!B:H, 7, 0)</f>
        <v>3.7589616666666671E-3</v>
      </c>
      <c r="M2998" s="15">
        <f t="shared" si="155"/>
        <v>3.758961666666667</v>
      </c>
      <c r="N2998" s="21" t="s">
        <v>825</v>
      </c>
      <c r="O2998" s="4">
        <f>VLOOKUP(B2998, 'All Menu'!B:L, 6, 0)</f>
        <v>17.241379310344829</v>
      </c>
      <c r="P2998" s="6">
        <f>VLOOKUP(B2998, 'All Menu'!B:L, 9, 0)</f>
        <v>3.758961666666667</v>
      </c>
      <c r="Q2998" s="14">
        <f>VLOOKUP(B2998, 'All Menu'!B:M, 12, 0)</f>
        <v>0.78198022333333328</v>
      </c>
      <c r="R2998" s="173">
        <f t="shared" si="154"/>
        <v>0</v>
      </c>
    </row>
    <row r="2999" spans="1:18" ht="14" hidden="1">
      <c r="A2999" s="78" t="s">
        <v>3074</v>
      </c>
      <c r="B2999" s="220">
        <v>30207</v>
      </c>
      <c r="C2999" s="185"/>
      <c r="D2999" s="30" t="str">
        <f>VLOOKUP(B2999, 'All Menu'!B:M, 4, 0)</f>
        <v>كبة مقلية ني</v>
      </c>
      <c r="E2999" s="30" t="str">
        <f>VLOOKUP(B2999, 'All Menu'!B:M, 2, 0)</f>
        <v>قسم التواصي</v>
      </c>
      <c r="F2999" s="103" t="str">
        <f>VLOOKUP(B2999, 'All Menu'!B:M, 3, 0)</f>
        <v>تجهيزات</v>
      </c>
      <c r="G2999" s="90" t="s">
        <v>2416</v>
      </c>
      <c r="H2999" s="219" t="s">
        <v>568</v>
      </c>
      <c r="I2999" s="110" t="str">
        <f>VLOOKUP(H2999, 'RM &amp; SF'!B:H, 2, 0)</f>
        <v>كبة مقلية</v>
      </c>
      <c r="J2999" s="184" t="str">
        <f>VLOOKUP(H2999, 'RM &amp; SF'!B:E, 4, 0)</f>
        <v>قطعة</v>
      </c>
      <c r="K2999" s="78">
        <v>10</v>
      </c>
      <c r="L2999" s="13">
        <f>VLOOKUP(H2999, 'RM &amp; SF'!B:H, 7, 0)</f>
        <v>0.6428704741052631</v>
      </c>
      <c r="M2999" s="15">
        <f t="shared" si="155"/>
        <v>6.4287047410526306</v>
      </c>
      <c r="N2999" s="21" t="s">
        <v>825</v>
      </c>
      <c r="O2999" s="4">
        <f>VLOOKUP(B2999, 'All Menu'!B:L, 6, 0)</f>
        <v>5.9</v>
      </c>
      <c r="P2999" s="6">
        <f>VLOOKUP(B2999, 'All Menu'!B:L, 9, 0)</f>
        <v>6.4287047410526306</v>
      </c>
      <c r="Q2999" s="14">
        <f>VLOOKUP(B2999, 'All Menu'!B:M, 12, 0)</f>
        <v>-8.9610973059767826E-2</v>
      </c>
      <c r="R2999" s="173">
        <f t="shared" si="154"/>
        <v>0</v>
      </c>
    </row>
    <row r="3000" spans="1:18" ht="14" hidden="1">
      <c r="A3000" s="78" t="s">
        <v>3073</v>
      </c>
      <c r="B3000" s="220">
        <v>30206</v>
      </c>
      <c r="C3000" s="185"/>
      <c r="D3000" s="30" t="str">
        <f>VLOOKUP(B3000, 'All Menu'!B:M, 4, 0)</f>
        <v>كبة صغيرة ني</v>
      </c>
      <c r="E3000" s="30" t="str">
        <f>VLOOKUP(B3000, 'All Menu'!B:M, 2, 0)</f>
        <v>قسم التواصي</v>
      </c>
      <c r="F3000" s="103" t="str">
        <f>VLOOKUP(B3000, 'All Menu'!B:M, 3, 0)</f>
        <v>تجهيزات</v>
      </c>
      <c r="G3000" s="90" t="s">
        <v>2407</v>
      </c>
      <c r="H3000" s="219" t="s">
        <v>586</v>
      </c>
      <c r="I3000" s="110" t="str">
        <f>VLOOKUP(H3000, 'RM &amp; SF'!B:H, 2, 0)</f>
        <v xml:space="preserve">كبة لبنية   </v>
      </c>
      <c r="J3000" s="184" t="str">
        <f>VLOOKUP(H3000, 'RM &amp; SF'!B:E, 4, 0)</f>
        <v>قطعة</v>
      </c>
      <c r="K3000" s="78">
        <v>15</v>
      </c>
      <c r="L3000" s="13">
        <f>VLOOKUP(H3000, 'RM &amp; SF'!B:H, 7, 0)</f>
        <v>0.32143523705263155</v>
      </c>
      <c r="M3000" s="15">
        <f t="shared" si="155"/>
        <v>4.8215285557894729</v>
      </c>
      <c r="N3000" s="21" t="s">
        <v>825</v>
      </c>
      <c r="O3000" s="4">
        <f>VLOOKUP(B3000, 'All Menu'!B:L, 6, 0)</f>
        <v>3.8</v>
      </c>
      <c r="P3000" s="6">
        <f>VLOOKUP(B3000, 'All Menu'!B:L, 9, 0)</f>
        <v>4.8215285557894729</v>
      </c>
      <c r="Q3000" s="14">
        <f>VLOOKUP(B3000, 'All Menu'!B:M, 12, 0)</f>
        <v>-0.26882330415512451</v>
      </c>
      <c r="R3000" s="173">
        <f t="shared" si="154"/>
        <v>0</v>
      </c>
    </row>
    <row r="3001" spans="1:18" ht="14" hidden="1">
      <c r="A3001" s="78" t="s">
        <v>2950</v>
      </c>
      <c r="B3001" s="220" t="s">
        <v>1324</v>
      </c>
      <c r="C3001" s="185"/>
      <c r="D3001" s="30" t="str">
        <f>VLOOKUP(B3001, 'All Menu'!B:M, 4, 0)</f>
        <v>خروف روماني مشوي كيلو</v>
      </c>
      <c r="E3001" s="30" t="str">
        <f>VLOOKUP(B3001, 'All Menu'!B:M, 2, 0)</f>
        <v>قسم التواصي</v>
      </c>
      <c r="F3001" s="103" t="str">
        <f>VLOOKUP(B3001, 'All Menu'!B:M, 3, 0)</f>
        <v>التواصي سفري2</v>
      </c>
      <c r="G3001" s="90" t="s">
        <v>3058</v>
      </c>
      <c r="H3001" s="219">
        <v>5333</v>
      </c>
      <c r="I3001" s="110" t="str">
        <f>VLOOKUP(H3001, 'RM &amp; SF'!B:H, 2, 0)</f>
        <v xml:space="preserve"> خروف روماني*****</v>
      </c>
      <c r="J3001" s="184" t="str">
        <f>VLOOKUP(H3001, 'RM &amp; SF'!B:E, 4, 0)</f>
        <v>غم</v>
      </c>
      <c r="K3001" s="78">
        <v>1000</v>
      </c>
      <c r="L3001" s="13">
        <f>VLOOKUP(H3001, 'RM &amp; SF'!B:H, 7, 0)</f>
        <v>1.115E-2</v>
      </c>
      <c r="M3001" s="15">
        <f t="shared" si="155"/>
        <v>11.15</v>
      </c>
      <c r="N3001" s="21" t="s">
        <v>825</v>
      </c>
      <c r="O3001" s="4">
        <f>VLOOKUP(B3001, 'All Menu'!B:L, 6, 0)</f>
        <v>17.241379310344829</v>
      </c>
      <c r="P3001" s="6">
        <f>VLOOKUP(B3001, 'All Menu'!B:L, 9, 0)</f>
        <v>11.864188957746478</v>
      </c>
      <c r="Q3001" s="14">
        <f>VLOOKUP(B3001, 'All Menu'!B:M, 12, 0)</f>
        <v>0.31187704045070436</v>
      </c>
      <c r="R3001" s="173">
        <f t="shared" si="154"/>
        <v>0</v>
      </c>
    </row>
    <row r="3002" spans="1:18" ht="14" hidden="1">
      <c r="A3002" s="78" t="s">
        <v>2950</v>
      </c>
      <c r="B3002" s="220" t="s">
        <v>1324</v>
      </c>
      <c r="C3002" s="185"/>
      <c r="D3002" s="30" t="str">
        <f>VLOOKUP(B3002, 'All Menu'!B:M, 4, 0)</f>
        <v>خروف روماني مشوي كيلو</v>
      </c>
      <c r="E3002" s="30" t="str">
        <f>VLOOKUP(B3002, 'All Menu'!B:M, 2, 0)</f>
        <v>قسم التواصي</v>
      </c>
      <c r="F3002" s="103" t="str">
        <f>VLOOKUP(B3002, 'All Menu'!B:M, 3, 0)</f>
        <v>التواصي سفري2</v>
      </c>
      <c r="G3002" s="90" t="s">
        <v>2438</v>
      </c>
      <c r="H3002" s="219" t="s">
        <v>652</v>
      </c>
      <c r="I3002" s="110" t="str">
        <f>VLOOKUP(H3002, 'RM &amp; SF'!B:H, 2, 0)</f>
        <v>تتبيلة دجاج اللاين</v>
      </c>
      <c r="J3002" s="184" t="str">
        <f>VLOOKUP(H3002, 'RM &amp; SF'!B:E, 4, 0)</f>
        <v>غم</v>
      </c>
      <c r="K3002" s="78">
        <v>300</v>
      </c>
      <c r="L3002" s="13">
        <f>VLOOKUP(H3002, 'RM &amp; SF'!B:H, 7, 0)</f>
        <v>1.7522965258215965E-3</v>
      </c>
      <c r="M3002" s="15">
        <f t="shared" si="155"/>
        <v>0.52568895774647895</v>
      </c>
      <c r="N3002" s="21" t="s">
        <v>825</v>
      </c>
      <c r="O3002" s="4">
        <f>VLOOKUP(B3002, 'All Menu'!B:L, 6, 0)</f>
        <v>17.241379310344829</v>
      </c>
      <c r="P3002" s="6">
        <f>VLOOKUP(B3002, 'All Menu'!B:L, 9, 0)</f>
        <v>11.864188957746478</v>
      </c>
      <c r="Q3002" s="14">
        <f>VLOOKUP(B3002, 'All Menu'!B:M, 12, 0)</f>
        <v>0.31187704045070436</v>
      </c>
      <c r="R3002" s="173">
        <f t="shared" si="154"/>
        <v>0</v>
      </c>
    </row>
    <row r="3003" spans="1:18" ht="14" hidden="1">
      <c r="A3003" s="78" t="s">
        <v>2950</v>
      </c>
      <c r="B3003" s="220" t="s">
        <v>1324</v>
      </c>
      <c r="C3003" s="185"/>
      <c r="D3003" s="30" t="str">
        <f>VLOOKUP(B3003, 'All Menu'!B:M, 4, 0)</f>
        <v>خروف روماني مشوي كيلو</v>
      </c>
      <c r="E3003" s="30" t="str">
        <f>VLOOKUP(B3003, 'All Menu'!B:M, 2, 0)</f>
        <v>قسم التواصي</v>
      </c>
      <c r="F3003" s="103" t="str">
        <f>VLOOKUP(B3003, 'All Menu'!B:M, 3, 0)</f>
        <v>التواصي سفري2</v>
      </c>
      <c r="G3003" s="90" t="s">
        <v>2260</v>
      </c>
      <c r="H3003" s="219">
        <v>4160</v>
      </c>
      <c r="I3003" s="110" t="str">
        <f>VLOOKUP(H3003, 'RM &amp; SF'!B:H, 2, 0)</f>
        <v>زيت صويا 18 لتر*****</v>
      </c>
      <c r="J3003" s="184" t="str">
        <f>VLOOKUP(H3003, 'RM &amp; SF'!B:E, 4, 0)</f>
        <v>مل</v>
      </c>
      <c r="K3003" s="78">
        <v>100</v>
      </c>
      <c r="L3003" s="13">
        <f>VLOOKUP(H3003, 'RM &amp; SF'!B:H, 7, 0)</f>
        <v>1.335E-3</v>
      </c>
      <c r="M3003" s="15">
        <f t="shared" si="155"/>
        <v>0.13350000000000001</v>
      </c>
      <c r="N3003" s="21" t="s">
        <v>825</v>
      </c>
      <c r="O3003" s="4">
        <f>VLOOKUP(B3003, 'All Menu'!B:L, 6, 0)</f>
        <v>17.241379310344829</v>
      </c>
      <c r="P3003" s="6">
        <f>VLOOKUP(B3003, 'All Menu'!B:L, 9, 0)</f>
        <v>11.864188957746478</v>
      </c>
      <c r="Q3003" s="14">
        <f>VLOOKUP(B3003, 'All Menu'!B:M, 12, 0)</f>
        <v>0.31187704045070436</v>
      </c>
      <c r="R3003" s="173">
        <f t="shared" si="154"/>
        <v>0</v>
      </c>
    </row>
    <row r="3004" spans="1:18" ht="14" hidden="1">
      <c r="A3004" s="78" t="s">
        <v>2950</v>
      </c>
      <c r="B3004" s="220" t="s">
        <v>1324</v>
      </c>
      <c r="C3004" s="185"/>
      <c r="D3004" s="30" t="str">
        <f>VLOOKUP(B3004, 'All Menu'!B:M, 4, 0)</f>
        <v>خروف روماني مشوي كيلو</v>
      </c>
      <c r="E3004" s="30" t="str">
        <f>VLOOKUP(B3004, 'All Menu'!B:M, 2, 0)</f>
        <v>قسم التواصي</v>
      </c>
      <c r="F3004" s="103" t="str">
        <f>VLOOKUP(B3004, 'All Menu'!B:M, 3, 0)</f>
        <v>التواصي سفري2</v>
      </c>
      <c r="G3004" s="90" t="s">
        <v>3058</v>
      </c>
      <c r="H3004" s="219">
        <v>5378</v>
      </c>
      <c r="I3004" s="110" t="str">
        <f>VLOOKUP(H3004, 'RM &amp; SF'!B:H, 2, 0)</f>
        <v>رول مركزية تواصي</v>
      </c>
      <c r="J3004" s="184" t="str">
        <f>VLOOKUP(H3004, 'RM &amp; SF'!B:E, 4, 0)</f>
        <v>غم</v>
      </c>
      <c r="K3004" s="78">
        <v>20</v>
      </c>
      <c r="L3004" s="13">
        <f>VLOOKUP(H3004, 'RM &amp; SF'!B:H, 7, 0)</f>
        <v>2.7499999999999998E-3</v>
      </c>
      <c r="M3004" s="15">
        <f t="shared" si="155"/>
        <v>5.4999999999999993E-2</v>
      </c>
      <c r="N3004" s="21" t="s">
        <v>825</v>
      </c>
      <c r="O3004" s="4">
        <f>VLOOKUP(B3004, 'All Menu'!B:L, 6, 0)</f>
        <v>17.241379310344829</v>
      </c>
      <c r="P3004" s="6">
        <f>VLOOKUP(B3004, 'All Menu'!B:L, 9, 0)</f>
        <v>11.864188957746478</v>
      </c>
      <c r="Q3004" s="14">
        <f>VLOOKUP(B3004, 'All Menu'!B:M, 12, 0)</f>
        <v>0.31187704045070436</v>
      </c>
      <c r="R3004" s="173">
        <f t="shared" si="154"/>
        <v>0</v>
      </c>
    </row>
    <row r="3005" spans="1:18" ht="14" hidden="1">
      <c r="A3005" s="78" t="s">
        <v>3084</v>
      </c>
      <c r="B3005" s="220" t="s">
        <v>1325</v>
      </c>
      <c r="C3005" s="185"/>
      <c r="D3005" s="30" t="str">
        <f>VLOOKUP(B3005, 'All Menu'!B:M, 4, 0)</f>
        <v>رقاب مخشية / كيلو</v>
      </c>
      <c r="E3005" s="30" t="str">
        <f>VLOOKUP(B3005, 'All Menu'!B:M, 2, 0)</f>
        <v>قسم التواصي</v>
      </c>
      <c r="F3005" s="103" t="str">
        <f>VLOOKUP(B3005, 'All Menu'!B:M, 3, 0)</f>
        <v>التواصي سفري2</v>
      </c>
      <c r="G3005" s="90" t="s">
        <v>3058</v>
      </c>
      <c r="H3005" s="219">
        <v>4605</v>
      </c>
      <c r="I3005" s="110" t="str">
        <f>VLOOKUP(H3005, 'RM &amp; SF'!B:H, 2, 0)</f>
        <v>رقاب خروف نية*****</v>
      </c>
      <c r="J3005" s="184" t="str">
        <f>VLOOKUP(H3005, 'RM &amp; SF'!B:E, 4, 0)</f>
        <v>غم</v>
      </c>
      <c r="K3005" s="78">
        <v>1000</v>
      </c>
      <c r="L3005" s="13">
        <f>VLOOKUP(H3005, 'RM &amp; SF'!B:H, 7, 0)</f>
        <v>1.1615493158849017E-2</v>
      </c>
      <c r="M3005" s="15">
        <f t="shared" si="155"/>
        <v>11.615493158849016</v>
      </c>
      <c r="N3005" s="21" t="s">
        <v>825</v>
      </c>
      <c r="O3005" s="4">
        <f>VLOOKUP(B3005, 'All Menu'!B:L, 6, 0)</f>
        <v>17.241379310344829</v>
      </c>
      <c r="P3005" s="6">
        <f>VLOOKUP(B3005, 'All Menu'!B:L, 9, 0)</f>
        <v>13.955534387552717</v>
      </c>
      <c r="Q3005" s="14">
        <f>VLOOKUP(B3005, 'All Menu'!B:M, 12, 0)</f>
        <v>0.19057900552194249</v>
      </c>
      <c r="R3005" s="173">
        <f t="shared" si="154"/>
        <v>0</v>
      </c>
    </row>
    <row r="3006" spans="1:18" ht="14" hidden="1">
      <c r="A3006" s="78" t="s">
        <v>3084</v>
      </c>
      <c r="B3006" s="220" t="s">
        <v>1325</v>
      </c>
      <c r="C3006" s="185"/>
      <c r="D3006" s="30" t="str">
        <f>VLOOKUP(B3006, 'All Menu'!B:M, 4, 0)</f>
        <v>رقاب مخشية / كيلو</v>
      </c>
      <c r="E3006" s="30" t="str">
        <f>VLOOKUP(B3006, 'All Menu'!B:M, 2, 0)</f>
        <v>قسم التواصي</v>
      </c>
      <c r="F3006" s="103" t="str">
        <f>VLOOKUP(B3006, 'All Menu'!B:M, 3, 0)</f>
        <v>التواصي سفري2</v>
      </c>
      <c r="G3006" s="90" t="s">
        <v>2260</v>
      </c>
      <c r="H3006" s="219">
        <v>4160</v>
      </c>
      <c r="I3006" s="110" t="str">
        <f>VLOOKUP(H3006, 'RM &amp; SF'!B:H, 2, 0)</f>
        <v>زيت صويا 18 لتر*****</v>
      </c>
      <c r="J3006" s="184" t="str">
        <f>VLOOKUP(H3006, 'RM &amp; SF'!B:E, 4, 0)</f>
        <v>مل</v>
      </c>
      <c r="K3006" s="78">
        <v>100</v>
      </c>
      <c r="L3006" s="13">
        <f>VLOOKUP(H3006, 'RM &amp; SF'!B:H, 7, 0)</f>
        <v>1.335E-3</v>
      </c>
      <c r="M3006" s="15">
        <f t="shared" si="155"/>
        <v>0.13350000000000001</v>
      </c>
      <c r="N3006" s="21" t="s">
        <v>825</v>
      </c>
      <c r="O3006" s="4">
        <f>VLOOKUP(B3006, 'All Menu'!B:L, 6, 0)</f>
        <v>17.241379310344829</v>
      </c>
      <c r="P3006" s="6">
        <f>VLOOKUP(B3006, 'All Menu'!B:L, 9, 0)</f>
        <v>13.955534387552717</v>
      </c>
      <c r="Q3006" s="14">
        <f>VLOOKUP(B3006, 'All Menu'!B:M, 12, 0)</f>
        <v>0.19057900552194249</v>
      </c>
      <c r="R3006" s="173">
        <f t="shared" si="154"/>
        <v>0</v>
      </c>
    </row>
    <row r="3007" spans="1:18" ht="14" hidden="1">
      <c r="A3007" s="78" t="s">
        <v>3084</v>
      </c>
      <c r="B3007" s="220" t="s">
        <v>1325</v>
      </c>
      <c r="C3007" s="185"/>
      <c r="D3007" s="30" t="str">
        <f>VLOOKUP(B3007, 'All Menu'!B:M, 4, 0)</f>
        <v>رقاب مخشية / كيلو</v>
      </c>
      <c r="E3007" s="30" t="str">
        <f>VLOOKUP(B3007, 'All Menu'!B:M, 2, 0)</f>
        <v>قسم التواصي</v>
      </c>
      <c r="F3007" s="103" t="str">
        <f>VLOOKUP(B3007, 'All Menu'!B:M, 3, 0)</f>
        <v>التواصي سفري2</v>
      </c>
      <c r="G3007" s="90" t="s">
        <v>2281</v>
      </c>
      <c r="H3007" s="219">
        <v>4133</v>
      </c>
      <c r="I3007" s="110" t="str">
        <f>VLOOKUP(H3007, 'RM &amp; SF'!B:H, 2, 0)</f>
        <v>ارز بسمتي ذهبي*****</v>
      </c>
      <c r="J3007" s="184" t="str">
        <f>VLOOKUP(H3007, 'RM &amp; SF'!B:E, 4, 0)</f>
        <v>غم</v>
      </c>
      <c r="K3007" s="78">
        <v>300</v>
      </c>
      <c r="L3007" s="13">
        <f>VLOOKUP(H3007, 'RM &amp; SF'!B:H, 7, 0)</f>
        <v>1.1000000000000001E-3</v>
      </c>
      <c r="M3007" s="15">
        <f t="shared" si="155"/>
        <v>0.33</v>
      </c>
      <c r="N3007" s="21" t="s">
        <v>825</v>
      </c>
      <c r="O3007" s="4">
        <f>VLOOKUP(B3007, 'All Menu'!B:L, 6, 0)</f>
        <v>17.241379310344829</v>
      </c>
      <c r="P3007" s="6">
        <f>VLOOKUP(B3007, 'All Menu'!B:L, 9, 0)</f>
        <v>13.955534387552717</v>
      </c>
      <c r="Q3007" s="14">
        <f>VLOOKUP(B3007, 'All Menu'!B:M, 12, 0)</f>
        <v>0.19057900552194249</v>
      </c>
      <c r="R3007" s="173">
        <f t="shared" si="154"/>
        <v>0</v>
      </c>
    </row>
    <row r="3008" spans="1:18" ht="14" hidden="1">
      <c r="A3008" s="78" t="s">
        <v>3084</v>
      </c>
      <c r="B3008" s="220" t="s">
        <v>1325</v>
      </c>
      <c r="C3008" s="185"/>
      <c r="D3008" s="30" t="str">
        <f>VLOOKUP(B3008, 'All Menu'!B:M, 4, 0)</f>
        <v>رقاب مخشية / كيلو</v>
      </c>
      <c r="E3008" s="30" t="str">
        <f>VLOOKUP(B3008, 'All Menu'!B:M, 2, 0)</f>
        <v>قسم التواصي</v>
      </c>
      <c r="F3008" s="103" t="str">
        <f>VLOOKUP(B3008, 'All Menu'!B:M, 3, 0)</f>
        <v>التواصي سفري2</v>
      </c>
      <c r="G3008" s="90" t="s">
        <v>2218</v>
      </c>
      <c r="H3008" s="219">
        <v>4233</v>
      </c>
      <c r="I3008" s="110" t="str">
        <f>VLOOKUP(H3008, 'RM &amp; SF'!B:H, 2, 0)</f>
        <v>هال ناعم*****</v>
      </c>
      <c r="J3008" s="184" t="str">
        <f>VLOOKUP(H3008, 'RM &amp; SF'!B:E, 4, 0)</f>
        <v>غم</v>
      </c>
      <c r="K3008" s="78">
        <v>5</v>
      </c>
      <c r="L3008" s="13">
        <f>VLOOKUP(H3008, 'RM &amp; SF'!B:H, 7, 0)</f>
        <v>2.3E-2</v>
      </c>
      <c r="M3008" s="15">
        <f t="shared" si="155"/>
        <v>0.11499999999999999</v>
      </c>
      <c r="N3008" s="21" t="s">
        <v>825</v>
      </c>
      <c r="O3008" s="4">
        <f>VLOOKUP(B3008, 'All Menu'!B:L, 6, 0)</f>
        <v>17.241379310344829</v>
      </c>
      <c r="P3008" s="6">
        <f>VLOOKUP(B3008, 'All Menu'!B:L, 9, 0)</f>
        <v>13.955534387552717</v>
      </c>
      <c r="Q3008" s="14">
        <f>VLOOKUP(B3008, 'All Menu'!B:M, 12, 0)</f>
        <v>0.19057900552194249</v>
      </c>
      <c r="R3008" s="173">
        <f t="shared" si="154"/>
        <v>0</v>
      </c>
    </row>
    <row r="3009" spans="1:18" ht="14" hidden="1">
      <c r="A3009" s="78" t="s">
        <v>3084</v>
      </c>
      <c r="B3009" s="220" t="s">
        <v>1325</v>
      </c>
      <c r="C3009" s="185"/>
      <c r="D3009" s="30" t="str">
        <f>VLOOKUP(B3009, 'All Menu'!B:M, 4, 0)</f>
        <v>رقاب مخشية / كيلو</v>
      </c>
      <c r="E3009" s="30" t="str">
        <f>VLOOKUP(B3009, 'All Menu'!B:M, 2, 0)</f>
        <v>قسم التواصي</v>
      </c>
      <c r="F3009" s="103" t="str">
        <f>VLOOKUP(B3009, 'All Menu'!B:M, 3, 0)</f>
        <v>التواصي سفري2</v>
      </c>
      <c r="G3009" s="90" t="s">
        <v>2213</v>
      </c>
      <c r="H3009" s="219">
        <v>4218</v>
      </c>
      <c r="I3009" s="110" t="str">
        <f>VLOOKUP(H3009, 'RM &amp; SF'!B:H, 2, 0)</f>
        <v>بهارات مشكلة*****</v>
      </c>
      <c r="J3009" s="184" t="str">
        <f>VLOOKUP(H3009, 'RM &amp; SF'!B:E, 4, 0)</f>
        <v>غم</v>
      </c>
      <c r="K3009" s="78">
        <v>15</v>
      </c>
      <c r="L3009" s="13">
        <f>VLOOKUP(H3009, 'RM &amp; SF'!B:H, 7, 0)</f>
        <v>3.0169999999999997E-3</v>
      </c>
      <c r="M3009" s="15">
        <f t="shared" si="155"/>
        <v>4.5254999999999997E-2</v>
      </c>
      <c r="N3009" s="21" t="s">
        <v>825</v>
      </c>
      <c r="O3009" s="4">
        <f>VLOOKUP(B3009, 'All Menu'!B:L, 6, 0)</f>
        <v>17.241379310344829</v>
      </c>
      <c r="P3009" s="6">
        <f>VLOOKUP(B3009, 'All Menu'!B:L, 9, 0)</f>
        <v>13.955534387552717</v>
      </c>
      <c r="Q3009" s="14">
        <f>VLOOKUP(B3009, 'All Menu'!B:M, 12, 0)</f>
        <v>0.19057900552194249</v>
      </c>
      <c r="R3009" s="173">
        <f t="shared" si="154"/>
        <v>0</v>
      </c>
    </row>
    <row r="3010" spans="1:18" ht="14" hidden="1">
      <c r="A3010" s="78" t="s">
        <v>3084</v>
      </c>
      <c r="B3010" s="220" t="s">
        <v>1325</v>
      </c>
      <c r="C3010" s="185"/>
      <c r="D3010" s="30" t="str">
        <f>VLOOKUP(B3010, 'All Menu'!B:M, 4, 0)</f>
        <v>رقاب مخشية / كيلو</v>
      </c>
      <c r="E3010" s="30" t="str">
        <f>VLOOKUP(B3010, 'All Menu'!B:M, 2, 0)</f>
        <v>قسم التواصي</v>
      </c>
      <c r="F3010" s="103" t="str">
        <f>VLOOKUP(B3010, 'All Menu'!B:M, 3, 0)</f>
        <v>التواصي سفري2</v>
      </c>
      <c r="G3010" s="90" t="s">
        <v>2206</v>
      </c>
      <c r="H3010" s="219">
        <v>4204</v>
      </c>
      <c r="I3010" s="110" t="str">
        <f>VLOOKUP(H3010, 'RM &amp; SF'!B:H, 2, 0)</f>
        <v>فلفل اسود ناعم*****</v>
      </c>
      <c r="J3010" s="184" t="str">
        <f>VLOOKUP(H3010, 'RM &amp; SF'!B:E, 4, 0)</f>
        <v>غم</v>
      </c>
      <c r="K3010" s="78">
        <v>5</v>
      </c>
      <c r="L3010" s="13">
        <f>VLOOKUP(H3010, 'RM &amp; SF'!B:H, 7, 0)</f>
        <v>6.8970000000000004E-3</v>
      </c>
      <c r="M3010" s="15">
        <f t="shared" si="155"/>
        <v>3.4485000000000002E-2</v>
      </c>
      <c r="N3010" s="21" t="s">
        <v>825</v>
      </c>
      <c r="O3010" s="4">
        <f>VLOOKUP(B3010, 'All Menu'!B:L, 6, 0)</f>
        <v>17.241379310344829</v>
      </c>
      <c r="P3010" s="6">
        <f>VLOOKUP(B3010, 'All Menu'!B:L, 9, 0)</f>
        <v>13.955534387552717</v>
      </c>
      <c r="Q3010" s="14">
        <f>VLOOKUP(B3010, 'All Menu'!B:M, 12, 0)</f>
        <v>0.19057900552194249</v>
      </c>
      <c r="R3010" s="173">
        <f t="shared" si="154"/>
        <v>0</v>
      </c>
    </row>
    <row r="3011" spans="1:18" ht="14" hidden="1">
      <c r="A3011" s="78" t="s">
        <v>3084</v>
      </c>
      <c r="B3011" s="220" t="s">
        <v>1325</v>
      </c>
      <c r="C3011" s="185"/>
      <c r="D3011" s="30" t="str">
        <f>VLOOKUP(B3011, 'All Menu'!B:M, 4, 0)</f>
        <v>رقاب مخشية / كيلو</v>
      </c>
      <c r="E3011" s="30" t="str">
        <f>VLOOKUP(B3011, 'All Menu'!B:M, 2, 0)</f>
        <v>قسم التواصي</v>
      </c>
      <c r="F3011" s="103" t="str">
        <f>VLOOKUP(B3011, 'All Menu'!B:M, 3, 0)</f>
        <v>التواصي سفري2</v>
      </c>
      <c r="G3011" s="90" t="s">
        <v>2405</v>
      </c>
      <c r="H3011" s="219" t="s">
        <v>494</v>
      </c>
      <c r="I3011" s="110" t="str">
        <f>VLOOKUP(H3011, 'RM &amp; SF'!B:H, 2, 0)</f>
        <v>لحمة مفرومة</v>
      </c>
      <c r="J3011" s="184" t="str">
        <f>VLOOKUP(H3011, 'RM &amp; SF'!B:E, 4, 0)</f>
        <v>غم</v>
      </c>
      <c r="K3011" s="78">
        <v>200</v>
      </c>
      <c r="L3011" s="13">
        <f>VLOOKUP(H3011, 'RM &amp; SF'!B:H, 7, 0)</f>
        <v>7.2070000000000007E-3</v>
      </c>
      <c r="M3011" s="15">
        <f t="shared" si="155"/>
        <v>1.4414000000000002</v>
      </c>
      <c r="N3011" s="21" t="s">
        <v>825</v>
      </c>
      <c r="O3011" s="4">
        <f>VLOOKUP(B3011, 'All Menu'!B:L, 6, 0)</f>
        <v>17.241379310344829</v>
      </c>
      <c r="P3011" s="6">
        <f>VLOOKUP(B3011, 'All Menu'!B:L, 9, 0)</f>
        <v>13.955534387552717</v>
      </c>
      <c r="Q3011" s="14">
        <f>VLOOKUP(B3011, 'All Menu'!B:M, 12, 0)</f>
        <v>0.19057900552194249</v>
      </c>
      <c r="R3011" s="173">
        <f t="shared" si="154"/>
        <v>0</v>
      </c>
    </row>
    <row r="3012" spans="1:18" ht="14" hidden="1">
      <c r="A3012" s="78" t="s">
        <v>3084</v>
      </c>
      <c r="B3012" s="220" t="s">
        <v>1325</v>
      </c>
      <c r="C3012" s="185"/>
      <c r="D3012" s="30" t="str">
        <f>VLOOKUP(B3012, 'All Menu'!B:M, 4, 0)</f>
        <v>رقاب مخشية / كيلو</v>
      </c>
      <c r="E3012" s="30" t="str">
        <f>VLOOKUP(B3012, 'All Menu'!B:M, 2, 0)</f>
        <v>قسم التواصي</v>
      </c>
      <c r="F3012" s="103" t="str">
        <f>VLOOKUP(B3012, 'All Menu'!B:M, 3, 0)</f>
        <v>التواصي سفري2</v>
      </c>
      <c r="G3012" s="90" t="s">
        <v>2377</v>
      </c>
      <c r="H3012" s="219" t="s">
        <v>796</v>
      </c>
      <c r="I3012" s="110" t="str">
        <f>VLOOKUP(H3012, 'RM &amp; SF'!B:H, 2, 0)</f>
        <v>رز مبهر</v>
      </c>
      <c r="J3012" s="184" t="str">
        <f>VLOOKUP(H3012, 'RM &amp; SF'!B:E, 4, 0)</f>
        <v>غم</v>
      </c>
      <c r="K3012" s="78">
        <v>200</v>
      </c>
      <c r="L3012" s="13">
        <f>VLOOKUP(H3012, 'RM &amp; SF'!B:H, 7, 0)</f>
        <v>8.1314491666666653E-4</v>
      </c>
      <c r="M3012" s="15">
        <f t="shared" si="155"/>
        <v>0.16262898333333331</v>
      </c>
      <c r="N3012" s="21" t="s">
        <v>825</v>
      </c>
      <c r="O3012" s="4">
        <f>VLOOKUP(B3012, 'All Menu'!B:L, 6, 0)</f>
        <v>17.241379310344829</v>
      </c>
      <c r="P3012" s="6">
        <f>VLOOKUP(B3012, 'All Menu'!B:L, 9, 0)</f>
        <v>13.955534387552717</v>
      </c>
      <c r="Q3012" s="14">
        <f>VLOOKUP(B3012, 'All Menu'!B:M, 12, 0)</f>
        <v>0.19057900552194249</v>
      </c>
      <c r="R3012" s="173">
        <f t="shared" si="154"/>
        <v>0</v>
      </c>
    </row>
    <row r="3013" spans="1:18" ht="14" hidden="1">
      <c r="A3013" s="78" t="s">
        <v>3084</v>
      </c>
      <c r="B3013" s="220" t="s">
        <v>1325</v>
      </c>
      <c r="C3013" s="185"/>
      <c r="D3013" s="30" t="str">
        <f>VLOOKUP(B3013, 'All Menu'!B:M, 4, 0)</f>
        <v>رقاب مخشية / كيلو</v>
      </c>
      <c r="E3013" s="30" t="str">
        <f>VLOOKUP(B3013, 'All Menu'!B:M, 2, 0)</f>
        <v>قسم التواصي</v>
      </c>
      <c r="F3013" s="103" t="str">
        <f>VLOOKUP(B3013, 'All Menu'!B:M, 3, 0)</f>
        <v>التواصي سفري2</v>
      </c>
      <c r="G3013" s="90" t="s">
        <v>2170</v>
      </c>
      <c r="H3013" s="219">
        <v>4552</v>
      </c>
      <c r="I3013" s="110" t="str">
        <f>VLOOKUP(H3013, 'RM &amp; SF'!B:H, 2, 0)</f>
        <v>لبن رايب 5 كغ*****</v>
      </c>
      <c r="J3013" s="184" t="str">
        <f>VLOOKUP(H3013, 'RM &amp; SF'!B:E, 4, 0)</f>
        <v>غم</v>
      </c>
      <c r="K3013" s="78">
        <v>50</v>
      </c>
      <c r="L3013" s="13">
        <f>VLOOKUP(H3013, 'RM &amp; SF'!B:H, 7, 0)</f>
        <v>8.0000000000000004E-4</v>
      </c>
      <c r="M3013" s="15">
        <f t="shared" si="155"/>
        <v>0.04</v>
      </c>
      <c r="N3013" s="21" t="s">
        <v>825</v>
      </c>
      <c r="O3013" s="4">
        <f>VLOOKUP(B3013, 'All Menu'!B:L, 6, 0)</f>
        <v>17.241379310344829</v>
      </c>
      <c r="P3013" s="6">
        <f>VLOOKUP(B3013, 'All Menu'!B:L, 9, 0)</f>
        <v>13.955534387552717</v>
      </c>
      <c r="Q3013" s="14">
        <f>VLOOKUP(B3013, 'All Menu'!B:M, 12, 0)</f>
        <v>0.19057900552194249</v>
      </c>
      <c r="R3013" s="173">
        <f t="shared" si="154"/>
        <v>0</v>
      </c>
    </row>
    <row r="3014" spans="1:18" ht="14" hidden="1">
      <c r="A3014" s="78" t="s">
        <v>3084</v>
      </c>
      <c r="B3014" s="220" t="s">
        <v>1325</v>
      </c>
      <c r="C3014" s="185"/>
      <c r="D3014" s="30" t="str">
        <f>VLOOKUP(B3014, 'All Menu'!B:M, 4, 0)</f>
        <v>رقاب مخشية / كيلو</v>
      </c>
      <c r="E3014" s="30" t="str">
        <f>VLOOKUP(B3014, 'All Menu'!B:M, 2, 0)</f>
        <v>قسم التواصي</v>
      </c>
      <c r="F3014" s="103" t="str">
        <f>VLOOKUP(B3014, 'All Menu'!B:M, 3, 0)</f>
        <v>التواصي سفري2</v>
      </c>
      <c r="G3014" s="90" t="s">
        <v>2329</v>
      </c>
      <c r="H3014" s="219" t="s">
        <v>512</v>
      </c>
      <c r="I3014" s="110" t="str">
        <f>VLOOKUP(H3014, 'RM &amp; SF'!B:H, 2, 0)</f>
        <v>خلطة دقوس</v>
      </c>
      <c r="J3014" s="184" t="str">
        <f>VLOOKUP(H3014, 'RM &amp; SF'!B:E, 4, 0)</f>
        <v>غم</v>
      </c>
      <c r="K3014" s="78">
        <v>50</v>
      </c>
      <c r="L3014" s="13">
        <f>VLOOKUP(H3014, 'RM &amp; SF'!B:H, 7, 0)</f>
        <v>7.5544490740740743E-4</v>
      </c>
      <c r="M3014" s="15">
        <f t="shared" si="155"/>
        <v>3.7772245370370369E-2</v>
      </c>
      <c r="N3014" s="21" t="s">
        <v>825</v>
      </c>
      <c r="O3014" s="4">
        <f>VLOOKUP(B3014, 'All Menu'!B:L, 6, 0)</f>
        <v>17.241379310344829</v>
      </c>
      <c r="P3014" s="6">
        <f>VLOOKUP(B3014, 'All Menu'!B:L, 9, 0)</f>
        <v>13.955534387552717</v>
      </c>
      <c r="Q3014" s="14">
        <f>VLOOKUP(B3014, 'All Menu'!B:M, 12, 0)</f>
        <v>0.19057900552194249</v>
      </c>
      <c r="R3014" s="173">
        <f t="shared" si="154"/>
        <v>0</v>
      </c>
    </row>
    <row r="3015" spans="1:18" ht="14" hidden="1">
      <c r="A3015" s="78" t="s">
        <v>2956</v>
      </c>
      <c r="B3015" s="220" t="s">
        <v>1874</v>
      </c>
      <c r="C3015" s="185"/>
      <c r="D3015" s="30" t="str">
        <f>VLOOKUP(B3015, 'All Menu'!B:M, 4, 0)</f>
        <v>اكسترا لوز</v>
      </c>
      <c r="E3015" s="30" t="str">
        <f>VLOOKUP(B3015, 'All Menu'!B:M, 2, 0)</f>
        <v>قسم التواصي</v>
      </c>
      <c r="F3015" s="103" t="str">
        <f>VLOOKUP(B3015, 'All Menu'!B:M, 3, 0)</f>
        <v>التواصي سفري2</v>
      </c>
      <c r="G3015" s="90" t="s">
        <v>2341</v>
      </c>
      <c r="H3015" s="219" t="s">
        <v>706</v>
      </c>
      <c r="I3015" s="110" t="str">
        <f>VLOOKUP(H3015, 'RM &amp; SF'!B:H, 2, 0)</f>
        <v>لوز مقلي</v>
      </c>
      <c r="J3015" s="184" t="str">
        <f>VLOOKUP(H3015, 'RM &amp; SF'!B:E, 4, 0)</f>
        <v>غم</v>
      </c>
      <c r="K3015" s="78">
        <v>70</v>
      </c>
      <c r="L3015" s="13">
        <f>VLOOKUP(H3015, 'RM &amp; SF'!B:H, 7, 0)</f>
        <v>4.1352327586206888E-3</v>
      </c>
      <c r="M3015" s="15">
        <f t="shared" si="155"/>
        <v>0.28946629310344824</v>
      </c>
      <c r="N3015" s="21" t="s">
        <v>825</v>
      </c>
      <c r="O3015" s="4">
        <f>VLOOKUP(B3015, 'All Menu'!B:L, 6, 0)</f>
        <v>1.7241379310344829</v>
      </c>
      <c r="P3015" s="6">
        <f>VLOOKUP(B3015, 'All Menu'!B:L, 9, 0)</f>
        <v>0.35646629310344824</v>
      </c>
      <c r="Q3015" s="14">
        <f>VLOOKUP(B3015, 'All Menu'!B:M, 12, 0)</f>
        <v>0.79324955000000008</v>
      </c>
      <c r="R3015" s="173">
        <f t="shared" ref="R3015:R3078" si="156">C3015*K3015</f>
        <v>0</v>
      </c>
    </row>
    <row r="3016" spans="1:18" ht="14" hidden="1">
      <c r="A3016" s="78" t="s">
        <v>2956</v>
      </c>
      <c r="B3016" s="220" t="s">
        <v>1874</v>
      </c>
      <c r="C3016" s="185"/>
      <c r="D3016" s="30" t="str">
        <f>VLOOKUP(B3016, 'All Menu'!B:M, 4, 0)</f>
        <v>اكسترا لوز</v>
      </c>
      <c r="E3016" s="30" t="str">
        <f>VLOOKUP(B3016, 'All Menu'!B:M, 2, 0)</f>
        <v>قسم التواصي</v>
      </c>
      <c r="F3016" s="103" t="str">
        <f>VLOOKUP(B3016, 'All Menu'!B:M, 3, 0)</f>
        <v>التواصي سفري2</v>
      </c>
      <c r="G3016" s="90" t="s">
        <v>2307</v>
      </c>
      <c r="H3016" s="219">
        <v>4284</v>
      </c>
      <c r="I3016" s="110" t="str">
        <f>VLOOKUP(H3016, 'RM &amp; SF'!B:H, 2, 0)</f>
        <v>علب سلطة بلاستيك شفاف (كرستال) دائرية متصل 500 مل*****</v>
      </c>
      <c r="J3016" s="184" t="str">
        <f>VLOOKUP(H3016, 'RM &amp; SF'!B:E, 4, 0)</f>
        <v>قطعة</v>
      </c>
      <c r="K3016" s="78">
        <v>1</v>
      </c>
      <c r="L3016" s="13">
        <f>VLOOKUP(H3016, 'RM &amp; SF'!B:H, 7, 0)</f>
        <v>6.7000000000000004E-2</v>
      </c>
      <c r="M3016" s="15">
        <f t="shared" si="155"/>
        <v>6.7000000000000004E-2</v>
      </c>
      <c r="N3016" s="21" t="s">
        <v>825</v>
      </c>
      <c r="O3016" s="4">
        <f>VLOOKUP(B3016, 'All Menu'!B:L, 6, 0)</f>
        <v>1.7241379310344829</v>
      </c>
      <c r="P3016" s="6">
        <f>VLOOKUP(B3016, 'All Menu'!B:L, 9, 0)</f>
        <v>0.35646629310344824</v>
      </c>
      <c r="Q3016" s="14">
        <f>VLOOKUP(B3016, 'All Menu'!B:M, 12, 0)</f>
        <v>0.79324955000000008</v>
      </c>
      <c r="R3016" s="173">
        <f t="shared" si="156"/>
        <v>0</v>
      </c>
    </row>
    <row r="3017" spans="1:18" ht="14" hidden="1">
      <c r="A3017" s="78" t="s">
        <v>2975</v>
      </c>
      <c r="B3017" s="220" t="s">
        <v>826</v>
      </c>
      <c r="C3017" s="185"/>
      <c r="D3017" s="30" t="str">
        <f>VLOOKUP(B3017, 'All Menu'!B:M, 4, 0)</f>
        <v>نقانق مطفية</v>
      </c>
      <c r="E3017" s="30" t="str">
        <f>VLOOKUP(B3017, 'All Menu'!B:M, 2, 0)</f>
        <v>قسم الصالة</v>
      </c>
      <c r="F3017" s="103" t="str">
        <f>VLOOKUP(B3017, 'All Menu'!B:M, 3, 0)</f>
        <v>صواني وصاجيات صالة</v>
      </c>
      <c r="G3017" s="90" t="s">
        <v>3058</v>
      </c>
      <c r="H3017" s="219">
        <v>5077</v>
      </c>
      <c r="I3017" s="110" t="str">
        <f>VLOOKUP(H3017, 'RM &amp; SF'!B:H, 2, 0)</f>
        <v>نقانق عربي*****</v>
      </c>
      <c r="J3017" s="184" t="str">
        <f>VLOOKUP(H3017, 'RM &amp; SF'!B:E, 4, 0)</f>
        <v>غم</v>
      </c>
      <c r="K3017" s="78">
        <v>150</v>
      </c>
      <c r="L3017" s="13">
        <f>VLOOKUP(H3017, 'RM &amp; SF'!B:H, 7, 0)</f>
        <v>2.4172999999999998E-3</v>
      </c>
      <c r="M3017" s="15">
        <f t="shared" si="155"/>
        <v>0.362595</v>
      </c>
      <c r="N3017" s="21" t="s">
        <v>825</v>
      </c>
      <c r="O3017" s="4">
        <f>VLOOKUP(B3017, 'All Menu'!B:L, 6, 0)</f>
        <v>3.2327586206896552</v>
      </c>
      <c r="P3017" s="6">
        <f>VLOOKUP(B3017, 'All Menu'!B:L, 9, 0)</f>
        <v>0.68249033333333331</v>
      </c>
      <c r="Q3017" s="14">
        <f>VLOOKUP(B3017, 'All Menu'!B:M, 12, 0)</f>
        <v>0.78888299022222219</v>
      </c>
      <c r="R3017" s="173">
        <f t="shared" si="156"/>
        <v>0</v>
      </c>
    </row>
    <row r="3018" spans="1:18" ht="14" hidden="1">
      <c r="A3018" s="78" t="s">
        <v>2975</v>
      </c>
      <c r="B3018" s="220" t="s">
        <v>826</v>
      </c>
      <c r="C3018" s="185"/>
      <c r="D3018" s="30" t="str">
        <f>VLOOKUP(B3018, 'All Menu'!B:M, 4, 0)</f>
        <v>نقانق مطفية</v>
      </c>
      <c r="E3018" s="30" t="str">
        <f>VLOOKUP(B3018, 'All Menu'!B:M, 2, 0)</f>
        <v>قسم الصالة</v>
      </c>
      <c r="F3018" s="103" t="str">
        <f>VLOOKUP(B3018, 'All Menu'!B:M, 3, 0)</f>
        <v>صواني وصاجيات صالة</v>
      </c>
      <c r="G3018" s="90" t="s">
        <v>2209</v>
      </c>
      <c r="H3018" s="219">
        <v>4546</v>
      </c>
      <c r="I3018" s="110" t="str">
        <f>VLOOKUP(H3018, 'RM &amp; SF'!B:H, 2, 0)</f>
        <v>كزبرة*****</v>
      </c>
      <c r="J3018" s="184" t="str">
        <f>VLOOKUP(H3018, 'RM &amp; SF'!B:E, 4, 0)</f>
        <v>قطعة</v>
      </c>
      <c r="K3018" s="78">
        <v>0.05</v>
      </c>
      <c r="L3018" s="13">
        <f>VLOOKUP(H3018, 'RM &amp; SF'!B:H, 7, 0)</f>
        <v>1E-3</v>
      </c>
      <c r="M3018" s="15">
        <f t="shared" si="155"/>
        <v>5.0000000000000002E-5</v>
      </c>
      <c r="N3018" s="21" t="s">
        <v>825</v>
      </c>
      <c r="O3018" s="4">
        <f>VLOOKUP(B3018, 'All Menu'!B:L, 6, 0)</f>
        <v>3.2327586206896552</v>
      </c>
      <c r="P3018" s="6">
        <f>VLOOKUP(B3018, 'All Menu'!B:L, 9, 0)</f>
        <v>0.68249033333333331</v>
      </c>
      <c r="Q3018" s="14">
        <f>VLOOKUP(B3018, 'All Menu'!B:M, 12, 0)</f>
        <v>0.78888299022222219</v>
      </c>
      <c r="R3018" s="173">
        <f t="shared" si="156"/>
        <v>0</v>
      </c>
    </row>
    <row r="3019" spans="1:18" ht="14" hidden="1">
      <c r="A3019" s="78" t="s">
        <v>2975</v>
      </c>
      <c r="B3019" s="220" t="s">
        <v>826</v>
      </c>
      <c r="C3019" s="185"/>
      <c r="D3019" s="30" t="str">
        <f>VLOOKUP(B3019, 'All Menu'!B:M, 4, 0)</f>
        <v>نقانق مطفية</v>
      </c>
      <c r="E3019" s="30" t="str">
        <f>VLOOKUP(B3019, 'All Menu'!B:M, 2, 0)</f>
        <v>قسم الصالة</v>
      </c>
      <c r="F3019" s="103" t="str">
        <f>VLOOKUP(B3019, 'All Menu'!B:M, 3, 0)</f>
        <v>صواني وصاجيات صالة</v>
      </c>
      <c r="G3019" s="90" t="s">
        <v>2446</v>
      </c>
      <c r="H3019" s="219" t="s">
        <v>670</v>
      </c>
      <c r="I3019" s="110" t="str">
        <f>VLOOKUP(H3019, 'RM &amp; SF'!B:H, 2, 0)</f>
        <v xml:space="preserve">صوص مطفى </v>
      </c>
      <c r="J3019" s="184" t="str">
        <f>VLOOKUP(H3019, 'RM &amp; SF'!B:E, 4, 0)</f>
        <v>غم</v>
      </c>
      <c r="K3019" s="78">
        <v>200</v>
      </c>
      <c r="L3019" s="13">
        <f>VLOOKUP(H3019, 'RM &amp; SF'!B:H, 7, 0)</f>
        <v>1.5630349999999999E-3</v>
      </c>
      <c r="M3019" s="15">
        <f t="shared" si="155"/>
        <v>0.31260699999999997</v>
      </c>
      <c r="N3019" s="21" t="s">
        <v>825</v>
      </c>
      <c r="O3019" s="4">
        <f>VLOOKUP(B3019, 'All Menu'!B:L, 6, 0)</f>
        <v>3.2327586206896552</v>
      </c>
      <c r="P3019" s="6">
        <f>VLOOKUP(B3019, 'All Menu'!B:L, 9, 0)</f>
        <v>0.68249033333333331</v>
      </c>
      <c r="Q3019" s="14">
        <f>VLOOKUP(B3019, 'All Menu'!B:M, 12, 0)</f>
        <v>0.78888299022222219</v>
      </c>
      <c r="R3019" s="173">
        <f t="shared" si="156"/>
        <v>0</v>
      </c>
    </row>
    <row r="3020" spans="1:18" ht="14" hidden="1">
      <c r="A3020" s="78" t="s">
        <v>2975</v>
      </c>
      <c r="B3020" s="220" t="s">
        <v>826</v>
      </c>
      <c r="C3020" s="185"/>
      <c r="D3020" s="30" t="str">
        <f>VLOOKUP(B3020, 'All Menu'!B:M, 4, 0)</f>
        <v>نقانق مطفية</v>
      </c>
      <c r="E3020" s="30" t="str">
        <f>VLOOKUP(B3020, 'All Menu'!B:M, 2, 0)</f>
        <v>قسم الصالة</v>
      </c>
      <c r="F3020" s="103" t="str">
        <f>VLOOKUP(B3020, 'All Menu'!B:M, 3, 0)</f>
        <v>صواني وصاجيات صالة</v>
      </c>
      <c r="G3020" s="90" t="s">
        <v>2203</v>
      </c>
      <c r="H3020" s="219">
        <v>4152</v>
      </c>
      <c r="I3020" s="110" t="str">
        <f>VLOOKUP(H3020, 'RM &amp; SF'!B:H, 2, 0)</f>
        <v>ملح طعام 750غم*****</v>
      </c>
      <c r="J3020" s="184" t="str">
        <f>VLOOKUP(H3020, 'RM &amp; SF'!B:E, 4, 0)</f>
        <v>غم</v>
      </c>
      <c r="K3020" s="78">
        <v>2</v>
      </c>
      <c r="L3020" s="13">
        <f>VLOOKUP(H3020, 'RM &amp; SF'!B:H, 7, 0)</f>
        <v>1.7066666666666665E-4</v>
      </c>
      <c r="M3020" s="15">
        <f t="shared" si="155"/>
        <v>3.413333333333333E-4</v>
      </c>
      <c r="N3020" s="21" t="s">
        <v>825</v>
      </c>
      <c r="O3020" s="4">
        <f>VLOOKUP(B3020, 'All Menu'!B:L, 6, 0)</f>
        <v>3.2327586206896552</v>
      </c>
      <c r="P3020" s="6">
        <f>VLOOKUP(B3020, 'All Menu'!B:L, 9, 0)</f>
        <v>0.68249033333333331</v>
      </c>
      <c r="Q3020" s="14">
        <f>VLOOKUP(B3020, 'All Menu'!B:M, 12, 0)</f>
        <v>0.78888299022222219</v>
      </c>
      <c r="R3020" s="173">
        <f t="shared" si="156"/>
        <v>0</v>
      </c>
    </row>
    <row r="3021" spans="1:18" ht="14" hidden="1">
      <c r="A3021" s="78" t="s">
        <v>2975</v>
      </c>
      <c r="B3021" s="220" t="s">
        <v>826</v>
      </c>
      <c r="C3021" s="185"/>
      <c r="D3021" s="30" t="str">
        <f>VLOOKUP(B3021, 'All Menu'!B:M, 4, 0)</f>
        <v>نقانق مطفية</v>
      </c>
      <c r="E3021" s="30" t="str">
        <f>VLOOKUP(B3021, 'All Menu'!B:M, 2, 0)</f>
        <v>قسم الصالة</v>
      </c>
      <c r="F3021" s="103" t="str">
        <f>VLOOKUP(B3021, 'All Menu'!B:M, 3, 0)</f>
        <v>صواني وصاجيات صالة</v>
      </c>
      <c r="G3021" s="90" t="s">
        <v>2206</v>
      </c>
      <c r="H3021" s="219">
        <v>4204</v>
      </c>
      <c r="I3021" s="110" t="str">
        <f>VLOOKUP(H3021, 'RM &amp; SF'!B:H, 2, 0)</f>
        <v>فلفل اسود ناعم*****</v>
      </c>
      <c r="J3021" s="184" t="str">
        <f>VLOOKUP(H3021, 'RM &amp; SF'!B:E, 4, 0)</f>
        <v>غم</v>
      </c>
      <c r="K3021" s="78">
        <v>1</v>
      </c>
      <c r="L3021" s="13">
        <f>VLOOKUP(H3021, 'RM &amp; SF'!B:H, 7, 0)</f>
        <v>6.8970000000000004E-3</v>
      </c>
      <c r="M3021" s="15">
        <f t="shared" si="155"/>
        <v>6.8970000000000004E-3</v>
      </c>
      <c r="N3021" s="21" t="s">
        <v>825</v>
      </c>
      <c r="O3021" s="4">
        <f>VLOOKUP(B3021, 'All Menu'!B:L, 6, 0)</f>
        <v>3.2327586206896552</v>
      </c>
      <c r="P3021" s="6">
        <f>VLOOKUP(B3021, 'All Menu'!B:L, 9, 0)</f>
        <v>0.68249033333333331</v>
      </c>
      <c r="Q3021" s="14">
        <f>VLOOKUP(B3021, 'All Menu'!B:M, 12, 0)</f>
        <v>0.78888299022222219</v>
      </c>
      <c r="R3021" s="173">
        <f t="shared" si="156"/>
        <v>0</v>
      </c>
    </row>
    <row r="3022" spans="1:18" ht="14" hidden="1">
      <c r="A3022" s="78" t="s">
        <v>2977</v>
      </c>
      <c r="B3022" s="220" t="s">
        <v>827</v>
      </c>
      <c r="C3022" s="185"/>
      <c r="D3022" s="30" t="str">
        <f>VLOOKUP(B3022, 'All Menu'!B:M, 4, 0)</f>
        <v>نقانق بدبس الرمان</v>
      </c>
      <c r="E3022" s="30" t="str">
        <f>VLOOKUP(B3022, 'All Menu'!B:M, 2, 0)</f>
        <v>قسم الصالة</v>
      </c>
      <c r="F3022" s="103" t="str">
        <f>VLOOKUP(B3022, 'All Menu'!B:M, 3, 0)</f>
        <v>صواني وصاجيات صالة</v>
      </c>
      <c r="G3022" s="90" t="s">
        <v>3058</v>
      </c>
      <c r="H3022" s="219">
        <v>5077</v>
      </c>
      <c r="I3022" s="110" t="str">
        <f>VLOOKUP(H3022, 'RM &amp; SF'!B:H, 2, 0)</f>
        <v>نقانق عربي*****</v>
      </c>
      <c r="J3022" s="184" t="str">
        <f>VLOOKUP(H3022, 'RM &amp; SF'!B:E, 4, 0)</f>
        <v>غم</v>
      </c>
      <c r="K3022" s="78">
        <v>250</v>
      </c>
      <c r="L3022" s="13">
        <f>VLOOKUP(H3022, 'RM &amp; SF'!B:H, 7, 0)</f>
        <v>2.4172999999999998E-3</v>
      </c>
      <c r="M3022" s="15">
        <f t="shared" si="155"/>
        <v>0.604325</v>
      </c>
      <c r="N3022" s="21" t="s">
        <v>825</v>
      </c>
      <c r="O3022" s="4">
        <f>VLOOKUP(B3022, 'All Menu'!B:L, 6, 0)</f>
        <v>3.2327586206896552</v>
      </c>
      <c r="P3022" s="6">
        <f>VLOOKUP(B3022, 'All Menu'!B:L, 9, 0)</f>
        <v>0.69967000000000001</v>
      </c>
      <c r="Q3022" s="14">
        <f>VLOOKUP(B3022, 'All Menu'!B:M, 12, 0)</f>
        <v>0.78356874666666676</v>
      </c>
      <c r="R3022" s="173">
        <f t="shared" si="156"/>
        <v>0</v>
      </c>
    </row>
    <row r="3023" spans="1:18" ht="14" hidden="1">
      <c r="A3023" s="78" t="s">
        <v>2977</v>
      </c>
      <c r="B3023" s="220" t="s">
        <v>827</v>
      </c>
      <c r="C3023" s="185"/>
      <c r="D3023" s="30" t="str">
        <f>VLOOKUP(B3023, 'All Menu'!B:M, 4, 0)</f>
        <v>نقانق بدبس الرمان</v>
      </c>
      <c r="E3023" s="30" t="str">
        <f>VLOOKUP(B3023, 'All Menu'!B:M, 2, 0)</f>
        <v>قسم الصالة</v>
      </c>
      <c r="F3023" s="103" t="str">
        <f>VLOOKUP(B3023, 'All Menu'!B:M, 3, 0)</f>
        <v>صواني وصاجيات صالة</v>
      </c>
      <c r="G3023" s="90" t="s">
        <v>2265</v>
      </c>
      <c r="H3023" s="219">
        <v>4006</v>
      </c>
      <c r="I3023" s="110" t="str">
        <f>VLOOKUP(H3023, 'RM &amp; SF'!B:H, 2, 0)</f>
        <v>دبس رمان 5 كغ (مادة أولية)*****</v>
      </c>
      <c r="J3023" s="184" t="str">
        <f>VLOOKUP(H3023, 'RM &amp; SF'!B:E, 4, 0)</f>
        <v>غم</v>
      </c>
      <c r="K3023" s="78">
        <v>40</v>
      </c>
      <c r="L3023" s="13">
        <f>VLOOKUP(H3023, 'RM &amp; SF'!B:H, 7, 0)</f>
        <v>1.508E-3</v>
      </c>
      <c r="M3023" s="15">
        <f t="shared" si="155"/>
        <v>6.0319999999999999E-2</v>
      </c>
      <c r="N3023" s="21" t="s">
        <v>825</v>
      </c>
      <c r="O3023" s="4">
        <f>VLOOKUP(B3023, 'All Menu'!B:L, 6, 0)</f>
        <v>3.2327586206896552</v>
      </c>
      <c r="P3023" s="6">
        <f>VLOOKUP(B3023, 'All Menu'!B:L, 9, 0)</f>
        <v>0.69967000000000001</v>
      </c>
      <c r="Q3023" s="14">
        <f>VLOOKUP(B3023, 'All Menu'!B:M, 12, 0)</f>
        <v>0.78356874666666676</v>
      </c>
      <c r="R3023" s="173">
        <f t="shared" si="156"/>
        <v>0</v>
      </c>
    </row>
    <row r="3024" spans="1:18" ht="14" hidden="1">
      <c r="A3024" s="78" t="s">
        <v>2977</v>
      </c>
      <c r="B3024" s="220" t="s">
        <v>827</v>
      </c>
      <c r="C3024" s="185"/>
      <c r="D3024" s="30" t="str">
        <f>VLOOKUP(B3024, 'All Menu'!B:M, 4, 0)</f>
        <v>نقانق بدبس الرمان</v>
      </c>
      <c r="E3024" s="30" t="str">
        <f>VLOOKUP(B3024, 'All Menu'!B:M, 2, 0)</f>
        <v>قسم الصالة</v>
      </c>
      <c r="F3024" s="103" t="str">
        <f>VLOOKUP(B3024, 'All Menu'!B:M, 3, 0)</f>
        <v>صواني وصاجيات صالة</v>
      </c>
      <c r="G3024" s="90" t="s">
        <v>2260</v>
      </c>
      <c r="H3024" s="219">
        <v>4160</v>
      </c>
      <c r="I3024" s="110" t="str">
        <f>VLOOKUP(H3024, 'RM &amp; SF'!B:H, 2, 0)</f>
        <v>زيت صويا 18 لتر*****</v>
      </c>
      <c r="J3024" s="184" t="str">
        <f>VLOOKUP(H3024, 'RM &amp; SF'!B:E, 4, 0)</f>
        <v>مل</v>
      </c>
      <c r="K3024" s="78">
        <v>15</v>
      </c>
      <c r="L3024" s="13">
        <f>VLOOKUP(H3024, 'RM &amp; SF'!B:H, 7, 0)</f>
        <v>1.335E-3</v>
      </c>
      <c r="M3024" s="15">
        <f t="shared" si="155"/>
        <v>2.0025000000000001E-2</v>
      </c>
      <c r="N3024" s="21" t="s">
        <v>825</v>
      </c>
      <c r="O3024" s="4">
        <f>VLOOKUP(B3024, 'All Menu'!B:L, 6, 0)</f>
        <v>3.2327586206896552</v>
      </c>
      <c r="P3024" s="6">
        <f>VLOOKUP(B3024, 'All Menu'!B:L, 9, 0)</f>
        <v>0.69967000000000001</v>
      </c>
      <c r="Q3024" s="14">
        <f>VLOOKUP(B3024, 'All Menu'!B:M, 12, 0)</f>
        <v>0.78356874666666676</v>
      </c>
      <c r="R3024" s="173">
        <f t="shared" si="156"/>
        <v>0</v>
      </c>
    </row>
    <row r="3025" spans="1:18" ht="14" hidden="1">
      <c r="A3025" s="78" t="s">
        <v>2977</v>
      </c>
      <c r="B3025" s="220" t="s">
        <v>827</v>
      </c>
      <c r="C3025" s="185"/>
      <c r="D3025" s="30" t="str">
        <f>VLOOKUP(B3025, 'All Menu'!B:M, 4, 0)</f>
        <v>نقانق بدبس الرمان</v>
      </c>
      <c r="E3025" s="30" t="str">
        <f>VLOOKUP(B3025, 'All Menu'!B:M, 2, 0)</f>
        <v>قسم الصالة</v>
      </c>
      <c r="F3025" s="103" t="str">
        <f>VLOOKUP(B3025, 'All Menu'!B:M, 3, 0)</f>
        <v>صواني وصاجيات صالة</v>
      </c>
      <c r="G3025" s="90" t="s">
        <v>2251</v>
      </c>
      <c r="H3025" s="219">
        <v>4544</v>
      </c>
      <c r="I3025" s="110" t="str">
        <f>VLOOKUP(H3025, 'RM &amp; SF'!B:H, 2, 0)</f>
        <v>بقدونس*****</v>
      </c>
      <c r="J3025" s="184" t="str">
        <f>VLOOKUP(H3025, 'RM &amp; SF'!B:E, 4, 0)</f>
        <v>غم</v>
      </c>
      <c r="K3025" s="78">
        <v>20</v>
      </c>
      <c r="L3025" s="13">
        <f>VLOOKUP(H3025, 'RM &amp; SF'!B:H, 7, 0)</f>
        <v>7.5000000000000002E-4</v>
      </c>
      <c r="M3025" s="15">
        <f t="shared" si="155"/>
        <v>1.4999999999999999E-2</v>
      </c>
      <c r="N3025" s="21" t="s">
        <v>825</v>
      </c>
      <c r="O3025" s="4">
        <f>VLOOKUP(B3025, 'All Menu'!B:L, 6, 0)</f>
        <v>3.2327586206896552</v>
      </c>
      <c r="P3025" s="6">
        <f>VLOOKUP(B3025, 'All Menu'!B:L, 9, 0)</f>
        <v>0.69967000000000001</v>
      </c>
      <c r="Q3025" s="14">
        <f>VLOOKUP(B3025, 'All Menu'!B:M, 12, 0)</f>
        <v>0.78356874666666676</v>
      </c>
      <c r="R3025" s="173">
        <f t="shared" si="156"/>
        <v>0</v>
      </c>
    </row>
    <row r="3026" spans="1:18" ht="14" hidden="1">
      <c r="A3026" s="78" t="s">
        <v>2976</v>
      </c>
      <c r="B3026" s="220" t="s">
        <v>832</v>
      </c>
      <c r="C3026" s="185"/>
      <c r="D3026" s="30" t="str">
        <f>VLOOKUP(B3026, 'All Menu'!B:M, 4, 0)</f>
        <v>بيض غنم</v>
      </c>
      <c r="E3026" s="30" t="str">
        <f>VLOOKUP(B3026, 'All Menu'!B:M, 2, 0)</f>
        <v>قسم الصالة</v>
      </c>
      <c r="F3026" s="103" t="str">
        <f>VLOOKUP(B3026, 'All Menu'!B:M, 3, 0)</f>
        <v>صواني وصاجيات صالة</v>
      </c>
      <c r="G3026" s="90" t="s">
        <v>3058</v>
      </c>
      <c r="H3026" s="219">
        <v>4764</v>
      </c>
      <c r="I3026" s="110" t="str">
        <f>VLOOKUP(H3026, 'RM &amp; SF'!B:H, 2, 0)</f>
        <v>سقط خروف ني (خصاوي)*****</v>
      </c>
      <c r="J3026" s="184" t="str">
        <f>VLOOKUP(H3026, 'RM &amp; SF'!B:E, 4, 0)</f>
        <v>غم</v>
      </c>
      <c r="K3026" s="78">
        <v>200</v>
      </c>
      <c r="L3026" s="13">
        <f>VLOOKUP(H3026, 'RM &amp; SF'!B:H, 7, 0)</f>
        <v>5.0000000000000001E-3</v>
      </c>
      <c r="M3026" s="15">
        <f t="shared" si="155"/>
        <v>1</v>
      </c>
      <c r="N3026" s="21" t="s">
        <v>825</v>
      </c>
      <c r="O3026" s="4">
        <f>VLOOKUP(B3026, 'All Menu'!B:L, 6, 0)</f>
        <v>3.2327586206896552</v>
      </c>
      <c r="P3026" s="6">
        <f>VLOOKUP(B3026, 'All Menu'!B:L, 9, 0)</f>
        <v>1.2147992528735629</v>
      </c>
      <c r="Q3026" s="14">
        <f>VLOOKUP(B3026, 'All Menu'!B:M, 12, 0)</f>
        <v>0.62422209777777793</v>
      </c>
      <c r="R3026" s="173">
        <f t="shared" si="156"/>
        <v>0</v>
      </c>
    </row>
    <row r="3027" spans="1:18" ht="15.5" hidden="1">
      <c r="A3027" s="78" t="s">
        <v>2976</v>
      </c>
      <c r="B3027" s="220" t="s">
        <v>832</v>
      </c>
      <c r="C3027" s="185"/>
      <c r="D3027" s="30" t="str">
        <f>VLOOKUP(B3027, 'All Menu'!B:M, 4, 0)</f>
        <v>بيض غنم</v>
      </c>
      <c r="E3027" s="30" t="str">
        <f>VLOOKUP(B3027, 'All Menu'!B:M, 2, 0)</f>
        <v>قسم الصالة</v>
      </c>
      <c r="F3027" s="103" t="str">
        <f>VLOOKUP(B3027, 'All Menu'!B:M, 3, 0)</f>
        <v>صواني وصاجيات صالة</v>
      </c>
      <c r="G3027" s="90" t="s">
        <v>2321</v>
      </c>
      <c r="H3027" s="67">
        <v>5292</v>
      </c>
      <c r="I3027" s="110" t="str">
        <f>VLOOKUP(H3027, 'RM &amp; SF'!B:H, 2, 0)</f>
        <v>ثوم مقشر*****</v>
      </c>
      <c r="J3027" s="184" t="str">
        <f>VLOOKUP(H3027, 'RM &amp; SF'!B:E, 4, 0)</f>
        <v>غم</v>
      </c>
      <c r="K3027" s="78">
        <v>10</v>
      </c>
      <c r="L3027" s="13">
        <f>VLOOKUP(H3027, 'RM &amp; SF'!B:H, 7, 0)</f>
        <v>4.4999999999999997E-3</v>
      </c>
      <c r="M3027" s="15">
        <f t="shared" si="155"/>
        <v>4.4999999999999998E-2</v>
      </c>
      <c r="N3027" s="21" t="s">
        <v>825</v>
      </c>
      <c r="O3027" s="4">
        <f>VLOOKUP(B3027, 'All Menu'!B:L, 6, 0)</f>
        <v>3.2327586206896552</v>
      </c>
      <c r="P3027" s="6">
        <f>VLOOKUP(B3027, 'All Menu'!B:L, 9, 0)</f>
        <v>1.2147992528735629</v>
      </c>
      <c r="Q3027" s="14">
        <f>VLOOKUP(B3027, 'All Menu'!B:M, 12, 0)</f>
        <v>0.62422209777777793</v>
      </c>
      <c r="R3027" s="173">
        <f t="shared" si="156"/>
        <v>0</v>
      </c>
    </row>
    <row r="3028" spans="1:18" ht="14" hidden="1">
      <c r="A3028" s="78" t="s">
        <v>2976</v>
      </c>
      <c r="B3028" s="220" t="s">
        <v>832</v>
      </c>
      <c r="C3028" s="185"/>
      <c r="D3028" s="30" t="str">
        <f>VLOOKUP(B3028, 'All Menu'!B:M, 4, 0)</f>
        <v>بيض غنم</v>
      </c>
      <c r="E3028" s="30" t="str">
        <f>VLOOKUP(B3028, 'All Menu'!B:M, 2, 0)</f>
        <v>قسم الصالة</v>
      </c>
      <c r="F3028" s="103" t="str">
        <f>VLOOKUP(B3028, 'All Menu'!B:M, 3, 0)</f>
        <v>صواني وصاجيات صالة</v>
      </c>
      <c r="G3028" s="90" t="s">
        <v>2209</v>
      </c>
      <c r="H3028" s="219">
        <v>4546</v>
      </c>
      <c r="I3028" s="110" t="str">
        <f>VLOOKUP(H3028, 'RM &amp; SF'!B:H, 2, 0)</f>
        <v>كزبرة*****</v>
      </c>
      <c r="J3028" s="184" t="str">
        <f>VLOOKUP(H3028, 'RM &amp; SF'!B:E, 4, 0)</f>
        <v>قطعة</v>
      </c>
      <c r="K3028" s="78">
        <v>0.1</v>
      </c>
      <c r="L3028" s="13">
        <f>VLOOKUP(H3028, 'RM &amp; SF'!B:H, 7, 0)</f>
        <v>1E-3</v>
      </c>
      <c r="M3028" s="15">
        <f t="shared" si="155"/>
        <v>1E-4</v>
      </c>
      <c r="N3028" s="21" t="s">
        <v>825</v>
      </c>
      <c r="O3028" s="4">
        <f>VLOOKUP(B3028, 'All Menu'!B:L, 6, 0)</f>
        <v>3.2327586206896552</v>
      </c>
      <c r="P3028" s="6">
        <f>VLOOKUP(B3028, 'All Menu'!B:L, 9, 0)</f>
        <v>1.2147992528735629</v>
      </c>
      <c r="Q3028" s="14">
        <f>VLOOKUP(B3028, 'All Menu'!B:M, 12, 0)</f>
        <v>0.62422209777777793</v>
      </c>
      <c r="R3028" s="173">
        <f t="shared" si="156"/>
        <v>0</v>
      </c>
    </row>
    <row r="3029" spans="1:18" ht="14" hidden="1">
      <c r="A3029" s="78" t="s">
        <v>2976</v>
      </c>
      <c r="B3029" s="220" t="s">
        <v>832</v>
      </c>
      <c r="C3029" s="185"/>
      <c r="D3029" s="30" t="str">
        <f>VLOOKUP(B3029, 'All Menu'!B:M, 4, 0)</f>
        <v>بيض غنم</v>
      </c>
      <c r="E3029" s="30" t="str">
        <f>VLOOKUP(B3029, 'All Menu'!B:M, 2, 0)</f>
        <v>قسم الصالة</v>
      </c>
      <c r="F3029" s="103" t="str">
        <f>VLOOKUP(B3029, 'All Menu'!B:M, 3, 0)</f>
        <v>صواني وصاجيات صالة</v>
      </c>
      <c r="G3029" s="90" t="s">
        <v>2260</v>
      </c>
      <c r="H3029" s="219">
        <v>4160</v>
      </c>
      <c r="I3029" s="110" t="str">
        <f>VLOOKUP(H3029, 'RM &amp; SF'!B:H, 2, 0)</f>
        <v>زيت صويا 18 لتر*****</v>
      </c>
      <c r="J3029" s="184" t="str">
        <f>VLOOKUP(H3029, 'RM &amp; SF'!B:E, 4, 0)</f>
        <v>مل</v>
      </c>
      <c r="K3029" s="78">
        <v>30</v>
      </c>
      <c r="L3029" s="13">
        <f>VLOOKUP(H3029, 'RM &amp; SF'!B:H, 7, 0)</f>
        <v>1.335E-3</v>
      </c>
      <c r="M3029" s="15">
        <f t="shared" si="155"/>
        <v>4.0050000000000002E-2</v>
      </c>
      <c r="N3029" s="21" t="s">
        <v>825</v>
      </c>
      <c r="O3029" s="4">
        <f>VLOOKUP(B3029, 'All Menu'!B:L, 6, 0)</f>
        <v>3.2327586206896552</v>
      </c>
      <c r="P3029" s="6">
        <f>VLOOKUP(B3029, 'All Menu'!B:L, 9, 0)</f>
        <v>1.2147992528735629</v>
      </c>
      <c r="Q3029" s="14">
        <f>VLOOKUP(B3029, 'All Menu'!B:M, 12, 0)</f>
        <v>0.62422209777777793</v>
      </c>
      <c r="R3029" s="173">
        <f t="shared" si="156"/>
        <v>0</v>
      </c>
    </row>
    <row r="3030" spans="1:18" ht="14" hidden="1">
      <c r="A3030" s="78" t="s">
        <v>2976</v>
      </c>
      <c r="B3030" s="220" t="s">
        <v>832</v>
      </c>
      <c r="C3030" s="185"/>
      <c r="D3030" s="30" t="str">
        <f>VLOOKUP(B3030, 'All Menu'!B:M, 4, 0)</f>
        <v>بيض غنم</v>
      </c>
      <c r="E3030" s="30" t="str">
        <f>VLOOKUP(B3030, 'All Menu'!B:M, 2, 0)</f>
        <v>قسم الصالة</v>
      </c>
      <c r="F3030" s="103" t="str">
        <f>VLOOKUP(B3030, 'All Menu'!B:M, 3, 0)</f>
        <v>صواني وصاجيات صالة</v>
      </c>
      <c r="G3030" s="90" t="s">
        <v>2255</v>
      </c>
      <c r="H3030" s="219">
        <v>4573</v>
      </c>
      <c r="I3030" s="110" t="str">
        <f>VLOOKUP(H3030, 'RM &amp; SF'!B:H, 2, 0)</f>
        <v>عصير ليمون طازج 2.5 لتر*****</v>
      </c>
      <c r="J3030" s="184" t="str">
        <f>VLOOKUP(H3030, 'RM &amp; SF'!B:E, 4, 0)</f>
        <v>مل</v>
      </c>
      <c r="K3030" s="78">
        <v>30</v>
      </c>
      <c r="L3030" s="13">
        <f>VLOOKUP(H3030, 'RM &amp; SF'!B:H, 7, 0)</f>
        <v>2.5999999999999999E-3</v>
      </c>
      <c r="M3030" s="15">
        <f t="shared" si="155"/>
        <v>7.8E-2</v>
      </c>
      <c r="N3030" s="21" t="s">
        <v>825</v>
      </c>
      <c r="O3030" s="4">
        <f>VLOOKUP(B3030, 'All Menu'!B:L, 6, 0)</f>
        <v>3.2327586206896552</v>
      </c>
      <c r="P3030" s="6">
        <f>VLOOKUP(B3030, 'All Menu'!B:L, 9, 0)</f>
        <v>1.2147992528735629</v>
      </c>
      <c r="Q3030" s="14">
        <f>VLOOKUP(B3030, 'All Menu'!B:M, 12, 0)</f>
        <v>0.62422209777777793</v>
      </c>
      <c r="R3030" s="173">
        <f t="shared" si="156"/>
        <v>0</v>
      </c>
    </row>
    <row r="3031" spans="1:18" ht="14" hidden="1">
      <c r="A3031" s="78" t="s">
        <v>2976</v>
      </c>
      <c r="B3031" s="220" t="s">
        <v>832</v>
      </c>
      <c r="C3031" s="185"/>
      <c r="D3031" s="30" t="str">
        <f>VLOOKUP(B3031, 'All Menu'!B:M, 4, 0)</f>
        <v>بيض غنم</v>
      </c>
      <c r="E3031" s="30" t="str">
        <f>VLOOKUP(B3031, 'All Menu'!B:M, 2, 0)</f>
        <v>قسم الصالة</v>
      </c>
      <c r="F3031" s="103" t="str">
        <f>VLOOKUP(B3031, 'All Menu'!B:M, 3, 0)</f>
        <v>صواني وصاجيات صالة</v>
      </c>
      <c r="G3031" s="90" t="s">
        <v>2203</v>
      </c>
      <c r="H3031" s="219">
        <v>4152</v>
      </c>
      <c r="I3031" s="110" t="str">
        <f>VLOOKUP(H3031, 'RM &amp; SF'!B:H, 2, 0)</f>
        <v>ملح طعام 750غم*****</v>
      </c>
      <c r="J3031" s="184" t="str">
        <f>VLOOKUP(H3031, 'RM &amp; SF'!B:E, 4, 0)</f>
        <v>غم</v>
      </c>
      <c r="K3031" s="78">
        <v>2</v>
      </c>
      <c r="L3031" s="13">
        <f>VLOOKUP(H3031, 'RM &amp; SF'!B:H, 7, 0)</f>
        <v>1.7066666666666665E-4</v>
      </c>
      <c r="M3031" s="15">
        <f t="shared" si="155"/>
        <v>3.413333333333333E-4</v>
      </c>
      <c r="N3031" s="21" t="s">
        <v>825</v>
      </c>
      <c r="O3031" s="4">
        <f>VLOOKUP(B3031, 'All Menu'!B:L, 6, 0)</f>
        <v>3.2327586206896552</v>
      </c>
      <c r="P3031" s="6">
        <f>VLOOKUP(B3031, 'All Menu'!B:L, 9, 0)</f>
        <v>1.2147992528735629</v>
      </c>
      <c r="Q3031" s="14">
        <f>VLOOKUP(B3031, 'All Menu'!B:M, 12, 0)</f>
        <v>0.62422209777777793</v>
      </c>
      <c r="R3031" s="173">
        <f t="shared" si="156"/>
        <v>0</v>
      </c>
    </row>
    <row r="3032" spans="1:18" ht="14" hidden="1">
      <c r="A3032" s="78" t="s">
        <v>2976</v>
      </c>
      <c r="B3032" s="220" t="s">
        <v>832</v>
      </c>
      <c r="C3032" s="185"/>
      <c r="D3032" s="30" t="str">
        <f>VLOOKUP(B3032, 'All Menu'!B:M, 4, 0)</f>
        <v>بيض غنم</v>
      </c>
      <c r="E3032" s="30" t="str">
        <f>VLOOKUP(B3032, 'All Menu'!B:M, 2, 0)</f>
        <v>قسم الصالة</v>
      </c>
      <c r="F3032" s="103" t="str">
        <f>VLOOKUP(B3032, 'All Menu'!B:M, 3, 0)</f>
        <v>صواني وصاجيات صالة</v>
      </c>
      <c r="G3032" s="90" t="s">
        <v>3058</v>
      </c>
      <c r="H3032" s="219">
        <v>4022</v>
      </c>
      <c r="I3032" s="110" t="str">
        <f>VLOOKUP(H3032, 'RM &amp; SF'!B:H, 2, 0)</f>
        <v>مرق الدجاج بودرة 1 كغ*****</v>
      </c>
      <c r="J3032" s="184" t="str">
        <f>VLOOKUP(H3032, 'RM &amp; SF'!B:E, 4, 0)</f>
        <v>غم</v>
      </c>
      <c r="K3032" s="78">
        <v>2</v>
      </c>
      <c r="L3032" s="13">
        <f>VLOOKUP(H3032, 'RM &amp; SF'!B:H, 7, 0)</f>
        <v>4.7054597701149427E-3</v>
      </c>
      <c r="M3032" s="15">
        <f t="shared" si="155"/>
        <v>9.4109195402298854E-3</v>
      </c>
      <c r="N3032" s="21" t="s">
        <v>825</v>
      </c>
      <c r="O3032" s="4">
        <f>VLOOKUP(B3032, 'All Menu'!B:L, 6, 0)</f>
        <v>3.2327586206896552</v>
      </c>
      <c r="P3032" s="6">
        <f>VLOOKUP(B3032, 'All Menu'!B:L, 9, 0)</f>
        <v>1.2147992528735629</v>
      </c>
      <c r="Q3032" s="14">
        <f>VLOOKUP(B3032, 'All Menu'!B:M, 12, 0)</f>
        <v>0.62422209777777793</v>
      </c>
      <c r="R3032" s="173">
        <f t="shared" si="156"/>
        <v>0</v>
      </c>
    </row>
    <row r="3033" spans="1:18" ht="14" hidden="1">
      <c r="A3033" s="78" t="s">
        <v>2976</v>
      </c>
      <c r="B3033" s="220" t="s">
        <v>832</v>
      </c>
      <c r="C3033" s="185"/>
      <c r="D3033" s="30" t="str">
        <f>VLOOKUP(B3033, 'All Menu'!B:M, 4, 0)</f>
        <v>بيض غنم</v>
      </c>
      <c r="E3033" s="30" t="str">
        <f>VLOOKUP(B3033, 'All Menu'!B:M, 2, 0)</f>
        <v>قسم الصالة</v>
      </c>
      <c r="F3033" s="103" t="str">
        <f>VLOOKUP(B3033, 'All Menu'!B:M, 3, 0)</f>
        <v>صواني وصاجيات صالة</v>
      </c>
      <c r="G3033" s="90" t="s">
        <v>2206</v>
      </c>
      <c r="H3033" s="219">
        <v>4204</v>
      </c>
      <c r="I3033" s="110" t="str">
        <f>VLOOKUP(H3033, 'RM &amp; SF'!B:H, 2, 0)</f>
        <v>فلفل اسود ناعم*****</v>
      </c>
      <c r="J3033" s="184" t="str">
        <f>VLOOKUP(H3033, 'RM &amp; SF'!B:E, 4, 0)</f>
        <v>غم</v>
      </c>
      <c r="K3033" s="78">
        <v>1</v>
      </c>
      <c r="L3033" s="13">
        <f>VLOOKUP(H3033, 'RM &amp; SF'!B:H, 7, 0)</f>
        <v>6.8970000000000004E-3</v>
      </c>
      <c r="M3033" s="15">
        <f t="shared" si="155"/>
        <v>6.8970000000000004E-3</v>
      </c>
      <c r="N3033" s="21" t="s">
        <v>825</v>
      </c>
      <c r="O3033" s="4">
        <f>VLOOKUP(B3033, 'All Menu'!B:L, 6, 0)</f>
        <v>3.2327586206896552</v>
      </c>
      <c r="P3033" s="6">
        <f>VLOOKUP(B3033, 'All Menu'!B:L, 9, 0)</f>
        <v>1.2147992528735629</v>
      </c>
      <c r="Q3033" s="14">
        <f>VLOOKUP(B3033, 'All Menu'!B:M, 12, 0)</f>
        <v>0.62422209777777793</v>
      </c>
      <c r="R3033" s="173">
        <f t="shared" si="156"/>
        <v>0</v>
      </c>
    </row>
    <row r="3034" spans="1:18" ht="14" hidden="1">
      <c r="A3034" s="78" t="s">
        <v>2976</v>
      </c>
      <c r="B3034" s="220" t="s">
        <v>832</v>
      </c>
      <c r="C3034" s="185"/>
      <c r="D3034" s="30" t="str">
        <f>VLOOKUP(B3034, 'All Menu'!B:M, 4, 0)</f>
        <v>بيض غنم</v>
      </c>
      <c r="E3034" s="30" t="str">
        <f>VLOOKUP(B3034, 'All Menu'!B:M, 2, 0)</f>
        <v>قسم الصالة</v>
      </c>
      <c r="F3034" s="103" t="str">
        <f>VLOOKUP(B3034, 'All Menu'!B:M, 3, 0)</f>
        <v>صواني وصاجيات صالة</v>
      </c>
      <c r="G3034" s="90" t="s">
        <v>2239</v>
      </c>
      <c r="H3034" s="219">
        <v>4513</v>
      </c>
      <c r="I3034" s="110" t="str">
        <f>VLOOKUP(H3034, 'RM &amp; SF'!B:H, 2, 0)</f>
        <v>ليمون اصفر*****</v>
      </c>
      <c r="J3034" s="184" t="str">
        <f>VLOOKUP(H3034, 'RM &amp; SF'!B:E, 4, 0)</f>
        <v>غم</v>
      </c>
      <c r="K3034" s="78">
        <v>20</v>
      </c>
      <c r="L3034" s="13">
        <f>VLOOKUP(H3034, 'RM &amp; SF'!B:H, 7, 0)</f>
        <v>1.75E-3</v>
      </c>
      <c r="M3034" s="15">
        <f t="shared" si="155"/>
        <v>3.5000000000000003E-2</v>
      </c>
      <c r="N3034" s="21" t="s">
        <v>825</v>
      </c>
      <c r="O3034" s="4">
        <f>VLOOKUP(B3034, 'All Menu'!B:L, 6, 0)</f>
        <v>3.2327586206896552</v>
      </c>
      <c r="P3034" s="6">
        <f>VLOOKUP(B3034, 'All Menu'!B:L, 9, 0)</f>
        <v>1.2147992528735629</v>
      </c>
      <c r="Q3034" s="14">
        <f>VLOOKUP(B3034, 'All Menu'!B:M, 12, 0)</f>
        <v>0.62422209777777793</v>
      </c>
      <c r="R3034" s="173">
        <f t="shared" si="156"/>
        <v>0</v>
      </c>
    </row>
    <row r="3035" spans="1:18" ht="14" hidden="1">
      <c r="A3035" s="78" t="s">
        <v>3093</v>
      </c>
      <c r="B3035" s="220" t="s">
        <v>851</v>
      </c>
      <c r="C3035" s="185"/>
      <c r="D3035" s="30" t="str">
        <f>VLOOKUP(B3035, 'All Menu'!B:M, 4, 0)</f>
        <v>بيتزا بابروني</v>
      </c>
      <c r="E3035" s="30" t="str">
        <f>VLOOKUP(B3035, 'All Menu'!B:M, 2, 0)</f>
        <v>قسم الصالة</v>
      </c>
      <c r="F3035" s="103" t="str">
        <f>VLOOKUP(B3035, 'All Menu'!B:M, 3, 0)</f>
        <v>عجين صالة</v>
      </c>
      <c r="G3035" s="90" t="s">
        <v>2333</v>
      </c>
      <c r="H3035" s="219" t="s">
        <v>498</v>
      </c>
      <c r="I3035" s="110" t="str">
        <f>VLOOKUP(H3035, 'RM &amp; SF'!B:H, 2, 0)</f>
        <v>عجين الصفيحة والمناقيش</v>
      </c>
      <c r="J3035" s="184" t="str">
        <f>VLOOKUP(H3035, 'RM &amp; SF'!B:E, 4, 0)</f>
        <v>غم</v>
      </c>
      <c r="K3035" s="78">
        <v>450</v>
      </c>
      <c r="L3035" s="13">
        <f>VLOOKUP(H3035, 'RM &amp; SF'!B:H, 7, 0)</f>
        <v>4.659980972150147E-4</v>
      </c>
      <c r="M3035" s="15">
        <f t="shared" si="155"/>
        <v>0.20969914374675661</v>
      </c>
      <c r="N3035" s="21" t="s">
        <v>825</v>
      </c>
      <c r="O3035" s="4">
        <f>VLOOKUP(B3035, 'All Menu'!B:L, 6, 0)</f>
        <v>4.3103448275862073</v>
      </c>
      <c r="P3035" s="6">
        <f>VLOOKUP(B3035, 'All Menu'!B:L, 9, 0)</f>
        <v>1.1895627047223662</v>
      </c>
      <c r="Q3035" s="14">
        <f>VLOOKUP(B3035, 'All Menu'!B:M, 12, 0)</f>
        <v>0.72402145250441108</v>
      </c>
      <c r="R3035" s="173">
        <f t="shared" si="156"/>
        <v>0</v>
      </c>
    </row>
    <row r="3036" spans="1:18" ht="14" hidden="1">
      <c r="A3036" s="78" t="s">
        <v>3093</v>
      </c>
      <c r="B3036" s="220" t="s">
        <v>851</v>
      </c>
      <c r="C3036" s="185"/>
      <c r="D3036" s="30" t="str">
        <f>VLOOKUP(B3036, 'All Menu'!B:M, 4, 0)</f>
        <v>بيتزا بابروني</v>
      </c>
      <c r="E3036" s="30" t="str">
        <f>VLOOKUP(B3036, 'All Menu'!B:M, 2, 0)</f>
        <v>قسم الصالة</v>
      </c>
      <c r="F3036" s="103" t="str">
        <f>VLOOKUP(B3036, 'All Menu'!B:M, 3, 0)</f>
        <v>عجين صالة</v>
      </c>
      <c r="G3036" s="90" t="s">
        <v>3058</v>
      </c>
      <c r="H3036" s="219">
        <v>4079</v>
      </c>
      <c r="I3036" s="110" t="str">
        <f>VLOOKUP(H3036, 'RM &amp; SF'!B:H, 2, 0)</f>
        <v>بيتزا صوص 4.100 كغ*****</v>
      </c>
      <c r="J3036" s="184" t="str">
        <f>VLOOKUP(H3036, 'RM &amp; SF'!B:E, 4, 0)</f>
        <v>غم</v>
      </c>
      <c r="K3036" s="78">
        <v>70</v>
      </c>
      <c r="L3036" s="13">
        <f>VLOOKUP(H3036, 'RM &amp; SF'!B:H, 7, 0)</f>
        <v>1.4017365853658537E-3</v>
      </c>
      <c r="M3036" s="15">
        <f t="shared" si="155"/>
        <v>9.8121560975609756E-2</v>
      </c>
      <c r="N3036" s="21" t="s">
        <v>825</v>
      </c>
      <c r="O3036" s="4">
        <f>VLOOKUP(B3036, 'All Menu'!B:L, 6, 0)</f>
        <v>4.3103448275862073</v>
      </c>
      <c r="P3036" s="6">
        <f>VLOOKUP(B3036, 'All Menu'!B:L, 9, 0)</f>
        <v>1.1895627047223662</v>
      </c>
      <c r="Q3036" s="14">
        <f>VLOOKUP(B3036, 'All Menu'!B:M, 12, 0)</f>
        <v>0.72402145250441108</v>
      </c>
      <c r="R3036" s="173">
        <f t="shared" si="156"/>
        <v>0</v>
      </c>
    </row>
    <row r="3037" spans="1:18" ht="14" hidden="1">
      <c r="A3037" s="78" t="s">
        <v>3093</v>
      </c>
      <c r="B3037" s="220" t="s">
        <v>851</v>
      </c>
      <c r="C3037" s="185"/>
      <c r="D3037" s="30" t="str">
        <f>VLOOKUP(B3037, 'All Menu'!B:M, 4, 0)</f>
        <v>بيتزا بابروني</v>
      </c>
      <c r="E3037" s="30" t="str">
        <f>VLOOKUP(B3037, 'All Menu'!B:M, 2, 0)</f>
        <v>قسم الصالة</v>
      </c>
      <c r="F3037" s="103" t="str">
        <f>VLOOKUP(B3037, 'All Menu'!B:M, 3, 0)</f>
        <v>عجين صالة</v>
      </c>
      <c r="G3037" s="90" t="s">
        <v>2173</v>
      </c>
      <c r="H3037" s="219">
        <v>4624</v>
      </c>
      <c r="I3037" s="110" t="str">
        <f>VLOOKUP(H3037, 'RM &amp; SF'!B:H, 2, 0)</f>
        <v>جبنة موزريلا قالب 2.380 كغ*****</v>
      </c>
      <c r="J3037" s="184" t="str">
        <f>VLOOKUP(H3037, 'RM &amp; SF'!B:E, 4, 0)</f>
        <v>غم</v>
      </c>
      <c r="K3037" s="78">
        <v>160</v>
      </c>
      <c r="L3037" s="13">
        <f>VLOOKUP(H3037, 'RM &amp; SF'!B:H, 7, 0)</f>
        <v>5.1749999999999999E-3</v>
      </c>
      <c r="M3037" s="15">
        <f t="shared" si="155"/>
        <v>0.82799999999999996</v>
      </c>
      <c r="N3037" s="21" t="s">
        <v>825</v>
      </c>
      <c r="O3037" s="4">
        <f>VLOOKUP(B3037, 'All Menu'!B:L, 6, 0)</f>
        <v>4.3103448275862073</v>
      </c>
      <c r="P3037" s="6">
        <f>VLOOKUP(B3037, 'All Menu'!B:L, 9, 0)</f>
        <v>1.1895627047223662</v>
      </c>
      <c r="Q3037" s="14">
        <f>VLOOKUP(B3037, 'All Menu'!B:M, 12, 0)</f>
        <v>0.72402145250441108</v>
      </c>
      <c r="R3037" s="173">
        <f t="shared" si="156"/>
        <v>0</v>
      </c>
    </row>
    <row r="3038" spans="1:18" ht="14" hidden="1">
      <c r="A3038" s="78" t="s">
        <v>3093</v>
      </c>
      <c r="B3038" s="220" t="s">
        <v>851</v>
      </c>
      <c r="C3038" s="185"/>
      <c r="D3038" s="30" t="str">
        <f>VLOOKUP(B3038, 'All Menu'!B:M, 4, 0)</f>
        <v>بيتزا بابروني</v>
      </c>
      <c r="E3038" s="30" t="str">
        <f>VLOOKUP(B3038, 'All Menu'!B:M, 2, 0)</f>
        <v>قسم الصالة</v>
      </c>
      <c r="F3038" s="103" t="str">
        <f>VLOOKUP(B3038, 'All Menu'!B:M, 3, 0)</f>
        <v>عجين صالة</v>
      </c>
      <c r="G3038" s="90" t="s">
        <v>3058</v>
      </c>
      <c r="H3038" s="219">
        <v>4634</v>
      </c>
      <c r="I3038" s="110" t="str">
        <f>VLOOKUP(H3038, 'RM &amp; SF'!B:H, 2, 0)</f>
        <v>سلامي بقري 1 كغ*****</v>
      </c>
      <c r="J3038" s="184" t="str">
        <f>VLOOKUP(H3038, 'RM &amp; SF'!B:E, 4, 0)</f>
        <v>غم</v>
      </c>
      <c r="K3038" s="78">
        <v>26</v>
      </c>
      <c r="L3038" s="13">
        <f>VLOOKUP(H3038, 'RM &amp; SF'!B:H, 7, 0)</f>
        <v>2.0670000000000003E-3</v>
      </c>
      <c r="M3038" s="15">
        <f t="shared" si="155"/>
        <v>5.3742000000000005E-2</v>
      </c>
      <c r="N3038" s="21" t="s">
        <v>825</v>
      </c>
      <c r="O3038" s="4">
        <f>VLOOKUP(B3038, 'All Menu'!B:L, 6, 0)</f>
        <v>4.3103448275862073</v>
      </c>
      <c r="P3038" s="6">
        <f>VLOOKUP(B3038, 'All Menu'!B:L, 9, 0)</f>
        <v>1.1895627047223662</v>
      </c>
      <c r="Q3038" s="14">
        <f>VLOOKUP(B3038, 'All Menu'!B:M, 12, 0)</f>
        <v>0.72402145250441108</v>
      </c>
      <c r="R3038" s="173">
        <f t="shared" si="156"/>
        <v>0</v>
      </c>
    </row>
    <row r="3039" spans="1:18" ht="14" hidden="1">
      <c r="A3039" s="78" t="s">
        <v>2957</v>
      </c>
      <c r="B3039" s="220" t="s">
        <v>854</v>
      </c>
      <c r="C3039" s="185"/>
      <c r="D3039" s="30" t="str">
        <f>VLOOKUP(B3039, 'All Menu'!B:M, 4, 0)</f>
        <v>دقوس</v>
      </c>
      <c r="E3039" s="30" t="str">
        <f>VLOOKUP(B3039, 'All Menu'!B:M, 2, 0)</f>
        <v>قسم الصالة</v>
      </c>
      <c r="F3039" s="103" t="str">
        <f>VLOOKUP(B3039, 'All Menu'!B:M, 3, 0)</f>
        <v>مقبلات باردة صالة</v>
      </c>
      <c r="G3039" s="90" t="s">
        <v>2329</v>
      </c>
      <c r="H3039" s="219" t="s">
        <v>512</v>
      </c>
      <c r="I3039" s="110" t="str">
        <f>VLOOKUP(H3039, 'RM &amp; SF'!B:H, 2, 0)</f>
        <v>خلطة دقوس</v>
      </c>
      <c r="J3039" s="184" t="str">
        <f>VLOOKUP(H3039, 'RM &amp; SF'!B:E, 4, 0)</f>
        <v>غم</v>
      </c>
      <c r="K3039" s="78">
        <v>150</v>
      </c>
      <c r="L3039" s="13">
        <f>VLOOKUP(H3039, 'RM &amp; SF'!B:H, 7, 0)</f>
        <v>7.5544490740740743E-4</v>
      </c>
      <c r="M3039" s="15">
        <f t="shared" si="155"/>
        <v>0.11331673611111112</v>
      </c>
      <c r="N3039" s="21" t="s">
        <v>825</v>
      </c>
      <c r="O3039" s="4">
        <f>VLOOKUP(B3039, 'All Menu'!B:L, 6, 0)</f>
        <v>0.34482758620689657</v>
      </c>
      <c r="P3039" s="6">
        <f>VLOOKUP(B3039, 'All Menu'!B:L, 9, 0)</f>
        <v>0.11331673611111112</v>
      </c>
      <c r="Q3039" s="14">
        <f>VLOOKUP(B3039, 'All Menu'!B:M, 12, 0)</f>
        <v>0.67138146527777776</v>
      </c>
      <c r="R3039" s="173">
        <f t="shared" si="156"/>
        <v>0</v>
      </c>
    </row>
    <row r="3040" spans="1:18" ht="14" hidden="1">
      <c r="A3040" s="78" t="s">
        <v>2963</v>
      </c>
      <c r="B3040" s="220" t="s">
        <v>863</v>
      </c>
      <c r="C3040" s="185"/>
      <c r="D3040" s="30" t="str">
        <f>VLOOKUP(B3040, 'All Menu'!B:M, 4, 0)</f>
        <v>كباب دجاج كيلو</v>
      </c>
      <c r="E3040" s="30" t="str">
        <f>VLOOKUP(B3040, 'All Menu'!B:M, 2, 0)</f>
        <v>قسم الصالة</v>
      </c>
      <c r="F3040" s="103" t="str">
        <f>VLOOKUP(B3040, 'All Menu'!B:M, 3, 0)</f>
        <v>المشاوي صالة</v>
      </c>
      <c r="G3040" s="90" t="s">
        <v>2338</v>
      </c>
      <c r="H3040" s="219" t="s">
        <v>532</v>
      </c>
      <c r="I3040" s="110" t="str">
        <f>VLOOKUP(H3040, 'RM &amp; SF'!B:H, 2, 0)</f>
        <v>كباب دجاج</v>
      </c>
      <c r="J3040" s="184" t="str">
        <f>VLOOKUP(H3040, 'RM &amp; SF'!B:E, 4, 0)</f>
        <v>غم</v>
      </c>
      <c r="K3040" s="78">
        <v>1000</v>
      </c>
      <c r="L3040" s="13">
        <f>VLOOKUP(H3040, 'RM &amp; SF'!B:H, 7, 0)</f>
        <v>3.8874234320164847E-3</v>
      </c>
      <c r="M3040" s="15">
        <f t="shared" si="155"/>
        <v>3.8874234320164849</v>
      </c>
      <c r="N3040" s="21" t="s">
        <v>825</v>
      </c>
      <c r="O3040" s="4">
        <f>VLOOKUP(B3040, 'All Menu'!B:L, 6, 0)</f>
        <v>13.793103448275863</v>
      </c>
      <c r="P3040" s="6">
        <f>VLOOKUP(B3040, 'All Menu'!B:L, 9, 0)</f>
        <v>4.1823549910661697</v>
      </c>
      <c r="Q3040" s="14">
        <f>VLOOKUP(B3040, 'All Menu'!B:M, 12, 0)</f>
        <v>0.69677926314770267</v>
      </c>
      <c r="R3040" s="173">
        <f t="shared" si="156"/>
        <v>0</v>
      </c>
    </row>
    <row r="3041" spans="1:18" ht="14" hidden="1">
      <c r="A3041" s="78" t="s">
        <v>2963</v>
      </c>
      <c r="B3041" s="220" t="s">
        <v>863</v>
      </c>
      <c r="C3041" s="185"/>
      <c r="D3041" s="30" t="str">
        <f>VLOOKUP(B3041, 'All Menu'!B:M, 4, 0)</f>
        <v>كباب دجاج كيلو</v>
      </c>
      <c r="E3041" s="30" t="str">
        <f>VLOOKUP(B3041, 'All Menu'!B:M, 2, 0)</f>
        <v>قسم الصالة</v>
      </c>
      <c r="F3041" s="103" t="str">
        <f>VLOOKUP(B3041, 'All Menu'!B:M, 3, 0)</f>
        <v>المشاوي صالة</v>
      </c>
      <c r="G3041" s="90" t="s">
        <v>2235</v>
      </c>
      <c r="H3041" s="219">
        <v>4504</v>
      </c>
      <c r="I3041" s="110" t="str">
        <f>VLOOKUP(H3041, 'RM &amp; SF'!B:H, 2, 0)</f>
        <v>بصل مشاوي (بصل بيبي)***</v>
      </c>
      <c r="J3041" s="184" t="str">
        <f>VLOOKUP(H3041, 'RM &amp; SF'!B:E, 4, 0)</f>
        <v>غم</v>
      </c>
      <c r="K3041" s="78">
        <v>120</v>
      </c>
      <c r="L3041" s="13">
        <f>VLOOKUP(H3041, 'RM &amp; SF'!B:H, 7, 0)</f>
        <v>3.5E-4</v>
      </c>
      <c r="M3041" s="15">
        <f t="shared" si="155"/>
        <v>4.2000000000000003E-2</v>
      </c>
      <c r="N3041" s="21" t="s">
        <v>825</v>
      </c>
      <c r="O3041" s="4">
        <f>VLOOKUP(B3041, 'All Menu'!B:L, 6, 0)</f>
        <v>13.793103448275863</v>
      </c>
      <c r="P3041" s="6">
        <f>VLOOKUP(B3041, 'All Menu'!B:L, 9, 0)</f>
        <v>4.1823549910661697</v>
      </c>
      <c r="Q3041" s="14">
        <f>VLOOKUP(B3041, 'All Menu'!B:M, 12, 0)</f>
        <v>0.69677926314770267</v>
      </c>
      <c r="R3041" s="173">
        <f t="shared" si="156"/>
        <v>0</v>
      </c>
    </row>
    <row r="3042" spans="1:18" ht="14" hidden="1">
      <c r="A3042" s="78" t="s">
        <v>2963</v>
      </c>
      <c r="B3042" s="220" t="s">
        <v>863</v>
      </c>
      <c r="C3042" s="185"/>
      <c r="D3042" s="30" t="str">
        <f>VLOOKUP(B3042, 'All Menu'!B:M, 4, 0)</f>
        <v>كباب دجاج كيلو</v>
      </c>
      <c r="E3042" s="30" t="str">
        <f>VLOOKUP(B3042, 'All Menu'!B:M, 2, 0)</f>
        <v>قسم الصالة</v>
      </c>
      <c r="F3042" s="103" t="str">
        <f>VLOOKUP(B3042, 'All Menu'!B:M, 3, 0)</f>
        <v>المشاوي صالة</v>
      </c>
      <c r="G3042" s="90" t="s">
        <v>2257</v>
      </c>
      <c r="H3042" s="219">
        <v>5281</v>
      </c>
      <c r="I3042" s="110" t="str">
        <f>VLOOKUP(H3042, 'RM &amp; SF'!B:H, 2, 0)</f>
        <v>بندوره مشاوي</v>
      </c>
      <c r="J3042" s="184" t="str">
        <f>VLOOKUP(H3042, 'RM &amp; SF'!B:E, 4, 0)</f>
        <v>غم</v>
      </c>
      <c r="K3042" s="78">
        <v>140</v>
      </c>
      <c r="L3042" s="13">
        <f>VLOOKUP(H3042, 'RM &amp; SF'!B:H, 7, 0)</f>
        <v>4.0000000000000002E-4</v>
      </c>
      <c r="M3042" s="15">
        <f t="shared" si="155"/>
        <v>5.6000000000000001E-2</v>
      </c>
      <c r="N3042" s="21" t="s">
        <v>825</v>
      </c>
      <c r="O3042" s="4">
        <f>VLOOKUP(B3042, 'All Menu'!B:L, 6, 0)</f>
        <v>13.793103448275863</v>
      </c>
      <c r="P3042" s="6">
        <f>VLOOKUP(B3042, 'All Menu'!B:L, 9, 0)</f>
        <v>4.1823549910661697</v>
      </c>
      <c r="Q3042" s="14">
        <f>VLOOKUP(B3042, 'All Menu'!B:M, 12, 0)</f>
        <v>0.69677926314770267</v>
      </c>
      <c r="R3042" s="173">
        <f t="shared" si="156"/>
        <v>0</v>
      </c>
    </row>
    <row r="3043" spans="1:18" ht="14" hidden="1">
      <c r="A3043" s="78" t="s">
        <v>2963</v>
      </c>
      <c r="B3043" s="220" t="s">
        <v>863</v>
      </c>
      <c r="C3043" s="185"/>
      <c r="D3043" s="30" t="str">
        <f>VLOOKUP(B3043, 'All Menu'!B:M, 4, 0)</f>
        <v>كباب دجاج كيلو</v>
      </c>
      <c r="E3043" s="30" t="str">
        <f>VLOOKUP(B3043, 'All Menu'!B:M, 2, 0)</f>
        <v>قسم الصالة</v>
      </c>
      <c r="F3043" s="103" t="str">
        <f>VLOOKUP(B3043, 'All Menu'!B:M, 3, 0)</f>
        <v>المشاوي صالة</v>
      </c>
      <c r="G3043" s="90" t="s">
        <v>2396</v>
      </c>
      <c r="H3043" s="219" t="s">
        <v>582</v>
      </c>
      <c r="I3043" s="110" t="str">
        <f>VLOOKUP(H3043, 'RM &amp; SF'!B:H, 2, 0)</f>
        <v>بيواز</v>
      </c>
      <c r="J3043" s="184" t="str">
        <f>VLOOKUP(H3043, 'RM &amp; SF'!B:E, 4, 0)</f>
        <v>غم</v>
      </c>
      <c r="K3043" s="78">
        <v>100</v>
      </c>
      <c r="L3043" s="13">
        <f>VLOOKUP(H3043, 'RM &amp; SF'!B:H, 7, 0)</f>
        <v>2.0666065869244635E-4</v>
      </c>
      <c r="M3043" s="15">
        <f t="shared" si="155"/>
        <v>2.0666065869244635E-2</v>
      </c>
      <c r="N3043" s="21" t="s">
        <v>825</v>
      </c>
      <c r="O3043" s="4">
        <f>VLOOKUP(B3043, 'All Menu'!B:L, 6, 0)</f>
        <v>13.793103448275863</v>
      </c>
      <c r="P3043" s="6">
        <f>VLOOKUP(B3043, 'All Menu'!B:L, 9, 0)</f>
        <v>4.1823549910661697</v>
      </c>
      <c r="Q3043" s="14">
        <f>VLOOKUP(B3043, 'All Menu'!B:M, 12, 0)</f>
        <v>0.69677926314770267</v>
      </c>
      <c r="R3043" s="173">
        <f t="shared" si="156"/>
        <v>0</v>
      </c>
    </row>
    <row r="3044" spans="1:18" ht="14" hidden="1">
      <c r="A3044" s="78" t="s">
        <v>2963</v>
      </c>
      <c r="B3044" s="220" t="s">
        <v>863</v>
      </c>
      <c r="C3044" s="185"/>
      <c r="D3044" s="30" t="str">
        <f>VLOOKUP(B3044, 'All Menu'!B:M, 4, 0)</f>
        <v>كباب دجاج كيلو</v>
      </c>
      <c r="E3044" s="30" t="str">
        <f>VLOOKUP(B3044, 'All Menu'!B:M, 2, 0)</f>
        <v>قسم الصالة</v>
      </c>
      <c r="F3044" s="103" t="str">
        <f>VLOOKUP(B3044, 'All Menu'!B:M, 3, 0)</f>
        <v>المشاوي صالة</v>
      </c>
      <c r="G3044" s="90" t="s">
        <v>2331</v>
      </c>
      <c r="H3044" s="219" t="s">
        <v>530</v>
      </c>
      <c r="I3044" s="110" t="str">
        <f>VLOOKUP(H3044, 'RM &amp; SF'!B:H, 2, 0)</f>
        <v>خبز صاج</v>
      </c>
      <c r="J3044" s="184" t="str">
        <f>VLOOKUP(H3044, 'RM &amp; SF'!B:E, 4, 0)</f>
        <v>غم</v>
      </c>
      <c r="K3044" s="78">
        <v>300</v>
      </c>
      <c r="L3044" s="13">
        <f>VLOOKUP(H3044, 'RM &amp; SF'!B:H, 7, 0)</f>
        <v>1.8806451612903227E-4</v>
      </c>
      <c r="M3044" s="15">
        <f t="shared" si="155"/>
        <v>5.6419354838709683E-2</v>
      </c>
      <c r="N3044" s="21" t="s">
        <v>825</v>
      </c>
      <c r="O3044" s="4">
        <f>VLOOKUP(B3044, 'All Menu'!B:L, 6, 0)</f>
        <v>13.793103448275863</v>
      </c>
      <c r="P3044" s="6">
        <f>VLOOKUP(B3044, 'All Menu'!B:L, 9, 0)</f>
        <v>4.1823549910661697</v>
      </c>
      <c r="Q3044" s="14">
        <f>VLOOKUP(B3044, 'All Menu'!B:M, 12, 0)</f>
        <v>0.69677926314770267</v>
      </c>
      <c r="R3044" s="173">
        <f t="shared" si="156"/>
        <v>0</v>
      </c>
    </row>
    <row r="3045" spans="1:18" ht="14" hidden="1">
      <c r="A3045" s="78" t="s">
        <v>2963</v>
      </c>
      <c r="B3045" s="220" t="s">
        <v>863</v>
      </c>
      <c r="C3045" s="185"/>
      <c r="D3045" s="30" t="str">
        <f>VLOOKUP(B3045, 'All Menu'!B:M, 4, 0)</f>
        <v>كباب دجاج كيلو</v>
      </c>
      <c r="E3045" s="30" t="str">
        <f>VLOOKUP(B3045, 'All Menu'!B:M, 2, 0)</f>
        <v>قسم الصالة</v>
      </c>
      <c r="F3045" s="103" t="str">
        <f>VLOOKUP(B3045, 'All Menu'!B:M, 3, 0)</f>
        <v>المشاوي صالة</v>
      </c>
      <c r="G3045" s="90" t="s">
        <v>2231</v>
      </c>
      <c r="H3045" s="219">
        <v>4499</v>
      </c>
      <c r="I3045" s="110" t="str">
        <f>VLOOKUP(H3045, 'RM &amp; SF'!B:H, 2, 0)</f>
        <v>فلفل حار اخضر*****</v>
      </c>
      <c r="J3045" s="184" t="str">
        <f>VLOOKUP(H3045, 'RM &amp; SF'!B:E, 4, 0)</f>
        <v>غم</v>
      </c>
      <c r="K3045" s="78">
        <v>40</v>
      </c>
      <c r="L3045" s="13">
        <f>VLOOKUP(H3045, 'RM &amp; SF'!B:H, 7, 0)</f>
        <v>5.0000000000000001E-4</v>
      </c>
      <c r="M3045" s="15">
        <f t="shared" si="155"/>
        <v>0.02</v>
      </c>
      <c r="N3045" s="21" t="s">
        <v>825</v>
      </c>
      <c r="O3045" s="4">
        <f>VLOOKUP(B3045, 'All Menu'!B:L, 6, 0)</f>
        <v>13.793103448275863</v>
      </c>
      <c r="P3045" s="6">
        <f>VLOOKUP(B3045, 'All Menu'!B:L, 9, 0)</f>
        <v>4.1823549910661697</v>
      </c>
      <c r="Q3045" s="14">
        <f>VLOOKUP(B3045, 'All Menu'!B:M, 12, 0)</f>
        <v>0.69677926314770267</v>
      </c>
      <c r="R3045" s="173">
        <f t="shared" si="156"/>
        <v>0</v>
      </c>
    </row>
    <row r="3046" spans="1:18" ht="14" hidden="1">
      <c r="A3046" s="78" t="s">
        <v>2963</v>
      </c>
      <c r="B3046" s="220" t="s">
        <v>863</v>
      </c>
      <c r="C3046" s="185"/>
      <c r="D3046" s="30" t="str">
        <f>VLOOKUP(B3046, 'All Menu'!B:M, 4, 0)</f>
        <v>كباب دجاج كيلو</v>
      </c>
      <c r="E3046" s="30" t="str">
        <f>VLOOKUP(B3046, 'All Menu'!B:M, 2, 0)</f>
        <v>قسم الصالة</v>
      </c>
      <c r="F3046" s="103" t="str">
        <f>VLOOKUP(B3046, 'All Menu'!B:M, 3, 0)</f>
        <v>المشاوي صالة</v>
      </c>
      <c r="G3046" s="90" t="s">
        <v>2325</v>
      </c>
      <c r="H3046" s="219" t="s">
        <v>534</v>
      </c>
      <c r="I3046" s="110" t="str">
        <f>VLOOKUP(H3046, 'RM &amp; SF'!B:H, 2, 0)</f>
        <v>مثومه</v>
      </c>
      <c r="J3046" s="184" t="str">
        <f>VLOOKUP(H3046, 'RM &amp; SF'!B:E, 4, 0)</f>
        <v>غم</v>
      </c>
      <c r="K3046" s="78">
        <v>150</v>
      </c>
      <c r="L3046" s="13">
        <f>VLOOKUP(H3046, 'RM &amp; SF'!B:H, 7, 0)</f>
        <v>6.6564092227821051E-4</v>
      </c>
      <c r="M3046" s="15">
        <f t="shared" si="155"/>
        <v>9.9846138341731575E-2</v>
      </c>
      <c r="N3046" s="21" t="s">
        <v>825</v>
      </c>
      <c r="O3046" s="4">
        <f>VLOOKUP(B3046, 'All Menu'!B:L, 6, 0)</f>
        <v>13.793103448275863</v>
      </c>
      <c r="P3046" s="6">
        <f>VLOOKUP(B3046, 'All Menu'!B:L, 9, 0)</f>
        <v>4.1823549910661697</v>
      </c>
      <c r="Q3046" s="14">
        <f>VLOOKUP(B3046, 'All Menu'!B:M, 12, 0)</f>
        <v>0.69677926314770267</v>
      </c>
      <c r="R3046" s="173">
        <f t="shared" si="156"/>
        <v>0</v>
      </c>
    </row>
    <row r="3047" spans="1:18" ht="14" hidden="1">
      <c r="A3047" s="78" t="s">
        <v>2964</v>
      </c>
      <c r="B3047" s="220" t="s">
        <v>867</v>
      </c>
      <c r="C3047" s="185"/>
      <c r="D3047" s="30" t="str">
        <f>VLOOKUP(B3047, 'All Menu'!B:M, 4, 0)</f>
        <v>كبدة خاروف كيلو</v>
      </c>
      <c r="E3047" s="30" t="str">
        <f>VLOOKUP(B3047, 'All Menu'!B:M, 2, 0)</f>
        <v>قسم الصالة</v>
      </c>
      <c r="F3047" s="103" t="str">
        <f>VLOOKUP(B3047, 'All Menu'!B:M, 3, 0)</f>
        <v>المشاوي صالة</v>
      </c>
      <c r="G3047" s="90" t="s">
        <v>3058</v>
      </c>
      <c r="H3047" s="219">
        <v>1082</v>
      </c>
      <c r="I3047" s="110" t="str">
        <f>VLOOKUP(H3047, 'RM &amp; SF'!B:H, 2, 0)</f>
        <v>كبدة غنم</v>
      </c>
      <c r="J3047" s="184" t="str">
        <f>VLOOKUP(H3047, 'RM &amp; SF'!B:E, 4, 0)</f>
        <v>غم</v>
      </c>
      <c r="K3047" s="78">
        <v>1000</v>
      </c>
      <c r="L3047" s="13">
        <f>VLOOKUP(H3047, 'RM &amp; SF'!B:H, 7, 0)</f>
        <v>7.0000000000000001E-3</v>
      </c>
      <c r="M3047" s="15">
        <f t="shared" si="155"/>
        <v>7</v>
      </c>
      <c r="N3047" s="21" t="s">
        <v>825</v>
      </c>
      <c r="O3047" s="4">
        <f>VLOOKUP(B3047, 'All Menu'!B:L, 6, 0)</f>
        <v>12.068965517241381</v>
      </c>
      <c r="P3047" s="6">
        <f>VLOOKUP(B3047, 'All Menu'!B:L, 9, 0)</f>
        <v>7.26576208737462</v>
      </c>
      <c r="Q3047" s="14">
        <f>VLOOKUP(B3047, 'All Menu'!B:M, 12, 0)</f>
        <v>0.39797971276038868</v>
      </c>
      <c r="R3047" s="173">
        <f t="shared" si="156"/>
        <v>0</v>
      </c>
    </row>
    <row r="3048" spans="1:18" ht="14" hidden="1">
      <c r="A3048" s="78" t="s">
        <v>2964</v>
      </c>
      <c r="B3048" s="220" t="s">
        <v>867</v>
      </c>
      <c r="C3048" s="185"/>
      <c r="D3048" s="30" t="str">
        <f>VLOOKUP(B3048, 'All Menu'!B:M, 4, 0)</f>
        <v>كبدة خاروف كيلو</v>
      </c>
      <c r="E3048" s="30" t="str">
        <f>VLOOKUP(B3048, 'All Menu'!B:M, 2, 0)</f>
        <v>قسم الصالة</v>
      </c>
      <c r="F3048" s="103" t="str">
        <f>VLOOKUP(B3048, 'All Menu'!B:M, 3, 0)</f>
        <v>المشاوي صالة</v>
      </c>
      <c r="G3048" s="90" t="s">
        <v>2203</v>
      </c>
      <c r="H3048" s="219">
        <v>4152</v>
      </c>
      <c r="I3048" s="110" t="str">
        <f>VLOOKUP(H3048, 'RM &amp; SF'!B:H, 2, 0)</f>
        <v>ملح طعام 750غم*****</v>
      </c>
      <c r="J3048" s="184" t="str">
        <f>VLOOKUP(H3048, 'RM &amp; SF'!B:E, 4, 0)</f>
        <v>غم</v>
      </c>
      <c r="K3048" s="78">
        <v>10</v>
      </c>
      <c r="L3048" s="13">
        <f>VLOOKUP(H3048, 'RM &amp; SF'!B:H, 7, 0)</f>
        <v>1.7066666666666665E-4</v>
      </c>
      <c r="M3048" s="15">
        <f t="shared" si="155"/>
        <v>1.7066666666666664E-3</v>
      </c>
      <c r="N3048" s="21" t="s">
        <v>825</v>
      </c>
      <c r="O3048" s="4">
        <f>VLOOKUP(B3048, 'All Menu'!B:L, 6, 0)</f>
        <v>12.068965517241381</v>
      </c>
      <c r="P3048" s="6">
        <f>VLOOKUP(B3048, 'All Menu'!B:L, 9, 0)</f>
        <v>7.26576208737462</v>
      </c>
      <c r="Q3048" s="14">
        <f>VLOOKUP(B3048, 'All Menu'!B:M, 12, 0)</f>
        <v>0.39797971276038868</v>
      </c>
      <c r="R3048" s="173">
        <f t="shared" si="156"/>
        <v>0</v>
      </c>
    </row>
    <row r="3049" spans="1:18" ht="14" hidden="1">
      <c r="A3049" s="78" t="s">
        <v>2964</v>
      </c>
      <c r="B3049" s="220" t="s">
        <v>867</v>
      </c>
      <c r="C3049" s="185"/>
      <c r="D3049" s="30" t="str">
        <f>VLOOKUP(B3049, 'All Menu'!B:M, 4, 0)</f>
        <v>كبدة خاروف كيلو</v>
      </c>
      <c r="E3049" s="30" t="str">
        <f>VLOOKUP(B3049, 'All Menu'!B:M, 2, 0)</f>
        <v>قسم الصالة</v>
      </c>
      <c r="F3049" s="103" t="str">
        <f>VLOOKUP(B3049, 'All Menu'!B:M, 3, 0)</f>
        <v>المشاوي صالة</v>
      </c>
      <c r="G3049" s="90" t="s">
        <v>2206</v>
      </c>
      <c r="H3049" s="219">
        <v>4204</v>
      </c>
      <c r="I3049" s="110" t="str">
        <f>VLOOKUP(H3049, 'RM &amp; SF'!B:H, 2, 0)</f>
        <v>فلفل اسود ناعم*****</v>
      </c>
      <c r="J3049" s="184" t="str">
        <f>VLOOKUP(H3049, 'RM &amp; SF'!B:E, 4, 0)</f>
        <v>غم</v>
      </c>
      <c r="K3049" s="78">
        <v>10</v>
      </c>
      <c r="L3049" s="13">
        <f>VLOOKUP(H3049, 'RM &amp; SF'!B:H, 7, 0)</f>
        <v>6.8970000000000004E-3</v>
      </c>
      <c r="M3049" s="15">
        <f t="shared" si="155"/>
        <v>6.8970000000000004E-2</v>
      </c>
      <c r="N3049" s="21" t="s">
        <v>825</v>
      </c>
      <c r="O3049" s="4">
        <f>VLOOKUP(B3049, 'All Menu'!B:L, 6, 0)</f>
        <v>12.068965517241381</v>
      </c>
      <c r="P3049" s="6">
        <f>VLOOKUP(B3049, 'All Menu'!B:L, 9, 0)</f>
        <v>7.26576208737462</v>
      </c>
      <c r="Q3049" s="14">
        <f>VLOOKUP(B3049, 'All Menu'!B:M, 12, 0)</f>
        <v>0.39797971276038868</v>
      </c>
      <c r="R3049" s="173">
        <f t="shared" si="156"/>
        <v>0</v>
      </c>
    </row>
    <row r="3050" spans="1:18" ht="14" hidden="1">
      <c r="A3050" s="78" t="s">
        <v>2964</v>
      </c>
      <c r="B3050" s="220" t="s">
        <v>867</v>
      </c>
      <c r="C3050" s="185"/>
      <c r="D3050" s="30" t="str">
        <f>VLOOKUP(B3050, 'All Menu'!B:M, 4, 0)</f>
        <v>كبدة خاروف كيلو</v>
      </c>
      <c r="E3050" s="30" t="str">
        <f>VLOOKUP(B3050, 'All Menu'!B:M, 2, 0)</f>
        <v>قسم الصالة</v>
      </c>
      <c r="F3050" s="103" t="str">
        <f>VLOOKUP(B3050, 'All Menu'!B:M, 3, 0)</f>
        <v>المشاوي صالة</v>
      </c>
      <c r="G3050" s="90" t="s">
        <v>2235</v>
      </c>
      <c r="H3050" s="219">
        <v>4504</v>
      </c>
      <c r="I3050" s="110" t="str">
        <f>VLOOKUP(H3050, 'RM &amp; SF'!B:H, 2, 0)</f>
        <v>بصل مشاوي (بصل بيبي)***</v>
      </c>
      <c r="J3050" s="184" t="str">
        <f>VLOOKUP(H3050, 'RM &amp; SF'!B:E, 4, 0)</f>
        <v>غم</v>
      </c>
      <c r="K3050" s="78">
        <v>120</v>
      </c>
      <c r="L3050" s="13">
        <f>VLOOKUP(H3050, 'RM &amp; SF'!B:H, 7, 0)</f>
        <v>3.5E-4</v>
      </c>
      <c r="M3050" s="15">
        <f t="shared" si="155"/>
        <v>4.2000000000000003E-2</v>
      </c>
      <c r="N3050" s="21" t="s">
        <v>825</v>
      </c>
      <c r="O3050" s="4">
        <f>VLOOKUP(B3050, 'All Menu'!B:L, 6, 0)</f>
        <v>12.068965517241381</v>
      </c>
      <c r="P3050" s="6">
        <f>VLOOKUP(B3050, 'All Menu'!B:L, 9, 0)</f>
        <v>7.26576208737462</v>
      </c>
      <c r="Q3050" s="14">
        <f>VLOOKUP(B3050, 'All Menu'!B:M, 12, 0)</f>
        <v>0.39797971276038868</v>
      </c>
      <c r="R3050" s="173">
        <f t="shared" si="156"/>
        <v>0</v>
      </c>
    </row>
    <row r="3051" spans="1:18" ht="14" hidden="1">
      <c r="A3051" s="78" t="s">
        <v>2964</v>
      </c>
      <c r="B3051" s="220" t="s">
        <v>867</v>
      </c>
      <c r="C3051" s="185"/>
      <c r="D3051" s="30" t="str">
        <f>VLOOKUP(B3051, 'All Menu'!B:M, 4, 0)</f>
        <v>كبدة خاروف كيلو</v>
      </c>
      <c r="E3051" s="30" t="str">
        <f>VLOOKUP(B3051, 'All Menu'!B:M, 2, 0)</f>
        <v>قسم الصالة</v>
      </c>
      <c r="F3051" s="103" t="str">
        <f>VLOOKUP(B3051, 'All Menu'!B:M, 3, 0)</f>
        <v>المشاوي صالة</v>
      </c>
      <c r="G3051" s="90" t="s">
        <v>2257</v>
      </c>
      <c r="H3051" s="219">
        <v>5281</v>
      </c>
      <c r="I3051" s="110" t="str">
        <f>VLOOKUP(H3051, 'RM &amp; SF'!B:H, 2, 0)</f>
        <v>بندوره مشاوي</v>
      </c>
      <c r="J3051" s="184" t="str">
        <f>VLOOKUP(H3051, 'RM &amp; SF'!B:E, 4, 0)</f>
        <v>غم</v>
      </c>
      <c r="K3051" s="78">
        <v>140</v>
      </c>
      <c r="L3051" s="13">
        <f>VLOOKUP(H3051, 'RM &amp; SF'!B:H, 7, 0)</f>
        <v>4.0000000000000002E-4</v>
      </c>
      <c r="M3051" s="15">
        <f t="shared" si="155"/>
        <v>5.6000000000000001E-2</v>
      </c>
      <c r="N3051" s="21" t="s">
        <v>825</v>
      </c>
      <c r="O3051" s="4">
        <f>VLOOKUP(B3051, 'All Menu'!B:L, 6, 0)</f>
        <v>12.068965517241381</v>
      </c>
      <c r="P3051" s="6">
        <f>VLOOKUP(B3051, 'All Menu'!B:L, 9, 0)</f>
        <v>7.26576208737462</v>
      </c>
      <c r="Q3051" s="14">
        <f>VLOOKUP(B3051, 'All Menu'!B:M, 12, 0)</f>
        <v>0.39797971276038868</v>
      </c>
      <c r="R3051" s="173">
        <f t="shared" si="156"/>
        <v>0</v>
      </c>
    </row>
    <row r="3052" spans="1:18" ht="14" hidden="1">
      <c r="A3052" s="78" t="s">
        <v>2964</v>
      </c>
      <c r="B3052" s="220" t="s">
        <v>867</v>
      </c>
      <c r="C3052" s="185"/>
      <c r="D3052" s="30" t="str">
        <f>VLOOKUP(B3052, 'All Menu'!B:M, 4, 0)</f>
        <v>كبدة خاروف كيلو</v>
      </c>
      <c r="E3052" s="30" t="str">
        <f>VLOOKUP(B3052, 'All Menu'!B:M, 2, 0)</f>
        <v>قسم الصالة</v>
      </c>
      <c r="F3052" s="103" t="str">
        <f>VLOOKUP(B3052, 'All Menu'!B:M, 3, 0)</f>
        <v>المشاوي صالة</v>
      </c>
      <c r="G3052" s="90" t="s">
        <v>2396</v>
      </c>
      <c r="H3052" s="219" t="s">
        <v>582</v>
      </c>
      <c r="I3052" s="110" t="str">
        <f>VLOOKUP(H3052, 'RM &amp; SF'!B:H, 2, 0)</f>
        <v>بيواز</v>
      </c>
      <c r="J3052" s="184" t="str">
        <f>VLOOKUP(H3052, 'RM &amp; SF'!B:E, 4, 0)</f>
        <v>غم</v>
      </c>
      <c r="K3052" s="78">
        <v>100</v>
      </c>
      <c r="L3052" s="13">
        <f>VLOOKUP(H3052, 'RM &amp; SF'!B:H, 7, 0)</f>
        <v>2.0666065869244635E-4</v>
      </c>
      <c r="M3052" s="15">
        <f t="shared" si="155"/>
        <v>2.0666065869244635E-2</v>
      </c>
      <c r="N3052" s="21" t="s">
        <v>825</v>
      </c>
      <c r="O3052" s="4">
        <f>VLOOKUP(B3052, 'All Menu'!B:L, 6, 0)</f>
        <v>12.068965517241381</v>
      </c>
      <c r="P3052" s="6">
        <f>VLOOKUP(B3052, 'All Menu'!B:L, 9, 0)</f>
        <v>7.26576208737462</v>
      </c>
      <c r="Q3052" s="14">
        <f>VLOOKUP(B3052, 'All Menu'!B:M, 12, 0)</f>
        <v>0.39797971276038868</v>
      </c>
      <c r="R3052" s="173">
        <f t="shared" si="156"/>
        <v>0</v>
      </c>
    </row>
    <row r="3053" spans="1:18" ht="14" hidden="1">
      <c r="A3053" s="78" t="s">
        <v>2964</v>
      </c>
      <c r="B3053" s="220" t="s">
        <v>867</v>
      </c>
      <c r="C3053" s="185"/>
      <c r="D3053" s="30" t="str">
        <f>VLOOKUP(B3053, 'All Menu'!B:M, 4, 0)</f>
        <v>كبدة خاروف كيلو</v>
      </c>
      <c r="E3053" s="30" t="str">
        <f>VLOOKUP(B3053, 'All Menu'!B:M, 2, 0)</f>
        <v>قسم الصالة</v>
      </c>
      <c r="F3053" s="103" t="str">
        <f>VLOOKUP(B3053, 'All Menu'!B:M, 3, 0)</f>
        <v>المشاوي صالة</v>
      </c>
      <c r="G3053" s="90" t="s">
        <v>2331</v>
      </c>
      <c r="H3053" s="219" t="s">
        <v>530</v>
      </c>
      <c r="I3053" s="110" t="str">
        <f>VLOOKUP(H3053, 'RM &amp; SF'!B:H, 2, 0)</f>
        <v>خبز صاج</v>
      </c>
      <c r="J3053" s="184" t="str">
        <f>VLOOKUP(H3053, 'RM &amp; SF'!B:E, 4, 0)</f>
        <v>غم</v>
      </c>
      <c r="K3053" s="78">
        <v>300</v>
      </c>
      <c r="L3053" s="13">
        <f>VLOOKUP(H3053, 'RM &amp; SF'!B:H, 7, 0)</f>
        <v>1.8806451612903227E-4</v>
      </c>
      <c r="M3053" s="15">
        <f t="shared" si="155"/>
        <v>5.6419354838709683E-2</v>
      </c>
      <c r="N3053" s="21" t="s">
        <v>825</v>
      </c>
      <c r="O3053" s="4">
        <f>VLOOKUP(B3053, 'All Menu'!B:L, 6, 0)</f>
        <v>12.068965517241381</v>
      </c>
      <c r="P3053" s="6">
        <f>VLOOKUP(B3053, 'All Menu'!B:L, 9, 0)</f>
        <v>7.26576208737462</v>
      </c>
      <c r="Q3053" s="14">
        <f>VLOOKUP(B3053, 'All Menu'!B:M, 12, 0)</f>
        <v>0.39797971276038868</v>
      </c>
      <c r="R3053" s="173">
        <f t="shared" si="156"/>
        <v>0</v>
      </c>
    </row>
    <row r="3054" spans="1:18" ht="14" hidden="1">
      <c r="A3054" s="78" t="s">
        <v>2964</v>
      </c>
      <c r="B3054" s="220" t="s">
        <v>867</v>
      </c>
      <c r="C3054" s="185"/>
      <c r="D3054" s="30" t="str">
        <f>VLOOKUP(B3054, 'All Menu'!B:M, 4, 0)</f>
        <v>كبدة خاروف كيلو</v>
      </c>
      <c r="E3054" s="30" t="str">
        <f>VLOOKUP(B3054, 'All Menu'!B:M, 2, 0)</f>
        <v>قسم الصالة</v>
      </c>
      <c r="F3054" s="103" t="str">
        <f>VLOOKUP(B3054, 'All Menu'!B:M, 3, 0)</f>
        <v>المشاوي صالة</v>
      </c>
      <c r="G3054" s="90" t="s">
        <v>2231</v>
      </c>
      <c r="H3054" s="219">
        <v>4499</v>
      </c>
      <c r="I3054" s="110" t="str">
        <f>VLOOKUP(H3054, 'RM &amp; SF'!B:H, 2, 0)</f>
        <v>فلفل حار اخضر*****</v>
      </c>
      <c r="J3054" s="184" t="str">
        <f>VLOOKUP(H3054, 'RM &amp; SF'!B:E, 4, 0)</f>
        <v>غم</v>
      </c>
      <c r="K3054" s="78">
        <v>40</v>
      </c>
      <c r="L3054" s="13">
        <f>VLOOKUP(H3054, 'RM &amp; SF'!B:H, 7, 0)</f>
        <v>5.0000000000000001E-4</v>
      </c>
      <c r="M3054" s="15">
        <f t="shared" si="155"/>
        <v>0.02</v>
      </c>
      <c r="N3054" s="21" t="s">
        <v>825</v>
      </c>
      <c r="O3054" s="4">
        <f>VLOOKUP(B3054, 'All Menu'!B:L, 6, 0)</f>
        <v>12.068965517241381</v>
      </c>
      <c r="P3054" s="6">
        <f>VLOOKUP(B3054, 'All Menu'!B:L, 9, 0)</f>
        <v>7.26576208737462</v>
      </c>
      <c r="Q3054" s="14">
        <f>VLOOKUP(B3054, 'All Menu'!B:M, 12, 0)</f>
        <v>0.39797971276038868</v>
      </c>
      <c r="R3054" s="173">
        <f t="shared" si="156"/>
        <v>0</v>
      </c>
    </row>
    <row r="3055" spans="1:18" ht="14" hidden="1">
      <c r="A3055" s="78" t="s">
        <v>3100</v>
      </c>
      <c r="B3055" s="220" t="s">
        <v>1006</v>
      </c>
      <c r="C3055" s="185"/>
      <c r="D3055" s="30" t="str">
        <f>VLOOKUP(B3055, 'All Menu'!B:M, 4, 0)</f>
        <v>ملوخية</v>
      </c>
      <c r="E3055" s="30" t="str">
        <f>VLOOKUP(B3055, 'All Menu'!B:M, 2, 0)</f>
        <v>قسم الصالة</v>
      </c>
      <c r="F3055" s="103" t="str">
        <f>VLOOKUP(B3055, 'All Menu'!B:M, 3, 0)</f>
        <v>اطباق اليوم صالة</v>
      </c>
      <c r="G3055" s="90" t="s">
        <v>2342</v>
      </c>
      <c r="H3055" s="219" t="s">
        <v>708</v>
      </c>
      <c r="I3055" s="110" t="str">
        <f>VLOOKUP(H3055, 'RM &amp; SF'!B:H, 2, 0)</f>
        <v>ارز بشعيرية</v>
      </c>
      <c r="J3055" s="184" t="str">
        <f>VLOOKUP(H3055, 'RM &amp; SF'!B:E, 4, 0)</f>
        <v>غم</v>
      </c>
      <c r="K3055" s="78">
        <v>500</v>
      </c>
      <c r="L3055" s="13">
        <f>VLOOKUP(H3055, 'RM &amp; SF'!B:H, 7, 0)</f>
        <v>3.3269616161616159E-4</v>
      </c>
      <c r="M3055" s="15">
        <f t="shared" si="155"/>
        <v>0.16634808080808081</v>
      </c>
      <c r="N3055" s="21" t="s">
        <v>825</v>
      </c>
      <c r="O3055" s="4">
        <f>VLOOKUP(B3055, 'All Menu'!B:L, 6, 0)</f>
        <v>4.5258620689655178</v>
      </c>
      <c r="P3055" s="6">
        <f>VLOOKUP(B3055, 'All Menu'!B:L, 9, 0)</f>
        <v>1.2227484885003888</v>
      </c>
      <c r="Q3055" s="14">
        <f>VLOOKUP(B3055, 'All Menu'!B:M, 12, 0)</f>
        <v>0.72983081015991413</v>
      </c>
      <c r="R3055" s="173">
        <f t="shared" si="156"/>
        <v>0</v>
      </c>
    </row>
    <row r="3056" spans="1:18" ht="14" hidden="1">
      <c r="A3056" s="78" t="s">
        <v>3100</v>
      </c>
      <c r="B3056" s="220" t="s">
        <v>1006</v>
      </c>
      <c r="C3056" s="185"/>
      <c r="D3056" s="30" t="str">
        <f>VLOOKUP(B3056, 'All Menu'!B:M, 4, 0)</f>
        <v>ملوخية</v>
      </c>
      <c r="E3056" s="30" t="str">
        <f>VLOOKUP(B3056, 'All Menu'!B:M, 2, 0)</f>
        <v>قسم الصالة</v>
      </c>
      <c r="F3056" s="103" t="str">
        <f>VLOOKUP(B3056, 'All Menu'!B:M, 3, 0)</f>
        <v>اطباق اليوم صالة</v>
      </c>
      <c r="G3056" s="90" t="s">
        <v>2401</v>
      </c>
      <c r="H3056" s="219" t="s">
        <v>596</v>
      </c>
      <c r="I3056" s="110" t="str">
        <f>VLOOKUP(H3056, 'RM &amp; SF'!B:H, 2, 0)</f>
        <v xml:space="preserve">ملوخية </v>
      </c>
      <c r="J3056" s="184" t="str">
        <f>VLOOKUP(H3056, 'RM &amp; SF'!B:E, 4, 0)</f>
        <v>غم</v>
      </c>
      <c r="K3056" s="78">
        <v>500</v>
      </c>
      <c r="L3056" s="13">
        <f>VLOOKUP(H3056, 'RM &amp; SF'!B:H, 7, 0)</f>
        <v>5.7013461538461547E-4</v>
      </c>
      <c r="M3056" s="15">
        <f t="shared" si="155"/>
        <v>0.28506730769230776</v>
      </c>
      <c r="N3056" s="21" t="s">
        <v>825</v>
      </c>
      <c r="O3056" s="4">
        <f>VLOOKUP(B3056, 'All Menu'!B:L, 6, 0)</f>
        <v>4.5258620689655178</v>
      </c>
      <c r="P3056" s="6">
        <f>VLOOKUP(B3056, 'All Menu'!B:L, 9, 0)</f>
        <v>1.2227484885003888</v>
      </c>
      <c r="Q3056" s="14">
        <f>VLOOKUP(B3056, 'All Menu'!B:M, 12, 0)</f>
        <v>0.72983081015991413</v>
      </c>
      <c r="R3056" s="173">
        <f t="shared" si="156"/>
        <v>0</v>
      </c>
    </row>
    <row r="3057" spans="1:18" ht="14" hidden="1">
      <c r="A3057" s="78" t="s">
        <v>3100</v>
      </c>
      <c r="B3057" s="220" t="s">
        <v>1006</v>
      </c>
      <c r="C3057" s="185"/>
      <c r="D3057" s="30" t="str">
        <f>VLOOKUP(B3057, 'All Menu'!B:M, 4, 0)</f>
        <v>ملوخية</v>
      </c>
      <c r="E3057" s="30" t="str">
        <f>VLOOKUP(B3057, 'All Menu'!B:M, 2, 0)</f>
        <v>قسم الصالة</v>
      </c>
      <c r="F3057" s="103" t="str">
        <f>VLOOKUP(B3057, 'All Menu'!B:M, 3, 0)</f>
        <v>اطباق اليوم صالة</v>
      </c>
      <c r="G3057" s="90" t="s">
        <v>2417</v>
      </c>
      <c r="H3057" s="219" t="s">
        <v>544</v>
      </c>
      <c r="I3057" s="110" t="str">
        <f>VLOOKUP(H3057, 'RM &amp; SF'!B:H, 2, 0)</f>
        <v>دجاجة متبلة</v>
      </c>
      <c r="J3057" s="184" t="str">
        <f>VLOOKUP(H3057, 'RM &amp; SF'!B:E, 4, 0)</f>
        <v>قطعة</v>
      </c>
      <c r="K3057" s="78">
        <v>0.25</v>
      </c>
      <c r="L3057" s="13">
        <f>VLOOKUP(H3057, 'RM &amp; SF'!B:H, 7, 0)</f>
        <v>3.0853324000000004</v>
      </c>
      <c r="M3057" s="15">
        <f t="shared" si="155"/>
        <v>0.7713331000000001</v>
      </c>
      <c r="N3057" s="21" t="s">
        <v>825</v>
      </c>
      <c r="O3057" s="4">
        <f>VLOOKUP(B3057, 'All Menu'!B:L, 6, 0)</f>
        <v>4.5258620689655178</v>
      </c>
      <c r="P3057" s="6">
        <f>VLOOKUP(B3057, 'All Menu'!B:L, 9, 0)</f>
        <v>1.2227484885003888</v>
      </c>
      <c r="Q3057" s="14">
        <f>VLOOKUP(B3057, 'All Menu'!B:M, 12, 0)</f>
        <v>0.72983081015991413</v>
      </c>
      <c r="R3057" s="173">
        <f t="shared" si="156"/>
        <v>0</v>
      </c>
    </row>
    <row r="3058" spans="1:18" ht="14" hidden="1">
      <c r="A3058" s="78" t="s">
        <v>3099</v>
      </c>
      <c r="B3058" s="220" t="s">
        <v>1007</v>
      </c>
      <c r="C3058" s="185"/>
      <c r="D3058" s="30" t="str">
        <f>VLOOKUP(B3058, 'All Menu'!B:M, 4, 0)</f>
        <v>اوزي دجاج</v>
      </c>
      <c r="E3058" s="30" t="str">
        <f>VLOOKUP(B3058, 'All Menu'!B:M, 2, 0)</f>
        <v>قسم الصالة</v>
      </c>
      <c r="F3058" s="103" t="str">
        <f>VLOOKUP(B3058, 'All Menu'!B:M, 3, 0)</f>
        <v>اطباق اليوم صالة</v>
      </c>
      <c r="G3058" s="90" t="s">
        <v>2412</v>
      </c>
      <c r="H3058" s="219" t="s">
        <v>598</v>
      </c>
      <c r="I3058" s="110" t="str">
        <f>VLOOKUP(H3058, 'RM &amp; SF'!B:H, 2, 0)</f>
        <v>رز اوزي</v>
      </c>
      <c r="J3058" s="184" t="str">
        <f>VLOOKUP(H3058, 'RM &amp; SF'!B:E, 4, 0)</f>
        <v>غم</v>
      </c>
      <c r="K3058" s="78">
        <v>500</v>
      </c>
      <c r="L3058" s="13">
        <f>VLOOKUP(H3058, 'RM &amp; SF'!B:H, 7, 0)</f>
        <v>1.1675619256756756E-3</v>
      </c>
      <c r="M3058" s="15">
        <f t="shared" ref="M3058:M3124" si="157">L3058*K3058</f>
        <v>0.58378096283783776</v>
      </c>
      <c r="N3058" s="21" t="s">
        <v>825</v>
      </c>
      <c r="O3058" s="4">
        <f>VLOOKUP(B3058, 'All Menu'!B:L, 6, 0)</f>
        <v>3.2327586206896552</v>
      </c>
      <c r="P3058" s="6">
        <f>VLOOKUP(B3058, 'All Menu'!B:L, 9, 0)</f>
        <v>1.5578187180102518</v>
      </c>
      <c r="Q3058" s="14">
        <f>VLOOKUP(B3058, 'All Menu'!B:M, 12, 0)</f>
        <v>0.51811474322882878</v>
      </c>
      <c r="R3058" s="173">
        <f t="shared" si="156"/>
        <v>0</v>
      </c>
    </row>
    <row r="3059" spans="1:18" ht="14" hidden="1">
      <c r="A3059" s="78" t="s">
        <v>3099</v>
      </c>
      <c r="B3059" s="220" t="s">
        <v>1007</v>
      </c>
      <c r="C3059" s="185"/>
      <c r="D3059" s="30" t="str">
        <f>VLOOKUP(B3059, 'All Menu'!B:M, 4, 0)</f>
        <v>اوزي دجاج</v>
      </c>
      <c r="E3059" s="30" t="str">
        <f>VLOOKUP(B3059, 'All Menu'!B:M, 2, 0)</f>
        <v>قسم الصالة</v>
      </c>
      <c r="F3059" s="103" t="str">
        <f>VLOOKUP(B3059, 'All Menu'!B:M, 3, 0)</f>
        <v>اطباق اليوم صالة</v>
      </c>
      <c r="G3059" s="90" t="s">
        <v>2417</v>
      </c>
      <c r="H3059" s="219" t="s">
        <v>544</v>
      </c>
      <c r="I3059" s="110" t="str">
        <f>VLOOKUP(H3059, 'RM &amp; SF'!B:H, 2, 0)</f>
        <v>دجاجة متبلة</v>
      </c>
      <c r="J3059" s="184" t="str">
        <f>VLOOKUP(H3059, 'RM &amp; SF'!B:E, 4, 0)</f>
        <v>قطعة</v>
      </c>
      <c r="K3059" s="78">
        <v>0.25</v>
      </c>
      <c r="L3059" s="13">
        <f>VLOOKUP(H3059, 'RM &amp; SF'!B:H, 7, 0)</f>
        <v>3.0853324000000004</v>
      </c>
      <c r="M3059" s="15">
        <f t="shared" si="157"/>
        <v>0.7713331000000001</v>
      </c>
      <c r="N3059" s="21" t="s">
        <v>825</v>
      </c>
      <c r="O3059" s="4">
        <f>VLOOKUP(B3059, 'All Menu'!B:L, 6, 0)</f>
        <v>3.2327586206896552</v>
      </c>
      <c r="P3059" s="6">
        <f>VLOOKUP(B3059, 'All Menu'!B:L, 9, 0)</f>
        <v>1.5578187180102518</v>
      </c>
      <c r="Q3059" s="14">
        <f>VLOOKUP(B3059, 'All Menu'!B:M, 12, 0)</f>
        <v>0.51811474322882878</v>
      </c>
      <c r="R3059" s="173">
        <f t="shared" si="156"/>
        <v>0</v>
      </c>
    </row>
    <row r="3060" spans="1:18" ht="14" hidden="1">
      <c r="A3060" s="78" t="s">
        <v>3099</v>
      </c>
      <c r="B3060" s="220" t="s">
        <v>1007</v>
      </c>
      <c r="C3060" s="185"/>
      <c r="D3060" s="30" t="str">
        <f>VLOOKUP(B3060, 'All Menu'!B:M, 4, 0)</f>
        <v>اوزي دجاج</v>
      </c>
      <c r="E3060" s="30" t="str">
        <f>VLOOKUP(B3060, 'All Menu'!B:M, 2, 0)</f>
        <v>قسم الصالة</v>
      </c>
      <c r="F3060" s="103" t="str">
        <f>VLOOKUP(B3060, 'All Menu'!B:M, 3, 0)</f>
        <v>اطباق اليوم صالة</v>
      </c>
      <c r="G3060" s="90" t="s">
        <v>2341</v>
      </c>
      <c r="H3060" s="219" t="s">
        <v>706</v>
      </c>
      <c r="I3060" s="110" t="str">
        <f>VLOOKUP(H3060, 'RM &amp; SF'!B:H, 2, 0)</f>
        <v>لوز مقلي</v>
      </c>
      <c r="J3060" s="184" t="str">
        <f>VLOOKUP(H3060, 'RM &amp; SF'!B:E, 4, 0)</f>
        <v>غم</v>
      </c>
      <c r="K3060" s="78">
        <v>20</v>
      </c>
      <c r="L3060" s="13">
        <f>VLOOKUP(H3060, 'RM &amp; SF'!B:H, 7, 0)</f>
        <v>4.1352327586206888E-3</v>
      </c>
      <c r="M3060" s="15">
        <f t="shared" si="157"/>
        <v>8.270465517241378E-2</v>
      </c>
      <c r="N3060" s="21" t="s">
        <v>825</v>
      </c>
      <c r="O3060" s="4">
        <f>VLOOKUP(B3060, 'All Menu'!B:L, 6, 0)</f>
        <v>3.2327586206896552</v>
      </c>
      <c r="P3060" s="6">
        <f>VLOOKUP(B3060, 'All Menu'!B:L, 9, 0)</f>
        <v>1.5578187180102518</v>
      </c>
      <c r="Q3060" s="14">
        <f>VLOOKUP(B3060, 'All Menu'!B:M, 12, 0)</f>
        <v>0.51811474322882878</v>
      </c>
      <c r="R3060" s="173">
        <f t="shared" si="156"/>
        <v>0</v>
      </c>
    </row>
    <row r="3061" spans="1:18" ht="14" hidden="1">
      <c r="A3061" s="78" t="s">
        <v>3099</v>
      </c>
      <c r="B3061" s="220" t="s">
        <v>1007</v>
      </c>
      <c r="C3061" s="185"/>
      <c r="D3061" s="30" t="str">
        <f>VLOOKUP(B3061, 'All Menu'!B:M, 4, 0)</f>
        <v>اوزي دجاج</v>
      </c>
      <c r="E3061" s="30" t="str">
        <f>VLOOKUP(B3061, 'All Menu'!B:M, 2, 0)</f>
        <v>قسم الصالة</v>
      </c>
      <c r="F3061" s="103" t="str">
        <f>VLOOKUP(B3061, 'All Menu'!B:M, 3, 0)</f>
        <v>اطباق اليوم صالة</v>
      </c>
      <c r="G3061" s="90" t="s">
        <v>2170</v>
      </c>
      <c r="H3061" s="219">
        <v>4552</v>
      </c>
      <c r="I3061" s="110" t="str">
        <f>VLOOKUP(H3061, 'RM &amp; SF'!B:H, 2, 0)</f>
        <v>لبن رايب 5 كغ*****</v>
      </c>
      <c r="J3061" s="184" t="str">
        <f>VLOOKUP(H3061, 'RM &amp; SF'!B:E, 4, 0)</f>
        <v>غم</v>
      </c>
      <c r="K3061" s="78">
        <v>150</v>
      </c>
      <c r="L3061" s="13">
        <f>VLOOKUP(H3061, 'RM &amp; SF'!B:H, 7, 0)</f>
        <v>8.0000000000000004E-4</v>
      </c>
      <c r="M3061" s="15">
        <f t="shared" si="157"/>
        <v>0.12000000000000001</v>
      </c>
      <c r="N3061" s="21" t="s">
        <v>825</v>
      </c>
      <c r="O3061" s="4">
        <f>VLOOKUP(B3061, 'All Menu'!B:L, 6, 0)</f>
        <v>3.2327586206896552</v>
      </c>
      <c r="P3061" s="6">
        <f>VLOOKUP(B3061, 'All Menu'!B:L, 9, 0)</f>
        <v>1.5578187180102518</v>
      </c>
      <c r="Q3061" s="14">
        <f>VLOOKUP(B3061, 'All Menu'!B:M, 12, 0)</f>
        <v>0.51811474322882878</v>
      </c>
      <c r="R3061" s="173">
        <f t="shared" si="156"/>
        <v>0</v>
      </c>
    </row>
    <row r="3062" spans="1:18" ht="14" hidden="1">
      <c r="A3062" s="78" t="s">
        <v>3096</v>
      </c>
      <c r="B3062" s="220" t="s">
        <v>1024</v>
      </c>
      <c r="C3062" s="185"/>
      <c r="D3062" s="30" t="str">
        <f>VLOOKUP(B3062, 'All Menu'!B:M, 4, 0)</f>
        <v>قطعة دجاج</v>
      </c>
      <c r="E3062" s="30" t="str">
        <f>VLOOKUP(B3062, 'All Menu'!B:M, 2, 0)</f>
        <v>قسم الصالة</v>
      </c>
      <c r="F3062" s="103" t="str">
        <f>VLOOKUP(B3062, 'All Menu'!B:M, 3, 0)</f>
        <v>باستا صالة</v>
      </c>
      <c r="G3062" s="90" t="s">
        <v>2417</v>
      </c>
      <c r="H3062" s="219" t="s">
        <v>544</v>
      </c>
      <c r="I3062" s="110" t="str">
        <f>VLOOKUP(H3062, 'RM &amp; SF'!B:H, 2, 0)</f>
        <v>دجاجة متبلة</v>
      </c>
      <c r="J3062" s="184" t="str">
        <f>VLOOKUP(H3062, 'RM &amp; SF'!B:E, 4, 0)</f>
        <v>قطعة</v>
      </c>
      <c r="K3062" s="78">
        <v>0.25</v>
      </c>
      <c r="L3062" s="13">
        <f>VLOOKUP(H3062, 'RM &amp; SF'!B:H, 7, 0)</f>
        <v>3.0853324000000004</v>
      </c>
      <c r="M3062" s="15">
        <f t="shared" si="157"/>
        <v>0.7713331000000001</v>
      </c>
      <c r="N3062" s="21" t="s">
        <v>825</v>
      </c>
      <c r="O3062" s="4">
        <f>VLOOKUP(B3062, 'All Menu'!B:L, 6, 0)</f>
        <v>1.0775862068965518</v>
      </c>
      <c r="P3062" s="6">
        <f>VLOOKUP(B3062, 'All Menu'!B:L, 9, 0)</f>
        <v>0.7713331000000001</v>
      </c>
      <c r="Q3062" s="14">
        <f>VLOOKUP(B3062, 'All Menu'!B:M, 12, 0)</f>
        <v>0.28420288319999998</v>
      </c>
      <c r="R3062" s="173">
        <f t="shared" si="156"/>
        <v>0</v>
      </c>
    </row>
    <row r="3063" spans="1:18" ht="14" hidden="1">
      <c r="A3063" s="78" t="s">
        <v>3094</v>
      </c>
      <c r="B3063" s="220" t="s">
        <v>1034</v>
      </c>
      <c r="C3063" s="185"/>
      <c r="D3063" s="30" t="str">
        <f>VLOOKUP(B3063, 'All Menu'!B:M, 4, 0)</f>
        <v>منقوشة محمرة</v>
      </c>
      <c r="E3063" s="30" t="str">
        <f>VLOOKUP(B3063, 'All Menu'!B:M, 2, 0)</f>
        <v>قسم الصالة</v>
      </c>
      <c r="F3063" s="103" t="str">
        <f>VLOOKUP(B3063, 'All Menu'!B:M, 3, 0)</f>
        <v>عجين صالة</v>
      </c>
      <c r="G3063" s="90" t="s">
        <v>2333</v>
      </c>
      <c r="H3063" s="219" t="s">
        <v>498</v>
      </c>
      <c r="I3063" s="110" t="str">
        <f>VLOOKUP(H3063, 'RM &amp; SF'!B:H, 2, 0)</f>
        <v>عجين الصفيحة والمناقيش</v>
      </c>
      <c r="J3063" s="184" t="str">
        <f>VLOOKUP(H3063, 'RM &amp; SF'!B:E, 4, 0)</f>
        <v>غم</v>
      </c>
      <c r="K3063" s="78">
        <v>140</v>
      </c>
      <c r="L3063" s="13">
        <f>VLOOKUP(H3063, 'RM &amp; SF'!B:H, 7, 0)</f>
        <v>4.659980972150147E-4</v>
      </c>
      <c r="M3063" s="15">
        <f t="shared" si="157"/>
        <v>6.523973361010206E-2</v>
      </c>
      <c r="N3063" s="21" t="s">
        <v>825</v>
      </c>
      <c r="O3063" s="4">
        <f>VLOOKUP(B3063, 'All Menu'!B:L, 6, 0)</f>
        <v>1.9396551724137931</v>
      </c>
      <c r="P3063" s="6">
        <f>VLOOKUP(B3063, 'All Menu'!B:L, 9, 0)</f>
        <v>0.15909329194343538</v>
      </c>
      <c r="Q3063" s="14">
        <f>VLOOKUP(B3063, 'All Menu'!B:M, 12, 0)</f>
        <v>0.91797856948694001</v>
      </c>
      <c r="R3063" s="173">
        <f t="shared" si="156"/>
        <v>0</v>
      </c>
    </row>
    <row r="3064" spans="1:18" ht="14" hidden="1">
      <c r="A3064" s="78" t="s">
        <v>3094</v>
      </c>
      <c r="B3064" s="220" t="s">
        <v>1034</v>
      </c>
      <c r="C3064" s="185"/>
      <c r="D3064" s="30" t="str">
        <f>VLOOKUP(B3064, 'All Menu'!B:M, 4, 0)</f>
        <v>منقوشة محمرة</v>
      </c>
      <c r="E3064" s="30" t="str">
        <f>VLOOKUP(B3064, 'All Menu'!B:M, 2, 0)</f>
        <v>قسم الصالة</v>
      </c>
      <c r="F3064" s="103" t="str">
        <f>VLOOKUP(B3064, 'All Menu'!B:M, 3, 0)</f>
        <v>عجين صالة</v>
      </c>
      <c r="G3064" s="90" t="s">
        <v>2418</v>
      </c>
      <c r="H3064" s="219" t="s">
        <v>612</v>
      </c>
      <c r="I3064" s="110" t="str">
        <f>VLOOKUP(H3064, 'RM &amp; SF'!B:H, 2, 0)</f>
        <v>محمرة مناقيش</v>
      </c>
      <c r="J3064" s="184" t="str">
        <f>VLOOKUP(H3064, 'RM &amp; SF'!B:E, 4, 0)</f>
        <v>غم</v>
      </c>
      <c r="K3064" s="78">
        <v>55</v>
      </c>
      <c r="L3064" s="13">
        <f>VLOOKUP(H3064, 'RM &amp; SF'!B:H, 7, 0)</f>
        <v>1.7064283333333332E-3</v>
      </c>
      <c r="M3064" s="15">
        <f t="shared" si="157"/>
        <v>9.3853558333333323E-2</v>
      </c>
      <c r="N3064" s="21" t="s">
        <v>825</v>
      </c>
      <c r="O3064" s="4">
        <f>VLOOKUP(B3064, 'All Menu'!B:L, 6, 0)</f>
        <v>1.9396551724137931</v>
      </c>
      <c r="P3064" s="6">
        <f>VLOOKUP(B3064, 'All Menu'!B:L, 9, 0)</f>
        <v>0.15909329194343538</v>
      </c>
      <c r="Q3064" s="14">
        <f>VLOOKUP(B3064, 'All Menu'!B:M, 12, 0)</f>
        <v>0.91797856948694001</v>
      </c>
      <c r="R3064" s="173">
        <f t="shared" si="156"/>
        <v>0</v>
      </c>
    </row>
    <row r="3065" spans="1:18" ht="14" hidden="1">
      <c r="A3065" s="78" t="s">
        <v>2971</v>
      </c>
      <c r="B3065" s="220" t="s">
        <v>1035</v>
      </c>
      <c r="C3065" s="185"/>
      <c r="D3065" s="30" t="str">
        <f>VLOOKUP(B3065, 'All Menu'!B:M, 4, 0)</f>
        <v>منقوشة بيض وجبنة</v>
      </c>
      <c r="E3065" s="30" t="str">
        <f>VLOOKUP(B3065, 'All Menu'!B:M, 2, 0)</f>
        <v>قسم الصالة</v>
      </c>
      <c r="F3065" s="103" t="str">
        <f>VLOOKUP(B3065, 'All Menu'!B:M, 3, 0)</f>
        <v>عجين صالة</v>
      </c>
      <c r="G3065" s="90" t="s">
        <v>2333</v>
      </c>
      <c r="H3065" s="219" t="s">
        <v>498</v>
      </c>
      <c r="I3065" s="110" t="str">
        <f>VLOOKUP(H3065, 'RM &amp; SF'!B:H, 2, 0)</f>
        <v>عجين الصفيحة والمناقيش</v>
      </c>
      <c r="J3065" s="184" t="str">
        <f>VLOOKUP(H3065, 'RM &amp; SF'!B:E, 4, 0)</f>
        <v>غم</v>
      </c>
      <c r="K3065" s="78">
        <v>140</v>
      </c>
      <c r="L3065" s="13">
        <f>VLOOKUP(H3065, 'RM &amp; SF'!B:H, 7, 0)</f>
        <v>4.659980972150147E-4</v>
      </c>
      <c r="M3065" s="15">
        <f t="shared" si="157"/>
        <v>6.523973361010206E-2</v>
      </c>
      <c r="N3065" s="21" t="s">
        <v>825</v>
      </c>
      <c r="O3065" s="4">
        <f>VLOOKUP(B3065, 'All Menu'!B:L, 6, 0)</f>
        <v>1.9396551724137931</v>
      </c>
      <c r="P3065" s="6">
        <f>VLOOKUP(B3065, 'All Menu'!B:L, 9, 0)</f>
        <v>0.38411973361010204</v>
      </c>
      <c r="Q3065" s="14">
        <f>VLOOKUP(B3065, 'All Menu'!B:M, 12, 0)</f>
        <v>0.80196493733879182</v>
      </c>
      <c r="R3065" s="173">
        <f t="shared" si="156"/>
        <v>0</v>
      </c>
    </row>
    <row r="3066" spans="1:18" ht="14" hidden="1">
      <c r="A3066" s="78" t="s">
        <v>2971</v>
      </c>
      <c r="B3066" s="220" t="s">
        <v>1035</v>
      </c>
      <c r="C3066" s="185"/>
      <c r="D3066" s="30" t="str">
        <f>VLOOKUP(B3066, 'All Menu'!B:M, 4, 0)</f>
        <v>منقوشة بيض وجبنة</v>
      </c>
      <c r="E3066" s="30" t="str">
        <f>VLOOKUP(B3066, 'All Menu'!B:M, 2, 0)</f>
        <v>قسم الصالة</v>
      </c>
      <c r="F3066" s="103" t="str">
        <f>VLOOKUP(B3066, 'All Menu'!B:M, 3, 0)</f>
        <v>عجين صالة</v>
      </c>
      <c r="G3066" s="90" t="s">
        <v>3058</v>
      </c>
      <c r="H3066" s="219">
        <v>4567</v>
      </c>
      <c r="I3066" s="110" t="str">
        <f>VLOOKUP(H3066, 'RM &amp; SF'!B:H, 2, 0)</f>
        <v>بيض طازج 1*30 حبة*****</v>
      </c>
      <c r="J3066" s="184" t="str">
        <f>VLOOKUP(H3066, 'RM &amp; SF'!B:E, 4, 0)</f>
        <v>قطعة</v>
      </c>
      <c r="K3066" s="78">
        <v>2</v>
      </c>
      <c r="L3066" s="13">
        <f>VLOOKUP(H3066, 'RM &amp; SF'!B:H, 7, 0)</f>
        <v>8.8010000000000005E-2</v>
      </c>
      <c r="M3066" s="15">
        <f t="shared" si="157"/>
        <v>0.17602000000000001</v>
      </c>
      <c r="N3066" s="21" t="s">
        <v>825</v>
      </c>
      <c r="O3066" s="4">
        <f>VLOOKUP(B3066, 'All Menu'!B:L, 6, 0)</f>
        <v>1.9396551724137931</v>
      </c>
      <c r="P3066" s="6">
        <f>VLOOKUP(B3066, 'All Menu'!B:L, 9, 0)</f>
        <v>0.38411973361010204</v>
      </c>
      <c r="Q3066" s="14">
        <f>VLOOKUP(B3066, 'All Menu'!B:M, 12, 0)</f>
        <v>0.80196493733879182</v>
      </c>
      <c r="R3066" s="173">
        <f t="shared" si="156"/>
        <v>0</v>
      </c>
    </row>
    <row r="3067" spans="1:18" ht="14" hidden="1">
      <c r="A3067" s="78" t="s">
        <v>2971</v>
      </c>
      <c r="B3067" s="220" t="s">
        <v>1035</v>
      </c>
      <c r="C3067" s="185"/>
      <c r="D3067" s="30" t="str">
        <f>VLOOKUP(B3067, 'All Menu'!B:M, 4, 0)</f>
        <v>منقوشة بيض وجبنة</v>
      </c>
      <c r="E3067" s="30" t="str">
        <f>VLOOKUP(B3067, 'All Menu'!B:M, 2, 0)</f>
        <v>قسم الصالة</v>
      </c>
      <c r="F3067" s="103" t="str">
        <f>VLOOKUP(B3067, 'All Menu'!B:M, 3, 0)</f>
        <v>عجين صالة</v>
      </c>
      <c r="G3067" s="90" t="s">
        <v>2172</v>
      </c>
      <c r="H3067" s="219">
        <v>4559</v>
      </c>
      <c r="I3067" s="110" t="str">
        <f>VLOOKUP(H3067, 'RM &amp; SF'!B:H, 2, 0)</f>
        <v>جبنة عكاوي 5 كغ*****</v>
      </c>
      <c r="J3067" s="184" t="str">
        <f>VLOOKUP(H3067, 'RM &amp; SF'!B:E, 4, 0)</f>
        <v>غم</v>
      </c>
      <c r="K3067" s="78">
        <v>30</v>
      </c>
      <c r="L3067" s="13">
        <f>VLOOKUP(H3067, 'RM &amp; SF'!B:H, 7, 0)</f>
        <v>4.7619999999999997E-3</v>
      </c>
      <c r="M3067" s="15">
        <f t="shared" si="157"/>
        <v>0.14285999999999999</v>
      </c>
      <c r="N3067" s="21" t="s">
        <v>825</v>
      </c>
      <c r="O3067" s="4">
        <f>VLOOKUP(B3067, 'All Menu'!B:L, 6, 0)</f>
        <v>1.9396551724137931</v>
      </c>
      <c r="P3067" s="6">
        <f>VLOOKUP(B3067, 'All Menu'!B:L, 9, 0)</f>
        <v>0.38411973361010204</v>
      </c>
      <c r="Q3067" s="14">
        <f>VLOOKUP(B3067, 'All Menu'!B:M, 12, 0)</f>
        <v>0.80196493733879182</v>
      </c>
      <c r="R3067" s="173">
        <f t="shared" si="156"/>
        <v>0</v>
      </c>
    </row>
    <row r="3068" spans="1:18" ht="14" hidden="1">
      <c r="A3068" s="78" t="s">
        <v>3095</v>
      </c>
      <c r="B3068" s="220" t="s">
        <v>1036</v>
      </c>
      <c r="C3068" s="185"/>
      <c r="D3068" s="30" t="str">
        <f>VLOOKUP(B3068, 'All Menu'!B:M, 4, 0)</f>
        <v>منقوشة جبنة بيضاء</v>
      </c>
      <c r="E3068" s="30" t="str">
        <f>VLOOKUP(B3068, 'All Menu'!B:M, 2, 0)</f>
        <v>قسم الصالة</v>
      </c>
      <c r="F3068" s="103" t="str">
        <f>VLOOKUP(B3068, 'All Menu'!B:M, 3, 0)</f>
        <v>عجين صالة</v>
      </c>
      <c r="G3068" s="90" t="s">
        <v>2333</v>
      </c>
      <c r="H3068" s="219" t="s">
        <v>498</v>
      </c>
      <c r="I3068" s="110" t="str">
        <f>VLOOKUP(H3068, 'RM &amp; SF'!B:H, 2, 0)</f>
        <v>عجين الصفيحة والمناقيش</v>
      </c>
      <c r="J3068" s="184" t="str">
        <f>VLOOKUP(H3068, 'RM &amp; SF'!B:E, 4, 0)</f>
        <v>غم</v>
      </c>
      <c r="K3068" s="78">
        <v>140</v>
      </c>
      <c r="L3068" s="13">
        <f>VLOOKUP(H3068, 'RM &amp; SF'!B:H, 7, 0)</f>
        <v>4.659980972150147E-4</v>
      </c>
      <c r="M3068" s="15">
        <f t="shared" si="157"/>
        <v>6.523973361010206E-2</v>
      </c>
      <c r="N3068" s="21" t="s">
        <v>825</v>
      </c>
      <c r="O3068" s="4">
        <f>VLOOKUP(B3068, 'All Menu'!B:L, 6, 0)</f>
        <v>1.6810344827586208</v>
      </c>
      <c r="P3068" s="6">
        <f>VLOOKUP(B3068, 'All Menu'!B:L, 9, 0)</f>
        <v>0.541439733610102</v>
      </c>
      <c r="Q3068" s="14">
        <f>VLOOKUP(B3068, 'All Menu'!B:M, 12, 0)</f>
        <v>0.67791277385245219</v>
      </c>
      <c r="R3068" s="173">
        <f t="shared" si="156"/>
        <v>0</v>
      </c>
    </row>
    <row r="3069" spans="1:18" ht="14" hidden="1">
      <c r="A3069" s="78" t="s">
        <v>3095</v>
      </c>
      <c r="B3069" s="220" t="s">
        <v>1036</v>
      </c>
      <c r="C3069" s="185"/>
      <c r="D3069" s="30" t="str">
        <f>VLOOKUP(B3069, 'All Menu'!B:M, 4, 0)</f>
        <v>منقوشة جبنة بيضاء</v>
      </c>
      <c r="E3069" s="30" t="str">
        <f>VLOOKUP(B3069, 'All Menu'!B:M, 2, 0)</f>
        <v>قسم الصالة</v>
      </c>
      <c r="F3069" s="103" t="str">
        <f>VLOOKUP(B3069, 'All Menu'!B:M, 3, 0)</f>
        <v>عجين صالة</v>
      </c>
      <c r="G3069" s="90" t="s">
        <v>2172</v>
      </c>
      <c r="H3069" s="219">
        <v>4559</v>
      </c>
      <c r="I3069" s="110" t="str">
        <f>VLOOKUP(H3069, 'RM &amp; SF'!B:H, 2, 0)</f>
        <v>جبنة عكاوي 5 كغ*****</v>
      </c>
      <c r="J3069" s="184" t="str">
        <f>VLOOKUP(H3069, 'RM &amp; SF'!B:E, 4, 0)</f>
        <v>غم</v>
      </c>
      <c r="K3069" s="78">
        <v>100</v>
      </c>
      <c r="L3069" s="13">
        <f>VLOOKUP(H3069, 'RM &amp; SF'!B:H, 7, 0)</f>
        <v>4.7619999999999997E-3</v>
      </c>
      <c r="M3069" s="15">
        <f t="shared" si="157"/>
        <v>0.47619999999999996</v>
      </c>
      <c r="N3069" s="21" t="s">
        <v>825</v>
      </c>
      <c r="O3069" s="4">
        <f>VLOOKUP(B3069, 'All Menu'!B:L, 6, 0)</f>
        <v>1.6810344827586208</v>
      </c>
      <c r="P3069" s="6">
        <f>VLOOKUP(B3069, 'All Menu'!B:L, 9, 0)</f>
        <v>0.541439733610102</v>
      </c>
      <c r="Q3069" s="14">
        <f>VLOOKUP(B3069, 'All Menu'!B:M, 12, 0)</f>
        <v>0.67791277385245219</v>
      </c>
      <c r="R3069" s="173">
        <f t="shared" si="156"/>
        <v>0</v>
      </c>
    </row>
    <row r="3070" spans="1:18" ht="14" hidden="1">
      <c r="A3070" s="78" t="s">
        <v>2973</v>
      </c>
      <c r="B3070" s="220" t="s">
        <v>1037</v>
      </c>
      <c r="C3070" s="185"/>
      <c r="D3070" s="30" t="str">
        <f>VLOOKUP(B3070, 'All Menu'!B:M, 4, 0)</f>
        <v>منقوشة زعتر وجبنة</v>
      </c>
      <c r="E3070" s="30" t="str">
        <f>VLOOKUP(B3070, 'All Menu'!B:M, 2, 0)</f>
        <v>قسم الصالة</v>
      </c>
      <c r="F3070" s="103" t="str">
        <f>VLOOKUP(B3070, 'All Menu'!B:M, 3, 0)</f>
        <v>عجين صالة</v>
      </c>
      <c r="G3070" s="90" t="s">
        <v>2333</v>
      </c>
      <c r="H3070" s="219" t="s">
        <v>498</v>
      </c>
      <c r="I3070" s="110" t="str">
        <f>VLOOKUP(H3070, 'RM &amp; SF'!B:H, 2, 0)</f>
        <v>عجين الصفيحة والمناقيش</v>
      </c>
      <c r="J3070" s="184" t="str">
        <f>VLOOKUP(H3070, 'RM &amp; SF'!B:E, 4, 0)</f>
        <v>غم</v>
      </c>
      <c r="K3070" s="78">
        <v>140</v>
      </c>
      <c r="L3070" s="13">
        <f>VLOOKUP(H3070, 'RM &amp; SF'!B:H, 7, 0)</f>
        <v>4.659980972150147E-4</v>
      </c>
      <c r="M3070" s="15">
        <f t="shared" si="157"/>
        <v>6.523973361010206E-2</v>
      </c>
      <c r="N3070" s="21" t="s">
        <v>825</v>
      </c>
      <c r="O3070" s="4">
        <f>VLOOKUP(B3070, 'All Menu'!B:L, 6, 0)</f>
        <v>1.9396551724137931</v>
      </c>
      <c r="P3070" s="6">
        <f>VLOOKUP(B3070, 'All Menu'!B:L, 9, 0)</f>
        <v>0.29269973361010204</v>
      </c>
      <c r="Q3070" s="14">
        <f>VLOOKUP(B3070, 'All Menu'!B:M, 12, 0)</f>
        <v>0.84909702622768068</v>
      </c>
      <c r="R3070" s="173">
        <f t="shared" si="156"/>
        <v>0</v>
      </c>
    </row>
    <row r="3071" spans="1:18" ht="14" hidden="1">
      <c r="A3071" s="78" t="s">
        <v>2973</v>
      </c>
      <c r="B3071" s="220" t="s">
        <v>1037</v>
      </c>
      <c r="C3071" s="185"/>
      <c r="D3071" s="30" t="str">
        <f>VLOOKUP(B3071, 'All Menu'!B:M, 4, 0)</f>
        <v>منقوشة زعتر وجبنة</v>
      </c>
      <c r="E3071" s="30" t="str">
        <f>VLOOKUP(B3071, 'All Menu'!B:M, 2, 0)</f>
        <v>قسم الصالة</v>
      </c>
      <c r="F3071" s="103" t="str">
        <f>VLOOKUP(B3071, 'All Menu'!B:M, 3, 0)</f>
        <v>عجين صالة</v>
      </c>
      <c r="G3071" s="90" t="s">
        <v>2357</v>
      </c>
      <c r="H3071" s="219" t="s">
        <v>744</v>
      </c>
      <c r="I3071" s="110" t="str">
        <f>VLOOKUP(H3071, 'RM &amp; SF'!B:H, 2, 0)</f>
        <v>زيت زيتون مكسور</v>
      </c>
      <c r="J3071" s="184" t="str">
        <f>VLOOKUP(H3071, 'RM &amp; SF'!B:E, 4, 0)</f>
        <v>غم</v>
      </c>
      <c r="K3071" s="78">
        <v>20</v>
      </c>
      <c r="L3071" s="13">
        <f>VLOOKUP(H3071, 'RM &amp; SF'!B:H, 7, 0)</f>
        <v>3.3899999999999998E-3</v>
      </c>
      <c r="M3071" s="15">
        <f t="shared" si="157"/>
        <v>6.7799999999999999E-2</v>
      </c>
      <c r="N3071" s="21" t="s">
        <v>825</v>
      </c>
      <c r="O3071" s="4">
        <f>VLOOKUP(B3071, 'All Menu'!B:L, 6, 0)</f>
        <v>1.9396551724137931</v>
      </c>
      <c r="P3071" s="6">
        <f>VLOOKUP(B3071, 'All Menu'!B:L, 9, 0)</f>
        <v>0.29269973361010204</v>
      </c>
      <c r="Q3071" s="14">
        <f>VLOOKUP(B3071, 'All Menu'!B:M, 12, 0)</f>
        <v>0.84909702622768068</v>
      </c>
      <c r="R3071" s="173">
        <f t="shared" si="156"/>
        <v>0</v>
      </c>
    </row>
    <row r="3072" spans="1:18" ht="14" hidden="1">
      <c r="A3072" s="78" t="s">
        <v>2973</v>
      </c>
      <c r="B3072" s="220" t="s">
        <v>1037</v>
      </c>
      <c r="C3072" s="185"/>
      <c r="D3072" s="30" t="str">
        <f>VLOOKUP(B3072, 'All Menu'!B:M, 4, 0)</f>
        <v>منقوشة زعتر وجبنة</v>
      </c>
      <c r="E3072" s="30" t="str">
        <f>VLOOKUP(B3072, 'All Menu'!B:M, 2, 0)</f>
        <v>قسم الصالة</v>
      </c>
      <c r="F3072" s="103" t="str">
        <f>VLOOKUP(B3072, 'All Menu'!B:M, 3, 0)</f>
        <v>عجين صالة</v>
      </c>
      <c r="G3072" s="90" t="s">
        <v>2227</v>
      </c>
      <c r="H3072" s="219">
        <v>4217</v>
      </c>
      <c r="I3072" s="110" t="str">
        <f>VLOOKUP(H3072, 'RM &amp; SF'!B:H, 2, 0)</f>
        <v>زعتر بلدي*****</v>
      </c>
      <c r="J3072" s="184" t="str">
        <f>VLOOKUP(H3072, 'RM &amp; SF'!B:E, 4, 0)</f>
        <v>غم</v>
      </c>
      <c r="K3072" s="78">
        <v>30</v>
      </c>
      <c r="L3072" s="13">
        <f>VLOOKUP(H3072, 'RM &amp; SF'!B:H, 7, 0)</f>
        <v>2.941E-3</v>
      </c>
      <c r="M3072" s="15">
        <f t="shared" si="157"/>
        <v>8.8230000000000003E-2</v>
      </c>
      <c r="N3072" s="21" t="s">
        <v>825</v>
      </c>
      <c r="O3072" s="4">
        <f>VLOOKUP(B3072, 'All Menu'!B:L, 6, 0)</f>
        <v>1.9396551724137931</v>
      </c>
      <c r="P3072" s="6">
        <f>VLOOKUP(B3072, 'All Menu'!B:L, 9, 0)</f>
        <v>0.29269973361010204</v>
      </c>
      <c r="Q3072" s="14">
        <f>VLOOKUP(B3072, 'All Menu'!B:M, 12, 0)</f>
        <v>0.84909702622768068</v>
      </c>
      <c r="R3072" s="173">
        <f t="shared" si="156"/>
        <v>0</v>
      </c>
    </row>
    <row r="3073" spans="1:18" ht="14" hidden="1">
      <c r="A3073" s="78" t="s">
        <v>2973</v>
      </c>
      <c r="B3073" s="220" t="s">
        <v>1037</v>
      </c>
      <c r="C3073" s="185"/>
      <c r="D3073" s="30" t="str">
        <f>VLOOKUP(B3073, 'All Menu'!B:M, 4, 0)</f>
        <v>منقوشة زعتر وجبنة</v>
      </c>
      <c r="E3073" s="30" t="str">
        <f>VLOOKUP(B3073, 'All Menu'!B:M, 2, 0)</f>
        <v>قسم الصالة</v>
      </c>
      <c r="F3073" s="103" t="str">
        <f>VLOOKUP(B3073, 'All Menu'!B:M, 3, 0)</f>
        <v>عجين صالة</v>
      </c>
      <c r="G3073" s="90" t="s">
        <v>2172</v>
      </c>
      <c r="H3073" s="219">
        <v>4559</v>
      </c>
      <c r="I3073" s="110" t="str">
        <f>VLOOKUP(H3073, 'RM &amp; SF'!B:H, 2, 0)</f>
        <v>جبنة عكاوي 5 كغ*****</v>
      </c>
      <c r="J3073" s="184" t="str">
        <f>VLOOKUP(H3073, 'RM &amp; SF'!B:E, 4, 0)</f>
        <v>غم</v>
      </c>
      <c r="K3073" s="78">
        <v>15</v>
      </c>
      <c r="L3073" s="13">
        <f>VLOOKUP(H3073, 'RM &amp; SF'!B:H, 7, 0)</f>
        <v>4.7619999999999997E-3</v>
      </c>
      <c r="M3073" s="15">
        <f t="shared" si="157"/>
        <v>7.1429999999999993E-2</v>
      </c>
      <c r="N3073" s="21" t="s">
        <v>825</v>
      </c>
      <c r="O3073" s="4">
        <f>VLOOKUP(B3073, 'All Menu'!B:L, 6, 0)</f>
        <v>1.9396551724137931</v>
      </c>
      <c r="P3073" s="6">
        <f>VLOOKUP(B3073, 'All Menu'!B:L, 9, 0)</f>
        <v>0.29269973361010204</v>
      </c>
      <c r="Q3073" s="14">
        <f>VLOOKUP(B3073, 'All Menu'!B:M, 12, 0)</f>
        <v>0.84909702622768068</v>
      </c>
      <c r="R3073" s="173">
        <f t="shared" si="156"/>
        <v>0</v>
      </c>
    </row>
    <row r="3074" spans="1:18" ht="14" hidden="1">
      <c r="A3074" s="78" t="s">
        <v>2969</v>
      </c>
      <c r="B3074" s="220" t="s">
        <v>1038</v>
      </c>
      <c r="C3074" s="185"/>
      <c r="D3074" s="30" t="str">
        <f>VLOOKUP(B3074, 'All Menu'!B:M, 4, 0)</f>
        <v>منقوشة زعتر بلدي</v>
      </c>
      <c r="E3074" s="30" t="str">
        <f>VLOOKUP(B3074, 'All Menu'!B:M, 2, 0)</f>
        <v>قسم الصالة</v>
      </c>
      <c r="F3074" s="103" t="str">
        <f>VLOOKUP(B3074, 'All Menu'!B:M, 3, 0)</f>
        <v>عجين صالة</v>
      </c>
      <c r="G3074" s="90" t="s">
        <v>2333</v>
      </c>
      <c r="H3074" s="219" t="s">
        <v>498</v>
      </c>
      <c r="I3074" s="110" t="str">
        <f>VLOOKUP(H3074, 'RM &amp; SF'!B:H, 2, 0)</f>
        <v>عجين الصفيحة والمناقيش</v>
      </c>
      <c r="J3074" s="184" t="str">
        <f>VLOOKUP(H3074, 'RM &amp; SF'!B:E, 4, 0)</f>
        <v>غم</v>
      </c>
      <c r="K3074" s="78">
        <v>140</v>
      </c>
      <c r="L3074" s="13">
        <f>VLOOKUP(H3074, 'RM &amp; SF'!B:H, 7, 0)</f>
        <v>4.659980972150147E-4</v>
      </c>
      <c r="M3074" s="15">
        <f t="shared" si="157"/>
        <v>6.523973361010206E-2</v>
      </c>
      <c r="N3074" s="21" t="s">
        <v>825</v>
      </c>
      <c r="O3074" s="4">
        <f>VLOOKUP(B3074, 'All Menu'!B:L, 6, 0)</f>
        <v>1.6810344827586208</v>
      </c>
      <c r="P3074" s="6">
        <f>VLOOKUP(B3074, 'All Menu'!B:L, 9, 0)</f>
        <v>0.22126973361010208</v>
      </c>
      <c r="Q3074" s="14">
        <f>VLOOKUP(B3074, 'All Menu'!B:M, 12, 0)</f>
        <v>0.86837287641655458</v>
      </c>
      <c r="R3074" s="173">
        <f t="shared" si="156"/>
        <v>0</v>
      </c>
    </row>
    <row r="3075" spans="1:18" ht="14" hidden="1">
      <c r="A3075" s="78" t="s">
        <v>2969</v>
      </c>
      <c r="B3075" s="220" t="s">
        <v>1038</v>
      </c>
      <c r="C3075" s="185"/>
      <c r="D3075" s="30" t="str">
        <f>VLOOKUP(B3075, 'All Menu'!B:M, 4, 0)</f>
        <v>منقوشة زعتر بلدي</v>
      </c>
      <c r="E3075" s="30" t="str">
        <f>VLOOKUP(B3075, 'All Menu'!B:M, 2, 0)</f>
        <v>قسم الصالة</v>
      </c>
      <c r="F3075" s="103" t="str">
        <f>VLOOKUP(B3075, 'All Menu'!B:M, 3, 0)</f>
        <v>عجين صالة</v>
      </c>
      <c r="G3075" s="90" t="s">
        <v>2357</v>
      </c>
      <c r="H3075" s="219" t="s">
        <v>744</v>
      </c>
      <c r="I3075" s="110" t="str">
        <f>VLOOKUP(H3075, 'RM &amp; SF'!B:H, 2, 0)</f>
        <v>زيت زيتون مكسور</v>
      </c>
      <c r="J3075" s="184" t="str">
        <f>VLOOKUP(H3075, 'RM &amp; SF'!B:E, 4, 0)</f>
        <v>غم</v>
      </c>
      <c r="K3075" s="78">
        <v>20</v>
      </c>
      <c r="L3075" s="13">
        <f>VLOOKUP(H3075, 'RM &amp; SF'!B:H, 7, 0)</f>
        <v>3.3899999999999998E-3</v>
      </c>
      <c r="M3075" s="15">
        <f t="shared" si="157"/>
        <v>6.7799999999999999E-2</v>
      </c>
      <c r="N3075" s="21" t="s">
        <v>825</v>
      </c>
      <c r="O3075" s="4">
        <f>VLOOKUP(B3075, 'All Menu'!B:L, 6, 0)</f>
        <v>1.6810344827586208</v>
      </c>
      <c r="P3075" s="6">
        <f>VLOOKUP(B3075, 'All Menu'!B:L, 9, 0)</f>
        <v>0.22126973361010208</v>
      </c>
      <c r="Q3075" s="14">
        <f>VLOOKUP(B3075, 'All Menu'!B:M, 12, 0)</f>
        <v>0.86837287641655458</v>
      </c>
      <c r="R3075" s="173">
        <f t="shared" si="156"/>
        <v>0</v>
      </c>
    </row>
    <row r="3076" spans="1:18" ht="14" hidden="1">
      <c r="A3076" s="78" t="s">
        <v>2969</v>
      </c>
      <c r="B3076" s="220" t="s">
        <v>1038</v>
      </c>
      <c r="C3076" s="185"/>
      <c r="D3076" s="30" t="str">
        <f>VLOOKUP(B3076, 'All Menu'!B:M, 4, 0)</f>
        <v>منقوشة زعتر بلدي</v>
      </c>
      <c r="E3076" s="30" t="str">
        <f>VLOOKUP(B3076, 'All Menu'!B:M, 2, 0)</f>
        <v>قسم الصالة</v>
      </c>
      <c r="F3076" s="103" t="str">
        <f>VLOOKUP(B3076, 'All Menu'!B:M, 3, 0)</f>
        <v>عجين صالة</v>
      </c>
      <c r="G3076" s="90" t="s">
        <v>2227</v>
      </c>
      <c r="H3076" s="219">
        <v>4217</v>
      </c>
      <c r="I3076" s="110" t="str">
        <f>VLOOKUP(H3076, 'RM &amp; SF'!B:H, 2, 0)</f>
        <v>زعتر بلدي*****</v>
      </c>
      <c r="J3076" s="184" t="str">
        <f>VLOOKUP(H3076, 'RM &amp; SF'!B:E, 4, 0)</f>
        <v>غم</v>
      </c>
      <c r="K3076" s="78">
        <v>30</v>
      </c>
      <c r="L3076" s="13">
        <f>VLOOKUP(H3076, 'RM &amp; SF'!B:H, 7, 0)</f>
        <v>2.941E-3</v>
      </c>
      <c r="M3076" s="15">
        <f t="shared" si="157"/>
        <v>8.8230000000000003E-2</v>
      </c>
      <c r="N3076" s="21" t="s">
        <v>825</v>
      </c>
      <c r="O3076" s="4">
        <f>VLOOKUP(B3076, 'All Menu'!B:L, 6, 0)</f>
        <v>1.6810344827586208</v>
      </c>
      <c r="P3076" s="6">
        <f>VLOOKUP(B3076, 'All Menu'!B:L, 9, 0)</f>
        <v>0.22126973361010208</v>
      </c>
      <c r="Q3076" s="14">
        <f>VLOOKUP(B3076, 'All Menu'!B:M, 12, 0)</f>
        <v>0.86837287641655458</v>
      </c>
      <c r="R3076" s="173">
        <f t="shared" si="156"/>
        <v>0</v>
      </c>
    </row>
    <row r="3077" spans="1:18" ht="14" hidden="1">
      <c r="A3077" s="78" t="s">
        <v>3088</v>
      </c>
      <c r="B3077" s="220" t="s">
        <v>1041</v>
      </c>
      <c r="C3077" s="185"/>
      <c r="D3077" s="30" t="str">
        <f>VLOOKUP(B3077, 'All Menu'!B:M, 4, 0)</f>
        <v>ساندويش كباب سوبر</v>
      </c>
      <c r="E3077" s="30" t="str">
        <f>VLOOKUP(B3077, 'All Menu'!B:M, 2, 0)</f>
        <v>قسم الصالة</v>
      </c>
      <c r="F3077" s="103" t="str">
        <f>VLOOKUP(B3077, 'All Menu'!B:M, 3, 0)</f>
        <v>المشاوي صالة</v>
      </c>
      <c r="G3077" s="90" t="s">
        <v>2429</v>
      </c>
      <c r="H3077" s="219" t="s">
        <v>610</v>
      </c>
      <c r="I3077" s="110" t="str">
        <f>VLOOKUP(H3077, 'RM &amp; SF'!B:H, 2, 0)</f>
        <v>كباب الساندويش</v>
      </c>
      <c r="J3077" s="184" t="str">
        <f>VLOOKUP(H3077, 'RM &amp; SF'!B:E, 4, 0)</f>
        <v>غم</v>
      </c>
      <c r="K3077" s="78">
        <v>240</v>
      </c>
      <c r="L3077" s="13">
        <f>VLOOKUP(H3077, 'RM &amp; SF'!B:H, 7, 0)</f>
        <v>6.0066783033033031E-3</v>
      </c>
      <c r="M3077" s="15">
        <f t="shared" si="157"/>
        <v>1.4416027927927928</v>
      </c>
      <c r="N3077" s="21" t="s">
        <v>825</v>
      </c>
      <c r="O3077" s="4">
        <f>VLOOKUP(B3077, 'All Menu'!B:L, 6, 0)</f>
        <v>3.4482758620689657</v>
      </c>
      <c r="P3077" s="6">
        <f>VLOOKUP(B3077, 'All Menu'!B:L, 9, 0)</f>
        <v>1.5984724463398512</v>
      </c>
      <c r="Q3077" s="14">
        <f>VLOOKUP(B3077, 'All Menu'!B:M, 12, 0)</f>
        <v>0.53644299056144318</v>
      </c>
      <c r="R3077" s="173">
        <f t="shared" si="156"/>
        <v>0</v>
      </c>
    </row>
    <row r="3078" spans="1:18" ht="14" hidden="1">
      <c r="A3078" s="78" t="s">
        <v>3088</v>
      </c>
      <c r="B3078" s="220" t="s">
        <v>1041</v>
      </c>
      <c r="C3078" s="185"/>
      <c r="D3078" s="30" t="str">
        <f>VLOOKUP(B3078, 'All Menu'!B:M, 4, 0)</f>
        <v>ساندويش كباب سوبر</v>
      </c>
      <c r="E3078" s="30" t="str">
        <f>VLOOKUP(B3078, 'All Menu'!B:M, 2, 0)</f>
        <v>قسم الصالة</v>
      </c>
      <c r="F3078" s="103" t="str">
        <f>VLOOKUP(B3078, 'All Menu'!B:M, 3, 0)</f>
        <v>المشاوي صالة</v>
      </c>
      <c r="G3078" s="90" t="s">
        <v>2331</v>
      </c>
      <c r="H3078" s="219" t="s">
        <v>530</v>
      </c>
      <c r="I3078" s="110" t="str">
        <f>VLOOKUP(H3078, 'RM &amp; SF'!B:H, 2, 0)</f>
        <v>خبز صاج</v>
      </c>
      <c r="J3078" s="184" t="str">
        <f>VLOOKUP(H3078, 'RM &amp; SF'!B:E, 4, 0)</f>
        <v>غم</v>
      </c>
      <c r="K3078" s="78">
        <v>100</v>
      </c>
      <c r="L3078" s="13">
        <f>VLOOKUP(H3078, 'RM &amp; SF'!B:H, 7, 0)</f>
        <v>1.8806451612903227E-4</v>
      </c>
      <c r="M3078" s="15">
        <f t="shared" si="157"/>
        <v>1.8806451612903227E-2</v>
      </c>
      <c r="N3078" s="21" t="s">
        <v>825</v>
      </c>
      <c r="O3078" s="4">
        <f>VLOOKUP(B3078, 'All Menu'!B:L, 6, 0)</f>
        <v>3.4482758620689657</v>
      </c>
      <c r="P3078" s="6">
        <f>VLOOKUP(B3078, 'All Menu'!B:L, 9, 0)</f>
        <v>1.5984724463398512</v>
      </c>
      <c r="Q3078" s="14">
        <f>VLOOKUP(B3078, 'All Menu'!B:M, 12, 0)</f>
        <v>0.53644299056144318</v>
      </c>
      <c r="R3078" s="173">
        <f t="shared" si="156"/>
        <v>0</v>
      </c>
    </row>
    <row r="3079" spans="1:18" ht="14" hidden="1">
      <c r="A3079" s="78" t="s">
        <v>3088</v>
      </c>
      <c r="B3079" s="220" t="s">
        <v>1041</v>
      </c>
      <c r="C3079" s="185"/>
      <c r="D3079" s="30" t="str">
        <f>VLOOKUP(B3079, 'All Menu'!B:M, 4, 0)</f>
        <v>ساندويش كباب سوبر</v>
      </c>
      <c r="E3079" s="30" t="str">
        <f>VLOOKUP(B3079, 'All Menu'!B:M, 2, 0)</f>
        <v>قسم الصالة</v>
      </c>
      <c r="F3079" s="103" t="str">
        <f>VLOOKUP(B3079, 'All Menu'!B:M, 3, 0)</f>
        <v>المشاوي صالة</v>
      </c>
      <c r="G3079" s="90" t="s">
        <v>2397</v>
      </c>
      <c r="H3079" s="219" t="s">
        <v>580</v>
      </c>
      <c r="I3079" s="110" t="str">
        <f>VLOOKUP(H3079, 'RM &amp; SF'!B:H, 2, 0)</f>
        <v>طحينة مشاوي</v>
      </c>
      <c r="J3079" s="184" t="str">
        <f>VLOOKUP(H3079, 'RM &amp; SF'!B:E, 4, 0)</f>
        <v>غم</v>
      </c>
      <c r="K3079" s="78">
        <v>50</v>
      </c>
      <c r="L3079" s="13">
        <f>VLOOKUP(H3079, 'RM &amp; SF'!B:H, 7, 0)</f>
        <v>1.0841676434676436E-3</v>
      </c>
      <c r="M3079" s="15">
        <f t="shared" si="157"/>
        <v>5.4208382173382176E-2</v>
      </c>
      <c r="N3079" s="21" t="s">
        <v>825</v>
      </c>
      <c r="O3079" s="4">
        <f>VLOOKUP(B3079, 'All Menu'!B:L, 6, 0)</f>
        <v>3.4482758620689657</v>
      </c>
      <c r="P3079" s="6">
        <f>VLOOKUP(B3079, 'All Menu'!B:L, 9, 0)</f>
        <v>1.5984724463398512</v>
      </c>
      <c r="Q3079" s="14">
        <f>VLOOKUP(B3079, 'All Menu'!B:M, 12, 0)</f>
        <v>0.53644299056144318</v>
      </c>
      <c r="R3079" s="173">
        <f t="shared" ref="R3079:R3145" si="158">C3079*K3079</f>
        <v>0</v>
      </c>
    </row>
    <row r="3080" spans="1:18" ht="14" hidden="1">
      <c r="A3080" s="78" t="s">
        <v>3088</v>
      </c>
      <c r="B3080" s="220" t="s">
        <v>1041</v>
      </c>
      <c r="C3080" s="185"/>
      <c r="D3080" s="30" t="str">
        <f>VLOOKUP(B3080, 'All Menu'!B:M, 4, 0)</f>
        <v>ساندويش كباب سوبر</v>
      </c>
      <c r="E3080" s="30" t="str">
        <f>VLOOKUP(B3080, 'All Menu'!B:M, 2, 0)</f>
        <v>قسم الصالة</v>
      </c>
      <c r="F3080" s="103" t="str">
        <f>VLOOKUP(B3080, 'All Menu'!B:M, 3, 0)</f>
        <v>المشاوي صالة</v>
      </c>
      <c r="G3080" s="90" t="s">
        <v>2396</v>
      </c>
      <c r="H3080" s="219" t="s">
        <v>582</v>
      </c>
      <c r="I3080" s="110" t="str">
        <f>VLOOKUP(H3080, 'RM &amp; SF'!B:H, 2, 0)</f>
        <v>بيواز</v>
      </c>
      <c r="J3080" s="184" t="str">
        <f>VLOOKUP(H3080, 'RM &amp; SF'!B:E, 4, 0)</f>
        <v>غم</v>
      </c>
      <c r="K3080" s="78">
        <v>30</v>
      </c>
      <c r="L3080" s="13">
        <f>VLOOKUP(H3080, 'RM &amp; SF'!B:H, 7, 0)</f>
        <v>2.0666065869244635E-4</v>
      </c>
      <c r="M3080" s="15">
        <f t="shared" si="157"/>
        <v>6.1998197607733901E-3</v>
      </c>
      <c r="N3080" s="21" t="s">
        <v>825</v>
      </c>
      <c r="O3080" s="4">
        <f>VLOOKUP(B3080, 'All Menu'!B:L, 6, 0)</f>
        <v>3.4482758620689657</v>
      </c>
      <c r="P3080" s="6">
        <f>VLOOKUP(B3080, 'All Menu'!B:L, 9, 0)</f>
        <v>1.5984724463398512</v>
      </c>
      <c r="Q3080" s="14">
        <f>VLOOKUP(B3080, 'All Menu'!B:M, 12, 0)</f>
        <v>0.53644299056144318</v>
      </c>
      <c r="R3080" s="173">
        <f t="shared" si="158"/>
        <v>0</v>
      </c>
    </row>
    <row r="3081" spans="1:18" ht="14" hidden="1">
      <c r="A3081" s="78" t="s">
        <v>3088</v>
      </c>
      <c r="B3081" s="220" t="s">
        <v>1041</v>
      </c>
      <c r="C3081" s="185"/>
      <c r="D3081" s="30" t="str">
        <f>VLOOKUP(B3081, 'All Menu'!B:M, 4, 0)</f>
        <v>ساندويش كباب سوبر</v>
      </c>
      <c r="E3081" s="30" t="str">
        <f>VLOOKUP(B3081, 'All Menu'!B:M, 2, 0)</f>
        <v>قسم الصالة</v>
      </c>
      <c r="F3081" s="103" t="str">
        <f>VLOOKUP(B3081, 'All Menu'!B:M, 3, 0)</f>
        <v>المشاوي صالة</v>
      </c>
      <c r="G3081" s="90" t="s">
        <v>2257</v>
      </c>
      <c r="H3081" s="219">
        <v>5281</v>
      </c>
      <c r="I3081" s="110" t="str">
        <f>VLOOKUP(H3081, 'RM &amp; SF'!B:H, 2, 0)</f>
        <v>بندوره مشاوي</v>
      </c>
      <c r="J3081" s="184" t="str">
        <f>VLOOKUP(H3081, 'RM &amp; SF'!B:E, 4, 0)</f>
        <v>غم</v>
      </c>
      <c r="K3081" s="78">
        <v>20</v>
      </c>
      <c r="L3081" s="13">
        <f>VLOOKUP(H3081, 'RM &amp; SF'!B:H, 7, 0)</f>
        <v>4.0000000000000002E-4</v>
      </c>
      <c r="M3081" s="15">
        <f t="shared" si="157"/>
        <v>8.0000000000000002E-3</v>
      </c>
      <c r="N3081" s="21" t="s">
        <v>825</v>
      </c>
      <c r="O3081" s="4">
        <f>VLOOKUP(B3081, 'All Menu'!B:L, 6, 0)</f>
        <v>3.4482758620689657</v>
      </c>
      <c r="P3081" s="6">
        <f>VLOOKUP(B3081, 'All Menu'!B:L, 9, 0)</f>
        <v>1.5984724463398512</v>
      </c>
      <c r="Q3081" s="14">
        <f>VLOOKUP(B3081, 'All Menu'!B:M, 12, 0)</f>
        <v>0.53644299056144318</v>
      </c>
      <c r="R3081" s="173">
        <f t="shared" si="158"/>
        <v>0</v>
      </c>
    </row>
    <row r="3082" spans="1:18" ht="14" hidden="1">
      <c r="A3082" s="78" t="s">
        <v>3088</v>
      </c>
      <c r="B3082" s="220" t="s">
        <v>1041</v>
      </c>
      <c r="C3082" s="185"/>
      <c r="D3082" s="30" t="str">
        <f>VLOOKUP(B3082, 'All Menu'!B:M, 4, 0)</f>
        <v>ساندويش كباب سوبر</v>
      </c>
      <c r="E3082" s="30" t="str">
        <f>VLOOKUP(B3082, 'All Menu'!B:M, 2, 0)</f>
        <v>قسم الصالة</v>
      </c>
      <c r="F3082" s="103" t="str">
        <f>VLOOKUP(B3082, 'All Menu'!B:M, 3, 0)</f>
        <v>المشاوي صالة</v>
      </c>
      <c r="G3082" s="90" t="s">
        <v>3058</v>
      </c>
      <c r="H3082" s="219">
        <v>5280</v>
      </c>
      <c r="I3082" s="110" t="str">
        <f>VLOOKUP(H3082, 'RM &amp; SF'!B:H, 2, 0)</f>
        <v>ورق مع قصدير مطبوع*****</v>
      </c>
      <c r="J3082" s="184" t="str">
        <f>VLOOKUP(H3082, 'RM &amp; SF'!B:E, 4, 0)</f>
        <v>قطعة</v>
      </c>
      <c r="K3082" s="78">
        <v>1</v>
      </c>
      <c r="L3082" s="13">
        <f>VLOOKUP(H3082, 'RM &amp; SF'!B:H, 7, 0)</f>
        <v>6.4655000000000004E-2</v>
      </c>
      <c r="M3082" s="15">
        <f t="shared" ref="M3082" si="159">L3082*K3082</f>
        <v>6.4655000000000004E-2</v>
      </c>
      <c r="N3082" s="21" t="s">
        <v>825</v>
      </c>
      <c r="O3082" s="4">
        <f>VLOOKUP(B3082, 'All Menu'!B:L, 6, 0)</f>
        <v>3.4482758620689657</v>
      </c>
      <c r="P3082" s="6">
        <f>VLOOKUP(B3082, 'All Menu'!B:L, 9, 0)</f>
        <v>1.5984724463398512</v>
      </c>
      <c r="Q3082" s="14">
        <f>VLOOKUP(B3082, 'All Menu'!B:M, 12, 0)</f>
        <v>0.53644299056144318</v>
      </c>
      <c r="R3082" s="173">
        <f t="shared" ref="R3082" si="160">C3082*K3082</f>
        <v>0</v>
      </c>
    </row>
    <row r="3083" spans="1:18" ht="14" hidden="1">
      <c r="A3083" s="78" t="s">
        <v>3088</v>
      </c>
      <c r="B3083" s="220" t="s">
        <v>1041</v>
      </c>
      <c r="C3083" s="185"/>
      <c r="D3083" s="30" t="str">
        <f>VLOOKUP(B3083, 'All Menu'!B:M, 4, 0)</f>
        <v>ساندويش كباب سوبر</v>
      </c>
      <c r="E3083" s="30" t="str">
        <f>VLOOKUP(B3083, 'All Menu'!B:M, 2, 0)</f>
        <v>قسم الصالة</v>
      </c>
      <c r="F3083" s="103" t="str">
        <f>VLOOKUP(B3083, 'All Menu'!B:M, 3, 0)</f>
        <v>المشاوي صالة</v>
      </c>
      <c r="G3083" s="90" t="s">
        <v>2234</v>
      </c>
      <c r="H3083" s="219">
        <v>4503</v>
      </c>
      <c r="I3083" s="110" t="str">
        <f>VLOOKUP(H3083, 'RM &amp; SF'!B:H, 2, 0)</f>
        <v>بصل ناشف دفش*****</v>
      </c>
      <c r="J3083" s="184" t="str">
        <f>VLOOKUP(H3083, 'RM &amp; SF'!B:E, 4, 0)</f>
        <v>غم</v>
      </c>
      <c r="K3083" s="78">
        <v>20</v>
      </c>
      <c r="L3083" s="13">
        <f>VLOOKUP(H3083, 'RM &amp; SF'!B:H, 7, 0)</f>
        <v>2.5000000000000001E-4</v>
      </c>
      <c r="M3083" s="15">
        <f t="shared" si="157"/>
        <v>5.0000000000000001E-3</v>
      </c>
      <c r="N3083" s="21" t="s">
        <v>825</v>
      </c>
      <c r="O3083" s="4">
        <f>VLOOKUP(B3083, 'All Menu'!B:L, 6, 0)</f>
        <v>3.4482758620689657</v>
      </c>
      <c r="P3083" s="6">
        <f>VLOOKUP(B3083, 'All Menu'!B:L, 9, 0)</f>
        <v>1.5984724463398512</v>
      </c>
      <c r="Q3083" s="14">
        <f>VLOOKUP(B3083, 'All Menu'!B:M, 12, 0)</f>
        <v>0.53644299056144318</v>
      </c>
      <c r="R3083" s="173">
        <f t="shared" si="158"/>
        <v>0</v>
      </c>
    </row>
    <row r="3084" spans="1:18" ht="14" hidden="1">
      <c r="A3084" s="78" t="s">
        <v>2966</v>
      </c>
      <c r="B3084" s="220" t="s">
        <v>1045</v>
      </c>
      <c r="C3084" s="185"/>
      <c r="D3084" s="30" t="str">
        <f>VLOOKUP(B3084, 'All Menu'!B:M, 4, 0)</f>
        <v>ساندويش حمادة</v>
      </c>
      <c r="E3084" s="30" t="str">
        <f>VLOOKUP(B3084, 'All Menu'!B:M, 2, 0)</f>
        <v>قسم الصالة</v>
      </c>
      <c r="F3084" s="103" t="str">
        <f>VLOOKUP(B3084, 'All Menu'!B:M, 3, 0)</f>
        <v>المشاوي صالة</v>
      </c>
      <c r="G3084" s="90" t="s">
        <v>2429</v>
      </c>
      <c r="H3084" s="219" t="s">
        <v>610</v>
      </c>
      <c r="I3084" s="110" t="str">
        <f>VLOOKUP(H3084, 'RM &amp; SF'!B:H, 2, 0)</f>
        <v>كباب الساندويش</v>
      </c>
      <c r="J3084" s="184" t="str">
        <f>VLOOKUP(H3084, 'RM &amp; SF'!B:E, 4, 0)</f>
        <v>غم</v>
      </c>
      <c r="K3084" s="78">
        <v>80</v>
      </c>
      <c r="L3084" s="13">
        <f>VLOOKUP(H3084, 'RM &amp; SF'!B:H, 7, 0)</f>
        <v>6.0066783033033031E-3</v>
      </c>
      <c r="M3084" s="15">
        <f t="shared" si="157"/>
        <v>0.48053426426426427</v>
      </c>
      <c r="N3084" s="21" t="s">
        <v>825</v>
      </c>
      <c r="O3084" s="4">
        <f>VLOOKUP(B3084, 'All Menu'!B:L, 6, 0)</f>
        <v>4.7413793103448283</v>
      </c>
      <c r="P3084" s="6">
        <f>VLOOKUP(B3084, 'All Menu'!B:L, 9, 0)</f>
        <v>2.8009835985035014</v>
      </c>
      <c r="Q3084" s="14">
        <f>VLOOKUP(B3084, 'All Menu'!B:M, 12, 0)</f>
        <v>0.40924709558835254</v>
      </c>
      <c r="R3084" s="173">
        <f t="shared" si="158"/>
        <v>0</v>
      </c>
    </row>
    <row r="3085" spans="1:18" ht="14" hidden="1">
      <c r="A3085" s="78" t="s">
        <v>2966</v>
      </c>
      <c r="B3085" s="220" t="s">
        <v>1045</v>
      </c>
      <c r="C3085" s="185"/>
      <c r="D3085" s="30" t="str">
        <f>VLOOKUP(B3085, 'All Menu'!B:M, 4, 0)</f>
        <v>ساندويش حمادة</v>
      </c>
      <c r="E3085" s="30" t="str">
        <f>VLOOKUP(B3085, 'All Menu'!B:M, 2, 0)</f>
        <v>قسم الصالة</v>
      </c>
      <c r="F3085" s="103" t="str">
        <f>VLOOKUP(B3085, 'All Menu'!B:M, 3, 0)</f>
        <v>المشاوي صالة</v>
      </c>
      <c r="G3085" s="90" t="s">
        <v>2452</v>
      </c>
      <c r="H3085" s="219" t="s">
        <v>528</v>
      </c>
      <c r="I3085" s="110" t="str">
        <f>VLOOKUP(H3085, 'RM &amp; SF'!B:H, 2, 0)</f>
        <v>شقف متبلة</v>
      </c>
      <c r="J3085" s="184" t="str">
        <f>VLOOKUP(H3085, 'RM &amp; SF'!B:E, 4, 0)</f>
        <v>غم</v>
      </c>
      <c r="K3085" s="78">
        <v>100</v>
      </c>
      <c r="L3085" s="13">
        <f>VLOOKUP(H3085, 'RM &amp; SF'!B:H, 7, 0)</f>
        <v>2.0415146666666665E-2</v>
      </c>
      <c r="M3085" s="15">
        <f t="shared" si="157"/>
        <v>2.0415146666666666</v>
      </c>
      <c r="N3085" s="21" t="s">
        <v>825</v>
      </c>
      <c r="O3085" s="4">
        <f>VLOOKUP(B3085, 'All Menu'!B:L, 6, 0)</f>
        <v>4.7413793103448283</v>
      </c>
      <c r="P3085" s="6">
        <f>VLOOKUP(B3085, 'All Menu'!B:L, 9, 0)</f>
        <v>2.8009835985035014</v>
      </c>
      <c r="Q3085" s="14">
        <f>VLOOKUP(B3085, 'All Menu'!B:M, 12, 0)</f>
        <v>0.40924709558835254</v>
      </c>
      <c r="R3085" s="173">
        <f t="shared" si="158"/>
        <v>0</v>
      </c>
    </row>
    <row r="3086" spans="1:18" ht="14" hidden="1">
      <c r="A3086" s="78" t="s">
        <v>2966</v>
      </c>
      <c r="B3086" s="220" t="s">
        <v>1045</v>
      </c>
      <c r="C3086" s="185"/>
      <c r="D3086" s="30" t="str">
        <f>VLOOKUP(B3086, 'All Menu'!B:M, 4, 0)</f>
        <v>ساندويش حمادة</v>
      </c>
      <c r="E3086" s="30" t="str">
        <f>VLOOKUP(B3086, 'All Menu'!B:M, 2, 0)</f>
        <v>قسم الصالة</v>
      </c>
      <c r="F3086" s="103" t="str">
        <f>VLOOKUP(B3086, 'All Menu'!B:M, 3, 0)</f>
        <v>المشاوي صالة</v>
      </c>
      <c r="G3086" s="90" t="s">
        <v>2397</v>
      </c>
      <c r="H3086" s="219" t="s">
        <v>580</v>
      </c>
      <c r="I3086" s="110" t="str">
        <f>VLOOKUP(H3086, 'RM &amp; SF'!B:H, 2, 0)</f>
        <v>طحينة مشاوي</v>
      </c>
      <c r="J3086" s="184" t="str">
        <f>VLOOKUP(H3086, 'RM &amp; SF'!B:E, 4, 0)</f>
        <v>غم</v>
      </c>
      <c r="K3086" s="78">
        <v>70</v>
      </c>
      <c r="L3086" s="13">
        <f>VLOOKUP(H3086, 'RM &amp; SF'!B:H, 7, 0)</f>
        <v>1.0841676434676436E-3</v>
      </c>
      <c r="M3086" s="15">
        <f t="shared" si="157"/>
        <v>7.5891735042735053E-2</v>
      </c>
      <c r="N3086" s="21" t="s">
        <v>825</v>
      </c>
      <c r="O3086" s="4">
        <f>VLOOKUP(B3086, 'All Menu'!B:L, 6, 0)</f>
        <v>4.7413793103448283</v>
      </c>
      <c r="P3086" s="6">
        <f>VLOOKUP(B3086, 'All Menu'!B:L, 9, 0)</f>
        <v>2.8009835985035014</v>
      </c>
      <c r="Q3086" s="14">
        <f>VLOOKUP(B3086, 'All Menu'!B:M, 12, 0)</f>
        <v>0.40924709558835254</v>
      </c>
      <c r="R3086" s="173">
        <f t="shared" si="158"/>
        <v>0</v>
      </c>
    </row>
    <row r="3087" spans="1:18" ht="14" hidden="1">
      <c r="A3087" s="78" t="s">
        <v>2966</v>
      </c>
      <c r="B3087" s="220" t="s">
        <v>1045</v>
      </c>
      <c r="C3087" s="185"/>
      <c r="D3087" s="30" t="str">
        <f>VLOOKUP(B3087, 'All Menu'!B:M, 4, 0)</f>
        <v>ساندويش حمادة</v>
      </c>
      <c r="E3087" s="30" t="str">
        <f>VLOOKUP(B3087, 'All Menu'!B:M, 2, 0)</f>
        <v>قسم الصالة</v>
      </c>
      <c r="F3087" s="103" t="str">
        <f>VLOOKUP(B3087, 'All Menu'!B:M, 3, 0)</f>
        <v>المشاوي صالة</v>
      </c>
      <c r="G3087" s="90" t="s">
        <v>2257</v>
      </c>
      <c r="H3087" s="219">
        <v>5281</v>
      </c>
      <c r="I3087" s="110" t="str">
        <f>VLOOKUP(H3087, 'RM &amp; SF'!B:H, 2, 0)</f>
        <v>بندوره مشاوي</v>
      </c>
      <c r="J3087" s="184" t="str">
        <f>VLOOKUP(H3087, 'RM &amp; SF'!B:E, 4, 0)</f>
        <v>غم</v>
      </c>
      <c r="K3087" s="78">
        <v>75</v>
      </c>
      <c r="L3087" s="13">
        <f>VLOOKUP(H3087, 'RM &amp; SF'!B:H, 7, 0)</f>
        <v>4.0000000000000002E-4</v>
      </c>
      <c r="M3087" s="15">
        <f t="shared" si="157"/>
        <v>3.0000000000000002E-2</v>
      </c>
      <c r="N3087" s="21" t="s">
        <v>825</v>
      </c>
      <c r="O3087" s="4">
        <f>VLOOKUP(B3087, 'All Menu'!B:L, 6, 0)</f>
        <v>4.7413793103448283</v>
      </c>
      <c r="P3087" s="6">
        <f>VLOOKUP(B3087, 'All Menu'!B:L, 9, 0)</f>
        <v>2.8009835985035014</v>
      </c>
      <c r="Q3087" s="14">
        <f>VLOOKUP(B3087, 'All Menu'!B:M, 12, 0)</f>
        <v>0.40924709558835254</v>
      </c>
      <c r="R3087" s="173">
        <f t="shared" si="158"/>
        <v>0</v>
      </c>
    </row>
    <row r="3088" spans="1:18" ht="14" hidden="1">
      <c r="A3088" s="78" t="s">
        <v>2966</v>
      </c>
      <c r="B3088" s="220" t="s">
        <v>1045</v>
      </c>
      <c r="C3088" s="185"/>
      <c r="D3088" s="30" t="str">
        <f>VLOOKUP(B3088, 'All Menu'!B:M, 4, 0)</f>
        <v>ساندويش حمادة</v>
      </c>
      <c r="E3088" s="30" t="str">
        <f>VLOOKUP(B3088, 'All Menu'!B:M, 2, 0)</f>
        <v>قسم الصالة</v>
      </c>
      <c r="F3088" s="103" t="str">
        <f>VLOOKUP(B3088, 'All Menu'!B:M, 3, 0)</f>
        <v>المشاوي صالة</v>
      </c>
      <c r="G3088" s="90" t="s">
        <v>2235</v>
      </c>
      <c r="H3088" s="219">
        <v>4504</v>
      </c>
      <c r="I3088" s="110" t="str">
        <f>VLOOKUP(H3088, 'RM &amp; SF'!B:H, 2, 0)</f>
        <v>بصل مشاوي (بصل بيبي)***</v>
      </c>
      <c r="J3088" s="184" t="str">
        <f>VLOOKUP(H3088, 'RM &amp; SF'!B:E, 4, 0)</f>
        <v>غم</v>
      </c>
      <c r="K3088" s="78">
        <v>75</v>
      </c>
      <c r="L3088" s="13">
        <f>VLOOKUP(H3088, 'RM &amp; SF'!B:H, 7, 0)</f>
        <v>3.5E-4</v>
      </c>
      <c r="M3088" s="15">
        <f t="shared" si="157"/>
        <v>2.6249999999999999E-2</v>
      </c>
      <c r="N3088" s="21" t="s">
        <v>825</v>
      </c>
      <c r="O3088" s="4">
        <f>VLOOKUP(B3088, 'All Menu'!B:L, 6, 0)</f>
        <v>4.7413793103448283</v>
      </c>
      <c r="P3088" s="6">
        <f>VLOOKUP(B3088, 'All Menu'!B:L, 9, 0)</f>
        <v>2.8009835985035014</v>
      </c>
      <c r="Q3088" s="14">
        <f>VLOOKUP(B3088, 'All Menu'!B:M, 12, 0)</f>
        <v>0.40924709558835254</v>
      </c>
      <c r="R3088" s="173">
        <f t="shared" si="158"/>
        <v>0</v>
      </c>
    </row>
    <row r="3089" spans="1:18" ht="14" hidden="1">
      <c r="A3089" s="78" t="s">
        <v>2966</v>
      </c>
      <c r="B3089" s="220" t="s">
        <v>1045</v>
      </c>
      <c r="C3089" s="185"/>
      <c r="D3089" s="30" t="str">
        <f>VLOOKUP(B3089, 'All Menu'!B:M, 4, 0)</f>
        <v>ساندويش حمادة</v>
      </c>
      <c r="E3089" s="30" t="str">
        <f>VLOOKUP(B3089, 'All Menu'!B:M, 2, 0)</f>
        <v>قسم الصالة</v>
      </c>
      <c r="F3089" s="103" t="str">
        <f>VLOOKUP(B3089, 'All Menu'!B:M, 3, 0)</f>
        <v>المشاوي صالة</v>
      </c>
      <c r="G3089" s="90" t="s">
        <v>2331</v>
      </c>
      <c r="H3089" s="219" t="s">
        <v>530</v>
      </c>
      <c r="I3089" s="110" t="str">
        <f>VLOOKUP(H3089, 'RM &amp; SF'!B:H, 2, 0)</f>
        <v>خبز صاج</v>
      </c>
      <c r="J3089" s="184" t="str">
        <f>VLOOKUP(H3089, 'RM &amp; SF'!B:E, 4, 0)</f>
        <v>غم</v>
      </c>
      <c r="K3089" s="78">
        <v>200</v>
      </c>
      <c r="L3089" s="13">
        <f>VLOOKUP(H3089, 'RM &amp; SF'!B:H, 7, 0)</f>
        <v>1.8806451612903227E-4</v>
      </c>
      <c r="M3089" s="15">
        <f t="shared" si="157"/>
        <v>3.7612903225806453E-2</v>
      </c>
      <c r="N3089" s="21" t="s">
        <v>825</v>
      </c>
      <c r="O3089" s="4">
        <f>VLOOKUP(B3089, 'All Menu'!B:L, 6, 0)</f>
        <v>4.7413793103448283</v>
      </c>
      <c r="P3089" s="6">
        <f>VLOOKUP(B3089, 'All Menu'!B:L, 9, 0)</f>
        <v>2.8009835985035014</v>
      </c>
      <c r="Q3089" s="14">
        <f>VLOOKUP(B3089, 'All Menu'!B:M, 12, 0)</f>
        <v>0.40924709558835254</v>
      </c>
      <c r="R3089" s="173">
        <f t="shared" si="158"/>
        <v>0</v>
      </c>
    </row>
    <row r="3090" spans="1:18" ht="14" hidden="1">
      <c r="A3090" s="78" t="s">
        <v>2966</v>
      </c>
      <c r="B3090" s="220" t="s">
        <v>1045</v>
      </c>
      <c r="C3090" s="185"/>
      <c r="D3090" s="30" t="str">
        <f>VLOOKUP(B3090, 'All Menu'!B:M, 4, 0)</f>
        <v>ساندويش حمادة</v>
      </c>
      <c r="E3090" s="30" t="str">
        <f>VLOOKUP(B3090, 'All Menu'!B:M, 2, 0)</f>
        <v>قسم الصالة</v>
      </c>
      <c r="F3090" s="103" t="str">
        <f>VLOOKUP(B3090, 'All Menu'!B:M, 3, 0)</f>
        <v>المشاوي صالة</v>
      </c>
      <c r="G3090" s="90" t="s">
        <v>2397</v>
      </c>
      <c r="H3090" s="219" t="s">
        <v>580</v>
      </c>
      <c r="I3090" s="110" t="str">
        <f>VLOOKUP(H3090, 'RM &amp; SF'!B:H, 2, 0)</f>
        <v>طحينة مشاوي</v>
      </c>
      <c r="J3090" s="184" t="str">
        <f>VLOOKUP(H3090, 'RM &amp; SF'!B:E, 4, 0)</f>
        <v>غم</v>
      </c>
      <c r="K3090" s="78">
        <v>30</v>
      </c>
      <c r="L3090" s="13">
        <f>VLOOKUP(H3090, 'RM &amp; SF'!B:H, 7, 0)</f>
        <v>1.0841676434676436E-3</v>
      </c>
      <c r="M3090" s="15">
        <f t="shared" si="157"/>
        <v>3.2525029304029306E-2</v>
      </c>
      <c r="N3090" s="21" t="s">
        <v>825</v>
      </c>
      <c r="O3090" s="4">
        <f>VLOOKUP(B3090, 'All Menu'!B:L, 6, 0)</f>
        <v>4.7413793103448283</v>
      </c>
      <c r="P3090" s="6">
        <f>VLOOKUP(B3090, 'All Menu'!B:L, 9, 0)</f>
        <v>2.8009835985035014</v>
      </c>
      <c r="Q3090" s="14">
        <f>VLOOKUP(B3090, 'All Menu'!B:M, 12, 0)</f>
        <v>0.40924709558835254</v>
      </c>
      <c r="R3090" s="173">
        <f t="shared" si="158"/>
        <v>0</v>
      </c>
    </row>
    <row r="3091" spans="1:18" ht="14" hidden="1">
      <c r="A3091" s="78" t="s">
        <v>2966</v>
      </c>
      <c r="B3091" s="220" t="s">
        <v>1045</v>
      </c>
      <c r="C3091" s="185"/>
      <c r="D3091" s="30" t="str">
        <f>VLOOKUP(B3091, 'All Menu'!B:M, 4, 0)</f>
        <v>ساندويش حمادة</v>
      </c>
      <c r="E3091" s="30" t="str">
        <f>VLOOKUP(B3091, 'All Menu'!B:M, 2, 0)</f>
        <v>قسم الصالة</v>
      </c>
      <c r="F3091" s="103" t="str">
        <f>VLOOKUP(B3091, 'All Menu'!B:M, 3, 0)</f>
        <v>المشاوي صالة</v>
      </c>
      <c r="G3091" s="90" t="s">
        <v>3058</v>
      </c>
      <c r="H3091" s="219">
        <v>5280</v>
      </c>
      <c r="I3091" s="110" t="str">
        <f>VLOOKUP(H3091, 'RM &amp; SF'!B:H, 2, 0)</f>
        <v>ورق مع قصدير مطبوع*****</v>
      </c>
      <c r="J3091" s="184" t="str">
        <f>VLOOKUP(H3091, 'RM &amp; SF'!B:E, 4, 0)</f>
        <v>قطعة</v>
      </c>
      <c r="K3091" s="78">
        <v>1</v>
      </c>
      <c r="L3091" s="13">
        <f>VLOOKUP(H3091, 'RM &amp; SF'!B:H, 7, 0)</f>
        <v>6.4655000000000004E-2</v>
      </c>
      <c r="M3091" s="15">
        <f t="shared" ref="M3091" si="161">L3091*K3091</f>
        <v>6.4655000000000004E-2</v>
      </c>
      <c r="N3091" s="21" t="s">
        <v>825</v>
      </c>
      <c r="O3091" s="4">
        <f>VLOOKUP(B3091, 'All Menu'!B:L, 6, 0)</f>
        <v>4.7413793103448283</v>
      </c>
      <c r="P3091" s="6">
        <f>VLOOKUP(B3091, 'All Menu'!B:L, 9, 0)</f>
        <v>2.8009835985035014</v>
      </c>
      <c r="Q3091" s="14">
        <f>VLOOKUP(B3091, 'All Menu'!B:M, 12, 0)</f>
        <v>0.40924709558835254</v>
      </c>
      <c r="R3091" s="173">
        <f t="shared" ref="R3091" si="162">C3091*K3091</f>
        <v>0</v>
      </c>
    </row>
    <row r="3092" spans="1:18" ht="14" hidden="1">
      <c r="A3092" s="78" t="s">
        <v>2966</v>
      </c>
      <c r="B3092" s="220" t="s">
        <v>1045</v>
      </c>
      <c r="C3092" s="185"/>
      <c r="D3092" s="30" t="str">
        <f>VLOOKUP(B3092, 'All Menu'!B:M, 4, 0)</f>
        <v>ساندويش حمادة</v>
      </c>
      <c r="E3092" s="30" t="str">
        <f>VLOOKUP(B3092, 'All Menu'!B:M, 2, 0)</f>
        <v>قسم الصالة</v>
      </c>
      <c r="F3092" s="103" t="str">
        <f>VLOOKUP(B3092, 'All Menu'!B:M, 3, 0)</f>
        <v>المشاوي صالة</v>
      </c>
      <c r="G3092" s="90" t="s">
        <v>3058</v>
      </c>
      <c r="H3092" s="219">
        <v>4289</v>
      </c>
      <c r="I3092" s="110" t="str">
        <f>VLOOKUP(H3092, 'RM &amp; SF'!B:H, 2, 0)</f>
        <v>علب صوص دائري منفصل أسود 30 مل 1*100 حبة*****</v>
      </c>
      <c r="J3092" s="184" t="str">
        <f>VLOOKUP(H3092, 'RM &amp; SF'!B:E, 4, 0)</f>
        <v>قطعة</v>
      </c>
      <c r="K3092" s="78">
        <v>1</v>
      </c>
      <c r="L3092" s="13">
        <f>VLOOKUP(H3092, 'RM &amp; SF'!B:H, 7, 0)</f>
        <v>1.2E-2</v>
      </c>
      <c r="M3092" s="15">
        <f t="shared" si="157"/>
        <v>1.2E-2</v>
      </c>
      <c r="N3092" s="21" t="s">
        <v>825</v>
      </c>
      <c r="O3092" s="4">
        <f>VLOOKUP(B3092, 'All Menu'!B:L, 6, 0)</f>
        <v>4.7413793103448283</v>
      </c>
      <c r="P3092" s="6">
        <f>VLOOKUP(B3092, 'All Menu'!B:L, 9, 0)</f>
        <v>2.8009835985035014</v>
      </c>
      <c r="Q3092" s="14">
        <f>VLOOKUP(B3092, 'All Menu'!B:M, 12, 0)</f>
        <v>0.40924709558835254</v>
      </c>
      <c r="R3092" s="173">
        <f t="shared" si="158"/>
        <v>0</v>
      </c>
    </row>
    <row r="3093" spans="1:18" ht="14" hidden="1">
      <c r="A3093" s="78" t="s">
        <v>2958</v>
      </c>
      <c r="B3093" s="220" t="s">
        <v>1056</v>
      </c>
      <c r="C3093" s="185"/>
      <c r="D3093" s="30" t="str">
        <f>VLOOKUP(B3093, 'All Menu'!B:M, 4, 0)</f>
        <v>مخللات مشكلة</v>
      </c>
      <c r="E3093" s="30" t="str">
        <f>VLOOKUP(B3093, 'All Menu'!B:M, 2, 0)</f>
        <v>قسم الصالة</v>
      </c>
      <c r="F3093" s="103" t="str">
        <f>VLOOKUP(B3093, 'All Menu'!B:M, 3, 0)</f>
        <v>مقبلات باردة صالة</v>
      </c>
      <c r="G3093" s="90" t="s">
        <v>3058</v>
      </c>
      <c r="H3093" s="219">
        <v>4483</v>
      </c>
      <c r="I3093" s="110" t="str">
        <f>VLOOKUP(H3093, 'RM &amp; SF'!B:H, 2, 0)</f>
        <v>مخلل مشكل 10 كغ*****</v>
      </c>
      <c r="J3093" s="184" t="str">
        <f>VLOOKUP(H3093, 'RM &amp; SF'!B:E, 4, 0)</f>
        <v>غم</v>
      </c>
      <c r="K3093" s="78">
        <v>200</v>
      </c>
      <c r="L3093" s="13">
        <f>VLOOKUP(H3093, 'RM &amp; SF'!B:H, 7, 0)</f>
        <v>6.4999999999999997E-4</v>
      </c>
      <c r="M3093" s="15">
        <f t="shared" si="157"/>
        <v>0.13</v>
      </c>
      <c r="N3093" s="21" t="s">
        <v>825</v>
      </c>
      <c r="O3093" s="4">
        <f>VLOOKUP(B3093, 'All Menu'!B:L, 6, 0)</f>
        <v>1.9396551724137931</v>
      </c>
      <c r="P3093" s="6">
        <f>VLOOKUP(B3093, 'All Menu'!B:L, 9, 0)</f>
        <v>0.13</v>
      </c>
      <c r="Q3093" s="14">
        <f>VLOOKUP(B3093, 'All Menu'!B:M, 12, 0)</f>
        <v>0.93297777777777779</v>
      </c>
      <c r="R3093" s="173">
        <f t="shared" si="158"/>
        <v>0</v>
      </c>
    </row>
    <row r="3094" spans="1:18" ht="14" hidden="1">
      <c r="A3094" s="78" t="s">
        <v>2959</v>
      </c>
      <c r="B3094" s="220" t="s">
        <v>1881</v>
      </c>
      <c r="C3094" s="185"/>
      <c r="D3094" s="30" t="str">
        <f>VLOOKUP(B3094, 'All Menu'!B:M, 4, 0)</f>
        <v>اكسترا مكسرات</v>
      </c>
      <c r="E3094" s="30" t="str">
        <f>VLOOKUP(B3094, 'All Menu'!B:M, 2, 0)</f>
        <v>قسم الصالة</v>
      </c>
      <c r="F3094" s="103" t="str">
        <f>VLOOKUP(B3094, 'All Menu'!B:M, 3, 0)</f>
        <v>مقبلات ساخنة صالة</v>
      </c>
      <c r="G3094" s="90" t="s">
        <v>2341</v>
      </c>
      <c r="H3094" s="219" t="s">
        <v>706</v>
      </c>
      <c r="I3094" s="110" t="str">
        <f>VLOOKUP(H3094, 'RM &amp; SF'!B:H, 2, 0)</f>
        <v>لوز مقلي</v>
      </c>
      <c r="J3094" s="184" t="str">
        <f>VLOOKUP(H3094, 'RM &amp; SF'!B:E, 4, 0)</f>
        <v>غم</v>
      </c>
      <c r="K3094" s="78">
        <v>70</v>
      </c>
      <c r="L3094" s="13">
        <f>VLOOKUP(H3094, 'RM &amp; SF'!B:H, 7, 0)</f>
        <v>4.1352327586206888E-3</v>
      </c>
      <c r="M3094" s="15">
        <f t="shared" si="157"/>
        <v>0.28946629310344824</v>
      </c>
      <c r="N3094" s="21" t="s">
        <v>825</v>
      </c>
      <c r="O3094" s="4">
        <f>VLOOKUP(B3094, 'All Menu'!B:L, 6, 0)</f>
        <v>0.64655172413793105</v>
      </c>
      <c r="P3094" s="6">
        <f>VLOOKUP(B3094, 'All Menu'!B:L, 9, 0)</f>
        <v>0.28946629310344824</v>
      </c>
      <c r="Q3094" s="14">
        <f>VLOOKUP(B3094, 'All Menu'!B:M, 12, 0)</f>
        <v>0.55229213333333338</v>
      </c>
      <c r="R3094" s="173">
        <f t="shared" si="158"/>
        <v>0</v>
      </c>
    </row>
    <row r="3095" spans="1:18" ht="14" hidden="1">
      <c r="A3095" s="78" t="s">
        <v>2974</v>
      </c>
      <c r="B3095" s="220" t="s">
        <v>1075</v>
      </c>
      <c r="C3095" s="185"/>
      <c r="D3095" s="30" t="str">
        <f>VLOOKUP(B3095, 'All Menu'!B:M, 4, 0)</f>
        <v>فخارة نقانق ارميني</v>
      </c>
      <c r="E3095" s="30" t="str">
        <f>VLOOKUP(B3095, 'All Menu'!B:M, 2, 0)</f>
        <v>قسم الصالة</v>
      </c>
      <c r="F3095" s="103" t="str">
        <f>VLOOKUP(B3095, 'All Menu'!B:M, 3, 0)</f>
        <v>صواني وصاجيات صالة</v>
      </c>
      <c r="G3095" s="90" t="s">
        <v>3058</v>
      </c>
      <c r="H3095" s="219">
        <v>5077</v>
      </c>
      <c r="I3095" s="110" t="str">
        <f>VLOOKUP(H3095, 'RM &amp; SF'!B:H, 2, 0)</f>
        <v>نقانق عربي*****</v>
      </c>
      <c r="J3095" s="184" t="str">
        <f>VLOOKUP(H3095, 'RM &amp; SF'!B:E, 4, 0)</f>
        <v>غم</v>
      </c>
      <c r="K3095" s="78">
        <v>150</v>
      </c>
      <c r="L3095" s="13">
        <f>VLOOKUP(H3095, 'RM &amp; SF'!B:H, 7, 0)</f>
        <v>2.4172999999999998E-3</v>
      </c>
      <c r="M3095" s="15">
        <f t="shared" si="157"/>
        <v>0.362595</v>
      </c>
      <c r="N3095" s="21" t="s">
        <v>825</v>
      </c>
      <c r="O3095" s="4">
        <f>VLOOKUP(B3095, 'All Menu'!B:L, 6, 0)</f>
        <v>3.6637931034482762</v>
      </c>
      <c r="P3095" s="6">
        <f>VLOOKUP(B3095, 'All Menu'!B:L, 9, 0)</f>
        <v>0.50481100000000001</v>
      </c>
      <c r="Q3095" s="14">
        <f>VLOOKUP(B3095, 'All Menu'!B:M, 12, 0)</f>
        <v>0.86221629176470582</v>
      </c>
      <c r="R3095" s="173">
        <f t="shared" si="158"/>
        <v>0</v>
      </c>
    </row>
    <row r="3096" spans="1:18" ht="14" hidden="1">
      <c r="A3096" s="78" t="s">
        <v>2974</v>
      </c>
      <c r="B3096" s="220" t="s">
        <v>1075</v>
      </c>
      <c r="C3096" s="185"/>
      <c r="D3096" s="30" t="str">
        <f>VLOOKUP(B3096, 'All Menu'!B:M, 4, 0)</f>
        <v>فخارة نقانق ارميني</v>
      </c>
      <c r="E3096" s="30" t="str">
        <f>VLOOKUP(B3096, 'All Menu'!B:M, 2, 0)</f>
        <v>قسم الصالة</v>
      </c>
      <c r="F3096" s="103" t="str">
        <f>VLOOKUP(B3096, 'All Menu'!B:M, 3, 0)</f>
        <v>صواني وصاجيات صالة</v>
      </c>
      <c r="G3096" s="90" t="s">
        <v>2233</v>
      </c>
      <c r="H3096" s="219">
        <v>4501</v>
      </c>
      <c r="I3096" s="110" t="str">
        <f>VLOOKUP(H3096, 'RM &amp; SF'!B:H, 2, 0)</f>
        <v>فلفل حلو احمر*****</v>
      </c>
      <c r="J3096" s="184" t="str">
        <f>VLOOKUP(H3096, 'RM &amp; SF'!B:E, 4, 0)</f>
        <v>غم</v>
      </c>
      <c r="K3096" s="78">
        <v>50</v>
      </c>
      <c r="L3096" s="13">
        <f>VLOOKUP(H3096, 'RM &amp; SF'!B:H, 7, 0)</f>
        <v>7.5000000000000002E-4</v>
      </c>
      <c r="M3096" s="15">
        <f t="shared" si="157"/>
        <v>3.7499999999999999E-2</v>
      </c>
      <c r="N3096" s="21" t="s">
        <v>825</v>
      </c>
      <c r="O3096" s="4">
        <f>VLOOKUP(B3096, 'All Menu'!B:L, 6, 0)</f>
        <v>3.6637931034482762</v>
      </c>
      <c r="P3096" s="6">
        <f>VLOOKUP(B3096, 'All Menu'!B:L, 9, 0)</f>
        <v>0.50481100000000001</v>
      </c>
      <c r="Q3096" s="14">
        <f>VLOOKUP(B3096, 'All Menu'!B:M, 12, 0)</f>
        <v>0.86221629176470582</v>
      </c>
      <c r="R3096" s="173">
        <f t="shared" si="158"/>
        <v>0</v>
      </c>
    </row>
    <row r="3097" spans="1:18" ht="14" hidden="1">
      <c r="A3097" s="78" t="s">
        <v>2974</v>
      </c>
      <c r="B3097" s="220" t="s">
        <v>1075</v>
      </c>
      <c r="C3097" s="185"/>
      <c r="D3097" s="30" t="str">
        <f>VLOOKUP(B3097, 'All Menu'!B:M, 4, 0)</f>
        <v>فخارة نقانق ارميني</v>
      </c>
      <c r="E3097" s="30" t="str">
        <f>VLOOKUP(B3097, 'All Menu'!B:M, 2, 0)</f>
        <v>قسم الصالة</v>
      </c>
      <c r="F3097" s="103" t="str">
        <f>VLOOKUP(B3097, 'All Menu'!B:M, 3, 0)</f>
        <v>صواني وصاجيات صالة</v>
      </c>
      <c r="G3097" s="90" t="s">
        <v>2234</v>
      </c>
      <c r="H3097" s="219">
        <v>4503</v>
      </c>
      <c r="I3097" s="110" t="str">
        <f>VLOOKUP(H3097, 'RM &amp; SF'!B:H, 2, 0)</f>
        <v>بصل ناشف دفش*****</v>
      </c>
      <c r="J3097" s="184" t="str">
        <f>VLOOKUP(H3097, 'RM &amp; SF'!B:E, 4, 0)</f>
        <v>غم</v>
      </c>
      <c r="K3097" s="78">
        <v>50</v>
      </c>
      <c r="L3097" s="13">
        <f>VLOOKUP(H3097, 'RM &amp; SF'!B:H, 7, 0)</f>
        <v>2.5000000000000001E-4</v>
      </c>
      <c r="M3097" s="15">
        <f t="shared" si="157"/>
        <v>1.2500000000000001E-2</v>
      </c>
      <c r="N3097" s="21" t="s">
        <v>825</v>
      </c>
      <c r="O3097" s="4">
        <f>VLOOKUP(B3097, 'All Menu'!B:L, 6, 0)</f>
        <v>3.6637931034482762</v>
      </c>
      <c r="P3097" s="6">
        <f>VLOOKUP(B3097, 'All Menu'!B:L, 9, 0)</f>
        <v>0.50481100000000001</v>
      </c>
      <c r="Q3097" s="14">
        <f>VLOOKUP(B3097, 'All Menu'!B:M, 12, 0)</f>
        <v>0.86221629176470582</v>
      </c>
      <c r="R3097" s="173">
        <f t="shared" si="158"/>
        <v>0</v>
      </c>
    </row>
    <row r="3098" spans="1:18" ht="14" hidden="1">
      <c r="A3098" s="78" t="s">
        <v>2974</v>
      </c>
      <c r="B3098" s="220" t="s">
        <v>1075</v>
      </c>
      <c r="C3098" s="185"/>
      <c r="D3098" s="30" t="str">
        <f>VLOOKUP(B3098, 'All Menu'!B:M, 4, 0)</f>
        <v>فخارة نقانق ارميني</v>
      </c>
      <c r="E3098" s="30" t="str">
        <f>VLOOKUP(B3098, 'All Menu'!B:M, 2, 0)</f>
        <v>قسم الصالة</v>
      </c>
      <c r="F3098" s="103" t="str">
        <f>VLOOKUP(B3098, 'All Menu'!B:M, 3, 0)</f>
        <v>صواني وصاجيات صالة</v>
      </c>
      <c r="G3098" s="90" t="s">
        <v>2260</v>
      </c>
      <c r="H3098" s="219">
        <v>4160</v>
      </c>
      <c r="I3098" s="110" t="str">
        <f>VLOOKUP(H3098, 'RM &amp; SF'!B:H, 2, 0)</f>
        <v>زيت صويا 18 لتر*****</v>
      </c>
      <c r="J3098" s="184" t="str">
        <f>VLOOKUP(H3098, 'RM &amp; SF'!B:E, 4, 0)</f>
        <v>مل</v>
      </c>
      <c r="K3098" s="78">
        <v>20</v>
      </c>
      <c r="L3098" s="13">
        <f>VLOOKUP(H3098, 'RM &amp; SF'!B:H, 7, 0)</f>
        <v>1.335E-3</v>
      </c>
      <c r="M3098" s="15">
        <f t="shared" si="157"/>
        <v>2.6700000000000002E-2</v>
      </c>
      <c r="N3098" s="21" t="s">
        <v>825</v>
      </c>
      <c r="O3098" s="4">
        <f>VLOOKUP(B3098, 'All Menu'!B:L, 6, 0)</f>
        <v>3.6637931034482762</v>
      </c>
      <c r="P3098" s="6">
        <f>VLOOKUP(B3098, 'All Menu'!B:L, 9, 0)</f>
        <v>0.50481100000000001</v>
      </c>
      <c r="Q3098" s="14">
        <f>VLOOKUP(B3098, 'All Menu'!B:M, 12, 0)</f>
        <v>0.86221629176470582</v>
      </c>
      <c r="R3098" s="173">
        <f t="shared" si="158"/>
        <v>0</v>
      </c>
    </row>
    <row r="3099" spans="1:18" ht="14" hidden="1">
      <c r="A3099" s="78" t="s">
        <v>2974</v>
      </c>
      <c r="B3099" s="220" t="s">
        <v>1075</v>
      </c>
      <c r="C3099" s="185"/>
      <c r="D3099" s="30" t="str">
        <f>VLOOKUP(B3099, 'All Menu'!B:M, 4, 0)</f>
        <v>فخارة نقانق ارميني</v>
      </c>
      <c r="E3099" s="30" t="str">
        <f>VLOOKUP(B3099, 'All Menu'!B:M, 2, 0)</f>
        <v>قسم الصالة</v>
      </c>
      <c r="F3099" s="103" t="str">
        <f>VLOOKUP(B3099, 'All Menu'!B:M, 3, 0)</f>
        <v>صواني وصاجيات صالة</v>
      </c>
      <c r="G3099" s="90" t="s">
        <v>2251</v>
      </c>
      <c r="H3099" s="219">
        <v>4544</v>
      </c>
      <c r="I3099" s="110" t="str">
        <f>VLOOKUP(H3099, 'RM &amp; SF'!B:H, 2, 0)</f>
        <v>بقدونس*****</v>
      </c>
      <c r="J3099" s="184" t="str">
        <f>VLOOKUP(H3099, 'RM &amp; SF'!B:E, 4, 0)</f>
        <v>غم</v>
      </c>
      <c r="K3099" s="78">
        <v>30</v>
      </c>
      <c r="L3099" s="13">
        <f>VLOOKUP(H3099, 'RM &amp; SF'!B:H, 7, 0)</f>
        <v>7.5000000000000002E-4</v>
      </c>
      <c r="M3099" s="15">
        <f t="shared" si="157"/>
        <v>2.2499999999999999E-2</v>
      </c>
      <c r="N3099" s="21" t="s">
        <v>825</v>
      </c>
      <c r="O3099" s="4">
        <f>VLOOKUP(B3099, 'All Menu'!B:L, 6, 0)</f>
        <v>3.6637931034482762</v>
      </c>
      <c r="P3099" s="6">
        <f>VLOOKUP(B3099, 'All Menu'!B:L, 9, 0)</f>
        <v>0.50481100000000001</v>
      </c>
      <c r="Q3099" s="14">
        <f>VLOOKUP(B3099, 'All Menu'!B:M, 12, 0)</f>
        <v>0.86221629176470582</v>
      </c>
      <c r="R3099" s="173">
        <f t="shared" si="158"/>
        <v>0</v>
      </c>
    </row>
    <row r="3100" spans="1:18" ht="14" hidden="1">
      <c r="A3100" s="78" t="s">
        <v>2974</v>
      </c>
      <c r="B3100" s="220" t="s">
        <v>1075</v>
      </c>
      <c r="C3100" s="185"/>
      <c r="D3100" s="30" t="str">
        <f>VLOOKUP(B3100, 'All Menu'!B:M, 4, 0)</f>
        <v>فخارة نقانق ارميني</v>
      </c>
      <c r="E3100" s="30" t="str">
        <f>VLOOKUP(B3100, 'All Menu'!B:M, 2, 0)</f>
        <v>قسم الصالة</v>
      </c>
      <c r="F3100" s="103" t="str">
        <f>VLOOKUP(B3100, 'All Menu'!B:M, 3, 0)</f>
        <v>صواني وصاجيات صالة</v>
      </c>
      <c r="G3100" s="90" t="s">
        <v>2203</v>
      </c>
      <c r="H3100" s="219">
        <v>4152</v>
      </c>
      <c r="I3100" s="110" t="str">
        <f>VLOOKUP(H3100, 'RM &amp; SF'!B:H, 2, 0)</f>
        <v>ملح طعام 750غم*****</v>
      </c>
      <c r="J3100" s="184" t="str">
        <f>VLOOKUP(H3100, 'RM &amp; SF'!B:E, 4, 0)</f>
        <v>غم</v>
      </c>
      <c r="K3100" s="78">
        <v>3</v>
      </c>
      <c r="L3100" s="13">
        <f>VLOOKUP(H3100, 'RM &amp; SF'!B:H, 7, 0)</f>
        <v>1.7066666666666665E-4</v>
      </c>
      <c r="M3100" s="15">
        <f t="shared" si="157"/>
        <v>5.1199999999999998E-4</v>
      </c>
      <c r="N3100" s="21" t="s">
        <v>825</v>
      </c>
      <c r="O3100" s="4">
        <f>VLOOKUP(B3100, 'All Menu'!B:L, 6, 0)</f>
        <v>3.6637931034482762</v>
      </c>
      <c r="P3100" s="6">
        <f>VLOOKUP(B3100, 'All Menu'!B:L, 9, 0)</f>
        <v>0.50481100000000001</v>
      </c>
      <c r="Q3100" s="14">
        <f>VLOOKUP(B3100, 'All Menu'!B:M, 12, 0)</f>
        <v>0.86221629176470582</v>
      </c>
      <c r="R3100" s="173">
        <f t="shared" si="158"/>
        <v>0</v>
      </c>
    </row>
    <row r="3101" spans="1:18" ht="14" hidden="1">
      <c r="A3101" s="78" t="s">
        <v>2974</v>
      </c>
      <c r="B3101" s="220" t="s">
        <v>1075</v>
      </c>
      <c r="C3101" s="185"/>
      <c r="D3101" s="30" t="str">
        <f>VLOOKUP(B3101, 'All Menu'!B:M, 4, 0)</f>
        <v>فخارة نقانق ارميني</v>
      </c>
      <c r="E3101" s="30" t="str">
        <f>VLOOKUP(B3101, 'All Menu'!B:M, 2, 0)</f>
        <v>قسم الصالة</v>
      </c>
      <c r="F3101" s="103" t="str">
        <f>VLOOKUP(B3101, 'All Menu'!B:M, 3, 0)</f>
        <v>صواني وصاجيات صالة</v>
      </c>
      <c r="G3101" s="90" t="s">
        <v>2206</v>
      </c>
      <c r="H3101" s="219">
        <v>4204</v>
      </c>
      <c r="I3101" s="110" t="str">
        <f>VLOOKUP(H3101, 'RM &amp; SF'!B:H, 2, 0)</f>
        <v>فلفل اسود ناعم*****</v>
      </c>
      <c r="J3101" s="184" t="str">
        <f>VLOOKUP(H3101, 'RM &amp; SF'!B:E, 4, 0)</f>
        <v>غم</v>
      </c>
      <c r="K3101" s="78">
        <v>2</v>
      </c>
      <c r="L3101" s="13">
        <f>VLOOKUP(H3101, 'RM &amp; SF'!B:H, 7, 0)</f>
        <v>6.8970000000000004E-3</v>
      </c>
      <c r="M3101" s="15">
        <f t="shared" si="157"/>
        <v>1.3794000000000001E-2</v>
      </c>
      <c r="N3101" s="21" t="s">
        <v>825</v>
      </c>
      <c r="O3101" s="4">
        <f>VLOOKUP(B3101, 'All Menu'!B:L, 6, 0)</f>
        <v>3.6637931034482762</v>
      </c>
      <c r="P3101" s="6">
        <f>VLOOKUP(B3101, 'All Menu'!B:L, 9, 0)</f>
        <v>0.50481100000000001</v>
      </c>
      <c r="Q3101" s="14">
        <f>VLOOKUP(B3101, 'All Menu'!B:M, 12, 0)</f>
        <v>0.86221629176470582</v>
      </c>
      <c r="R3101" s="173">
        <f t="shared" si="158"/>
        <v>0</v>
      </c>
    </row>
    <row r="3102" spans="1:18" ht="14" hidden="1">
      <c r="A3102" s="78" t="s">
        <v>2974</v>
      </c>
      <c r="B3102" s="220" t="s">
        <v>1075</v>
      </c>
      <c r="C3102" s="185"/>
      <c r="D3102" s="30" t="str">
        <f>VLOOKUP(B3102, 'All Menu'!B:M, 4, 0)</f>
        <v>فخارة نقانق ارميني</v>
      </c>
      <c r="E3102" s="30" t="str">
        <f>VLOOKUP(B3102, 'All Menu'!B:M, 2, 0)</f>
        <v>قسم الصالة</v>
      </c>
      <c r="F3102" s="103" t="str">
        <f>VLOOKUP(B3102, 'All Menu'!B:M, 3, 0)</f>
        <v>صواني وصاجيات صالة</v>
      </c>
      <c r="G3102" s="90" t="s">
        <v>2223</v>
      </c>
      <c r="H3102" s="219">
        <v>4241</v>
      </c>
      <c r="I3102" s="110" t="str">
        <f>VLOOKUP(H3102, 'RM &amp; SF'!B:H, 2, 0)</f>
        <v>بهارات كيجن عادي*****</v>
      </c>
      <c r="J3102" s="184" t="str">
        <f>VLOOKUP(H3102, 'RM &amp; SF'!B:E, 4, 0)</f>
        <v>غم</v>
      </c>
      <c r="K3102" s="78">
        <v>2</v>
      </c>
      <c r="L3102" s="13">
        <f>VLOOKUP(H3102, 'RM &amp; SF'!B:H, 7, 0)</f>
        <v>3.8790000000000001E-3</v>
      </c>
      <c r="M3102" s="15">
        <f t="shared" si="157"/>
        <v>7.7580000000000001E-3</v>
      </c>
      <c r="N3102" s="21" t="s">
        <v>825</v>
      </c>
      <c r="O3102" s="4">
        <f>VLOOKUP(B3102, 'All Menu'!B:L, 6, 0)</f>
        <v>3.6637931034482762</v>
      </c>
      <c r="P3102" s="6">
        <f>VLOOKUP(B3102, 'All Menu'!B:L, 9, 0)</f>
        <v>0.50481100000000001</v>
      </c>
      <c r="Q3102" s="14">
        <f>VLOOKUP(B3102, 'All Menu'!B:M, 12, 0)</f>
        <v>0.86221629176470582</v>
      </c>
      <c r="R3102" s="173">
        <f t="shared" si="158"/>
        <v>0</v>
      </c>
    </row>
    <row r="3103" spans="1:18" ht="14" hidden="1">
      <c r="A3103" s="78" t="s">
        <v>2974</v>
      </c>
      <c r="B3103" s="220" t="s">
        <v>1075</v>
      </c>
      <c r="C3103" s="185"/>
      <c r="D3103" s="30" t="str">
        <f>VLOOKUP(B3103, 'All Menu'!B:M, 4, 0)</f>
        <v>فخارة نقانق ارميني</v>
      </c>
      <c r="E3103" s="30" t="str">
        <f>VLOOKUP(B3103, 'All Menu'!B:M, 2, 0)</f>
        <v>قسم الصالة</v>
      </c>
      <c r="F3103" s="103" t="str">
        <f>VLOOKUP(B3103, 'All Menu'!B:M, 3, 0)</f>
        <v>صواني وصاجيات صالة</v>
      </c>
      <c r="G3103" s="90" t="s">
        <v>2234</v>
      </c>
      <c r="H3103" s="219">
        <v>4503</v>
      </c>
      <c r="I3103" s="110" t="str">
        <f>VLOOKUP(H3103, 'RM &amp; SF'!B:H, 2, 0)</f>
        <v>بصل ناشف دفش*****</v>
      </c>
      <c r="J3103" s="184" t="str">
        <f>VLOOKUP(H3103, 'RM &amp; SF'!B:E, 4, 0)</f>
        <v>غم</v>
      </c>
      <c r="K3103" s="78">
        <v>5</v>
      </c>
      <c r="L3103" s="13">
        <f>VLOOKUP(H3103, 'RM &amp; SF'!B:H, 7, 0)</f>
        <v>2.5000000000000001E-4</v>
      </c>
      <c r="M3103" s="15">
        <f t="shared" si="157"/>
        <v>1.25E-3</v>
      </c>
      <c r="N3103" s="21" t="s">
        <v>825</v>
      </c>
      <c r="O3103" s="4">
        <f>VLOOKUP(B3103, 'All Menu'!B:L, 6, 0)</f>
        <v>3.6637931034482762</v>
      </c>
      <c r="P3103" s="6">
        <f>VLOOKUP(B3103, 'All Menu'!B:L, 9, 0)</f>
        <v>0.50481100000000001</v>
      </c>
      <c r="Q3103" s="14">
        <f>VLOOKUP(B3103, 'All Menu'!B:M, 12, 0)</f>
        <v>0.86221629176470582</v>
      </c>
      <c r="R3103" s="173">
        <f t="shared" si="158"/>
        <v>0</v>
      </c>
    </row>
    <row r="3104" spans="1:18" ht="14" hidden="1">
      <c r="A3104" s="78" t="s">
        <v>2974</v>
      </c>
      <c r="B3104" s="220" t="s">
        <v>1075</v>
      </c>
      <c r="C3104" s="185"/>
      <c r="D3104" s="30" t="str">
        <f>VLOOKUP(B3104, 'All Menu'!B:M, 4, 0)</f>
        <v>فخارة نقانق ارميني</v>
      </c>
      <c r="E3104" s="30" t="str">
        <f>VLOOKUP(B3104, 'All Menu'!B:M, 2, 0)</f>
        <v>قسم الصالة</v>
      </c>
      <c r="F3104" s="103" t="str">
        <f>VLOOKUP(B3104, 'All Menu'!B:M, 3, 0)</f>
        <v>صواني وصاجيات صالة</v>
      </c>
      <c r="G3104" s="90" t="s">
        <v>2231</v>
      </c>
      <c r="H3104" s="219">
        <v>4499</v>
      </c>
      <c r="I3104" s="110" t="str">
        <f>VLOOKUP(H3104, 'RM &amp; SF'!B:H, 2, 0)</f>
        <v>فلفل حار اخضر*****</v>
      </c>
      <c r="J3104" s="184" t="str">
        <f>VLOOKUP(H3104, 'RM &amp; SF'!B:E, 4, 0)</f>
        <v>غم</v>
      </c>
      <c r="K3104" s="78">
        <v>20</v>
      </c>
      <c r="L3104" s="13">
        <f>VLOOKUP(H3104, 'RM &amp; SF'!B:H, 7, 0)</f>
        <v>5.0000000000000001E-4</v>
      </c>
      <c r="M3104" s="15">
        <f t="shared" si="157"/>
        <v>0.01</v>
      </c>
      <c r="N3104" s="21" t="s">
        <v>825</v>
      </c>
      <c r="O3104" s="4">
        <f>VLOOKUP(B3104, 'All Menu'!B:L, 6, 0)</f>
        <v>3.6637931034482762</v>
      </c>
      <c r="P3104" s="6">
        <f>VLOOKUP(B3104, 'All Menu'!B:L, 9, 0)</f>
        <v>0.50481100000000001</v>
      </c>
      <c r="Q3104" s="14">
        <f>VLOOKUP(B3104, 'All Menu'!B:M, 12, 0)</f>
        <v>0.86221629176470582</v>
      </c>
      <c r="R3104" s="173">
        <f t="shared" si="158"/>
        <v>0</v>
      </c>
    </row>
    <row r="3105" spans="1:18" ht="14" hidden="1">
      <c r="A3105" s="78" t="s">
        <v>2974</v>
      </c>
      <c r="B3105" s="220" t="s">
        <v>1075</v>
      </c>
      <c r="C3105" s="185"/>
      <c r="D3105" s="30" t="str">
        <f>VLOOKUP(B3105, 'All Menu'!B:M, 4, 0)</f>
        <v>فخارة نقانق ارميني</v>
      </c>
      <c r="E3105" s="30" t="str">
        <f>VLOOKUP(B3105, 'All Menu'!B:M, 2, 0)</f>
        <v>قسم الصالة</v>
      </c>
      <c r="F3105" s="103" t="str">
        <f>VLOOKUP(B3105, 'All Menu'!B:M, 3, 0)</f>
        <v>صواني وصاجيات صالة</v>
      </c>
      <c r="G3105" s="90" t="s">
        <v>2345</v>
      </c>
      <c r="H3105" s="219" t="s">
        <v>714</v>
      </c>
      <c r="I3105" s="110" t="str">
        <f>VLOOKUP(H3105, 'RM &amp; SF'!B:H, 2, 0)</f>
        <v>ثوم وزيت</v>
      </c>
      <c r="J3105" s="184" t="str">
        <f>VLOOKUP(H3105, 'RM &amp; SF'!B:E, 4, 0)</f>
        <v>غم</v>
      </c>
      <c r="K3105" s="78">
        <v>3</v>
      </c>
      <c r="L3105" s="13">
        <f>VLOOKUP(H3105, 'RM &amp; SF'!B:H, 7, 0)</f>
        <v>3.2339999999999999E-3</v>
      </c>
      <c r="M3105" s="15">
        <f t="shared" si="157"/>
        <v>9.7019999999999988E-3</v>
      </c>
      <c r="N3105" s="21" t="s">
        <v>825</v>
      </c>
      <c r="O3105" s="4">
        <f>VLOOKUP(B3105, 'All Menu'!B:L, 6, 0)</f>
        <v>3.6637931034482762</v>
      </c>
      <c r="P3105" s="6">
        <f>VLOOKUP(B3105, 'All Menu'!B:L, 9, 0)</f>
        <v>0.50481100000000001</v>
      </c>
      <c r="Q3105" s="14">
        <f>VLOOKUP(B3105, 'All Menu'!B:M, 12, 0)</f>
        <v>0.86221629176470582</v>
      </c>
      <c r="R3105" s="173">
        <f t="shared" si="158"/>
        <v>0</v>
      </c>
    </row>
    <row r="3106" spans="1:18" ht="14" hidden="1">
      <c r="A3106" s="78" t="s">
        <v>2978</v>
      </c>
      <c r="B3106" s="220" t="s">
        <v>1092</v>
      </c>
      <c r="C3106" s="185"/>
      <c r="D3106" s="30" t="str">
        <f>VLOOKUP(B3106, 'All Menu'!B:M, 4, 0)</f>
        <v>ام علي</v>
      </c>
      <c r="E3106" s="30" t="str">
        <f>VLOOKUP(B3106, 'All Menu'!B:M, 2, 0)</f>
        <v>قسم الصالة</v>
      </c>
      <c r="F3106" s="103" t="str">
        <f>VLOOKUP(B3106, 'All Menu'!B:M, 3, 0)</f>
        <v>حلويات صالة</v>
      </c>
      <c r="G3106" s="90" t="s">
        <v>3058</v>
      </c>
      <c r="H3106" s="219">
        <v>4646</v>
      </c>
      <c r="I3106" s="110" t="str">
        <f>VLOOKUP(H3106, 'RM &amp; SF'!B:H, 2, 0)</f>
        <v>رقائق بف بيستري 400 غم 10 حبة*****</v>
      </c>
      <c r="J3106" s="184" t="str">
        <f>VLOOKUP(H3106, 'RM &amp; SF'!B:E, 4, 0)</f>
        <v>غم</v>
      </c>
      <c r="K3106" s="78">
        <v>60</v>
      </c>
      <c r="L3106" s="13">
        <f>VLOOKUP(H3106, 'RM &amp; SF'!B:H, 7, 0)</f>
        <v>3.4482758620689659E-3</v>
      </c>
      <c r="M3106" s="15">
        <f t="shared" si="157"/>
        <v>0.20689655172413796</v>
      </c>
      <c r="N3106" s="21" t="s">
        <v>825</v>
      </c>
      <c r="O3106" s="4">
        <f>VLOOKUP(B3106, 'All Menu'!B:L, 6, 0)</f>
        <v>3.0172413793103452</v>
      </c>
      <c r="P3106" s="6">
        <f>VLOOKUP(B3106, 'All Menu'!B:L, 9, 0)</f>
        <v>0.49158024137931045</v>
      </c>
      <c r="Q3106" s="14">
        <f>VLOOKUP(B3106, 'All Menu'!B:M, 12, 0)</f>
        <v>0.83707626285714287</v>
      </c>
      <c r="R3106" s="173">
        <f t="shared" si="158"/>
        <v>0</v>
      </c>
    </row>
    <row r="3107" spans="1:18" ht="14" hidden="1">
      <c r="A3107" s="78" t="s">
        <v>2978</v>
      </c>
      <c r="B3107" s="220" t="s">
        <v>1092</v>
      </c>
      <c r="C3107" s="185"/>
      <c r="D3107" s="30" t="str">
        <f>VLOOKUP(B3107, 'All Menu'!B:M, 4, 0)</f>
        <v>ام علي</v>
      </c>
      <c r="E3107" s="30" t="str">
        <f>VLOOKUP(B3107, 'All Menu'!B:M, 2, 0)</f>
        <v>قسم الصالة</v>
      </c>
      <c r="F3107" s="103" t="str">
        <f>VLOOKUP(B3107, 'All Menu'!B:M, 3, 0)</f>
        <v>حلويات صالة</v>
      </c>
      <c r="G3107" s="90" t="s">
        <v>2290</v>
      </c>
      <c r="H3107" s="219">
        <v>4554</v>
      </c>
      <c r="I3107" s="110" t="str">
        <f>VLOOKUP(H3107, 'RM &amp; SF'!B:H, 2, 0)</f>
        <v>حليب طويل الأجل كامل الدسم 1 لتر*****</v>
      </c>
      <c r="J3107" s="184" t="str">
        <f>VLOOKUP(H3107, 'RM &amp; SF'!B:E, 4, 0)</f>
        <v>مل</v>
      </c>
      <c r="K3107" s="78">
        <v>170</v>
      </c>
      <c r="L3107" s="13">
        <f>VLOOKUP(H3107, 'RM &amp; SF'!B:H, 7, 0)</f>
        <v>8.0000000000000004E-4</v>
      </c>
      <c r="M3107" s="15">
        <f t="shared" si="157"/>
        <v>0.13600000000000001</v>
      </c>
      <c r="N3107" s="21" t="s">
        <v>825</v>
      </c>
      <c r="O3107" s="4">
        <f>VLOOKUP(B3107, 'All Menu'!B:L, 6, 0)</f>
        <v>3.0172413793103452</v>
      </c>
      <c r="P3107" s="6">
        <f>VLOOKUP(B3107, 'All Menu'!B:L, 9, 0)</f>
        <v>0.49158024137931045</v>
      </c>
      <c r="Q3107" s="14">
        <f>VLOOKUP(B3107, 'All Menu'!B:M, 12, 0)</f>
        <v>0.83707626285714287</v>
      </c>
      <c r="R3107" s="173">
        <f t="shared" si="158"/>
        <v>0</v>
      </c>
    </row>
    <row r="3108" spans="1:18" ht="14" hidden="1">
      <c r="A3108" s="78" t="s">
        <v>2978</v>
      </c>
      <c r="B3108" s="220" t="s">
        <v>1092</v>
      </c>
      <c r="C3108" s="185"/>
      <c r="D3108" s="30" t="str">
        <f>VLOOKUP(B3108, 'All Menu'!B:M, 4, 0)</f>
        <v>ام علي</v>
      </c>
      <c r="E3108" s="30" t="str">
        <f>VLOOKUP(B3108, 'All Menu'!B:M, 2, 0)</f>
        <v>قسم الصالة</v>
      </c>
      <c r="F3108" s="103" t="str">
        <f>VLOOKUP(B3108, 'All Menu'!B:M, 3, 0)</f>
        <v>حلويات صالة</v>
      </c>
      <c r="G3108" s="90" t="s">
        <v>2284</v>
      </c>
      <c r="H3108" s="219">
        <v>4153</v>
      </c>
      <c r="I3108" s="110" t="str">
        <f>VLOOKUP(H3108, 'RM &amp; SF'!B:H, 2, 0)</f>
        <v>سكر ابيض ناعم*****</v>
      </c>
      <c r="J3108" s="184" t="str">
        <f>VLOOKUP(H3108, 'RM &amp; SF'!B:E, 4, 0)</f>
        <v>غم</v>
      </c>
      <c r="K3108" s="78">
        <v>25</v>
      </c>
      <c r="L3108" s="13">
        <f>VLOOKUP(H3108, 'RM &amp; SF'!B:H, 7, 0)</f>
        <v>5.2499999999999997E-4</v>
      </c>
      <c r="M3108" s="15">
        <f t="shared" si="157"/>
        <v>1.3125E-2</v>
      </c>
      <c r="N3108" s="21" t="s">
        <v>825</v>
      </c>
      <c r="O3108" s="4">
        <f>VLOOKUP(B3108, 'All Menu'!B:L, 6, 0)</f>
        <v>3.0172413793103452</v>
      </c>
      <c r="P3108" s="6">
        <f>VLOOKUP(B3108, 'All Menu'!B:L, 9, 0)</f>
        <v>0.49158024137931045</v>
      </c>
      <c r="Q3108" s="14">
        <f>VLOOKUP(B3108, 'All Menu'!B:M, 12, 0)</f>
        <v>0.83707626285714287</v>
      </c>
      <c r="R3108" s="173">
        <f t="shared" si="158"/>
        <v>0</v>
      </c>
    </row>
    <row r="3109" spans="1:18" ht="14" hidden="1">
      <c r="A3109" s="78" t="s">
        <v>2978</v>
      </c>
      <c r="B3109" s="220" t="s">
        <v>1092</v>
      </c>
      <c r="C3109" s="185"/>
      <c r="D3109" s="30" t="str">
        <f>VLOOKUP(B3109, 'All Menu'!B:M, 4, 0)</f>
        <v>ام علي</v>
      </c>
      <c r="E3109" s="30" t="str">
        <f>VLOOKUP(B3109, 'All Menu'!B:M, 2, 0)</f>
        <v>قسم الصالة</v>
      </c>
      <c r="F3109" s="103" t="str">
        <f>VLOOKUP(B3109, 'All Menu'!B:M, 3, 0)</f>
        <v>حلويات صالة</v>
      </c>
      <c r="G3109" s="90" t="s">
        <v>3058</v>
      </c>
      <c r="H3109" s="219">
        <v>4248</v>
      </c>
      <c r="I3109" s="110" t="str">
        <f>VLOOKUP(H3109, 'RM &amp; SF'!B:H, 2, 0)</f>
        <v>فستق حلبي*****</v>
      </c>
      <c r="J3109" s="184" t="str">
        <f>VLOOKUP(H3109, 'RM &amp; SF'!B:E, 4, 0)</f>
        <v>غم</v>
      </c>
      <c r="K3109" s="78">
        <v>7</v>
      </c>
      <c r="L3109" s="13">
        <f>VLOOKUP(H3109, 'RM &amp; SF'!B:H, 7, 0)</f>
        <v>1.5948E-2</v>
      </c>
      <c r="M3109" s="15">
        <f t="shared" si="157"/>
        <v>0.111636</v>
      </c>
      <c r="N3109" s="21" t="s">
        <v>825</v>
      </c>
      <c r="O3109" s="4">
        <f>VLOOKUP(B3109, 'All Menu'!B:L, 6, 0)</f>
        <v>3.0172413793103452</v>
      </c>
      <c r="P3109" s="6">
        <f>VLOOKUP(B3109, 'All Menu'!B:L, 9, 0)</f>
        <v>0.49158024137931045</v>
      </c>
      <c r="Q3109" s="14">
        <f>VLOOKUP(B3109, 'All Menu'!B:M, 12, 0)</f>
        <v>0.83707626285714287</v>
      </c>
      <c r="R3109" s="173">
        <f t="shared" si="158"/>
        <v>0</v>
      </c>
    </row>
    <row r="3110" spans="1:18" ht="14" hidden="1">
      <c r="A3110" s="78" t="s">
        <v>2978</v>
      </c>
      <c r="B3110" s="220" t="s">
        <v>1092</v>
      </c>
      <c r="C3110" s="185"/>
      <c r="D3110" s="30" t="str">
        <f>VLOOKUP(B3110, 'All Menu'!B:M, 4, 0)</f>
        <v>ام علي</v>
      </c>
      <c r="E3110" s="30" t="str">
        <f>VLOOKUP(B3110, 'All Menu'!B:M, 2, 0)</f>
        <v>قسم الصالة</v>
      </c>
      <c r="F3110" s="103" t="str">
        <f>VLOOKUP(B3110, 'All Menu'!B:M, 3, 0)</f>
        <v>حلويات صالة</v>
      </c>
      <c r="G3110" s="90" t="s">
        <v>3058</v>
      </c>
      <c r="H3110" s="219">
        <v>4151</v>
      </c>
      <c r="I3110" s="110" t="str">
        <f>VLOOKUP(H3110, 'RM &amp; SF'!B:H, 2, 0)</f>
        <v>زبيب ذهبي*****</v>
      </c>
      <c r="J3110" s="184" t="str">
        <f>VLOOKUP(H3110, 'RM &amp; SF'!B:E, 4, 0)</f>
        <v>غم</v>
      </c>
      <c r="K3110" s="78">
        <v>7</v>
      </c>
      <c r="L3110" s="13">
        <f>VLOOKUP(H3110, 'RM &amp; SF'!B:H, 7, 0)</f>
        <v>3.0172413793103452E-3</v>
      </c>
      <c r="M3110" s="15">
        <f t="shared" si="157"/>
        <v>2.1120689655172418E-2</v>
      </c>
      <c r="N3110" s="21" t="s">
        <v>825</v>
      </c>
      <c r="O3110" s="4">
        <f>VLOOKUP(B3110, 'All Menu'!B:L, 6, 0)</f>
        <v>3.0172413793103452</v>
      </c>
      <c r="P3110" s="6">
        <f>VLOOKUP(B3110, 'All Menu'!B:L, 9, 0)</f>
        <v>0.49158024137931045</v>
      </c>
      <c r="Q3110" s="14">
        <f>VLOOKUP(B3110, 'All Menu'!B:M, 12, 0)</f>
        <v>0.83707626285714287</v>
      </c>
      <c r="R3110" s="173">
        <f t="shared" si="158"/>
        <v>0</v>
      </c>
    </row>
    <row r="3111" spans="1:18" ht="14" hidden="1">
      <c r="A3111" s="78" t="s">
        <v>2978</v>
      </c>
      <c r="B3111" s="220" t="s">
        <v>1092</v>
      </c>
      <c r="C3111" s="185"/>
      <c r="D3111" s="30" t="str">
        <f>VLOOKUP(B3111, 'All Menu'!B:M, 4, 0)</f>
        <v>ام علي</v>
      </c>
      <c r="E3111" s="30" t="str">
        <f>VLOOKUP(B3111, 'All Menu'!B:M, 2, 0)</f>
        <v>قسم الصالة</v>
      </c>
      <c r="F3111" s="103" t="str">
        <f>VLOOKUP(B3111, 'All Menu'!B:M, 3, 0)</f>
        <v>حلويات صالة</v>
      </c>
      <c r="G3111" s="90" t="s">
        <v>2211</v>
      </c>
      <c r="H3111" s="219">
        <v>4214</v>
      </c>
      <c r="I3111" s="110" t="str">
        <f>VLOOKUP(H3111, 'RM &amp; SF'!B:H, 2, 0)</f>
        <v>قرفة ناعمة*****</v>
      </c>
      <c r="J3111" s="184" t="str">
        <f>VLOOKUP(H3111, 'RM &amp; SF'!B:E, 4, 0)</f>
        <v>غم</v>
      </c>
      <c r="K3111" s="78">
        <v>1</v>
      </c>
      <c r="L3111" s="13">
        <f>VLOOKUP(H3111, 'RM &amp; SF'!B:H, 7, 0)</f>
        <v>2.8020000000000002E-3</v>
      </c>
      <c r="M3111" s="15">
        <f t="shared" si="157"/>
        <v>2.8020000000000002E-3</v>
      </c>
      <c r="N3111" s="21" t="s">
        <v>825</v>
      </c>
      <c r="O3111" s="4">
        <f>VLOOKUP(B3111, 'All Menu'!B:L, 6, 0)</f>
        <v>3.0172413793103452</v>
      </c>
      <c r="P3111" s="6">
        <f>VLOOKUP(B3111, 'All Menu'!B:L, 9, 0)</f>
        <v>0.49158024137931045</v>
      </c>
      <c r="Q3111" s="14">
        <f>VLOOKUP(B3111, 'All Menu'!B:M, 12, 0)</f>
        <v>0.83707626285714287</v>
      </c>
      <c r="R3111" s="173">
        <f t="shared" si="158"/>
        <v>0</v>
      </c>
    </row>
    <row r="3112" spans="1:18" ht="14" hidden="1">
      <c r="A3112" s="78" t="s">
        <v>3097</v>
      </c>
      <c r="B3112" s="220" t="s">
        <v>1095</v>
      </c>
      <c r="C3112" s="185"/>
      <c r="D3112" s="30" t="str">
        <f>VLOOKUP(B3112, 'All Menu'!B:M, 4, 0)</f>
        <v>شوربة خضار</v>
      </c>
      <c r="E3112" s="30" t="str">
        <f>VLOOKUP(B3112, 'All Menu'!B:M, 2, 0)</f>
        <v>قسم الصالة</v>
      </c>
      <c r="F3112" s="103" t="str">
        <f>VLOOKUP(B3112, 'All Menu'!B:M, 3, 0)</f>
        <v>شوربات صالة</v>
      </c>
      <c r="G3112" s="90" t="s">
        <v>2428</v>
      </c>
      <c r="H3112" s="219" t="s">
        <v>632</v>
      </c>
      <c r="I3112" s="110" t="str">
        <f>VLOOKUP(H3112, 'RM &amp; SF'!B:H, 2, 0)</f>
        <v>شوربة خضار</v>
      </c>
      <c r="J3112" s="184" t="str">
        <f>VLOOKUP(H3112, 'RM &amp; SF'!B:E, 4, 0)</f>
        <v>غم</v>
      </c>
      <c r="K3112" s="78">
        <v>500</v>
      </c>
      <c r="L3112" s="13">
        <f>VLOOKUP(H3112, 'RM &amp; SF'!B:H, 7, 0)</f>
        <v>1.3420769885057472E-4</v>
      </c>
      <c r="M3112" s="15">
        <f t="shared" si="157"/>
        <v>6.7103849425287368E-2</v>
      </c>
      <c r="N3112" s="21" t="s">
        <v>825</v>
      </c>
      <c r="O3112" s="4">
        <f>VLOOKUP(B3112, 'All Menu'!B:L, 6, 0)</f>
        <v>1.6810344827586208</v>
      </c>
      <c r="P3112" s="6">
        <f>VLOOKUP(B3112, 'All Menu'!B:L, 9, 0)</f>
        <v>6.7103849425287368E-2</v>
      </c>
      <c r="Q3112" s="14">
        <f>VLOOKUP(B3112, 'All Menu'!B:M, 12, 0)</f>
        <v>0.96008181264957271</v>
      </c>
      <c r="R3112" s="173">
        <f t="shared" si="158"/>
        <v>0</v>
      </c>
    </row>
    <row r="3113" spans="1:18" ht="14" hidden="1">
      <c r="A3113" s="78" t="s">
        <v>3089</v>
      </c>
      <c r="B3113" s="220" t="s">
        <v>1103</v>
      </c>
      <c r="C3113" s="185"/>
      <c r="D3113" s="30" t="str">
        <f>VLOOKUP(B3113, 'All Menu'!B:M, 4, 0)</f>
        <v>ساندويش شقف سوبر</v>
      </c>
      <c r="E3113" s="30" t="str">
        <f>VLOOKUP(B3113, 'All Menu'!B:M, 2, 0)</f>
        <v>قسم الصالة</v>
      </c>
      <c r="F3113" s="103" t="str">
        <f>VLOOKUP(B3113, 'All Menu'!B:M, 3, 0)</f>
        <v>المشاوي صالة</v>
      </c>
      <c r="G3113" s="90" t="s">
        <v>2452</v>
      </c>
      <c r="H3113" s="219" t="s">
        <v>528</v>
      </c>
      <c r="I3113" s="110" t="str">
        <f>VLOOKUP(H3113, 'RM &amp; SF'!B:H, 2, 0)</f>
        <v>شقف متبلة</v>
      </c>
      <c r="J3113" s="184" t="str">
        <f>VLOOKUP(H3113, 'RM &amp; SF'!B:E, 4, 0)</f>
        <v>غم</v>
      </c>
      <c r="K3113" s="78">
        <v>200</v>
      </c>
      <c r="L3113" s="13">
        <f>VLOOKUP(H3113, 'RM &amp; SF'!B:H, 7, 0)</f>
        <v>2.0415146666666665E-2</v>
      </c>
      <c r="M3113" s="15">
        <f t="shared" si="157"/>
        <v>4.0830293333333332</v>
      </c>
      <c r="N3113" s="21" t="s">
        <v>825</v>
      </c>
      <c r="O3113" s="4">
        <f>VLOOKUP(B3113, 'All Menu'!B:L, 6, 0)</f>
        <v>5.431034482758621</v>
      </c>
      <c r="P3113" s="6">
        <f>VLOOKUP(B3113, 'All Menu'!B:L, 9, 0)</f>
        <v>4.2653574095974962</v>
      </c>
      <c r="Q3113" s="14">
        <f>VLOOKUP(B3113, 'All Menu'!B:M, 12, 0)</f>
        <v>0.21463260394712771</v>
      </c>
      <c r="R3113" s="173">
        <f t="shared" si="158"/>
        <v>0</v>
      </c>
    </row>
    <row r="3114" spans="1:18" ht="14" hidden="1">
      <c r="A3114" s="78" t="s">
        <v>3089</v>
      </c>
      <c r="B3114" s="220" t="s">
        <v>1103</v>
      </c>
      <c r="C3114" s="185"/>
      <c r="D3114" s="30" t="str">
        <f>VLOOKUP(B3114, 'All Menu'!B:M, 4, 0)</f>
        <v>ساندويش شقف سوبر</v>
      </c>
      <c r="E3114" s="30" t="str">
        <f>VLOOKUP(B3114, 'All Menu'!B:M, 2, 0)</f>
        <v>قسم الصالة</v>
      </c>
      <c r="F3114" s="103" t="str">
        <f>VLOOKUP(B3114, 'All Menu'!B:M, 3, 0)</f>
        <v>المشاوي صالة</v>
      </c>
      <c r="G3114" s="90" t="s">
        <v>2257</v>
      </c>
      <c r="H3114" s="219">
        <v>5281</v>
      </c>
      <c r="I3114" s="110" t="str">
        <f>VLOOKUP(H3114, 'RM &amp; SF'!B:H, 2, 0)</f>
        <v>بندوره مشاوي</v>
      </c>
      <c r="J3114" s="184" t="str">
        <f>VLOOKUP(H3114, 'RM &amp; SF'!B:E, 4, 0)</f>
        <v>غم</v>
      </c>
      <c r="K3114" s="78">
        <v>20</v>
      </c>
      <c r="L3114" s="13">
        <f>VLOOKUP(H3114, 'RM &amp; SF'!B:H, 7, 0)</f>
        <v>4.0000000000000002E-4</v>
      </c>
      <c r="M3114" s="15">
        <f t="shared" si="157"/>
        <v>8.0000000000000002E-3</v>
      </c>
      <c r="N3114" s="21" t="s">
        <v>825</v>
      </c>
      <c r="O3114" s="4">
        <f>VLOOKUP(B3114, 'All Menu'!B:L, 6, 0)</f>
        <v>5.431034482758621</v>
      </c>
      <c r="P3114" s="6">
        <f>VLOOKUP(B3114, 'All Menu'!B:L, 9, 0)</f>
        <v>4.2653574095974962</v>
      </c>
      <c r="Q3114" s="14">
        <f>VLOOKUP(B3114, 'All Menu'!B:M, 12, 0)</f>
        <v>0.21463260394712771</v>
      </c>
      <c r="R3114" s="173">
        <f t="shared" si="158"/>
        <v>0</v>
      </c>
    </row>
    <row r="3115" spans="1:18" ht="14" hidden="1">
      <c r="A3115" s="78" t="s">
        <v>3089</v>
      </c>
      <c r="B3115" s="220" t="s">
        <v>1103</v>
      </c>
      <c r="C3115" s="185"/>
      <c r="D3115" s="30" t="str">
        <f>VLOOKUP(B3115, 'All Menu'!B:M, 4, 0)</f>
        <v>ساندويش شقف سوبر</v>
      </c>
      <c r="E3115" s="30" t="str">
        <f>VLOOKUP(B3115, 'All Menu'!B:M, 2, 0)</f>
        <v>قسم الصالة</v>
      </c>
      <c r="F3115" s="103" t="str">
        <f>VLOOKUP(B3115, 'All Menu'!B:M, 3, 0)</f>
        <v>المشاوي صالة</v>
      </c>
      <c r="G3115" s="90" t="s">
        <v>2396</v>
      </c>
      <c r="H3115" s="219" t="s">
        <v>582</v>
      </c>
      <c r="I3115" s="110" t="str">
        <f>VLOOKUP(H3115, 'RM &amp; SF'!B:H, 2, 0)</f>
        <v>بيواز</v>
      </c>
      <c r="J3115" s="184" t="str">
        <f>VLOOKUP(H3115, 'RM &amp; SF'!B:E, 4, 0)</f>
        <v>غم</v>
      </c>
      <c r="K3115" s="78">
        <v>20</v>
      </c>
      <c r="L3115" s="13">
        <f>VLOOKUP(H3115, 'RM &amp; SF'!B:H, 7, 0)</f>
        <v>2.0666065869244635E-4</v>
      </c>
      <c r="M3115" s="15">
        <f t="shared" si="157"/>
        <v>4.1332131738489267E-3</v>
      </c>
      <c r="N3115" s="21" t="s">
        <v>825</v>
      </c>
      <c r="O3115" s="4">
        <f>VLOOKUP(B3115, 'All Menu'!B:L, 6, 0)</f>
        <v>5.431034482758621</v>
      </c>
      <c r="P3115" s="6">
        <f>VLOOKUP(B3115, 'All Menu'!B:L, 9, 0)</f>
        <v>4.2653574095974962</v>
      </c>
      <c r="Q3115" s="14">
        <f>VLOOKUP(B3115, 'All Menu'!B:M, 12, 0)</f>
        <v>0.21463260394712771</v>
      </c>
      <c r="R3115" s="173">
        <f t="shared" si="158"/>
        <v>0</v>
      </c>
    </row>
    <row r="3116" spans="1:18" ht="14" hidden="1">
      <c r="A3116" s="78" t="s">
        <v>3089</v>
      </c>
      <c r="B3116" s="220" t="s">
        <v>1103</v>
      </c>
      <c r="C3116" s="185"/>
      <c r="D3116" s="30" t="str">
        <f>VLOOKUP(B3116, 'All Menu'!B:M, 4, 0)</f>
        <v>ساندويش شقف سوبر</v>
      </c>
      <c r="E3116" s="30" t="str">
        <f>VLOOKUP(B3116, 'All Menu'!B:M, 2, 0)</f>
        <v>قسم الصالة</v>
      </c>
      <c r="F3116" s="103" t="str">
        <f>VLOOKUP(B3116, 'All Menu'!B:M, 3, 0)</f>
        <v>المشاوي صالة</v>
      </c>
      <c r="G3116" s="90" t="s">
        <v>2397</v>
      </c>
      <c r="H3116" s="219" t="s">
        <v>580</v>
      </c>
      <c r="I3116" s="110" t="str">
        <f>VLOOKUP(H3116, 'RM &amp; SF'!B:H, 2, 0)</f>
        <v>طحينة مشاوي</v>
      </c>
      <c r="J3116" s="184" t="str">
        <f>VLOOKUP(H3116, 'RM &amp; SF'!B:E, 4, 0)</f>
        <v>غم</v>
      </c>
      <c r="K3116" s="78">
        <v>50</v>
      </c>
      <c r="L3116" s="13">
        <f>VLOOKUP(H3116, 'RM &amp; SF'!B:H, 7, 0)</f>
        <v>1.0841676434676436E-3</v>
      </c>
      <c r="M3116" s="15">
        <f t="shared" si="157"/>
        <v>5.4208382173382176E-2</v>
      </c>
      <c r="N3116" s="21" t="s">
        <v>825</v>
      </c>
      <c r="O3116" s="4">
        <f>VLOOKUP(B3116, 'All Menu'!B:L, 6, 0)</f>
        <v>5.431034482758621</v>
      </c>
      <c r="P3116" s="6">
        <f>VLOOKUP(B3116, 'All Menu'!B:L, 9, 0)</f>
        <v>4.2653574095974962</v>
      </c>
      <c r="Q3116" s="14">
        <f>VLOOKUP(B3116, 'All Menu'!B:M, 12, 0)</f>
        <v>0.21463260394712771</v>
      </c>
      <c r="R3116" s="173">
        <f t="shared" si="158"/>
        <v>0</v>
      </c>
    </row>
    <row r="3117" spans="1:18" ht="14" hidden="1">
      <c r="A3117" s="78" t="s">
        <v>3089</v>
      </c>
      <c r="B3117" s="220" t="s">
        <v>1103</v>
      </c>
      <c r="C3117" s="185"/>
      <c r="D3117" s="30" t="str">
        <f>VLOOKUP(B3117, 'All Menu'!B:M, 4, 0)</f>
        <v>ساندويش شقف سوبر</v>
      </c>
      <c r="E3117" s="30" t="str">
        <f>VLOOKUP(B3117, 'All Menu'!B:M, 2, 0)</f>
        <v>قسم الصالة</v>
      </c>
      <c r="F3117" s="103" t="str">
        <f>VLOOKUP(B3117, 'All Menu'!B:M, 3, 0)</f>
        <v>المشاوي صالة</v>
      </c>
      <c r="G3117" s="90" t="s">
        <v>2331</v>
      </c>
      <c r="H3117" s="219" t="s">
        <v>530</v>
      </c>
      <c r="I3117" s="110" t="str">
        <f>VLOOKUP(H3117, 'RM &amp; SF'!B:H, 2, 0)</f>
        <v>خبز صاج</v>
      </c>
      <c r="J3117" s="184" t="str">
        <f>VLOOKUP(H3117, 'RM &amp; SF'!B:E, 4, 0)</f>
        <v>غم</v>
      </c>
      <c r="K3117" s="78">
        <v>100</v>
      </c>
      <c r="L3117" s="13">
        <f>VLOOKUP(H3117, 'RM &amp; SF'!B:H, 7, 0)</f>
        <v>1.8806451612903227E-4</v>
      </c>
      <c r="M3117" s="15">
        <f t="shared" si="157"/>
        <v>1.8806451612903227E-2</v>
      </c>
      <c r="N3117" s="21" t="s">
        <v>825</v>
      </c>
      <c r="O3117" s="4">
        <f>VLOOKUP(B3117, 'All Menu'!B:L, 6, 0)</f>
        <v>5.431034482758621</v>
      </c>
      <c r="P3117" s="6">
        <f>VLOOKUP(B3117, 'All Menu'!B:L, 9, 0)</f>
        <v>4.2653574095974962</v>
      </c>
      <c r="Q3117" s="14">
        <f>VLOOKUP(B3117, 'All Menu'!B:M, 12, 0)</f>
        <v>0.21463260394712771</v>
      </c>
      <c r="R3117" s="173">
        <f t="shared" si="158"/>
        <v>0</v>
      </c>
    </row>
    <row r="3118" spans="1:18" ht="14" hidden="1">
      <c r="A3118" s="78" t="s">
        <v>3089</v>
      </c>
      <c r="B3118" s="220" t="s">
        <v>1103</v>
      </c>
      <c r="C3118" s="185"/>
      <c r="D3118" s="30" t="str">
        <f>VLOOKUP(B3118, 'All Menu'!B:M, 4, 0)</f>
        <v>ساندويش شقف سوبر</v>
      </c>
      <c r="E3118" s="30" t="str">
        <f>VLOOKUP(B3118, 'All Menu'!B:M, 2, 0)</f>
        <v>قسم الصالة</v>
      </c>
      <c r="F3118" s="103" t="str">
        <f>VLOOKUP(B3118, 'All Menu'!B:M, 3, 0)</f>
        <v>المشاوي صالة</v>
      </c>
      <c r="G3118" s="90" t="s">
        <v>3058</v>
      </c>
      <c r="H3118" s="219">
        <v>5280</v>
      </c>
      <c r="I3118" s="110" t="str">
        <f>VLOOKUP(H3118, 'RM &amp; SF'!B:H, 2, 0)</f>
        <v>ورق مع قصدير مطبوع*****</v>
      </c>
      <c r="J3118" s="184" t="str">
        <f>VLOOKUP(H3118, 'RM &amp; SF'!B:E, 4, 0)</f>
        <v>قطعة</v>
      </c>
      <c r="K3118" s="78">
        <v>1</v>
      </c>
      <c r="L3118" s="13">
        <f>VLOOKUP(H3118, 'RM &amp; SF'!B:H, 7, 0)</f>
        <v>6.4655000000000004E-2</v>
      </c>
      <c r="M3118" s="15">
        <f t="shared" ref="M3118" si="163">L3118*K3118</f>
        <v>6.4655000000000004E-2</v>
      </c>
      <c r="N3118" s="21" t="s">
        <v>825</v>
      </c>
      <c r="O3118" s="4">
        <f>VLOOKUP(B3118, 'All Menu'!B:L, 6, 0)</f>
        <v>5.431034482758621</v>
      </c>
      <c r="P3118" s="6">
        <f>VLOOKUP(B3118, 'All Menu'!B:L, 9, 0)</f>
        <v>4.2653574095974962</v>
      </c>
      <c r="Q3118" s="14">
        <f>VLOOKUP(B3118, 'All Menu'!B:M, 12, 0)</f>
        <v>0.21463260394712771</v>
      </c>
      <c r="R3118" s="173">
        <f t="shared" ref="R3118" si="164">C3118*K3118</f>
        <v>0</v>
      </c>
    </row>
    <row r="3119" spans="1:18" ht="14" hidden="1">
      <c r="A3119" s="78" t="s">
        <v>3089</v>
      </c>
      <c r="B3119" s="220" t="s">
        <v>1103</v>
      </c>
      <c r="C3119" s="185"/>
      <c r="D3119" s="30" t="str">
        <f>VLOOKUP(B3119, 'All Menu'!B:M, 4, 0)</f>
        <v>ساندويش شقف سوبر</v>
      </c>
      <c r="E3119" s="30" t="str">
        <f>VLOOKUP(B3119, 'All Menu'!B:M, 2, 0)</f>
        <v>قسم الصالة</v>
      </c>
      <c r="F3119" s="103" t="str">
        <f>VLOOKUP(B3119, 'All Menu'!B:M, 3, 0)</f>
        <v>المشاوي صالة</v>
      </c>
      <c r="G3119" s="90" t="s">
        <v>2397</v>
      </c>
      <c r="H3119" s="219" t="s">
        <v>580</v>
      </c>
      <c r="I3119" s="110" t="str">
        <f>VLOOKUP(H3119, 'RM &amp; SF'!B:H, 2, 0)</f>
        <v>طحينة مشاوي</v>
      </c>
      <c r="J3119" s="184" t="str">
        <f>VLOOKUP(H3119, 'RM &amp; SF'!B:E, 4, 0)</f>
        <v>غم</v>
      </c>
      <c r="K3119" s="78">
        <v>30</v>
      </c>
      <c r="L3119" s="13">
        <f>VLOOKUP(H3119, 'RM &amp; SF'!B:H, 7, 0)</f>
        <v>1.0841676434676436E-3</v>
      </c>
      <c r="M3119" s="15">
        <f t="shared" si="157"/>
        <v>3.2525029304029306E-2</v>
      </c>
      <c r="N3119" s="21" t="s">
        <v>825</v>
      </c>
      <c r="O3119" s="4">
        <f>VLOOKUP(B3119, 'All Menu'!B:L, 6, 0)</f>
        <v>5.431034482758621</v>
      </c>
      <c r="P3119" s="6">
        <f>VLOOKUP(B3119, 'All Menu'!B:L, 9, 0)</f>
        <v>4.2653574095974962</v>
      </c>
      <c r="Q3119" s="14">
        <f>VLOOKUP(B3119, 'All Menu'!B:M, 12, 0)</f>
        <v>0.21463260394712771</v>
      </c>
      <c r="R3119" s="173">
        <f t="shared" si="158"/>
        <v>0</v>
      </c>
    </row>
    <row r="3120" spans="1:18" ht="14" hidden="1">
      <c r="A3120" s="78" t="s">
        <v>3101</v>
      </c>
      <c r="B3120" s="220" t="s">
        <v>1169</v>
      </c>
      <c r="C3120" s="185"/>
      <c r="D3120" s="30" t="str">
        <f>VLOOKUP(B3120, 'All Menu'!B:M, 4, 0)</f>
        <v>فريكة دجاج ملوكي</v>
      </c>
      <c r="E3120" s="30" t="str">
        <f>VLOOKUP(B3120, 'All Menu'!B:M, 2, 0)</f>
        <v>قسم الصالة</v>
      </c>
      <c r="F3120" s="103" t="str">
        <f>VLOOKUP(B3120, 'All Menu'!B:M, 3, 0)</f>
        <v>اطباق اليوم صالة</v>
      </c>
      <c r="G3120" s="90" t="s">
        <v>2421</v>
      </c>
      <c r="H3120" s="219" t="s">
        <v>622</v>
      </c>
      <c r="I3120" s="110" t="str">
        <f>VLOOKUP(H3120, 'RM &amp; SF'!B:H, 2, 0)</f>
        <v>فريكة مطبوخة</v>
      </c>
      <c r="J3120" s="184" t="str">
        <f>VLOOKUP(H3120, 'RM &amp; SF'!B:E, 4, 0)</f>
        <v>غم</v>
      </c>
      <c r="K3120" s="78">
        <v>500</v>
      </c>
      <c r="L3120" s="13">
        <f>VLOOKUP(H3120, 'RM &amp; SF'!B:H, 7, 0)</f>
        <v>1.2594586666666669E-3</v>
      </c>
      <c r="M3120" s="15">
        <f t="shared" si="157"/>
        <v>0.62972933333333347</v>
      </c>
      <c r="N3120" s="21" t="s">
        <v>825</v>
      </c>
      <c r="O3120" s="4">
        <f>VLOOKUP(B3120, 'All Menu'!B:L, 6, 0)</f>
        <v>6.4655172413793105</v>
      </c>
      <c r="P3120" s="6">
        <f>VLOOKUP(B3120, 'All Menu'!B:L, 9, 0)</f>
        <v>4.3100288079022997</v>
      </c>
      <c r="Q3120" s="14">
        <f>VLOOKUP(B3120, 'All Menu'!B:M, 12, 0)</f>
        <v>0.33338221104444432</v>
      </c>
      <c r="R3120" s="173">
        <f t="shared" si="158"/>
        <v>0</v>
      </c>
    </row>
    <row r="3121" spans="1:18" ht="14" hidden="1">
      <c r="A3121" s="78" t="s">
        <v>3101</v>
      </c>
      <c r="B3121" s="220" t="s">
        <v>1169</v>
      </c>
      <c r="C3121" s="185"/>
      <c r="D3121" s="30" t="str">
        <f>VLOOKUP(B3121, 'All Menu'!B:M, 4, 0)</f>
        <v>فريكة دجاج ملوكي</v>
      </c>
      <c r="E3121" s="30" t="str">
        <f>VLOOKUP(B3121, 'All Menu'!B:M, 2, 0)</f>
        <v>قسم الصالة</v>
      </c>
      <c r="F3121" s="103" t="str">
        <f>VLOOKUP(B3121, 'All Menu'!B:M, 3, 0)</f>
        <v>اطباق اليوم صالة</v>
      </c>
      <c r="G3121" s="90" t="s">
        <v>2422</v>
      </c>
      <c r="H3121" s="219" t="s">
        <v>620</v>
      </c>
      <c r="I3121" s="110" t="str">
        <f>VLOOKUP(H3121, 'RM &amp; SF'!B:H, 2, 0)</f>
        <v>دجاج للفريكة الملوكي</v>
      </c>
      <c r="J3121" s="184" t="str">
        <f>VLOOKUP(H3121, 'RM &amp; SF'!B:E, 4, 0)</f>
        <v>قطعة</v>
      </c>
      <c r="K3121" s="78">
        <v>1</v>
      </c>
      <c r="L3121" s="13">
        <f>VLOOKUP(H3121, 'RM &amp; SF'!B:H, 7, 0)</f>
        <v>3.3372241333333337</v>
      </c>
      <c r="M3121" s="15">
        <f t="shared" si="157"/>
        <v>3.3372241333333337</v>
      </c>
      <c r="N3121" s="21" t="s">
        <v>825</v>
      </c>
      <c r="O3121" s="4">
        <f>VLOOKUP(B3121, 'All Menu'!B:L, 6, 0)</f>
        <v>6.4655172413793105</v>
      </c>
      <c r="P3121" s="6">
        <f>VLOOKUP(B3121, 'All Menu'!B:L, 9, 0)</f>
        <v>4.3100288079022997</v>
      </c>
      <c r="Q3121" s="14">
        <f>VLOOKUP(B3121, 'All Menu'!B:M, 12, 0)</f>
        <v>0.33338221104444432</v>
      </c>
      <c r="R3121" s="173">
        <f t="shared" si="158"/>
        <v>0</v>
      </c>
    </row>
    <row r="3122" spans="1:18" ht="14" hidden="1">
      <c r="A3122" s="78" t="s">
        <v>3101</v>
      </c>
      <c r="B3122" s="220" t="s">
        <v>1169</v>
      </c>
      <c r="C3122" s="185"/>
      <c r="D3122" s="30" t="str">
        <f>VLOOKUP(B3122, 'All Menu'!B:M, 4, 0)</f>
        <v>فريكة دجاج ملوكي</v>
      </c>
      <c r="E3122" s="30" t="str">
        <f>VLOOKUP(B3122, 'All Menu'!B:M, 2, 0)</f>
        <v>قسم الصالة</v>
      </c>
      <c r="F3122" s="103" t="str">
        <f>VLOOKUP(B3122, 'All Menu'!B:M, 3, 0)</f>
        <v>اطباق اليوم صالة</v>
      </c>
      <c r="G3122" s="90" t="s">
        <v>3058</v>
      </c>
      <c r="H3122" s="219" t="s">
        <v>3043</v>
      </c>
      <c r="I3122" s="110" t="str">
        <f>VLOOKUP(H3122, 'RM &amp; SF'!B:H, 2, 0)</f>
        <v>علبة لوز مقلي 25 غرام</v>
      </c>
      <c r="J3122" s="184" t="str">
        <f>VLOOKUP(H3122, 'RM &amp; SF'!B:E, 4, 0)</f>
        <v>قطعة</v>
      </c>
      <c r="K3122" s="78">
        <v>25</v>
      </c>
      <c r="L3122" s="13">
        <f>VLOOKUP(H3122, 'RM &amp; SF'!B:H, 7, 0)</f>
        <v>1.3723013649425287E-2</v>
      </c>
      <c r="M3122" s="15">
        <f t="shared" si="157"/>
        <v>0.34307534123563216</v>
      </c>
      <c r="N3122" s="21" t="s">
        <v>825</v>
      </c>
      <c r="O3122" s="4">
        <f>VLOOKUP(B3122, 'All Menu'!B:L, 6, 0)</f>
        <v>6.4655172413793105</v>
      </c>
      <c r="P3122" s="6">
        <f>VLOOKUP(B3122, 'All Menu'!B:L, 9, 0)</f>
        <v>4.3100288079022997</v>
      </c>
      <c r="Q3122" s="14">
        <f>VLOOKUP(B3122, 'All Menu'!B:M, 12, 0)</f>
        <v>0.33338221104444432</v>
      </c>
      <c r="R3122" s="173">
        <f t="shared" si="158"/>
        <v>0</v>
      </c>
    </row>
    <row r="3123" spans="1:18" ht="14" hidden="1">
      <c r="A3123" s="78" t="s">
        <v>2970</v>
      </c>
      <c r="B3123" s="220" t="s">
        <v>1170</v>
      </c>
      <c r="C3123" s="185"/>
      <c r="D3123" s="30" t="str">
        <f>VLOOKUP(B3123, 'All Menu'!B:M, 4, 0)</f>
        <v>منقوشة قشقوان</v>
      </c>
      <c r="E3123" s="30" t="str">
        <f>VLOOKUP(B3123, 'All Menu'!B:M, 2, 0)</f>
        <v>قسم الصالة</v>
      </c>
      <c r="F3123" s="103" t="str">
        <f>VLOOKUP(B3123, 'All Menu'!B:M, 3, 0)</f>
        <v>عجين صالة</v>
      </c>
      <c r="G3123" s="90" t="s">
        <v>2333</v>
      </c>
      <c r="H3123" s="219" t="s">
        <v>498</v>
      </c>
      <c r="I3123" s="110" t="str">
        <f>VLOOKUP(H3123, 'RM &amp; SF'!B:H, 2, 0)</f>
        <v>عجين الصفيحة والمناقيش</v>
      </c>
      <c r="J3123" s="184" t="str">
        <f>VLOOKUP(H3123, 'RM &amp; SF'!B:E, 4, 0)</f>
        <v>غم</v>
      </c>
      <c r="K3123" s="78">
        <v>140</v>
      </c>
      <c r="L3123" s="13">
        <f>VLOOKUP(H3123, 'RM &amp; SF'!B:H, 7, 0)</f>
        <v>4.659980972150147E-4</v>
      </c>
      <c r="M3123" s="15">
        <f t="shared" si="157"/>
        <v>6.523973361010206E-2</v>
      </c>
      <c r="N3123" s="21" t="s">
        <v>825</v>
      </c>
      <c r="O3123" s="4">
        <f>VLOOKUP(B3123, 'All Menu'!B:L, 6, 0)</f>
        <v>1.9396551724137931</v>
      </c>
      <c r="P3123" s="6">
        <f>VLOOKUP(B3123, 'All Menu'!B:L, 9, 0)</f>
        <v>0.34986473361010206</v>
      </c>
      <c r="Q3123" s="14">
        <f>VLOOKUP(B3123, 'All Menu'!B:M, 12, 0)</f>
        <v>0.81962529289434738</v>
      </c>
      <c r="R3123" s="173">
        <f t="shared" si="158"/>
        <v>0</v>
      </c>
    </row>
    <row r="3124" spans="1:18" ht="14" hidden="1">
      <c r="A3124" s="78" t="s">
        <v>2970</v>
      </c>
      <c r="B3124" s="220" t="s">
        <v>1170</v>
      </c>
      <c r="C3124" s="185"/>
      <c r="D3124" s="30" t="str">
        <f>VLOOKUP(B3124, 'All Menu'!B:M, 4, 0)</f>
        <v>منقوشة قشقوان</v>
      </c>
      <c r="E3124" s="30" t="str">
        <f>VLOOKUP(B3124, 'All Menu'!B:M, 2, 0)</f>
        <v>قسم الصالة</v>
      </c>
      <c r="F3124" s="103" t="str">
        <f>VLOOKUP(B3124, 'All Menu'!B:M, 3, 0)</f>
        <v>عجين صالة</v>
      </c>
      <c r="G3124" s="90" t="s">
        <v>2173</v>
      </c>
      <c r="H3124" s="219">
        <v>4624</v>
      </c>
      <c r="I3124" s="110" t="str">
        <f>VLOOKUP(H3124, 'RM &amp; SF'!B:H, 2, 0)</f>
        <v>جبنة موزريلا قالب 2.380 كغ*****</v>
      </c>
      <c r="J3124" s="184" t="str">
        <f>VLOOKUP(H3124, 'RM &amp; SF'!B:E, 4, 0)</f>
        <v>غم</v>
      </c>
      <c r="K3124" s="78">
        <v>55</v>
      </c>
      <c r="L3124" s="13">
        <f>VLOOKUP(H3124, 'RM &amp; SF'!B:H, 7, 0)</f>
        <v>5.1749999999999999E-3</v>
      </c>
      <c r="M3124" s="15">
        <f t="shared" si="157"/>
        <v>0.28462500000000002</v>
      </c>
      <c r="N3124" s="21" t="s">
        <v>825</v>
      </c>
      <c r="O3124" s="4">
        <f>VLOOKUP(B3124, 'All Menu'!B:L, 6, 0)</f>
        <v>1.9396551724137931</v>
      </c>
      <c r="P3124" s="6">
        <f>VLOOKUP(B3124, 'All Menu'!B:L, 9, 0)</f>
        <v>0.34986473361010206</v>
      </c>
      <c r="Q3124" s="14">
        <f>VLOOKUP(B3124, 'All Menu'!B:M, 12, 0)</f>
        <v>0.81962529289434738</v>
      </c>
      <c r="R3124" s="173">
        <f t="shared" si="158"/>
        <v>0</v>
      </c>
    </row>
    <row r="3125" spans="1:18" ht="14" hidden="1">
      <c r="A3125" s="78" t="s">
        <v>2972</v>
      </c>
      <c r="B3125" s="220" t="s">
        <v>1171</v>
      </c>
      <c r="C3125" s="185"/>
      <c r="D3125" s="30" t="str">
        <f>VLOOKUP(B3125, 'All Menu'!B:M, 4, 0)</f>
        <v>منقوشة بيض</v>
      </c>
      <c r="E3125" s="30" t="str">
        <f>VLOOKUP(B3125, 'All Menu'!B:M, 2, 0)</f>
        <v>قسم الصالة</v>
      </c>
      <c r="F3125" s="103" t="str">
        <f>VLOOKUP(B3125, 'All Menu'!B:M, 3, 0)</f>
        <v>عجين صالة</v>
      </c>
      <c r="G3125" s="90" t="s">
        <v>2333</v>
      </c>
      <c r="H3125" s="219" t="s">
        <v>498</v>
      </c>
      <c r="I3125" s="110" t="str">
        <f>VLOOKUP(H3125, 'RM &amp; SF'!B:H, 2, 0)</f>
        <v>عجين الصفيحة والمناقيش</v>
      </c>
      <c r="J3125" s="184" t="str">
        <f>VLOOKUP(H3125, 'RM &amp; SF'!B:E, 4, 0)</f>
        <v>غم</v>
      </c>
      <c r="K3125" s="78">
        <v>140</v>
      </c>
      <c r="L3125" s="13">
        <f>VLOOKUP(H3125, 'RM &amp; SF'!B:H, 7, 0)</f>
        <v>4.659980972150147E-4</v>
      </c>
      <c r="M3125" s="15">
        <f t="shared" ref="M3125:M3188" si="165">L3125*K3125</f>
        <v>6.523973361010206E-2</v>
      </c>
      <c r="N3125" s="21" t="s">
        <v>825</v>
      </c>
      <c r="O3125" s="4">
        <f>VLOOKUP(B3125, 'All Menu'!B:L, 6, 0)</f>
        <v>1.6810344827586208</v>
      </c>
      <c r="P3125" s="6">
        <f>VLOOKUP(B3125, 'All Menu'!B:L, 9, 0)</f>
        <v>0.24125973361010206</v>
      </c>
      <c r="Q3125" s="14">
        <f>VLOOKUP(B3125, 'All Menu'!B:M, 12, 0)</f>
        <v>0.85648138923706751</v>
      </c>
      <c r="R3125" s="173">
        <f t="shared" si="158"/>
        <v>0</v>
      </c>
    </row>
    <row r="3126" spans="1:18" ht="14" hidden="1">
      <c r="A3126" s="78" t="s">
        <v>2972</v>
      </c>
      <c r="B3126" s="220" t="s">
        <v>1171</v>
      </c>
      <c r="C3126" s="185"/>
      <c r="D3126" s="30" t="str">
        <f>VLOOKUP(B3126, 'All Menu'!B:M, 4, 0)</f>
        <v>منقوشة بيض</v>
      </c>
      <c r="E3126" s="30" t="str">
        <f>VLOOKUP(B3126, 'All Menu'!B:M, 2, 0)</f>
        <v>قسم الصالة</v>
      </c>
      <c r="F3126" s="103" t="str">
        <f>VLOOKUP(B3126, 'All Menu'!B:M, 3, 0)</f>
        <v>عجين صالة</v>
      </c>
      <c r="G3126" s="90" t="s">
        <v>3058</v>
      </c>
      <c r="H3126" s="219">
        <v>4567</v>
      </c>
      <c r="I3126" s="110" t="str">
        <f>VLOOKUP(H3126, 'RM &amp; SF'!B:H, 2, 0)</f>
        <v>بيض طازج 1*30 حبة*****</v>
      </c>
      <c r="J3126" s="184" t="str">
        <f>VLOOKUP(H3126, 'RM &amp; SF'!B:E, 4, 0)</f>
        <v>قطعة</v>
      </c>
      <c r="K3126" s="78">
        <v>2</v>
      </c>
      <c r="L3126" s="13">
        <f>VLOOKUP(H3126, 'RM &amp; SF'!B:H, 7, 0)</f>
        <v>8.8010000000000005E-2</v>
      </c>
      <c r="M3126" s="15">
        <f t="shared" si="165"/>
        <v>0.17602000000000001</v>
      </c>
      <c r="N3126" s="21" t="s">
        <v>825</v>
      </c>
      <c r="O3126" s="4">
        <f>VLOOKUP(B3126, 'All Menu'!B:L, 6, 0)</f>
        <v>1.6810344827586208</v>
      </c>
      <c r="P3126" s="6">
        <f>VLOOKUP(B3126, 'All Menu'!B:L, 9, 0)</f>
        <v>0.24125973361010206</v>
      </c>
      <c r="Q3126" s="14">
        <f>VLOOKUP(B3126, 'All Menu'!B:M, 12, 0)</f>
        <v>0.85648138923706751</v>
      </c>
      <c r="R3126" s="173">
        <f t="shared" si="158"/>
        <v>0</v>
      </c>
    </row>
    <row r="3127" spans="1:18" ht="14" hidden="1">
      <c r="A3127" s="78" t="s">
        <v>3092</v>
      </c>
      <c r="B3127" s="220" t="s">
        <v>1182</v>
      </c>
      <c r="C3127" s="185"/>
      <c r="D3127" s="30" t="str">
        <f>VLOOKUP(B3127, 'All Menu'!B:M, 4, 0)</f>
        <v>خبز صاج</v>
      </c>
      <c r="E3127" s="30" t="str">
        <f>VLOOKUP(B3127, 'All Menu'!B:M, 2, 0)</f>
        <v>قسم الصالة</v>
      </c>
      <c r="F3127" s="103" t="str">
        <f>VLOOKUP(B3127, 'All Menu'!B:M, 3, 0)</f>
        <v>عجين صالة</v>
      </c>
      <c r="G3127" s="90" t="s">
        <v>2331</v>
      </c>
      <c r="H3127" s="219" t="s">
        <v>530</v>
      </c>
      <c r="I3127" s="110" t="str">
        <f>VLOOKUP(H3127, 'RM &amp; SF'!B:H, 2, 0)</f>
        <v>خبز صاج</v>
      </c>
      <c r="J3127" s="184" t="str">
        <f>VLOOKUP(H3127, 'RM &amp; SF'!B:E, 4, 0)</f>
        <v>غم</v>
      </c>
      <c r="K3127" s="78">
        <v>100</v>
      </c>
      <c r="L3127" s="13">
        <f>VLOOKUP(H3127, 'RM &amp; SF'!B:H, 7, 0)</f>
        <v>1.8806451612903227E-4</v>
      </c>
      <c r="M3127" s="15">
        <f t="shared" si="165"/>
        <v>1.8806451612903227E-2</v>
      </c>
      <c r="N3127" s="21" t="s">
        <v>825</v>
      </c>
      <c r="O3127" s="4">
        <f>VLOOKUP(B3127, 'All Menu'!B:L, 6, 0)</f>
        <v>8.6206896551724144E-2</v>
      </c>
      <c r="P3127" s="6">
        <f>VLOOKUP(B3127, 'All Menu'!B:L, 9, 0)</f>
        <v>1.8806451612903227E-2</v>
      </c>
      <c r="Q3127" s="14">
        <f>VLOOKUP(B3127, 'All Menu'!B:M, 12, 0)</f>
        <v>0.78184516129032255</v>
      </c>
      <c r="R3127" s="173">
        <f t="shared" si="158"/>
        <v>0</v>
      </c>
    </row>
    <row r="3128" spans="1:18" ht="14" hidden="1">
      <c r="A3128" s="78" t="s">
        <v>3102</v>
      </c>
      <c r="B3128" s="220" t="s">
        <v>1183</v>
      </c>
      <c r="C3128" s="185"/>
      <c r="D3128" s="30" t="str">
        <f>VLOOKUP(B3128, 'All Menu'!B:M, 4, 0)</f>
        <v>اضافة نصف دجاجة</v>
      </c>
      <c r="E3128" s="30" t="str">
        <f>VLOOKUP(B3128, 'All Menu'!B:M, 2, 0)</f>
        <v>قسم الصالة</v>
      </c>
      <c r="F3128" s="103" t="str">
        <f>VLOOKUP(B3128, 'All Menu'!B:M, 3, 0)</f>
        <v>اطباق اليوم صالة</v>
      </c>
      <c r="G3128" s="90" t="s">
        <v>2384</v>
      </c>
      <c r="H3128" s="219" t="s">
        <v>538</v>
      </c>
      <c r="I3128" s="110" t="str">
        <f>VLOOKUP(H3128, 'RM &amp; SF'!B:H, 2, 0)</f>
        <v>دجاج تركي</v>
      </c>
      <c r="J3128" s="184" t="str">
        <f>VLOOKUP(H3128, 'RM &amp; SF'!B:E, 4, 0)</f>
        <v>قطعة</v>
      </c>
      <c r="K3128" s="78">
        <v>0.5</v>
      </c>
      <c r="L3128" s="13">
        <f>VLOOKUP(H3128, 'RM &amp; SF'!B:H, 7, 0)</f>
        <v>3.5399982955314506</v>
      </c>
      <c r="M3128" s="15">
        <f t="shared" si="165"/>
        <v>1.7699991477657253</v>
      </c>
      <c r="N3128" s="21" t="s">
        <v>825</v>
      </c>
      <c r="O3128" s="4">
        <f>VLOOKUP(B3128, 'All Menu'!B:L, 6, 0)</f>
        <v>4.3103448275862073</v>
      </c>
      <c r="P3128" s="6">
        <f>VLOOKUP(B3128, 'All Menu'!B:L, 9, 0)</f>
        <v>1.7699991477657253</v>
      </c>
      <c r="Q3128" s="14">
        <f>VLOOKUP(B3128, 'All Menu'!B:M, 12, 0)</f>
        <v>0.5893601977183518</v>
      </c>
      <c r="R3128" s="173">
        <f t="shared" si="158"/>
        <v>0</v>
      </c>
    </row>
    <row r="3129" spans="1:18" ht="14" hidden="1">
      <c r="A3129" s="78" t="s">
        <v>2962</v>
      </c>
      <c r="B3129" s="220" t="s">
        <v>1186</v>
      </c>
      <c r="C3129" s="185"/>
      <c r="D3129" s="30" t="str">
        <f>VLOOKUP(B3129, 'All Menu'!B:M, 4, 0)</f>
        <v>جناح مشوي 12 قطعة</v>
      </c>
      <c r="E3129" s="30" t="str">
        <f>VLOOKUP(B3129, 'All Menu'!B:M, 2, 0)</f>
        <v>قسم الصالة</v>
      </c>
      <c r="F3129" s="103" t="str">
        <f>VLOOKUP(B3129, 'All Menu'!B:M, 3, 0)</f>
        <v>المشاوي صالة</v>
      </c>
      <c r="G3129" s="90" t="s">
        <v>2311</v>
      </c>
      <c r="H3129" s="219">
        <v>4583</v>
      </c>
      <c r="I3129" s="110" t="str">
        <f>VLOOKUP(H3129, 'RM &amp; SF'!B:H, 2, 0)</f>
        <v>اجنحة دجاج طازجة دلمونتي*****</v>
      </c>
      <c r="J3129" s="184" t="str">
        <f>VLOOKUP(H3129, 'RM &amp; SF'!B:E, 4, 0)</f>
        <v>غم</v>
      </c>
      <c r="K3129" s="78">
        <v>800</v>
      </c>
      <c r="L3129" s="13">
        <f>VLOOKUP(H3129, 'RM &amp; SF'!B:H, 7, 0)</f>
        <v>1.8E-3</v>
      </c>
      <c r="M3129" s="15">
        <f t="shared" si="165"/>
        <v>1.44</v>
      </c>
      <c r="N3129" s="21" t="s">
        <v>825</v>
      </c>
      <c r="O3129" s="4">
        <f>VLOOKUP(B3129, 'All Menu'!B:L, 6, 0)</f>
        <v>5.1724137931034484</v>
      </c>
      <c r="P3129" s="6">
        <f>VLOOKUP(B3129, 'All Menu'!B:L, 9, 0)</f>
        <v>1.6609315590496858</v>
      </c>
      <c r="Q3129" s="14">
        <f>VLOOKUP(B3129, 'All Menu'!B:M, 12, 0)</f>
        <v>0.67888656525039404</v>
      </c>
      <c r="R3129" s="173">
        <f t="shared" si="158"/>
        <v>0</v>
      </c>
    </row>
    <row r="3130" spans="1:18" ht="14" hidden="1">
      <c r="A3130" s="78" t="s">
        <v>2962</v>
      </c>
      <c r="B3130" s="220" t="s">
        <v>1186</v>
      </c>
      <c r="C3130" s="185"/>
      <c r="D3130" s="30" t="str">
        <f>VLOOKUP(B3130, 'All Menu'!B:M, 4, 0)</f>
        <v>جناح مشوي 12 قطعة</v>
      </c>
      <c r="E3130" s="30" t="str">
        <f>VLOOKUP(B3130, 'All Menu'!B:M, 2, 0)</f>
        <v>قسم الصالة</v>
      </c>
      <c r="F3130" s="103" t="str">
        <f>VLOOKUP(B3130, 'All Menu'!B:M, 3, 0)</f>
        <v>المشاوي صالة</v>
      </c>
      <c r="G3130" s="90" t="s">
        <v>2235</v>
      </c>
      <c r="H3130" s="219">
        <v>4504</v>
      </c>
      <c r="I3130" s="110" t="str">
        <f>VLOOKUP(H3130, 'RM &amp; SF'!B:H, 2, 0)</f>
        <v>بصل مشاوي (بصل بيبي)***</v>
      </c>
      <c r="J3130" s="184" t="str">
        <f>VLOOKUP(H3130, 'RM &amp; SF'!B:E, 4, 0)</f>
        <v>غم</v>
      </c>
      <c r="K3130" s="78">
        <v>40</v>
      </c>
      <c r="L3130" s="13">
        <f>VLOOKUP(H3130, 'RM &amp; SF'!B:H, 7, 0)</f>
        <v>3.5E-4</v>
      </c>
      <c r="M3130" s="15">
        <f t="shared" si="165"/>
        <v>1.4E-2</v>
      </c>
      <c r="N3130" s="21" t="s">
        <v>825</v>
      </c>
      <c r="O3130" s="4">
        <f>VLOOKUP(B3130, 'All Menu'!B:L, 6, 0)</f>
        <v>5.1724137931034484</v>
      </c>
      <c r="P3130" s="6">
        <f>VLOOKUP(B3130, 'All Menu'!B:L, 9, 0)</f>
        <v>1.6609315590496858</v>
      </c>
      <c r="Q3130" s="14">
        <f>VLOOKUP(B3130, 'All Menu'!B:M, 12, 0)</f>
        <v>0.67888656525039404</v>
      </c>
      <c r="R3130" s="173">
        <f t="shared" si="158"/>
        <v>0</v>
      </c>
    </row>
    <row r="3131" spans="1:18" ht="14" hidden="1">
      <c r="A3131" s="78" t="s">
        <v>2962</v>
      </c>
      <c r="B3131" s="220" t="s">
        <v>1186</v>
      </c>
      <c r="C3131" s="185"/>
      <c r="D3131" s="30" t="str">
        <f>VLOOKUP(B3131, 'All Menu'!B:M, 4, 0)</f>
        <v>جناح مشوي 12 قطعة</v>
      </c>
      <c r="E3131" s="30" t="str">
        <f>VLOOKUP(B3131, 'All Menu'!B:M, 2, 0)</f>
        <v>قسم الصالة</v>
      </c>
      <c r="F3131" s="103" t="str">
        <f>VLOOKUP(B3131, 'All Menu'!B:M, 3, 0)</f>
        <v>المشاوي صالة</v>
      </c>
      <c r="G3131" s="90" t="s">
        <v>2309</v>
      </c>
      <c r="H3131" s="219">
        <v>4491</v>
      </c>
      <c r="I3131" s="110" t="str">
        <f>VLOOKUP(H3131, 'RM &amp; SF'!B:H, 2, 0)</f>
        <v>بندورة جامدة*****</v>
      </c>
      <c r="J3131" s="184" t="str">
        <f>VLOOKUP(H3131, 'RM &amp; SF'!B:E, 4, 0)</f>
        <v>غم</v>
      </c>
      <c r="K3131" s="78">
        <v>60</v>
      </c>
      <c r="L3131" s="13">
        <f>VLOOKUP(H3131, 'RM &amp; SF'!B:H, 7, 0)</f>
        <v>5.0000000000000001E-4</v>
      </c>
      <c r="M3131" s="15">
        <f t="shared" si="165"/>
        <v>0.03</v>
      </c>
      <c r="N3131" s="21" t="s">
        <v>825</v>
      </c>
      <c r="O3131" s="4">
        <f>VLOOKUP(B3131, 'All Menu'!B:L, 6, 0)</f>
        <v>5.1724137931034484</v>
      </c>
      <c r="P3131" s="6">
        <f>VLOOKUP(B3131, 'All Menu'!B:L, 9, 0)</f>
        <v>1.6609315590496858</v>
      </c>
      <c r="Q3131" s="14">
        <f>VLOOKUP(B3131, 'All Menu'!B:M, 12, 0)</f>
        <v>0.67888656525039404</v>
      </c>
      <c r="R3131" s="173">
        <f t="shared" si="158"/>
        <v>0</v>
      </c>
    </row>
    <row r="3132" spans="1:18" ht="14" hidden="1">
      <c r="A3132" s="78" t="s">
        <v>2962</v>
      </c>
      <c r="B3132" s="220" t="s">
        <v>1186</v>
      </c>
      <c r="C3132" s="185"/>
      <c r="D3132" s="30" t="str">
        <f>VLOOKUP(B3132, 'All Menu'!B:M, 4, 0)</f>
        <v>جناح مشوي 12 قطعة</v>
      </c>
      <c r="E3132" s="30" t="str">
        <f>VLOOKUP(B3132, 'All Menu'!B:M, 2, 0)</f>
        <v>قسم الصالة</v>
      </c>
      <c r="F3132" s="103" t="str">
        <f>VLOOKUP(B3132, 'All Menu'!B:M, 3, 0)</f>
        <v>المشاوي صالة</v>
      </c>
      <c r="G3132" s="90" t="s">
        <v>2396</v>
      </c>
      <c r="H3132" s="219" t="s">
        <v>582</v>
      </c>
      <c r="I3132" s="110" t="str">
        <f>VLOOKUP(H3132, 'RM &amp; SF'!B:H, 2, 0)</f>
        <v>بيواز</v>
      </c>
      <c r="J3132" s="184" t="str">
        <f>VLOOKUP(H3132, 'RM &amp; SF'!B:E, 4, 0)</f>
        <v>غم</v>
      </c>
      <c r="K3132" s="78">
        <v>100</v>
      </c>
      <c r="L3132" s="13">
        <f>VLOOKUP(H3132, 'RM &amp; SF'!B:H, 7, 0)</f>
        <v>2.0666065869244635E-4</v>
      </c>
      <c r="M3132" s="15">
        <f t="shared" si="165"/>
        <v>2.0666065869244635E-2</v>
      </c>
      <c r="N3132" s="21" t="s">
        <v>825</v>
      </c>
      <c r="O3132" s="4">
        <f>VLOOKUP(B3132, 'All Menu'!B:L, 6, 0)</f>
        <v>5.1724137931034484</v>
      </c>
      <c r="P3132" s="6">
        <f>VLOOKUP(B3132, 'All Menu'!B:L, 9, 0)</f>
        <v>1.6609315590496858</v>
      </c>
      <c r="Q3132" s="14">
        <f>VLOOKUP(B3132, 'All Menu'!B:M, 12, 0)</f>
        <v>0.67888656525039404</v>
      </c>
      <c r="R3132" s="173">
        <f t="shared" si="158"/>
        <v>0</v>
      </c>
    </row>
    <row r="3133" spans="1:18" ht="14" hidden="1">
      <c r="A3133" s="78" t="s">
        <v>2962</v>
      </c>
      <c r="B3133" s="220" t="s">
        <v>1186</v>
      </c>
      <c r="C3133" s="185"/>
      <c r="D3133" s="30" t="str">
        <f>VLOOKUP(B3133, 'All Menu'!B:M, 4, 0)</f>
        <v>جناح مشوي 12 قطعة</v>
      </c>
      <c r="E3133" s="30" t="str">
        <f>VLOOKUP(B3133, 'All Menu'!B:M, 2, 0)</f>
        <v>قسم الصالة</v>
      </c>
      <c r="F3133" s="103" t="str">
        <f>VLOOKUP(B3133, 'All Menu'!B:M, 3, 0)</f>
        <v>المشاوي صالة</v>
      </c>
      <c r="G3133" s="90" t="s">
        <v>2331</v>
      </c>
      <c r="H3133" s="219" t="s">
        <v>530</v>
      </c>
      <c r="I3133" s="110" t="str">
        <f>VLOOKUP(H3133, 'RM &amp; SF'!B:H, 2, 0)</f>
        <v>خبز صاج</v>
      </c>
      <c r="J3133" s="184" t="str">
        <f>VLOOKUP(H3133, 'RM &amp; SF'!B:E, 4, 0)</f>
        <v>غم</v>
      </c>
      <c r="K3133" s="78">
        <v>300</v>
      </c>
      <c r="L3133" s="13">
        <f>VLOOKUP(H3133, 'RM &amp; SF'!B:H, 7, 0)</f>
        <v>1.8806451612903227E-4</v>
      </c>
      <c r="M3133" s="15">
        <f t="shared" si="165"/>
        <v>5.6419354838709683E-2</v>
      </c>
      <c r="N3133" s="21" t="s">
        <v>825</v>
      </c>
      <c r="O3133" s="4">
        <f>VLOOKUP(B3133, 'All Menu'!B:L, 6, 0)</f>
        <v>5.1724137931034484</v>
      </c>
      <c r="P3133" s="6">
        <f>VLOOKUP(B3133, 'All Menu'!B:L, 9, 0)</f>
        <v>1.6609315590496858</v>
      </c>
      <c r="Q3133" s="14">
        <f>VLOOKUP(B3133, 'All Menu'!B:M, 12, 0)</f>
        <v>0.67888656525039404</v>
      </c>
      <c r="R3133" s="173">
        <f t="shared" si="158"/>
        <v>0</v>
      </c>
    </row>
    <row r="3134" spans="1:18" ht="14" hidden="1">
      <c r="A3134" s="78" t="s">
        <v>2962</v>
      </c>
      <c r="B3134" s="220" t="s">
        <v>1186</v>
      </c>
      <c r="C3134" s="185"/>
      <c r="D3134" s="30" t="str">
        <f>VLOOKUP(B3134, 'All Menu'!B:M, 4, 0)</f>
        <v>جناح مشوي 12 قطعة</v>
      </c>
      <c r="E3134" s="30" t="str">
        <f>VLOOKUP(B3134, 'All Menu'!B:M, 2, 0)</f>
        <v>قسم الصالة</v>
      </c>
      <c r="F3134" s="103" t="str">
        <f>VLOOKUP(B3134, 'All Menu'!B:M, 3, 0)</f>
        <v>المشاوي صالة</v>
      </c>
      <c r="G3134" s="90" t="s">
        <v>2325</v>
      </c>
      <c r="H3134" s="219" t="s">
        <v>534</v>
      </c>
      <c r="I3134" s="110" t="str">
        <f>VLOOKUP(H3134, 'RM &amp; SF'!B:H, 2, 0)</f>
        <v>مثومه</v>
      </c>
      <c r="J3134" s="184" t="str">
        <f>VLOOKUP(H3134, 'RM &amp; SF'!B:E, 4, 0)</f>
        <v>غم</v>
      </c>
      <c r="K3134" s="78">
        <v>150</v>
      </c>
      <c r="L3134" s="13">
        <f>VLOOKUP(H3134, 'RM &amp; SF'!B:H, 7, 0)</f>
        <v>6.6564092227821051E-4</v>
      </c>
      <c r="M3134" s="15">
        <f t="shared" si="165"/>
        <v>9.9846138341731575E-2</v>
      </c>
      <c r="N3134" s="21" t="s">
        <v>825</v>
      </c>
      <c r="O3134" s="4">
        <f>VLOOKUP(B3134, 'All Menu'!B:L, 6, 0)</f>
        <v>5.1724137931034484</v>
      </c>
      <c r="P3134" s="6">
        <f>VLOOKUP(B3134, 'All Menu'!B:L, 9, 0)</f>
        <v>1.6609315590496858</v>
      </c>
      <c r="Q3134" s="14">
        <f>VLOOKUP(B3134, 'All Menu'!B:M, 12, 0)</f>
        <v>0.67888656525039404</v>
      </c>
      <c r="R3134" s="173">
        <f t="shared" si="158"/>
        <v>0</v>
      </c>
    </row>
    <row r="3135" spans="1:18" ht="14" hidden="1">
      <c r="A3135" s="78" t="s">
        <v>3086</v>
      </c>
      <c r="B3135" s="220" t="s">
        <v>1187</v>
      </c>
      <c r="C3135" s="185"/>
      <c r="D3135" s="30" t="str">
        <f>VLOOKUP(B3135, 'All Menu'!B:M, 4, 0)</f>
        <v>سمبوسك جبنة</v>
      </c>
      <c r="E3135" s="30" t="str">
        <f>VLOOKUP(B3135, 'All Menu'!B:M, 2, 0)</f>
        <v>قسم الصالة</v>
      </c>
      <c r="F3135" s="103" t="str">
        <f>VLOOKUP(B3135, 'All Menu'!B:M, 3, 0)</f>
        <v>مقبلات ساخنة صالة</v>
      </c>
      <c r="G3135" s="90" t="s">
        <v>2327</v>
      </c>
      <c r="H3135" s="219" t="s">
        <v>684</v>
      </c>
      <c r="I3135" s="110" t="str">
        <f>VLOOKUP(H3135, 'RM &amp; SF'!B:H, 2, 0)</f>
        <v>سمبوسك جبنة</v>
      </c>
      <c r="J3135" s="184" t="str">
        <f>VLOOKUP(H3135, 'RM &amp; SF'!B:E, 4, 0)</f>
        <v>قطعة</v>
      </c>
      <c r="K3135" s="78">
        <v>1</v>
      </c>
      <c r="L3135" s="13">
        <f>VLOOKUP(H3135, 'RM &amp; SF'!B:H, 7, 0)</f>
        <v>0.1167055</v>
      </c>
      <c r="M3135" s="15">
        <f t="shared" si="165"/>
        <v>0.1167055</v>
      </c>
      <c r="N3135" s="21" t="s">
        <v>825</v>
      </c>
      <c r="O3135" s="4">
        <f>VLOOKUP(B3135, 'All Menu'!B:L, 6, 0)</f>
        <v>0.73275862068965525</v>
      </c>
      <c r="P3135" s="6">
        <f>VLOOKUP(B3135, 'All Menu'!B:L, 9, 0)</f>
        <v>0.1167055</v>
      </c>
      <c r="Q3135" s="14">
        <f>VLOOKUP(B3135, 'All Menu'!B:M, 12, 0)</f>
        <v>0.84073131764705877</v>
      </c>
      <c r="R3135" s="173">
        <f t="shared" si="158"/>
        <v>0</v>
      </c>
    </row>
    <row r="3136" spans="1:18" ht="14" hidden="1">
      <c r="A3136" s="78" t="s">
        <v>3087</v>
      </c>
      <c r="B3136" s="220" t="s">
        <v>1188</v>
      </c>
      <c r="C3136" s="185"/>
      <c r="D3136" s="30" t="str">
        <f>VLOOKUP(B3136, 'All Menu'!B:M, 4, 0)</f>
        <v>سمبوسك لحمة</v>
      </c>
      <c r="E3136" s="30" t="str">
        <f>VLOOKUP(B3136, 'All Menu'!B:M, 2, 0)</f>
        <v>قسم الصالة</v>
      </c>
      <c r="F3136" s="103" t="str">
        <f>VLOOKUP(B3136, 'All Menu'!B:M, 3, 0)</f>
        <v>مقبلات ساخنة صالة</v>
      </c>
      <c r="G3136" s="90" t="s">
        <v>2328</v>
      </c>
      <c r="H3136" s="219" t="s">
        <v>686</v>
      </c>
      <c r="I3136" s="110" t="str">
        <f>VLOOKUP(H3136, 'RM &amp; SF'!B:H, 2, 0)</f>
        <v>سمبوسك لحمة</v>
      </c>
      <c r="J3136" s="184" t="str">
        <f>VLOOKUP(H3136, 'RM &amp; SF'!B:E, 4, 0)</f>
        <v>قطعة</v>
      </c>
      <c r="K3136" s="78">
        <v>1</v>
      </c>
      <c r="L3136" s="13">
        <f>VLOOKUP(H3136, 'RM &amp; SF'!B:H, 7, 0)</f>
        <v>0.22020393333333332</v>
      </c>
      <c r="M3136" s="15">
        <f t="shared" si="165"/>
        <v>0.22020393333333332</v>
      </c>
      <c r="N3136" s="21" t="s">
        <v>825</v>
      </c>
      <c r="O3136" s="4">
        <f>VLOOKUP(B3136, 'All Menu'!B:L, 6, 0)</f>
        <v>0.73275862068965525</v>
      </c>
      <c r="P3136" s="6">
        <f>VLOOKUP(B3136, 'All Menu'!B:L, 9, 0)</f>
        <v>0.22020393333333332</v>
      </c>
      <c r="Q3136" s="14">
        <f>VLOOKUP(B3136, 'All Menu'!B:M, 12, 0)</f>
        <v>0.69948639686274516</v>
      </c>
      <c r="R3136" s="173">
        <f t="shared" si="158"/>
        <v>0</v>
      </c>
    </row>
    <row r="3137" spans="1:18" ht="14" hidden="1">
      <c r="A3137" s="78" t="s">
        <v>2980</v>
      </c>
      <c r="B3137" s="220" t="s">
        <v>1193</v>
      </c>
      <c r="C3137" s="185"/>
      <c r="D3137" s="30" t="str">
        <f>VLOOKUP(B3137, 'All Menu'!B:M, 4, 0)</f>
        <v>وجبة دولمة</v>
      </c>
      <c r="E3137" s="30" t="str">
        <f>VLOOKUP(B3137, 'All Menu'!B:M, 2, 0)</f>
        <v>قسم الصالة</v>
      </c>
      <c r="F3137" s="103" t="str">
        <f>VLOOKUP(B3137, 'All Menu'!B:M, 3, 0)</f>
        <v>اطباق اليوم صالة</v>
      </c>
      <c r="G3137" s="90" t="s">
        <v>3058</v>
      </c>
      <c r="H3137" s="219">
        <v>4606</v>
      </c>
      <c r="I3137" s="110" t="str">
        <f>VLOOKUP(H3137, 'RM &amp; SF'!B:H, 2, 0)</f>
        <v>أضلاع خروف (قص خروف) مع عظم*****</v>
      </c>
      <c r="J3137" s="184" t="str">
        <f>VLOOKUP(H3137, 'RM &amp; SF'!B:E, 4, 0)</f>
        <v>غم</v>
      </c>
      <c r="K3137" s="78">
        <v>180</v>
      </c>
      <c r="L3137" s="13">
        <f>VLOOKUP(H3137, 'RM &amp; SF'!B:H, 7, 0)</f>
        <v>1.0500000000000001E-2</v>
      </c>
      <c r="M3137" s="15">
        <f t="shared" si="165"/>
        <v>1.8900000000000001</v>
      </c>
      <c r="N3137" s="21" t="s">
        <v>825</v>
      </c>
      <c r="O3137" s="4">
        <f>VLOOKUP(B3137, 'All Menu'!B:L, 6, 0)</f>
        <v>6.0344827586206904</v>
      </c>
      <c r="P3137" s="6">
        <f>VLOOKUP(B3137, 'All Menu'!B:L, 9, 0)</f>
        <v>3.2219750202770041</v>
      </c>
      <c r="Q3137" s="14">
        <f>VLOOKUP(B3137, 'All Menu'!B:M, 12, 0)</f>
        <v>0.4660727109255251</v>
      </c>
      <c r="R3137" s="173">
        <f t="shared" si="158"/>
        <v>0</v>
      </c>
    </row>
    <row r="3138" spans="1:18" ht="14" hidden="1">
      <c r="A3138" s="78" t="s">
        <v>2980</v>
      </c>
      <c r="B3138" s="220" t="s">
        <v>1193</v>
      </c>
      <c r="C3138" s="185"/>
      <c r="D3138" s="30" t="str">
        <f>VLOOKUP(B3138, 'All Menu'!B:M, 4, 0)</f>
        <v>وجبة دولمة</v>
      </c>
      <c r="E3138" s="30" t="str">
        <f>VLOOKUP(B3138, 'All Menu'!B:M, 2, 0)</f>
        <v>قسم الصالة</v>
      </c>
      <c r="F3138" s="103" t="str">
        <f>VLOOKUP(B3138, 'All Menu'!B:M, 3, 0)</f>
        <v>اطباق اليوم صالة</v>
      </c>
      <c r="G3138" s="90" t="s">
        <v>2381</v>
      </c>
      <c r="H3138" s="219" t="s">
        <v>492</v>
      </c>
      <c r="I3138" s="110" t="str">
        <f>VLOOKUP(H3138, 'RM &amp; SF'!B:H, 2, 0)</f>
        <v>يلنجي بالحبة</v>
      </c>
      <c r="J3138" s="184" t="str">
        <f>VLOOKUP(H3138, 'RM &amp; SF'!B:E, 4, 0)</f>
        <v>قطعة</v>
      </c>
      <c r="K3138" s="78">
        <v>15</v>
      </c>
      <c r="L3138" s="13">
        <f>VLOOKUP(H3138, 'RM &amp; SF'!B:H, 7, 0)</f>
        <v>3.3316857762056666E-2</v>
      </c>
      <c r="M3138" s="15">
        <f t="shared" si="165"/>
        <v>0.49975286643084998</v>
      </c>
      <c r="N3138" s="21" t="s">
        <v>825</v>
      </c>
      <c r="O3138" s="4">
        <f>VLOOKUP(B3138, 'All Menu'!B:L, 6, 0)</f>
        <v>6.0344827586206904</v>
      </c>
      <c r="P3138" s="6">
        <f>VLOOKUP(B3138, 'All Menu'!B:L, 9, 0)</f>
        <v>3.2219750202770041</v>
      </c>
      <c r="Q3138" s="14">
        <f>VLOOKUP(B3138, 'All Menu'!B:M, 12, 0)</f>
        <v>0.4660727109255251</v>
      </c>
      <c r="R3138" s="173">
        <f t="shared" si="158"/>
        <v>0</v>
      </c>
    </row>
    <row r="3139" spans="1:18" ht="14" hidden="1">
      <c r="A3139" s="78" t="s">
        <v>2980</v>
      </c>
      <c r="B3139" s="220" t="s">
        <v>1193</v>
      </c>
      <c r="C3139" s="185"/>
      <c r="D3139" s="30" t="str">
        <f>VLOOKUP(B3139, 'All Menu'!B:M, 4, 0)</f>
        <v>وجبة دولمة</v>
      </c>
      <c r="E3139" s="30" t="str">
        <f>VLOOKUP(B3139, 'All Menu'!B:M, 2, 0)</f>
        <v>قسم الصالة</v>
      </c>
      <c r="F3139" s="103" t="str">
        <f>VLOOKUP(B3139, 'All Menu'!B:M, 3, 0)</f>
        <v>اطباق اليوم صالة</v>
      </c>
      <c r="G3139" s="90" t="s">
        <v>2435</v>
      </c>
      <c r="H3139" s="219" t="s">
        <v>690</v>
      </c>
      <c r="I3139" s="110" t="str">
        <f>VLOOKUP(H3139, 'RM &amp; SF'!B:H, 2, 0)</f>
        <v>كوسا محشي بالحبة</v>
      </c>
      <c r="J3139" s="184" t="str">
        <f>VLOOKUP(H3139, 'RM &amp; SF'!B:E, 4, 0)</f>
        <v>قطعة</v>
      </c>
      <c r="K3139" s="78">
        <v>2</v>
      </c>
      <c r="L3139" s="13">
        <f>VLOOKUP(H3139, 'RM &amp; SF'!B:H, 7, 0)</f>
        <v>0.20580553846153843</v>
      </c>
      <c r="M3139" s="15">
        <f t="shared" si="165"/>
        <v>0.41161107692307686</v>
      </c>
      <c r="N3139" s="21" t="s">
        <v>825</v>
      </c>
      <c r="O3139" s="4">
        <f>VLOOKUP(B3139, 'All Menu'!B:L, 6, 0)</f>
        <v>6.0344827586206904</v>
      </c>
      <c r="P3139" s="6">
        <f>VLOOKUP(B3139, 'All Menu'!B:L, 9, 0)</f>
        <v>3.2219750202770041</v>
      </c>
      <c r="Q3139" s="14">
        <f>VLOOKUP(B3139, 'All Menu'!B:M, 12, 0)</f>
        <v>0.4660727109255251</v>
      </c>
      <c r="R3139" s="173">
        <f t="shared" si="158"/>
        <v>0</v>
      </c>
    </row>
    <row r="3140" spans="1:18" ht="14" hidden="1">
      <c r="A3140" s="78" t="s">
        <v>2980</v>
      </c>
      <c r="B3140" s="220" t="s">
        <v>1193</v>
      </c>
      <c r="C3140" s="185"/>
      <c r="D3140" s="30" t="str">
        <f>VLOOKUP(B3140, 'All Menu'!B:M, 4, 0)</f>
        <v>وجبة دولمة</v>
      </c>
      <c r="E3140" s="30" t="str">
        <f>VLOOKUP(B3140, 'All Menu'!B:M, 2, 0)</f>
        <v>قسم الصالة</v>
      </c>
      <c r="F3140" s="103" t="str">
        <f>VLOOKUP(B3140, 'All Menu'!B:M, 3, 0)</f>
        <v>اطباق اليوم صالة</v>
      </c>
      <c r="G3140" s="90" t="s">
        <v>2436</v>
      </c>
      <c r="H3140" s="219" t="s">
        <v>692</v>
      </c>
      <c r="I3140" s="110" t="str">
        <f>VLOOKUP(H3140, 'RM &amp; SF'!B:H, 2, 0)</f>
        <v xml:space="preserve">باذنجان محشي </v>
      </c>
      <c r="J3140" s="184" t="str">
        <f>VLOOKUP(H3140, 'RM &amp; SF'!B:E, 4, 0)</f>
        <v>قطعة</v>
      </c>
      <c r="K3140" s="78">
        <v>2</v>
      </c>
      <c r="L3140" s="13">
        <f>VLOOKUP(H3140, 'RM &amp; SF'!B:H, 7, 0)</f>
        <v>9.8091661538461536E-2</v>
      </c>
      <c r="M3140" s="15">
        <f t="shared" si="165"/>
        <v>0.19618332307692307</v>
      </c>
      <c r="N3140" s="21" t="s">
        <v>825</v>
      </c>
      <c r="O3140" s="4">
        <f>VLOOKUP(B3140, 'All Menu'!B:L, 6, 0)</f>
        <v>6.0344827586206904</v>
      </c>
      <c r="P3140" s="6">
        <f>VLOOKUP(B3140, 'All Menu'!B:L, 9, 0)</f>
        <v>3.2219750202770041</v>
      </c>
      <c r="Q3140" s="14">
        <f>VLOOKUP(B3140, 'All Menu'!B:M, 12, 0)</f>
        <v>0.4660727109255251</v>
      </c>
      <c r="R3140" s="173">
        <f t="shared" si="158"/>
        <v>0</v>
      </c>
    </row>
    <row r="3141" spans="1:18" ht="14" hidden="1">
      <c r="A3141" s="78" t="s">
        <v>2980</v>
      </c>
      <c r="B3141" s="220" t="s">
        <v>1193</v>
      </c>
      <c r="C3141" s="185"/>
      <c r="D3141" s="30" t="str">
        <f>VLOOKUP(B3141, 'All Menu'!B:M, 4, 0)</f>
        <v>وجبة دولمة</v>
      </c>
      <c r="E3141" s="30" t="str">
        <f>VLOOKUP(B3141, 'All Menu'!B:M, 2, 0)</f>
        <v>قسم الصالة</v>
      </c>
      <c r="F3141" s="103" t="str">
        <f>VLOOKUP(B3141, 'All Menu'!B:M, 3, 0)</f>
        <v>اطباق اليوم صالة</v>
      </c>
      <c r="G3141" s="90" t="s">
        <v>2332</v>
      </c>
      <c r="H3141" s="219" t="s">
        <v>644</v>
      </c>
      <c r="I3141" s="110" t="str">
        <f>VLOOKUP(H3141, 'RM &amp; SF'!B:H, 2, 0)</f>
        <v xml:space="preserve">حشوة ورق العنب </v>
      </c>
      <c r="J3141" s="184" t="str">
        <f>VLOOKUP(H3141, 'RM &amp; SF'!B:E, 4, 0)</f>
        <v>غم</v>
      </c>
      <c r="K3141" s="78">
        <v>70</v>
      </c>
      <c r="L3141" s="13">
        <f>VLOOKUP(H3141, 'RM &amp; SF'!B:H, 7, 0)</f>
        <v>3.2061107692307688E-3</v>
      </c>
      <c r="M3141" s="15">
        <f t="shared" si="165"/>
        <v>0.22442775384615382</v>
      </c>
      <c r="N3141" s="21" t="s">
        <v>825</v>
      </c>
      <c r="O3141" s="4">
        <f>VLOOKUP(B3141, 'All Menu'!B:L, 6, 0)</f>
        <v>6.0344827586206904</v>
      </c>
      <c r="P3141" s="6">
        <f>VLOOKUP(B3141, 'All Menu'!B:L, 9, 0)</f>
        <v>3.2219750202770041</v>
      </c>
      <c r="Q3141" s="14">
        <f>VLOOKUP(B3141, 'All Menu'!B:M, 12, 0)</f>
        <v>0.4660727109255251</v>
      </c>
      <c r="R3141" s="173">
        <f t="shared" si="158"/>
        <v>0</v>
      </c>
    </row>
    <row r="3142" spans="1:18" ht="14" hidden="1">
      <c r="A3142" s="78" t="s">
        <v>2981</v>
      </c>
      <c r="B3142" s="220" t="s">
        <v>1194</v>
      </c>
      <c r="C3142" s="185"/>
      <c r="D3142" s="30" t="str">
        <f>VLOOKUP(B3142, 'All Menu'!B:M, 4, 0)</f>
        <v>وجبة ملفوف صغير</v>
      </c>
      <c r="E3142" s="30" t="str">
        <f>VLOOKUP(B3142, 'All Menu'!B:M, 2, 0)</f>
        <v>قسم الصالة</v>
      </c>
      <c r="F3142" s="103" t="str">
        <f>VLOOKUP(B3142, 'All Menu'!B:M, 3, 0)</f>
        <v>اطباق اليوم صالة</v>
      </c>
      <c r="G3142" s="90" t="s">
        <v>2339</v>
      </c>
      <c r="H3142" s="219" t="s">
        <v>700</v>
      </c>
      <c r="I3142" s="110" t="str">
        <f>VLOOKUP(H3142, 'RM &amp; SF'!B:H, 2, 0)</f>
        <v>حبة ملفوف</v>
      </c>
      <c r="J3142" s="184" t="str">
        <f>VLOOKUP(H3142, 'RM &amp; SF'!B:E, 4, 0)</f>
        <v>قطعة</v>
      </c>
      <c r="K3142" s="78">
        <v>25</v>
      </c>
      <c r="L3142" s="13">
        <f>VLOOKUP(H3142, 'RM &amp; SF'!B:H, 7, 0)</f>
        <v>4.8670005252525246E-2</v>
      </c>
      <c r="M3142" s="15">
        <f t="shared" si="165"/>
        <v>1.2167501313131313</v>
      </c>
      <c r="N3142" s="21" t="s">
        <v>825</v>
      </c>
      <c r="O3142" s="4">
        <f>VLOOKUP(B3142, 'All Menu'!B:L, 6, 0)</f>
        <v>6.0344827586206904</v>
      </c>
      <c r="P3142" s="6">
        <f>VLOOKUP(B3142, 'All Menu'!B:L, 9, 0)</f>
        <v>1.3367501313131314</v>
      </c>
      <c r="Q3142" s="14">
        <f>VLOOKUP(B3142, 'All Menu'!B:M, 12, 0)</f>
        <v>0.77848140681096678</v>
      </c>
      <c r="R3142" s="173">
        <f t="shared" si="158"/>
        <v>0</v>
      </c>
    </row>
    <row r="3143" spans="1:18" ht="14" hidden="1">
      <c r="A3143" s="78" t="s">
        <v>2981</v>
      </c>
      <c r="B3143" s="220" t="s">
        <v>1194</v>
      </c>
      <c r="C3143" s="185"/>
      <c r="D3143" s="30" t="str">
        <f>VLOOKUP(B3143, 'All Menu'!B:M, 4, 0)</f>
        <v>وجبة ملفوف صغير</v>
      </c>
      <c r="E3143" s="30" t="str">
        <f>VLOOKUP(B3143, 'All Menu'!B:M, 2, 0)</f>
        <v>قسم الصالة</v>
      </c>
      <c r="F3143" s="103" t="str">
        <f>VLOOKUP(B3143, 'All Menu'!B:M, 3, 0)</f>
        <v>اطباق اليوم صالة</v>
      </c>
      <c r="G3143" s="90" t="s">
        <v>2170</v>
      </c>
      <c r="H3143" s="219">
        <v>4552</v>
      </c>
      <c r="I3143" s="110" t="str">
        <f>VLOOKUP(H3143, 'RM &amp; SF'!B:H, 2, 0)</f>
        <v>لبن رايب 5 كغ*****</v>
      </c>
      <c r="J3143" s="184" t="str">
        <f>VLOOKUP(H3143, 'RM &amp; SF'!B:E, 4, 0)</f>
        <v>غم</v>
      </c>
      <c r="K3143" s="78">
        <v>150</v>
      </c>
      <c r="L3143" s="13">
        <f>VLOOKUP(H3143, 'RM &amp; SF'!B:H, 7, 0)</f>
        <v>8.0000000000000004E-4</v>
      </c>
      <c r="M3143" s="15">
        <f t="shared" si="165"/>
        <v>0.12000000000000001</v>
      </c>
      <c r="N3143" s="21" t="s">
        <v>825</v>
      </c>
      <c r="O3143" s="4">
        <f>VLOOKUP(B3143, 'All Menu'!B:L, 6, 0)</f>
        <v>6.0344827586206904</v>
      </c>
      <c r="P3143" s="6">
        <f>VLOOKUP(B3143, 'All Menu'!B:L, 9, 0)</f>
        <v>1.3367501313131314</v>
      </c>
      <c r="Q3143" s="14">
        <f>VLOOKUP(B3143, 'All Menu'!B:M, 12, 0)</f>
        <v>0.77848140681096678</v>
      </c>
      <c r="R3143" s="173">
        <f t="shared" si="158"/>
        <v>0</v>
      </c>
    </row>
    <row r="3144" spans="1:18" ht="14" hidden="1">
      <c r="A3144" s="78" t="s">
        <v>3103</v>
      </c>
      <c r="B3144" s="220" t="s">
        <v>1242</v>
      </c>
      <c r="C3144" s="185"/>
      <c r="D3144" s="30" t="str">
        <f>VLOOKUP(B3144, 'All Menu'!B:M, 4, 0)</f>
        <v>وجبة فاصوليا بيضا</v>
      </c>
      <c r="E3144" s="30" t="str">
        <f>VLOOKUP(B3144, 'All Menu'!B:M, 2, 0)</f>
        <v>قسم الصالة</v>
      </c>
      <c r="F3144" s="103" t="str">
        <f>VLOOKUP(B3144, 'All Menu'!B:M, 3, 0)</f>
        <v>اطباق اليوم صالة</v>
      </c>
      <c r="G3144" s="90" t="s">
        <v>2342</v>
      </c>
      <c r="H3144" s="219" t="s">
        <v>708</v>
      </c>
      <c r="I3144" s="110" t="str">
        <f>VLOOKUP(H3144, 'RM &amp; SF'!B:H, 2, 0)</f>
        <v>ارز بشعيرية</v>
      </c>
      <c r="J3144" s="184" t="str">
        <f>VLOOKUP(H3144, 'RM &amp; SF'!B:E, 4, 0)</f>
        <v>غم</v>
      </c>
      <c r="K3144" s="78">
        <v>500</v>
      </c>
      <c r="L3144" s="13">
        <f>VLOOKUP(H3144, 'RM &amp; SF'!B:H, 7, 0)</f>
        <v>3.3269616161616159E-4</v>
      </c>
      <c r="M3144" s="15">
        <f t="shared" si="165"/>
        <v>0.16634808080808081</v>
      </c>
      <c r="N3144" s="21" t="s">
        <v>825</v>
      </c>
      <c r="O3144" s="4">
        <f>VLOOKUP(B3144, 'All Menu'!B:L, 6, 0)</f>
        <v>4.9568965517241379</v>
      </c>
      <c r="P3144" s="6">
        <f>VLOOKUP(B3144, 'All Menu'!B:L, 9, 0)</f>
        <v>2.9999366141414141</v>
      </c>
      <c r="Q3144" s="14">
        <f>VLOOKUP(B3144, 'All Menu'!B:M, 12, 0)</f>
        <v>0.39479539610364517</v>
      </c>
      <c r="R3144" s="173">
        <f t="shared" si="158"/>
        <v>0</v>
      </c>
    </row>
    <row r="3145" spans="1:18" ht="14" hidden="1">
      <c r="A3145" s="78" t="s">
        <v>3103</v>
      </c>
      <c r="B3145" s="220" t="s">
        <v>1242</v>
      </c>
      <c r="C3145" s="185"/>
      <c r="D3145" s="30" t="str">
        <f>VLOOKUP(B3145, 'All Menu'!B:M, 4, 0)</f>
        <v>وجبة فاصوليا بيضا</v>
      </c>
      <c r="E3145" s="30" t="str">
        <f>VLOOKUP(B3145, 'All Menu'!B:M, 2, 0)</f>
        <v>قسم الصالة</v>
      </c>
      <c r="F3145" s="103" t="str">
        <f>VLOOKUP(B3145, 'All Menu'!B:M, 3, 0)</f>
        <v>اطباق اليوم صالة</v>
      </c>
      <c r="G3145" s="90" t="s">
        <v>2360</v>
      </c>
      <c r="H3145" s="219" t="s">
        <v>752</v>
      </c>
      <c r="I3145" s="110" t="str">
        <f>VLOOKUP(H3145, 'RM &amp; SF'!B:H, 2, 0)</f>
        <v>يخنة فاصوليا بيضا</v>
      </c>
      <c r="J3145" s="184" t="str">
        <f>VLOOKUP(H3145, 'RM &amp; SF'!B:E, 4, 0)</f>
        <v>غم</v>
      </c>
      <c r="K3145" s="78">
        <v>400</v>
      </c>
      <c r="L3145" s="13">
        <f>VLOOKUP(H3145, 'RM &amp; SF'!B:H, 7, 0)</f>
        <v>4.7089713333333342E-3</v>
      </c>
      <c r="M3145" s="15">
        <f t="shared" si="165"/>
        <v>1.8835885333333338</v>
      </c>
      <c r="N3145" s="21" t="s">
        <v>825</v>
      </c>
      <c r="O3145" s="4">
        <f>VLOOKUP(B3145, 'All Menu'!B:L, 6, 0)</f>
        <v>4.9568965517241379</v>
      </c>
      <c r="P3145" s="6">
        <f>VLOOKUP(B3145, 'All Menu'!B:L, 9, 0)</f>
        <v>2.9999366141414141</v>
      </c>
      <c r="Q3145" s="14">
        <f>VLOOKUP(B3145, 'All Menu'!B:M, 12, 0)</f>
        <v>0.39479539610364517</v>
      </c>
      <c r="R3145" s="173">
        <f t="shared" si="158"/>
        <v>0</v>
      </c>
    </row>
    <row r="3146" spans="1:18" ht="14" hidden="1">
      <c r="A3146" s="78" t="s">
        <v>3103</v>
      </c>
      <c r="B3146" s="220" t="s">
        <v>1242</v>
      </c>
      <c r="C3146" s="185"/>
      <c r="D3146" s="30" t="str">
        <f>VLOOKUP(B3146, 'All Menu'!B:M, 4, 0)</f>
        <v>وجبة فاصوليا بيضا</v>
      </c>
      <c r="E3146" s="30" t="str">
        <f>VLOOKUP(B3146, 'All Menu'!B:M, 2, 0)</f>
        <v>قسم الصالة</v>
      </c>
      <c r="F3146" s="103" t="str">
        <f>VLOOKUP(B3146, 'All Menu'!B:M, 3, 0)</f>
        <v>اطباق اليوم صالة</v>
      </c>
      <c r="G3146" s="90" t="s">
        <v>3058</v>
      </c>
      <c r="H3146" s="219">
        <v>5403</v>
      </c>
      <c r="I3146" s="110" t="str">
        <f>VLOOKUP(H3146, 'RM &amp; SF'!B:H, 2, 0)</f>
        <v>طاجن (من تفصيلة الخروف)</v>
      </c>
      <c r="J3146" s="184" t="str">
        <f>VLOOKUP(H3146, 'RM &amp; SF'!B:E, 4, 0)</f>
        <v>غم</v>
      </c>
      <c r="K3146" s="78">
        <v>100</v>
      </c>
      <c r="L3146" s="13">
        <f>VLOOKUP(H3146, 'RM &amp; SF'!B:H, 7, 0)</f>
        <v>9.4999999999999998E-3</v>
      </c>
      <c r="M3146" s="15">
        <f t="shared" si="165"/>
        <v>0.95</v>
      </c>
      <c r="N3146" s="21" t="s">
        <v>825</v>
      </c>
      <c r="O3146" s="4">
        <f>VLOOKUP(B3146, 'All Menu'!B:L, 6, 0)</f>
        <v>4.9568965517241379</v>
      </c>
      <c r="P3146" s="6">
        <f>VLOOKUP(B3146, 'All Menu'!B:L, 9, 0)</f>
        <v>2.9999366141414141</v>
      </c>
      <c r="Q3146" s="14">
        <f>VLOOKUP(B3146, 'All Menu'!B:M, 12, 0)</f>
        <v>0.39479539610364517</v>
      </c>
      <c r="R3146" s="173">
        <f t="shared" ref="R3146:R3209" si="166">C3146*K3146</f>
        <v>0</v>
      </c>
    </row>
    <row r="3147" spans="1:18" ht="14" hidden="1">
      <c r="A3147" s="78" t="s">
        <v>3104</v>
      </c>
      <c r="B3147" s="220" t="s">
        <v>1243</v>
      </c>
      <c r="C3147" s="185"/>
      <c r="D3147" s="30" t="str">
        <f>VLOOKUP(B3147, 'All Menu'!B:M, 4, 0)</f>
        <v>زغلول محشي</v>
      </c>
      <c r="E3147" s="30" t="str">
        <f>VLOOKUP(B3147, 'All Menu'!B:M, 2, 0)</f>
        <v>قسم الصالة</v>
      </c>
      <c r="F3147" s="103" t="str">
        <f>VLOOKUP(B3147, 'All Menu'!B:M, 3, 0)</f>
        <v>اطباق اليوم صالة</v>
      </c>
      <c r="G3147" s="90" t="s">
        <v>2359</v>
      </c>
      <c r="H3147" s="219" t="s">
        <v>750</v>
      </c>
      <c r="I3147" s="110" t="str">
        <f>VLOOKUP(H3147, 'RM &amp; SF'!B:H, 2, 0)</f>
        <v>زغلول محشي</v>
      </c>
      <c r="J3147" s="184" t="str">
        <f>VLOOKUP(H3147, 'RM &amp; SF'!B:E, 4, 0)</f>
        <v>قطعة</v>
      </c>
      <c r="K3147" s="78">
        <v>2</v>
      </c>
      <c r="L3147" s="13">
        <f>VLOOKUP(H3147, 'RM &amp; SF'!B:H, 7, 0)</f>
        <v>2.3206110769230768</v>
      </c>
      <c r="M3147" s="15">
        <f t="shared" si="165"/>
        <v>4.6412221538461536</v>
      </c>
      <c r="N3147" s="21" t="s">
        <v>825</v>
      </c>
      <c r="O3147" s="4">
        <f>VLOOKUP(B3147, 'All Menu'!B:L, 6, 0)</f>
        <v>5.1724137931034484</v>
      </c>
      <c r="P3147" s="6">
        <f>VLOOKUP(B3147, 'All Menu'!B:L, 9, 0)</f>
        <v>5.0892226116047743</v>
      </c>
      <c r="Q3147" s="14">
        <f>VLOOKUP(B3147, 'All Menu'!B:M, 12, 0)</f>
        <v>1.6083628423076993E-2</v>
      </c>
      <c r="R3147" s="173">
        <f t="shared" si="166"/>
        <v>0</v>
      </c>
    </row>
    <row r="3148" spans="1:18" ht="14" hidden="1">
      <c r="A3148" s="78" t="s">
        <v>3104</v>
      </c>
      <c r="B3148" s="220" t="s">
        <v>1243</v>
      </c>
      <c r="C3148" s="185"/>
      <c r="D3148" s="30" t="str">
        <f>VLOOKUP(B3148, 'All Menu'!B:M, 4, 0)</f>
        <v>زغلول محشي</v>
      </c>
      <c r="E3148" s="30" t="str">
        <f>VLOOKUP(B3148, 'All Menu'!B:M, 2, 0)</f>
        <v>قسم الصالة</v>
      </c>
      <c r="F3148" s="103" t="str">
        <f>VLOOKUP(B3148, 'All Menu'!B:M, 3, 0)</f>
        <v>اطباق اليوم صالة</v>
      </c>
      <c r="G3148" s="90" t="s">
        <v>2377</v>
      </c>
      <c r="H3148" s="219" t="s">
        <v>796</v>
      </c>
      <c r="I3148" s="110" t="str">
        <f>VLOOKUP(H3148, 'RM &amp; SF'!B:H, 2, 0)</f>
        <v>رز مبهر</v>
      </c>
      <c r="J3148" s="184" t="str">
        <f>VLOOKUP(H3148, 'RM &amp; SF'!B:E, 4, 0)</f>
        <v>غم</v>
      </c>
      <c r="K3148" s="78">
        <v>300</v>
      </c>
      <c r="L3148" s="13">
        <f>VLOOKUP(H3148, 'RM &amp; SF'!B:H, 7, 0)</f>
        <v>8.1314491666666653E-4</v>
      </c>
      <c r="M3148" s="15">
        <f t="shared" si="165"/>
        <v>0.24394347499999997</v>
      </c>
      <c r="N3148" s="21" t="s">
        <v>825</v>
      </c>
      <c r="O3148" s="4">
        <f>VLOOKUP(B3148, 'All Menu'!B:L, 6, 0)</f>
        <v>5.1724137931034484</v>
      </c>
      <c r="P3148" s="6">
        <f>VLOOKUP(B3148, 'All Menu'!B:L, 9, 0)</f>
        <v>5.0892226116047743</v>
      </c>
      <c r="Q3148" s="14">
        <f>VLOOKUP(B3148, 'All Menu'!B:M, 12, 0)</f>
        <v>1.6083628423076993E-2</v>
      </c>
      <c r="R3148" s="173">
        <f t="shared" si="166"/>
        <v>0</v>
      </c>
    </row>
    <row r="3149" spans="1:18" ht="14" hidden="1">
      <c r="A3149" s="78" t="s">
        <v>3104</v>
      </c>
      <c r="B3149" s="220" t="s">
        <v>1243</v>
      </c>
      <c r="C3149" s="185"/>
      <c r="D3149" s="30" t="str">
        <f>VLOOKUP(B3149, 'All Menu'!B:M, 4, 0)</f>
        <v>زغلول محشي</v>
      </c>
      <c r="E3149" s="30" t="str">
        <f>VLOOKUP(B3149, 'All Menu'!B:M, 2, 0)</f>
        <v>قسم الصالة</v>
      </c>
      <c r="F3149" s="103" t="str">
        <f>VLOOKUP(B3149, 'All Menu'!B:M, 3, 0)</f>
        <v>اطباق اليوم صالة</v>
      </c>
      <c r="G3149" s="90" t="s">
        <v>2341</v>
      </c>
      <c r="H3149" s="219" t="s">
        <v>706</v>
      </c>
      <c r="I3149" s="110" t="str">
        <f>VLOOKUP(H3149, 'RM &amp; SF'!B:H, 2, 0)</f>
        <v>لوز مقلي</v>
      </c>
      <c r="J3149" s="184" t="str">
        <f>VLOOKUP(H3149, 'RM &amp; SF'!B:E, 4, 0)</f>
        <v>غم</v>
      </c>
      <c r="K3149" s="78">
        <v>30</v>
      </c>
      <c r="L3149" s="13">
        <f>VLOOKUP(H3149, 'RM &amp; SF'!B:H, 7, 0)</f>
        <v>4.1352327586206888E-3</v>
      </c>
      <c r="M3149" s="15">
        <f t="shared" si="165"/>
        <v>0.12405698275862066</v>
      </c>
      <c r="N3149" s="21" t="s">
        <v>825</v>
      </c>
      <c r="O3149" s="4">
        <f>VLOOKUP(B3149, 'All Menu'!B:L, 6, 0)</f>
        <v>5.1724137931034484</v>
      </c>
      <c r="P3149" s="6">
        <f>VLOOKUP(B3149, 'All Menu'!B:L, 9, 0)</f>
        <v>5.0892226116047743</v>
      </c>
      <c r="Q3149" s="14">
        <f>VLOOKUP(B3149, 'All Menu'!B:M, 12, 0)</f>
        <v>1.6083628423076993E-2</v>
      </c>
      <c r="R3149" s="173">
        <f t="shared" si="166"/>
        <v>0</v>
      </c>
    </row>
    <row r="3150" spans="1:18" ht="14" hidden="1">
      <c r="A3150" s="78" t="s">
        <v>3104</v>
      </c>
      <c r="B3150" s="220" t="s">
        <v>1243</v>
      </c>
      <c r="C3150" s="185"/>
      <c r="D3150" s="30" t="str">
        <f>VLOOKUP(B3150, 'All Menu'!B:M, 4, 0)</f>
        <v>زغلول محشي</v>
      </c>
      <c r="E3150" s="30" t="str">
        <f>VLOOKUP(B3150, 'All Menu'!B:M, 2, 0)</f>
        <v>قسم الصالة</v>
      </c>
      <c r="F3150" s="103" t="str">
        <f>VLOOKUP(B3150, 'All Menu'!B:M, 3, 0)</f>
        <v>اطباق اليوم صالة</v>
      </c>
      <c r="G3150" s="90" t="s">
        <v>2170</v>
      </c>
      <c r="H3150" s="219">
        <v>4552</v>
      </c>
      <c r="I3150" s="110" t="str">
        <f>VLOOKUP(H3150, 'RM &amp; SF'!B:H, 2, 0)</f>
        <v>لبن رايب 5 كغ*****</v>
      </c>
      <c r="J3150" s="184" t="str">
        <f>VLOOKUP(H3150, 'RM &amp; SF'!B:E, 4, 0)</f>
        <v>غم</v>
      </c>
      <c r="K3150" s="78">
        <v>100</v>
      </c>
      <c r="L3150" s="13">
        <f>VLOOKUP(H3150, 'RM &amp; SF'!B:H, 7, 0)</f>
        <v>8.0000000000000004E-4</v>
      </c>
      <c r="M3150" s="15">
        <f t="shared" si="165"/>
        <v>0.08</v>
      </c>
      <c r="N3150" s="21" t="s">
        <v>825</v>
      </c>
      <c r="O3150" s="4">
        <f>VLOOKUP(B3150, 'All Menu'!B:L, 6, 0)</f>
        <v>5.1724137931034484</v>
      </c>
      <c r="P3150" s="6">
        <f>VLOOKUP(B3150, 'All Menu'!B:L, 9, 0)</f>
        <v>5.0892226116047743</v>
      </c>
      <c r="Q3150" s="14">
        <f>VLOOKUP(B3150, 'All Menu'!B:M, 12, 0)</f>
        <v>1.6083628423076993E-2</v>
      </c>
      <c r="R3150" s="173">
        <f t="shared" si="166"/>
        <v>0</v>
      </c>
    </row>
    <row r="3151" spans="1:18" ht="14" hidden="1">
      <c r="A3151" s="78" t="s">
        <v>2982</v>
      </c>
      <c r="B3151" s="220" t="s">
        <v>1244</v>
      </c>
      <c r="C3151" s="185"/>
      <c r="D3151" s="30" t="str">
        <f>VLOOKUP(B3151, 'All Menu'!B:M, 4, 0)</f>
        <v>مسخن نصف دجاجة</v>
      </c>
      <c r="E3151" s="30" t="str">
        <f>VLOOKUP(B3151, 'All Menu'!B:M, 2, 0)</f>
        <v>قسم الصالة</v>
      </c>
      <c r="F3151" s="103" t="str">
        <f>VLOOKUP(B3151, 'All Menu'!B:M, 3, 0)</f>
        <v>اطباق اليوم صالة</v>
      </c>
      <c r="G3151" s="90" t="s">
        <v>2425</v>
      </c>
      <c r="H3151" s="219" t="s">
        <v>648</v>
      </c>
      <c r="I3151" s="110" t="str">
        <f>VLOOKUP(H3151, 'RM &amp; SF'!B:H, 2, 0)</f>
        <v xml:space="preserve">خبز تنور </v>
      </c>
      <c r="J3151" s="184" t="str">
        <f>VLOOKUP(H3151, 'RM &amp; SF'!B:E, 4, 0)</f>
        <v>غم</v>
      </c>
      <c r="K3151" s="78">
        <v>100</v>
      </c>
      <c r="L3151" s="13">
        <f>VLOOKUP(H3151, 'RM &amp; SF'!B:H, 7, 0)</f>
        <v>1.5104950793650793E-4</v>
      </c>
      <c r="M3151" s="15">
        <f t="shared" si="165"/>
        <v>1.5104950793650793E-2</v>
      </c>
      <c r="N3151" s="21" t="s">
        <v>825</v>
      </c>
      <c r="O3151" s="4">
        <f>VLOOKUP(B3151, 'All Menu'!B:L, 6, 0)</f>
        <v>6.0344827586206904</v>
      </c>
      <c r="P3151" s="6">
        <f>VLOOKUP(B3151, 'All Menu'!B:L, 9, 0)</f>
        <v>1.5554824948549533</v>
      </c>
      <c r="Q3151" s="14">
        <f>VLOOKUP(B3151, 'All Menu'!B:M, 12, 0)</f>
        <v>0.74223432942403633</v>
      </c>
      <c r="R3151" s="173">
        <f t="shared" si="166"/>
        <v>0</v>
      </c>
    </row>
    <row r="3152" spans="1:18" ht="14" hidden="1">
      <c r="A3152" s="78" t="s">
        <v>2982</v>
      </c>
      <c r="B3152" s="220" t="s">
        <v>1244</v>
      </c>
      <c r="C3152" s="185"/>
      <c r="D3152" s="30" t="str">
        <f>VLOOKUP(B3152, 'All Menu'!B:M, 4, 0)</f>
        <v>مسخن نصف دجاجة</v>
      </c>
      <c r="E3152" s="30" t="str">
        <f>VLOOKUP(B3152, 'All Menu'!B:M, 2, 0)</f>
        <v>قسم الصالة</v>
      </c>
      <c r="F3152" s="103" t="str">
        <f>VLOOKUP(B3152, 'All Menu'!B:M, 3, 0)</f>
        <v>اطباق اليوم صالة</v>
      </c>
      <c r="G3152" s="90" t="s">
        <v>2363</v>
      </c>
      <c r="H3152" s="219" t="s">
        <v>758</v>
      </c>
      <c r="I3152" s="110" t="str">
        <f>VLOOKUP(H3152, 'RM &amp; SF'!B:H, 2, 0)</f>
        <v>ضربه بصل مسخن</v>
      </c>
      <c r="J3152" s="184" t="str">
        <f>VLOOKUP(H3152, 'RM &amp; SF'!B:E, 4, 0)</f>
        <v>غم</v>
      </c>
      <c r="K3152" s="78">
        <v>480</v>
      </c>
      <c r="L3152" s="13">
        <f>VLOOKUP(H3152, 'RM &amp; SF'!B:H, 7, 0)</f>
        <v>2.2669666666666663E-3</v>
      </c>
      <c r="M3152" s="15">
        <f t="shared" si="165"/>
        <v>1.0881439999999998</v>
      </c>
      <c r="N3152" s="21" t="s">
        <v>825</v>
      </c>
      <c r="O3152" s="4">
        <f>VLOOKUP(B3152, 'All Menu'!B:L, 6, 0)</f>
        <v>6.0344827586206904</v>
      </c>
      <c r="P3152" s="6">
        <f>VLOOKUP(B3152, 'All Menu'!B:L, 9, 0)</f>
        <v>1.5554824948549533</v>
      </c>
      <c r="Q3152" s="14">
        <f>VLOOKUP(B3152, 'All Menu'!B:M, 12, 0)</f>
        <v>0.74223432942403633</v>
      </c>
      <c r="R3152" s="173">
        <f t="shared" si="166"/>
        <v>0</v>
      </c>
    </row>
    <row r="3153" spans="1:18" ht="14" hidden="1">
      <c r="A3153" s="78" t="s">
        <v>2982</v>
      </c>
      <c r="B3153" s="220" t="s">
        <v>1244</v>
      </c>
      <c r="C3153" s="185"/>
      <c r="D3153" s="30" t="str">
        <f>VLOOKUP(B3153, 'All Menu'!B:M, 4, 0)</f>
        <v>مسخن نصف دجاجة</v>
      </c>
      <c r="E3153" s="30" t="str">
        <f>VLOOKUP(B3153, 'All Menu'!B:M, 2, 0)</f>
        <v>قسم الصالة</v>
      </c>
      <c r="F3153" s="103" t="str">
        <f>VLOOKUP(B3153, 'All Menu'!B:M, 3, 0)</f>
        <v>اطباق اليوم صالة</v>
      </c>
      <c r="G3153" s="90" t="s">
        <v>2215</v>
      </c>
      <c r="H3153" s="219">
        <v>4224</v>
      </c>
      <c r="I3153" s="110" t="str">
        <f>VLOOKUP(H3153, 'RM &amp; SF'!B:H, 2, 0)</f>
        <v>سماق*****</v>
      </c>
      <c r="J3153" s="184" t="str">
        <f>VLOOKUP(H3153, 'RM &amp; SF'!B:E, 4, 0)</f>
        <v>غم</v>
      </c>
      <c r="K3153" s="78">
        <v>5</v>
      </c>
      <c r="L3153" s="13">
        <f>VLOOKUP(H3153, 'RM &amp; SF'!B:H, 7, 0)</f>
        <v>4.3099999999999996E-3</v>
      </c>
      <c r="M3153" s="15">
        <f t="shared" si="165"/>
        <v>2.155E-2</v>
      </c>
      <c r="N3153" s="21" t="s">
        <v>825</v>
      </c>
      <c r="O3153" s="4">
        <f>VLOOKUP(B3153, 'All Menu'!B:L, 6, 0)</f>
        <v>6.0344827586206904</v>
      </c>
      <c r="P3153" s="6">
        <f>VLOOKUP(B3153, 'All Menu'!B:L, 9, 0)</f>
        <v>1.5554824948549533</v>
      </c>
      <c r="Q3153" s="14">
        <f>VLOOKUP(B3153, 'All Menu'!B:M, 12, 0)</f>
        <v>0.74223432942403633</v>
      </c>
      <c r="R3153" s="173">
        <f t="shared" si="166"/>
        <v>0</v>
      </c>
    </row>
    <row r="3154" spans="1:18" ht="14" hidden="1">
      <c r="A3154" s="78" t="s">
        <v>2982</v>
      </c>
      <c r="B3154" s="220" t="s">
        <v>1244</v>
      </c>
      <c r="C3154" s="185"/>
      <c r="D3154" s="30" t="str">
        <f>VLOOKUP(B3154, 'All Menu'!B:M, 4, 0)</f>
        <v>مسخن نصف دجاجة</v>
      </c>
      <c r="E3154" s="30" t="str">
        <f>VLOOKUP(B3154, 'All Menu'!B:M, 2, 0)</f>
        <v>قسم الصالة</v>
      </c>
      <c r="F3154" s="103" t="str">
        <f>VLOOKUP(B3154, 'All Menu'!B:M, 3, 0)</f>
        <v>اطباق اليوم صالة</v>
      </c>
      <c r="G3154" s="90" t="s">
        <v>2362</v>
      </c>
      <c r="H3154" s="219" t="s">
        <v>756</v>
      </c>
      <c r="I3154" s="110" t="str">
        <f>VLOOKUP(H3154, 'RM &amp; SF'!B:H, 2, 0)</f>
        <v>دجاج مسخن</v>
      </c>
      <c r="J3154" s="184" t="str">
        <f>VLOOKUP(H3154, 'RM &amp; SF'!B:E, 4, 0)</f>
        <v>قطعة</v>
      </c>
      <c r="K3154" s="78">
        <v>0.5</v>
      </c>
      <c r="L3154" s="13">
        <f>VLOOKUP(H3154, 'RM &amp; SF'!B:H, 7, 0)</f>
        <v>0.34595777777777781</v>
      </c>
      <c r="M3154" s="15">
        <f t="shared" si="165"/>
        <v>0.1729788888888889</v>
      </c>
      <c r="N3154" s="21" t="s">
        <v>825</v>
      </c>
      <c r="O3154" s="4">
        <f>VLOOKUP(B3154, 'All Menu'!B:L, 6, 0)</f>
        <v>6.0344827586206904</v>
      </c>
      <c r="P3154" s="6">
        <f>VLOOKUP(B3154, 'All Menu'!B:L, 9, 0)</f>
        <v>1.5554824948549533</v>
      </c>
      <c r="Q3154" s="14">
        <f>VLOOKUP(B3154, 'All Menu'!B:M, 12, 0)</f>
        <v>0.74223432942403633</v>
      </c>
      <c r="R3154" s="173">
        <f t="shared" si="166"/>
        <v>0</v>
      </c>
    </row>
    <row r="3155" spans="1:18" ht="14" hidden="1">
      <c r="A3155" s="78" t="s">
        <v>2982</v>
      </c>
      <c r="B3155" s="220" t="s">
        <v>1244</v>
      </c>
      <c r="C3155" s="185"/>
      <c r="D3155" s="30" t="str">
        <f>VLOOKUP(B3155, 'All Menu'!B:M, 4, 0)</f>
        <v>مسخن نصف دجاجة</v>
      </c>
      <c r="E3155" s="30" t="str">
        <f>VLOOKUP(B3155, 'All Menu'!B:M, 2, 0)</f>
        <v>قسم الصالة</v>
      </c>
      <c r="F3155" s="103" t="str">
        <f>VLOOKUP(B3155, 'All Menu'!B:M, 3, 0)</f>
        <v>اطباق اليوم صالة</v>
      </c>
      <c r="G3155" s="90" t="s">
        <v>2239</v>
      </c>
      <c r="H3155" s="219">
        <v>4513</v>
      </c>
      <c r="I3155" s="110" t="str">
        <f>VLOOKUP(H3155, 'RM &amp; SF'!B:H, 2, 0)</f>
        <v>ليمون اصفر*****</v>
      </c>
      <c r="J3155" s="184" t="str">
        <f>VLOOKUP(H3155, 'RM &amp; SF'!B:E, 4, 0)</f>
        <v>غم</v>
      </c>
      <c r="K3155" s="78">
        <v>50</v>
      </c>
      <c r="L3155" s="13">
        <f>VLOOKUP(H3155, 'RM &amp; SF'!B:H, 7, 0)</f>
        <v>1.75E-3</v>
      </c>
      <c r="M3155" s="15">
        <f t="shared" si="165"/>
        <v>8.7500000000000008E-2</v>
      </c>
      <c r="N3155" s="21" t="s">
        <v>825</v>
      </c>
      <c r="O3155" s="4">
        <f>VLOOKUP(B3155, 'All Menu'!B:L, 6, 0)</f>
        <v>6.0344827586206904</v>
      </c>
      <c r="P3155" s="6">
        <f>VLOOKUP(B3155, 'All Menu'!B:L, 9, 0)</f>
        <v>1.5554824948549533</v>
      </c>
      <c r="Q3155" s="14">
        <f>VLOOKUP(B3155, 'All Menu'!B:M, 12, 0)</f>
        <v>0.74223432942403633</v>
      </c>
      <c r="R3155" s="173">
        <f t="shared" si="166"/>
        <v>0</v>
      </c>
    </row>
    <row r="3156" spans="1:18" ht="14" hidden="1">
      <c r="A3156" s="78" t="s">
        <v>2982</v>
      </c>
      <c r="B3156" s="220" t="s">
        <v>1244</v>
      </c>
      <c r="C3156" s="185"/>
      <c r="D3156" s="30" t="str">
        <f>VLOOKUP(B3156, 'All Menu'!B:M, 4, 0)</f>
        <v>مسخن نصف دجاجة</v>
      </c>
      <c r="E3156" s="30" t="str">
        <f>VLOOKUP(B3156, 'All Menu'!B:M, 2, 0)</f>
        <v>قسم الصالة</v>
      </c>
      <c r="F3156" s="103" t="str">
        <f>VLOOKUP(B3156, 'All Menu'!B:M, 3, 0)</f>
        <v>اطباق اليوم صالة</v>
      </c>
      <c r="G3156" s="90" t="s">
        <v>2231</v>
      </c>
      <c r="H3156" s="219">
        <v>4499</v>
      </c>
      <c r="I3156" s="110" t="str">
        <f>VLOOKUP(H3156, 'RM &amp; SF'!B:H, 2, 0)</f>
        <v>فلفل حار اخضر*****</v>
      </c>
      <c r="J3156" s="184" t="str">
        <f>VLOOKUP(H3156, 'RM &amp; SF'!B:E, 4, 0)</f>
        <v>غم</v>
      </c>
      <c r="K3156" s="78">
        <v>15</v>
      </c>
      <c r="L3156" s="13">
        <f>VLOOKUP(H3156, 'RM &amp; SF'!B:H, 7, 0)</f>
        <v>5.0000000000000001E-4</v>
      </c>
      <c r="M3156" s="15">
        <f t="shared" si="165"/>
        <v>7.4999999999999997E-3</v>
      </c>
      <c r="N3156" s="21" t="s">
        <v>825</v>
      </c>
      <c r="O3156" s="4">
        <f>VLOOKUP(B3156, 'All Menu'!B:L, 6, 0)</f>
        <v>6.0344827586206904</v>
      </c>
      <c r="P3156" s="6">
        <f>VLOOKUP(B3156, 'All Menu'!B:L, 9, 0)</f>
        <v>1.5554824948549533</v>
      </c>
      <c r="Q3156" s="14">
        <f>VLOOKUP(B3156, 'All Menu'!B:M, 12, 0)</f>
        <v>0.74223432942403633</v>
      </c>
      <c r="R3156" s="173">
        <f t="shared" si="166"/>
        <v>0</v>
      </c>
    </row>
    <row r="3157" spans="1:18" ht="14" hidden="1">
      <c r="A3157" s="78" t="s">
        <v>2982</v>
      </c>
      <c r="B3157" s="220" t="s">
        <v>1244</v>
      </c>
      <c r="C3157" s="185"/>
      <c r="D3157" s="30" t="str">
        <f>VLOOKUP(B3157, 'All Menu'!B:M, 4, 0)</f>
        <v>مسخن نصف دجاجة</v>
      </c>
      <c r="E3157" s="30" t="str">
        <f>VLOOKUP(B3157, 'All Menu'!B:M, 2, 0)</f>
        <v>قسم الصالة</v>
      </c>
      <c r="F3157" s="103" t="str">
        <f>VLOOKUP(B3157, 'All Menu'!B:M, 3, 0)</f>
        <v>اطباق اليوم صالة</v>
      </c>
      <c r="G3157" s="90" t="s">
        <v>2341</v>
      </c>
      <c r="H3157" s="219" t="s">
        <v>706</v>
      </c>
      <c r="I3157" s="110" t="str">
        <f>VLOOKUP(H3157, 'RM &amp; SF'!B:H, 2, 0)</f>
        <v>لوز مقلي</v>
      </c>
      <c r="J3157" s="184" t="str">
        <f>VLOOKUP(H3157, 'RM &amp; SF'!B:E, 4, 0)</f>
        <v>غم</v>
      </c>
      <c r="K3157" s="78">
        <v>20</v>
      </c>
      <c r="L3157" s="13">
        <f>VLOOKUP(H3157, 'RM &amp; SF'!B:H, 7, 0)</f>
        <v>4.1352327586206888E-3</v>
      </c>
      <c r="M3157" s="15">
        <f t="shared" si="165"/>
        <v>8.270465517241378E-2</v>
      </c>
      <c r="N3157" s="21" t="s">
        <v>825</v>
      </c>
      <c r="O3157" s="4">
        <f>VLOOKUP(B3157, 'All Menu'!B:L, 6, 0)</f>
        <v>6.0344827586206904</v>
      </c>
      <c r="P3157" s="6">
        <f>VLOOKUP(B3157, 'All Menu'!B:L, 9, 0)</f>
        <v>1.5554824948549533</v>
      </c>
      <c r="Q3157" s="14">
        <f>VLOOKUP(B3157, 'All Menu'!B:M, 12, 0)</f>
        <v>0.74223432942403633</v>
      </c>
      <c r="R3157" s="173">
        <f t="shared" si="166"/>
        <v>0</v>
      </c>
    </row>
    <row r="3158" spans="1:18" ht="14" hidden="1">
      <c r="A3158" s="78" t="s">
        <v>2982</v>
      </c>
      <c r="B3158" s="220" t="s">
        <v>1244</v>
      </c>
      <c r="C3158" s="185"/>
      <c r="D3158" s="30" t="str">
        <f>VLOOKUP(B3158, 'All Menu'!B:M, 4, 0)</f>
        <v>مسخن نصف دجاجة</v>
      </c>
      <c r="E3158" s="30" t="str">
        <f>VLOOKUP(B3158, 'All Menu'!B:M, 2, 0)</f>
        <v>قسم الصالة</v>
      </c>
      <c r="F3158" s="103" t="str">
        <f>VLOOKUP(B3158, 'All Menu'!B:M, 3, 0)</f>
        <v>اطباق اليوم صالة</v>
      </c>
      <c r="G3158" s="90" t="s">
        <v>2170</v>
      </c>
      <c r="H3158" s="219">
        <v>4552</v>
      </c>
      <c r="I3158" s="110" t="str">
        <f>VLOOKUP(H3158, 'RM &amp; SF'!B:H, 2, 0)</f>
        <v>لبن رايب 5 كغ*****</v>
      </c>
      <c r="J3158" s="184" t="str">
        <f>VLOOKUP(H3158, 'RM &amp; SF'!B:E, 4, 0)</f>
        <v>غم</v>
      </c>
      <c r="K3158" s="78">
        <v>100</v>
      </c>
      <c r="L3158" s="13">
        <f>VLOOKUP(H3158, 'RM &amp; SF'!B:H, 7, 0)</f>
        <v>8.0000000000000004E-4</v>
      </c>
      <c r="M3158" s="15">
        <f t="shared" si="165"/>
        <v>0.08</v>
      </c>
      <c r="N3158" s="21" t="s">
        <v>825</v>
      </c>
      <c r="O3158" s="4">
        <f>VLOOKUP(B3158, 'All Menu'!B:L, 6, 0)</f>
        <v>6.0344827586206904</v>
      </c>
      <c r="P3158" s="6">
        <f>VLOOKUP(B3158, 'All Menu'!B:L, 9, 0)</f>
        <v>1.5554824948549533</v>
      </c>
      <c r="Q3158" s="14">
        <f>VLOOKUP(B3158, 'All Menu'!B:M, 12, 0)</f>
        <v>0.74223432942403633</v>
      </c>
      <c r="R3158" s="173">
        <f t="shared" si="166"/>
        <v>0</v>
      </c>
    </row>
    <row r="3159" spans="1:18" ht="14" hidden="1">
      <c r="A3159" s="78" t="s">
        <v>2983</v>
      </c>
      <c r="B3159" s="220" t="s">
        <v>1245</v>
      </c>
      <c r="C3159" s="185"/>
      <c r="D3159" s="30" t="str">
        <f>VLOOKUP(B3159, 'All Menu'!B:M, 4, 0)</f>
        <v>مسخن دجاجة</v>
      </c>
      <c r="E3159" s="30" t="str">
        <f>VLOOKUP(B3159, 'All Menu'!B:M, 2, 0)</f>
        <v>قسم الصالة</v>
      </c>
      <c r="F3159" s="103" t="str">
        <f>VLOOKUP(B3159, 'All Menu'!B:M, 3, 0)</f>
        <v>اطباق اليوم صالة</v>
      </c>
      <c r="G3159" s="90" t="s">
        <v>2425</v>
      </c>
      <c r="H3159" s="219" t="s">
        <v>648</v>
      </c>
      <c r="I3159" s="110" t="str">
        <f>VLOOKUP(H3159, 'RM &amp; SF'!B:H, 2, 0)</f>
        <v xml:space="preserve">خبز تنور </v>
      </c>
      <c r="J3159" s="184" t="str">
        <f>VLOOKUP(H3159, 'RM &amp; SF'!B:E, 4, 0)</f>
        <v>غم</v>
      </c>
      <c r="K3159" s="78">
        <v>200</v>
      </c>
      <c r="L3159" s="13">
        <f>VLOOKUP(H3159, 'RM &amp; SF'!B:H, 7, 0)</f>
        <v>1.5104950793650793E-4</v>
      </c>
      <c r="M3159" s="15">
        <f t="shared" si="165"/>
        <v>3.0209901587301587E-2</v>
      </c>
      <c r="N3159" s="21" t="s">
        <v>825</v>
      </c>
      <c r="O3159" s="4">
        <f>VLOOKUP(B3159, 'All Menu'!B:L, 6, 0)</f>
        <v>10.344827586206897</v>
      </c>
      <c r="P3159" s="6">
        <f>VLOOKUP(B3159, 'All Menu'!B:L, 9, 0)</f>
        <v>2.9327863230432398</v>
      </c>
      <c r="Q3159" s="14">
        <f>VLOOKUP(B3159, 'All Menu'!B:M, 12, 0)</f>
        <v>0.71649732210582007</v>
      </c>
      <c r="R3159" s="173">
        <f t="shared" si="166"/>
        <v>0</v>
      </c>
    </row>
    <row r="3160" spans="1:18" ht="14" hidden="1">
      <c r="A3160" s="78" t="s">
        <v>2983</v>
      </c>
      <c r="B3160" s="220" t="s">
        <v>1245</v>
      </c>
      <c r="C3160" s="185"/>
      <c r="D3160" s="30" t="str">
        <f>VLOOKUP(B3160, 'All Menu'!B:M, 4, 0)</f>
        <v>مسخن دجاجة</v>
      </c>
      <c r="E3160" s="30" t="str">
        <f>VLOOKUP(B3160, 'All Menu'!B:M, 2, 0)</f>
        <v>قسم الصالة</v>
      </c>
      <c r="F3160" s="103" t="str">
        <f>VLOOKUP(B3160, 'All Menu'!B:M, 3, 0)</f>
        <v>اطباق اليوم صالة</v>
      </c>
      <c r="G3160" s="90" t="s">
        <v>2363</v>
      </c>
      <c r="H3160" s="219" t="s">
        <v>758</v>
      </c>
      <c r="I3160" s="110" t="str">
        <f>VLOOKUP(H3160, 'RM &amp; SF'!B:H, 2, 0)</f>
        <v>ضربه بصل مسخن</v>
      </c>
      <c r="J3160" s="184" t="str">
        <f>VLOOKUP(H3160, 'RM &amp; SF'!B:E, 4, 0)</f>
        <v>غم</v>
      </c>
      <c r="K3160" s="78">
        <v>920</v>
      </c>
      <c r="L3160" s="13">
        <f>VLOOKUP(H3160, 'RM &amp; SF'!B:H, 7, 0)</f>
        <v>2.2669666666666663E-3</v>
      </c>
      <c r="M3160" s="15">
        <f t="shared" si="165"/>
        <v>2.0856093333333332</v>
      </c>
      <c r="N3160" s="21" t="s">
        <v>825</v>
      </c>
      <c r="O3160" s="4">
        <f>VLOOKUP(B3160, 'All Menu'!B:L, 6, 0)</f>
        <v>10.344827586206897</v>
      </c>
      <c r="P3160" s="6">
        <f>VLOOKUP(B3160, 'All Menu'!B:L, 9, 0)</f>
        <v>2.9327863230432398</v>
      </c>
      <c r="Q3160" s="14">
        <f>VLOOKUP(B3160, 'All Menu'!B:M, 12, 0)</f>
        <v>0.71649732210582007</v>
      </c>
      <c r="R3160" s="173">
        <f t="shared" si="166"/>
        <v>0</v>
      </c>
    </row>
    <row r="3161" spans="1:18" ht="14" hidden="1">
      <c r="A3161" s="78" t="s">
        <v>2983</v>
      </c>
      <c r="B3161" s="220" t="s">
        <v>1245</v>
      </c>
      <c r="C3161" s="185"/>
      <c r="D3161" s="30" t="str">
        <f>VLOOKUP(B3161, 'All Menu'!B:M, 4, 0)</f>
        <v>مسخن دجاجة</v>
      </c>
      <c r="E3161" s="30" t="str">
        <f>VLOOKUP(B3161, 'All Menu'!B:M, 2, 0)</f>
        <v>قسم الصالة</v>
      </c>
      <c r="F3161" s="103" t="str">
        <f>VLOOKUP(B3161, 'All Menu'!B:M, 3, 0)</f>
        <v>اطباق اليوم صالة</v>
      </c>
      <c r="G3161" s="90" t="s">
        <v>2215</v>
      </c>
      <c r="H3161" s="219">
        <v>4224</v>
      </c>
      <c r="I3161" s="110" t="str">
        <f>VLOOKUP(H3161, 'RM &amp; SF'!B:H, 2, 0)</f>
        <v>سماق*****</v>
      </c>
      <c r="J3161" s="184" t="str">
        <f>VLOOKUP(H3161, 'RM &amp; SF'!B:E, 4, 0)</f>
        <v>غم</v>
      </c>
      <c r="K3161" s="78">
        <v>10</v>
      </c>
      <c r="L3161" s="13">
        <f>VLOOKUP(H3161, 'RM &amp; SF'!B:H, 7, 0)</f>
        <v>4.3099999999999996E-3</v>
      </c>
      <c r="M3161" s="15">
        <f t="shared" si="165"/>
        <v>4.3099999999999999E-2</v>
      </c>
      <c r="N3161" s="21" t="s">
        <v>825</v>
      </c>
      <c r="O3161" s="4">
        <f>VLOOKUP(B3161, 'All Menu'!B:L, 6, 0)</f>
        <v>10.344827586206897</v>
      </c>
      <c r="P3161" s="6">
        <f>VLOOKUP(B3161, 'All Menu'!B:L, 9, 0)</f>
        <v>2.9327863230432398</v>
      </c>
      <c r="Q3161" s="14">
        <f>VLOOKUP(B3161, 'All Menu'!B:M, 12, 0)</f>
        <v>0.71649732210582007</v>
      </c>
      <c r="R3161" s="173">
        <f t="shared" si="166"/>
        <v>0</v>
      </c>
    </row>
    <row r="3162" spans="1:18" ht="14" hidden="1">
      <c r="A3162" s="78" t="s">
        <v>2983</v>
      </c>
      <c r="B3162" s="220" t="s">
        <v>1245</v>
      </c>
      <c r="C3162" s="185"/>
      <c r="D3162" s="30" t="str">
        <f>VLOOKUP(B3162, 'All Menu'!B:M, 4, 0)</f>
        <v>مسخن دجاجة</v>
      </c>
      <c r="E3162" s="30" t="str">
        <f>VLOOKUP(B3162, 'All Menu'!B:M, 2, 0)</f>
        <v>قسم الصالة</v>
      </c>
      <c r="F3162" s="103" t="str">
        <f>VLOOKUP(B3162, 'All Menu'!B:M, 3, 0)</f>
        <v>اطباق اليوم صالة</v>
      </c>
      <c r="G3162" s="90" t="s">
        <v>2362</v>
      </c>
      <c r="H3162" s="219" t="s">
        <v>756</v>
      </c>
      <c r="I3162" s="110" t="str">
        <f>VLOOKUP(H3162, 'RM &amp; SF'!B:H, 2, 0)</f>
        <v>دجاج مسخن</v>
      </c>
      <c r="J3162" s="184" t="str">
        <f>VLOOKUP(H3162, 'RM &amp; SF'!B:E, 4, 0)</f>
        <v>قطعة</v>
      </c>
      <c r="K3162" s="78">
        <v>1</v>
      </c>
      <c r="L3162" s="13">
        <f>VLOOKUP(H3162, 'RM &amp; SF'!B:H, 7, 0)</f>
        <v>0.34595777777777781</v>
      </c>
      <c r="M3162" s="15">
        <f t="shared" si="165"/>
        <v>0.34595777777777781</v>
      </c>
      <c r="N3162" s="21" t="s">
        <v>825</v>
      </c>
      <c r="O3162" s="4">
        <f>VLOOKUP(B3162, 'All Menu'!B:L, 6, 0)</f>
        <v>10.344827586206897</v>
      </c>
      <c r="P3162" s="6">
        <f>VLOOKUP(B3162, 'All Menu'!B:L, 9, 0)</f>
        <v>2.9327863230432398</v>
      </c>
      <c r="Q3162" s="14">
        <f>VLOOKUP(B3162, 'All Menu'!B:M, 12, 0)</f>
        <v>0.71649732210582007</v>
      </c>
      <c r="R3162" s="173">
        <f t="shared" si="166"/>
        <v>0</v>
      </c>
    </row>
    <row r="3163" spans="1:18" ht="14" hidden="1">
      <c r="A3163" s="78" t="s">
        <v>2983</v>
      </c>
      <c r="B3163" s="220" t="s">
        <v>1245</v>
      </c>
      <c r="C3163" s="185"/>
      <c r="D3163" s="30" t="str">
        <f>VLOOKUP(B3163, 'All Menu'!B:M, 4, 0)</f>
        <v>مسخن دجاجة</v>
      </c>
      <c r="E3163" s="30" t="str">
        <f>VLOOKUP(B3163, 'All Menu'!B:M, 2, 0)</f>
        <v>قسم الصالة</v>
      </c>
      <c r="F3163" s="103" t="str">
        <f>VLOOKUP(B3163, 'All Menu'!B:M, 3, 0)</f>
        <v>اطباق اليوم صالة</v>
      </c>
      <c r="G3163" s="90" t="s">
        <v>2239</v>
      </c>
      <c r="H3163" s="219">
        <v>4513</v>
      </c>
      <c r="I3163" s="110" t="str">
        <f>VLOOKUP(H3163, 'RM &amp; SF'!B:H, 2, 0)</f>
        <v>ليمون اصفر*****</v>
      </c>
      <c r="J3163" s="184" t="str">
        <f>VLOOKUP(H3163, 'RM &amp; SF'!B:E, 4, 0)</f>
        <v>غم</v>
      </c>
      <c r="K3163" s="78">
        <v>100</v>
      </c>
      <c r="L3163" s="13">
        <f>VLOOKUP(H3163, 'RM &amp; SF'!B:H, 7, 0)</f>
        <v>1.75E-3</v>
      </c>
      <c r="M3163" s="15">
        <f t="shared" si="165"/>
        <v>0.17500000000000002</v>
      </c>
      <c r="N3163" s="21" t="s">
        <v>825</v>
      </c>
      <c r="O3163" s="4">
        <f>VLOOKUP(B3163, 'All Menu'!B:L, 6, 0)</f>
        <v>10.344827586206897</v>
      </c>
      <c r="P3163" s="6">
        <f>VLOOKUP(B3163, 'All Menu'!B:L, 9, 0)</f>
        <v>2.9327863230432398</v>
      </c>
      <c r="Q3163" s="14">
        <f>VLOOKUP(B3163, 'All Menu'!B:M, 12, 0)</f>
        <v>0.71649732210582007</v>
      </c>
      <c r="R3163" s="173">
        <f t="shared" si="166"/>
        <v>0</v>
      </c>
    </row>
    <row r="3164" spans="1:18" ht="14" hidden="1">
      <c r="A3164" s="78" t="s">
        <v>2983</v>
      </c>
      <c r="B3164" s="220" t="s">
        <v>1245</v>
      </c>
      <c r="C3164" s="185"/>
      <c r="D3164" s="30" t="str">
        <f>VLOOKUP(B3164, 'All Menu'!B:M, 4, 0)</f>
        <v>مسخن دجاجة</v>
      </c>
      <c r="E3164" s="30" t="str">
        <f>VLOOKUP(B3164, 'All Menu'!B:M, 2, 0)</f>
        <v>قسم الصالة</v>
      </c>
      <c r="F3164" s="103" t="str">
        <f>VLOOKUP(B3164, 'All Menu'!B:M, 3, 0)</f>
        <v>اطباق اليوم صالة</v>
      </c>
      <c r="G3164" s="90" t="s">
        <v>2231</v>
      </c>
      <c r="H3164" s="219">
        <v>4499</v>
      </c>
      <c r="I3164" s="110" t="str">
        <f>VLOOKUP(H3164, 'RM &amp; SF'!B:H, 2, 0)</f>
        <v>فلفل حار اخضر*****</v>
      </c>
      <c r="J3164" s="184" t="str">
        <f>VLOOKUP(H3164, 'RM &amp; SF'!B:E, 4, 0)</f>
        <v>غم</v>
      </c>
      <c r="K3164" s="78">
        <v>15</v>
      </c>
      <c r="L3164" s="13">
        <f>VLOOKUP(H3164, 'RM &amp; SF'!B:H, 7, 0)</f>
        <v>5.0000000000000001E-4</v>
      </c>
      <c r="M3164" s="15">
        <f t="shared" si="165"/>
        <v>7.4999999999999997E-3</v>
      </c>
      <c r="N3164" s="21" t="s">
        <v>825</v>
      </c>
      <c r="O3164" s="4">
        <f>VLOOKUP(B3164, 'All Menu'!B:L, 6, 0)</f>
        <v>10.344827586206897</v>
      </c>
      <c r="P3164" s="6">
        <f>VLOOKUP(B3164, 'All Menu'!B:L, 9, 0)</f>
        <v>2.9327863230432398</v>
      </c>
      <c r="Q3164" s="14">
        <f>VLOOKUP(B3164, 'All Menu'!B:M, 12, 0)</f>
        <v>0.71649732210582007</v>
      </c>
      <c r="R3164" s="173">
        <f t="shared" si="166"/>
        <v>0</v>
      </c>
    </row>
    <row r="3165" spans="1:18" ht="14" hidden="1">
      <c r="A3165" s="78" t="s">
        <v>2983</v>
      </c>
      <c r="B3165" s="220" t="s">
        <v>1245</v>
      </c>
      <c r="C3165" s="185"/>
      <c r="D3165" s="30" t="str">
        <f>VLOOKUP(B3165, 'All Menu'!B:M, 4, 0)</f>
        <v>مسخن دجاجة</v>
      </c>
      <c r="E3165" s="30" t="str">
        <f>VLOOKUP(B3165, 'All Menu'!B:M, 2, 0)</f>
        <v>قسم الصالة</v>
      </c>
      <c r="F3165" s="103" t="str">
        <f>VLOOKUP(B3165, 'All Menu'!B:M, 3, 0)</f>
        <v>اطباق اليوم صالة</v>
      </c>
      <c r="G3165" s="90" t="s">
        <v>2341</v>
      </c>
      <c r="H3165" s="219" t="s">
        <v>706</v>
      </c>
      <c r="I3165" s="110" t="str">
        <f>VLOOKUP(H3165, 'RM &amp; SF'!B:H, 2, 0)</f>
        <v>لوز مقلي</v>
      </c>
      <c r="J3165" s="184" t="str">
        <f>VLOOKUP(H3165, 'RM &amp; SF'!B:E, 4, 0)</f>
        <v>غم</v>
      </c>
      <c r="K3165" s="78">
        <v>40</v>
      </c>
      <c r="L3165" s="13">
        <f>VLOOKUP(H3165, 'RM &amp; SF'!B:H, 7, 0)</f>
        <v>4.1352327586206888E-3</v>
      </c>
      <c r="M3165" s="15">
        <f t="shared" si="165"/>
        <v>0.16540931034482756</v>
      </c>
      <c r="N3165" s="21" t="s">
        <v>825</v>
      </c>
      <c r="O3165" s="4">
        <f>VLOOKUP(B3165, 'All Menu'!B:L, 6, 0)</f>
        <v>10.344827586206897</v>
      </c>
      <c r="P3165" s="6">
        <f>VLOOKUP(B3165, 'All Menu'!B:L, 9, 0)</f>
        <v>2.9327863230432398</v>
      </c>
      <c r="Q3165" s="14">
        <f>VLOOKUP(B3165, 'All Menu'!B:M, 12, 0)</f>
        <v>0.71649732210582007</v>
      </c>
      <c r="R3165" s="173">
        <f t="shared" si="166"/>
        <v>0</v>
      </c>
    </row>
    <row r="3166" spans="1:18" ht="14" hidden="1">
      <c r="A3166" s="78" t="s">
        <v>2983</v>
      </c>
      <c r="B3166" s="220" t="s">
        <v>1245</v>
      </c>
      <c r="C3166" s="185"/>
      <c r="D3166" s="30" t="str">
        <f>VLOOKUP(B3166, 'All Menu'!B:M, 4, 0)</f>
        <v>مسخن دجاجة</v>
      </c>
      <c r="E3166" s="30" t="str">
        <f>VLOOKUP(B3166, 'All Menu'!B:M, 2, 0)</f>
        <v>قسم الصالة</v>
      </c>
      <c r="F3166" s="103" t="str">
        <f>VLOOKUP(B3166, 'All Menu'!B:M, 3, 0)</f>
        <v>اطباق اليوم صالة</v>
      </c>
      <c r="G3166" s="90" t="s">
        <v>2170</v>
      </c>
      <c r="H3166" s="219">
        <v>4552</v>
      </c>
      <c r="I3166" s="110" t="str">
        <f>VLOOKUP(H3166, 'RM &amp; SF'!B:H, 2, 0)</f>
        <v>لبن رايب 5 كغ*****</v>
      </c>
      <c r="J3166" s="184" t="str">
        <f>VLOOKUP(H3166, 'RM &amp; SF'!B:E, 4, 0)</f>
        <v>غم</v>
      </c>
      <c r="K3166" s="78">
        <v>100</v>
      </c>
      <c r="L3166" s="13">
        <f>VLOOKUP(H3166, 'RM &amp; SF'!B:H, 7, 0)</f>
        <v>8.0000000000000004E-4</v>
      </c>
      <c r="M3166" s="15">
        <f t="shared" si="165"/>
        <v>0.08</v>
      </c>
      <c r="N3166" s="21" t="s">
        <v>825</v>
      </c>
      <c r="O3166" s="4">
        <f>VLOOKUP(B3166, 'All Menu'!B:L, 6, 0)</f>
        <v>10.344827586206897</v>
      </c>
      <c r="P3166" s="6">
        <f>VLOOKUP(B3166, 'All Menu'!B:L, 9, 0)</f>
        <v>2.9327863230432398</v>
      </c>
      <c r="Q3166" s="14">
        <f>VLOOKUP(B3166, 'All Menu'!B:M, 12, 0)</f>
        <v>0.71649732210582007</v>
      </c>
      <c r="R3166" s="173">
        <f t="shared" si="166"/>
        <v>0</v>
      </c>
    </row>
    <row r="3167" spans="1:18" ht="14" hidden="1">
      <c r="A3167" s="78" t="s">
        <v>2984</v>
      </c>
      <c r="B3167" s="220" t="s">
        <v>1280</v>
      </c>
      <c r="C3167" s="185"/>
      <c r="D3167" s="30" t="str">
        <f>VLOOKUP(B3167, 'All Menu'!B:M, 4, 0)</f>
        <v>وجبة مفتول</v>
      </c>
      <c r="E3167" s="30" t="str">
        <f>VLOOKUP(B3167, 'All Menu'!B:M, 2, 0)</f>
        <v>قسم الصالة</v>
      </c>
      <c r="F3167" s="103" t="str">
        <f>VLOOKUP(B3167, 'All Menu'!B:M, 3, 0)</f>
        <v>اطباق اليوم صالة</v>
      </c>
      <c r="G3167" s="90" t="s">
        <v>2348</v>
      </c>
      <c r="H3167" s="219" t="s">
        <v>720</v>
      </c>
      <c r="I3167" s="110" t="str">
        <f>VLOOKUP(H3167, 'RM &amp; SF'!B:H, 2, 0)</f>
        <v>ضربة مفتول</v>
      </c>
      <c r="J3167" s="184" t="str">
        <f>VLOOKUP(H3167, 'RM &amp; SF'!B:E, 4, 0)</f>
        <v>غم</v>
      </c>
      <c r="K3167" s="78">
        <v>500</v>
      </c>
      <c r="L3167" s="13">
        <f>VLOOKUP(H3167, 'RM &amp; SF'!B:H, 7, 0)</f>
        <v>3.8807146464646462E-4</v>
      </c>
      <c r="M3167" s="15">
        <f t="shared" si="165"/>
        <v>0.19403573232323232</v>
      </c>
      <c r="N3167" s="21" t="s">
        <v>825</v>
      </c>
      <c r="O3167" s="4">
        <f>VLOOKUP(B3167, 'All Menu'!B:L, 6, 0)</f>
        <v>5.1724137931034484</v>
      </c>
      <c r="P3167" s="6">
        <f>VLOOKUP(B3167, 'All Menu'!B:L, 9, 0)</f>
        <v>1.5109225120389951</v>
      </c>
      <c r="Q3167" s="14">
        <f>VLOOKUP(B3167, 'All Menu'!B:M, 12, 0)</f>
        <v>0.70788831433912758</v>
      </c>
      <c r="R3167" s="173">
        <f t="shared" si="166"/>
        <v>0</v>
      </c>
    </row>
    <row r="3168" spans="1:18" ht="14" hidden="1">
      <c r="A3168" s="78" t="s">
        <v>2984</v>
      </c>
      <c r="B3168" s="220" t="s">
        <v>1280</v>
      </c>
      <c r="C3168" s="185"/>
      <c r="D3168" s="30" t="str">
        <f>VLOOKUP(B3168, 'All Menu'!B:M, 4, 0)</f>
        <v>وجبة مفتول</v>
      </c>
      <c r="E3168" s="30" t="str">
        <f>VLOOKUP(B3168, 'All Menu'!B:M, 2, 0)</f>
        <v>قسم الصالة</v>
      </c>
      <c r="F3168" s="103" t="str">
        <f>VLOOKUP(B3168, 'All Menu'!B:M, 3, 0)</f>
        <v>اطباق اليوم صالة</v>
      </c>
      <c r="G3168" s="90" t="s">
        <v>2349</v>
      </c>
      <c r="H3168" s="219" t="s">
        <v>722</v>
      </c>
      <c r="I3168" s="110" t="str">
        <f>VLOOKUP(H3168, 'RM &amp; SF'!B:H, 2, 0)</f>
        <v>يخنة  مفتول</v>
      </c>
      <c r="J3168" s="184" t="str">
        <f>VLOOKUP(H3168, 'RM &amp; SF'!B:E, 4, 0)</f>
        <v>غم</v>
      </c>
      <c r="K3168" s="78">
        <v>400</v>
      </c>
      <c r="L3168" s="13">
        <f>VLOOKUP(H3168, 'RM &amp; SF'!B:H, 7, 0)</f>
        <v>2.7279832687338509E-3</v>
      </c>
      <c r="M3168" s="15">
        <f t="shared" si="165"/>
        <v>1.0911933074935405</v>
      </c>
      <c r="N3168" s="21" t="s">
        <v>825</v>
      </c>
      <c r="O3168" s="4">
        <f>VLOOKUP(B3168, 'All Menu'!B:L, 6, 0)</f>
        <v>5.1724137931034484</v>
      </c>
      <c r="P3168" s="6">
        <f>VLOOKUP(B3168, 'All Menu'!B:L, 9, 0)</f>
        <v>1.5109225120389951</v>
      </c>
      <c r="Q3168" s="14">
        <f>VLOOKUP(B3168, 'All Menu'!B:M, 12, 0)</f>
        <v>0.70788831433912758</v>
      </c>
      <c r="R3168" s="173">
        <f t="shared" si="166"/>
        <v>0</v>
      </c>
    </row>
    <row r="3169" spans="1:18" ht="14" hidden="1">
      <c r="A3169" s="78" t="s">
        <v>2984</v>
      </c>
      <c r="B3169" s="220" t="s">
        <v>1280</v>
      </c>
      <c r="C3169" s="185"/>
      <c r="D3169" s="30" t="str">
        <f>VLOOKUP(B3169, 'All Menu'!B:M, 4, 0)</f>
        <v>وجبة مفتول</v>
      </c>
      <c r="E3169" s="30" t="str">
        <f>VLOOKUP(B3169, 'All Menu'!B:M, 2, 0)</f>
        <v>قسم الصالة</v>
      </c>
      <c r="F3169" s="103" t="str">
        <f>VLOOKUP(B3169, 'All Menu'!B:M, 3, 0)</f>
        <v>اطباق اليوم صالة</v>
      </c>
      <c r="G3169" s="90" t="s">
        <v>2350</v>
      </c>
      <c r="H3169" s="219" t="s">
        <v>724</v>
      </c>
      <c r="I3169" s="110" t="str">
        <f>VLOOKUP(H3169, 'RM &amp; SF'!B:H, 2, 0)</f>
        <v>دجاج  مفتول</v>
      </c>
      <c r="J3169" s="184" t="str">
        <f>VLOOKUP(H3169, 'RM &amp; SF'!B:E, 4, 0)</f>
        <v>قطعة</v>
      </c>
      <c r="K3169" s="78">
        <v>0.25</v>
      </c>
      <c r="L3169" s="13">
        <f>VLOOKUP(H3169, 'RM &amp; SF'!B:H, 7, 0)</f>
        <v>0.90277388888888899</v>
      </c>
      <c r="M3169" s="15">
        <f t="shared" si="165"/>
        <v>0.22569347222222225</v>
      </c>
      <c r="N3169" s="21" t="s">
        <v>825</v>
      </c>
      <c r="O3169" s="4">
        <f>VLOOKUP(B3169, 'All Menu'!B:L, 6, 0)</f>
        <v>5.1724137931034484</v>
      </c>
      <c r="P3169" s="6">
        <f>VLOOKUP(B3169, 'All Menu'!B:L, 9, 0)</f>
        <v>1.5109225120389951</v>
      </c>
      <c r="Q3169" s="14">
        <f>VLOOKUP(B3169, 'All Menu'!B:M, 12, 0)</f>
        <v>0.70788831433912758</v>
      </c>
      <c r="R3169" s="173">
        <f t="shared" si="166"/>
        <v>0</v>
      </c>
    </row>
    <row r="3170" spans="1:18" ht="14" hidden="1">
      <c r="A3170" s="78" t="s">
        <v>2965</v>
      </c>
      <c r="B3170" s="220" t="s">
        <v>1294</v>
      </c>
      <c r="C3170" s="185"/>
      <c r="D3170" s="30" t="str">
        <f>VLOOKUP(B3170, 'All Menu'!B:M, 4, 0)</f>
        <v>فتايل مشوية نصف كيلو</v>
      </c>
      <c r="E3170" s="30" t="str">
        <f>VLOOKUP(B3170, 'All Menu'!B:M, 2, 0)</f>
        <v>قسم الصالة</v>
      </c>
      <c r="F3170" s="103" t="str">
        <f>VLOOKUP(B3170, 'All Menu'!B:M, 3, 0)</f>
        <v>المشاوي صالة</v>
      </c>
      <c r="G3170" s="90" t="s">
        <v>3058</v>
      </c>
      <c r="H3170" s="219">
        <v>5403</v>
      </c>
      <c r="I3170" s="110" t="str">
        <f>VLOOKUP(H3170, 'RM &amp; SF'!B:H, 2, 0)</f>
        <v>طاجن (من تفصيلة الخروف)</v>
      </c>
      <c r="J3170" s="184" t="str">
        <f>VLOOKUP(H3170, 'RM &amp; SF'!B:E, 4, 0)</f>
        <v>غم</v>
      </c>
      <c r="K3170" s="78">
        <v>500</v>
      </c>
      <c r="L3170" s="13">
        <f>VLOOKUP(H3170, 'RM &amp; SF'!B:H, 7, 0)</f>
        <v>9.4999999999999998E-3</v>
      </c>
      <c r="M3170" s="15">
        <f t="shared" si="165"/>
        <v>4.75</v>
      </c>
      <c r="N3170" s="21" t="s">
        <v>825</v>
      </c>
      <c r="O3170" s="4">
        <f>VLOOKUP(B3170, 'All Menu'!B:L, 6, 0)</f>
        <v>13.793103448275863</v>
      </c>
      <c r="P3170" s="6">
        <f>VLOOKUP(B3170, 'All Menu'!B:L, 9, 0)</f>
        <v>4.862065290999138</v>
      </c>
      <c r="Q3170" s="14">
        <f>VLOOKUP(B3170, 'All Menu'!B:M, 12, 0)</f>
        <v>0.64750026640256242</v>
      </c>
      <c r="R3170" s="173">
        <f t="shared" si="166"/>
        <v>0</v>
      </c>
    </row>
    <row r="3171" spans="1:18" ht="14" hidden="1">
      <c r="A3171" s="78" t="s">
        <v>2965</v>
      </c>
      <c r="B3171" s="220" t="s">
        <v>1294</v>
      </c>
      <c r="C3171" s="185"/>
      <c r="D3171" s="30" t="str">
        <f>VLOOKUP(B3171, 'All Menu'!B:M, 4, 0)</f>
        <v>فتايل مشوية نصف كيلو</v>
      </c>
      <c r="E3171" s="30" t="str">
        <f>VLOOKUP(B3171, 'All Menu'!B:M, 2, 0)</f>
        <v>قسم الصالة</v>
      </c>
      <c r="F3171" s="103" t="str">
        <f>VLOOKUP(B3171, 'All Menu'!B:M, 3, 0)</f>
        <v>المشاوي صالة</v>
      </c>
      <c r="G3171" s="90" t="s">
        <v>2235</v>
      </c>
      <c r="H3171" s="219">
        <v>4504</v>
      </c>
      <c r="I3171" s="110" t="str">
        <f>VLOOKUP(H3171, 'RM &amp; SF'!B:H, 2, 0)</f>
        <v>بصل مشاوي (بصل بيبي)***</v>
      </c>
      <c r="J3171" s="184" t="str">
        <f>VLOOKUP(H3171, 'RM &amp; SF'!B:E, 4, 0)</f>
        <v>غم</v>
      </c>
      <c r="K3171" s="78">
        <v>60</v>
      </c>
      <c r="L3171" s="13">
        <f>VLOOKUP(H3171, 'RM &amp; SF'!B:H, 7, 0)</f>
        <v>3.5E-4</v>
      </c>
      <c r="M3171" s="15">
        <f t="shared" si="165"/>
        <v>2.1000000000000001E-2</v>
      </c>
      <c r="N3171" s="21" t="s">
        <v>825</v>
      </c>
      <c r="O3171" s="4">
        <f>VLOOKUP(B3171, 'All Menu'!B:L, 6, 0)</f>
        <v>13.793103448275863</v>
      </c>
      <c r="P3171" s="6">
        <f>VLOOKUP(B3171, 'All Menu'!B:L, 9, 0)</f>
        <v>4.862065290999138</v>
      </c>
      <c r="Q3171" s="14">
        <f>VLOOKUP(B3171, 'All Menu'!B:M, 12, 0)</f>
        <v>0.64750026640256242</v>
      </c>
      <c r="R3171" s="173">
        <f t="shared" si="166"/>
        <v>0</v>
      </c>
    </row>
    <row r="3172" spans="1:18" ht="14" hidden="1">
      <c r="A3172" s="78" t="s">
        <v>2965</v>
      </c>
      <c r="B3172" s="220" t="s">
        <v>1294</v>
      </c>
      <c r="C3172" s="185"/>
      <c r="D3172" s="30" t="str">
        <f>VLOOKUP(B3172, 'All Menu'!B:M, 4, 0)</f>
        <v>فتايل مشوية نصف كيلو</v>
      </c>
      <c r="E3172" s="30" t="str">
        <f>VLOOKUP(B3172, 'All Menu'!B:M, 2, 0)</f>
        <v>قسم الصالة</v>
      </c>
      <c r="F3172" s="103" t="str">
        <f>VLOOKUP(B3172, 'All Menu'!B:M, 3, 0)</f>
        <v>المشاوي صالة</v>
      </c>
      <c r="G3172" s="90" t="s">
        <v>2309</v>
      </c>
      <c r="H3172" s="219">
        <v>4491</v>
      </c>
      <c r="I3172" s="110" t="str">
        <f>VLOOKUP(H3172, 'RM &amp; SF'!B:H, 2, 0)</f>
        <v>بندورة جامدة*****</v>
      </c>
      <c r="J3172" s="184" t="str">
        <f>VLOOKUP(H3172, 'RM &amp; SF'!B:E, 4, 0)</f>
        <v>غم</v>
      </c>
      <c r="K3172" s="78">
        <v>70</v>
      </c>
      <c r="L3172" s="13">
        <f>VLOOKUP(H3172, 'RM &amp; SF'!B:H, 7, 0)</f>
        <v>5.0000000000000001E-4</v>
      </c>
      <c r="M3172" s="15">
        <f t="shared" si="165"/>
        <v>3.5000000000000003E-2</v>
      </c>
      <c r="N3172" s="21" t="s">
        <v>825</v>
      </c>
      <c r="O3172" s="4">
        <f>VLOOKUP(B3172, 'All Menu'!B:L, 6, 0)</f>
        <v>13.793103448275863</v>
      </c>
      <c r="P3172" s="6">
        <f>VLOOKUP(B3172, 'All Menu'!B:L, 9, 0)</f>
        <v>4.862065290999138</v>
      </c>
      <c r="Q3172" s="14">
        <f>VLOOKUP(B3172, 'All Menu'!B:M, 12, 0)</f>
        <v>0.64750026640256242</v>
      </c>
      <c r="R3172" s="173">
        <f t="shared" si="166"/>
        <v>0</v>
      </c>
    </row>
    <row r="3173" spans="1:18" ht="14" hidden="1">
      <c r="A3173" s="78" t="s">
        <v>2965</v>
      </c>
      <c r="B3173" s="220" t="s">
        <v>1294</v>
      </c>
      <c r="C3173" s="185"/>
      <c r="D3173" s="30" t="str">
        <f>VLOOKUP(B3173, 'All Menu'!B:M, 4, 0)</f>
        <v>فتايل مشوية نصف كيلو</v>
      </c>
      <c r="E3173" s="30" t="str">
        <f>VLOOKUP(B3173, 'All Menu'!B:M, 2, 0)</f>
        <v>قسم الصالة</v>
      </c>
      <c r="F3173" s="103" t="str">
        <f>VLOOKUP(B3173, 'All Menu'!B:M, 3, 0)</f>
        <v>المشاوي صالة</v>
      </c>
      <c r="G3173" s="90" t="s">
        <v>2396</v>
      </c>
      <c r="H3173" s="219" t="s">
        <v>582</v>
      </c>
      <c r="I3173" s="110" t="str">
        <f>VLOOKUP(H3173, 'RM &amp; SF'!B:H, 2, 0)</f>
        <v>بيواز</v>
      </c>
      <c r="J3173" s="184" t="str">
        <f>VLOOKUP(H3173, 'RM &amp; SF'!B:E, 4, 0)</f>
        <v>غم</v>
      </c>
      <c r="K3173" s="78">
        <v>50</v>
      </c>
      <c r="L3173" s="13">
        <f>VLOOKUP(H3173, 'RM &amp; SF'!B:H, 7, 0)</f>
        <v>2.0666065869244635E-4</v>
      </c>
      <c r="M3173" s="15">
        <f t="shared" si="165"/>
        <v>1.0333032934622318E-2</v>
      </c>
      <c r="N3173" s="21" t="s">
        <v>825</v>
      </c>
      <c r="O3173" s="4">
        <f>VLOOKUP(B3173, 'All Menu'!B:L, 6, 0)</f>
        <v>13.793103448275863</v>
      </c>
      <c r="P3173" s="6">
        <f>VLOOKUP(B3173, 'All Menu'!B:L, 9, 0)</f>
        <v>4.862065290999138</v>
      </c>
      <c r="Q3173" s="14">
        <f>VLOOKUP(B3173, 'All Menu'!B:M, 12, 0)</f>
        <v>0.64750026640256242</v>
      </c>
      <c r="R3173" s="173">
        <f t="shared" si="166"/>
        <v>0</v>
      </c>
    </row>
    <row r="3174" spans="1:18" ht="14" hidden="1">
      <c r="A3174" s="78" t="s">
        <v>2965</v>
      </c>
      <c r="B3174" s="220" t="s">
        <v>1294</v>
      </c>
      <c r="C3174" s="185"/>
      <c r="D3174" s="30" t="str">
        <f>VLOOKUP(B3174, 'All Menu'!B:M, 4, 0)</f>
        <v>فتايل مشوية نصف كيلو</v>
      </c>
      <c r="E3174" s="30" t="str">
        <f>VLOOKUP(B3174, 'All Menu'!B:M, 2, 0)</f>
        <v>قسم الصالة</v>
      </c>
      <c r="F3174" s="103" t="str">
        <f>VLOOKUP(B3174, 'All Menu'!B:M, 3, 0)</f>
        <v>المشاوي صالة</v>
      </c>
      <c r="G3174" s="90" t="s">
        <v>2331</v>
      </c>
      <c r="H3174" s="219" t="s">
        <v>530</v>
      </c>
      <c r="I3174" s="110" t="str">
        <f>VLOOKUP(H3174, 'RM &amp; SF'!B:H, 2, 0)</f>
        <v>خبز صاج</v>
      </c>
      <c r="J3174" s="184" t="str">
        <f>VLOOKUP(H3174, 'RM &amp; SF'!B:E, 4, 0)</f>
        <v>غم</v>
      </c>
      <c r="K3174" s="78">
        <v>190</v>
      </c>
      <c r="L3174" s="13">
        <f>VLOOKUP(H3174, 'RM &amp; SF'!B:H, 7, 0)</f>
        <v>1.8806451612903227E-4</v>
      </c>
      <c r="M3174" s="15">
        <f t="shared" si="165"/>
        <v>3.5732258064516131E-2</v>
      </c>
      <c r="N3174" s="21" t="s">
        <v>825</v>
      </c>
      <c r="O3174" s="4">
        <f>VLOOKUP(B3174, 'All Menu'!B:L, 6, 0)</f>
        <v>13.793103448275863</v>
      </c>
      <c r="P3174" s="6">
        <f>VLOOKUP(B3174, 'All Menu'!B:L, 9, 0)</f>
        <v>4.862065290999138</v>
      </c>
      <c r="Q3174" s="14">
        <f>VLOOKUP(B3174, 'All Menu'!B:M, 12, 0)</f>
        <v>0.64750026640256242</v>
      </c>
      <c r="R3174" s="173">
        <f t="shared" si="166"/>
        <v>0</v>
      </c>
    </row>
    <row r="3175" spans="1:18" ht="14" hidden="1">
      <c r="A3175" s="78" t="s">
        <v>2965</v>
      </c>
      <c r="B3175" s="220" t="s">
        <v>1294</v>
      </c>
      <c r="C3175" s="185"/>
      <c r="D3175" s="30" t="str">
        <f>VLOOKUP(B3175, 'All Menu'!B:M, 4, 0)</f>
        <v>فتايل مشوية نصف كيلو</v>
      </c>
      <c r="E3175" s="30" t="str">
        <f>VLOOKUP(B3175, 'All Menu'!B:M, 2, 0)</f>
        <v>قسم الصالة</v>
      </c>
      <c r="F3175" s="103" t="str">
        <f>VLOOKUP(B3175, 'All Menu'!B:M, 3, 0)</f>
        <v>المشاوي صالة</v>
      </c>
      <c r="G3175" s="90" t="s">
        <v>2231</v>
      </c>
      <c r="H3175" s="219">
        <v>4499</v>
      </c>
      <c r="I3175" s="110" t="str">
        <f>VLOOKUP(H3175, 'RM &amp; SF'!B:H, 2, 0)</f>
        <v>فلفل حار اخضر*****</v>
      </c>
      <c r="J3175" s="184" t="str">
        <f>VLOOKUP(H3175, 'RM &amp; SF'!B:E, 4, 0)</f>
        <v>غم</v>
      </c>
      <c r="K3175" s="78">
        <v>20</v>
      </c>
      <c r="L3175" s="13">
        <f>VLOOKUP(H3175, 'RM &amp; SF'!B:H, 7, 0)</f>
        <v>5.0000000000000001E-4</v>
      </c>
      <c r="M3175" s="15">
        <f t="shared" si="165"/>
        <v>0.01</v>
      </c>
      <c r="N3175" s="21" t="s">
        <v>825</v>
      </c>
      <c r="O3175" s="4">
        <f>VLOOKUP(B3175, 'All Menu'!B:L, 6, 0)</f>
        <v>13.793103448275863</v>
      </c>
      <c r="P3175" s="6">
        <f>VLOOKUP(B3175, 'All Menu'!B:L, 9, 0)</f>
        <v>4.862065290999138</v>
      </c>
      <c r="Q3175" s="14">
        <f>VLOOKUP(B3175, 'All Menu'!B:M, 12, 0)</f>
        <v>0.64750026640256242</v>
      </c>
      <c r="R3175" s="173">
        <f t="shared" si="166"/>
        <v>0</v>
      </c>
    </row>
    <row r="3176" spans="1:18" ht="14" hidden="1">
      <c r="A3176" s="78" t="s">
        <v>2967</v>
      </c>
      <c r="B3176" s="220" t="s">
        <v>1303</v>
      </c>
      <c r="C3176" s="185"/>
      <c r="D3176" s="30" t="str">
        <f>VLOOKUP(B3176, 'All Menu'!B:M, 4, 0)</f>
        <v>صفيحة كيلو بلبن</v>
      </c>
      <c r="E3176" s="30" t="str">
        <f>VLOOKUP(B3176, 'All Menu'!B:M, 2, 0)</f>
        <v>قسم الصالة</v>
      </c>
      <c r="F3176" s="103" t="str">
        <f>VLOOKUP(B3176, 'All Menu'!B:M, 3, 0)</f>
        <v>عجين صالة</v>
      </c>
      <c r="G3176" s="90" t="s">
        <v>2454</v>
      </c>
      <c r="H3176" s="219" t="s">
        <v>504</v>
      </c>
      <c r="I3176" s="110" t="str">
        <f>VLOOKUP(H3176, 'RM &amp; SF'!B:H, 2, 0)</f>
        <v>لحمة الصفيحة بلبن المشغل</v>
      </c>
      <c r="J3176" s="184" t="str">
        <f>VLOOKUP(H3176, 'RM &amp; SF'!B:E, 4, 0)</f>
        <v>غم</v>
      </c>
      <c r="K3176" s="78">
        <v>2600</v>
      </c>
      <c r="L3176" s="13">
        <f>VLOOKUP(H3176, 'RM &amp; SF'!B:H, 7, 0)</f>
        <v>5.666775058438712E-3</v>
      </c>
      <c r="M3176" s="15">
        <f t="shared" si="165"/>
        <v>14.733615151940651</v>
      </c>
      <c r="N3176" s="21" t="s">
        <v>825</v>
      </c>
      <c r="O3176" s="4">
        <f>VLOOKUP(B3176, 'All Menu'!B:L, 6, 0)</f>
        <v>17.241379310344829</v>
      </c>
      <c r="P3176" s="6">
        <f>VLOOKUP(B3176, 'All Menu'!B:L, 9, 0)</f>
        <v>15.455312868598668</v>
      </c>
      <c r="Q3176" s="14">
        <f>VLOOKUP(B3176, 'All Menu'!B:M, 12, 0)</f>
        <v>0.10359185362127735</v>
      </c>
      <c r="R3176" s="173">
        <f t="shared" si="166"/>
        <v>0</v>
      </c>
    </row>
    <row r="3177" spans="1:18" ht="14" hidden="1">
      <c r="A3177" s="78" t="s">
        <v>2967</v>
      </c>
      <c r="B3177" s="220" t="s">
        <v>1303</v>
      </c>
      <c r="C3177" s="185"/>
      <c r="D3177" s="30" t="str">
        <f>VLOOKUP(B3177, 'All Menu'!B:M, 4, 0)</f>
        <v>صفيحة كيلو بلبن</v>
      </c>
      <c r="E3177" s="30" t="str">
        <f>VLOOKUP(B3177, 'All Menu'!B:M, 2, 0)</f>
        <v>قسم الصالة</v>
      </c>
      <c r="F3177" s="103" t="str">
        <f>VLOOKUP(B3177, 'All Menu'!B:M, 3, 0)</f>
        <v>عجين صالة</v>
      </c>
      <c r="G3177" s="90" t="s">
        <v>2333</v>
      </c>
      <c r="H3177" s="219" t="s">
        <v>498</v>
      </c>
      <c r="I3177" s="110" t="str">
        <f>VLOOKUP(H3177, 'RM &amp; SF'!B:H, 2, 0)</f>
        <v>عجين الصفيحة والمناقيش</v>
      </c>
      <c r="J3177" s="184" t="str">
        <f>VLOOKUP(H3177, 'RM &amp; SF'!B:E, 4, 0)</f>
        <v>غم</v>
      </c>
      <c r="K3177" s="78">
        <v>1200</v>
      </c>
      <c r="L3177" s="13">
        <f>VLOOKUP(H3177, 'RM &amp; SF'!B:H, 7, 0)</f>
        <v>4.659980972150147E-4</v>
      </c>
      <c r="M3177" s="15">
        <f t="shared" si="165"/>
        <v>0.55919771665801765</v>
      </c>
      <c r="N3177" s="21" t="s">
        <v>825</v>
      </c>
      <c r="O3177" s="4">
        <f>VLOOKUP(B3177, 'All Menu'!B:L, 6, 0)</f>
        <v>17.241379310344829</v>
      </c>
      <c r="P3177" s="6">
        <f>VLOOKUP(B3177, 'All Menu'!B:L, 9, 0)</f>
        <v>15.455312868598668</v>
      </c>
      <c r="Q3177" s="14">
        <f>VLOOKUP(B3177, 'All Menu'!B:M, 12, 0)</f>
        <v>0.10359185362127735</v>
      </c>
      <c r="R3177" s="173">
        <f t="shared" si="166"/>
        <v>0</v>
      </c>
    </row>
    <row r="3178" spans="1:18" ht="14" hidden="1">
      <c r="A3178" s="78" t="s">
        <v>2967</v>
      </c>
      <c r="B3178" s="220" t="s">
        <v>1303</v>
      </c>
      <c r="C3178" s="185"/>
      <c r="D3178" s="30" t="str">
        <f>VLOOKUP(B3178, 'All Menu'!B:M, 4, 0)</f>
        <v>صفيحة كيلو بلبن</v>
      </c>
      <c r="E3178" s="30" t="str">
        <f>VLOOKUP(B3178, 'All Menu'!B:M, 2, 0)</f>
        <v>قسم الصالة</v>
      </c>
      <c r="F3178" s="103" t="str">
        <f>VLOOKUP(B3178, 'All Menu'!B:M, 3, 0)</f>
        <v>عجين صالة</v>
      </c>
      <c r="G3178" s="90" t="s">
        <v>3058</v>
      </c>
      <c r="H3178" s="219">
        <v>4156</v>
      </c>
      <c r="I3178" s="110" t="str">
        <f>VLOOKUP(H3178, 'RM &amp; SF'!B:H, 2, 0)</f>
        <v>دبس رمان ساشيه 1*1000 حبة*****</v>
      </c>
      <c r="J3178" s="184" t="str">
        <f>VLOOKUP(H3178, 'RM &amp; SF'!B:E, 4, 0)</f>
        <v>قطعة</v>
      </c>
      <c r="K3178" s="78">
        <v>5</v>
      </c>
      <c r="L3178" s="13">
        <f>VLOOKUP(H3178, 'RM &amp; SF'!B:H, 7, 0)</f>
        <v>3.2500000000000001E-2</v>
      </c>
      <c r="M3178" s="15">
        <f t="shared" si="165"/>
        <v>0.16250000000000001</v>
      </c>
      <c r="N3178" s="21" t="s">
        <v>825</v>
      </c>
      <c r="O3178" s="4">
        <f>VLOOKUP(B3178, 'All Menu'!B:L, 6, 0)</f>
        <v>17.241379310344829</v>
      </c>
      <c r="P3178" s="6">
        <f>VLOOKUP(B3178, 'All Menu'!B:L, 9, 0)</f>
        <v>15.455312868598668</v>
      </c>
      <c r="Q3178" s="14">
        <f>VLOOKUP(B3178, 'All Menu'!B:M, 12, 0)</f>
        <v>0.10359185362127735</v>
      </c>
      <c r="R3178" s="173">
        <f t="shared" si="166"/>
        <v>0</v>
      </c>
    </row>
    <row r="3179" spans="1:18" ht="14" hidden="1">
      <c r="A3179" s="78" t="s">
        <v>2968</v>
      </c>
      <c r="B3179" s="220" t="s">
        <v>1304</v>
      </c>
      <c r="C3179" s="185"/>
      <c r="D3179" s="30" t="str">
        <f>VLOOKUP(B3179, 'All Menu'!B:M, 4, 0)</f>
        <v>صفيحة نص كيلو بلبن</v>
      </c>
      <c r="E3179" s="30" t="str">
        <f>VLOOKUP(B3179, 'All Menu'!B:M, 2, 0)</f>
        <v>قسم الصالة</v>
      </c>
      <c r="F3179" s="103" t="str">
        <f>VLOOKUP(B3179, 'All Menu'!B:M, 3, 0)</f>
        <v>عجين صالة</v>
      </c>
      <c r="G3179" s="90" t="s">
        <v>2454</v>
      </c>
      <c r="H3179" s="219" t="s">
        <v>504</v>
      </c>
      <c r="I3179" s="110" t="str">
        <f>VLOOKUP(H3179, 'RM &amp; SF'!B:H, 2, 0)</f>
        <v>لحمة الصفيحة بلبن المشغل</v>
      </c>
      <c r="J3179" s="184" t="str">
        <f>VLOOKUP(H3179, 'RM &amp; SF'!B:E, 4, 0)</f>
        <v>غم</v>
      </c>
      <c r="K3179" s="78">
        <v>1300</v>
      </c>
      <c r="L3179" s="13">
        <f>VLOOKUP(H3179, 'RM &amp; SF'!B:H, 7, 0)</f>
        <v>5.666775058438712E-3</v>
      </c>
      <c r="M3179" s="15">
        <f t="shared" si="165"/>
        <v>7.3668075759703253</v>
      </c>
      <c r="N3179" s="21" t="s">
        <v>825</v>
      </c>
      <c r="O3179" s="4">
        <f>VLOOKUP(B3179, 'All Menu'!B:L, 6, 0)</f>
        <v>9.4827586206896566</v>
      </c>
      <c r="P3179" s="6">
        <f>VLOOKUP(B3179, 'All Menu'!B:L, 9, 0)</f>
        <v>7.8089064342993337</v>
      </c>
      <c r="Q3179" s="14">
        <f>VLOOKUP(B3179, 'All Menu'!B:M, 12, 0)</f>
        <v>0.17651532147388857</v>
      </c>
      <c r="R3179" s="173">
        <f t="shared" si="166"/>
        <v>0</v>
      </c>
    </row>
    <row r="3180" spans="1:18" ht="14" hidden="1">
      <c r="A3180" s="78" t="s">
        <v>2968</v>
      </c>
      <c r="B3180" s="220" t="s">
        <v>1304</v>
      </c>
      <c r="C3180" s="185"/>
      <c r="D3180" s="30" t="str">
        <f>VLOOKUP(B3180, 'All Menu'!B:M, 4, 0)</f>
        <v>صفيحة نص كيلو بلبن</v>
      </c>
      <c r="E3180" s="30" t="str">
        <f>VLOOKUP(B3180, 'All Menu'!B:M, 2, 0)</f>
        <v>قسم الصالة</v>
      </c>
      <c r="F3180" s="103" t="str">
        <f>VLOOKUP(B3180, 'All Menu'!B:M, 3, 0)</f>
        <v>عجين صالة</v>
      </c>
      <c r="G3180" s="90" t="s">
        <v>2333</v>
      </c>
      <c r="H3180" s="219" t="s">
        <v>498</v>
      </c>
      <c r="I3180" s="110" t="str">
        <f>VLOOKUP(H3180, 'RM &amp; SF'!B:H, 2, 0)</f>
        <v>عجين الصفيحة والمناقيش</v>
      </c>
      <c r="J3180" s="184" t="str">
        <f>VLOOKUP(H3180, 'RM &amp; SF'!B:E, 4, 0)</f>
        <v>غم</v>
      </c>
      <c r="K3180" s="78">
        <v>600</v>
      </c>
      <c r="L3180" s="13">
        <f>VLOOKUP(H3180, 'RM &amp; SF'!B:H, 7, 0)</f>
        <v>4.659980972150147E-4</v>
      </c>
      <c r="M3180" s="15">
        <f t="shared" si="165"/>
        <v>0.27959885832900883</v>
      </c>
      <c r="N3180" s="21" t="s">
        <v>825</v>
      </c>
      <c r="O3180" s="4">
        <f>VLOOKUP(B3180, 'All Menu'!B:L, 6, 0)</f>
        <v>9.4827586206896566</v>
      </c>
      <c r="P3180" s="6">
        <f>VLOOKUP(B3180, 'All Menu'!B:L, 9, 0)</f>
        <v>7.8089064342993337</v>
      </c>
      <c r="Q3180" s="14">
        <f>VLOOKUP(B3180, 'All Menu'!B:M, 12, 0)</f>
        <v>0.17651532147388857</v>
      </c>
      <c r="R3180" s="173">
        <f t="shared" si="166"/>
        <v>0</v>
      </c>
    </row>
    <row r="3181" spans="1:18" ht="14" hidden="1">
      <c r="A3181" s="78" t="s">
        <v>2968</v>
      </c>
      <c r="B3181" s="220" t="s">
        <v>1304</v>
      </c>
      <c r="C3181" s="185"/>
      <c r="D3181" s="30" t="str">
        <f>VLOOKUP(B3181, 'All Menu'!B:M, 4, 0)</f>
        <v>صفيحة نص كيلو بلبن</v>
      </c>
      <c r="E3181" s="30" t="str">
        <f>VLOOKUP(B3181, 'All Menu'!B:M, 2, 0)</f>
        <v>قسم الصالة</v>
      </c>
      <c r="F3181" s="103" t="str">
        <f>VLOOKUP(B3181, 'All Menu'!B:M, 3, 0)</f>
        <v>عجين صالة</v>
      </c>
      <c r="G3181" s="90" t="s">
        <v>3058</v>
      </c>
      <c r="H3181" s="219">
        <v>4156</v>
      </c>
      <c r="I3181" s="110" t="str">
        <f>VLOOKUP(H3181, 'RM &amp; SF'!B:H, 2, 0)</f>
        <v>دبس رمان ساشيه 1*1000 حبة*****</v>
      </c>
      <c r="J3181" s="184" t="str">
        <f>VLOOKUP(H3181, 'RM &amp; SF'!B:E, 4, 0)</f>
        <v>قطعة</v>
      </c>
      <c r="K3181" s="78">
        <v>5</v>
      </c>
      <c r="L3181" s="13">
        <f>VLOOKUP(H3181, 'RM &amp; SF'!B:H, 7, 0)</f>
        <v>3.2500000000000001E-2</v>
      </c>
      <c r="M3181" s="15">
        <f t="shared" si="165"/>
        <v>0.16250000000000001</v>
      </c>
      <c r="N3181" s="21" t="s">
        <v>825</v>
      </c>
      <c r="O3181" s="4">
        <f>VLOOKUP(B3181, 'All Menu'!B:L, 6, 0)</f>
        <v>9.4827586206896566</v>
      </c>
      <c r="P3181" s="6">
        <f>VLOOKUP(B3181, 'All Menu'!B:L, 9, 0)</f>
        <v>7.8089064342993337</v>
      </c>
      <c r="Q3181" s="14">
        <f>VLOOKUP(B3181, 'All Menu'!B:M, 12, 0)</f>
        <v>0.17651532147388857</v>
      </c>
      <c r="R3181" s="173">
        <f t="shared" si="166"/>
        <v>0</v>
      </c>
    </row>
    <row r="3182" spans="1:18" ht="14" hidden="1">
      <c r="A3182" s="78" t="s">
        <v>2979</v>
      </c>
      <c r="B3182" s="220" t="s">
        <v>1307</v>
      </c>
      <c r="C3182" s="185"/>
      <c r="D3182" s="30" t="str">
        <f>VLOOKUP(B3182, 'All Menu'!B:M, 4, 0)</f>
        <v>مهلبية</v>
      </c>
      <c r="E3182" s="30" t="str">
        <f>VLOOKUP(B3182, 'All Menu'!B:M, 2, 0)</f>
        <v>قسم الصالة</v>
      </c>
      <c r="F3182" s="103" t="str">
        <f>VLOOKUP(B3182, 'All Menu'!B:M, 3, 0)</f>
        <v>حلويات صالة</v>
      </c>
      <c r="G3182" s="90" t="s">
        <v>3058</v>
      </c>
      <c r="H3182" s="219" t="s">
        <v>776</v>
      </c>
      <c r="I3182" s="110" t="str">
        <f>VLOOKUP(H3182, 'RM &amp; SF'!B:H, 2, 0)</f>
        <v>ضربة مهلبية</v>
      </c>
      <c r="J3182" s="184" t="str">
        <f>VLOOKUP(H3182, 'RM &amp; SF'!B:E, 4, 0)</f>
        <v>غم</v>
      </c>
      <c r="K3182" s="78">
        <v>60</v>
      </c>
      <c r="L3182" s="13">
        <f>VLOOKUP(H3182, 'RM &amp; SF'!B:H, 7, 0)</f>
        <v>1.1954596400000001E-3</v>
      </c>
      <c r="M3182" s="15">
        <f t="shared" si="165"/>
        <v>7.1727578400000006E-2</v>
      </c>
      <c r="N3182" s="21" t="s">
        <v>825</v>
      </c>
      <c r="O3182" s="4">
        <f>VLOOKUP(B3182, 'All Menu'!B:L, 6, 0)</f>
        <v>0</v>
      </c>
      <c r="P3182" s="6">
        <f>VLOOKUP(B3182, 'All Menu'!B:L, 9, 0)</f>
        <v>7.1727578400000006E-2</v>
      </c>
      <c r="Q3182" s="14" t="e">
        <f>VLOOKUP(B3182, 'All Menu'!B:M, 12, 0)</f>
        <v>#DIV/0!</v>
      </c>
      <c r="R3182" s="173">
        <f t="shared" si="166"/>
        <v>0</v>
      </c>
    </row>
    <row r="3183" spans="1:18" ht="14" hidden="1">
      <c r="A3183" s="78" t="s">
        <v>3085</v>
      </c>
      <c r="B3183" s="220" t="s">
        <v>1311</v>
      </c>
      <c r="C3183" s="185"/>
      <c r="D3183" s="30" t="str">
        <f>VLOOKUP(B3183, 'All Menu'!B:M, 4, 0)</f>
        <v>صحن خضار سيرفس</v>
      </c>
      <c r="E3183" s="30" t="str">
        <f>VLOOKUP(B3183, 'All Menu'!B:M, 2, 0)</f>
        <v>قسم الصالة</v>
      </c>
      <c r="F3183" s="103" t="str">
        <f>VLOOKUP(B3183, 'All Menu'!B:M, 3, 0)</f>
        <v>مقبلات باردة صالة</v>
      </c>
      <c r="G3183" s="90" t="s">
        <v>3058</v>
      </c>
      <c r="H3183" s="219">
        <v>4483</v>
      </c>
      <c r="I3183" s="110" t="str">
        <f>VLOOKUP(H3183, 'RM &amp; SF'!B:H, 2, 0)</f>
        <v>مخلل مشكل 10 كغ*****</v>
      </c>
      <c r="J3183" s="184" t="str">
        <f>VLOOKUP(H3183, 'RM &amp; SF'!B:E, 4, 0)</f>
        <v>غم</v>
      </c>
      <c r="K3183" s="78">
        <v>80</v>
      </c>
      <c r="L3183" s="13">
        <f>VLOOKUP(H3183, 'RM &amp; SF'!B:H, 7, 0)</f>
        <v>6.4999999999999997E-4</v>
      </c>
      <c r="M3183" s="15">
        <f t="shared" si="165"/>
        <v>5.1999999999999998E-2</v>
      </c>
      <c r="N3183" s="21" t="s">
        <v>825</v>
      </c>
      <c r="O3183" s="4">
        <f>VLOOKUP(B3183, 'All Menu'!B:L, 6, 0)</f>
        <v>1.9396551724137931</v>
      </c>
      <c r="P3183" s="6">
        <f>VLOOKUP(B3183, 'All Menu'!B:L, 9, 0)</f>
        <v>0.21199999999999999</v>
      </c>
      <c r="Q3183" s="14">
        <f>VLOOKUP(B3183, 'All Menu'!B:M, 12, 0)</f>
        <v>0.89070222222222228</v>
      </c>
      <c r="R3183" s="173">
        <f t="shared" si="166"/>
        <v>0</v>
      </c>
    </row>
    <row r="3184" spans="1:18" ht="14" hidden="1">
      <c r="A3184" s="78" t="s">
        <v>3085</v>
      </c>
      <c r="B3184" s="220" t="s">
        <v>1311</v>
      </c>
      <c r="C3184" s="185"/>
      <c r="D3184" s="30" t="str">
        <f>VLOOKUP(B3184, 'All Menu'!B:M, 4, 0)</f>
        <v>صحن خضار سيرفس</v>
      </c>
      <c r="E3184" s="30" t="str">
        <f>VLOOKUP(B3184, 'All Menu'!B:M, 2, 0)</f>
        <v>قسم الصالة</v>
      </c>
      <c r="F3184" s="103" t="str">
        <f>VLOOKUP(B3184, 'All Menu'!B:M, 3, 0)</f>
        <v>مقبلات باردة صالة</v>
      </c>
      <c r="G3184" s="90" t="s">
        <v>2252</v>
      </c>
      <c r="H3184" s="219">
        <v>4545</v>
      </c>
      <c r="I3184" s="110" t="str">
        <f>VLOOKUP(H3184, 'RM &amp; SF'!B:H, 2, 0)</f>
        <v>جرجير*****</v>
      </c>
      <c r="J3184" s="184" t="str">
        <f>VLOOKUP(H3184, 'RM &amp; SF'!B:E, 4, 0)</f>
        <v>غم</v>
      </c>
      <c r="K3184" s="78">
        <v>20</v>
      </c>
      <c r="L3184" s="13">
        <f>VLOOKUP(H3184, 'RM &amp; SF'!B:H, 7, 0)</f>
        <v>7.5000000000000002E-4</v>
      </c>
      <c r="M3184" s="15">
        <f t="shared" si="165"/>
        <v>1.4999999999999999E-2</v>
      </c>
      <c r="N3184" s="21" t="s">
        <v>825</v>
      </c>
      <c r="O3184" s="4">
        <f>VLOOKUP(B3184, 'All Menu'!B:L, 6, 0)</f>
        <v>1.9396551724137931</v>
      </c>
      <c r="P3184" s="6">
        <f>VLOOKUP(B3184, 'All Menu'!B:L, 9, 0)</f>
        <v>0.21199999999999999</v>
      </c>
      <c r="Q3184" s="14">
        <f>VLOOKUP(B3184, 'All Menu'!B:M, 12, 0)</f>
        <v>0.89070222222222228</v>
      </c>
      <c r="R3184" s="173">
        <f t="shared" si="166"/>
        <v>0</v>
      </c>
    </row>
    <row r="3185" spans="1:18" ht="14" hidden="1">
      <c r="A3185" s="78" t="s">
        <v>3085</v>
      </c>
      <c r="B3185" s="220" t="s">
        <v>1311</v>
      </c>
      <c r="C3185" s="185"/>
      <c r="D3185" s="30" t="str">
        <f>VLOOKUP(B3185, 'All Menu'!B:M, 4, 0)</f>
        <v>صحن خضار سيرفس</v>
      </c>
      <c r="E3185" s="30" t="str">
        <f>VLOOKUP(B3185, 'All Menu'!B:M, 2, 0)</f>
        <v>قسم الصالة</v>
      </c>
      <c r="F3185" s="103" t="str">
        <f>VLOOKUP(B3185, 'All Menu'!B:M, 3, 0)</f>
        <v>مقبلات باردة صالة</v>
      </c>
      <c r="G3185" s="90" t="s">
        <v>2258</v>
      </c>
      <c r="H3185" s="219">
        <v>5290</v>
      </c>
      <c r="I3185" s="110" t="str">
        <f>VLOOKUP(H3185, 'RM &amp; SF'!B:H, 2, 0)</f>
        <v>بصل اخضر</v>
      </c>
      <c r="J3185" s="184" t="str">
        <f>VLOOKUP(H3185, 'RM &amp; SF'!B:E, 4, 0)</f>
        <v>غم</v>
      </c>
      <c r="K3185" s="78">
        <v>15</v>
      </c>
      <c r="L3185" s="13">
        <f>VLOOKUP(H3185, 'RM &amp; SF'!B:H, 7, 0)</f>
        <v>1.5E-3</v>
      </c>
      <c r="M3185" s="15">
        <f t="shared" si="165"/>
        <v>2.2499999999999999E-2</v>
      </c>
      <c r="N3185" s="21" t="s">
        <v>825</v>
      </c>
      <c r="O3185" s="4">
        <f>VLOOKUP(B3185, 'All Menu'!B:L, 6, 0)</f>
        <v>1.9396551724137931</v>
      </c>
      <c r="P3185" s="6">
        <f>VLOOKUP(B3185, 'All Menu'!B:L, 9, 0)</f>
        <v>0.21199999999999999</v>
      </c>
      <c r="Q3185" s="14">
        <f>VLOOKUP(B3185, 'All Menu'!B:M, 12, 0)</f>
        <v>0.89070222222222228</v>
      </c>
      <c r="R3185" s="173">
        <f t="shared" si="166"/>
        <v>0</v>
      </c>
    </row>
    <row r="3186" spans="1:18" ht="14" hidden="1">
      <c r="A3186" s="78" t="s">
        <v>3085</v>
      </c>
      <c r="B3186" s="220" t="s">
        <v>1311</v>
      </c>
      <c r="C3186" s="185"/>
      <c r="D3186" s="30" t="str">
        <f>VLOOKUP(B3186, 'All Menu'!B:M, 4, 0)</f>
        <v>صحن خضار سيرفس</v>
      </c>
      <c r="E3186" s="30" t="str">
        <f>VLOOKUP(B3186, 'All Menu'!B:M, 2, 0)</f>
        <v>قسم الصالة</v>
      </c>
      <c r="F3186" s="103" t="str">
        <f>VLOOKUP(B3186, 'All Menu'!B:M, 3, 0)</f>
        <v>مقبلات باردة صالة</v>
      </c>
      <c r="G3186" s="90" t="s">
        <v>2239</v>
      </c>
      <c r="H3186" s="219">
        <v>4513</v>
      </c>
      <c r="I3186" s="110" t="str">
        <f>VLOOKUP(H3186, 'RM &amp; SF'!B:H, 2, 0)</f>
        <v>ليمون اصفر*****</v>
      </c>
      <c r="J3186" s="184" t="str">
        <f>VLOOKUP(H3186, 'RM &amp; SF'!B:E, 4, 0)</f>
        <v>غم</v>
      </c>
      <c r="K3186" s="78">
        <v>70</v>
      </c>
      <c r="L3186" s="13">
        <f>VLOOKUP(H3186, 'RM &amp; SF'!B:H, 7, 0)</f>
        <v>1.75E-3</v>
      </c>
      <c r="M3186" s="15">
        <f t="shared" si="165"/>
        <v>0.1225</v>
      </c>
      <c r="N3186" s="21" t="s">
        <v>825</v>
      </c>
      <c r="O3186" s="4">
        <f>VLOOKUP(B3186, 'All Menu'!B:L, 6, 0)</f>
        <v>1.9396551724137931</v>
      </c>
      <c r="P3186" s="6">
        <f>VLOOKUP(B3186, 'All Menu'!B:L, 9, 0)</f>
        <v>0.21199999999999999</v>
      </c>
      <c r="Q3186" s="14">
        <f>VLOOKUP(B3186, 'All Menu'!B:M, 12, 0)</f>
        <v>0.89070222222222228</v>
      </c>
      <c r="R3186" s="173">
        <f t="shared" si="166"/>
        <v>0</v>
      </c>
    </row>
    <row r="3187" spans="1:18" ht="14" hidden="1">
      <c r="A3187" s="78" t="s">
        <v>3105</v>
      </c>
      <c r="B3187" s="220" t="s">
        <v>1312</v>
      </c>
      <c r="C3187" s="185"/>
      <c r="D3187" s="30" t="str">
        <f>VLOOKUP(B3187, 'All Menu'!B:M, 4, 0)</f>
        <v>وجبة صيادية</v>
      </c>
      <c r="E3187" s="30" t="str">
        <f>VLOOKUP(B3187, 'All Menu'!B:M, 2, 0)</f>
        <v>قسم الصالة</v>
      </c>
      <c r="F3187" s="103" t="str">
        <f>VLOOKUP(B3187, 'All Menu'!B:M, 3, 0)</f>
        <v>اطباق اليوم صالة</v>
      </c>
      <c r="G3187" s="90" t="s">
        <v>2371</v>
      </c>
      <c r="H3187" s="219" t="s">
        <v>778</v>
      </c>
      <c r="I3187" s="110" t="str">
        <f>VLOOKUP(H3187, 'RM &amp; SF'!B:H, 2, 0)</f>
        <v>ارز صيادية</v>
      </c>
      <c r="J3187" s="184" t="str">
        <f>VLOOKUP(H3187, 'RM &amp; SF'!B:E, 4, 0)</f>
        <v>غم</v>
      </c>
      <c r="K3187" s="78">
        <v>500</v>
      </c>
      <c r="L3187" s="13">
        <f>VLOOKUP(H3187, 'RM &amp; SF'!B:H, 7, 0)</f>
        <v>4.578856190476191E-4</v>
      </c>
      <c r="M3187" s="15">
        <f t="shared" si="165"/>
        <v>0.22894280952380955</v>
      </c>
      <c r="N3187" s="21" t="s">
        <v>825</v>
      </c>
      <c r="O3187" s="4">
        <f>VLOOKUP(B3187, 'All Menu'!B:L, 6, 0)</f>
        <v>6.0344827586206904</v>
      </c>
      <c r="P3187" s="6">
        <f>VLOOKUP(B3187, 'All Menu'!B:L, 9, 0)</f>
        <v>1.0895816278379857</v>
      </c>
      <c r="Q3187" s="14">
        <f>VLOOKUP(B3187, 'All Menu'!B:M, 12, 0)</f>
        <v>0.81944075881541945</v>
      </c>
      <c r="R3187" s="173">
        <f t="shared" si="166"/>
        <v>0</v>
      </c>
    </row>
    <row r="3188" spans="1:18" ht="14" hidden="1">
      <c r="A3188" s="78" t="s">
        <v>3105</v>
      </c>
      <c r="B3188" s="220" t="s">
        <v>1312</v>
      </c>
      <c r="C3188" s="185"/>
      <c r="D3188" s="30" t="str">
        <f>VLOOKUP(B3188, 'All Menu'!B:M, 4, 0)</f>
        <v>وجبة صيادية</v>
      </c>
      <c r="E3188" s="30" t="str">
        <f>VLOOKUP(B3188, 'All Menu'!B:M, 2, 0)</f>
        <v>قسم الصالة</v>
      </c>
      <c r="F3188" s="103" t="str">
        <f>VLOOKUP(B3188, 'All Menu'!B:M, 3, 0)</f>
        <v>اطباق اليوم صالة</v>
      </c>
      <c r="G3188" s="90" t="s">
        <v>2341</v>
      </c>
      <c r="H3188" s="219" t="s">
        <v>706</v>
      </c>
      <c r="I3188" s="110" t="str">
        <f>VLOOKUP(H3188, 'RM &amp; SF'!B:H, 2, 0)</f>
        <v>لوز مقلي</v>
      </c>
      <c r="J3188" s="184" t="str">
        <f>VLOOKUP(H3188, 'RM &amp; SF'!B:E, 4, 0)</f>
        <v>غم</v>
      </c>
      <c r="K3188" s="78">
        <v>30</v>
      </c>
      <c r="L3188" s="13">
        <f>VLOOKUP(H3188, 'RM &amp; SF'!B:H, 7, 0)</f>
        <v>4.1352327586206888E-3</v>
      </c>
      <c r="M3188" s="15">
        <f t="shared" si="165"/>
        <v>0.12405698275862066</v>
      </c>
      <c r="N3188" s="21" t="s">
        <v>825</v>
      </c>
      <c r="O3188" s="4">
        <f>VLOOKUP(B3188, 'All Menu'!B:L, 6, 0)</f>
        <v>6.0344827586206904</v>
      </c>
      <c r="P3188" s="6">
        <f>VLOOKUP(B3188, 'All Menu'!B:L, 9, 0)</f>
        <v>1.0895816278379857</v>
      </c>
      <c r="Q3188" s="14">
        <f>VLOOKUP(B3188, 'All Menu'!B:M, 12, 0)</f>
        <v>0.81944075881541945</v>
      </c>
      <c r="R3188" s="173">
        <f t="shared" si="166"/>
        <v>0</v>
      </c>
    </row>
    <row r="3189" spans="1:18" ht="14" hidden="1">
      <c r="A3189" s="78" t="s">
        <v>3105</v>
      </c>
      <c r="B3189" s="220" t="s">
        <v>1312</v>
      </c>
      <c r="C3189" s="185"/>
      <c r="D3189" s="30" t="str">
        <f>VLOOKUP(B3189, 'All Menu'!B:M, 4, 0)</f>
        <v>وجبة صيادية</v>
      </c>
      <c r="E3189" s="30" t="str">
        <f>VLOOKUP(B3189, 'All Menu'!B:M, 2, 0)</f>
        <v>قسم الصالة</v>
      </c>
      <c r="F3189" s="103" t="str">
        <f>VLOOKUP(B3189, 'All Menu'!B:M, 3, 0)</f>
        <v>اطباق اليوم صالة</v>
      </c>
      <c r="G3189" s="90" t="s">
        <v>2372</v>
      </c>
      <c r="H3189" s="219" t="s">
        <v>780</v>
      </c>
      <c r="I3189" s="110" t="str">
        <f>VLOOKUP(H3189, 'RM &amp; SF'!B:H, 2, 0)</f>
        <v>سمك صيادية مقلي</v>
      </c>
      <c r="J3189" s="184" t="str">
        <f>VLOOKUP(H3189, 'RM &amp; SF'!B:E, 4, 0)</f>
        <v>غم</v>
      </c>
      <c r="K3189" s="78">
        <v>100</v>
      </c>
      <c r="L3189" s="13">
        <f>VLOOKUP(H3189, 'RM &amp; SF'!B:H, 7, 0)</f>
        <v>2.8622461333333328E-3</v>
      </c>
      <c r="M3189" s="15">
        <f t="shared" ref="M3189:M3252" si="167">L3189*K3189</f>
        <v>0.28622461333333327</v>
      </c>
      <c r="N3189" s="21" t="s">
        <v>825</v>
      </c>
      <c r="O3189" s="4">
        <f>VLOOKUP(B3189, 'All Menu'!B:L, 6, 0)</f>
        <v>6.0344827586206904</v>
      </c>
      <c r="P3189" s="6">
        <f>VLOOKUP(B3189, 'All Menu'!B:L, 9, 0)</f>
        <v>1.0895816278379857</v>
      </c>
      <c r="Q3189" s="14">
        <f>VLOOKUP(B3189, 'All Menu'!B:M, 12, 0)</f>
        <v>0.81944075881541945</v>
      </c>
      <c r="R3189" s="173">
        <f t="shared" si="166"/>
        <v>0</v>
      </c>
    </row>
    <row r="3190" spans="1:18" ht="14" hidden="1">
      <c r="A3190" s="78" t="s">
        <v>3105</v>
      </c>
      <c r="B3190" s="220" t="s">
        <v>1312</v>
      </c>
      <c r="C3190" s="185"/>
      <c r="D3190" s="30" t="str">
        <f>VLOOKUP(B3190, 'All Menu'!B:M, 4, 0)</f>
        <v>وجبة صيادية</v>
      </c>
      <c r="E3190" s="30" t="str">
        <f>VLOOKUP(B3190, 'All Menu'!B:M, 2, 0)</f>
        <v>قسم الصالة</v>
      </c>
      <c r="F3190" s="103" t="str">
        <f>VLOOKUP(B3190, 'All Menu'!B:M, 3, 0)</f>
        <v>اطباق اليوم صالة</v>
      </c>
      <c r="G3190" s="90" t="s">
        <v>2373</v>
      </c>
      <c r="H3190" s="219" t="s">
        <v>782</v>
      </c>
      <c r="I3190" s="110" t="str">
        <f>VLOOKUP(H3190, 'RM &amp; SF'!B:H, 2, 0)</f>
        <v>صوص صيادية</v>
      </c>
      <c r="J3190" s="184" t="str">
        <f>VLOOKUP(H3190, 'RM &amp; SF'!B:E, 4, 0)</f>
        <v>غم</v>
      </c>
      <c r="K3190" s="78">
        <v>500</v>
      </c>
      <c r="L3190" s="13">
        <f>VLOOKUP(H3190, 'RM &amp; SF'!B:H, 7, 0)</f>
        <v>9.0071444444444451E-4</v>
      </c>
      <c r="M3190" s="15">
        <f t="shared" si="167"/>
        <v>0.45035722222222224</v>
      </c>
      <c r="N3190" s="21" t="s">
        <v>825</v>
      </c>
      <c r="O3190" s="4">
        <f>VLOOKUP(B3190, 'All Menu'!B:L, 6, 0)</f>
        <v>6.0344827586206904</v>
      </c>
      <c r="P3190" s="6">
        <f>VLOOKUP(B3190, 'All Menu'!B:L, 9, 0)</f>
        <v>1.0895816278379857</v>
      </c>
      <c r="Q3190" s="14">
        <f>VLOOKUP(B3190, 'All Menu'!B:M, 12, 0)</f>
        <v>0.81944075881541945</v>
      </c>
      <c r="R3190" s="173">
        <f t="shared" si="166"/>
        <v>0</v>
      </c>
    </row>
    <row r="3191" spans="1:18" ht="14" hidden="1">
      <c r="A3191" s="78" t="s">
        <v>3098</v>
      </c>
      <c r="B3191" s="220" t="s">
        <v>1320</v>
      </c>
      <c r="C3191" s="185"/>
      <c r="D3191" s="30" t="str">
        <f>VLOOKUP(B3191, 'All Menu'!B:M, 4, 0)</f>
        <v>شوربة فريكة</v>
      </c>
      <c r="E3191" s="30" t="str">
        <f>VLOOKUP(B3191, 'All Menu'!B:M, 2, 0)</f>
        <v>قسم الصالة</v>
      </c>
      <c r="F3191" s="103" t="str">
        <f>VLOOKUP(B3191, 'All Menu'!B:M, 3, 0)</f>
        <v>شوربات صالة</v>
      </c>
      <c r="G3191" s="90" t="s">
        <v>2375</v>
      </c>
      <c r="H3191" s="219" t="s">
        <v>792</v>
      </c>
      <c r="I3191" s="110" t="str">
        <f>VLOOKUP(H3191, 'RM &amp; SF'!B:H, 2, 0)</f>
        <v>شوربة فريكة</v>
      </c>
      <c r="J3191" s="184" t="str">
        <f>VLOOKUP(H3191, 'RM &amp; SF'!B:E, 4, 0)</f>
        <v>غم</v>
      </c>
      <c r="K3191" s="78">
        <v>250</v>
      </c>
      <c r="L3191" s="13">
        <f>VLOOKUP(H3191, 'RM &amp; SF'!B:H, 7, 0)</f>
        <v>9.27866832183908E-4</v>
      </c>
      <c r="M3191" s="15">
        <f t="shared" si="167"/>
        <v>0.23196670804597699</v>
      </c>
      <c r="N3191" s="21" t="s">
        <v>825</v>
      </c>
      <c r="O3191" s="4">
        <f>VLOOKUP(B3191, 'All Menu'!B:L, 6, 0)</f>
        <v>1.7241379310344829</v>
      </c>
      <c r="P3191" s="6">
        <f>VLOOKUP(B3191, 'All Menu'!B:L, 9, 0)</f>
        <v>0.23196670804597699</v>
      </c>
      <c r="Q3191" s="14">
        <f>VLOOKUP(B3191, 'All Menu'!B:M, 12, 0)</f>
        <v>0.86545930933333326</v>
      </c>
      <c r="R3191" s="173">
        <f t="shared" si="166"/>
        <v>0</v>
      </c>
    </row>
    <row r="3192" spans="1:18" ht="14" hidden="1">
      <c r="A3192" s="78" t="s">
        <v>2960</v>
      </c>
      <c r="B3192" s="220" t="s">
        <v>1648</v>
      </c>
      <c r="C3192" s="185"/>
      <c r="D3192" s="30" t="str">
        <f>VLOOKUP(B3192, 'All Menu'!B:M, 4, 0)</f>
        <v>بطاطا ودجز</v>
      </c>
      <c r="E3192" s="30" t="str">
        <f>VLOOKUP(B3192, 'All Menu'!B:M, 2, 0)</f>
        <v>قسم الصالة</v>
      </c>
      <c r="F3192" s="103" t="str">
        <f>VLOOKUP(B3192, 'All Menu'!B:M, 3, 0)</f>
        <v>مقبلات ساخنة صالة</v>
      </c>
      <c r="G3192" s="90" t="s">
        <v>3058</v>
      </c>
      <c r="H3192" s="219">
        <v>5418</v>
      </c>
      <c r="I3192" s="110" t="str">
        <f>VLOOKUP(H3192, 'RM &amp; SF'!B:H, 2, 0)</f>
        <v xml:space="preserve">بطاطا شرحات جاهزة </v>
      </c>
      <c r="J3192" s="184" t="str">
        <f>VLOOKUP(H3192, 'RM &amp; SF'!B:E, 4, 0)</f>
        <v>غم</v>
      </c>
      <c r="K3192" s="78">
        <v>150</v>
      </c>
      <c r="L3192" s="13">
        <f>VLOOKUP(H3192, 'RM &amp; SF'!B:H, 7, 0)</f>
        <v>8.6209999999999998E-4</v>
      </c>
      <c r="M3192" s="15">
        <f t="shared" si="167"/>
        <v>0.12931499999999999</v>
      </c>
      <c r="N3192" s="21" t="s">
        <v>825</v>
      </c>
      <c r="O3192" s="4">
        <f>VLOOKUP(B3192, 'All Menu'!B:L, 6, 0)</f>
        <v>1.6810344827586208</v>
      </c>
      <c r="P3192" s="6">
        <f>VLOOKUP(B3192, 'All Menu'!B:L, 9, 0)</f>
        <v>0.21206699999999998</v>
      </c>
      <c r="Q3192" s="14">
        <f>VLOOKUP(B3192, 'All Menu'!B:M, 12, 0)</f>
        <v>0.87384732307692303</v>
      </c>
      <c r="R3192" s="173">
        <f t="shared" si="166"/>
        <v>0</v>
      </c>
    </row>
    <row r="3193" spans="1:18" ht="14" hidden="1">
      <c r="A3193" s="78" t="s">
        <v>2960</v>
      </c>
      <c r="B3193" s="220" t="s">
        <v>1648</v>
      </c>
      <c r="C3193" s="185"/>
      <c r="D3193" s="30" t="str">
        <f>VLOOKUP(B3193, 'All Menu'!B:M, 4, 0)</f>
        <v>بطاطا ودجز</v>
      </c>
      <c r="E3193" s="30" t="str">
        <f>VLOOKUP(B3193, 'All Menu'!B:M, 2, 0)</f>
        <v>قسم الصالة</v>
      </c>
      <c r="F3193" s="103" t="str">
        <f>VLOOKUP(B3193, 'All Menu'!B:M, 3, 0)</f>
        <v>مقبلات ساخنة صالة</v>
      </c>
      <c r="G3193" s="90" t="s">
        <v>2269</v>
      </c>
      <c r="H3193" s="219">
        <v>4011</v>
      </c>
      <c r="I3193" s="110" t="str">
        <f>VLOOKUP(H3193, 'RM &amp; SF'!B:H, 2, 0)</f>
        <v>كاتشب طماطم 5 كغ*****</v>
      </c>
      <c r="J3193" s="184" t="str">
        <f>VLOOKUP(H3193, 'RM &amp; SF'!B:E, 4, 0)</f>
        <v>غم</v>
      </c>
      <c r="K3193" s="78">
        <v>120</v>
      </c>
      <c r="L3193" s="13">
        <f>VLOOKUP(H3193, 'RM &amp; SF'!B:H, 7, 0)</f>
        <v>6.8959999999999996E-4</v>
      </c>
      <c r="M3193" s="15">
        <f t="shared" si="167"/>
        <v>8.2751999999999992E-2</v>
      </c>
      <c r="N3193" s="21" t="s">
        <v>825</v>
      </c>
      <c r="O3193" s="4">
        <f>VLOOKUP(B3193, 'All Menu'!B:L, 6, 0)</f>
        <v>1.6810344827586208</v>
      </c>
      <c r="P3193" s="6">
        <f>VLOOKUP(B3193, 'All Menu'!B:L, 9, 0)</f>
        <v>0.21206699999999998</v>
      </c>
      <c r="Q3193" s="14">
        <f>VLOOKUP(B3193, 'All Menu'!B:M, 12, 0)</f>
        <v>0.87384732307692303</v>
      </c>
      <c r="R3193" s="173">
        <f t="shared" si="166"/>
        <v>0</v>
      </c>
    </row>
    <row r="3194" spans="1:18" ht="14" hidden="1">
      <c r="A3194" s="78" t="s">
        <v>2961</v>
      </c>
      <c r="B3194" s="220" t="s">
        <v>1877</v>
      </c>
      <c r="C3194" s="185"/>
      <c r="D3194" s="30" t="str">
        <f>VLOOKUP(B3194, 'All Menu'!B:M, 4, 0)</f>
        <v>موزاريلا ستيكس</v>
      </c>
      <c r="E3194" s="30" t="str">
        <f>VLOOKUP(B3194, 'All Menu'!B:M, 2, 0)</f>
        <v>قسم الصالة</v>
      </c>
      <c r="F3194" s="103" t="str">
        <f>VLOOKUP(B3194, 'All Menu'!B:M, 3, 0)</f>
        <v>مقبلات ساخنة صالة</v>
      </c>
      <c r="G3194" s="90" t="s">
        <v>3058</v>
      </c>
      <c r="H3194" s="219">
        <v>1210</v>
      </c>
      <c r="I3194" s="110" t="str">
        <f>VLOOKUP(H3194, 'RM &amp; SF'!B:H, 2, 0)</f>
        <v>موزاريلا ستيك</v>
      </c>
      <c r="J3194" s="184" t="str">
        <f>VLOOKUP(H3194, 'RM &amp; SF'!B:E, 4, 0)</f>
        <v>غم</v>
      </c>
      <c r="K3194" s="78">
        <v>200</v>
      </c>
      <c r="L3194" s="13">
        <f>VLOOKUP(H3194, 'RM &amp; SF'!B:H, 7, 0)</f>
        <v>6.0000000000000001E-3</v>
      </c>
      <c r="M3194" s="15">
        <f t="shared" si="167"/>
        <v>1.2</v>
      </c>
      <c r="N3194" s="21" t="s">
        <v>825</v>
      </c>
      <c r="O3194" s="4">
        <f>VLOOKUP(B3194, 'All Menu'!B:L, 6, 0)</f>
        <v>3.2327586206896552</v>
      </c>
      <c r="P3194" s="6">
        <f>VLOOKUP(B3194, 'All Menu'!B:L, 9, 0)</f>
        <v>1.2</v>
      </c>
      <c r="Q3194" s="14">
        <f>VLOOKUP(B3194, 'All Menu'!B:M, 12, 0)</f>
        <v>0.62880000000000014</v>
      </c>
      <c r="R3194" s="173">
        <f t="shared" si="166"/>
        <v>0</v>
      </c>
    </row>
    <row r="3195" spans="1:18" ht="14" hidden="1">
      <c r="A3195" s="78" t="s">
        <v>2986</v>
      </c>
      <c r="B3195" s="220" t="s">
        <v>899</v>
      </c>
      <c r="C3195" s="185"/>
      <c r="D3195" s="30" t="str">
        <f>VLOOKUP(B3195, 'All Menu'!B:M, 4, 0)</f>
        <v>فتة راس</v>
      </c>
      <c r="E3195" s="30" t="str">
        <f>VLOOKUP(B3195, 'All Menu'!B:M, 2, 0)</f>
        <v>قسم الصواني</v>
      </c>
      <c r="F3195" s="103" t="str">
        <f>VLOOKUP(B3195, 'All Menu'!B:M, 3, 0)</f>
        <v>فتات سفري</v>
      </c>
      <c r="G3195" s="90" t="s">
        <v>3058</v>
      </c>
      <c r="H3195" s="219">
        <v>4754</v>
      </c>
      <c r="I3195" s="110" t="str">
        <f>VLOOKUP(H3195, 'RM &amp; SF'!B:H, 2, 0)</f>
        <v>لحمة راس خروف نية*****</v>
      </c>
      <c r="J3195" s="184" t="str">
        <f>VLOOKUP(H3195, 'RM &amp; SF'!B:E, 4, 0)</f>
        <v>غم</v>
      </c>
      <c r="K3195" s="78">
        <v>185</v>
      </c>
      <c r="L3195" s="13">
        <f>VLOOKUP(H3195, 'RM &amp; SF'!B:H, 7, 0)</f>
        <v>6.0000000000000001E-3</v>
      </c>
      <c r="M3195" s="15">
        <f t="shared" si="167"/>
        <v>1.1100000000000001</v>
      </c>
      <c r="N3195" s="21" t="s">
        <v>825</v>
      </c>
      <c r="O3195" s="4">
        <f>VLOOKUP(B3195, 'All Menu'!B:L, 6, 0)</f>
        <v>4.3103448275862073</v>
      </c>
      <c r="P3195" s="6">
        <f>VLOOKUP(B3195, 'All Menu'!B:L, 9, 0)</f>
        <v>2.0196581087940162</v>
      </c>
      <c r="Q3195" s="14">
        <f>VLOOKUP(B3195, 'All Menu'!B:M, 12, 0)</f>
        <v>0.53143931875978834</v>
      </c>
      <c r="R3195" s="173">
        <f t="shared" si="166"/>
        <v>0</v>
      </c>
    </row>
    <row r="3196" spans="1:18" ht="14" hidden="1">
      <c r="A3196" s="78" t="s">
        <v>2986</v>
      </c>
      <c r="B3196" s="220" t="s">
        <v>899</v>
      </c>
      <c r="C3196" s="185"/>
      <c r="D3196" s="30" t="str">
        <f>VLOOKUP(B3196, 'All Menu'!B:M, 4, 0)</f>
        <v>فتة راس</v>
      </c>
      <c r="E3196" s="30" t="str">
        <f>VLOOKUP(B3196, 'All Menu'!B:M, 2, 0)</f>
        <v>قسم الصواني</v>
      </c>
      <c r="F3196" s="103" t="str">
        <f>VLOOKUP(B3196, 'All Menu'!B:M, 3, 0)</f>
        <v>فتات سفري</v>
      </c>
      <c r="G3196" s="90" t="s">
        <v>2344</v>
      </c>
      <c r="H3196" s="219" t="s">
        <v>712</v>
      </c>
      <c r="I3196" s="110" t="str">
        <f>VLOOKUP(H3196, 'RM &amp; SF'!B:H, 2, 0)</f>
        <v>دقة</v>
      </c>
      <c r="J3196" s="184" t="str">
        <f>VLOOKUP(H3196, 'RM &amp; SF'!B:E, 4, 0)</f>
        <v>غم</v>
      </c>
      <c r="K3196" s="78">
        <v>40</v>
      </c>
      <c r="L3196" s="13">
        <f>VLOOKUP(H3196, 'RM &amp; SF'!B:H, 7, 0)</f>
        <v>4.91927380952381E-3</v>
      </c>
      <c r="M3196" s="15">
        <f t="shared" si="167"/>
        <v>0.19677095238095241</v>
      </c>
      <c r="N3196" s="21" t="s">
        <v>825</v>
      </c>
      <c r="O3196" s="4">
        <f>VLOOKUP(B3196, 'All Menu'!B:L, 6, 0)</f>
        <v>4.3103448275862073</v>
      </c>
      <c r="P3196" s="6">
        <f>VLOOKUP(B3196, 'All Menu'!B:L, 9, 0)</f>
        <v>2.0196581087940162</v>
      </c>
      <c r="Q3196" s="14">
        <f>VLOOKUP(B3196, 'All Menu'!B:M, 12, 0)</f>
        <v>0.53143931875978834</v>
      </c>
      <c r="R3196" s="173">
        <f t="shared" si="166"/>
        <v>0</v>
      </c>
    </row>
    <row r="3197" spans="1:18" ht="14" hidden="1">
      <c r="A3197" s="78" t="s">
        <v>2986</v>
      </c>
      <c r="B3197" s="220" t="s">
        <v>899</v>
      </c>
      <c r="C3197" s="185"/>
      <c r="D3197" s="30" t="str">
        <f>VLOOKUP(B3197, 'All Menu'!B:M, 4, 0)</f>
        <v>فتة راس</v>
      </c>
      <c r="E3197" s="30" t="str">
        <f>VLOOKUP(B3197, 'All Menu'!B:M, 2, 0)</f>
        <v>قسم الصواني</v>
      </c>
      <c r="F3197" s="103" t="str">
        <f>VLOOKUP(B3197, 'All Menu'!B:M, 3, 0)</f>
        <v>فتات سفري</v>
      </c>
      <c r="G3197" s="90" t="s">
        <v>2330</v>
      </c>
      <c r="H3197" s="219" t="s">
        <v>490</v>
      </c>
      <c r="I3197" s="110" t="str">
        <f>VLOOKUP(H3197, 'RM &amp; SF'!B:H, 2, 0)</f>
        <v>خبز مقلي</v>
      </c>
      <c r="J3197" s="184" t="str">
        <f>VLOOKUP(H3197, 'RM &amp; SF'!B:E, 4, 0)</f>
        <v>غم</v>
      </c>
      <c r="K3197" s="78">
        <v>100</v>
      </c>
      <c r="L3197" s="13">
        <f>VLOOKUP(H3197, 'RM &amp; SF'!B:H, 7, 0)</f>
        <v>2.2857142857142859E-4</v>
      </c>
      <c r="M3197" s="15">
        <f t="shared" si="167"/>
        <v>2.2857142857142861E-2</v>
      </c>
      <c r="N3197" s="21" t="s">
        <v>825</v>
      </c>
      <c r="O3197" s="4">
        <f>VLOOKUP(B3197, 'All Menu'!B:L, 6, 0)</f>
        <v>4.3103448275862073</v>
      </c>
      <c r="P3197" s="6">
        <f>VLOOKUP(B3197, 'All Menu'!B:L, 9, 0)</f>
        <v>2.0196581087940162</v>
      </c>
      <c r="Q3197" s="14">
        <f>VLOOKUP(B3197, 'All Menu'!B:M, 12, 0)</f>
        <v>0.53143931875978834</v>
      </c>
      <c r="R3197" s="173">
        <f t="shared" si="166"/>
        <v>0</v>
      </c>
    </row>
    <row r="3198" spans="1:18" ht="14" hidden="1">
      <c r="A3198" s="78" t="s">
        <v>2986</v>
      </c>
      <c r="B3198" s="220" t="s">
        <v>899</v>
      </c>
      <c r="C3198" s="185"/>
      <c r="D3198" s="30" t="str">
        <f>VLOOKUP(B3198, 'All Menu'!B:M, 4, 0)</f>
        <v>فتة راس</v>
      </c>
      <c r="E3198" s="30" t="str">
        <f>VLOOKUP(B3198, 'All Menu'!B:M, 2, 0)</f>
        <v>قسم الصواني</v>
      </c>
      <c r="F3198" s="103" t="str">
        <f>VLOOKUP(B3198, 'All Menu'!B:M, 3, 0)</f>
        <v>فتات سفري</v>
      </c>
      <c r="G3198" s="90" t="s">
        <v>2430</v>
      </c>
      <c r="H3198" s="219" t="s">
        <v>636</v>
      </c>
      <c r="I3198" s="110" t="str">
        <f>VLOOKUP(H3198, 'RM &amp; SF'!B:H, 2, 0)</f>
        <v>صوص طحينية للصواني</v>
      </c>
      <c r="J3198" s="184" t="str">
        <f>VLOOKUP(H3198, 'RM &amp; SF'!B:E, 4, 0)</f>
        <v>غم</v>
      </c>
      <c r="K3198" s="78">
        <v>120</v>
      </c>
      <c r="L3198" s="13">
        <f>VLOOKUP(H3198, 'RM &amp; SF'!B:H, 7, 0)</f>
        <v>1.0115232451499119E-3</v>
      </c>
      <c r="M3198" s="15">
        <f t="shared" si="167"/>
        <v>0.12138278941798944</v>
      </c>
      <c r="N3198" s="21" t="s">
        <v>825</v>
      </c>
      <c r="O3198" s="4">
        <f>VLOOKUP(B3198, 'All Menu'!B:L, 6, 0)</f>
        <v>4.3103448275862073</v>
      </c>
      <c r="P3198" s="6">
        <f>VLOOKUP(B3198, 'All Menu'!B:L, 9, 0)</f>
        <v>2.0196581087940162</v>
      </c>
      <c r="Q3198" s="14">
        <f>VLOOKUP(B3198, 'All Menu'!B:M, 12, 0)</f>
        <v>0.53143931875978834</v>
      </c>
      <c r="R3198" s="173">
        <f t="shared" si="166"/>
        <v>0</v>
      </c>
    </row>
    <row r="3199" spans="1:18" ht="14" hidden="1">
      <c r="A3199" s="78" t="s">
        <v>2986</v>
      </c>
      <c r="B3199" s="220" t="s">
        <v>899</v>
      </c>
      <c r="C3199" s="185"/>
      <c r="D3199" s="30" t="str">
        <f>VLOOKUP(B3199, 'All Menu'!B:M, 4, 0)</f>
        <v>فتة راس</v>
      </c>
      <c r="E3199" s="30" t="str">
        <f>VLOOKUP(B3199, 'All Menu'!B:M, 2, 0)</f>
        <v>قسم الصواني</v>
      </c>
      <c r="F3199" s="103" t="str">
        <f>VLOOKUP(B3199, 'All Menu'!B:M, 3, 0)</f>
        <v>فتات سفري</v>
      </c>
      <c r="G3199" s="90" t="s">
        <v>2261</v>
      </c>
      <c r="H3199" s="219">
        <v>4163</v>
      </c>
      <c r="I3199" s="110" t="str">
        <f>VLOOKUP(H3199, 'RM &amp; SF'!B:H, 2, 0)</f>
        <v>سمنة بنكهة السمن البلدي 15 كغ*****</v>
      </c>
      <c r="J3199" s="184" t="str">
        <f>VLOOKUP(H3199, 'RM &amp; SF'!B:E, 4, 0)</f>
        <v>غم</v>
      </c>
      <c r="K3199" s="78">
        <v>20</v>
      </c>
      <c r="L3199" s="13">
        <f>VLOOKUP(H3199, 'RM &amp; SF'!B:H, 7, 0)</f>
        <v>2.0512E-3</v>
      </c>
      <c r="M3199" s="15">
        <f t="shared" si="167"/>
        <v>4.1023999999999998E-2</v>
      </c>
      <c r="N3199" s="21" t="s">
        <v>825</v>
      </c>
      <c r="O3199" s="4">
        <f>VLOOKUP(B3199, 'All Menu'!B:L, 6, 0)</f>
        <v>4.3103448275862073</v>
      </c>
      <c r="P3199" s="6">
        <f>VLOOKUP(B3199, 'All Menu'!B:L, 9, 0)</f>
        <v>2.0196581087940162</v>
      </c>
      <c r="Q3199" s="14">
        <f>VLOOKUP(B3199, 'All Menu'!B:M, 12, 0)</f>
        <v>0.53143931875978834</v>
      </c>
      <c r="R3199" s="173">
        <f t="shared" si="166"/>
        <v>0</v>
      </c>
    </row>
    <row r="3200" spans="1:18" ht="14" hidden="1">
      <c r="A3200" s="78" t="s">
        <v>2986</v>
      </c>
      <c r="B3200" s="220" t="s">
        <v>899</v>
      </c>
      <c r="C3200" s="185"/>
      <c r="D3200" s="30" t="str">
        <f>VLOOKUP(B3200, 'All Menu'!B:M, 4, 0)</f>
        <v>فتة راس</v>
      </c>
      <c r="E3200" s="30" t="str">
        <f>VLOOKUP(B3200, 'All Menu'!B:M, 2, 0)</f>
        <v>قسم الصواني</v>
      </c>
      <c r="F3200" s="103" t="str">
        <f>VLOOKUP(B3200, 'All Menu'!B:M, 3, 0)</f>
        <v>فتات سفري</v>
      </c>
      <c r="G3200" s="90" t="s">
        <v>2341</v>
      </c>
      <c r="H3200" s="219" t="s">
        <v>706</v>
      </c>
      <c r="I3200" s="110" t="str">
        <f>VLOOKUP(H3200, 'RM &amp; SF'!B:H, 2, 0)</f>
        <v>لوز مقلي</v>
      </c>
      <c r="J3200" s="184" t="str">
        <f>VLOOKUP(H3200, 'RM &amp; SF'!B:E, 4, 0)</f>
        <v>غم</v>
      </c>
      <c r="K3200" s="78">
        <v>30</v>
      </c>
      <c r="L3200" s="13">
        <f>VLOOKUP(H3200, 'RM &amp; SF'!B:H, 7, 0)</f>
        <v>4.1352327586206888E-3</v>
      </c>
      <c r="M3200" s="15">
        <f t="shared" si="167"/>
        <v>0.12405698275862066</v>
      </c>
      <c r="N3200" s="21" t="s">
        <v>825</v>
      </c>
      <c r="O3200" s="4">
        <f>VLOOKUP(B3200, 'All Menu'!B:L, 6, 0)</f>
        <v>4.3103448275862073</v>
      </c>
      <c r="P3200" s="6">
        <f>VLOOKUP(B3200, 'All Menu'!B:L, 9, 0)</f>
        <v>2.0196581087940162</v>
      </c>
      <c r="Q3200" s="14">
        <f>VLOOKUP(B3200, 'All Menu'!B:M, 12, 0)</f>
        <v>0.53143931875978834</v>
      </c>
      <c r="R3200" s="173">
        <f t="shared" si="166"/>
        <v>0</v>
      </c>
    </row>
    <row r="3201" spans="1:18" ht="14" hidden="1">
      <c r="A3201" s="78" t="s">
        <v>2986</v>
      </c>
      <c r="B3201" s="220" t="s">
        <v>899</v>
      </c>
      <c r="C3201" s="185"/>
      <c r="D3201" s="30" t="str">
        <f>VLOOKUP(B3201, 'All Menu'!B:M, 4, 0)</f>
        <v>فتة راس</v>
      </c>
      <c r="E3201" s="30" t="str">
        <f>VLOOKUP(B3201, 'All Menu'!B:M, 2, 0)</f>
        <v>قسم الصواني</v>
      </c>
      <c r="F3201" s="103" t="str">
        <f>VLOOKUP(B3201, 'All Menu'!B:M, 3, 0)</f>
        <v>فتات سفري</v>
      </c>
      <c r="G3201" s="90" t="s">
        <v>2251</v>
      </c>
      <c r="H3201" s="219">
        <v>4544</v>
      </c>
      <c r="I3201" s="110" t="str">
        <f>VLOOKUP(H3201, 'RM &amp; SF'!B:H, 2, 0)</f>
        <v>بقدونس*****</v>
      </c>
      <c r="J3201" s="184" t="str">
        <f>VLOOKUP(H3201, 'RM &amp; SF'!B:E, 4, 0)</f>
        <v>غم</v>
      </c>
      <c r="K3201" s="177">
        <v>50</v>
      </c>
      <c r="L3201" s="13">
        <f>VLOOKUP(H3201, 'RM &amp; SF'!B:H, 7, 0)</f>
        <v>7.5000000000000002E-4</v>
      </c>
      <c r="M3201" s="15">
        <f t="shared" si="167"/>
        <v>3.7499999999999999E-2</v>
      </c>
      <c r="N3201" s="21" t="s">
        <v>825</v>
      </c>
      <c r="O3201" s="4">
        <f>VLOOKUP(B3201, 'All Menu'!B:L, 6, 0)</f>
        <v>4.3103448275862073</v>
      </c>
      <c r="P3201" s="6">
        <f>VLOOKUP(B3201, 'All Menu'!B:L, 9, 0)</f>
        <v>2.0196581087940162</v>
      </c>
      <c r="Q3201" s="14">
        <f>VLOOKUP(B3201, 'All Menu'!B:M, 12, 0)</f>
        <v>0.53143931875978834</v>
      </c>
      <c r="R3201" s="173">
        <f t="shared" si="166"/>
        <v>0</v>
      </c>
    </row>
    <row r="3202" spans="1:18" ht="14" hidden="1">
      <c r="A3202" s="78" t="s">
        <v>2986</v>
      </c>
      <c r="B3202" s="220" t="s">
        <v>899</v>
      </c>
      <c r="C3202" s="185"/>
      <c r="D3202" s="30" t="str">
        <f>VLOOKUP(B3202, 'All Menu'!B:M, 4, 0)</f>
        <v>فتة راس</v>
      </c>
      <c r="E3202" s="30" t="str">
        <f>VLOOKUP(B3202, 'All Menu'!B:M, 2, 0)</f>
        <v>قسم الصواني</v>
      </c>
      <c r="F3202" s="103" t="str">
        <f>VLOOKUP(B3202, 'All Menu'!B:M, 3, 0)</f>
        <v>فتات سفري</v>
      </c>
      <c r="G3202" s="90" t="s">
        <v>2253</v>
      </c>
      <c r="H3202" s="219">
        <v>4547</v>
      </c>
      <c r="I3202" s="110" t="str">
        <f>VLOOKUP(H3202, 'RM &amp; SF'!B:H, 2, 0)</f>
        <v>نعنع*****</v>
      </c>
      <c r="J3202" s="184" t="str">
        <f>VLOOKUP(H3202, 'RM &amp; SF'!B:E, 4, 0)</f>
        <v>غم</v>
      </c>
      <c r="K3202" s="78">
        <v>0.1</v>
      </c>
      <c r="L3202" s="13">
        <f>VLOOKUP(H3202, 'RM &amp; SF'!B:H, 7, 0)</f>
        <v>7.5000000000000002E-4</v>
      </c>
      <c r="M3202" s="15">
        <f t="shared" si="167"/>
        <v>7.5000000000000007E-5</v>
      </c>
      <c r="N3202" s="21" t="s">
        <v>825</v>
      </c>
      <c r="O3202" s="4">
        <f>VLOOKUP(B3202, 'All Menu'!B:L, 6, 0)</f>
        <v>4.3103448275862073</v>
      </c>
      <c r="P3202" s="6">
        <f>VLOOKUP(B3202, 'All Menu'!B:L, 9, 0)</f>
        <v>2.0196581087940162</v>
      </c>
      <c r="Q3202" s="14">
        <f>VLOOKUP(B3202, 'All Menu'!B:M, 12, 0)</f>
        <v>0.53143931875978834</v>
      </c>
      <c r="R3202" s="173">
        <f t="shared" si="166"/>
        <v>0</v>
      </c>
    </row>
    <row r="3203" spans="1:18" ht="14" hidden="1">
      <c r="A3203" s="78" t="s">
        <v>2986</v>
      </c>
      <c r="B3203" s="220" t="s">
        <v>899</v>
      </c>
      <c r="C3203" s="185"/>
      <c r="D3203" s="30" t="str">
        <f>VLOOKUP(B3203, 'All Menu'!B:M, 4, 0)</f>
        <v>فتة راس</v>
      </c>
      <c r="E3203" s="30" t="str">
        <f>VLOOKUP(B3203, 'All Menu'!B:M, 2, 0)</f>
        <v>قسم الصواني</v>
      </c>
      <c r="F3203" s="103" t="str">
        <f>VLOOKUP(B3203, 'All Menu'!B:M, 3, 0)</f>
        <v>فتات سفري</v>
      </c>
      <c r="G3203" s="90" t="s">
        <v>3058</v>
      </c>
      <c r="H3203" s="219">
        <v>4290</v>
      </c>
      <c r="I3203" s="110" t="str">
        <f>VLOOKUP(H3203, 'RM &amp; SF'!B:H, 2, 0)</f>
        <v>علب قصدير مدور اوقية 250 غم RZ 18*****</v>
      </c>
      <c r="J3203" s="184" t="str">
        <f>VLOOKUP(H3203, 'RM &amp; SF'!B:E, 4, 0)</f>
        <v>قطعة</v>
      </c>
      <c r="K3203" s="78">
        <v>1</v>
      </c>
      <c r="L3203" s="13">
        <f>VLOOKUP(H3203, 'RM &amp; SF'!B:H, 7, 0)</f>
        <v>6.0344827586206906E-2</v>
      </c>
      <c r="M3203" s="15">
        <f t="shared" si="167"/>
        <v>6.0344827586206906E-2</v>
      </c>
      <c r="N3203" s="21" t="s">
        <v>825</v>
      </c>
      <c r="O3203" s="4">
        <f>VLOOKUP(B3203, 'All Menu'!B:L, 6, 0)</f>
        <v>4.3103448275862073</v>
      </c>
      <c r="P3203" s="6">
        <f>VLOOKUP(B3203, 'All Menu'!B:L, 9, 0)</f>
        <v>2.0196581087940162</v>
      </c>
      <c r="Q3203" s="14">
        <f>VLOOKUP(B3203, 'All Menu'!B:M, 12, 0)</f>
        <v>0.53143931875978834</v>
      </c>
      <c r="R3203" s="173">
        <f t="shared" si="166"/>
        <v>0</v>
      </c>
    </row>
    <row r="3204" spans="1:18" ht="14" hidden="1">
      <c r="A3204" s="78" t="s">
        <v>2986</v>
      </c>
      <c r="B3204" s="220" t="s">
        <v>899</v>
      </c>
      <c r="C3204" s="185"/>
      <c r="D3204" s="30" t="str">
        <f>VLOOKUP(B3204, 'All Menu'!B:M, 4, 0)</f>
        <v>فتة راس</v>
      </c>
      <c r="E3204" s="30" t="str">
        <f>VLOOKUP(B3204, 'All Menu'!B:M, 2, 0)</f>
        <v>قسم الصواني</v>
      </c>
      <c r="F3204" s="103" t="str">
        <f>VLOOKUP(B3204, 'All Menu'!B:M, 3, 0)</f>
        <v>فتات سفري</v>
      </c>
      <c r="G3204" s="90" t="s">
        <v>3058</v>
      </c>
      <c r="H3204" s="219">
        <v>4274</v>
      </c>
      <c r="I3204" s="110" t="str">
        <f>VLOOKUP(H3204, 'RM &amp; SF'!B:H, 2, 0)</f>
        <v>علب المركزية مطبوع + قاطع رقم 1 1*100 حبة*****</v>
      </c>
      <c r="J3204" s="184" t="str">
        <f>VLOOKUP(H3204, 'RM &amp; SF'!B:E, 4, 0)</f>
        <v>قطعة</v>
      </c>
      <c r="K3204" s="78">
        <v>1</v>
      </c>
      <c r="L3204" s="13">
        <f>VLOOKUP(H3204, 'RM &amp; SF'!B:H, 7, 0)</f>
        <v>0.25</v>
      </c>
      <c r="M3204" s="15">
        <f t="shared" si="167"/>
        <v>0.25</v>
      </c>
      <c r="N3204" s="21" t="s">
        <v>825</v>
      </c>
      <c r="O3204" s="4">
        <f>VLOOKUP(B3204, 'All Menu'!B:L, 6, 0)</f>
        <v>4.3103448275862073</v>
      </c>
      <c r="P3204" s="6">
        <f>VLOOKUP(B3204, 'All Menu'!B:L, 9, 0)</f>
        <v>2.0196581087940162</v>
      </c>
      <c r="Q3204" s="14">
        <f>VLOOKUP(B3204, 'All Menu'!B:M, 12, 0)</f>
        <v>0.53143931875978834</v>
      </c>
      <c r="R3204" s="173">
        <f t="shared" si="166"/>
        <v>0</v>
      </c>
    </row>
    <row r="3205" spans="1:18" ht="14" hidden="1">
      <c r="A3205" s="78" t="s">
        <v>2986</v>
      </c>
      <c r="B3205" s="220" t="s">
        <v>899</v>
      </c>
      <c r="C3205" s="185"/>
      <c r="D3205" s="30" t="str">
        <f>VLOOKUP(B3205, 'All Menu'!B:M, 4, 0)</f>
        <v>فتة راس</v>
      </c>
      <c r="E3205" s="30" t="str">
        <f>VLOOKUP(B3205, 'All Menu'!B:M, 2, 0)</f>
        <v>قسم الصواني</v>
      </c>
      <c r="F3205" s="103" t="str">
        <f>VLOOKUP(B3205, 'All Menu'!B:M, 3, 0)</f>
        <v>فتات سفري</v>
      </c>
      <c r="G3205" s="90" t="s">
        <v>2195</v>
      </c>
      <c r="H3205" s="219">
        <v>4329</v>
      </c>
      <c r="I3205" s="110" t="str">
        <f>VLOOKUP(H3205, 'RM &amp; SF'!B:H, 2, 0)</f>
        <v>ملاعق بلاستيك مع معقم مطبوع 1*500 حبة*****</v>
      </c>
      <c r="J3205" s="184" t="str">
        <f>VLOOKUP(H3205, 'RM &amp; SF'!B:E, 4, 0)</f>
        <v>قطعة</v>
      </c>
      <c r="K3205" s="78">
        <v>1</v>
      </c>
      <c r="L3205" s="13">
        <f>VLOOKUP(H3205, 'RM &amp; SF'!B:H, 7, 0)</f>
        <v>4.7399999999999997E-4</v>
      </c>
      <c r="M3205" s="15">
        <f t="shared" si="167"/>
        <v>4.7399999999999997E-4</v>
      </c>
      <c r="N3205" s="21" t="s">
        <v>825</v>
      </c>
      <c r="O3205" s="4">
        <f>VLOOKUP(B3205, 'All Menu'!B:L, 6, 0)</f>
        <v>4.3103448275862073</v>
      </c>
      <c r="P3205" s="6">
        <f>VLOOKUP(B3205, 'All Menu'!B:L, 9, 0)</f>
        <v>2.0196581087940162</v>
      </c>
      <c r="Q3205" s="14">
        <f>VLOOKUP(B3205, 'All Menu'!B:M, 12, 0)</f>
        <v>0.53143931875978834</v>
      </c>
      <c r="R3205" s="173">
        <f t="shared" si="166"/>
        <v>0</v>
      </c>
    </row>
    <row r="3206" spans="1:18" ht="14" hidden="1">
      <c r="A3206" s="78" t="s">
        <v>2986</v>
      </c>
      <c r="B3206" s="220" t="s">
        <v>899</v>
      </c>
      <c r="C3206" s="185"/>
      <c r="D3206" s="30" t="str">
        <f>VLOOKUP(B3206, 'All Menu'!B:M, 4, 0)</f>
        <v>فتة راس</v>
      </c>
      <c r="E3206" s="30" t="str">
        <f>VLOOKUP(B3206, 'All Menu'!B:M, 2, 0)</f>
        <v>قسم الصواني</v>
      </c>
      <c r="F3206" s="103" t="str">
        <f>VLOOKUP(B3206, 'All Menu'!B:M, 3, 0)</f>
        <v>فتات سفري</v>
      </c>
      <c r="G3206" s="90" t="s">
        <v>2193</v>
      </c>
      <c r="H3206" s="219">
        <v>4309</v>
      </c>
      <c r="I3206" s="110" t="str">
        <f>VLOOKUP(H3206, 'RM &amp; SF'!B:H, 2, 0)</f>
        <v>اكياس بلاستيك مطبوع 55 سم*****</v>
      </c>
      <c r="J3206" s="184" t="str">
        <f>VLOOKUP(H3206, 'RM &amp; SF'!B:E, 4, 0)</f>
        <v>قطعة</v>
      </c>
      <c r="K3206" s="78">
        <v>1</v>
      </c>
      <c r="L3206" s="13">
        <f>VLOOKUP(H3206, 'RM &amp; SF'!B:H, 7, 0)</f>
        <v>5.5172413793103454E-2</v>
      </c>
      <c r="M3206" s="15">
        <f t="shared" si="167"/>
        <v>5.5172413793103454E-2</v>
      </c>
      <c r="N3206" s="21" t="s">
        <v>825</v>
      </c>
      <c r="O3206" s="4">
        <f>VLOOKUP(B3206, 'All Menu'!B:L, 6, 0)</f>
        <v>4.3103448275862073</v>
      </c>
      <c r="P3206" s="6">
        <f>VLOOKUP(B3206, 'All Menu'!B:L, 9, 0)</f>
        <v>2.0196581087940162</v>
      </c>
      <c r="Q3206" s="14">
        <f>VLOOKUP(B3206, 'All Menu'!B:M, 12, 0)</f>
        <v>0.53143931875978834</v>
      </c>
      <c r="R3206" s="173">
        <f t="shared" si="166"/>
        <v>0</v>
      </c>
    </row>
    <row r="3207" spans="1:18" ht="14" hidden="1">
      <c r="A3207" s="78" t="s">
        <v>3106</v>
      </c>
      <c r="B3207" s="220" t="s">
        <v>900</v>
      </c>
      <c r="C3207" s="185"/>
      <c r="D3207" s="30" t="str">
        <f>VLOOKUP(B3207, 'All Menu'!B:M, 4, 0)</f>
        <v>فتة لسانات</v>
      </c>
      <c r="E3207" s="30" t="str">
        <f>VLOOKUP(B3207, 'All Menu'!B:M, 2, 0)</f>
        <v>قسم الصواني</v>
      </c>
      <c r="F3207" s="103" t="str">
        <f>VLOOKUP(B3207, 'All Menu'!B:M, 3, 0)</f>
        <v>فتات سفري</v>
      </c>
      <c r="G3207" s="90" t="s">
        <v>3058</v>
      </c>
      <c r="H3207" s="219">
        <v>4658</v>
      </c>
      <c r="I3207" s="110" t="str">
        <f>VLOOKUP(H3207, 'RM &amp; SF'!B:H, 2, 0)</f>
        <v>لسانات مجمدة استرالي*****</v>
      </c>
      <c r="J3207" s="184" t="str">
        <f>VLOOKUP(H3207, 'RM &amp; SF'!B:E, 4, 0)</f>
        <v>غم</v>
      </c>
      <c r="K3207" s="78">
        <v>2</v>
      </c>
      <c r="L3207" s="13">
        <f>VLOOKUP(H3207, 'RM &amp; SF'!B:H, 7, 0)</f>
        <v>4.2500000000000003E-3</v>
      </c>
      <c r="M3207" s="15">
        <f t="shared" si="167"/>
        <v>8.5000000000000006E-3</v>
      </c>
      <c r="N3207" s="21" t="s">
        <v>825</v>
      </c>
      <c r="O3207" s="4">
        <f>VLOOKUP(B3207, 'All Menu'!B:L, 6, 0)</f>
        <v>4.3103448275862073</v>
      </c>
      <c r="P3207" s="6">
        <f>VLOOKUP(B3207, 'All Menu'!B:L, 9, 0)</f>
        <v>1.1501846754241927</v>
      </c>
      <c r="Q3207" s="14">
        <f>VLOOKUP(B3207, 'All Menu'!B:M, 12, 0)</f>
        <v>0.73315715530158743</v>
      </c>
      <c r="R3207" s="173">
        <f t="shared" si="166"/>
        <v>0</v>
      </c>
    </row>
    <row r="3208" spans="1:18" ht="14" hidden="1">
      <c r="A3208" s="78" t="s">
        <v>3106</v>
      </c>
      <c r="B3208" s="220" t="s">
        <v>900</v>
      </c>
      <c r="C3208" s="185"/>
      <c r="D3208" s="30" t="str">
        <f>VLOOKUP(B3208, 'All Menu'!B:M, 4, 0)</f>
        <v>فتة لسانات</v>
      </c>
      <c r="E3208" s="30" t="str">
        <f>VLOOKUP(B3208, 'All Menu'!B:M, 2, 0)</f>
        <v>قسم الصواني</v>
      </c>
      <c r="F3208" s="103" t="str">
        <f>VLOOKUP(B3208, 'All Menu'!B:M, 3, 0)</f>
        <v>فتات سفري</v>
      </c>
      <c r="G3208" s="90" t="s">
        <v>2344</v>
      </c>
      <c r="H3208" s="219" t="s">
        <v>712</v>
      </c>
      <c r="I3208" s="110" t="str">
        <f>VLOOKUP(H3208, 'RM &amp; SF'!B:H, 2, 0)</f>
        <v>دقة</v>
      </c>
      <c r="J3208" s="184" t="str">
        <f>VLOOKUP(H3208, 'RM &amp; SF'!B:E, 4, 0)</f>
        <v>غم</v>
      </c>
      <c r="K3208" s="78">
        <v>50</v>
      </c>
      <c r="L3208" s="13">
        <f>VLOOKUP(H3208, 'RM &amp; SF'!B:H, 7, 0)</f>
        <v>4.91927380952381E-3</v>
      </c>
      <c r="M3208" s="15">
        <f t="shared" si="167"/>
        <v>0.24596369047619049</v>
      </c>
      <c r="N3208" s="21" t="s">
        <v>825</v>
      </c>
      <c r="O3208" s="4">
        <f>VLOOKUP(B3208, 'All Menu'!B:L, 6, 0)</f>
        <v>4.3103448275862073</v>
      </c>
      <c r="P3208" s="6">
        <f>VLOOKUP(B3208, 'All Menu'!B:L, 9, 0)</f>
        <v>1.1501846754241927</v>
      </c>
      <c r="Q3208" s="14">
        <f>VLOOKUP(B3208, 'All Menu'!B:M, 12, 0)</f>
        <v>0.73315715530158743</v>
      </c>
      <c r="R3208" s="173">
        <f t="shared" si="166"/>
        <v>0</v>
      </c>
    </row>
    <row r="3209" spans="1:18" ht="14" hidden="1">
      <c r="A3209" s="78" t="s">
        <v>3106</v>
      </c>
      <c r="B3209" s="220" t="s">
        <v>900</v>
      </c>
      <c r="C3209" s="185"/>
      <c r="D3209" s="30" t="str">
        <f>VLOOKUP(B3209, 'All Menu'!B:M, 4, 0)</f>
        <v>فتة لسانات</v>
      </c>
      <c r="E3209" s="30" t="str">
        <f>VLOOKUP(B3209, 'All Menu'!B:M, 2, 0)</f>
        <v>قسم الصواني</v>
      </c>
      <c r="F3209" s="103" t="str">
        <f>VLOOKUP(B3209, 'All Menu'!B:M, 3, 0)</f>
        <v>فتات سفري</v>
      </c>
      <c r="G3209" s="90" t="s">
        <v>2330</v>
      </c>
      <c r="H3209" s="219" t="s">
        <v>490</v>
      </c>
      <c r="I3209" s="110" t="str">
        <f>VLOOKUP(H3209, 'RM &amp; SF'!B:H, 2, 0)</f>
        <v>خبز مقلي</v>
      </c>
      <c r="J3209" s="184" t="str">
        <f>VLOOKUP(H3209, 'RM &amp; SF'!B:E, 4, 0)</f>
        <v>غم</v>
      </c>
      <c r="K3209" s="78">
        <v>150</v>
      </c>
      <c r="L3209" s="13">
        <f>VLOOKUP(H3209, 'RM &amp; SF'!B:H, 7, 0)</f>
        <v>2.2857142857142859E-4</v>
      </c>
      <c r="M3209" s="15">
        <f t="shared" si="167"/>
        <v>3.4285714285714287E-2</v>
      </c>
      <c r="N3209" s="21" t="s">
        <v>825</v>
      </c>
      <c r="O3209" s="4">
        <f>VLOOKUP(B3209, 'All Menu'!B:L, 6, 0)</f>
        <v>4.3103448275862073</v>
      </c>
      <c r="P3209" s="6">
        <f>VLOOKUP(B3209, 'All Menu'!B:L, 9, 0)</f>
        <v>1.1501846754241927</v>
      </c>
      <c r="Q3209" s="14">
        <f>VLOOKUP(B3209, 'All Menu'!B:M, 12, 0)</f>
        <v>0.73315715530158743</v>
      </c>
      <c r="R3209" s="173">
        <f t="shared" si="166"/>
        <v>0</v>
      </c>
    </row>
    <row r="3210" spans="1:18" ht="14" hidden="1">
      <c r="A3210" s="78" t="s">
        <v>3106</v>
      </c>
      <c r="B3210" s="220" t="s">
        <v>900</v>
      </c>
      <c r="C3210" s="185"/>
      <c r="D3210" s="30" t="str">
        <f>VLOOKUP(B3210, 'All Menu'!B:M, 4, 0)</f>
        <v>فتة لسانات</v>
      </c>
      <c r="E3210" s="30" t="str">
        <f>VLOOKUP(B3210, 'All Menu'!B:M, 2, 0)</f>
        <v>قسم الصواني</v>
      </c>
      <c r="F3210" s="103" t="str">
        <f>VLOOKUP(B3210, 'All Menu'!B:M, 3, 0)</f>
        <v>فتات سفري</v>
      </c>
      <c r="G3210" s="90" t="s">
        <v>3058</v>
      </c>
      <c r="H3210" s="219">
        <v>4166</v>
      </c>
      <c r="I3210" s="110" t="str">
        <f>VLOOKUP(H3210, 'RM &amp; SF'!B:H, 2, 0)</f>
        <v>طحينية 18 كغ*****</v>
      </c>
      <c r="J3210" s="184" t="str">
        <f>VLOOKUP(H3210, 'RM &amp; SF'!B:E, 4, 0)</f>
        <v>غم</v>
      </c>
      <c r="K3210" s="78">
        <v>30</v>
      </c>
      <c r="L3210" s="13">
        <f>VLOOKUP(H3210, 'RM &amp; SF'!B:H, 7, 0)</f>
        <v>2.0105820105820104E-3</v>
      </c>
      <c r="M3210" s="15">
        <f t="shared" si="167"/>
        <v>6.0317460317460311E-2</v>
      </c>
      <c r="N3210" s="21" t="s">
        <v>825</v>
      </c>
      <c r="O3210" s="4">
        <f>VLOOKUP(B3210, 'All Menu'!B:L, 6, 0)</f>
        <v>4.3103448275862073</v>
      </c>
      <c r="P3210" s="6">
        <f>VLOOKUP(B3210, 'All Menu'!B:L, 9, 0)</f>
        <v>1.1501846754241927</v>
      </c>
      <c r="Q3210" s="14">
        <f>VLOOKUP(B3210, 'All Menu'!B:M, 12, 0)</f>
        <v>0.73315715530158743</v>
      </c>
      <c r="R3210" s="173">
        <f t="shared" ref="R3210:R3273" si="168">C3210*K3210</f>
        <v>0</v>
      </c>
    </row>
    <row r="3211" spans="1:18" ht="14" hidden="1">
      <c r="A3211" s="78" t="s">
        <v>3106</v>
      </c>
      <c r="B3211" s="220" t="s">
        <v>900</v>
      </c>
      <c r="C3211" s="185"/>
      <c r="D3211" s="30" t="str">
        <f>VLOOKUP(B3211, 'All Menu'!B:M, 4, 0)</f>
        <v>فتة لسانات</v>
      </c>
      <c r="E3211" s="30" t="str">
        <f>VLOOKUP(B3211, 'All Menu'!B:M, 2, 0)</f>
        <v>قسم الصواني</v>
      </c>
      <c r="F3211" s="103" t="str">
        <f>VLOOKUP(B3211, 'All Menu'!B:M, 3, 0)</f>
        <v>فتات سفري</v>
      </c>
      <c r="G3211" s="90" t="s">
        <v>2170</v>
      </c>
      <c r="H3211" s="219">
        <v>4552</v>
      </c>
      <c r="I3211" s="110" t="str">
        <f>VLOOKUP(H3211, 'RM &amp; SF'!B:H, 2, 0)</f>
        <v>لبن رايب 5 كغ*****</v>
      </c>
      <c r="J3211" s="184" t="str">
        <f>VLOOKUP(H3211, 'RM &amp; SF'!B:E, 4, 0)</f>
        <v>غم</v>
      </c>
      <c r="K3211" s="78">
        <v>70</v>
      </c>
      <c r="L3211" s="13">
        <f>VLOOKUP(H3211, 'RM &amp; SF'!B:H, 7, 0)</f>
        <v>8.0000000000000004E-4</v>
      </c>
      <c r="M3211" s="15">
        <f t="shared" si="167"/>
        <v>5.6000000000000001E-2</v>
      </c>
      <c r="N3211" s="21" t="s">
        <v>825</v>
      </c>
      <c r="O3211" s="4">
        <f>VLOOKUP(B3211, 'All Menu'!B:L, 6, 0)</f>
        <v>4.3103448275862073</v>
      </c>
      <c r="P3211" s="6">
        <f>VLOOKUP(B3211, 'All Menu'!B:L, 9, 0)</f>
        <v>1.1501846754241927</v>
      </c>
      <c r="Q3211" s="14">
        <f>VLOOKUP(B3211, 'All Menu'!B:M, 12, 0)</f>
        <v>0.73315715530158743</v>
      </c>
      <c r="R3211" s="173">
        <f t="shared" si="168"/>
        <v>0</v>
      </c>
    </row>
    <row r="3212" spans="1:18" ht="15.5" hidden="1">
      <c r="A3212" s="78" t="s">
        <v>3106</v>
      </c>
      <c r="B3212" s="220" t="s">
        <v>900</v>
      </c>
      <c r="C3212" s="185"/>
      <c r="D3212" s="30" t="str">
        <f>VLOOKUP(B3212, 'All Menu'!B:M, 4, 0)</f>
        <v>فتة لسانات</v>
      </c>
      <c r="E3212" s="30" t="str">
        <f>VLOOKUP(B3212, 'All Menu'!B:M, 2, 0)</f>
        <v>قسم الصواني</v>
      </c>
      <c r="F3212" s="103" t="str">
        <f>VLOOKUP(B3212, 'All Menu'!B:M, 3, 0)</f>
        <v>فتات سفري</v>
      </c>
      <c r="G3212" s="90" t="s">
        <v>2321</v>
      </c>
      <c r="H3212" s="67">
        <v>5292</v>
      </c>
      <c r="I3212" s="110" t="str">
        <f>VLOOKUP(H3212, 'RM &amp; SF'!B:H, 2, 0)</f>
        <v>ثوم مقشر*****</v>
      </c>
      <c r="J3212" s="184" t="str">
        <f>VLOOKUP(H3212, 'RM &amp; SF'!B:E, 4, 0)</f>
        <v>غم</v>
      </c>
      <c r="K3212" s="78">
        <v>7</v>
      </c>
      <c r="L3212" s="13">
        <f>VLOOKUP(H3212, 'RM &amp; SF'!B:H, 7, 0)</f>
        <v>4.4999999999999997E-3</v>
      </c>
      <c r="M3212" s="15">
        <f t="shared" si="167"/>
        <v>3.15E-2</v>
      </c>
      <c r="N3212" s="21" t="s">
        <v>825</v>
      </c>
      <c r="O3212" s="4">
        <f>VLOOKUP(B3212, 'All Menu'!B:L, 6, 0)</f>
        <v>4.3103448275862073</v>
      </c>
      <c r="P3212" s="6">
        <f>VLOOKUP(B3212, 'All Menu'!B:L, 9, 0)</f>
        <v>1.1501846754241927</v>
      </c>
      <c r="Q3212" s="14">
        <f>VLOOKUP(B3212, 'All Menu'!B:M, 12, 0)</f>
        <v>0.73315715530158743</v>
      </c>
      <c r="R3212" s="173">
        <f t="shared" si="168"/>
        <v>0</v>
      </c>
    </row>
    <row r="3213" spans="1:18" ht="14" hidden="1">
      <c r="A3213" s="78" t="s">
        <v>3106</v>
      </c>
      <c r="B3213" s="220" t="s">
        <v>900</v>
      </c>
      <c r="C3213" s="185"/>
      <c r="D3213" s="30" t="str">
        <f>VLOOKUP(B3213, 'All Menu'!B:M, 4, 0)</f>
        <v>فتة لسانات</v>
      </c>
      <c r="E3213" s="30" t="str">
        <f>VLOOKUP(B3213, 'All Menu'!B:M, 2, 0)</f>
        <v>قسم الصواني</v>
      </c>
      <c r="F3213" s="103" t="str">
        <f>VLOOKUP(B3213, 'All Menu'!B:M, 3, 0)</f>
        <v>فتات سفري</v>
      </c>
      <c r="G3213" s="90" t="s">
        <v>2231</v>
      </c>
      <c r="H3213" s="219">
        <v>4499</v>
      </c>
      <c r="I3213" s="110" t="str">
        <f>VLOOKUP(H3213, 'RM &amp; SF'!B:H, 2, 0)</f>
        <v>فلفل حار اخضر*****</v>
      </c>
      <c r="J3213" s="184" t="str">
        <f>VLOOKUP(H3213, 'RM &amp; SF'!B:E, 4, 0)</f>
        <v>غم</v>
      </c>
      <c r="K3213" s="78">
        <v>3</v>
      </c>
      <c r="L3213" s="13">
        <f>VLOOKUP(H3213, 'RM &amp; SF'!B:H, 7, 0)</f>
        <v>5.0000000000000001E-4</v>
      </c>
      <c r="M3213" s="15">
        <f t="shared" si="167"/>
        <v>1.5E-3</v>
      </c>
      <c r="N3213" s="21" t="s">
        <v>825</v>
      </c>
      <c r="O3213" s="4">
        <f>VLOOKUP(B3213, 'All Menu'!B:L, 6, 0)</f>
        <v>4.3103448275862073</v>
      </c>
      <c r="P3213" s="6">
        <f>VLOOKUP(B3213, 'All Menu'!B:L, 9, 0)</f>
        <v>1.1501846754241927</v>
      </c>
      <c r="Q3213" s="14">
        <f>VLOOKUP(B3213, 'All Menu'!B:M, 12, 0)</f>
        <v>0.73315715530158743</v>
      </c>
      <c r="R3213" s="173">
        <f t="shared" si="168"/>
        <v>0</v>
      </c>
    </row>
    <row r="3214" spans="1:18" ht="14" hidden="1">
      <c r="A3214" s="78" t="s">
        <v>3106</v>
      </c>
      <c r="B3214" s="220" t="s">
        <v>900</v>
      </c>
      <c r="C3214" s="185"/>
      <c r="D3214" s="30" t="str">
        <f>VLOOKUP(B3214, 'All Menu'!B:M, 4, 0)</f>
        <v>فتة لسانات</v>
      </c>
      <c r="E3214" s="30" t="str">
        <f>VLOOKUP(B3214, 'All Menu'!B:M, 2, 0)</f>
        <v>قسم الصواني</v>
      </c>
      <c r="F3214" s="103" t="str">
        <f>VLOOKUP(B3214, 'All Menu'!B:M, 3, 0)</f>
        <v>فتات سفري</v>
      </c>
      <c r="G3214" s="90" t="s">
        <v>2341</v>
      </c>
      <c r="H3214" s="219" t="s">
        <v>706</v>
      </c>
      <c r="I3214" s="110" t="str">
        <f>VLOOKUP(H3214, 'RM &amp; SF'!B:H, 2, 0)</f>
        <v>لوز مقلي</v>
      </c>
      <c r="J3214" s="184" t="str">
        <f>VLOOKUP(H3214, 'RM &amp; SF'!B:E, 4, 0)</f>
        <v>غم</v>
      </c>
      <c r="K3214" s="78">
        <v>30</v>
      </c>
      <c r="L3214" s="13">
        <f>VLOOKUP(H3214, 'RM &amp; SF'!B:H, 7, 0)</f>
        <v>4.1352327586206888E-3</v>
      </c>
      <c r="M3214" s="15">
        <f t="shared" si="167"/>
        <v>0.12405698275862066</v>
      </c>
      <c r="N3214" s="21" t="s">
        <v>825</v>
      </c>
      <c r="O3214" s="4">
        <f>VLOOKUP(B3214, 'All Menu'!B:L, 6, 0)</f>
        <v>4.3103448275862073</v>
      </c>
      <c r="P3214" s="6">
        <f>VLOOKUP(B3214, 'All Menu'!B:L, 9, 0)</f>
        <v>1.1501846754241927</v>
      </c>
      <c r="Q3214" s="14">
        <f>VLOOKUP(B3214, 'All Menu'!B:M, 12, 0)</f>
        <v>0.73315715530158743</v>
      </c>
      <c r="R3214" s="173">
        <f t="shared" si="168"/>
        <v>0</v>
      </c>
    </row>
    <row r="3215" spans="1:18" ht="14" hidden="1">
      <c r="A3215" s="78" t="s">
        <v>3106</v>
      </c>
      <c r="B3215" s="220" t="s">
        <v>900</v>
      </c>
      <c r="C3215" s="185"/>
      <c r="D3215" s="30" t="str">
        <f>VLOOKUP(B3215, 'All Menu'!B:M, 4, 0)</f>
        <v>فتة لسانات</v>
      </c>
      <c r="E3215" s="30" t="str">
        <f>VLOOKUP(B3215, 'All Menu'!B:M, 2, 0)</f>
        <v>قسم الصواني</v>
      </c>
      <c r="F3215" s="103" t="str">
        <f>VLOOKUP(B3215, 'All Menu'!B:M, 3, 0)</f>
        <v>فتات سفري</v>
      </c>
      <c r="G3215" s="90" t="s">
        <v>2251</v>
      </c>
      <c r="H3215" s="219">
        <v>4544</v>
      </c>
      <c r="I3215" s="110" t="str">
        <f>VLOOKUP(H3215, 'RM &amp; SF'!B:H, 2, 0)</f>
        <v>بقدونس*****</v>
      </c>
      <c r="J3215" s="184" t="str">
        <f>VLOOKUP(H3215, 'RM &amp; SF'!B:E, 4, 0)</f>
        <v>غم</v>
      </c>
      <c r="K3215" s="78">
        <v>25</v>
      </c>
      <c r="L3215" s="13">
        <f>VLOOKUP(H3215, 'RM &amp; SF'!B:H, 7, 0)</f>
        <v>7.5000000000000002E-4</v>
      </c>
      <c r="M3215" s="15">
        <f t="shared" si="167"/>
        <v>1.8749999999999999E-2</v>
      </c>
      <c r="N3215" s="21" t="s">
        <v>825</v>
      </c>
      <c r="O3215" s="4">
        <f>VLOOKUP(B3215, 'All Menu'!B:L, 6, 0)</f>
        <v>4.3103448275862073</v>
      </c>
      <c r="P3215" s="6">
        <f>VLOOKUP(B3215, 'All Menu'!B:L, 9, 0)</f>
        <v>1.1501846754241927</v>
      </c>
      <c r="Q3215" s="14">
        <f>VLOOKUP(B3215, 'All Menu'!B:M, 12, 0)</f>
        <v>0.73315715530158743</v>
      </c>
      <c r="R3215" s="173">
        <f t="shared" si="168"/>
        <v>0</v>
      </c>
    </row>
    <row r="3216" spans="1:18" ht="14" hidden="1">
      <c r="A3216" s="78" t="s">
        <v>3106</v>
      </c>
      <c r="B3216" s="220" t="s">
        <v>900</v>
      </c>
      <c r="C3216" s="185"/>
      <c r="D3216" s="30" t="str">
        <f>VLOOKUP(B3216, 'All Menu'!B:M, 4, 0)</f>
        <v>فتة لسانات</v>
      </c>
      <c r="E3216" s="30" t="str">
        <f>VLOOKUP(B3216, 'All Menu'!B:M, 2, 0)</f>
        <v>قسم الصواني</v>
      </c>
      <c r="F3216" s="103" t="str">
        <f>VLOOKUP(B3216, 'All Menu'!B:M, 3, 0)</f>
        <v>فتات سفري</v>
      </c>
      <c r="G3216" s="90" t="s">
        <v>2203</v>
      </c>
      <c r="H3216" s="219">
        <v>4152</v>
      </c>
      <c r="I3216" s="110" t="str">
        <f>VLOOKUP(H3216, 'RM &amp; SF'!B:H, 2, 0)</f>
        <v>ملح طعام 750غم*****</v>
      </c>
      <c r="J3216" s="184" t="str">
        <f>VLOOKUP(H3216, 'RM &amp; SF'!B:E, 4, 0)</f>
        <v>غم</v>
      </c>
      <c r="K3216" s="78">
        <v>3</v>
      </c>
      <c r="L3216" s="13">
        <f>VLOOKUP(H3216, 'RM &amp; SF'!B:H, 7, 0)</f>
        <v>1.7066666666666665E-4</v>
      </c>
      <c r="M3216" s="15">
        <f t="shared" si="167"/>
        <v>5.1199999999999998E-4</v>
      </c>
      <c r="N3216" s="21" t="s">
        <v>825</v>
      </c>
      <c r="O3216" s="4">
        <f>VLOOKUP(B3216, 'All Menu'!B:L, 6, 0)</f>
        <v>4.3103448275862073</v>
      </c>
      <c r="P3216" s="6">
        <f>VLOOKUP(B3216, 'All Menu'!B:L, 9, 0)</f>
        <v>1.1501846754241927</v>
      </c>
      <c r="Q3216" s="14">
        <f>VLOOKUP(B3216, 'All Menu'!B:M, 12, 0)</f>
        <v>0.73315715530158743</v>
      </c>
      <c r="R3216" s="173">
        <f t="shared" si="168"/>
        <v>0</v>
      </c>
    </row>
    <row r="3217" spans="1:18" ht="14" hidden="1">
      <c r="A3217" s="78" t="s">
        <v>3106</v>
      </c>
      <c r="B3217" s="220" t="s">
        <v>900</v>
      </c>
      <c r="C3217" s="185"/>
      <c r="D3217" s="30" t="str">
        <f>VLOOKUP(B3217, 'All Menu'!B:M, 4, 0)</f>
        <v>فتة لسانات</v>
      </c>
      <c r="E3217" s="30" t="str">
        <f>VLOOKUP(B3217, 'All Menu'!B:M, 2, 0)</f>
        <v>قسم الصواني</v>
      </c>
      <c r="F3217" s="103" t="str">
        <f>VLOOKUP(B3217, 'All Menu'!B:M, 3, 0)</f>
        <v>فتات سفري</v>
      </c>
      <c r="G3217" s="90" t="s">
        <v>2206</v>
      </c>
      <c r="H3217" s="219">
        <v>4204</v>
      </c>
      <c r="I3217" s="110" t="str">
        <f>VLOOKUP(H3217, 'RM &amp; SF'!B:H, 2, 0)</f>
        <v>فلفل اسود ناعم*****</v>
      </c>
      <c r="J3217" s="184" t="str">
        <f>VLOOKUP(H3217, 'RM &amp; SF'!B:E, 4, 0)</f>
        <v>غم</v>
      </c>
      <c r="K3217" s="78">
        <v>2</v>
      </c>
      <c r="L3217" s="13">
        <f>VLOOKUP(H3217, 'RM &amp; SF'!B:H, 7, 0)</f>
        <v>6.8970000000000004E-3</v>
      </c>
      <c r="M3217" s="15">
        <f t="shared" si="167"/>
        <v>1.3794000000000001E-2</v>
      </c>
      <c r="N3217" s="21" t="s">
        <v>825</v>
      </c>
      <c r="O3217" s="4">
        <f>VLOOKUP(B3217, 'All Menu'!B:L, 6, 0)</f>
        <v>4.3103448275862073</v>
      </c>
      <c r="P3217" s="6">
        <f>VLOOKUP(B3217, 'All Menu'!B:L, 9, 0)</f>
        <v>1.1501846754241927</v>
      </c>
      <c r="Q3217" s="14">
        <f>VLOOKUP(B3217, 'All Menu'!B:M, 12, 0)</f>
        <v>0.73315715530158743</v>
      </c>
      <c r="R3217" s="173">
        <f t="shared" si="168"/>
        <v>0</v>
      </c>
    </row>
    <row r="3218" spans="1:18" ht="14" hidden="1">
      <c r="A3218" s="78" t="s">
        <v>3106</v>
      </c>
      <c r="B3218" s="220" t="s">
        <v>900</v>
      </c>
      <c r="C3218" s="185"/>
      <c r="D3218" s="30" t="str">
        <f>VLOOKUP(B3218, 'All Menu'!B:M, 4, 0)</f>
        <v>فتة لسانات</v>
      </c>
      <c r="E3218" s="30" t="str">
        <f>VLOOKUP(B3218, 'All Menu'!B:M, 2, 0)</f>
        <v>قسم الصواني</v>
      </c>
      <c r="F3218" s="103" t="str">
        <f>VLOOKUP(B3218, 'All Menu'!B:M, 3, 0)</f>
        <v>فتات سفري</v>
      </c>
      <c r="G3218" s="90" t="s">
        <v>2180</v>
      </c>
      <c r="H3218" s="219">
        <v>4791</v>
      </c>
      <c r="I3218" s="110" t="str">
        <f>VLOOKUP(H3218, 'RM &amp; SF'!B:H, 2, 0)</f>
        <v>سمنة بلدية 5 كغ*****</v>
      </c>
      <c r="J3218" s="184" t="str">
        <f>VLOOKUP(H3218, 'RM &amp; SF'!B:E, 4, 0)</f>
        <v>غم</v>
      </c>
      <c r="K3218" s="78">
        <v>20</v>
      </c>
      <c r="L3218" s="13">
        <f>VLOOKUP(H3218, 'RM &amp; SF'!B:H, 7, 0)</f>
        <v>8.3330000000000001E-3</v>
      </c>
      <c r="M3218" s="15">
        <f t="shared" si="167"/>
        <v>0.16666</v>
      </c>
      <c r="N3218" s="21" t="s">
        <v>825</v>
      </c>
      <c r="O3218" s="4">
        <f>VLOOKUP(B3218, 'All Menu'!B:L, 6, 0)</f>
        <v>4.3103448275862073</v>
      </c>
      <c r="P3218" s="6">
        <f>VLOOKUP(B3218, 'All Menu'!B:L, 9, 0)</f>
        <v>1.1501846754241927</v>
      </c>
      <c r="Q3218" s="14">
        <f>VLOOKUP(B3218, 'All Menu'!B:M, 12, 0)</f>
        <v>0.73315715530158743</v>
      </c>
      <c r="R3218" s="173">
        <f t="shared" si="168"/>
        <v>0</v>
      </c>
    </row>
    <row r="3219" spans="1:18" ht="14" hidden="1">
      <c r="A3219" s="78" t="s">
        <v>3106</v>
      </c>
      <c r="B3219" s="220" t="s">
        <v>900</v>
      </c>
      <c r="C3219" s="185"/>
      <c r="D3219" s="30" t="str">
        <f>VLOOKUP(B3219, 'All Menu'!B:M, 4, 0)</f>
        <v>فتة لسانات</v>
      </c>
      <c r="E3219" s="30" t="str">
        <f>VLOOKUP(B3219, 'All Menu'!B:M, 2, 0)</f>
        <v>قسم الصواني</v>
      </c>
      <c r="F3219" s="103" t="str">
        <f>VLOOKUP(B3219, 'All Menu'!B:M, 3, 0)</f>
        <v>فتات سفري</v>
      </c>
      <c r="G3219" s="90" t="s">
        <v>2255</v>
      </c>
      <c r="H3219" s="219">
        <v>4573</v>
      </c>
      <c r="I3219" s="110" t="str">
        <f>VLOOKUP(H3219, 'RM &amp; SF'!B:H, 2, 0)</f>
        <v>عصير ليمون طازج 2.5 لتر*****</v>
      </c>
      <c r="J3219" s="184" t="str">
        <f>VLOOKUP(H3219, 'RM &amp; SF'!B:E, 4, 0)</f>
        <v>مل</v>
      </c>
      <c r="K3219" s="78">
        <v>30</v>
      </c>
      <c r="L3219" s="13">
        <f>VLOOKUP(H3219, 'RM &amp; SF'!B:H, 7, 0)</f>
        <v>2.5999999999999999E-3</v>
      </c>
      <c r="M3219" s="15">
        <f t="shared" si="167"/>
        <v>7.8E-2</v>
      </c>
      <c r="N3219" s="21" t="s">
        <v>825</v>
      </c>
      <c r="O3219" s="4">
        <f>VLOOKUP(B3219, 'All Menu'!B:L, 6, 0)</f>
        <v>4.3103448275862073</v>
      </c>
      <c r="P3219" s="6">
        <f>VLOOKUP(B3219, 'All Menu'!B:L, 9, 0)</f>
        <v>1.1501846754241927</v>
      </c>
      <c r="Q3219" s="14">
        <f>VLOOKUP(B3219, 'All Menu'!B:M, 12, 0)</f>
        <v>0.73315715530158743</v>
      </c>
      <c r="R3219" s="173">
        <f t="shared" si="168"/>
        <v>0</v>
      </c>
    </row>
    <row r="3220" spans="1:18" ht="14" hidden="1">
      <c r="A3220" s="78" t="s">
        <v>3106</v>
      </c>
      <c r="B3220" s="220" t="s">
        <v>900</v>
      </c>
      <c r="C3220" s="185"/>
      <c r="D3220" s="30" t="str">
        <f>VLOOKUP(B3220, 'All Menu'!B:M, 4, 0)</f>
        <v>فتة لسانات</v>
      </c>
      <c r="E3220" s="30" t="str">
        <f>VLOOKUP(B3220, 'All Menu'!B:M, 2, 0)</f>
        <v>قسم الصواني</v>
      </c>
      <c r="F3220" s="103" t="str">
        <f>VLOOKUP(B3220, 'All Menu'!B:M, 3, 0)</f>
        <v>فتات سفري</v>
      </c>
      <c r="G3220" s="90" t="s">
        <v>3058</v>
      </c>
      <c r="H3220" s="219">
        <v>4290</v>
      </c>
      <c r="I3220" s="110" t="str">
        <f>VLOOKUP(H3220, 'RM &amp; SF'!B:H, 2, 0)</f>
        <v>علب قصدير مدور اوقية 250 غم RZ 18*****</v>
      </c>
      <c r="J3220" s="184" t="str">
        <f>VLOOKUP(H3220, 'RM &amp; SF'!B:E, 4, 0)</f>
        <v>قطعة</v>
      </c>
      <c r="K3220" s="78">
        <v>1</v>
      </c>
      <c r="L3220" s="13">
        <f>VLOOKUP(H3220, 'RM &amp; SF'!B:H, 7, 0)</f>
        <v>6.0344827586206906E-2</v>
      </c>
      <c r="M3220" s="15">
        <f t="shared" si="167"/>
        <v>6.0344827586206906E-2</v>
      </c>
      <c r="N3220" s="21" t="s">
        <v>825</v>
      </c>
      <c r="O3220" s="4">
        <f>VLOOKUP(B3220, 'All Menu'!B:L, 6, 0)</f>
        <v>4.3103448275862073</v>
      </c>
      <c r="P3220" s="6">
        <f>VLOOKUP(B3220, 'All Menu'!B:L, 9, 0)</f>
        <v>1.1501846754241927</v>
      </c>
      <c r="Q3220" s="14">
        <f>VLOOKUP(B3220, 'All Menu'!B:M, 12, 0)</f>
        <v>0.73315715530158743</v>
      </c>
      <c r="R3220" s="173">
        <f t="shared" si="168"/>
        <v>0</v>
      </c>
    </row>
    <row r="3221" spans="1:18" ht="14" hidden="1">
      <c r="A3221" s="78" t="s">
        <v>3106</v>
      </c>
      <c r="B3221" s="220" t="s">
        <v>900</v>
      </c>
      <c r="C3221" s="185"/>
      <c r="D3221" s="30" t="str">
        <f>VLOOKUP(B3221, 'All Menu'!B:M, 4, 0)</f>
        <v>فتة لسانات</v>
      </c>
      <c r="E3221" s="30" t="str">
        <f>VLOOKUP(B3221, 'All Menu'!B:M, 2, 0)</f>
        <v>قسم الصواني</v>
      </c>
      <c r="F3221" s="103" t="str">
        <f>VLOOKUP(B3221, 'All Menu'!B:M, 3, 0)</f>
        <v>فتات سفري</v>
      </c>
      <c r="G3221" s="90" t="s">
        <v>3058</v>
      </c>
      <c r="H3221" s="219">
        <v>4274</v>
      </c>
      <c r="I3221" s="110" t="str">
        <f>VLOOKUP(H3221, 'RM &amp; SF'!B:H, 2, 0)</f>
        <v>علب المركزية مطبوع + قاطع رقم 1 1*100 حبة*****</v>
      </c>
      <c r="J3221" s="184" t="str">
        <f>VLOOKUP(H3221, 'RM &amp; SF'!B:E, 4, 0)</f>
        <v>قطعة</v>
      </c>
      <c r="K3221" s="78">
        <v>1</v>
      </c>
      <c r="L3221" s="13">
        <f>VLOOKUP(H3221, 'RM &amp; SF'!B:H, 7, 0)</f>
        <v>0.25</v>
      </c>
      <c r="M3221" s="15">
        <f t="shared" si="167"/>
        <v>0.25</v>
      </c>
      <c r="N3221" s="21" t="s">
        <v>825</v>
      </c>
      <c r="O3221" s="4">
        <f>VLOOKUP(B3221, 'All Menu'!B:L, 6, 0)</f>
        <v>4.3103448275862073</v>
      </c>
      <c r="P3221" s="6">
        <f>VLOOKUP(B3221, 'All Menu'!B:L, 9, 0)</f>
        <v>1.1501846754241927</v>
      </c>
      <c r="Q3221" s="14">
        <f>VLOOKUP(B3221, 'All Menu'!B:M, 12, 0)</f>
        <v>0.73315715530158743</v>
      </c>
      <c r="R3221" s="173">
        <f t="shared" si="168"/>
        <v>0</v>
      </c>
    </row>
    <row r="3222" spans="1:18" ht="14" hidden="1">
      <c r="A3222" s="78" t="s">
        <v>2987</v>
      </c>
      <c r="B3222" s="220" t="s">
        <v>916</v>
      </c>
      <c r="C3222" s="185"/>
      <c r="D3222" s="30" t="str">
        <f>VLOOKUP(B3222, 'All Menu'!B:M, 4, 0)</f>
        <v>بيض غنم</v>
      </c>
      <c r="E3222" s="30" t="str">
        <f>VLOOKUP(B3222, 'All Menu'!B:M, 2, 0)</f>
        <v>قسم الصواني</v>
      </c>
      <c r="F3222" s="103" t="str">
        <f>VLOOKUP(B3222, 'All Menu'!B:M, 3, 0)</f>
        <v>صواني وصجيات سفري</v>
      </c>
      <c r="G3222" s="90" t="s">
        <v>3058</v>
      </c>
      <c r="H3222" s="219">
        <v>4764</v>
      </c>
      <c r="I3222" s="110" t="str">
        <f>VLOOKUP(H3222, 'RM &amp; SF'!B:H, 2, 0)</f>
        <v>سقط خروف ني (خصاوي)*****</v>
      </c>
      <c r="J3222" s="184" t="str">
        <f>VLOOKUP(H3222, 'RM &amp; SF'!B:E, 4, 0)</f>
        <v>غم</v>
      </c>
      <c r="K3222" s="78">
        <v>200</v>
      </c>
      <c r="L3222" s="13">
        <f>VLOOKUP(H3222, 'RM &amp; SF'!B:H, 7, 0)</f>
        <v>5.0000000000000001E-3</v>
      </c>
      <c r="M3222" s="15">
        <f t="shared" si="167"/>
        <v>1</v>
      </c>
      <c r="N3222" s="21" t="s">
        <v>825</v>
      </c>
      <c r="O3222" s="4">
        <f>VLOOKUP(B3222, 'All Menu'!B:L, 6, 0)</f>
        <v>3.2327586206896552</v>
      </c>
      <c r="P3222" s="6">
        <f>VLOOKUP(B3222, 'All Menu'!B:L, 9, 0)</f>
        <v>1.5047888275862069</v>
      </c>
      <c r="Q3222" s="14">
        <f>VLOOKUP(B3222, 'All Menu'!B:M, 12, 0)</f>
        <v>0.53451865600000004</v>
      </c>
      <c r="R3222" s="173">
        <f t="shared" si="168"/>
        <v>0</v>
      </c>
    </row>
    <row r="3223" spans="1:18" ht="14" hidden="1">
      <c r="A3223" s="78" t="s">
        <v>2987</v>
      </c>
      <c r="B3223" s="220" t="s">
        <v>916</v>
      </c>
      <c r="C3223" s="185"/>
      <c r="D3223" s="30" t="str">
        <f>VLOOKUP(B3223, 'All Menu'!B:M, 4, 0)</f>
        <v>بيض غنم</v>
      </c>
      <c r="E3223" s="30" t="str">
        <f>VLOOKUP(B3223, 'All Menu'!B:M, 2, 0)</f>
        <v>قسم الصواني</v>
      </c>
      <c r="F3223" s="103" t="str">
        <f>VLOOKUP(B3223, 'All Menu'!B:M, 3, 0)</f>
        <v>صواني وصجيات سفري</v>
      </c>
      <c r="G3223" s="90" t="s">
        <v>2260</v>
      </c>
      <c r="H3223" s="219">
        <v>4160</v>
      </c>
      <c r="I3223" s="110" t="str">
        <f>VLOOKUP(H3223, 'RM &amp; SF'!B:H, 2, 0)</f>
        <v>زيت صويا 18 لتر*****</v>
      </c>
      <c r="J3223" s="184" t="str">
        <f>VLOOKUP(H3223, 'RM &amp; SF'!B:E, 4, 0)</f>
        <v>مل</v>
      </c>
      <c r="K3223" s="78">
        <v>30</v>
      </c>
      <c r="L3223" s="13">
        <f>VLOOKUP(H3223, 'RM &amp; SF'!B:H, 7, 0)</f>
        <v>1.335E-3</v>
      </c>
      <c r="M3223" s="15">
        <f t="shared" si="167"/>
        <v>4.0050000000000002E-2</v>
      </c>
      <c r="N3223" s="21" t="s">
        <v>825</v>
      </c>
      <c r="O3223" s="4">
        <f>VLOOKUP(B3223, 'All Menu'!B:L, 6, 0)</f>
        <v>3.2327586206896552</v>
      </c>
      <c r="P3223" s="6">
        <f>VLOOKUP(B3223, 'All Menu'!B:L, 9, 0)</f>
        <v>1.5047888275862069</v>
      </c>
      <c r="Q3223" s="14">
        <f>VLOOKUP(B3223, 'All Menu'!B:M, 12, 0)</f>
        <v>0.53451865600000004</v>
      </c>
      <c r="R3223" s="173">
        <f t="shared" si="168"/>
        <v>0</v>
      </c>
    </row>
    <row r="3224" spans="1:18" ht="15.5" hidden="1">
      <c r="A3224" s="78" t="s">
        <v>2987</v>
      </c>
      <c r="B3224" s="220" t="s">
        <v>916</v>
      </c>
      <c r="C3224" s="185"/>
      <c r="D3224" s="30" t="str">
        <f>VLOOKUP(B3224, 'All Menu'!B:M, 4, 0)</f>
        <v>بيض غنم</v>
      </c>
      <c r="E3224" s="30" t="str">
        <f>VLOOKUP(B3224, 'All Menu'!B:M, 2, 0)</f>
        <v>قسم الصواني</v>
      </c>
      <c r="F3224" s="103" t="str">
        <f>VLOOKUP(B3224, 'All Menu'!B:M, 3, 0)</f>
        <v>صواني وصجيات سفري</v>
      </c>
      <c r="G3224" s="90" t="s">
        <v>2321</v>
      </c>
      <c r="H3224" s="67">
        <v>5292</v>
      </c>
      <c r="I3224" s="110" t="str">
        <f>VLOOKUP(H3224, 'RM &amp; SF'!B:H, 2, 0)</f>
        <v>ثوم مقشر*****</v>
      </c>
      <c r="J3224" s="184" t="str">
        <f>VLOOKUP(H3224, 'RM &amp; SF'!B:E, 4, 0)</f>
        <v>غم</v>
      </c>
      <c r="K3224" s="78">
        <v>10</v>
      </c>
      <c r="L3224" s="13">
        <f>VLOOKUP(H3224, 'RM &amp; SF'!B:H, 7, 0)</f>
        <v>4.4999999999999997E-3</v>
      </c>
      <c r="M3224" s="15">
        <f t="shared" si="167"/>
        <v>4.4999999999999998E-2</v>
      </c>
      <c r="N3224" s="21" t="s">
        <v>825</v>
      </c>
      <c r="O3224" s="4">
        <f>VLOOKUP(B3224, 'All Menu'!B:L, 6, 0)</f>
        <v>3.2327586206896552</v>
      </c>
      <c r="P3224" s="6">
        <f>VLOOKUP(B3224, 'All Menu'!B:L, 9, 0)</f>
        <v>1.5047888275862069</v>
      </c>
      <c r="Q3224" s="14">
        <f>VLOOKUP(B3224, 'All Menu'!B:M, 12, 0)</f>
        <v>0.53451865600000004</v>
      </c>
      <c r="R3224" s="173">
        <f t="shared" si="168"/>
        <v>0</v>
      </c>
    </row>
    <row r="3225" spans="1:18" ht="14" hidden="1">
      <c r="A3225" s="78" t="s">
        <v>2987</v>
      </c>
      <c r="B3225" s="220" t="s">
        <v>916</v>
      </c>
      <c r="C3225" s="185"/>
      <c r="D3225" s="30" t="str">
        <f>VLOOKUP(B3225, 'All Menu'!B:M, 4, 0)</f>
        <v>بيض غنم</v>
      </c>
      <c r="E3225" s="30" t="str">
        <f>VLOOKUP(B3225, 'All Menu'!B:M, 2, 0)</f>
        <v>قسم الصواني</v>
      </c>
      <c r="F3225" s="103" t="str">
        <f>VLOOKUP(B3225, 'All Menu'!B:M, 3, 0)</f>
        <v>صواني وصجيات سفري</v>
      </c>
      <c r="G3225" s="90" t="s">
        <v>2255</v>
      </c>
      <c r="H3225" s="219">
        <v>4573</v>
      </c>
      <c r="I3225" s="110" t="str">
        <f>VLOOKUP(H3225, 'RM &amp; SF'!B:H, 2, 0)</f>
        <v>عصير ليمون طازج 2.5 لتر*****</v>
      </c>
      <c r="J3225" s="184" t="str">
        <f>VLOOKUP(H3225, 'RM &amp; SF'!B:E, 4, 0)</f>
        <v>مل</v>
      </c>
      <c r="K3225" s="78">
        <v>30</v>
      </c>
      <c r="L3225" s="13">
        <f>VLOOKUP(H3225, 'RM &amp; SF'!B:H, 7, 0)</f>
        <v>2.5999999999999999E-3</v>
      </c>
      <c r="M3225" s="15">
        <f t="shared" si="167"/>
        <v>7.8E-2</v>
      </c>
      <c r="N3225" s="21" t="s">
        <v>825</v>
      </c>
      <c r="O3225" s="4">
        <f>VLOOKUP(B3225, 'All Menu'!B:L, 6, 0)</f>
        <v>3.2327586206896552</v>
      </c>
      <c r="P3225" s="6">
        <f>VLOOKUP(B3225, 'All Menu'!B:L, 9, 0)</f>
        <v>1.5047888275862069</v>
      </c>
      <c r="Q3225" s="14">
        <f>VLOOKUP(B3225, 'All Menu'!B:M, 12, 0)</f>
        <v>0.53451865600000004</v>
      </c>
      <c r="R3225" s="173">
        <f t="shared" si="168"/>
        <v>0</v>
      </c>
    </row>
    <row r="3226" spans="1:18" ht="14" hidden="1">
      <c r="A3226" s="78" t="s">
        <v>2987</v>
      </c>
      <c r="B3226" s="220" t="s">
        <v>916</v>
      </c>
      <c r="C3226" s="185"/>
      <c r="D3226" s="30" t="str">
        <f>VLOOKUP(B3226, 'All Menu'!B:M, 4, 0)</f>
        <v>بيض غنم</v>
      </c>
      <c r="E3226" s="30" t="str">
        <f>VLOOKUP(B3226, 'All Menu'!B:M, 2, 0)</f>
        <v>قسم الصواني</v>
      </c>
      <c r="F3226" s="103" t="str">
        <f>VLOOKUP(B3226, 'All Menu'!B:M, 3, 0)</f>
        <v>صواني وصجيات سفري</v>
      </c>
      <c r="G3226" s="90" t="s">
        <v>2206</v>
      </c>
      <c r="H3226" s="219">
        <v>4204</v>
      </c>
      <c r="I3226" s="110" t="str">
        <f>VLOOKUP(H3226, 'RM &amp; SF'!B:H, 2, 0)</f>
        <v>فلفل اسود ناعم*****</v>
      </c>
      <c r="J3226" s="184" t="str">
        <f>VLOOKUP(H3226, 'RM &amp; SF'!B:E, 4, 0)</f>
        <v>غم</v>
      </c>
      <c r="K3226" s="78">
        <v>2</v>
      </c>
      <c r="L3226" s="13">
        <f>VLOOKUP(H3226, 'RM &amp; SF'!B:H, 7, 0)</f>
        <v>6.8970000000000004E-3</v>
      </c>
      <c r="M3226" s="15">
        <f t="shared" si="167"/>
        <v>1.3794000000000001E-2</v>
      </c>
      <c r="N3226" s="21" t="s">
        <v>825</v>
      </c>
      <c r="O3226" s="4">
        <f>VLOOKUP(B3226, 'All Menu'!B:L, 6, 0)</f>
        <v>3.2327586206896552</v>
      </c>
      <c r="P3226" s="6">
        <f>VLOOKUP(B3226, 'All Menu'!B:L, 9, 0)</f>
        <v>1.5047888275862069</v>
      </c>
      <c r="Q3226" s="14">
        <f>VLOOKUP(B3226, 'All Menu'!B:M, 12, 0)</f>
        <v>0.53451865600000004</v>
      </c>
      <c r="R3226" s="173">
        <f t="shared" si="168"/>
        <v>0</v>
      </c>
    </row>
    <row r="3227" spans="1:18" ht="14" hidden="1">
      <c r="A3227" s="78" t="s">
        <v>2987</v>
      </c>
      <c r="B3227" s="220" t="s">
        <v>916</v>
      </c>
      <c r="C3227" s="185"/>
      <c r="D3227" s="30" t="str">
        <f>VLOOKUP(B3227, 'All Menu'!B:M, 4, 0)</f>
        <v>بيض غنم</v>
      </c>
      <c r="E3227" s="30" t="str">
        <f>VLOOKUP(B3227, 'All Menu'!B:M, 2, 0)</f>
        <v>قسم الصواني</v>
      </c>
      <c r="F3227" s="103" t="str">
        <f>VLOOKUP(B3227, 'All Menu'!B:M, 3, 0)</f>
        <v>صواني وصجيات سفري</v>
      </c>
      <c r="G3227" s="90" t="s">
        <v>3058</v>
      </c>
      <c r="H3227" s="219">
        <v>4290</v>
      </c>
      <c r="I3227" s="110" t="str">
        <f>VLOOKUP(H3227, 'RM &amp; SF'!B:H, 2, 0)</f>
        <v>علب قصدير مدور اوقية 250 غم RZ 18*****</v>
      </c>
      <c r="J3227" s="184" t="str">
        <f>VLOOKUP(H3227, 'RM &amp; SF'!B:E, 4, 0)</f>
        <v>قطعة</v>
      </c>
      <c r="K3227" s="78">
        <v>1</v>
      </c>
      <c r="L3227" s="13">
        <f>VLOOKUP(H3227, 'RM &amp; SF'!B:H, 7, 0)</f>
        <v>6.0344827586206906E-2</v>
      </c>
      <c r="M3227" s="15">
        <f t="shared" si="167"/>
        <v>6.0344827586206906E-2</v>
      </c>
      <c r="N3227" s="21" t="s">
        <v>825</v>
      </c>
      <c r="O3227" s="4">
        <f>VLOOKUP(B3227, 'All Menu'!B:L, 6, 0)</f>
        <v>3.2327586206896552</v>
      </c>
      <c r="P3227" s="6">
        <f>VLOOKUP(B3227, 'All Menu'!B:L, 9, 0)</f>
        <v>1.5047888275862069</v>
      </c>
      <c r="Q3227" s="14">
        <f>VLOOKUP(B3227, 'All Menu'!B:M, 12, 0)</f>
        <v>0.53451865600000004</v>
      </c>
      <c r="R3227" s="173">
        <f t="shared" si="168"/>
        <v>0</v>
      </c>
    </row>
    <row r="3228" spans="1:18" ht="14" hidden="1">
      <c r="A3228" s="78" t="s">
        <v>2987</v>
      </c>
      <c r="B3228" s="220" t="s">
        <v>916</v>
      </c>
      <c r="C3228" s="185"/>
      <c r="D3228" s="30" t="str">
        <f>VLOOKUP(B3228, 'All Menu'!B:M, 4, 0)</f>
        <v>بيض غنم</v>
      </c>
      <c r="E3228" s="30" t="str">
        <f>VLOOKUP(B3228, 'All Menu'!B:M, 2, 0)</f>
        <v>قسم الصواني</v>
      </c>
      <c r="F3228" s="103" t="str">
        <f>VLOOKUP(B3228, 'All Menu'!B:M, 3, 0)</f>
        <v>صواني وصجيات سفري</v>
      </c>
      <c r="G3228" s="90" t="s">
        <v>3058</v>
      </c>
      <c r="H3228" s="219">
        <v>4274</v>
      </c>
      <c r="I3228" s="110" t="str">
        <f>VLOOKUP(H3228, 'RM &amp; SF'!B:H, 2, 0)</f>
        <v>علب المركزية مطبوع + قاطع رقم 1 1*100 حبة*****</v>
      </c>
      <c r="J3228" s="184" t="str">
        <f>VLOOKUP(H3228, 'RM &amp; SF'!B:E, 4, 0)</f>
        <v>قطعة</v>
      </c>
      <c r="K3228" s="78">
        <v>1</v>
      </c>
      <c r="L3228" s="13">
        <f>VLOOKUP(H3228, 'RM &amp; SF'!B:H, 7, 0)</f>
        <v>0.25</v>
      </c>
      <c r="M3228" s="15">
        <f t="shared" si="167"/>
        <v>0.25</v>
      </c>
      <c r="N3228" s="21" t="s">
        <v>825</v>
      </c>
      <c r="O3228" s="4">
        <f>VLOOKUP(B3228, 'All Menu'!B:L, 6, 0)</f>
        <v>3.2327586206896552</v>
      </c>
      <c r="P3228" s="6">
        <f>VLOOKUP(B3228, 'All Menu'!B:L, 9, 0)</f>
        <v>1.5047888275862069</v>
      </c>
      <c r="Q3228" s="14">
        <f>VLOOKUP(B3228, 'All Menu'!B:M, 12, 0)</f>
        <v>0.53451865600000004</v>
      </c>
      <c r="R3228" s="173">
        <f t="shared" si="168"/>
        <v>0</v>
      </c>
    </row>
    <row r="3229" spans="1:18" ht="14" hidden="1">
      <c r="A3229" s="78" t="s">
        <v>2987</v>
      </c>
      <c r="B3229" s="220" t="s">
        <v>916</v>
      </c>
      <c r="C3229" s="185"/>
      <c r="D3229" s="30" t="str">
        <f>VLOOKUP(B3229, 'All Menu'!B:M, 4, 0)</f>
        <v>بيض غنم</v>
      </c>
      <c r="E3229" s="30" t="str">
        <f>VLOOKUP(B3229, 'All Menu'!B:M, 2, 0)</f>
        <v>قسم الصواني</v>
      </c>
      <c r="F3229" s="103" t="str">
        <f>VLOOKUP(B3229, 'All Menu'!B:M, 3, 0)</f>
        <v>صواني وصجيات سفري</v>
      </c>
      <c r="G3229" s="90" t="s">
        <v>2239</v>
      </c>
      <c r="H3229" s="219">
        <v>4513</v>
      </c>
      <c r="I3229" s="110" t="str">
        <f>VLOOKUP(H3229, 'RM &amp; SF'!B:H, 2, 0)</f>
        <v>ليمون اصفر*****</v>
      </c>
      <c r="J3229" s="184" t="str">
        <f>VLOOKUP(H3229, 'RM &amp; SF'!B:E, 4, 0)</f>
        <v>غم</v>
      </c>
      <c r="K3229" s="78">
        <v>10</v>
      </c>
      <c r="L3229" s="13">
        <f>VLOOKUP(H3229, 'RM &amp; SF'!B:H, 7, 0)</f>
        <v>1.75E-3</v>
      </c>
      <c r="M3229" s="15">
        <f t="shared" si="167"/>
        <v>1.7500000000000002E-2</v>
      </c>
      <c r="N3229" s="21" t="s">
        <v>825</v>
      </c>
      <c r="O3229" s="4">
        <f>VLOOKUP(B3229, 'All Menu'!B:L, 6, 0)</f>
        <v>3.2327586206896552</v>
      </c>
      <c r="P3229" s="6">
        <f>VLOOKUP(B3229, 'All Menu'!B:L, 9, 0)</f>
        <v>1.5047888275862069</v>
      </c>
      <c r="Q3229" s="14">
        <f>VLOOKUP(B3229, 'All Menu'!B:M, 12, 0)</f>
        <v>0.53451865600000004</v>
      </c>
      <c r="R3229" s="173">
        <f t="shared" si="168"/>
        <v>0</v>
      </c>
    </row>
    <row r="3230" spans="1:18" ht="14" hidden="1">
      <c r="A3230" s="78" t="s">
        <v>2987</v>
      </c>
      <c r="B3230" s="220" t="s">
        <v>916</v>
      </c>
      <c r="C3230" s="185"/>
      <c r="D3230" s="30" t="str">
        <f>VLOOKUP(B3230, 'All Menu'!B:M, 4, 0)</f>
        <v>بيض غنم</v>
      </c>
      <c r="E3230" s="30" t="str">
        <f>VLOOKUP(B3230, 'All Menu'!B:M, 2, 0)</f>
        <v>قسم الصواني</v>
      </c>
      <c r="F3230" s="103" t="str">
        <f>VLOOKUP(B3230, 'All Menu'!B:M, 3, 0)</f>
        <v>صواني وصجيات سفري</v>
      </c>
      <c r="G3230" s="90" t="s">
        <v>2209</v>
      </c>
      <c r="H3230" s="219">
        <v>4546</v>
      </c>
      <c r="I3230" s="110" t="str">
        <f>VLOOKUP(H3230, 'RM &amp; SF'!B:H, 2, 0)</f>
        <v>كزبرة*****</v>
      </c>
      <c r="J3230" s="184" t="str">
        <f>VLOOKUP(H3230, 'RM &amp; SF'!B:E, 4, 0)</f>
        <v>قطعة</v>
      </c>
      <c r="K3230" s="78">
        <v>0.1</v>
      </c>
      <c r="L3230" s="13">
        <f>VLOOKUP(H3230, 'RM &amp; SF'!B:H, 7, 0)</f>
        <v>1E-3</v>
      </c>
      <c r="M3230" s="15">
        <f t="shared" si="167"/>
        <v>1E-4</v>
      </c>
      <c r="N3230" s="21" t="s">
        <v>825</v>
      </c>
      <c r="O3230" s="4">
        <f>VLOOKUP(B3230, 'All Menu'!B:L, 6, 0)</f>
        <v>3.2327586206896552</v>
      </c>
      <c r="P3230" s="6">
        <f>VLOOKUP(B3230, 'All Menu'!B:L, 9, 0)</f>
        <v>1.5047888275862069</v>
      </c>
      <c r="Q3230" s="14">
        <f>VLOOKUP(B3230, 'All Menu'!B:M, 12, 0)</f>
        <v>0.53451865600000004</v>
      </c>
      <c r="R3230" s="173">
        <f t="shared" si="168"/>
        <v>0</v>
      </c>
    </row>
    <row r="3231" spans="1:18" ht="14" hidden="1">
      <c r="A3231" s="78" t="s">
        <v>2988</v>
      </c>
      <c r="B3231" s="220" t="s">
        <v>921</v>
      </c>
      <c r="C3231" s="185"/>
      <c r="D3231" s="30" t="str">
        <f>VLOOKUP(B3231, 'All Menu'!B:M, 4, 0)</f>
        <v>لسانات مطفية</v>
      </c>
      <c r="E3231" s="30" t="str">
        <f>VLOOKUP(B3231, 'All Menu'!B:M, 2, 0)</f>
        <v>قسم الصواني</v>
      </c>
      <c r="F3231" s="103" t="str">
        <f>VLOOKUP(B3231, 'All Menu'!B:M, 3, 0)</f>
        <v>صواني وصجيات سفري</v>
      </c>
      <c r="G3231" s="90" t="s">
        <v>3058</v>
      </c>
      <c r="H3231" s="219">
        <v>4658</v>
      </c>
      <c r="I3231" s="110" t="str">
        <f>VLOOKUP(H3231, 'RM &amp; SF'!B:H, 2, 0)</f>
        <v>لسانات مجمدة استرالي*****</v>
      </c>
      <c r="J3231" s="184" t="str">
        <f>VLOOKUP(H3231, 'RM &amp; SF'!B:E, 4, 0)</f>
        <v>غم</v>
      </c>
      <c r="K3231" s="78">
        <v>200</v>
      </c>
      <c r="L3231" s="13">
        <f>VLOOKUP(H3231, 'RM &amp; SF'!B:H, 7, 0)</f>
        <v>4.2500000000000003E-3</v>
      </c>
      <c r="M3231" s="15">
        <f t="shared" si="167"/>
        <v>0.85000000000000009</v>
      </c>
      <c r="N3231" s="21" t="s">
        <v>825</v>
      </c>
      <c r="O3231" s="4">
        <f>VLOOKUP(B3231, 'All Menu'!B:L, 6, 0)</f>
        <v>4.3103448275862073</v>
      </c>
      <c r="P3231" s="6">
        <f>VLOOKUP(B3231, 'All Menu'!B:L, 9, 0)</f>
        <v>1.4357331804597702</v>
      </c>
      <c r="Q3231" s="14">
        <f>VLOOKUP(B3231, 'All Menu'!B:M, 12, 0)</f>
        <v>0.66690990213333334</v>
      </c>
      <c r="R3231" s="173">
        <f t="shared" si="168"/>
        <v>0</v>
      </c>
    </row>
    <row r="3232" spans="1:18" ht="14" hidden="1">
      <c r="A3232" s="78" t="s">
        <v>2988</v>
      </c>
      <c r="B3232" s="220" t="s">
        <v>921</v>
      </c>
      <c r="C3232" s="185"/>
      <c r="D3232" s="30" t="str">
        <f>VLOOKUP(B3232, 'All Menu'!B:M, 4, 0)</f>
        <v>لسانات مطفية</v>
      </c>
      <c r="E3232" s="30" t="str">
        <f>VLOOKUP(B3232, 'All Menu'!B:M, 2, 0)</f>
        <v>قسم الصواني</v>
      </c>
      <c r="F3232" s="103" t="str">
        <f>VLOOKUP(B3232, 'All Menu'!B:M, 3, 0)</f>
        <v>صواني وصجيات سفري</v>
      </c>
      <c r="G3232" s="90" t="s">
        <v>2230</v>
      </c>
      <c r="H3232" s="219">
        <v>4497</v>
      </c>
      <c r="I3232" s="110" t="str">
        <f>VLOOKUP(H3232, 'RM &amp; SF'!B:H, 2, 0)</f>
        <v>بطاطا*****</v>
      </c>
      <c r="J3232" s="184" t="str">
        <f>VLOOKUP(H3232, 'RM &amp; SF'!B:E, 4, 0)</f>
        <v>غم</v>
      </c>
      <c r="K3232" s="78">
        <v>50</v>
      </c>
      <c r="L3232" s="13">
        <f>VLOOKUP(H3232, 'RM &amp; SF'!B:H, 7, 0)</f>
        <v>4.0000000000000002E-4</v>
      </c>
      <c r="M3232" s="15">
        <f t="shared" si="167"/>
        <v>0.02</v>
      </c>
      <c r="N3232" s="21" t="s">
        <v>825</v>
      </c>
      <c r="O3232" s="4">
        <f>VLOOKUP(B3232, 'All Menu'!B:L, 6, 0)</f>
        <v>4.3103448275862073</v>
      </c>
      <c r="P3232" s="6">
        <f>VLOOKUP(B3232, 'All Menu'!B:L, 9, 0)</f>
        <v>1.4357331804597702</v>
      </c>
      <c r="Q3232" s="14">
        <f>VLOOKUP(B3232, 'All Menu'!B:M, 12, 0)</f>
        <v>0.66690990213333334</v>
      </c>
      <c r="R3232" s="173">
        <f t="shared" si="168"/>
        <v>0</v>
      </c>
    </row>
    <row r="3233" spans="1:18" ht="14" hidden="1">
      <c r="A3233" s="78" t="s">
        <v>2988</v>
      </c>
      <c r="B3233" s="220" t="s">
        <v>921</v>
      </c>
      <c r="C3233" s="185"/>
      <c r="D3233" s="30" t="str">
        <f>VLOOKUP(B3233, 'All Menu'!B:M, 4, 0)</f>
        <v>لسانات مطفية</v>
      </c>
      <c r="E3233" s="30" t="str">
        <f>VLOOKUP(B3233, 'All Menu'!B:M, 2, 0)</f>
        <v>قسم الصواني</v>
      </c>
      <c r="F3233" s="103" t="str">
        <f>VLOOKUP(B3233, 'All Menu'!B:M, 3, 0)</f>
        <v>صواني وصجيات سفري</v>
      </c>
      <c r="G3233" s="90" t="s">
        <v>2209</v>
      </c>
      <c r="H3233" s="219">
        <v>4546</v>
      </c>
      <c r="I3233" s="110" t="str">
        <f>VLOOKUP(H3233, 'RM &amp; SF'!B:H, 2, 0)</f>
        <v>كزبرة*****</v>
      </c>
      <c r="J3233" s="184" t="str">
        <f>VLOOKUP(H3233, 'RM &amp; SF'!B:E, 4, 0)</f>
        <v>قطعة</v>
      </c>
      <c r="K3233" s="78">
        <v>0.2</v>
      </c>
      <c r="L3233" s="13">
        <f>VLOOKUP(H3233, 'RM &amp; SF'!B:H, 7, 0)</f>
        <v>1E-3</v>
      </c>
      <c r="M3233" s="15">
        <f t="shared" si="167"/>
        <v>2.0000000000000001E-4</v>
      </c>
      <c r="N3233" s="21" t="s">
        <v>825</v>
      </c>
      <c r="O3233" s="4">
        <f>VLOOKUP(B3233, 'All Menu'!B:L, 6, 0)</f>
        <v>4.3103448275862073</v>
      </c>
      <c r="P3233" s="6">
        <f>VLOOKUP(B3233, 'All Menu'!B:L, 9, 0)</f>
        <v>1.4357331804597702</v>
      </c>
      <c r="Q3233" s="14">
        <f>VLOOKUP(B3233, 'All Menu'!B:M, 12, 0)</f>
        <v>0.66690990213333334</v>
      </c>
      <c r="R3233" s="173">
        <f t="shared" si="168"/>
        <v>0</v>
      </c>
    </row>
    <row r="3234" spans="1:18" ht="14" hidden="1">
      <c r="A3234" s="78" t="s">
        <v>2988</v>
      </c>
      <c r="B3234" s="220" t="s">
        <v>921</v>
      </c>
      <c r="C3234" s="185"/>
      <c r="D3234" s="30" t="str">
        <f>VLOOKUP(B3234, 'All Menu'!B:M, 4, 0)</f>
        <v>لسانات مطفية</v>
      </c>
      <c r="E3234" s="30" t="str">
        <f>VLOOKUP(B3234, 'All Menu'!B:M, 2, 0)</f>
        <v>قسم الصواني</v>
      </c>
      <c r="F3234" s="103" t="str">
        <f>VLOOKUP(B3234, 'All Menu'!B:M, 3, 0)</f>
        <v>صواني وصجيات سفري</v>
      </c>
      <c r="G3234" s="90" t="s">
        <v>2446</v>
      </c>
      <c r="H3234" s="219" t="s">
        <v>670</v>
      </c>
      <c r="I3234" s="110" t="str">
        <f>VLOOKUP(H3234, 'RM &amp; SF'!B:H, 2, 0)</f>
        <v xml:space="preserve">صوص مطفى </v>
      </c>
      <c r="J3234" s="184" t="str">
        <f>VLOOKUP(H3234, 'RM &amp; SF'!B:E, 4, 0)</f>
        <v>غم</v>
      </c>
      <c r="K3234" s="78">
        <v>60</v>
      </c>
      <c r="L3234" s="13">
        <f>VLOOKUP(H3234, 'RM &amp; SF'!B:H, 7, 0)</f>
        <v>1.5630349999999999E-3</v>
      </c>
      <c r="M3234" s="15">
        <f t="shared" si="167"/>
        <v>9.3782099999999993E-2</v>
      </c>
      <c r="N3234" s="21" t="s">
        <v>825</v>
      </c>
      <c r="O3234" s="4">
        <f>VLOOKUP(B3234, 'All Menu'!B:L, 6, 0)</f>
        <v>4.3103448275862073</v>
      </c>
      <c r="P3234" s="6">
        <f>VLOOKUP(B3234, 'All Menu'!B:L, 9, 0)</f>
        <v>1.4357331804597702</v>
      </c>
      <c r="Q3234" s="14">
        <f>VLOOKUP(B3234, 'All Menu'!B:M, 12, 0)</f>
        <v>0.66690990213333334</v>
      </c>
      <c r="R3234" s="173">
        <f t="shared" si="168"/>
        <v>0</v>
      </c>
    </row>
    <row r="3235" spans="1:18" ht="14" hidden="1">
      <c r="A3235" s="78" t="s">
        <v>2988</v>
      </c>
      <c r="B3235" s="220" t="s">
        <v>921</v>
      </c>
      <c r="C3235" s="185"/>
      <c r="D3235" s="30" t="str">
        <f>VLOOKUP(B3235, 'All Menu'!B:M, 4, 0)</f>
        <v>لسانات مطفية</v>
      </c>
      <c r="E3235" s="30" t="str">
        <f>VLOOKUP(B3235, 'All Menu'!B:M, 2, 0)</f>
        <v>قسم الصواني</v>
      </c>
      <c r="F3235" s="103" t="str">
        <f>VLOOKUP(B3235, 'All Menu'!B:M, 3, 0)</f>
        <v>صواني وصجيات سفري</v>
      </c>
      <c r="G3235" s="90" t="s">
        <v>2178</v>
      </c>
      <c r="H3235" s="219">
        <v>4623</v>
      </c>
      <c r="I3235" s="110" t="str">
        <f>VLOOKUP(H3235, 'RM &amp; SF'!B:H, 2, 0)</f>
        <v>زبدة مبسترة غير مملحة 1 كغ*****</v>
      </c>
      <c r="J3235" s="184" t="str">
        <f>VLOOKUP(H3235, 'RM &amp; SF'!B:E, 4, 0)</f>
        <v>غم</v>
      </c>
      <c r="K3235" s="78" t="s">
        <v>842</v>
      </c>
      <c r="L3235" s="13">
        <f>VLOOKUP(H3235, 'RM &amp; SF'!B:H, 7, 0)</f>
        <v>2.8839999999999998E-3</v>
      </c>
      <c r="M3235" s="15">
        <f t="shared" si="167"/>
        <v>0.11535999999999999</v>
      </c>
      <c r="N3235" s="21" t="s">
        <v>825</v>
      </c>
      <c r="O3235" s="4">
        <f>VLOOKUP(B3235, 'All Menu'!B:L, 6, 0)</f>
        <v>4.3103448275862073</v>
      </c>
      <c r="P3235" s="6">
        <f>VLOOKUP(B3235, 'All Menu'!B:L, 9, 0)</f>
        <v>1.4357331804597702</v>
      </c>
      <c r="Q3235" s="14">
        <f>VLOOKUP(B3235, 'All Menu'!B:M, 12, 0)</f>
        <v>0.66690990213333334</v>
      </c>
      <c r="R3235" s="173">
        <f t="shared" si="168"/>
        <v>0</v>
      </c>
    </row>
    <row r="3236" spans="1:18" ht="15.5" hidden="1">
      <c r="A3236" s="78" t="s">
        <v>2988</v>
      </c>
      <c r="B3236" s="220" t="s">
        <v>921</v>
      </c>
      <c r="C3236" s="185"/>
      <c r="D3236" s="30" t="str">
        <f>VLOOKUP(B3236, 'All Menu'!B:M, 4, 0)</f>
        <v>لسانات مطفية</v>
      </c>
      <c r="E3236" s="30" t="str">
        <f>VLOOKUP(B3236, 'All Menu'!B:M, 2, 0)</f>
        <v>قسم الصواني</v>
      </c>
      <c r="F3236" s="103" t="str">
        <f>VLOOKUP(B3236, 'All Menu'!B:M, 3, 0)</f>
        <v>صواني وصجيات سفري</v>
      </c>
      <c r="G3236" s="90" t="s">
        <v>2321</v>
      </c>
      <c r="H3236" s="67">
        <v>5292</v>
      </c>
      <c r="I3236" s="110" t="str">
        <f>VLOOKUP(H3236, 'RM &amp; SF'!B:H, 2, 0)</f>
        <v>ثوم مقشر*****</v>
      </c>
      <c r="J3236" s="184" t="str">
        <f>VLOOKUP(H3236, 'RM &amp; SF'!B:E, 4, 0)</f>
        <v>غم</v>
      </c>
      <c r="K3236" s="78">
        <v>5</v>
      </c>
      <c r="L3236" s="13">
        <f>VLOOKUP(H3236, 'RM &amp; SF'!B:H, 7, 0)</f>
        <v>4.4999999999999997E-3</v>
      </c>
      <c r="M3236" s="15">
        <f t="shared" si="167"/>
        <v>2.2499999999999999E-2</v>
      </c>
      <c r="N3236" s="21" t="s">
        <v>825</v>
      </c>
      <c r="O3236" s="4">
        <f>VLOOKUP(B3236, 'All Menu'!B:L, 6, 0)</f>
        <v>4.3103448275862073</v>
      </c>
      <c r="P3236" s="6">
        <f>VLOOKUP(B3236, 'All Menu'!B:L, 9, 0)</f>
        <v>1.4357331804597702</v>
      </c>
      <c r="Q3236" s="14">
        <f>VLOOKUP(B3236, 'All Menu'!B:M, 12, 0)</f>
        <v>0.66690990213333334</v>
      </c>
      <c r="R3236" s="173">
        <f t="shared" si="168"/>
        <v>0</v>
      </c>
    </row>
    <row r="3237" spans="1:18" ht="14" hidden="1">
      <c r="A3237" s="78" t="s">
        <v>2988</v>
      </c>
      <c r="B3237" s="220" t="s">
        <v>921</v>
      </c>
      <c r="C3237" s="185"/>
      <c r="D3237" s="30" t="str">
        <f>VLOOKUP(B3237, 'All Menu'!B:M, 4, 0)</f>
        <v>لسانات مطفية</v>
      </c>
      <c r="E3237" s="30" t="str">
        <f>VLOOKUP(B3237, 'All Menu'!B:M, 2, 0)</f>
        <v>قسم الصواني</v>
      </c>
      <c r="F3237" s="103" t="str">
        <f>VLOOKUP(B3237, 'All Menu'!B:M, 3, 0)</f>
        <v>صواني وصجيات سفري</v>
      </c>
      <c r="G3237" s="90" t="s">
        <v>2203</v>
      </c>
      <c r="H3237" s="219">
        <v>4152</v>
      </c>
      <c r="I3237" s="110" t="str">
        <f>VLOOKUP(H3237, 'RM &amp; SF'!B:H, 2, 0)</f>
        <v>ملح طعام 750غم*****</v>
      </c>
      <c r="J3237" s="184" t="str">
        <f>VLOOKUP(H3237, 'RM &amp; SF'!B:E, 4, 0)</f>
        <v>غم</v>
      </c>
      <c r="K3237" s="78">
        <v>2</v>
      </c>
      <c r="L3237" s="13">
        <f>VLOOKUP(H3237, 'RM &amp; SF'!B:H, 7, 0)</f>
        <v>1.7066666666666665E-4</v>
      </c>
      <c r="M3237" s="15">
        <f t="shared" si="167"/>
        <v>3.413333333333333E-4</v>
      </c>
      <c r="N3237" s="21" t="s">
        <v>825</v>
      </c>
      <c r="O3237" s="4">
        <f>VLOOKUP(B3237, 'All Menu'!B:L, 6, 0)</f>
        <v>4.3103448275862073</v>
      </c>
      <c r="P3237" s="6">
        <f>VLOOKUP(B3237, 'All Menu'!B:L, 9, 0)</f>
        <v>1.4357331804597702</v>
      </c>
      <c r="Q3237" s="14">
        <f>VLOOKUP(B3237, 'All Menu'!B:M, 12, 0)</f>
        <v>0.66690990213333334</v>
      </c>
      <c r="R3237" s="173">
        <f t="shared" si="168"/>
        <v>0</v>
      </c>
    </row>
    <row r="3238" spans="1:18" ht="14" hidden="1">
      <c r="A3238" s="78" t="s">
        <v>2988</v>
      </c>
      <c r="B3238" s="220" t="s">
        <v>921</v>
      </c>
      <c r="C3238" s="185"/>
      <c r="D3238" s="30" t="str">
        <f>VLOOKUP(B3238, 'All Menu'!B:M, 4, 0)</f>
        <v>لسانات مطفية</v>
      </c>
      <c r="E3238" s="30" t="str">
        <f>VLOOKUP(B3238, 'All Menu'!B:M, 2, 0)</f>
        <v>قسم الصواني</v>
      </c>
      <c r="F3238" s="103" t="str">
        <f>VLOOKUP(B3238, 'All Menu'!B:M, 3, 0)</f>
        <v>صواني وصجيات سفري</v>
      </c>
      <c r="G3238" s="90" t="s">
        <v>2206</v>
      </c>
      <c r="H3238" s="219">
        <v>4204</v>
      </c>
      <c r="I3238" s="110" t="str">
        <f>VLOOKUP(H3238, 'RM &amp; SF'!B:H, 2, 0)</f>
        <v>فلفل اسود ناعم*****</v>
      </c>
      <c r="J3238" s="184" t="str">
        <f>VLOOKUP(H3238, 'RM &amp; SF'!B:E, 4, 0)</f>
        <v>غم</v>
      </c>
      <c r="K3238" s="78">
        <v>2</v>
      </c>
      <c r="L3238" s="13">
        <f>VLOOKUP(H3238, 'RM &amp; SF'!B:H, 7, 0)</f>
        <v>6.8970000000000004E-3</v>
      </c>
      <c r="M3238" s="15">
        <f t="shared" si="167"/>
        <v>1.3794000000000001E-2</v>
      </c>
      <c r="N3238" s="21" t="s">
        <v>825</v>
      </c>
      <c r="O3238" s="4">
        <f>VLOOKUP(B3238, 'All Menu'!B:L, 6, 0)</f>
        <v>4.3103448275862073</v>
      </c>
      <c r="P3238" s="6">
        <f>VLOOKUP(B3238, 'All Menu'!B:L, 9, 0)</f>
        <v>1.4357331804597702</v>
      </c>
      <c r="Q3238" s="14">
        <f>VLOOKUP(B3238, 'All Menu'!B:M, 12, 0)</f>
        <v>0.66690990213333334</v>
      </c>
      <c r="R3238" s="173">
        <f t="shared" si="168"/>
        <v>0</v>
      </c>
    </row>
    <row r="3239" spans="1:18" ht="14" hidden="1">
      <c r="A3239" s="78" t="s">
        <v>2988</v>
      </c>
      <c r="B3239" s="220" t="s">
        <v>921</v>
      </c>
      <c r="C3239" s="185"/>
      <c r="D3239" s="30" t="str">
        <f>VLOOKUP(B3239, 'All Menu'!B:M, 4, 0)</f>
        <v>لسانات مطفية</v>
      </c>
      <c r="E3239" s="30" t="str">
        <f>VLOOKUP(B3239, 'All Menu'!B:M, 2, 0)</f>
        <v>قسم الصواني</v>
      </c>
      <c r="F3239" s="103" t="str">
        <f>VLOOKUP(B3239, 'All Menu'!B:M, 3, 0)</f>
        <v>صواني وصجيات سفري</v>
      </c>
      <c r="G3239" s="90" t="s">
        <v>3058</v>
      </c>
      <c r="H3239" s="219">
        <v>4022</v>
      </c>
      <c r="I3239" s="110" t="str">
        <f>VLOOKUP(H3239, 'RM &amp; SF'!B:H, 2, 0)</f>
        <v>مرق الدجاج بودرة 1 كغ*****</v>
      </c>
      <c r="J3239" s="184" t="str">
        <f>VLOOKUP(H3239, 'RM &amp; SF'!B:E, 4, 0)</f>
        <v>غم</v>
      </c>
      <c r="K3239" s="78">
        <v>2</v>
      </c>
      <c r="L3239" s="13">
        <f>VLOOKUP(H3239, 'RM &amp; SF'!B:H, 7, 0)</f>
        <v>4.7054597701149427E-3</v>
      </c>
      <c r="M3239" s="15">
        <f t="shared" si="167"/>
        <v>9.4109195402298854E-3</v>
      </c>
      <c r="N3239" s="21" t="s">
        <v>825</v>
      </c>
      <c r="O3239" s="4">
        <f>VLOOKUP(B3239, 'All Menu'!B:L, 6, 0)</f>
        <v>4.3103448275862073</v>
      </c>
      <c r="P3239" s="6">
        <f>VLOOKUP(B3239, 'All Menu'!B:L, 9, 0)</f>
        <v>1.4357331804597702</v>
      </c>
      <c r="Q3239" s="14">
        <f>VLOOKUP(B3239, 'All Menu'!B:M, 12, 0)</f>
        <v>0.66690990213333334</v>
      </c>
      <c r="R3239" s="173">
        <f t="shared" si="168"/>
        <v>0</v>
      </c>
    </row>
    <row r="3240" spans="1:18" ht="14" hidden="1">
      <c r="A3240" s="78" t="s">
        <v>2988</v>
      </c>
      <c r="B3240" s="220" t="s">
        <v>921</v>
      </c>
      <c r="C3240" s="185"/>
      <c r="D3240" s="30" t="str">
        <f>VLOOKUP(B3240, 'All Menu'!B:M, 4, 0)</f>
        <v>لسانات مطفية</v>
      </c>
      <c r="E3240" s="30" t="str">
        <f>VLOOKUP(B3240, 'All Menu'!B:M, 2, 0)</f>
        <v>قسم الصواني</v>
      </c>
      <c r="F3240" s="103" t="str">
        <f>VLOOKUP(B3240, 'All Menu'!B:M, 3, 0)</f>
        <v>صواني وصجيات سفري</v>
      </c>
      <c r="G3240" s="90" t="s">
        <v>3058</v>
      </c>
      <c r="H3240" s="219">
        <v>4290</v>
      </c>
      <c r="I3240" s="110" t="str">
        <f>VLOOKUP(H3240, 'RM &amp; SF'!B:H, 2, 0)</f>
        <v>علب قصدير مدور اوقية 250 غم RZ 18*****</v>
      </c>
      <c r="J3240" s="184" t="str">
        <f>VLOOKUP(H3240, 'RM &amp; SF'!B:E, 4, 0)</f>
        <v>قطعة</v>
      </c>
      <c r="K3240" s="78">
        <v>1</v>
      </c>
      <c r="L3240" s="13">
        <f>VLOOKUP(H3240, 'RM &amp; SF'!B:H, 7, 0)</f>
        <v>6.0344827586206906E-2</v>
      </c>
      <c r="M3240" s="15">
        <f t="shared" si="167"/>
        <v>6.0344827586206906E-2</v>
      </c>
      <c r="N3240" s="21" t="s">
        <v>825</v>
      </c>
      <c r="O3240" s="4">
        <f>VLOOKUP(B3240, 'All Menu'!B:L, 6, 0)</f>
        <v>4.3103448275862073</v>
      </c>
      <c r="P3240" s="6">
        <f>VLOOKUP(B3240, 'All Menu'!B:L, 9, 0)</f>
        <v>1.4357331804597702</v>
      </c>
      <c r="Q3240" s="14">
        <f>VLOOKUP(B3240, 'All Menu'!B:M, 12, 0)</f>
        <v>0.66690990213333334</v>
      </c>
      <c r="R3240" s="173">
        <f t="shared" si="168"/>
        <v>0</v>
      </c>
    </row>
    <row r="3241" spans="1:18" ht="14" hidden="1">
      <c r="A3241" s="78" t="s">
        <v>2988</v>
      </c>
      <c r="B3241" s="220" t="s">
        <v>921</v>
      </c>
      <c r="C3241" s="185"/>
      <c r="D3241" s="30" t="str">
        <f>VLOOKUP(B3241, 'All Menu'!B:M, 4, 0)</f>
        <v>لسانات مطفية</v>
      </c>
      <c r="E3241" s="30" t="str">
        <f>VLOOKUP(B3241, 'All Menu'!B:M, 2, 0)</f>
        <v>قسم الصواني</v>
      </c>
      <c r="F3241" s="103" t="str">
        <f>VLOOKUP(B3241, 'All Menu'!B:M, 3, 0)</f>
        <v>صواني وصجيات سفري</v>
      </c>
      <c r="G3241" s="90" t="s">
        <v>3058</v>
      </c>
      <c r="H3241" s="219">
        <v>4274</v>
      </c>
      <c r="I3241" s="110" t="str">
        <f>VLOOKUP(H3241, 'RM &amp; SF'!B:H, 2, 0)</f>
        <v>علب المركزية مطبوع + قاطع رقم 1 1*100 حبة*****</v>
      </c>
      <c r="J3241" s="184" t="str">
        <f>VLOOKUP(H3241, 'RM &amp; SF'!B:E, 4, 0)</f>
        <v>قطعة</v>
      </c>
      <c r="K3241" s="78">
        <v>1</v>
      </c>
      <c r="L3241" s="13">
        <f>VLOOKUP(H3241, 'RM &amp; SF'!B:H, 7, 0)</f>
        <v>0.25</v>
      </c>
      <c r="M3241" s="15">
        <f t="shared" si="167"/>
        <v>0.25</v>
      </c>
      <c r="N3241" s="21" t="s">
        <v>825</v>
      </c>
      <c r="O3241" s="4">
        <f>VLOOKUP(B3241, 'All Menu'!B:L, 6, 0)</f>
        <v>4.3103448275862073</v>
      </c>
      <c r="P3241" s="6">
        <f>VLOOKUP(B3241, 'All Menu'!B:L, 9, 0)</f>
        <v>1.4357331804597702</v>
      </c>
      <c r="Q3241" s="14">
        <f>VLOOKUP(B3241, 'All Menu'!B:M, 12, 0)</f>
        <v>0.66690990213333334</v>
      </c>
      <c r="R3241" s="173">
        <f t="shared" si="168"/>
        <v>0</v>
      </c>
    </row>
    <row r="3242" spans="1:18" ht="14" hidden="1">
      <c r="A3242" s="78" t="s">
        <v>2989</v>
      </c>
      <c r="B3242" s="220" t="s">
        <v>1176</v>
      </c>
      <c r="C3242" s="185"/>
      <c r="D3242" s="30" t="str">
        <f>VLOOKUP(B3242, 'All Menu'!B:M, 4, 0)</f>
        <v>وجبة دولمة</v>
      </c>
      <c r="E3242" s="30" t="str">
        <f>VLOOKUP(B3242, 'All Menu'!B:M, 2, 0)</f>
        <v>قسم اللاين</v>
      </c>
      <c r="F3242" s="103" t="str">
        <f>VLOOKUP(B3242, 'All Menu'!B:M, 3, 0)</f>
        <v>الوجبات اليومية سفري</v>
      </c>
      <c r="G3242" s="90" t="s">
        <v>3058</v>
      </c>
      <c r="H3242" s="219">
        <v>4606</v>
      </c>
      <c r="I3242" s="110" t="str">
        <f>VLOOKUP(H3242, 'RM &amp; SF'!B:H, 2, 0)</f>
        <v>أضلاع خروف (قص خروف) مع عظم*****</v>
      </c>
      <c r="J3242" s="184" t="str">
        <f>VLOOKUP(H3242, 'RM &amp; SF'!B:E, 4, 0)</f>
        <v>غم</v>
      </c>
      <c r="K3242" s="78">
        <v>180</v>
      </c>
      <c r="L3242" s="13">
        <f>VLOOKUP(H3242, 'RM &amp; SF'!B:H, 7, 0)</f>
        <v>1.0500000000000001E-2</v>
      </c>
      <c r="M3242" s="15">
        <f t="shared" si="167"/>
        <v>1.8900000000000001</v>
      </c>
      <c r="N3242" s="21" t="s">
        <v>825</v>
      </c>
      <c r="O3242" s="4">
        <f>VLOOKUP(B3242, 'All Menu'!B:L, 6, 0)</f>
        <v>5.6034482758620694</v>
      </c>
      <c r="P3242" s="6">
        <f>VLOOKUP(B3242, 'All Menu'!B:L, 9, 0)</f>
        <v>3.8249750202770043</v>
      </c>
      <c r="Q3242" s="14">
        <f>VLOOKUP(B3242, 'All Menu'!B:M, 12, 0)</f>
        <v>0.31738907330441157</v>
      </c>
      <c r="R3242" s="173">
        <f t="shared" si="168"/>
        <v>0</v>
      </c>
    </row>
    <row r="3243" spans="1:18" ht="14" hidden="1">
      <c r="A3243" s="78" t="s">
        <v>2989</v>
      </c>
      <c r="B3243" s="220" t="s">
        <v>1176</v>
      </c>
      <c r="C3243" s="185"/>
      <c r="D3243" s="30" t="str">
        <f>VLOOKUP(B3243, 'All Menu'!B:M, 4, 0)</f>
        <v>وجبة دولمة</v>
      </c>
      <c r="E3243" s="30" t="str">
        <f>VLOOKUP(B3243, 'All Menu'!B:M, 2, 0)</f>
        <v>قسم اللاين</v>
      </c>
      <c r="F3243" s="103" t="str">
        <f>VLOOKUP(B3243, 'All Menu'!B:M, 3, 0)</f>
        <v>الوجبات اليومية سفري</v>
      </c>
      <c r="G3243" s="90" t="s">
        <v>2381</v>
      </c>
      <c r="H3243" s="219" t="s">
        <v>492</v>
      </c>
      <c r="I3243" s="110" t="str">
        <f>VLOOKUP(H3243, 'RM &amp; SF'!B:H, 2, 0)</f>
        <v>يلنجي بالحبة</v>
      </c>
      <c r="J3243" s="184" t="str">
        <f>VLOOKUP(H3243, 'RM &amp; SF'!B:E, 4, 0)</f>
        <v>قطعة</v>
      </c>
      <c r="K3243" s="78">
        <v>15</v>
      </c>
      <c r="L3243" s="13">
        <f>VLOOKUP(H3243, 'RM &amp; SF'!B:H, 7, 0)</f>
        <v>3.3316857762056666E-2</v>
      </c>
      <c r="M3243" s="15">
        <f t="shared" si="167"/>
        <v>0.49975286643084998</v>
      </c>
      <c r="N3243" s="21" t="s">
        <v>825</v>
      </c>
      <c r="O3243" s="4">
        <f>VLOOKUP(B3243, 'All Menu'!B:L, 6, 0)</f>
        <v>5.6034482758620694</v>
      </c>
      <c r="P3243" s="6">
        <f>VLOOKUP(B3243, 'All Menu'!B:L, 9, 0)</f>
        <v>3.8249750202770043</v>
      </c>
      <c r="Q3243" s="14">
        <f>VLOOKUP(B3243, 'All Menu'!B:M, 12, 0)</f>
        <v>0.31738907330441157</v>
      </c>
      <c r="R3243" s="173">
        <f t="shared" si="168"/>
        <v>0</v>
      </c>
    </row>
    <row r="3244" spans="1:18" ht="14" hidden="1">
      <c r="A3244" s="78" t="s">
        <v>2989</v>
      </c>
      <c r="B3244" s="220" t="s">
        <v>1176</v>
      </c>
      <c r="C3244" s="185"/>
      <c r="D3244" s="30" t="str">
        <f>VLOOKUP(B3244, 'All Menu'!B:M, 4, 0)</f>
        <v>وجبة دولمة</v>
      </c>
      <c r="E3244" s="30" t="str">
        <f>VLOOKUP(B3244, 'All Menu'!B:M, 2, 0)</f>
        <v>قسم اللاين</v>
      </c>
      <c r="F3244" s="103" t="str">
        <f>VLOOKUP(B3244, 'All Menu'!B:M, 3, 0)</f>
        <v>الوجبات اليومية سفري</v>
      </c>
      <c r="G3244" s="90" t="s">
        <v>2435</v>
      </c>
      <c r="H3244" s="219" t="s">
        <v>690</v>
      </c>
      <c r="I3244" s="110" t="str">
        <f>VLOOKUP(H3244, 'RM &amp; SF'!B:H, 2, 0)</f>
        <v>كوسا محشي بالحبة</v>
      </c>
      <c r="J3244" s="184" t="str">
        <f>VLOOKUP(H3244, 'RM &amp; SF'!B:E, 4, 0)</f>
        <v>قطعة</v>
      </c>
      <c r="K3244" s="78">
        <v>2</v>
      </c>
      <c r="L3244" s="13">
        <f>VLOOKUP(H3244, 'RM &amp; SF'!B:H, 7, 0)</f>
        <v>0.20580553846153843</v>
      </c>
      <c r="M3244" s="15">
        <f t="shared" si="167"/>
        <v>0.41161107692307686</v>
      </c>
      <c r="N3244" s="21" t="s">
        <v>825</v>
      </c>
      <c r="O3244" s="4">
        <f>VLOOKUP(B3244, 'All Menu'!B:L, 6, 0)</f>
        <v>5.6034482758620694</v>
      </c>
      <c r="P3244" s="6">
        <f>VLOOKUP(B3244, 'All Menu'!B:L, 9, 0)</f>
        <v>3.8249750202770043</v>
      </c>
      <c r="Q3244" s="14">
        <f>VLOOKUP(B3244, 'All Menu'!B:M, 12, 0)</f>
        <v>0.31738907330441157</v>
      </c>
      <c r="R3244" s="173">
        <f t="shared" si="168"/>
        <v>0</v>
      </c>
    </row>
    <row r="3245" spans="1:18" ht="14" hidden="1">
      <c r="A3245" s="78" t="s">
        <v>2989</v>
      </c>
      <c r="B3245" s="220" t="s">
        <v>1176</v>
      </c>
      <c r="C3245" s="185"/>
      <c r="D3245" s="30" t="str">
        <f>VLOOKUP(B3245, 'All Menu'!B:M, 4, 0)</f>
        <v>وجبة دولمة</v>
      </c>
      <c r="E3245" s="30" t="str">
        <f>VLOOKUP(B3245, 'All Menu'!B:M, 2, 0)</f>
        <v>قسم اللاين</v>
      </c>
      <c r="F3245" s="103" t="str">
        <f>VLOOKUP(B3245, 'All Menu'!B:M, 3, 0)</f>
        <v>الوجبات اليومية سفري</v>
      </c>
      <c r="G3245" s="90" t="s">
        <v>2436</v>
      </c>
      <c r="H3245" s="219" t="s">
        <v>692</v>
      </c>
      <c r="I3245" s="110" t="str">
        <f>VLOOKUP(H3245, 'RM &amp; SF'!B:H, 2, 0)</f>
        <v xml:space="preserve">باذنجان محشي </v>
      </c>
      <c r="J3245" s="184" t="str">
        <f>VLOOKUP(H3245, 'RM &amp; SF'!B:E, 4, 0)</f>
        <v>قطعة</v>
      </c>
      <c r="K3245" s="78">
        <v>2</v>
      </c>
      <c r="L3245" s="13">
        <f>VLOOKUP(H3245, 'RM &amp; SF'!B:H, 7, 0)</f>
        <v>9.8091661538461536E-2</v>
      </c>
      <c r="M3245" s="15">
        <f t="shared" si="167"/>
        <v>0.19618332307692307</v>
      </c>
      <c r="N3245" s="21" t="s">
        <v>825</v>
      </c>
      <c r="O3245" s="4">
        <f>VLOOKUP(B3245, 'All Menu'!B:L, 6, 0)</f>
        <v>5.6034482758620694</v>
      </c>
      <c r="P3245" s="6">
        <f>VLOOKUP(B3245, 'All Menu'!B:L, 9, 0)</f>
        <v>3.8249750202770043</v>
      </c>
      <c r="Q3245" s="14">
        <f>VLOOKUP(B3245, 'All Menu'!B:M, 12, 0)</f>
        <v>0.31738907330441157</v>
      </c>
      <c r="R3245" s="173">
        <f t="shared" si="168"/>
        <v>0</v>
      </c>
    </row>
    <row r="3246" spans="1:18" ht="14" hidden="1">
      <c r="A3246" s="78" t="s">
        <v>2989</v>
      </c>
      <c r="B3246" s="220" t="s">
        <v>1176</v>
      </c>
      <c r="C3246" s="185"/>
      <c r="D3246" s="30" t="str">
        <f>VLOOKUP(B3246, 'All Menu'!B:M, 4, 0)</f>
        <v>وجبة دولمة</v>
      </c>
      <c r="E3246" s="30" t="str">
        <f>VLOOKUP(B3246, 'All Menu'!B:M, 2, 0)</f>
        <v>قسم اللاين</v>
      </c>
      <c r="F3246" s="103" t="str">
        <f>VLOOKUP(B3246, 'All Menu'!B:M, 3, 0)</f>
        <v>الوجبات اليومية سفري</v>
      </c>
      <c r="G3246" s="90" t="s">
        <v>2332</v>
      </c>
      <c r="H3246" s="219" t="s">
        <v>644</v>
      </c>
      <c r="I3246" s="110" t="str">
        <f>VLOOKUP(H3246, 'RM &amp; SF'!B:H, 2, 0)</f>
        <v xml:space="preserve">حشوة ورق العنب </v>
      </c>
      <c r="J3246" s="184" t="str">
        <f>VLOOKUP(H3246, 'RM &amp; SF'!B:E, 4, 0)</f>
        <v>غم</v>
      </c>
      <c r="K3246" s="78">
        <v>70</v>
      </c>
      <c r="L3246" s="13">
        <f>VLOOKUP(H3246, 'RM &amp; SF'!B:H, 7, 0)</f>
        <v>3.2061107692307688E-3</v>
      </c>
      <c r="M3246" s="15">
        <f t="shared" si="167"/>
        <v>0.22442775384615382</v>
      </c>
      <c r="N3246" s="21" t="s">
        <v>825</v>
      </c>
      <c r="O3246" s="4">
        <f>VLOOKUP(B3246, 'All Menu'!B:L, 6, 0)</f>
        <v>5.6034482758620694</v>
      </c>
      <c r="P3246" s="6">
        <f>VLOOKUP(B3246, 'All Menu'!B:L, 9, 0)</f>
        <v>3.8249750202770043</v>
      </c>
      <c r="Q3246" s="14">
        <f>VLOOKUP(B3246, 'All Menu'!B:M, 12, 0)</f>
        <v>0.31738907330441157</v>
      </c>
      <c r="R3246" s="173">
        <f t="shared" si="168"/>
        <v>0</v>
      </c>
    </row>
    <row r="3247" spans="1:18" ht="14" hidden="1">
      <c r="A3247" s="78" t="s">
        <v>2989</v>
      </c>
      <c r="B3247" s="220" t="s">
        <v>1176</v>
      </c>
      <c r="C3247" s="185"/>
      <c r="D3247" s="30" t="str">
        <f>VLOOKUP(B3247, 'All Menu'!B:M, 4, 0)</f>
        <v>وجبة دولمة</v>
      </c>
      <c r="E3247" s="30" t="str">
        <f>VLOOKUP(B3247, 'All Menu'!B:M, 2, 0)</f>
        <v>قسم اللاين</v>
      </c>
      <c r="F3247" s="103" t="str">
        <f>VLOOKUP(B3247, 'All Menu'!B:M, 3, 0)</f>
        <v>الوجبات اليومية سفري</v>
      </c>
      <c r="G3247" s="90" t="s">
        <v>2202</v>
      </c>
      <c r="H3247" s="219">
        <v>4930</v>
      </c>
      <c r="I3247" s="110" t="str">
        <f>VLOOKUP(H3247, 'RM &amp; SF'!B:H, 2, 0)</f>
        <v>طنجرة المنيوم مع غطاء 25 سم*10 سم (رقم 2)*****</v>
      </c>
      <c r="J3247" s="184" t="str">
        <f>VLOOKUP(H3247, 'RM &amp; SF'!B:E, 4, 0)</f>
        <v>قطعة</v>
      </c>
      <c r="K3247" s="78">
        <v>1</v>
      </c>
      <c r="L3247" s="13">
        <f>VLOOKUP(H3247, 'RM &amp; SF'!B:H, 7, 0)</f>
        <v>0.60299999999999998</v>
      </c>
      <c r="M3247" s="15">
        <f t="shared" si="167"/>
        <v>0.60299999999999998</v>
      </c>
      <c r="N3247" s="21" t="s">
        <v>825</v>
      </c>
      <c r="O3247" s="4">
        <f>VLOOKUP(B3247, 'All Menu'!B:L, 6, 0)</f>
        <v>5.6034482758620694</v>
      </c>
      <c r="P3247" s="6">
        <f>VLOOKUP(B3247, 'All Menu'!B:L, 9, 0)</f>
        <v>3.8249750202770043</v>
      </c>
      <c r="Q3247" s="14">
        <f>VLOOKUP(B3247, 'All Menu'!B:M, 12, 0)</f>
        <v>0.31738907330441157</v>
      </c>
      <c r="R3247" s="173">
        <f t="shared" si="168"/>
        <v>0</v>
      </c>
    </row>
    <row r="3248" spans="1:18" ht="14" hidden="1">
      <c r="A3248" s="78" t="s">
        <v>2990</v>
      </c>
      <c r="B3248" s="220" t="s">
        <v>1195</v>
      </c>
      <c r="C3248" s="185"/>
      <c r="D3248" s="30" t="str">
        <f>VLOOKUP(B3248, 'All Menu'!B:M, 4, 0)</f>
        <v>وجبة ملفوف صغير</v>
      </c>
      <c r="E3248" s="30" t="str">
        <f>VLOOKUP(B3248, 'All Menu'!B:M, 2, 0)</f>
        <v>قسم اللاين</v>
      </c>
      <c r="F3248" s="103" t="str">
        <f>VLOOKUP(B3248, 'All Menu'!B:M, 3, 0)</f>
        <v>الوجبات اليومية سفري2</v>
      </c>
      <c r="G3248" s="90" t="s">
        <v>2339</v>
      </c>
      <c r="H3248" s="219" t="s">
        <v>700</v>
      </c>
      <c r="I3248" s="110" t="str">
        <f>VLOOKUP(H3248, 'RM &amp; SF'!B:H, 2, 0)</f>
        <v>حبة ملفوف</v>
      </c>
      <c r="J3248" s="184" t="str">
        <f>VLOOKUP(H3248, 'RM &amp; SF'!B:E, 4, 0)</f>
        <v>قطعة</v>
      </c>
      <c r="K3248" s="78">
        <v>25</v>
      </c>
      <c r="L3248" s="13">
        <f>VLOOKUP(H3248, 'RM &amp; SF'!B:H, 7, 0)</f>
        <v>4.8670005252525246E-2</v>
      </c>
      <c r="M3248" s="15">
        <f t="shared" si="167"/>
        <v>1.2167501313131313</v>
      </c>
      <c r="N3248" s="21" t="s">
        <v>825</v>
      </c>
      <c r="O3248" s="4">
        <f>VLOOKUP(B3248, 'All Menu'!B:L, 6, 0)</f>
        <v>3.4482758620689657</v>
      </c>
      <c r="P3248" s="6">
        <f>VLOOKUP(B3248, 'All Menu'!B:L, 9, 0)</f>
        <v>1.9797501313131312</v>
      </c>
      <c r="Q3248" s="14">
        <f>VLOOKUP(B3248, 'All Menu'!B:M, 12, 0)</f>
        <v>0.42587246191919198</v>
      </c>
      <c r="R3248" s="173">
        <f t="shared" si="168"/>
        <v>0</v>
      </c>
    </row>
    <row r="3249" spans="1:18" ht="14" hidden="1">
      <c r="A3249" s="78" t="s">
        <v>2990</v>
      </c>
      <c r="B3249" s="220" t="s">
        <v>1195</v>
      </c>
      <c r="C3249" s="185"/>
      <c r="D3249" s="30" t="str">
        <f>VLOOKUP(B3249, 'All Menu'!B:M, 4, 0)</f>
        <v>وجبة ملفوف صغير</v>
      </c>
      <c r="E3249" s="30" t="str">
        <f>VLOOKUP(B3249, 'All Menu'!B:M, 2, 0)</f>
        <v>قسم اللاين</v>
      </c>
      <c r="F3249" s="103" t="str">
        <f>VLOOKUP(B3249, 'All Menu'!B:M, 3, 0)</f>
        <v>الوجبات اليومية سفري2</v>
      </c>
      <c r="G3249" s="90" t="s">
        <v>2185</v>
      </c>
      <c r="H3249" s="219">
        <v>4550</v>
      </c>
      <c r="I3249" s="110" t="str">
        <f>VLOOKUP(H3249, 'RM &amp; SF'!B:H, 2, 0)</f>
        <v>*****لبن زبادي 150 غم</v>
      </c>
      <c r="J3249" s="184" t="str">
        <f>VLOOKUP(H3249, 'RM &amp; SF'!B:E, 4, 0)</f>
        <v>قطعة</v>
      </c>
      <c r="K3249" s="78">
        <v>1</v>
      </c>
      <c r="L3249" s="13">
        <f>VLOOKUP(H3249, 'RM &amp; SF'!B:H, 7, 0)</f>
        <v>0.16</v>
      </c>
      <c r="M3249" s="15">
        <f t="shared" si="167"/>
        <v>0.16</v>
      </c>
      <c r="N3249" s="21" t="s">
        <v>825</v>
      </c>
      <c r="O3249" s="4">
        <f>VLOOKUP(B3249, 'All Menu'!B:L, 6, 0)</f>
        <v>3.4482758620689657</v>
      </c>
      <c r="P3249" s="6">
        <f>VLOOKUP(B3249, 'All Menu'!B:L, 9, 0)</f>
        <v>1.9797501313131312</v>
      </c>
      <c r="Q3249" s="14">
        <f>VLOOKUP(B3249, 'All Menu'!B:M, 12, 0)</f>
        <v>0.42587246191919198</v>
      </c>
      <c r="R3249" s="173">
        <f t="shared" si="168"/>
        <v>0</v>
      </c>
    </row>
    <row r="3250" spans="1:18" ht="14" hidden="1">
      <c r="A3250" s="78" t="s">
        <v>2990</v>
      </c>
      <c r="B3250" s="220" t="s">
        <v>1195</v>
      </c>
      <c r="C3250" s="185"/>
      <c r="D3250" s="30" t="str">
        <f>VLOOKUP(B3250, 'All Menu'!B:M, 4, 0)</f>
        <v>وجبة ملفوف صغير</v>
      </c>
      <c r="E3250" s="30" t="str">
        <f>VLOOKUP(B3250, 'All Menu'!B:M, 2, 0)</f>
        <v>قسم اللاين</v>
      </c>
      <c r="F3250" s="103" t="str">
        <f>VLOOKUP(B3250, 'All Menu'!B:M, 3, 0)</f>
        <v>الوجبات اليومية سفري2</v>
      </c>
      <c r="G3250" s="90" t="s">
        <v>2202</v>
      </c>
      <c r="H3250" s="219">
        <v>4930</v>
      </c>
      <c r="I3250" s="110" t="str">
        <f>VLOOKUP(H3250, 'RM &amp; SF'!B:H, 2, 0)</f>
        <v>طنجرة المنيوم مع غطاء 25 سم*10 سم (رقم 2)*****</v>
      </c>
      <c r="J3250" s="184" t="str">
        <f>VLOOKUP(H3250, 'RM &amp; SF'!B:E, 4, 0)</f>
        <v>قطعة</v>
      </c>
      <c r="K3250" s="78">
        <v>1</v>
      </c>
      <c r="L3250" s="13">
        <f>VLOOKUP(H3250, 'RM &amp; SF'!B:H, 7, 0)</f>
        <v>0.60299999999999998</v>
      </c>
      <c r="M3250" s="15">
        <f t="shared" si="167"/>
        <v>0.60299999999999998</v>
      </c>
      <c r="N3250" s="21" t="s">
        <v>825</v>
      </c>
      <c r="O3250" s="4">
        <f>VLOOKUP(B3250, 'All Menu'!B:L, 6, 0)</f>
        <v>3.4482758620689657</v>
      </c>
      <c r="P3250" s="6">
        <f>VLOOKUP(B3250, 'All Menu'!B:L, 9, 0)</f>
        <v>1.9797501313131312</v>
      </c>
      <c r="Q3250" s="14">
        <f>VLOOKUP(B3250, 'All Menu'!B:M, 12, 0)</f>
        <v>0.42587246191919198</v>
      </c>
      <c r="R3250" s="173">
        <f t="shared" si="168"/>
        <v>0</v>
      </c>
    </row>
    <row r="3251" spans="1:18" ht="14" hidden="1">
      <c r="A3251" s="78" t="s">
        <v>2991</v>
      </c>
      <c r="B3251" s="220" t="s">
        <v>1196</v>
      </c>
      <c r="C3251" s="185"/>
      <c r="D3251" s="30" t="str">
        <f>VLOOKUP(B3251, 'All Menu'!B:M, 4, 0)</f>
        <v>وجبة ملفوف وسط</v>
      </c>
      <c r="E3251" s="30" t="str">
        <f>VLOOKUP(B3251, 'All Menu'!B:M, 2, 0)</f>
        <v>قسم اللاين</v>
      </c>
      <c r="F3251" s="103" t="str">
        <f>VLOOKUP(B3251, 'All Menu'!B:M, 3, 0)</f>
        <v>الوجبات اليومية سفري2</v>
      </c>
      <c r="G3251" s="90" t="s">
        <v>2339</v>
      </c>
      <c r="H3251" s="219" t="s">
        <v>700</v>
      </c>
      <c r="I3251" s="110" t="str">
        <f>VLOOKUP(H3251, 'RM &amp; SF'!B:H, 2, 0)</f>
        <v>حبة ملفوف</v>
      </c>
      <c r="J3251" s="184" t="str">
        <f>VLOOKUP(H3251, 'RM &amp; SF'!B:E, 4, 0)</f>
        <v>قطعة</v>
      </c>
      <c r="K3251" s="78">
        <v>50</v>
      </c>
      <c r="L3251" s="13">
        <f>VLOOKUP(H3251, 'RM &amp; SF'!B:H, 7, 0)</f>
        <v>4.8670005252525246E-2</v>
      </c>
      <c r="M3251" s="15">
        <f t="shared" si="167"/>
        <v>2.4335002626262625</v>
      </c>
      <c r="N3251" s="21" t="s">
        <v>825</v>
      </c>
      <c r="O3251" s="4">
        <f>VLOOKUP(B3251, 'All Menu'!B:L, 6, 0)</f>
        <v>6.4655172413793105</v>
      </c>
      <c r="P3251" s="6">
        <f>VLOOKUP(B3251, 'All Menu'!B:L, 9, 0)</f>
        <v>3.1965002626262624</v>
      </c>
      <c r="Q3251" s="14">
        <f>VLOOKUP(B3251, 'All Menu'!B:M, 12, 0)</f>
        <v>0.50560795938047143</v>
      </c>
      <c r="R3251" s="173">
        <f t="shared" si="168"/>
        <v>0</v>
      </c>
    </row>
    <row r="3252" spans="1:18" ht="14" hidden="1">
      <c r="A3252" s="78" t="s">
        <v>2991</v>
      </c>
      <c r="B3252" s="220" t="s">
        <v>1196</v>
      </c>
      <c r="C3252" s="185"/>
      <c r="D3252" s="30" t="str">
        <f>VLOOKUP(B3252, 'All Menu'!B:M, 4, 0)</f>
        <v>وجبة ملفوف وسط</v>
      </c>
      <c r="E3252" s="30" t="str">
        <f>VLOOKUP(B3252, 'All Menu'!B:M, 2, 0)</f>
        <v>قسم اللاين</v>
      </c>
      <c r="F3252" s="103" t="str">
        <f>VLOOKUP(B3252, 'All Menu'!B:M, 3, 0)</f>
        <v>الوجبات اليومية سفري2</v>
      </c>
      <c r="G3252" s="90" t="s">
        <v>2185</v>
      </c>
      <c r="H3252" s="219">
        <v>4550</v>
      </c>
      <c r="I3252" s="110" t="str">
        <f>VLOOKUP(H3252, 'RM &amp; SF'!B:H, 2, 0)</f>
        <v>*****لبن زبادي 150 غم</v>
      </c>
      <c r="J3252" s="184" t="str">
        <f>VLOOKUP(H3252, 'RM &amp; SF'!B:E, 4, 0)</f>
        <v>قطعة</v>
      </c>
      <c r="K3252" s="78">
        <v>1</v>
      </c>
      <c r="L3252" s="13">
        <f>VLOOKUP(H3252, 'RM &amp; SF'!B:H, 7, 0)</f>
        <v>0.16</v>
      </c>
      <c r="M3252" s="15">
        <f t="shared" si="167"/>
        <v>0.16</v>
      </c>
      <c r="N3252" s="21" t="s">
        <v>825</v>
      </c>
      <c r="O3252" s="4">
        <f>VLOOKUP(B3252, 'All Menu'!B:L, 6, 0)</f>
        <v>6.4655172413793105</v>
      </c>
      <c r="P3252" s="6">
        <f>VLOOKUP(B3252, 'All Menu'!B:L, 9, 0)</f>
        <v>3.1965002626262624</v>
      </c>
      <c r="Q3252" s="14">
        <f>VLOOKUP(B3252, 'All Menu'!B:M, 12, 0)</f>
        <v>0.50560795938047143</v>
      </c>
      <c r="R3252" s="173">
        <f t="shared" si="168"/>
        <v>0</v>
      </c>
    </row>
    <row r="3253" spans="1:18" ht="14" hidden="1">
      <c r="A3253" s="78" t="s">
        <v>2991</v>
      </c>
      <c r="B3253" s="220" t="s">
        <v>1196</v>
      </c>
      <c r="C3253" s="185"/>
      <c r="D3253" s="30" t="str">
        <f>VLOOKUP(B3253, 'All Menu'!B:M, 4, 0)</f>
        <v>وجبة ملفوف وسط</v>
      </c>
      <c r="E3253" s="30" t="str">
        <f>VLOOKUP(B3253, 'All Menu'!B:M, 2, 0)</f>
        <v>قسم اللاين</v>
      </c>
      <c r="F3253" s="103" t="str">
        <f>VLOOKUP(B3253, 'All Menu'!B:M, 3, 0)</f>
        <v>الوجبات اليومية سفري2</v>
      </c>
      <c r="G3253" s="90" t="s">
        <v>2202</v>
      </c>
      <c r="H3253" s="219">
        <v>4930</v>
      </c>
      <c r="I3253" s="110" t="str">
        <f>VLOOKUP(H3253, 'RM &amp; SF'!B:H, 2, 0)</f>
        <v>طنجرة المنيوم مع غطاء 25 سم*10 سم (رقم 2)*****</v>
      </c>
      <c r="J3253" s="184" t="str">
        <f>VLOOKUP(H3253, 'RM &amp; SF'!B:E, 4, 0)</f>
        <v>قطعة</v>
      </c>
      <c r="K3253" s="78">
        <v>1</v>
      </c>
      <c r="L3253" s="13">
        <f>VLOOKUP(H3253, 'RM &amp; SF'!B:H, 7, 0)</f>
        <v>0.60299999999999998</v>
      </c>
      <c r="M3253" s="15">
        <f t="shared" ref="M3253:M3278" si="169">L3253*K3253</f>
        <v>0.60299999999999998</v>
      </c>
      <c r="N3253" s="21" t="s">
        <v>825</v>
      </c>
      <c r="O3253" s="4">
        <f>VLOOKUP(B3253, 'All Menu'!B:L, 6, 0)</f>
        <v>6.4655172413793105</v>
      </c>
      <c r="P3253" s="6">
        <f>VLOOKUP(B3253, 'All Menu'!B:L, 9, 0)</f>
        <v>3.1965002626262624</v>
      </c>
      <c r="Q3253" s="14">
        <f>VLOOKUP(B3253, 'All Menu'!B:M, 12, 0)</f>
        <v>0.50560795938047143</v>
      </c>
      <c r="R3253" s="173">
        <f t="shared" si="168"/>
        <v>0</v>
      </c>
    </row>
    <row r="3254" spans="1:18" ht="14" hidden="1">
      <c r="A3254" s="78" t="s">
        <v>2992</v>
      </c>
      <c r="B3254" s="220" t="s">
        <v>1197</v>
      </c>
      <c r="C3254" s="185"/>
      <c r="D3254" s="30" t="str">
        <f>VLOOKUP(B3254, 'All Menu'!B:M, 4, 0)</f>
        <v>وجبة ملفوف كبير</v>
      </c>
      <c r="E3254" s="30" t="str">
        <f>VLOOKUP(B3254, 'All Menu'!B:M, 2, 0)</f>
        <v>قسم اللاين</v>
      </c>
      <c r="F3254" s="103" t="str">
        <f>VLOOKUP(B3254, 'All Menu'!B:M, 3, 0)</f>
        <v>الوجبات اليومية سفري2</v>
      </c>
      <c r="G3254" s="90" t="s">
        <v>2339</v>
      </c>
      <c r="H3254" s="219" t="s">
        <v>700</v>
      </c>
      <c r="I3254" s="110" t="str">
        <f>VLOOKUP(H3254, 'RM &amp; SF'!B:H, 2, 0)</f>
        <v>حبة ملفوف</v>
      </c>
      <c r="J3254" s="184" t="str">
        <f>VLOOKUP(H3254, 'RM &amp; SF'!B:E, 4, 0)</f>
        <v>قطعة</v>
      </c>
      <c r="K3254" s="78">
        <v>75</v>
      </c>
      <c r="L3254" s="13">
        <f>VLOOKUP(H3254, 'RM &amp; SF'!B:H, 7, 0)</f>
        <v>4.8670005252525246E-2</v>
      </c>
      <c r="M3254" s="15">
        <f t="shared" si="169"/>
        <v>3.6502503939393933</v>
      </c>
      <c r="N3254" s="21" t="s">
        <v>825</v>
      </c>
      <c r="O3254" s="4">
        <f>VLOOKUP(B3254, 'All Menu'!B:L, 6, 0)</f>
        <v>8.3189655172413808</v>
      </c>
      <c r="P3254" s="6">
        <f>VLOOKUP(B3254, 'All Menu'!B:L, 9, 0)</f>
        <v>4.5732503939393929</v>
      </c>
      <c r="Q3254" s="14">
        <f>VLOOKUP(B3254, 'All Menu'!B:M, 12, 0)</f>
        <v>0.45026212881143057</v>
      </c>
      <c r="R3254" s="173">
        <f t="shared" si="168"/>
        <v>0</v>
      </c>
    </row>
    <row r="3255" spans="1:18" ht="14" hidden="1">
      <c r="A3255" s="78" t="s">
        <v>2992</v>
      </c>
      <c r="B3255" s="220" t="s">
        <v>1197</v>
      </c>
      <c r="C3255" s="185"/>
      <c r="D3255" s="30" t="str">
        <f>VLOOKUP(B3255, 'All Menu'!B:M, 4, 0)</f>
        <v>وجبة ملفوف كبير</v>
      </c>
      <c r="E3255" s="30" t="str">
        <f>VLOOKUP(B3255, 'All Menu'!B:M, 2, 0)</f>
        <v>قسم اللاين</v>
      </c>
      <c r="F3255" s="103" t="str">
        <f>VLOOKUP(B3255, 'All Menu'!B:M, 3, 0)</f>
        <v>الوجبات اليومية سفري2</v>
      </c>
      <c r="G3255" s="90" t="s">
        <v>2185</v>
      </c>
      <c r="H3255" s="219">
        <v>4550</v>
      </c>
      <c r="I3255" s="110" t="str">
        <f>VLOOKUP(H3255, 'RM &amp; SF'!B:H, 2, 0)</f>
        <v>*****لبن زبادي 150 غم</v>
      </c>
      <c r="J3255" s="184" t="str">
        <f>VLOOKUP(H3255, 'RM &amp; SF'!B:E, 4, 0)</f>
        <v>قطعة</v>
      </c>
      <c r="K3255" s="78">
        <v>2</v>
      </c>
      <c r="L3255" s="13">
        <f>VLOOKUP(H3255, 'RM &amp; SF'!B:H, 7, 0)</f>
        <v>0.16</v>
      </c>
      <c r="M3255" s="15">
        <f t="shared" si="169"/>
        <v>0.32</v>
      </c>
      <c r="N3255" s="21" t="s">
        <v>825</v>
      </c>
      <c r="O3255" s="4">
        <f>VLOOKUP(B3255, 'All Menu'!B:L, 6, 0)</f>
        <v>8.3189655172413808</v>
      </c>
      <c r="P3255" s="6">
        <f>VLOOKUP(B3255, 'All Menu'!B:L, 9, 0)</f>
        <v>4.5732503939393929</v>
      </c>
      <c r="Q3255" s="14">
        <f>VLOOKUP(B3255, 'All Menu'!B:M, 12, 0)</f>
        <v>0.45026212881143057</v>
      </c>
      <c r="R3255" s="173">
        <f t="shared" si="168"/>
        <v>0</v>
      </c>
    </row>
    <row r="3256" spans="1:18" ht="14" hidden="1">
      <c r="A3256" s="78" t="s">
        <v>2992</v>
      </c>
      <c r="B3256" s="220" t="s">
        <v>1197</v>
      </c>
      <c r="C3256" s="185"/>
      <c r="D3256" s="30" t="str">
        <f>VLOOKUP(B3256, 'All Menu'!B:M, 4, 0)</f>
        <v>وجبة ملفوف كبير</v>
      </c>
      <c r="E3256" s="30" t="str">
        <f>VLOOKUP(B3256, 'All Menu'!B:M, 2, 0)</f>
        <v>قسم اللاين</v>
      </c>
      <c r="F3256" s="103" t="str">
        <f>VLOOKUP(B3256, 'All Menu'!B:M, 3, 0)</f>
        <v>الوجبات اليومية سفري2</v>
      </c>
      <c r="G3256" s="90" t="s">
        <v>2202</v>
      </c>
      <c r="H3256" s="219">
        <v>4930</v>
      </c>
      <c r="I3256" s="110" t="str">
        <f>VLOOKUP(H3256, 'RM &amp; SF'!B:H, 2, 0)</f>
        <v>طنجرة المنيوم مع غطاء 25 سم*10 سم (رقم 2)*****</v>
      </c>
      <c r="J3256" s="184" t="str">
        <f>VLOOKUP(H3256, 'RM &amp; SF'!B:E, 4, 0)</f>
        <v>قطعة</v>
      </c>
      <c r="K3256" s="78">
        <v>1</v>
      </c>
      <c r="L3256" s="13">
        <f>VLOOKUP(H3256, 'RM &amp; SF'!B:H, 7, 0)</f>
        <v>0.60299999999999998</v>
      </c>
      <c r="M3256" s="15">
        <f t="shared" si="169"/>
        <v>0.60299999999999998</v>
      </c>
      <c r="N3256" s="21" t="s">
        <v>825</v>
      </c>
      <c r="O3256" s="4">
        <f>VLOOKUP(B3256, 'All Menu'!B:L, 6, 0)</f>
        <v>8.3189655172413808</v>
      </c>
      <c r="P3256" s="6">
        <f>VLOOKUP(B3256, 'All Menu'!B:L, 9, 0)</f>
        <v>4.5732503939393929</v>
      </c>
      <c r="Q3256" s="14">
        <f>VLOOKUP(B3256, 'All Menu'!B:M, 12, 0)</f>
        <v>0.45026212881143057</v>
      </c>
      <c r="R3256" s="173">
        <f t="shared" si="168"/>
        <v>0</v>
      </c>
    </row>
    <row r="3257" spans="1:18" ht="14" hidden="1">
      <c r="A3257" s="78" t="s">
        <v>2993</v>
      </c>
      <c r="B3257" s="220" t="s">
        <v>1228</v>
      </c>
      <c r="C3257" s="185"/>
      <c r="D3257" s="30" t="str">
        <f>VLOOKUP(B3257, 'All Menu'!B:M, 4, 0)</f>
        <v>مسخن نصف دجاجة</v>
      </c>
      <c r="E3257" s="30" t="str">
        <f>VLOOKUP(B3257, 'All Menu'!B:M, 2, 0)</f>
        <v>قسم اللاين</v>
      </c>
      <c r="F3257" s="103" t="str">
        <f>VLOOKUP(B3257, 'All Menu'!B:M, 3, 0)</f>
        <v>الوجبات اليومية سفري2</v>
      </c>
      <c r="G3257" s="90" t="s">
        <v>2425</v>
      </c>
      <c r="H3257" s="219" t="s">
        <v>648</v>
      </c>
      <c r="I3257" s="110" t="str">
        <f>VLOOKUP(H3257, 'RM &amp; SF'!B:H, 2, 0)</f>
        <v xml:space="preserve">خبز تنور </v>
      </c>
      <c r="J3257" s="184" t="str">
        <f>VLOOKUP(H3257, 'RM &amp; SF'!B:E, 4, 0)</f>
        <v>غم</v>
      </c>
      <c r="K3257" s="78">
        <v>100</v>
      </c>
      <c r="L3257" s="13">
        <f>VLOOKUP(H3257, 'RM &amp; SF'!B:H, 7, 0)</f>
        <v>1.5104950793650793E-4</v>
      </c>
      <c r="M3257" s="15">
        <f t="shared" si="169"/>
        <v>1.5104950793650793E-2</v>
      </c>
      <c r="N3257" s="21" t="s">
        <v>825</v>
      </c>
      <c r="O3257" s="4">
        <f>VLOOKUP(B3257, 'All Menu'!B:L, 6, 0)</f>
        <v>5.6034482758620694</v>
      </c>
      <c r="P3257" s="6">
        <f>VLOOKUP(B3257, 'All Menu'!B:L, 9, 0)</f>
        <v>1.8916530465790913</v>
      </c>
      <c r="Q3257" s="14">
        <f>VLOOKUP(B3257, 'All Menu'!B:M, 12, 0)</f>
        <v>0.66241268707203904</v>
      </c>
      <c r="R3257" s="173">
        <f t="shared" si="168"/>
        <v>0</v>
      </c>
    </row>
    <row r="3258" spans="1:18" ht="14" hidden="1">
      <c r="A3258" s="78" t="s">
        <v>2993</v>
      </c>
      <c r="B3258" s="220" t="s">
        <v>1228</v>
      </c>
      <c r="C3258" s="185"/>
      <c r="D3258" s="30" t="str">
        <f>VLOOKUP(B3258, 'All Menu'!B:M, 4, 0)</f>
        <v>مسخن نصف دجاجة</v>
      </c>
      <c r="E3258" s="30" t="str">
        <f>VLOOKUP(B3258, 'All Menu'!B:M, 2, 0)</f>
        <v>قسم اللاين</v>
      </c>
      <c r="F3258" s="103" t="str">
        <f>VLOOKUP(B3258, 'All Menu'!B:M, 3, 0)</f>
        <v>الوجبات اليومية سفري2</v>
      </c>
      <c r="G3258" s="90" t="s">
        <v>2363</v>
      </c>
      <c r="H3258" s="219" t="s">
        <v>758</v>
      </c>
      <c r="I3258" s="110" t="str">
        <f>VLOOKUP(H3258, 'RM &amp; SF'!B:H, 2, 0)</f>
        <v>ضربه بصل مسخن</v>
      </c>
      <c r="J3258" s="184" t="str">
        <f>VLOOKUP(H3258, 'RM &amp; SF'!B:E, 4, 0)</f>
        <v>غم</v>
      </c>
      <c r="K3258" s="78">
        <v>480</v>
      </c>
      <c r="L3258" s="13">
        <f>VLOOKUP(H3258, 'RM &amp; SF'!B:H, 7, 0)</f>
        <v>2.2669666666666663E-3</v>
      </c>
      <c r="M3258" s="15">
        <f t="shared" si="169"/>
        <v>1.0881439999999998</v>
      </c>
      <c r="N3258" s="21" t="s">
        <v>825</v>
      </c>
      <c r="O3258" s="4">
        <f>VLOOKUP(B3258, 'All Menu'!B:L, 6, 0)</f>
        <v>5.6034482758620694</v>
      </c>
      <c r="P3258" s="6">
        <f>VLOOKUP(B3258, 'All Menu'!B:L, 9, 0)</f>
        <v>1.8916530465790913</v>
      </c>
      <c r="Q3258" s="14">
        <f>VLOOKUP(B3258, 'All Menu'!B:M, 12, 0)</f>
        <v>0.66241268707203904</v>
      </c>
      <c r="R3258" s="173">
        <f t="shared" si="168"/>
        <v>0</v>
      </c>
    </row>
    <row r="3259" spans="1:18" ht="14" hidden="1">
      <c r="A3259" s="78" t="s">
        <v>2993</v>
      </c>
      <c r="B3259" s="220" t="s">
        <v>1228</v>
      </c>
      <c r="C3259" s="185"/>
      <c r="D3259" s="30" t="str">
        <f>VLOOKUP(B3259, 'All Menu'!B:M, 4, 0)</f>
        <v>مسخن نصف دجاجة</v>
      </c>
      <c r="E3259" s="30" t="str">
        <f>VLOOKUP(B3259, 'All Menu'!B:M, 2, 0)</f>
        <v>قسم اللاين</v>
      </c>
      <c r="F3259" s="103" t="str">
        <f>VLOOKUP(B3259, 'All Menu'!B:M, 3, 0)</f>
        <v>الوجبات اليومية سفري2</v>
      </c>
      <c r="G3259" s="90" t="s">
        <v>2215</v>
      </c>
      <c r="H3259" s="219">
        <v>4224</v>
      </c>
      <c r="I3259" s="110" t="str">
        <f>VLOOKUP(H3259, 'RM &amp; SF'!B:H, 2, 0)</f>
        <v>سماق*****</v>
      </c>
      <c r="J3259" s="184" t="str">
        <f>VLOOKUP(H3259, 'RM &amp; SF'!B:E, 4, 0)</f>
        <v>غم</v>
      </c>
      <c r="K3259" s="78">
        <v>5</v>
      </c>
      <c r="L3259" s="13">
        <f>VLOOKUP(H3259, 'RM &amp; SF'!B:H, 7, 0)</f>
        <v>4.3099999999999996E-3</v>
      </c>
      <c r="M3259" s="15">
        <f t="shared" si="169"/>
        <v>2.155E-2</v>
      </c>
      <c r="N3259" s="21" t="s">
        <v>825</v>
      </c>
      <c r="O3259" s="4">
        <f>VLOOKUP(B3259, 'All Menu'!B:L, 6, 0)</f>
        <v>5.6034482758620694</v>
      </c>
      <c r="P3259" s="6">
        <f>VLOOKUP(B3259, 'All Menu'!B:L, 9, 0)</f>
        <v>1.8916530465790913</v>
      </c>
      <c r="Q3259" s="14">
        <f>VLOOKUP(B3259, 'All Menu'!B:M, 12, 0)</f>
        <v>0.66241268707203904</v>
      </c>
      <c r="R3259" s="173">
        <f t="shared" si="168"/>
        <v>0</v>
      </c>
    </row>
    <row r="3260" spans="1:18" ht="14" hidden="1">
      <c r="A3260" s="78" t="s">
        <v>2993</v>
      </c>
      <c r="B3260" s="220" t="s">
        <v>1228</v>
      </c>
      <c r="C3260" s="185"/>
      <c r="D3260" s="30" t="str">
        <f>VLOOKUP(B3260, 'All Menu'!B:M, 4, 0)</f>
        <v>مسخن نصف دجاجة</v>
      </c>
      <c r="E3260" s="30" t="str">
        <f>VLOOKUP(B3260, 'All Menu'!B:M, 2, 0)</f>
        <v>قسم اللاين</v>
      </c>
      <c r="F3260" s="103" t="str">
        <f>VLOOKUP(B3260, 'All Menu'!B:M, 3, 0)</f>
        <v>الوجبات اليومية سفري2</v>
      </c>
      <c r="G3260" s="90" t="s">
        <v>2362</v>
      </c>
      <c r="H3260" s="219" t="s">
        <v>756</v>
      </c>
      <c r="I3260" s="110" t="str">
        <f>VLOOKUP(H3260, 'RM &amp; SF'!B:H, 2, 0)</f>
        <v>دجاج مسخن</v>
      </c>
      <c r="J3260" s="184" t="str">
        <f>VLOOKUP(H3260, 'RM &amp; SF'!B:E, 4, 0)</f>
        <v>قطعة</v>
      </c>
      <c r="K3260" s="78">
        <v>0.5</v>
      </c>
      <c r="L3260" s="13">
        <f>VLOOKUP(H3260, 'RM &amp; SF'!B:H, 7, 0)</f>
        <v>0.34595777777777781</v>
      </c>
      <c r="M3260" s="15">
        <f t="shared" si="169"/>
        <v>0.1729788888888889</v>
      </c>
      <c r="N3260" s="21" t="s">
        <v>825</v>
      </c>
      <c r="O3260" s="4">
        <f>VLOOKUP(B3260, 'All Menu'!B:L, 6, 0)</f>
        <v>5.6034482758620694</v>
      </c>
      <c r="P3260" s="6">
        <f>VLOOKUP(B3260, 'All Menu'!B:L, 9, 0)</f>
        <v>1.8916530465790913</v>
      </c>
      <c r="Q3260" s="14">
        <f>VLOOKUP(B3260, 'All Menu'!B:M, 12, 0)</f>
        <v>0.66241268707203904</v>
      </c>
      <c r="R3260" s="173">
        <f t="shared" si="168"/>
        <v>0</v>
      </c>
    </row>
    <row r="3261" spans="1:18" ht="14" hidden="1">
      <c r="A3261" s="78" t="s">
        <v>2993</v>
      </c>
      <c r="B3261" s="220" t="s">
        <v>1228</v>
      </c>
      <c r="C3261" s="185"/>
      <c r="D3261" s="30" t="str">
        <f>VLOOKUP(B3261, 'All Menu'!B:M, 4, 0)</f>
        <v>مسخن نصف دجاجة</v>
      </c>
      <c r="E3261" s="30" t="str">
        <f>VLOOKUP(B3261, 'All Menu'!B:M, 2, 0)</f>
        <v>قسم اللاين</v>
      </c>
      <c r="F3261" s="103" t="str">
        <f>VLOOKUP(B3261, 'All Menu'!B:M, 3, 0)</f>
        <v>الوجبات اليومية سفري2</v>
      </c>
      <c r="G3261" s="90" t="s">
        <v>2255</v>
      </c>
      <c r="H3261" s="219">
        <v>4573</v>
      </c>
      <c r="I3261" s="110" t="str">
        <f>VLOOKUP(H3261, 'RM &amp; SF'!B:H, 2, 0)</f>
        <v>عصير ليمون طازج 2.5 لتر*****</v>
      </c>
      <c r="J3261" s="184" t="str">
        <f>VLOOKUP(H3261, 'RM &amp; SF'!B:E, 4, 0)</f>
        <v>مل</v>
      </c>
      <c r="K3261" s="78">
        <v>50</v>
      </c>
      <c r="L3261" s="13">
        <f>VLOOKUP(H3261, 'RM &amp; SF'!B:H, 7, 0)</f>
        <v>2.5999999999999999E-3</v>
      </c>
      <c r="M3261" s="15">
        <f t="shared" si="169"/>
        <v>0.13</v>
      </c>
      <c r="N3261" s="21" t="s">
        <v>825</v>
      </c>
      <c r="O3261" s="4">
        <f>VLOOKUP(B3261, 'All Menu'!B:L, 6, 0)</f>
        <v>5.6034482758620694</v>
      </c>
      <c r="P3261" s="6">
        <f>VLOOKUP(B3261, 'All Menu'!B:L, 9, 0)</f>
        <v>1.8916530465790913</v>
      </c>
      <c r="Q3261" s="14">
        <f>VLOOKUP(B3261, 'All Menu'!B:M, 12, 0)</f>
        <v>0.66241268707203904</v>
      </c>
      <c r="R3261" s="173">
        <f t="shared" si="168"/>
        <v>0</v>
      </c>
    </row>
    <row r="3262" spans="1:18" ht="14" hidden="1">
      <c r="A3262" s="78" t="s">
        <v>2993</v>
      </c>
      <c r="B3262" s="220" t="s">
        <v>1228</v>
      </c>
      <c r="C3262" s="185"/>
      <c r="D3262" s="30" t="str">
        <f>VLOOKUP(B3262, 'All Menu'!B:M, 4, 0)</f>
        <v>مسخن نصف دجاجة</v>
      </c>
      <c r="E3262" s="30" t="str">
        <f>VLOOKUP(B3262, 'All Menu'!B:M, 2, 0)</f>
        <v>قسم اللاين</v>
      </c>
      <c r="F3262" s="103" t="str">
        <f>VLOOKUP(B3262, 'All Menu'!B:M, 3, 0)</f>
        <v>الوجبات اليومية سفري2</v>
      </c>
      <c r="G3262" s="90" t="s">
        <v>2231</v>
      </c>
      <c r="H3262" s="219">
        <v>4499</v>
      </c>
      <c r="I3262" s="110" t="str">
        <f>VLOOKUP(H3262, 'RM &amp; SF'!B:H, 2, 0)</f>
        <v>فلفل حار اخضر*****</v>
      </c>
      <c r="J3262" s="184" t="str">
        <f>VLOOKUP(H3262, 'RM &amp; SF'!B:E, 4, 0)</f>
        <v>غم</v>
      </c>
      <c r="K3262" s="78">
        <v>15</v>
      </c>
      <c r="L3262" s="13">
        <f>VLOOKUP(H3262, 'RM &amp; SF'!B:H, 7, 0)</f>
        <v>5.0000000000000001E-4</v>
      </c>
      <c r="M3262" s="15">
        <f t="shared" si="169"/>
        <v>7.4999999999999997E-3</v>
      </c>
      <c r="N3262" s="21" t="s">
        <v>825</v>
      </c>
      <c r="O3262" s="4">
        <f>VLOOKUP(B3262, 'All Menu'!B:L, 6, 0)</f>
        <v>5.6034482758620694</v>
      </c>
      <c r="P3262" s="6">
        <f>VLOOKUP(B3262, 'All Menu'!B:L, 9, 0)</f>
        <v>1.8916530465790913</v>
      </c>
      <c r="Q3262" s="14">
        <f>VLOOKUP(B3262, 'All Menu'!B:M, 12, 0)</f>
        <v>0.66241268707203904</v>
      </c>
      <c r="R3262" s="173">
        <f t="shared" si="168"/>
        <v>0</v>
      </c>
    </row>
    <row r="3263" spans="1:18" ht="14" hidden="1">
      <c r="A3263" s="78" t="s">
        <v>2993</v>
      </c>
      <c r="B3263" s="220" t="s">
        <v>1228</v>
      </c>
      <c r="C3263" s="185"/>
      <c r="D3263" s="30" t="str">
        <f>VLOOKUP(B3263, 'All Menu'!B:M, 4, 0)</f>
        <v>مسخن نصف دجاجة</v>
      </c>
      <c r="E3263" s="30" t="str">
        <f>VLOOKUP(B3263, 'All Menu'!B:M, 2, 0)</f>
        <v>قسم اللاين</v>
      </c>
      <c r="F3263" s="103" t="str">
        <f>VLOOKUP(B3263, 'All Menu'!B:M, 3, 0)</f>
        <v>الوجبات اليومية سفري2</v>
      </c>
      <c r="G3263" s="90" t="s">
        <v>2341</v>
      </c>
      <c r="H3263" s="219" t="s">
        <v>706</v>
      </c>
      <c r="I3263" s="110" t="str">
        <f>VLOOKUP(H3263, 'RM &amp; SF'!B:H, 2, 0)</f>
        <v>لوز مقلي</v>
      </c>
      <c r="J3263" s="184" t="str">
        <f>VLOOKUP(H3263, 'RM &amp; SF'!B:E, 4, 0)</f>
        <v>غم</v>
      </c>
      <c r="K3263" s="78">
        <v>20</v>
      </c>
      <c r="L3263" s="13">
        <f>VLOOKUP(H3263, 'RM &amp; SF'!B:H, 7, 0)</f>
        <v>4.1352327586206888E-3</v>
      </c>
      <c r="M3263" s="15">
        <f t="shared" si="169"/>
        <v>8.270465517241378E-2</v>
      </c>
      <c r="N3263" s="21" t="s">
        <v>825</v>
      </c>
      <c r="O3263" s="4">
        <f>VLOOKUP(B3263, 'All Menu'!B:L, 6, 0)</f>
        <v>5.6034482758620694</v>
      </c>
      <c r="P3263" s="6">
        <f>VLOOKUP(B3263, 'All Menu'!B:L, 9, 0)</f>
        <v>1.8916530465790913</v>
      </c>
      <c r="Q3263" s="14">
        <f>VLOOKUP(B3263, 'All Menu'!B:M, 12, 0)</f>
        <v>0.66241268707203904</v>
      </c>
      <c r="R3263" s="173">
        <f t="shared" si="168"/>
        <v>0</v>
      </c>
    </row>
    <row r="3264" spans="1:18" ht="14" hidden="1">
      <c r="A3264" s="78" t="s">
        <v>2993</v>
      </c>
      <c r="B3264" s="220" t="s">
        <v>1228</v>
      </c>
      <c r="C3264" s="185"/>
      <c r="D3264" s="30" t="str">
        <f>VLOOKUP(B3264, 'All Menu'!B:M, 4, 0)</f>
        <v>مسخن نصف دجاجة</v>
      </c>
      <c r="E3264" s="30" t="str">
        <f>VLOOKUP(B3264, 'All Menu'!B:M, 2, 0)</f>
        <v>قسم اللاين</v>
      </c>
      <c r="F3264" s="103" t="str">
        <f>VLOOKUP(B3264, 'All Menu'!B:M, 3, 0)</f>
        <v>الوجبات اليومية سفري2</v>
      </c>
      <c r="G3264" s="90" t="s">
        <v>2185</v>
      </c>
      <c r="H3264" s="219">
        <v>4550</v>
      </c>
      <c r="I3264" s="110" t="str">
        <f>VLOOKUP(H3264, 'RM &amp; SF'!B:H, 2, 0)</f>
        <v>*****لبن زبادي 150 غم</v>
      </c>
      <c r="J3264" s="184" t="str">
        <f>VLOOKUP(H3264, 'RM &amp; SF'!B:E, 4, 0)</f>
        <v>قطعة</v>
      </c>
      <c r="K3264" s="78">
        <v>1</v>
      </c>
      <c r="L3264" s="13">
        <f>VLOOKUP(H3264, 'RM &amp; SF'!B:H, 7, 0)</f>
        <v>0.16</v>
      </c>
      <c r="M3264" s="15">
        <f t="shared" si="169"/>
        <v>0.16</v>
      </c>
      <c r="N3264" s="21" t="s">
        <v>825</v>
      </c>
      <c r="O3264" s="4">
        <f>VLOOKUP(B3264, 'All Menu'!B:L, 6, 0)</f>
        <v>5.6034482758620694</v>
      </c>
      <c r="P3264" s="6">
        <f>VLOOKUP(B3264, 'All Menu'!B:L, 9, 0)</f>
        <v>1.8916530465790913</v>
      </c>
      <c r="Q3264" s="14">
        <f>VLOOKUP(B3264, 'All Menu'!B:M, 12, 0)</f>
        <v>0.66241268707203904</v>
      </c>
      <c r="R3264" s="173">
        <f t="shared" si="168"/>
        <v>0</v>
      </c>
    </row>
    <row r="3265" spans="1:18" ht="14" hidden="1">
      <c r="A3265" s="78" t="s">
        <v>2993</v>
      </c>
      <c r="B3265" s="220" t="s">
        <v>1228</v>
      </c>
      <c r="C3265" s="185"/>
      <c r="D3265" s="30" t="str">
        <f>VLOOKUP(B3265, 'All Menu'!B:M, 4, 0)</f>
        <v>مسخن نصف دجاجة</v>
      </c>
      <c r="E3265" s="30" t="str">
        <f>VLOOKUP(B3265, 'All Menu'!B:M, 2, 0)</f>
        <v>قسم اللاين</v>
      </c>
      <c r="F3265" s="103" t="str">
        <f>VLOOKUP(B3265, 'All Menu'!B:M, 3, 0)</f>
        <v>الوجبات اليومية سفري2</v>
      </c>
      <c r="G3265" s="90" t="s">
        <v>2190</v>
      </c>
      <c r="H3265" s="219">
        <v>4279</v>
      </c>
      <c r="I3265" s="110" t="str">
        <f>VLOOKUP(H3265, 'RM &amp; SF'!B:H, 2, 0)</f>
        <v>علب ميكرويف مستطيل اسود مفرغة (احادي)*****</v>
      </c>
      <c r="J3265" s="184" t="str">
        <f>VLOOKUP(H3265, 'RM &amp; SF'!B:E, 4, 0)</f>
        <v>قطعة</v>
      </c>
      <c r="K3265" s="78">
        <v>1</v>
      </c>
      <c r="L3265" s="13">
        <f>VLOOKUP(H3265, 'RM &amp; SF'!B:H, 7, 0)</f>
        <v>9.4799999999999995E-2</v>
      </c>
      <c r="M3265" s="15">
        <f t="shared" si="169"/>
        <v>9.4799999999999995E-2</v>
      </c>
      <c r="N3265" s="21" t="s">
        <v>825</v>
      </c>
      <c r="O3265" s="4">
        <f>VLOOKUP(B3265, 'All Menu'!B:L, 6, 0)</f>
        <v>5.6034482758620694</v>
      </c>
      <c r="P3265" s="6">
        <f>VLOOKUP(B3265, 'All Menu'!B:L, 9, 0)</f>
        <v>1.8916530465790913</v>
      </c>
      <c r="Q3265" s="14">
        <f>VLOOKUP(B3265, 'All Menu'!B:M, 12, 0)</f>
        <v>0.66241268707203904</v>
      </c>
      <c r="R3265" s="173">
        <f t="shared" si="168"/>
        <v>0</v>
      </c>
    </row>
    <row r="3266" spans="1:18" ht="14" hidden="1">
      <c r="A3266" s="78" t="s">
        <v>2993</v>
      </c>
      <c r="B3266" s="220" t="s">
        <v>1228</v>
      </c>
      <c r="C3266" s="185"/>
      <c r="D3266" s="30" t="str">
        <f>VLOOKUP(B3266, 'All Menu'!B:M, 4, 0)</f>
        <v>مسخن نصف دجاجة</v>
      </c>
      <c r="E3266" s="30" t="str">
        <f>VLOOKUP(B3266, 'All Menu'!B:M, 2, 0)</f>
        <v>قسم اللاين</v>
      </c>
      <c r="F3266" s="103" t="str">
        <f>VLOOKUP(B3266, 'All Menu'!B:M, 3, 0)</f>
        <v>الوجبات اليومية سفري2</v>
      </c>
      <c r="G3266" s="90" t="s">
        <v>3058</v>
      </c>
      <c r="H3266" s="219">
        <v>4266</v>
      </c>
      <c r="I3266" s="110" t="str">
        <f>VLOOKUP(H3266, 'RM &amp; SF'!B:H, 2, 0)</f>
        <v>اساور علب وجبات مطبوع 1*50 حبة*****</v>
      </c>
      <c r="J3266" s="184" t="str">
        <f>VLOOKUP(H3266, 'RM &amp; SF'!B:E, 4, 0)</f>
        <v>قطعة</v>
      </c>
      <c r="K3266" s="78">
        <v>1</v>
      </c>
      <c r="L3266" s="13">
        <f>VLOOKUP(H3266, 'RM &amp; SF'!B:H, 7, 0)</f>
        <v>6.3224137931034485E-2</v>
      </c>
      <c r="M3266" s="15">
        <f t="shared" si="169"/>
        <v>6.3224137931034485E-2</v>
      </c>
      <c r="N3266" s="21" t="s">
        <v>825</v>
      </c>
      <c r="O3266" s="4">
        <f>VLOOKUP(B3266, 'All Menu'!B:L, 6, 0)</f>
        <v>5.6034482758620694</v>
      </c>
      <c r="P3266" s="6">
        <f>VLOOKUP(B3266, 'All Menu'!B:L, 9, 0)</f>
        <v>1.8916530465790913</v>
      </c>
      <c r="Q3266" s="14">
        <f>VLOOKUP(B3266, 'All Menu'!B:M, 12, 0)</f>
        <v>0.66241268707203904</v>
      </c>
      <c r="R3266" s="173">
        <f t="shared" si="168"/>
        <v>0</v>
      </c>
    </row>
    <row r="3267" spans="1:18" ht="14" hidden="1">
      <c r="A3267" s="78" t="s">
        <v>2993</v>
      </c>
      <c r="B3267" s="220" t="s">
        <v>1228</v>
      </c>
      <c r="C3267" s="185"/>
      <c r="D3267" s="30" t="str">
        <f>VLOOKUP(B3267, 'All Menu'!B:M, 4, 0)</f>
        <v>مسخن نصف دجاجة</v>
      </c>
      <c r="E3267" s="30" t="str">
        <f>VLOOKUP(B3267, 'All Menu'!B:M, 2, 0)</f>
        <v>قسم اللاين</v>
      </c>
      <c r="F3267" s="103" t="str">
        <f>VLOOKUP(B3267, 'All Menu'!B:M, 3, 0)</f>
        <v>الوجبات اليومية سفري2</v>
      </c>
      <c r="G3267" s="90" t="s">
        <v>2193</v>
      </c>
      <c r="H3267" s="219">
        <v>4309</v>
      </c>
      <c r="I3267" s="110" t="str">
        <f>VLOOKUP(H3267, 'RM &amp; SF'!B:H, 2, 0)</f>
        <v>اكياس بلاستيك مطبوع 55 سم*****</v>
      </c>
      <c r="J3267" s="184" t="str">
        <f>VLOOKUP(H3267, 'RM &amp; SF'!B:E, 4, 0)</f>
        <v>قطعة</v>
      </c>
      <c r="K3267" s="78">
        <v>1</v>
      </c>
      <c r="L3267" s="13">
        <f>VLOOKUP(H3267, 'RM &amp; SF'!B:H, 7, 0)</f>
        <v>5.5172413793103454E-2</v>
      </c>
      <c r="M3267" s="15">
        <f t="shared" si="169"/>
        <v>5.5172413793103454E-2</v>
      </c>
      <c r="N3267" s="21" t="s">
        <v>825</v>
      </c>
      <c r="O3267" s="4">
        <f>VLOOKUP(B3267, 'All Menu'!B:L, 6, 0)</f>
        <v>5.6034482758620694</v>
      </c>
      <c r="P3267" s="6">
        <f>VLOOKUP(B3267, 'All Menu'!B:L, 9, 0)</f>
        <v>1.8916530465790913</v>
      </c>
      <c r="Q3267" s="14">
        <f>VLOOKUP(B3267, 'All Menu'!B:M, 12, 0)</f>
        <v>0.66241268707203904</v>
      </c>
      <c r="R3267" s="173">
        <f t="shared" si="168"/>
        <v>0</v>
      </c>
    </row>
    <row r="3268" spans="1:18" ht="14" hidden="1">
      <c r="A3268" s="78" t="s">
        <v>2993</v>
      </c>
      <c r="B3268" s="220" t="s">
        <v>1228</v>
      </c>
      <c r="C3268" s="185"/>
      <c r="D3268" s="30" t="str">
        <f>VLOOKUP(B3268, 'All Menu'!B:M, 4, 0)</f>
        <v>مسخن نصف دجاجة</v>
      </c>
      <c r="E3268" s="30" t="str">
        <f>VLOOKUP(B3268, 'All Menu'!B:M, 2, 0)</f>
        <v>قسم اللاين</v>
      </c>
      <c r="F3268" s="103" t="str">
        <f>VLOOKUP(B3268, 'All Menu'!B:M, 3, 0)</f>
        <v>الوجبات اليومية سفري2</v>
      </c>
      <c r="G3268" s="90" t="s">
        <v>2195</v>
      </c>
      <c r="H3268" s="219">
        <v>4329</v>
      </c>
      <c r="I3268" s="110" t="str">
        <f>VLOOKUP(H3268, 'RM &amp; SF'!B:H, 2, 0)</f>
        <v>ملاعق بلاستيك مع معقم مطبوع 1*500 حبة*****</v>
      </c>
      <c r="J3268" s="184" t="str">
        <f>VLOOKUP(H3268, 'RM &amp; SF'!B:E, 4, 0)</f>
        <v>قطعة</v>
      </c>
      <c r="K3268" s="78">
        <v>1</v>
      </c>
      <c r="L3268" s="13">
        <f>VLOOKUP(H3268, 'RM &amp; SF'!B:H, 7, 0)</f>
        <v>4.7399999999999997E-4</v>
      </c>
      <c r="M3268" s="15">
        <f t="shared" si="169"/>
        <v>4.7399999999999997E-4</v>
      </c>
      <c r="N3268" s="21" t="s">
        <v>825</v>
      </c>
      <c r="O3268" s="4">
        <f>VLOOKUP(B3268, 'All Menu'!B:L, 6, 0)</f>
        <v>5.6034482758620694</v>
      </c>
      <c r="P3268" s="6">
        <f>VLOOKUP(B3268, 'All Menu'!B:L, 9, 0)</f>
        <v>1.8916530465790913</v>
      </c>
      <c r="Q3268" s="14">
        <f>VLOOKUP(B3268, 'All Menu'!B:M, 12, 0)</f>
        <v>0.66241268707203904</v>
      </c>
      <c r="R3268" s="173">
        <f t="shared" si="168"/>
        <v>0</v>
      </c>
    </row>
    <row r="3269" spans="1:18" ht="14" hidden="1">
      <c r="A3269" s="78" t="s">
        <v>2994</v>
      </c>
      <c r="B3269" s="220" t="s">
        <v>1276</v>
      </c>
      <c r="C3269" s="185"/>
      <c r="D3269" s="30" t="str">
        <f>VLOOKUP(B3269, 'All Menu'!B:M, 4, 0)</f>
        <v>اضافة سلطة تركية</v>
      </c>
      <c r="E3269" s="30" t="str">
        <f>VLOOKUP(B3269, 'All Menu'!B:M, 2, 0)</f>
        <v>قسم المشاوي</v>
      </c>
      <c r="F3269" s="103" t="str">
        <f>VLOOKUP(B3269, 'All Menu'!B:M, 3, 0)</f>
        <v>المشاوي سفري2</v>
      </c>
      <c r="G3269" s="90" t="s">
        <v>2450</v>
      </c>
      <c r="H3269" s="219" t="s">
        <v>570</v>
      </c>
      <c r="I3269" s="110" t="str">
        <f>VLOOKUP(H3269, 'RM &amp; SF'!B:H, 2, 0)</f>
        <v>سلطة تركية</v>
      </c>
      <c r="J3269" s="184" t="str">
        <f>VLOOKUP(H3269, 'RM &amp; SF'!B:E, 4, 0)</f>
        <v>غم</v>
      </c>
      <c r="K3269" s="78">
        <v>30</v>
      </c>
      <c r="L3269" s="13">
        <f>VLOOKUP(H3269, 'RM &amp; SF'!B:H, 7, 0)</f>
        <v>9.3877101247799523E-4</v>
      </c>
      <c r="M3269" s="15">
        <f t="shared" si="169"/>
        <v>2.8163130374339856E-2</v>
      </c>
      <c r="N3269" s="21" t="s">
        <v>825</v>
      </c>
      <c r="O3269" s="4">
        <f>VLOOKUP(B3269, 'All Menu'!B:L, 6, 0)</f>
        <v>0.12931034482758622</v>
      </c>
      <c r="P3269" s="6">
        <f>VLOOKUP(B3269, 'All Menu'!B:L, 9, 0)</f>
        <v>2.8163130374339856E-2</v>
      </c>
      <c r="Q3269" s="14">
        <f>VLOOKUP(B3269, 'All Menu'!B:M, 12, 0)</f>
        <v>0.78220512510510509</v>
      </c>
      <c r="R3269" s="173">
        <f t="shared" si="168"/>
        <v>0</v>
      </c>
    </row>
    <row r="3270" spans="1:18" ht="14" hidden="1">
      <c r="A3270" s="78" t="s">
        <v>2995</v>
      </c>
      <c r="B3270" s="220" t="s">
        <v>1148</v>
      </c>
      <c r="C3270" s="185"/>
      <c r="D3270" s="30" t="str">
        <f>VLOOKUP(B3270, 'All Menu'!B:M, 4, 0)</f>
        <v>مشروب غازي - موظفين</v>
      </c>
      <c r="E3270" s="30" t="str">
        <f>VLOOKUP(B3270, 'All Menu'!B:M, 2, 0)</f>
        <v>قسم المشروبات</v>
      </c>
      <c r="F3270" s="103" t="str">
        <f>VLOOKUP(B3270, 'All Menu'!B:M, 3, 0)</f>
        <v>مشروبات سفري</v>
      </c>
      <c r="G3270" s="90" t="s">
        <v>3058</v>
      </c>
      <c r="H3270" s="219">
        <v>4168</v>
      </c>
      <c r="I3270" s="110" t="str">
        <f>VLOOKUP(H3270, 'RM &amp; SF'!B:H, 2, 0)</f>
        <v>مشروب غازي ماتركس 250 مل*****</v>
      </c>
      <c r="J3270" s="184" t="str">
        <f>VLOOKUP(H3270, 'RM &amp; SF'!B:E, 4, 0)</f>
        <v>قطعة</v>
      </c>
      <c r="K3270" s="78">
        <v>1</v>
      </c>
      <c r="L3270" s="13">
        <f>VLOOKUP(H3270, 'RM &amp; SF'!B:H, 7, 0)</f>
        <v>0.13741666666666666</v>
      </c>
      <c r="M3270" s="15">
        <f t="shared" si="169"/>
        <v>0.13741666666666666</v>
      </c>
      <c r="N3270" s="21" t="s">
        <v>825</v>
      </c>
      <c r="O3270" s="4">
        <f>VLOOKUP(B3270, 'All Menu'!B:L, 6, 0)</f>
        <v>0.21551724137931036</v>
      </c>
      <c r="P3270" s="6">
        <f>VLOOKUP(B3270, 'All Menu'!B:L, 9, 0)</f>
        <v>0.13741666666666666</v>
      </c>
      <c r="Q3270" s="14">
        <f>VLOOKUP(B3270, 'All Menu'!B:M, 12, 0)</f>
        <v>0.36238666666666675</v>
      </c>
      <c r="R3270" s="173">
        <f t="shared" si="168"/>
        <v>0</v>
      </c>
    </row>
    <row r="3271" spans="1:18" ht="14" hidden="1">
      <c r="A3271" s="78" t="s">
        <v>3114</v>
      </c>
      <c r="B3271" s="220" t="s">
        <v>1233</v>
      </c>
      <c r="C3271" s="185"/>
      <c r="D3271" s="30" t="str">
        <f>VLOOKUP(B3271, 'All Menu'!B:M, 4, 0)</f>
        <v>شوربة الذرة</v>
      </c>
      <c r="E3271" s="30" t="str">
        <f>VLOOKUP(B3271, 'All Menu'!B:M, 2, 0)</f>
        <v>قسم المقبلات</v>
      </c>
      <c r="F3271" s="103" t="str">
        <f>VLOOKUP(B3271, 'All Menu'!B:M, 3, 0)</f>
        <v>شوربات سفري</v>
      </c>
      <c r="G3271" s="90" t="s">
        <v>2427</v>
      </c>
      <c r="H3271" s="219" t="s">
        <v>634</v>
      </c>
      <c r="I3271" s="110" t="str">
        <f>VLOOKUP(H3271, 'RM &amp; SF'!B:H, 2, 0)</f>
        <v xml:space="preserve">شوربة ذرة </v>
      </c>
      <c r="J3271" s="184" t="str">
        <f>VLOOKUP(H3271, 'RM &amp; SF'!B:E, 4, 0)</f>
        <v>غم</v>
      </c>
      <c r="K3271" s="78">
        <v>450</v>
      </c>
      <c r="L3271" s="13">
        <f>VLOOKUP(H3271, 'RM &amp; SF'!B:H, 7, 0)</f>
        <v>1.1818589655172415E-3</v>
      </c>
      <c r="M3271" s="15">
        <f t="shared" si="169"/>
        <v>0.53183653448275869</v>
      </c>
      <c r="N3271" s="21" t="s">
        <v>825</v>
      </c>
      <c r="O3271" s="4">
        <f>VLOOKUP(B3271, 'All Menu'!B:L, 6, 0)</f>
        <v>1.2931034482758621</v>
      </c>
      <c r="P3271" s="6">
        <f>VLOOKUP(B3271, 'All Menu'!B:L, 9, 0)</f>
        <v>0.59931053448275862</v>
      </c>
      <c r="Q3271" s="14">
        <f>VLOOKUP(B3271, 'All Menu'!B:M, 12, 0)</f>
        <v>0.53653318666666672</v>
      </c>
      <c r="R3271" s="173">
        <f t="shared" si="168"/>
        <v>0</v>
      </c>
    </row>
    <row r="3272" spans="1:18" ht="14" hidden="1">
      <c r="A3272" s="78" t="s">
        <v>3114</v>
      </c>
      <c r="B3272" s="220" t="s">
        <v>1233</v>
      </c>
      <c r="C3272" s="185"/>
      <c r="D3272" s="30" t="str">
        <f>VLOOKUP(B3272, 'All Menu'!B:M, 4, 0)</f>
        <v>شوربة الذرة</v>
      </c>
      <c r="E3272" s="30" t="str">
        <f>VLOOKUP(B3272, 'All Menu'!B:M, 2, 0)</f>
        <v>قسم المقبلات</v>
      </c>
      <c r="F3272" s="103" t="str">
        <f>VLOOKUP(B3272, 'All Menu'!B:M, 3, 0)</f>
        <v>شوربات سفري</v>
      </c>
      <c r="G3272" s="90" t="s">
        <v>2307</v>
      </c>
      <c r="H3272" s="219">
        <v>4284</v>
      </c>
      <c r="I3272" s="110" t="str">
        <f>VLOOKUP(H3272, 'RM &amp; SF'!B:H, 2, 0)</f>
        <v>علب سلطة بلاستيك شفاف (كرستال) دائرية متصل 500 مل*****</v>
      </c>
      <c r="J3272" s="184" t="str">
        <f>VLOOKUP(H3272, 'RM &amp; SF'!B:E, 4, 0)</f>
        <v>قطعة</v>
      </c>
      <c r="K3272" s="78">
        <v>1</v>
      </c>
      <c r="L3272" s="13">
        <f>VLOOKUP(H3272, 'RM &amp; SF'!B:H, 7, 0)</f>
        <v>6.7000000000000004E-2</v>
      </c>
      <c r="M3272" s="15">
        <f t="shared" si="169"/>
        <v>6.7000000000000004E-2</v>
      </c>
      <c r="N3272" s="21" t="s">
        <v>825</v>
      </c>
      <c r="O3272" s="4">
        <f>VLOOKUP(B3272, 'All Menu'!B:L, 6, 0)</f>
        <v>1.2931034482758621</v>
      </c>
      <c r="P3272" s="6">
        <f>VLOOKUP(B3272, 'All Menu'!B:L, 9, 0)</f>
        <v>0.59931053448275862</v>
      </c>
      <c r="Q3272" s="14">
        <f>VLOOKUP(B3272, 'All Menu'!B:M, 12, 0)</f>
        <v>0.53653318666666672</v>
      </c>
      <c r="R3272" s="173">
        <f t="shared" si="168"/>
        <v>0</v>
      </c>
    </row>
    <row r="3273" spans="1:18" ht="14" hidden="1">
      <c r="A3273" s="78" t="s">
        <v>3114</v>
      </c>
      <c r="B3273" s="220" t="s">
        <v>1233</v>
      </c>
      <c r="C3273" s="185"/>
      <c r="D3273" s="30" t="str">
        <f>VLOOKUP(B3273, 'All Menu'!B:M, 4, 0)</f>
        <v>شوربة الذرة</v>
      </c>
      <c r="E3273" s="30" t="str">
        <f>VLOOKUP(B3273, 'All Menu'!B:M, 2, 0)</f>
        <v>قسم المقبلات</v>
      </c>
      <c r="F3273" s="103" t="str">
        <f>VLOOKUP(B3273, 'All Menu'!B:M, 3, 0)</f>
        <v>شوربات سفري</v>
      </c>
      <c r="G3273" s="90" t="s">
        <v>2195</v>
      </c>
      <c r="H3273" s="219">
        <v>4329</v>
      </c>
      <c r="I3273" s="110" t="str">
        <f>VLOOKUP(H3273, 'RM &amp; SF'!B:H, 2, 0)</f>
        <v>ملاعق بلاستيك مع معقم مطبوع 1*500 حبة*****</v>
      </c>
      <c r="J3273" s="184" t="str">
        <f>VLOOKUP(H3273, 'RM &amp; SF'!B:E, 4, 0)</f>
        <v>قطعة</v>
      </c>
      <c r="K3273" s="78">
        <v>1</v>
      </c>
      <c r="L3273" s="13">
        <f>VLOOKUP(H3273, 'RM &amp; SF'!B:H, 7, 0)</f>
        <v>4.7399999999999997E-4</v>
      </c>
      <c r="M3273" s="15">
        <f t="shared" si="169"/>
        <v>4.7399999999999997E-4</v>
      </c>
      <c r="N3273" s="21" t="s">
        <v>825</v>
      </c>
      <c r="O3273" s="4">
        <f>VLOOKUP(B3273, 'All Menu'!B:L, 6, 0)</f>
        <v>1.2931034482758621</v>
      </c>
      <c r="P3273" s="6">
        <f>VLOOKUP(B3273, 'All Menu'!B:L, 9, 0)</f>
        <v>0.59931053448275862</v>
      </c>
      <c r="Q3273" s="14">
        <f>VLOOKUP(B3273, 'All Menu'!B:M, 12, 0)</f>
        <v>0.53653318666666672</v>
      </c>
      <c r="R3273" s="173">
        <f t="shared" si="168"/>
        <v>0</v>
      </c>
    </row>
    <row r="3274" spans="1:18" ht="14" hidden="1">
      <c r="A3274" s="78" t="s">
        <v>3115</v>
      </c>
      <c r="B3274" s="220" t="s">
        <v>1234</v>
      </c>
      <c r="C3274" s="185"/>
      <c r="D3274" s="30" t="str">
        <f>VLOOKUP(B3274, 'All Menu'!B:M, 4, 0)</f>
        <v>شوربة خضار</v>
      </c>
      <c r="E3274" s="30" t="str">
        <f>VLOOKUP(B3274, 'All Menu'!B:M, 2, 0)</f>
        <v>قسم المقبلات</v>
      </c>
      <c r="F3274" s="103" t="str">
        <f>VLOOKUP(B3274, 'All Menu'!B:M, 3, 0)</f>
        <v>شوربات سفري</v>
      </c>
      <c r="G3274" s="90" t="s">
        <v>2428</v>
      </c>
      <c r="H3274" s="219" t="s">
        <v>632</v>
      </c>
      <c r="I3274" s="110" t="str">
        <f>VLOOKUP(H3274, 'RM &amp; SF'!B:H, 2, 0)</f>
        <v>شوربة خضار</v>
      </c>
      <c r="J3274" s="184" t="str">
        <f>VLOOKUP(H3274, 'RM &amp; SF'!B:E, 4, 0)</f>
        <v>غم</v>
      </c>
      <c r="K3274" s="78">
        <v>450</v>
      </c>
      <c r="L3274" s="13">
        <f>VLOOKUP(H3274, 'RM &amp; SF'!B:H, 7, 0)</f>
        <v>1.3420769885057472E-4</v>
      </c>
      <c r="M3274" s="15">
        <f t="shared" si="169"/>
        <v>6.0393464482758626E-2</v>
      </c>
      <c r="N3274" s="21" t="s">
        <v>825</v>
      </c>
      <c r="O3274" s="4">
        <f>VLOOKUP(B3274, 'All Menu'!B:L, 6, 0)</f>
        <v>1.2931034482758621</v>
      </c>
      <c r="P3274" s="6">
        <f>VLOOKUP(B3274, 'All Menu'!B:L, 9, 0)</f>
        <v>0.12786746448275862</v>
      </c>
      <c r="Q3274" s="14">
        <f>VLOOKUP(B3274, 'All Menu'!B:M, 12, 0)</f>
        <v>0.90111582746666663</v>
      </c>
      <c r="R3274" s="173">
        <f t="shared" ref="R3274:R3337" si="170">C3274*K3274</f>
        <v>0</v>
      </c>
    </row>
    <row r="3275" spans="1:18" ht="14" hidden="1">
      <c r="A3275" s="78" t="s">
        <v>3115</v>
      </c>
      <c r="B3275" s="220" t="s">
        <v>1234</v>
      </c>
      <c r="C3275" s="185"/>
      <c r="D3275" s="30" t="str">
        <f>VLOOKUP(B3275, 'All Menu'!B:M, 4, 0)</f>
        <v>شوربة خضار</v>
      </c>
      <c r="E3275" s="30" t="str">
        <f>VLOOKUP(B3275, 'All Menu'!B:M, 2, 0)</f>
        <v>قسم المقبلات</v>
      </c>
      <c r="F3275" s="103" t="str">
        <f>VLOOKUP(B3275, 'All Menu'!B:M, 3, 0)</f>
        <v>شوربات سفري</v>
      </c>
      <c r="G3275" s="90" t="s">
        <v>2307</v>
      </c>
      <c r="H3275" s="219">
        <v>4284</v>
      </c>
      <c r="I3275" s="110" t="str">
        <f>VLOOKUP(H3275, 'RM &amp; SF'!B:H, 2, 0)</f>
        <v>علب سلطة بلاستيك شفاف (كرستال) دائرية متصل 500 مل*****</v>
      </c>
      <c r="J3275" s="184" t="str">
        <f>VLOOKUP(H3275, 'RM &amp; SF'!B:E, 4, 0)</f>
        <v>قطعة</v>
      </c>
      <c r="K3275" s="78">
        <v>1</v>
      </c>
      <c r="L3275" s="13">
        <f>VLOOKUP(H3275, 'RM &amp; SF'!B:H, 7, 0)</f>
        <v>6.7000000000000004E-2</v>
      </c>
      <c r="M3275" s="15">
        <f t="shared" si="169"/>
        <v>6.7000000000000004E-2</v>
      </c>
      <c r="N3275" s="21" t="s">
        <v>825</v>
      </c>
      <c r="O3275" s="4">
        <f>VLOOKUP(B3275, 'All Menu'!B:L, 6, 0)</f>
        <v>1.2931034482758621</v>
      </c>
      <c r="P3275" s="6">
        <f>VLOOKUP(B3275, 'All Menu'!B:L, 9, 0)</f>
        <v>0.12786746448275862</v>
      </c>
      <c r="Q3275" s="14">
        <f>VLOOKUP(B3275, 'All Menu'!B:M, 12, 0)</f>
        <v>0.90111582746666663</v>
      </c>
      <c r="R3275" s="173">
        <f t="shared" si="170"/>
        <v>0</v>
      </c>
    </row>
    <row r="3276" spans="1:18" ht="14" hidden="1">
      <c r="A3276" s="78" t="s">
        <v>3115</v>
      </c>
      <c r="B3276" s="220" t="s">
        <v>1234</v>
      </c>
      <c r="C3276" s="185"/>
      <c r="D3276" s="30" t="str">
        <f>VLOOKUP(B3276, 'All Menu'!B:M, 4, 0)</f>
        <v>شوربة خضار</v>
      </c>
      <c r="E3276" s="30" t="str">
        <f>VLOOKUP(B3276, 'All Menu'!B:M, 2, 0)</f>
        <v>قسم المقبلات</v>
      </c>
      <c r="F3276" s="103" t="str">
        <f>VLOOKUP(B3276, 'All Menu'!B:M, 3, 0)</f>
        <v>شوربات سفري</v>
      </c>
      <c r="G3276" s="90" t="s">
        <v>2195</v>
      </c>
      <c r="H3276" s="219">
        <v>4329</v>
      </c>
      <c r="I3276" s="110" t="str">
        <f>VLOOKUP(H3276, 'RM &amp; SF'!B:H, 2, 0)</f>
        <v>ملاعق بلاستيك مع معقم مطبوع 1*500 حبة*****</v>
      </c>
      <c r="J3276" s="184" t="str">
        <f>VLOOKUP(H3276, 'RM &amp; SF'!B:E, 4, 0)</f>
        <v>قطعة</v>
      </c>
      <c r="K3276" s="78">
        <v>1</v>
      </c>
      <c r="L3276" s="13">
        <f>VLOOKUP(H3276, 'RM &amp; SF'!B:H, 7, 0)</f>
        <v>4.7399999999999997E-4</v>
      </c>
      <c r="M3276" s="15">
        <f t="shared" si="169"/>
        <v>4.7399999999999997E-4</v>
      </c>
      <c r="N3276" s="21" t="s">
        <v>825</v>
      </c>
      <c r="O3276" s="4">
        <f>VLOOKUP(B3276, 'All Menu'!B:L, 6, 0)</f>
        <v>1.2931034482758621</v>
      </c>
      <c r="P3276" s="6">
        <f>VLOOKUP(B3276, 'All Menu'!B:L, 9, 0)</f>
        <v>0.12786746448275862</v>
      </c>
      <c r="Q3276" s="14">
        <f>VLOOKUP(B3276, 'All Menu'!B:M, 12, 0)</f>
        <v>0.90111582746666663</v>
      </c>
      <c r="R3276" s="173">
        <f t="shared" si="170"/>
        <v>0</v>
      </c>
    </row>
    <row r="3277" spans="1:18" ht="14" hidden="1">
      <c r="A3277" s="78" t="s">
        <v>3112</v>
      </c>
      <c r="B3277" s="220" t="s">
        <v>1897</v>
      </c>
      <c r="C3277" s="185"/>
      <c r="D3277" s="30" t="str">
        <f>VLOOKUP(B3277, 'All Menu'!B:M, 4, 0)</f>
        <v>سمبوسك جبنة/حبة</v>
      </c>
      <c r="E3277" s="30" t="str">
        <f>VLOOKUP(B3277, 'All Menu'!B:M, 2, 0)</f>
        <v>قسم المقبلات</v>
      </c>
      <c r="F3277" s="103" t="str">
        <f>VLOOKUP(B3277, 'All Menu'!B:M, 3, 0)</f>
        <v>المقبلات سفري</v>
      </c>
      <c r="G3277" s="90" t="s">
        <v>2327</v>
      </c>
      <c r="H3277" s="219" t="s">
        <v>684</v>
      </c>
      <c r="I3277" s="110" t="str">
        <f>VLOOKUP(H3277, 'RM &amp; SF'!B:H, 2, 0)</f>
        <v>سمبوسك جبنة</v>
      </c>
      <c r="J3277" s="184" t="str">
        <f>VLOOKUP(H3277, 'RM &amp; SF'!B:E, 4, 0)</f>
        <v>قطعة</v>
      </c>
      <c r="K3277" s="78">
        <v>1</v>
      </c>
      <c r="L3277" s="13">
        <f>VLOOKUP(H3277, 'RM &amp; SF'!B:H, 7, 0)</f>
        <v>0.1167055</v>
      </c>
      <c r="M3277" s="15">
        <f t="shared" si="169"/>
        <v>0.1167055</v>
      </c>
      <c r="N3277" s="21" t="s">
        <v>825</v>
      </c>
      <c r="O3277" s="4">
        <f>VLOOKUP(B3277, 'All Menu'!B:L, 6, 0)</f>
        <v>0.43103448275862072</v>
      </c>
      <c r="P3277" s="6">
        <f>VLOOKUP(B3277, 'All Menu'!B:L, 9, 0)</f>
        <v>0.1167055</v>
      </c>
      <c r="Q3277" s="14">
        <f>VLOOKUP(B3277, 'All Menu'!B:M, 12, 0)</f>
        <v>0.72924323999999996</v>
      </c>
      <c r="R3277" s="173">
        <f t="shared" si="170"/>
        <v>0</v>
      </c>
    </row>
    <row r="3278" spans="1:18" ht="14" hidden="1">
      <c r="A3278" s="78" t="s">
        <v>3113</v>
      </c>
      <c r="B3278" s="220" t="s">
        <v>1898</v>
      </c>
      <c r="C3278" s="185"/>
      <c r="D3278" s="30" t="str">
        <f>VLOOKUP(B3278, 'All Menu'!B:M, 4, 0)</f>
        <v>سمبوسك لحمة/حبة</v>
      </c>
      <c r="E3278" s="30" t="str">
        <f>VLOOKUP(B3278, 'All Menu'!B:M, 2, 0)</f>
        <v>قسم المقبلات</v>
      </c>
      <c r="F3278" s="103" t="str">
        <f>VLOOKUP(B3278, 'All Menu'!B:M, 3, 0)</f>
        <v>المقبلات سفري</v>
      </c>
      <c r="G3278" s="90" t="s">
        <v>2328</v>
      </c>
      <c r="H3278" s="219" t="s">
        <v>686</v>
      </c>
      <c r="I3278" s="110" t="str">
        <f>VLOOKUP(H3278, 'RM &amp; SF'!B:H, 2, 0)</f>
        <v>سمبوسك لحمة</v>
      </c>
      <c r="J3278" s="184" t="str">
        <f>VLOOKUP(H3278, 'RM &amp; SF'!B:E, 4, 0)</f>
        <v>قطعة</v>
      </c>
      <c r="K3278" s="78">
        <v>1</v>
      </c>
      <c r="L3278" s="13">
        <f>VLOOKUP(H3278, 'RM &amp; SF'!B:H, 7, 0)</f>
        <v>0.22020393333333332</v>
      </c>
      <c r="M3278" s="15">
        <f t="shared" si="169"/>
        <v>0.22020393333333332</v>
      </c>
      <c r="N3278" s="21" t="s">
        <v>825</v>
      </c>
      <c r="O3278" s="4">
        <f>VLOOKUP(B3278, 'All Menu'!B:L, 6, 0)</f>
        <v>0.43103448275862072</v>
      </c>
      <c r="P3278" s="6">
        <f>VLOOKUP(B3278, 'All Menu'!B:L, 9, 0)</f>
        <v>0.22020393333333332</v>
      </c>
      <c r="Q3278" s="14">
        <f>VLOOKUP(B3278, 'All Menu'!B:M, 12, 0)</f>
        <v>0.48912687466666671</v>
      </c>
      <c r="R3278" s="173">
        <f t="shared" si="170"/>
        <v>0</v>
      </c>
    </row>
    <row r="3279" spans="1:18" ht="14" hidden="1">
      <c r="A3279" s="78" t="s">
        <v>2996</v>
      </c>
      <c r="B3279" s="220">
        <v>50013</v>
      </c>
      <c r="C3279" s="185"/>
      <c r="D3279" s="30" t="str">
        <f>VLOOKUP(B3279, 'All Menu'!B:M, 4, 0)</f>
        <v>فروج ملوكي طازج</v>
      </c>
      <c r="E3279" s="30" t="str">
        <f>VLOOKUP(B3279, 'All Menu'!B:M, 2, 0)</f>
        <v>قسم الملحمة</v>
      </c>
      <c r="F3279" s="103" t="str">
        <f>VLOOKUP(B3279, 'All Menu'!B:M, 3, 0)</f>
        <v>دواجن</v>
      </c>
      <c r="G3279" s="90" t="s">
        <v>2314</v>
      </c>
      <c r="H3279" s="219">
        <v>5310</v>
      </c>
      <c r="I3279" s="110" t="str">
        <f>VLOOKUP(H3279, 'RM &amp; SF'!B:H, 2, 0)</f>
        <v>فروج ملوكي طازج</v>
      </c>
      <c r="J3279" s="184" t="str">
        <f>VLOOKUP(H3279, 'RM &amp; SF'!B:E, 4, 0)</f>
        <v>غم</v>
      </c>
      <c r="K3279" s="78">
        <v>1000</v>
      </c>
      <c r="L3279" s="13">
        <f>VLOOKUP(H3279, 'RM &amp; SF'!B:H, 7, 0)</f>
        <v>1.65E-3</v>
      </c>
      <c r="M3279" s="15">
        <f t="shared" ref="M3279:M3282" si="171">L3279*K3279</f>
        <v>1.65</v>
      </c>
      <c r="N3279" s="21" t="s">
        <v>825</v>
      </c>
      <c r="O3279" s="4">
        <f>VLOOKUP(B3279, 'All Menu'!B:L, 6, 0)</f>
        <v>3.75</v>
      </c>
      <c r="P3279" s="6">
        <f>VLOOKUP(B3279, 'All Menu'!B:L, 9, 0)</f>
        <v>1.65</v>
      </c>
      <c r="Q3279" s="14">
        <f>VLOOKUP(B3279, 'All Menu'!B:M, 12, 0)</f>
        <v>0.56000000000000005</v>
      </c>
      <c r="R3279" s="173">
        <f t="shared" si="170"/>
        <v>0</v>
      </c>
    </row>
    <row r="3280" spans="1:18" ht="14" hidden="1">
      <c r="A3280" s="78" t="s">
        <v>2458</v>
      </c>
      <c r="B3280" s="220">
        <v>50011</v>
      </c>
      <c r="C3280" s="185"/>
      <c r="D3280" s="30" t="str">
        <f>VLOOKUP(B3280, 'All Menu'!B:M, 4, 0)</f>
        <v>قوانص دجاج</v>
      </c>
      <c r="E3280" s="30" t="str">
        <f>VLOOKUP(B3280, 'All Menu'!B:M, 2, 0)</f>
        <v>قسم الملحمة</v>
      </c>
      <c r="F3280" s="103" t="str">
        <f>VLOOKUP(B3280, 'All Menu'!B:M, 3, 0)</f>
        <v>دواجن</v>
      </c>
      <c r="G3280" s="90" t="s">
        <v>2458</v>
      </c>
      <c r="H3280" s="219" t="s">
        <v>403</v>
      </c>
      <c r="I3280" s="110" t="str">
        <f>VLOOKUP(H3280, 'RM &amp; SF'!B:H, 2, 0)</f>
        <v>قوانص دجاج</v>
      </c>
      <c r="J3280" s="184" t="str">
        <f>VLOOKUP(H3280, 'RM &amp; SF'!B:E, 4, 0)</f>
        <v>غم</v>
      </c>
      <c r="K3280" s="78">
        <v>1000</v>
      </c>
      <c r="L3280" s="13">
        <f>VLOOKUP(H3280, 'RM &amp; SF'!B:H, 7, 0)</f>
        <v>7.5000000000000002E-4</v>
      </c>
      <c r="M3280" s="15">
        <f t="shared" si="171"/>
        <v>0.75</v>
      </c>
      <c r="N3280" s="21" t="s">
        <v>825</v>
      </c>
      <c r="O3280" s="4">
        <f>VLOOKUP(B3280, 'All Menu'!B:L, 6, 0)</f>
        <v>3</v>
      </c>
      <c r="P3280" s="6">
        <f>VLOOKUP(B3280, 'All Menu'!B:L, 9, 0)</f>
        <v>0.75</v>
      </c>
      <c r="Q3280" s="14">
        <f>VLOOKUP(B3280, 'All Menu'!B:M, 12, 0)</f>
        <v>0.75</v>
      </c>
      <c r="R3280" s="173">
        <f t="shared" si="170"/>
        <v>0</v>
      </c>
    </row>
    <row r="3281" spans="1:18" ht="14" hidden="1">
      <c r="A3281" s="78" t="s">
        <v>2459</v>
      </c>
      <c r="B3281" s="220">
        <v>50012</v>
      </c>
      <c r="C3281" s="185"/>
      <c r="D3281" s="30" t="str">
        <f>VLOOKUP(B3281, 'All Menu'!B:M, 4, 0)</f>
        <v>قلوب دجاج</v>
      </c>
      <c r="E3281" s="30" t="str">
        <f>VLOOKUP(B3281, 'All Menu'!B:M, 2, 0)</f>
        <v>قسم الملحمة</v>
      </c>
      <c r="F3281" s="103" t="str">
        <f>VLOOKUP(B3281, 'All Menu'!B:M, 3, 0)</f>
        <v>دواجن</v>
      </c>
      <c r="G3281" s="90" t="s">
        <v>2459</v>
      </c>
      <c r="H3281" s="219" t="s">
        <v>405</v>
      </c>
      <c r="I3281" s="110" t="str">
        <f>VLOOKUP(H3281, 'RM &amp; SF'!B:H, 2, 0)</f>
        <v>قلوب دجاج</v>
      </c>
      <c r="J3281" s="184" t="str">
        <f>VLOOKUP(H3281, 'RM &amp; SF'!B:E, 4, 0)</f>
        <v>غم</v>
      </c>
      <c r="K3281" s="78">
        <v>1000</v>
      </c>
      <c r="L3281" s="13">
        <f>VLOOKUP(H3281, 'RM &amp; SF'!B:H, 7, 0)</f>
        <v>7.5000000000000002E-4</v>
      </c>
      <c r="M3281" s="15">
        <f t="shared" si="171"/>
        <v>0.75</v>
      </c>
      <c r="N3281" s="21" t="s">
        <v>825</v>
      </c>
      <c r="O3281" s="4">
        <f>VLOOKUP(B3281, 'All Menu'!B:L, 6, 0)</f>
        <v>3</v>
      </c>
      <c r="P3281" s="6">
        <f>VLOOKUP(B3281, 'All Menu'!B:L, 9, 0)</f>
        <v>0.75</v>
      </c>
      <c r="Q3281" s="14">
        <f>VLOOKUP(B3281, 'All Menu'!B:M, 12, 0)</f>
        <v>0.75</v>
      </c>
      <c r="R3281" s="173">
        <f t="shared" si="170"/>
        <v>0</v>
      </c>
    </row>
    <row r="3282" spans="1:18" ht="14" hidden="1">
      <c r="A3282" s="78" t="s">
        <v>3163</v>
      </c>
      <c r="B3282" s="220" t="s">
        <v>1916</v>
      </c>
      <c r="C3282" s="185"/>
      <c r="D3282" s="30" t="str">
        <f>VLOOKUP(B3282, 'All Menu'!B:M, 4, 0)</f>
        <v>رب اي 14</v>
      </c>
      <c r="E3282" s="30" t="str">
        <f>VLOOKUP(B3282, 'All Menu'!B:M, 2, 0)</f>
        <v>قسم الملحمة</v>
      </c>
      <c r="F3282" s="103" t="str">
        <f>VLOOKUP(B3282, 'All Menu'!B:M, 3, 0)</f>
        <v>لحوم بلدية</v>
      </c>
      <c r="G3282" s="90" t="s">
        <v>3058</v>
      </c>
      <c r="H3282" s="219">
        <v>5401</v>
      </c>
      <c r="I3282" s="110" t="str">
        <f>VLOOKUP(H3282, 'RM &amp; SF'!B:H, 2, 0)</f>
        <v xml:space="preserve">روز بيف  </v>
      </c>
      <c r="J3282" s="184" t="str">
        <f>VLOOKUP(H3282, 'RM &amp; SF'!B:E, 4, 0)</f>
        <v>غم</v>
      </c>
      <c r="K3282" s="78">
        <v>1000</v>
      </c>
      <c r="L3282" s="13">
        <f>VLOOKUP(H3282, 'RM &amp; SF'!B:H, 7, 0)</f>
        <v>1.2580000000000001E-2</v>
      </c>
      <c r="M3282" s="15">
        <f t="shared" si="171"/>
        <v>12.58</v>
      </c>
      <c r="N3282" s="21" t="s">
        <v>825</v>
      </c>
      <c r="O3282" s="4">
        <f>VLOOKUP(B3282, 'All Menu'!B:L, 6, 0)</f>
        <v>14</v>
      </c>
      <c r="P3282" s="6">
        <f>VLOOKUP(B3282, 'All Menu'!B:L, 9, 0)</f>
        <v>12.58</v>
      </c>
      <c r="Q3282" s="14">
        <f>VLOOKUP(B3282, 'All Menu'!B:M, 12, 0)</f>
        <v>0.10142857142857142</v>
      </c>
      <c r="R3282" s="173">
        <f t="shared" si="170"/>
        <v>0</v>
      </c>
    </row>
    <row r="3283" spans="1:18" ht="14" hidden="1">
      <c r="A3283" s="78" t="s">
        <v>3090</v>
      </c>
      <c r="B3283" s="220" t="s">
        <v>1986</v>
      </c>
      <c r="C3283" s="185"/>
      <c r="D3283" s="30" t="str">
        <f>VLOOKUP(B3283, 'All Menu'!B:M, 4, 0)</f>
        <v>دجاجة شواية</v>
      </c>
      <c r="E3283" s="30" t="str">
        <f>VLOOKUP(B3283, 'All Menu'!B:M, 2, 0)</f>
        <v>قسم الصالة</v>
      </c>
      <c r="F3283" s="103" t="str">
        <f>VLOOKUP(B3283, 'All Menu'!B:M, 3, 0)</f>
        <v>المشاوي صالة</v>
      </c>
      <c r="G3283" s="90" t="s">
        <v>2380</v>
      </c>
      <c r="H3283" s="219" t="s">
        <v>1905</v>
      </c>
      <c r="I3283" s="110" t="str">
        <f>VLOOKUP(H3283, 'RM &amp; SF'!B:H, 2, 0)</f>
        <v>دجاجة شواية</v>
      </c>
      <c r="J3283" s="184" t="str">
        <f>VLOOKUP(H3283, 'RM &amp; SF'!B:E, 4, 0)</f>
        <v>حبة</v>
      </c>
      <c r="K3283" s="78">
        <v>1</v>
      </c>
      <c r="L3283" s="13">
        <f>VLOOKUP(H3283, 'RM &amp; SF'!B:H, 7, 0)</f>
        <v>2.6476479954954959</v>
      </c>
      <c r="M3283" s="15">
        <f t="shared" ref="M3283:M3302" si="172">L3283*K3283</f>
        <v>2.6476479954954959</v>
      </c>
      <c r="N3283" s="21" t="s">
        <v>825</v>
      </c>
      <c r="O3283" s="4">
        <f>VLOOKUP(B3283, 'All Menu'!B:L, 6, 0)</f>
        <v>6.25</v>
      </c>
      <c r="P3283" s="6">
        <f>VLOOKUP(B3283, 'All Menu'!B:L, 9, 0)</f>
        <v>3.3754918850821847</v>
      </c>
      <c r="Q3283" s="14">
        <f>VLOOKUP(B3283, 'All Menu'!B:M, 12, 0)</f>
        <v>0.45992129838685047</v>
      </c>
      <c r="R3283" s="173">
        <f t="shared" si="170"/>
        <v>0</v>
      </c>
    </row>
    <row r="3284" spans="1:18" ht="14" hidden="1">
      <c r="A3284" s="78" t="s">
        <v>3090</v>
      </c>
      <c r="B3284" s="220" t="s">
        <v>1986</v>
      </c>
      <c r="C3284" s="185"/>
      <c r="D3284" s="30" t="str">
        <f>VLOOKUP(B3284, 'All Menu'!B:M, 4, 0)</f>
        <v>دجاجة شواية</v>
      </c>
      <c r="E3284" s="30" t="str">
        <f>VLOOKUP(B3284, 'All Menu'!B:M, 2, 0)</f>
        <v>قسم الصالة</v>
      </c>
      <c r="F3284" s="103" t="str">
        <f>VLOOKUP(B3284, 'All Menu'!B:M, 3, 0)</f>
        <v>المشاوي صالة</v>
      </c>
      <c r="G3284" s="90" t="s">
        <v>3058</v>
      </c>
      <c r="H3284" s="219">
        <v>5418</v>
      </c>
      <c r="I3284" s="110" t="str">
        <f>VLOOKUP(H3284, 'RM &amp; SF'!B:H, 2, 0)</f>
        <v xml:space="preserve">بطاطا شرحات جاهزة </v>
      </c>
      <c r="J3284" s="184" t="str">
        <f>VLOOKUP(H3284, 'RM &amp; SF'!B:E, 4, 0)</f>
        <v>غم</v>
      </c>
      <c r="K3284" s="78">
        <v>200</v>
      </c>
      <c r="L3284" s="13">
        <f>VLOOKUP(H3284, 'RM &amp; SF'!B:H, 7, 0)</f>
        <v>8.6209999999999998E-4</v>
      </c>
      <c r="M3284" s="15">
        <f t="shared" si="172"/>
        <v>0.17241999999999999</v>
      </c>
      <c r="N3284" s="21" t="s">
        <v>825</v>
      </c>
      <c r="O3284" s="4">
        <f>VLOOKUP(B3284, 'All Menu'!B:L, 6, 0)</f>
        <v>6.25</v>
      </c>
      <c r="P3284" s="6">
        <f>VLOOKUP(B3284, 'All Menu'!B:L, 9, 0)</f>
        <v>3.3754918850821847</v>
      </c>
      <c r="Q3284" s="14">
        <f>VLOOKUP(B3284, 'All Menu'!B:M, 12, 0)</f>
        <v>0.45992129838685047</v>
      </c>
      <c r="R3284" s="173">
        <f t="shared" si="170"/>
        <v>0</v>
      </c>
    </row>
    <row r="3285" spans="1:18" ht="14" hidden="1">
      <c r="A3285" s="78" t="s">
        <v>3090</v>
      </c>
      <c r="B3285" s="220" t="s">
        <v>1986</v>
      </c>
      <c r="C3285" s="185"/>
      <c r="D3285" s="30" t="str">
        <f>VLOOKUP(B3285, 'All Menu'!B:M, 4, 0)</f>
        <v>دجاجة شواية</v>
      </c>
      <c r="E3285" s="30" t="str">
        <f>VLOOKUP(B3285, 'All Menu'!B:M, 2, 0)</f>
        <v>قسم الصالة</v>
      </c>
      <c r="F3285" s="103" t="str">
        <f>VLOOKUP(B3285, 'All Menu'!B:M, 3, 0)</f>
        <v>المشاوي صالة</v>
      </c>
      <c r="G3285" s="90" t="s">
        <v>2331</v>
      </c>
      <c r="H3285" s="219" t="s">
        <v>530</v>
      </c>
      <c r="I3285" s="110" t="str">
        <f>VLOOKUP(H3285, 'RM &amp; SF'!B:H, 2, 0)</f>
        <v>خبز صاج</v>
      </c>
      <c r="J3285" s="184" t="str">
        <f>VLOOKUP(H3285, 'RM &amp; SF'!B:E, 4, 0)</f>
        <v>غم</v>
      </c>
      <c r="K3285" s="78">
        <v>180</v>
      </c>
      <c r="L3285" s="13">
        <f>VLOOKUP(H3285, 'RM &amp; SF'!B:H, 7, 0)</f>
        <v>1.8806451612903227E-4</v>
      </c>
      <c r="M3285" s="15">
        <f t="shared" si="172"/>
        <v>3.385161290322581E-2</v>
      </c>
      <c r="N3285" s="21" t="s">
        <v>825</v>
      </c>
      <c r="O3285" s="4">
        <f>VLOOKUP(B3285, 'All Menu'!B:L, 6, 0)</f>
        <v>6.25</v>
      </c>
      <c r="P3285" s="6">
        <f>VLOOKUP(B3285, 'All Menu'!B:L, 9, 0)</f>
        <v>3.3754918850821847</v>
      </c>
      <c r="Q3285" s="14">
        <f>VLOOKUP(B3285, 'All Menu'!B:M, 12, 0)</f>
        <v>0.45992129838685047</v>
      </c>
      <c r="R3285" s="173">
        <f t="shared" si="170"/>
        <v>0</v>
      </c>
    </row>
    <row r="3286" spans="1:18" ht="14" hidden="1">
      <c r="A3286" s="78" t="s">
        <v>3090</v>
      </c>
      <c r="B3286" s="220" t="s">
        <v>1986</v>
      </c>
      <c r="C3286" s="185"/>
      <c r="D3286" s="30" t="str">
        <f>VLOOKUP(B3286, 'All Menu'!B:M, 4, 0)</f>
        <v>دجاجة شواية</v>
      </c>
      <c r="E3286" s="30" t="str">
        <f>VLOOKUP(B3286, 'All Menu'!B:M, 2, 0)</f>
        <v>قسم الصالة</v>
      </c>
      <c r="F3286" s="103" t="str">
        <f>VLOOKUP(B3286, 'All Menu'!B:M, 3, 0)</f>
        <v>المشاوي صالة</v>
      </c>
      <c r="G3286" s="90" t="s">
        <v>2325</v>
      </c>
      <c r="H3286" s="219" t="s">
        <v>534</v>
      </c>
      <c r="I3286" s="110" t="str">
        <f>VLOOKUP(H3286, 'RM &amp; SF'!B:H, 2, 0)</f>
        <v>مثومه</v>
      </c>
      <c r="J3286" s="184" t="str">
        <f>VLOOKUP(H3286, 'RM &amp; SF'!B:E, 4, 0)</f>
        <v>غم</v>
      </c>
      <c r="K3286" s="78">
        <v>300</v>
      </c>
      <c r="L3286" s="13">
        <f>VLOOKUP(H3286, 'RM &amp; SF'!B:H, 7, 0)</f>
        <v>6.6564092227821051E-4</v>
      </c>
      <c r="M3286" s="15">
        <f t="shared" si="172"/>
        <v>0.19969227668346315</v>
      </c>
      <c r="N3286" s="21" t="s">
        <v>825</v>
      </c>
      <c r="O3286" s="4">
        <f>VLOOKUP(B3286, 'All Menu'!B:L, 6, 0)</f>
        <v>6.25</v>
      </c>
      <c r="P3286" s="6">
        <f>VLOOKUP(B3286, 'All Menu'!B:L, 9, 0)</f>
        <v>3.3754918850821847</v>
      </c>
      <c r="Q3286" s="14">
        <f>VLOOKUP(B3286, 'All Menu'!B:M, 12, 0)</f>
        <v>0.45992129838685047</v>
      </c>
      <c r="R3286" s="173">
        <f t="shared" si="170"/>
        <v>0</v>
      </c>
    </row>
    <row r="3287" spans="1:18" ht="14" hidden="1">
      <c r="A3287" s="78" t="s">
        <v>3090</v>
      </c>
      <c r="B3287" s="220" t="s">
        <v>1986</v>
      </c>
      <c r="C3287" s="185"/>
      <c r="D3287" s="30" t="str">
        <f>VLOOKUP(B3287, 'All Menu'!B:M, 4, 0)</f>
        <v>دجاجة شواية</v>
      </c>
      <c r="E3287" s="30" t="str">
        <f>VLOOKUP(B3287, 'All Menu'!B:M, 2, 0)</f>
        <v>قسم الصالة</v>
      </c>
      <c r="F3287" s="103" t="str">
        <f>VLOOKUP(B3287, 'All Menu'!B:M, 3, 0)</f>
        <v>المشاوي صالة</v>
      </c>
      <c r="G3287" s="90" t="s">
        <v>2409</v>
      </c>
      <c r="H3287" s="219" t="s">
        <v>578</v>
      </c>
      <c r="I3287" s="110" t="str">
        <f>VLOOKUP(H3287, 'RM &amp; SF'!B:H, 2, 0)</f>
        <v>علبة مخلل</v>
      </c>
      <c r="J3287" s="184" t="str">
        <f>VLOOKUP(H3287, 'RM &amp; SF'!B:E, 4, 0)</f>
        <v>قطعة</v>
      </c>
      <c r="K3287" s="78">
        <v>2</v>
      </c>
      <c r="L3287" s="13">
        <f>VLOOKUP(H3287, 'RM &amp; SF'!B:H, 7, 0)</f>
        <v>6.0440000000000001E-2</v>
      </c>
      <c r="M3287" s="15">
        <f t="shared" si="172"/>
        <v>0.12088</v>
      </c>
      <c r="N3287" s="21" t="s">
        <v>825</v>
      </c>
      <c r="O3287" s="4">
        <f>VLOOKUP(B3287, 'All Menu'!B:L, 6, 0)</f>
        <v>6.25</v>
      </c>
      <c r="P3287" s="6">
        <f>VLOOKUP(B3287, 'All Menu'!B:L, 9, 0)</f>
        <v>3.3754918850821847</v>
      </c>
      <c r="Q3287" s="14">
        <f>VLOOKUP(B3287, 'All Menu'!B:M, 12, 0)</f>
        <v>0.45992129838685047</v>
      </c>
      <c r="R3287" s="173">
        <f t="shared" si="170"/>
        <v>0</v>
      </c>
    </row>
    <row r="3288" spans="1:18" ht="14" hidden="1">
      <c r="A3288" s="78" t="s">
        <v>3090</v>
      </c>
      <c r="B3288" s="220" t="s">
        <v>1986</v>
      </c>
      <c r="C3288" s="185"/>
      <c r="D3288" s="30" t="str">
        <f>VLOOKUP(B3288, 'All Menu'!B:M, 4, 0)</f>
        <v>دجاجة شواية</v>
      </c>
      <c r="E3288" s="30" t="str">
        <f>VLOOKUP(B3288, 'All Menu'!B:M, 2, 0)</f>
        <v>قسم الصالة</v>
      </c>
      <c r="F3288" s="103" t="str">
        <f>VLOOKUP(B3288, 'All Menu'!B:M, 3, 0)</f>
        <v>المشاوي صالة</v>
      </c>
      <c r="G3288" s="90" t="s">
        <v>2307</v>
      </c>
      <c r="H3288" s="219">
        <v>4284</v>
      </c>
      <c r="I3288" s="110" t="str">
        <f>VLOOKUP(H3288, 'RM &amp; SF'!B:H, 2, 0)</f>
        <v>علب سلطة بلاستيك شفاف (كرستال) دائرية متصل 500 مل*****</v>
      </c>
      <c r="J3288" s="184" t="str">
        <f>VLOOKUP(H3288, 'RM &amp; SF'!B:E, 4, 0)</f>
        <v>قطعة</v>
      </c>
      <c r="K3288" s="78">
        <v>3</v>
      </c>
      <c r="L3288" s="13">
        <f>VLOOKUP(H3288, 'RM &amp; SF'!B:H, 7, 0)</f>
        <v>6.7000000000000004E-2</v>
      </c>
      <c r="M3288" s="15">
        <f t="shared" si="172"/>
        <v>0.20100000000000001</v>
      </c>
      <c r="N3288" s="21" t="s">
        <v>825</v>
      </c>
      <c r="O3288" s="4">
        <f>VLOOKUP(B3288, 'All Menu'!B:L, 6, 0)</f>
        <v>6.25</v>
      </c>
      <c r="P3288" s="6">
        <f>VLOOKUP(B3288, 'All Menu'!B:L, 9, 0)</f>
        <v>3.3754918850821847</v>
      </c>
      <c r="Q3288" s="14">
        <f>VLOOKUP(B3288, 'All Menu'!B:M, 12, 0)</f>
        <v>0.45992129838685047</v>
      </c>
      <c r="R3288" s="173">
        <f t="shared" si="170"/>
        <v>0</v>
      </c>
    </row>
    <row r="3289" spans="1:18" ht="14" hidden="1">
      <c r="A3289" s="78" t="s">
        <v>3091</v>
      </c>
      <c r="B3289" s="220" t="s">
        <v>1987</v>
      </c>
      <c r="C3289" s="185"/>
      <c r="D3289" s="30" t="str">
        <f>VLOOKUP(B3289, 'All Menu'!B:M, 4, 0)</f>
        <v>نص دجاجة شواية</v>
      </c>
      <c r="E3289" s="30" t="str">
        <f>VLOOKUP(B3289, 'All Menu'!B:M, 2, 0)</f>
        <v>قسم الصالة</v>
      </c>
      <c r="F3289" s="103" t="str">
        <f>VLOOKUP(B3289, 'All Menu'!B:M, 3, 0)</f>
        <v>المشاوي صالة</v>
      </c>
      <c r="G3289" s="90" t="s">
        <v>2380</v>
      </c>
      <c r="H3289" s="219" t="s">
        <v>1905</v>
      </c>
      <c r="I3289" s="110" t="str">
        <f>VLOOKUP(H3289, 'RM &amp; SF'!B:H, 2, 0)</f>
        <v>دجاجة شواية</v>
      </c>
      <c r="J3289" s="184" t="str">
        <f>VLOOKUP(H3289, 'RM &amp; SF'!B:E, 4, 0)</f>
        <v>حبة</v>
      </c>
      <c r="K3289" s="78">
        <v>0.5</v>
      </c>
      <c r="L3289" s="13">
        <f>VLOOKUP(H3289, 'RM &amp; SF'!B:H, 7, 0)</f>
        <v>2.6476479954954959</v>
      </c>
      <c r="M3289" s="15">
        <f t="shared" si="172"/>
        <v>1.3238239977477479</v>
      </c>
      <c r="N3289" s="21" t="s">
        <v>825</v>
      </c>
      <c r="O3289" s="4">
        <f>VLOOKUP(B3289, 'All Menu'!B:L, 6, 0)</f>
        <v>3.4482758620689657</v>
      </c>
      <c r="P3289" s="6">
        <f>VLOOKUP(B3289, 'All Menu'!B:L, 9, 0)</f>
        <v>1.6041717489927052</v>
      </c>
      <c r="Q3289" s="14">
        <f>VLOOKUP(B3289, 'All Menu'!B:M, 12, 0)</f>
        <v>0.53479019279211548</v>
      </c>
      <c r="R3289" s="173">
        <f t="shared" si="170"/>
        <v>0</v>
      </c>
    </row>
    <row r="3290" spans="1:18" ht="14" hidden="1">
      <c r="A3290" s="78" t="s">
        <v>3091</v>
      </c>
      <c r="B3290" s="220" t="s">
        <v>1987</v>
      </c>
      <c r="C3290" s="185"/>
      <c r="D3290" s="30" t="str">
        <f>VLOOKUP(B3290, 'All Menu'!B:M, 4, 0)</f>
        <v>نص دجاجة شواية</v>
      </c>
      <c r="E3290" s="30" t="str">
        <f>VLOOKUP(B3290, 'All Menu'!B:M, 2, 0)</f>
        <v>قسم الصالة</v>
      </c>
      <c r="F3290" s="103" t="str">
        <f>VLOOKUP(B3290, 'All Menu'!B:M, 3, 0)</f>
        <v>المشاوي صالة</v>
      </c>
      <c r="G3290" s="90" t="s">
        <v>3058</v>
      </c>
      <c r="H3290" s="219">
        <v>5418</v>
      </c>
      <c r="I3290" s="110" t="str">
        <f>VLOOKUP(H3290, 'RM &amp; SF'!B:H, 2, 0)</f>
        <v xml:space="preserve">بطاطا شرحات جاهزة </v>
      </c>
      <c r="J3290" s="184" t="str">
        <f>VLOOKUP(H3290, 'RM &amp; SF'!B:E, 4, 0)</f>
        <v>غم</v>
      </c>
      <c r="K3290" s="78">
        <v>100</v>
      </c>
      <c r="L3290" s="13">
        <f>VLOOKUP(H3290, 'RM &amp; SF'!B:H, 7, 0)</f>
        <v>8.6209999999999998E-4</v>
      </c>
      <c r="M3290" s="15">
        <f t="shared" si="172"/>
        <v>8.6209999999999995E-2</v>
      </c>
      <c r="N3290" s="21" t="s">
        <v>825</v>
      </c>
      <c r="O3290" s="4">
        <f>VLOOKUP(B3290, 'All Menu'!B:L, 6, 0)</f>
        <v>3.4482758620689657</v>
      </c>
      <c r="P3290" s="6">
        <f>VLOOKUP(B3290, 'All Menu'!B:L, 9, 0)</f>
        <v>1.6041717489927052</v>
      </c>
      <c r="Q3290" s="14">
        <f>VLOOKUP(B3290, 'All Menu'!B:M, 12, 0)</f>
        <v>0.53479019279211548</v>
      </c>
      <c r="R3290" s="173">
        <f t="shared" si="170"/>
        <v>0</v>
      </c>
    </row>
    <row r="3291" spans="1:18" ht="14" hidden="1">
      <c r="A3291" s="78" t="s">
        <v>3091</v>
      </c>
      <c r="B3291" s="220" t="s">
        <v>1987</v>
      </c>
      <c r="C3291" s="185"/>
      <c r="D3291" s="30" t="str">
        <f>VLOOKUP(B3291, 'All Menu'!B:M, 4, 0)</f>
        <v>نص دجاجة شواية</v>
      </c>
      <c r="E3291" s="30" t="str">
        <f>VLOOKUP(B3291, 'All Menu'!B:M, 2, 0)</f>
        <v>قسم الصالة</v>
      </c>
      <c r="F3291" s="103" t="str">
        <f>VLOOKUP(B3291, 'All Menu'!B:M, 3, 0)</f>
        <v>المشاوي صالة</v>
      </c>
      <c r="G3291" s="90" t="s">
        <v>2331</v>
      </c>
      <c r="H3291" s="219" t="s">
        <v>530</v>
      </c>
      <c r="I3291" s="110" t="str">
        <f>VLOOKUP(H3291, 'RM &amp; SF'!B:H, 2, 0)</f>
        <v>خبز صاج</v>
      </c>
      <c r="J3291" s="184" t="str">
        <f>VLOOKUP(H3291, 'RM &amp; SF'!B:E, 4, 0)</f>
        <v>غم</v>
      </c>
      <c r="K3291" s="78">
        <v>180</v>
      </c>
      <c r="L3291" s="13">
        <f>VLOOKUP(H3291, 'RM &amp; SF'!B:H, 7, 0)</f>
        <v>1.8806451612903227E-4</v>
      </c>
      <c r="M3291" s="15">
        <f t="shared" si="172"/>
        <v>3.385161290322581E-2</v>
      </c>
      <c r="N3291" s="21" t="s">
        <v>825</v>
      </c>
      <c r="O3291" s="4">
        <f>VLOOKUP(B3291, 'All Menu'!B:L, 6, 0)</f>
        <v>3.4482758620689657</v>
      </c>
      <c r="P3291" s="6">
        <f>VLOOKUP(B3291, 'All Menu'!B:L, 9, 0)</f>
        <v>1.6041717489927052</v>
      </c>
      <c r="Q3291" s="14">
        <f>VLOOKUP(B3291, 'All Menu'!B:M, 12, 0)</f>
        <v>0.53479019279211548</v>
      </c>
      <c r="R3291" s="173">
        <f t="shared" si="170"/>
        <v>0</v>
      </c>
    </row>
    <row r="3292" spans="1:18" ht="14" hidden="1">
      <c r="A3292" s="78" t="s">
        <v>3091</v>
      </c>
      <c r="B3292" s="220" t="s">
        <v>1987</v>
      </c>
      <c r="C3292" s="185"/>
      <c r="D3292" s="30" t="str">
        <f>VLOOKUP(B3292, 'All Menu'!B:M, 4, 0)</f>
        <v>نص دجاجة شواية</v>
      </c>
      <c r="E3292" s="30" t="str">
        <f>VLOOKUP(B3292, 'All Menu'!B:M, 2, 0)</f>
        <v>قسم الصالة</v>
      </c>
      <c r="F3292" s="103" t="str">
        <f>VLOOKUP(B3292, 'All Menu'!B:M, 3, 0)</f>
        <v>المشاوي صالة</v>
      </c>
      <c r="G3292" s="90" t="s">
        <v>2325</v>
      </c>
      <c r="H3292" s="219" t="s">
        <v>534</v>
      </c>
      <c r="I3292" s="110" t="str">
        <f>VLOOKUP(H3292, 'RM &amp; SF'!B:H, 2, 0)</f>
        <v>مثومه</v>
      </c>
      <c r="J3292" s="184" t="str">
        <f>VLOOKUP(H3292, 'RM &amp; SF'!B:E, 4, 0)</f>
        <v>غم</v>
      </c>
      <c r="K3292" s="78">
        <v>150</v>
      </c>
      <c r="L3292" s="13">
        <f>VLOOKUP(H3292, 'RM &amp; SF'!B:H, 7, 0)</f>
        <v>6.6564092227821051E-4</v>
      </c>
      <c r="M3292" s="15">
        <f t="shared" si="172"/>
        <v>9.9846138341731575E-2</v>
      </c>
      <c r="N3292" s="21" t="s">
        <v>825</v>
      </c>
      <c r="O3292" s="4">
        <f>VLOOKUP(B3292, 'All Menu'!B:L, 6, 0)</f>
        <v>3.4482758620689657</v>
      </c>
      <c r="P3292" s="6">
        <f>VLOOKUP(B3292, 'All Menu'!B:L, 9, 0)</f>
        <v>1.6041717489927052</v>
      </c>
      <c r="Q3292" s="14">
        <f>VLOOKUP(B3292, 'All Menu'!B:M, 12, 0)</f>
        <v>0.53479019279211548</v>
      </c>
      <c r="R3292" s="173">
        <f t="shared" si="170"/>
        <v>0</v>
      </c>
    </row>
    <row r="3293" spans="1:18" ht="14" hidden="1">
      <c r="A3293" s="78" t="s">
        <v>3091</v>
      </c>
      <c r="B3293" s="220" t="s">
        <v>1987</v>
      </c>
      <c r="C3293" s="185"/>
      <c r="D3293" s="30" t="str">
        <f>VLOOKUP(B3293, 'All Menu'!B:M, 4, 0)</f>
        <v>نص دجاجة شواية</v>
      </c>
      <c r="E3293" s="30" t="str">
        <f>VLOOKUP(B3293, 'All Menu'!B:M, 2, 0)</f>
        <v>قسم الصالة</v>
      </c>
      <c r="F3293" s="103" t="str">
        <f>VLOOKUP(B3293, 'All Menu'!B:M, 3, 0)</f>
        <v>المشاوي صالة</v>
      </c>
      <c r="G3293" s="90" t="s">
        <v>2409</v>
      </c>
      <c r="H3293" s="219" t="s">
        <v>578</v>
      </c>
      <c r="I3293" s="110" t="str">
        <f>VLOOKUP(H3293, 'RM &amp; SF'!B:H, 2, 0)</f>
        <v>علبة مخلل</v>
      </c>
      <c r="J3293" s="184" t="str">
        <f>VLOOKUP(H3293, 'RM &amp; SF'!B:E, 4, 0)</f>
        <v>قطعة</v>
      </c>
      <c r="K3293" s="78">
        <v>1</v>
      </c>
      <c r="L3293" s="13">
        <f>VLOOKUP(H3293, 'RM &amp; SF'!B:H, 7, 0)</f>
        <v>6.0440000000000001E-2</v>
      </c>
      <c r="M3293" s="15">
        <f t="shared" si="172"/>
        <v>6.0440000000000001E-2</v>
      </c>
      <c r="N3293" s="21" t="s">
        <v>825</v>
      </c>
      <c r="O3293" s="4">
        <f>VLOOKUP(B3293, 'All Menu'!B:L, 6, 0)</f>
        <v>3.4482758620689657</v>
      </c>
      <c r="P3293" s="6">
        <f>VLOOKUP(B3293, 'All Menu'!B:L, 9, 0)</f>
        <v>1.6041717489927052</v>
      </c>
      <c r="Q3293" s="14">
        <f>VLOOKUP(B3293, 'All Menu'!B:M, 12, 0)</f>
        <v>0.53479019279211548</v>
      </c>
      <c r="R3293" s="173">
        <f t="shared" si="170"/>
        <v>0</v>
      </c>
    </row>
    <row r="3294" spans="1:18" ht="14" hidden="1">
      <c r="A3294" s="78" t="s">
        <v>2985</v>
      </c>
      <c r="B3294" s="220" t="s">
        <v>1988</v>
      </c>
      <c r="C3294" s="185"/>
      <c r="D3294" s="30" t="str">
        <f>VLOOKUP(B3294, 'All Menu'!B:M, 4, 0)</f>
        <v>رقبة مشوية</v>
      </c>
      <c r="E3294" s="30" t="str">
        <f>VLOOKUP(B3294, 'All Menu'!B:M, 2, 0)</f>
        <v>قسم الصالة</v>
      </c>
      <c r="F3294" s="103" t="str">
        <f>VLOOKUP(B3294, 'All Menu'!B:M, 3, 0)</f>
        <v>أطباق اليوم صالة</v>
      </c>
      <c r="G3294" s="90" t="s">
        <v>2361</v>
      </c>
      <c r="H3294" s="219" t="s">
        <v>754</v>
      </c>
      <c r="I3294" s="110" t="str">
        <f>VLOOKUP(H3294, 'RM &amp; SF'!B:H, 2, 0)</f>
        <v>رقبة محشية ارز</v>
      </c>
      <c r="J3294" s="184" t="str">
        <f>VLOOKUP(H3294, 'RM &amp; SF'!B:E, 4, 0)</f>
        <v>قطعة</v>
      </c>
      <c r="K3294" s="78">
        <v>1</v>
      </c>
      <c r="L3294" s="13">
        <f>VLOOKUP(H3294, 'RM &amp; SF'!B:H, 7, 0)</f>
        <v>8.3318833087257165</v>
      </c>
      <c r="M3294" s="15">
        <f t="shared" si="172"/>
        <v>8.3318833087257165</v>
      </c>
      <c r="N3294" s="21" t="s">
        <v>825</v>
      </c>
      <c r="O3294" s="4">
        <f>VLOOKUP(B3294, 'All Menu'!B:L, 6, 0)</f>
        <v>15.517241379310345</v>
      </c>
      <c r="P3294" s="6">
        <f>VLOOKUP(B3294, 'All Menu'!B:L, 9, 0)</f>
        <v>9.316249632592255</v>
      </c>
      <c r="Q3294" s="14">
        <f>VLOOKUP(B3294, 'All Menu'!B:M, 12, 0)</f>
        <v>0.39961946812183247</v>
      </c>
      <c r="R3294" s="173">
        <f t="shared" si="170"/>
        <v>0</v>
      </c>
    </row>
    <row r="3295" spans="1:18" ht="14" hidden="1">
      <c r="A3295" s="78" t="s">
        <v>2985</v>
      </c>
      <c r="B3295" s="220" t="s">
        <v>1988</v>
      </c>
      <c r="C3295" s="185"/>
      <c r="D3295" s="30" t="str">
        <f>VLOOKUP(B3295, 'All Menu'!B:M, 4, 0)</f>
        <v>رقبة مشوية</v>
      </c>
      <c r="E3295" s="30" t="str">
        <f>VLOOKUP(B3295, 'All Menu'!B:M, 2, 0)</f>
        <v>قسم الصالة</v>
      </c>
      <c r="F3295" s="103" t="str">
        <f>VLOOKUP(B3295, 'All Menu'!B:M, 3, 0)</f>
        <v>أطباق اليوم صالة</v>
      </c>
      <c r="G3295" s="90" t="s">
        <v>2377</v>
      </c>
      <c r="H3295" s="219" t="s">
        <v>796</v>
      </c>
      <c r="I3295" s="110" t="str">
        <f>VLOOKUP(H3295, 'RM &amp; SF'!B:H, 2, 0)</f>
        <v>رز مبهر</v>
      </c>
      <c r="J3295" s="184" t="str">
        <f>VLOOKUP(H3295, 'RM &amp; SF'!B:E, 4, 0)</f>
        <v>غم</v>
      </c>
      <c r="K3295" s="78">
        <v>650</v>
      </c>
      <c r="L3295" s="13">
        <f>VLOOKUP(H3295, 'RM &amp; SF'!B:H, 7, 0)</f>
        <v>8.1314491666666653E-4</v>
      </c>
      <c r="M3295" s="15">
        <f t="shared" si="172"/>
        <v>0.52854419583333323</v>
      </c>
      <c r="N3295" s="21" t="s">
        <v>825</v>
      </c>
      <c r="O3295" s="4">
        <f>VLOOKUP(B3295, 'All Menu'!B:L, 6, 0)</f>
        <v>15.517241379310345</v>
      </c>
      <c r="P3295" s="6">
        <f>VLOOKUP(B3295, 'All Menu'!B:L, 9, 0)</f>
        <v>9.316249632592255</v>
      </c>
      <c r="Q3295" s="14">
        <f>VLOOKUP(B3295, 'All Menu'!B:M, 12, 0)</f>
        <v>0.39961946812183247</v>
      </c>
      <c r="R3295" s="173">
        <f t="shared" si="170"/>
        <v>0</v>
      </c>
    </row>
    <row r="3296" spans="1:18" ht="14" hidden="1">
      <c r="A3296" s="78" t="s">
        <v>2985</v>
      </c>
      <c r="B3296" s="220" t="s">
        <v>1988</v>
      </c>
      <c r="C3296" s="185"/>
      <c r="D3296" s="30" t="str">
        <f>VLOOKUP(B3296, 'All Menu'!B:M, 4, 0)</f>
        <v>رقبة مشوية</v>
      </c>
      <c r="E3296" s="30" t="str">
        <f>VLOOKUP(B3296, 'All Menu'!B:M, 2, 0)</f>
        <v>قسم الصالة</v>
      </c>
      <c r="F3296" s="103" t="str">
        <f>VLOOKUP(B3296, 'All Menu'!B:M, 3, 0)</f>
        <v>أطباق اليوم صالة</v>
      </c>
      <c r="G3296" s="90" t="s">
        <v>2341</v>
      </c>
      <c r="H3296" s="219" t="s">
        <v>706</v>
      </c>
      <c r="I3296" s="110" t="str">
        <f>VLOOKUP(H3296, 'RM &amp; SF'!B:H, 2, 0)</f>
        <v>لوز مقلي</v>
      </c>
      <c r="J3296" s="184" t="str">
        <f>VLOOKUP(H3296, 'RM &amp; SF'!B:E, 4, 0)</f>
        <v>غم</v>
      </c>
      <c r="K3296" s="78">
        <v>35</v>
      </c>
      <c r="L3296" s="13">
        <f>VLOOKUP(H3296, 'RM &amp; SF'!B:H, 7, 0)</f>
        <v>4.1352327586206888E-3</v>
      </c>
      <c r="M3296" s="15">
        <f t="shared" si="172"/>
        <v>0.14473314655172412</v>
      </c>
      <c r="N3296" s="21" t="s">
        <v>825</v>
      </c>
      <c r="O3296" s="4">
        <f>VLOOKUP(B3296, 'All Menu'!B:L, 6, 0)</f>
        <v>15.517241379310345</v>
      </c>
      <c r="P3296" s="6">
        <f>VLOOKUP(B3296, 'All Menu'!B:L, 9, 0)</f>
        <v>9.316249632592255</v>
      </c>
      <c r="Q3296" s="14">
        <f>VLOOKUP(B3296, 'All Menu'!B:M, 12, 0)</f>
        <v>0.39961946812183247</v>
      </c>
      <c r="R3296" s="173">
        <f t="shared" si="170"/>
        <v>0</v>
      </c>
    </row>
    <row r="3297" spans="1:18" ht="14" hidden="1">
      <c r="A3297" s="78" t="s">
        <v>2985</v>
      </c>
      <c r="B3297" s="220" t="s">
        <v>1988</v>
      </c>
      <c r="C3297" s="185"/>
      <c r="D3297" s="30" t="str">
        <f>VLOOKUP(B3297, 'All Menu'!B:M, 4, 0)</f>
        <v>رقبة مشوية</v>
      </c>
      <c r="E3297" s="30" t="str">
        <f>VLOOKUP(B3297, 'All Menu'!B:M, 2, 0)</f>
        <v>قسم الصالة</v>
      </c>
      <c r="F3297" s="103" t="str">
        <f>VLOOKUP(B3297, 'All Menu'!B:M, 3, 0)</f>
        <v>أطباق اليوم صالة</v>
      </c>
      <c r="G3297" s="90" t="s">
        <v>2170</v>
      </c>
      <c r="H3297" s="219">
        <v>4552</v>
      </c>
      <c r="I3297" s="110" t="str">
        <f>VLOOKUP(H3297, 'RM &amp; SF'!B:H, 2, 0)</f>
        <v>لبن رايب 5 كغ*****</v>
      </c>
      <c r="J3297" s="184" t="str">
        <f>VLOOKUP(H3297, 'RM &amp; SF'!B:E, 4, 0)</f>
        <v>غم</v>
      </c>
      <c r="K3297" s="78">
        <v>200</v>
      </c>
      <c r="L3297" s="13">
        <f>VLOOKUP(H3297, 'RM &amp; SF'!B:H, 7, 0)</f>
        <v>8.0000000000000004E-4</v>
      </c>
      <c r="M3297" s="15">
        <f t="shared" si="172"/>
        <v>0.16</v>
      </c>
      <c r="N3297" s="21" t="s">
        <v>825</v>
      </c>
      <c r="O3297" s="4">
        <f>VLOOKUP(B3297, 'All Menu'!B:L, 6, 0)</f>
        <v>15.517241379310345</v>
      </c>
      <c r="P3297" s="6">
        <f>VLOOKUP(B3297, 'All Menu'!B:L, 9, 0)</f>
        <v>9.316249632592255</v>
      </c>
      <c r="Q3297" s="14">
        <f>VLOOKUP(B3297, 'All Menu'!B:M, 12, 0)</f>
        <v>0.39961946812183247</v>
      </c>
      <c r="R3297" s="173">
        <f t="shared" si="170"/>
        <v>0</v>
      </c>
    </row>
    <row r="3298" spans="1:18" ht="14" hidden="1">
      <c r="A3298" s="78" t="s">
        <v>2985</v>
      </c>
      <c r="B3298" s="220" t="s">
        <v>1988</v>
      </c>
      <c r="C3298" s="185"/>
      <c r="D3298" s="30" t="str">
        <f>VLOOKUP(B3298, 'All Menu'!B:M, 4, 0)</f>
        <v>رقبة مشوية</v>
      </c>
      <c r="E3298" s="30" t="str">
        <f>VLOOKUP(B3298, 'All Menu'!B:M, 2, 0)</f>
        <v>قسم الصالة</v>
      </c>
      <c r="F3298" s="103" t="str">
        <f>VLOOKUP(B3298, 'All Menu'!B:M, 3, 0)</f>
        <v>أطباق اليوم صالة</v>
      </c>
      <c r="G3298" s="90" t="s">
        <v>2329</v>
      </c>
      <c r="H3298" s="219" t="s">
        <v>512</v>
      </c>
      <c r="I3298" s="110" t="str">
        <f>VLOOKUP(H3298, 'RM &amp; SF'!B:H, 2, 0)</f>
        <v>خلطة دقوس</v>
      </c>
      <c r="J3298" s="184" t="str">
        <f>VLOOKUP(H3298, 'RM &amp; SF'!B:E, 4, 0)</f>
        <v>غم</v>
      </c>
      <c r="K3298" s="78">
        <v>200</v>
      </c>
      <c r="L3298" s="13">
        <f>VLOOKUP(H3298, 'RM &amp; SF'!B:H, 7, 0)</f>
        <v>7.5544490740740743E-4</v>
      </c>
      <c r="M3298" s="15">
        <f t="shared" si="172"/>
        <v>0.15108898148148148</v>
      </c>
      <c r="N3298" s="21" t="s">
        <v>825</v>
      </c>
      <c r="O3298" s="4">
        <f>VLOOKUP(B3298, 'All Menu'!B:L, 6, 0)</f>
        <v>15.517241379310345</v>
      </c>
      <c r="P3298" s="6">
        <f>VLOOKUP(B3298, 'All Menu'!B:L, 9, 0)</f>
        <v>9.316249632592255</v>
      </c>
      <c r="Q3298" s="14">
        <f>VLOOKUP(B3298, 'All Menu'!B:M, 12, 0)</f>
        <v>0.39961946812183247</v>
      </c>
      <c r="R3298" s="173">
        <f t="shared" si="170"/>
        <v>0</v>
      </c>
    </row>
    <row r="3299" spans="1:18" ht="14" hidden="1">
      <c r="A3299" s="78" t="s">
        <v>3172</v>
      </c>
      <c r="B3299" s="220" t="s">
        <v>2111</v>
      </c>
      <c r="C3299" s="185"/>
      <c r="D3299" s="30" t="s">
        <v>2112</v>
      </c>
      <c r="E3299" s="30" t="str">
        <f>VLOOKUP(B3299, 'All Menu'!B:M, 2, 0)</f>
        <v>قسم مشروبات</v>
      </c>
      <c r="F3299" s="103" t="str">
        <f>VLOOKUP(B3299, 'All Menu'!B:M, 3, 0)</f>
        <v>مشروبات سفري</v>
      </c>
      <c r="G3299" s="90" t="s">
        <v>3058</v>
      </c>
      <c r="H3299" s="219">
        <v>29023</v>
      </c>
      <c r="I3299" s="110" t="str">
        <f>VLOOKUP(H3299, 'RM &amp; SF'!B:H, 2, 0)</f>
        <v xml:space="preserve">ماتركس كولا 330 مل </v>
      </c>
      <c r="J3299" s="184" t="str">
        <f>VLOOKUP(H3299, 'RM &amp; SF'!B:E, 4, 0)</f>
        <v>قطعة</v>
      </c>
      <c r="K3299" s="78">
        <v>1</v>
      </c>
      <c r="L3299" s="13">
        <f>VLOOKUP(H3299, 'RM &amp; SF'!B:H, 7, 0)</f>
        <v>0.2155</v>
      </c>
      <c r="M3299" s="15">
        <f t="shared" si="172"/>
        <v>0.2155</v>
      </c>
      <c r="N3299" s="21" t="s">
        <v>825</v>
      </c>
      <c r="O3299" s="4">
        <f>VLOOKUP(B3299, 'All Menu'!B:L, 6, 0)</f>
        <v>0.43103448275862072</v>
      </c>
      <c r="P3299" s="6">
        <f>VLOOKUP(B3299, 'All Menu'!B:L, 9, 0)</f>
        <v>0.2155</v>
      </c>
      <c r="Q3299" s="14">
        <f>VLOOKUP(B3299, 'All Menu'!B:M, 12, 0)</f>
        <v>0.50004000000000004</v>
      </c>
      <c r="R3299" s="173">
        <f t="shared" si="170"/>
        <v>0</v>
      </c>
    </row>
    <row r="3300" spans="1:18" ht="14" hidden="1">
      <c r="A3300" s="78" t="s">
        <v>3173</v>
      </c>
      <c r="B3300" s="220" t="s">
        <v>2113</v>
      </c>
      <c r="C3300" s="185"/>
      <c r="D3300" s="30" t="s">
        <v>2114</v>
      </c>
      <c r="E3300" s="30" t="str">
        <f>VLOOKUP(B3300, 'All Menu'!B:M, 2, 0)</f>
        <v>قسم مشروبات</v>
      </c>
      <c r="F3300" s="103" t="str">
        <f>VLOOKUP(B3300, 'All Menu'!B:M, 3, 0)</f>
        <v>مشروبات سفري</v>
      </c>
      <c r="G3300" s="90" t="s">
        <v>3058</v>
      </c>
      <c r="H3300" s="219">
        <v>29024</v>
      </c>
      <c r="I3300" s="110" t="str">
        <f>VLOOKUP(H3300, 'RM &amp; SF'!B:H, 2, 0)</f>
        <v>ماتركس كولا دايت 330 مل</v>
      </c>
      <c r="J3300" s="184" t="str">
        <f>VLOOKUP(H3300, 'RM &amp; SF'!B:E, 4, 0)</f>
        <v>قطعة</v>
      </c>
      <c r="K3300" s="78">
        <v>1</v>
      </c>
      <c r="L3300" s="13">
        <f>VLOOKUP(H3300, 'RM &amp; SF'!B:H, 7, 0)</f>
        <v>0.2155</v>
      </c>
      <c r="M3300" s="15">
        <f t="shared" si="172"/>
        <v>0.2155</v>
      </c>
      <c r="N3300" s="21" t="s">
        <v>825</v>
      </c>
      <c r="O3300" s="4">
        <f>VLOOKUP(B3300, 'All Menu'!B:L, 6, 0)</f>
        <v>0.43103448275862072</v>
      </c>
      <c r="P3300" s="6">
        <f>VLOOKUP(B3300, 'All Menu'!B:L, 9, 0)</f>
        <v>0.2155</v>
      </c>
      <c r="Q3300" s="14">
        <f>VLOOKUP(B3300, 'All Menu'!B:M, 12, 0)</f>
        <v>0.50004000000000004</v>
      </c>
      <c r="R3300" s="173">
        <f t="shared" si="170"/>
        <v>0</v>
      </c>
    </row>
    <row r="3301" spans="1:18" ht="14" hidden="1">
      <c r="A3301" s="78" t="s">
        <v>3174</v>
      </c>
      <c r="B3301" s="220" t="s">
        <v>2115</v>
      </c>
      <c r="C3301" s="185"/>
      <c r="D3301" s="30" t="s">
        <v>2116</v>
      </c>
      <c r="E3301" s="30" t="str">
        <f>VLOOKUP(B3301, 'All Menu'!B:M, 2, 0)</f>
        <v>قسم مشروبات</v>
      </c>
      <c r="F3301" s="103" t="str">
        <f>VLOOKUP(B3301, 'All Menu'!B:M, 3, 0)</f>
        <v>مشروبات سفري</v>
      </c>
      <c r="G3301" s="90" t="s">
        <v>3058</v>
      </c>
      <c r="H3301" s="219">
        <v>29025</v>
      </c>
      <c r="I3301" s="110" t="str">
        <f>VLOOKUP(H3301, 'RM &amp; SF'!B:H, 2, 0)</f>
        <v>ماتركس اب 330 مل</v>
      </c>
      <c r="J3301" s="184" t="str">
        <f>VLOOKUP(H3301, 'RM &amp; SF'!B:E, 4, 0)</f>
        <v>قطعة</v>
      </c>
      <c r="K3301" s="78">
        <v>1</v>
      </c>
      <c r="L3301" s="13">
        <f>VLOOKUP(H3301, 'RM &amp; SF'!B:H, 7, 0)</f>
        <v>0.2155</v>
      </c>
      <c r="M3301" s="15">
        <f t="shared" si="172"/>
        <v>0.2155</v>
      </c>
      <c r="N3301" s="21" t="s">
        <v>825</v>
      </c>
      <c r="O3301" s="4">
        <f>VLOOKUP(B3301, 'All Menu'!B:L, 6, 0)</f>
        <v>0.43103448275862072</v>
      </c>
      <c r="P3301" s="6">
        <f>VLOOKUP(B3301, 'All Menu'!B:L, 9, 0)</f>
        <v>0.2155</v>
      </c>
      <c r="Q3301" s="14">
        <f>VLOOKUP(B3301, 'All Menu'!B:M, 12, 0)</f>
        <v>0.50004000000000004</v>
      </c>
      <c r="R3301" s="173">
        <f t="shared" si="170"/>
        <v>0</v>
      </c>
    </row>
    <row r="3302" spans="1:18" ht="14" hidden="1">
      <c r="A3302" s="78" t="s">
        <v>3177</v>
      </c>
      <c r="B3302" s="220" t="s">
        <v>2117</v>
      </c>
      <c r="C3302" s="185"/>
      <c r="D3302" s="30" t="s">
        <v>2118</v>
      </c>
      <c r="E3302" s="30" t="str">
        <f>VLOOKUP(B3302, 'All Menu'!B:M, 2, 0)</f>
        <v>قسم مشروبات</v>
      </c>
      <c r="F3302" s="103" t="str">
        <f>VLOOKUP(B3302, 'All Menu'!B:M, 3, 0)</f>
        <v>مشروبات سفري</v>
      </c>
      <c r="G3302" s="90" t="s">
        <v>3058</v>
      </c>
      <c r="H3302" s="219">
        <v>29026</v>
      </c>
      <c r="I3302" s="110" t="str">
        <f>VLOOKUP(H3302, 'RM &amp; SF'!B:H, 2, 0)</f>
        <v>ماتركس اب دايت 330 مل</v>
      </c>
      <c r="J3302" s="184" t="str">
        <f>VLOOKUP(H3302, 'RM &amp; SF'!B:E, 4, 0)</f>
        <v>قطعة</v>
      </c>
      <c r="K3302" s="78">
        <v>1</v>
      </c>
      <c r="L3302" s="13">
        <f>VLOOKUP(H3302, 'RM &amp; SF'!B:H, 7, 0)</f>
        <v>0.2155</v>
      </c>
      <c r="M3302" s="15">
        <f t="shared" si="172"/>
        <v>0.2155</v>
      </c>
      <c r="N3302" s="21" t="s">
        <v>825</v>
      </c>
      <c r="O3302" s="4">
        <f>VLOOKUP(B3302, 'All Menu'!B:L, 6, 0)</f>
        <v>0.43103448275862072</v>
      </c>
      <c r="P3302" s="6">
        <f>VLOOKUP(B3302, 'All Menu'!B:L, 9, 0)</f>
        <v>0.2155</v>
      </c>
      <c r="Q3302" s="14">
        <f>VLOOKUP(B3302, 'All Menu'!B:M, 12, 0)</f>
        <v>0.50004000000000004</v>
      </c>
      <c r="R3302" s="173">
        <f t="shared" si="170"/>
        <v>0</v>
      </c>
    </row>
    <row r="3303" spans="1:18" ht="14" hidden="1">
      <c r="A3303" s="78" t="s">
        <v>2919</v>
      </c>
      <c r="B3303" s="220" t="s">
        <v>1264</v>
      </c>
      <c r="C3303" s="185"/>
      <c r="D3303" s="30" t="s">
        <v>1704</v>
      </c>
      <c r="E3303" s="30" t="str">
        <f>VLOOKUP(B3303, 'All Menu'!B:M, 2, 0)</f>
        <v>قسم طلبات مارت</v>
      </c>
      <c r="F3303" s="103" t="str">
        <f>VLOOKUP(B3303, 'All Menu'!B:M, 3, 0)</f>
        <v>طلبات مارت</v>
      </c>
      <c r="G3303" s="90" t="s">
        <v>3058</v>
      </c>
      <c r="H3303" s="219">
        <v>5393</v>
      </c>
      <c r="I3303" s="110" t="str">
        <f>VLOOKUP(H3303, 'RM &amp; SF'!B:H, 2, 0)</f>
        <v>كتف خروف - طلبات مارت</v>
      </c>
      <c r="J3303" s="184" t="str">
        <f>VLOOKUP(H3303, 'RM &amp; SF'!B:E, 4, 0)</f>
        <v>غم</v>
      </c>
      <c r="K3303" s="78">
        <v>1000</v>
      </c>
      <c r="L3303" s="13">
        <f>VLOOKUP(H3303, 'RM &amp; SF'!B:H, 7, 0)</f>
        <v>1.1615493158849017E-2</v>
      </c>
      <c r="M3303" s="15">
        <f t="shared" ref="M3303:M3366" si="173">L3303*K3303</f>
        <v>11.615493158849016</v>
      </c>
      <c r="N3303" s="21" t="s">
        <v>825</v>
      </c>
      <c r="O3303" s="4">
        <f>VLOOKUP(B3303, 'All Menu'!B:L, 6, 0)</f>
        <v>16.760051334028681</v>
      </c>
      <c r="P3303" s="6">
        <f>VLOOKUP(B3303, 'All Menu'!B:L, 9, 0)</f>
        <v>11.779040583849017</v>
      </c>
      <c r="Q3303" s="14">
        <f>VLOOKUP(B3303, 'All Menu'!B:M, 12, 0)</f>
        <v>0.29719543519932395</v>
      </c>
      <c r="R3303" s="173">
        <f t="shared" si="170"/>
        <v>0</v>
      </c>
    </row>
    <row r="3304" spans="1:18" ht="14" hidden="1">
      <c r="A3304" s="78" t="s">
        <v>2919</v>
      </c>
      <c r="B3304" s="220" t="s">
        <v>1264</v>
      </c>
      <c r="C3304" s="185"/>
      <c r="D3304" s="30" t="s">
        <v>1704</v>
      </c>
      <c r="E3304" s="30" t="str">
        <f>VLOOKUP(B3304, 'All Menu'!B:M, 2, 0)</f>
        <v>قسم طلبات مارت</v>
      </c>
      <c r="F3304" s="103" t="str">
        <f>VLOOKUP(B3304, 'All Menu'!B:M, 3, 0)</f>
        <v>طلبات مارت</v>
      </c>
      <c r="G3304" s="90" t="s">
        <v>3058</v>
      </c>
      <c r="H3304" s="219" t="s">
        <v>292</v>
      </c>
      <c r="I3304" s="110" t="str">
        <f>VLOOKUP(H3304, 'RM &amp; SF'!B:H, 2, 0)</f>
        <v>صحن جديد - طلبات مارت</v>
      </c>
      <c r="J3304" s="184" t="str">
        <f>VLOOKUP(H3304, 'RM &amp; SF'!B:E, 4, 0)</f>
        <v>قطعة</v>
      </c>
      <c r="K3304" s="78">
        <v>1</v>
      </c>
      <c r="L3304" s="13">
        <f>VLOOKUP(H3304, 'RM &amp; SF'!B:H, 7, 0)</f>
        <v>0.15</v>
      </c>
      <c r="M3304" s="15">
        <f t="shared" si="173"/>
        <v>0.15</v>
      </c>
      <c r="N3304" s="21" t="s">
        <v>825</v>
      </c>
      <c r="O3304" s="4">
        <f>VLOOKUP(B3304, 'All Menu'!B:L, 6, 0)</f>
        <v>16.760051334028681</v>
      </c>
      <c r="P3304" s="6">
        <f>VLOOKUP(B3304, 'All Menu'!B:L, 9, 0)</f>
        <v>11.779040583849017</v>
      </c>
      <c r="Q3304" s="14">
        <f>VLOOKUP(B3304, 'All Menu'!B:M, 12, 0)</f>
        <v>0.29719543519932395</v>
      </c>
      <c r="R3304" s="173">
        <f t="shared" si="170"/>
        <v>0</v>
      </c>
    </row>
    <row r="3305" spans="1:18" ht="14" hidden="1">
      <c r="A3305" s="78" t="s">
        <v>2919</v>
      </c>
      <c r="B3305" s="220" t="s">
        <v>1264</v>
      </c>
      <c r="C3305" s="185"/>
      <c r="D3305" s="30" t="s">
        <v>1704</v>
      </c>
      <c r="E3305" s="30" t="str">
        <f>VLOOKUP(B3305, 'All Menu'!B:M, 2, 0)</f>
        <v>قسم طلبات مارت</v>
      </c>
      <c r="F3305" s="103" t="str">
        <f>VLOOKUP(B3305, 'All Menu'!B:M, 3, 0)</f>
        <v>طلبات مارت</v>
      </c>
      <c r="G3305" s="90" t="s">
        <v>3058</v>
      </c>
      <c r="H3305" s="219">
        <v>5274</v>
      </c>
      <c r="I3305" s="110" t="str">
        <f>VLOOKUP(H3305, 'RM &amp; SF'!B:H, 2, 0)</f>
        <v>نايلون للتغليف رول (رول جيلاتين) 45 سم*4 كغ*****</v>
      </c>
      <c r="J3305" s="184" t="str">
        <f>VLOOKUP(H3305, 'RM &amp; SF'!B:E, 4, 0)</f>
        <v>غم</v>
      </c>
      <c r="K3305" s="78">
        <v>1</v>
      </c>
      <c r="L3305" s="13">
        <f>VLOOKUP(H3305, 'RM &amp; SF'!B:H, 7, 0)</f>
        <v>2.0474249999999999E-3</v>
      </c>
      <c r="M3305" s="15">
        <f t="shared" si="173"/>
        <v>2.0474249999999999E-3</v>
      </c>
      <c r="N3305" s="21" t="s">
        <v>825</v>
      </c>
      <c r="O3305" s="4">
        <f>VLOOKUP(B3305, 'All Menu'!B:L, 6, 0)</f>
        <v>16.760051334028681</v>
      </c>
      <c r="P3305" s="6">
        <f>VLOOKUP(B3305, 'All Menu'!B:L, 9, 0)</f>
        <v>11.779040583849017</v>
      </c>
      <c r="Q3305" s="14">
        <f>VLOOKUP(B3305, 'All Menu'!B:M, 12, 0)</f>
        <v>0.29719543519932395</v>
      </c>
      <c r="R3305" s="173">
        <f t="shared" si="170"/>
        <v>0</v>
      </c>
    </row>
    <row r="3306" spans="1:18" ht="14" hidden="1">
      <c r="A3306" s="78" t="s">
        <v>2919</v>
      </c>
      <c r="B3306" s="220" t="s">
        <v>1264</v>
      </c>
      <c r="C3306" s="185"/>
      <c r="D3306" s="30" t="s">
        <v>1704</v>
      </c>
      <c r="E3306" s="30" t="str">
        <f>VLOOKUP(B3306, 'All Menu'!B:M, 2, 0)</f>
        <v>قسم طلبات مارت</v>
      </c>
      <c r="F3306" s="103" t="str">
        <f>VLOOKUP(B3306, 'All Menu'!B:M, 3, 0)</f>
        <v>طلبات مارت</v>
      </c>
      <c r="G3306" s="90" t="s">
        <v>3058</v>
      </c>
      <c r="H3306" s="219">
        <v>5372</v>
      </c>
      <c r="I3306" s="110" t="str">
        <f>VLOOKUP(H3306, 'RM &amp; SF'!B:H, 2, 0)</f>
        <v>ملصق - طلبات مارت</v>
      </c>
      <c r="J3306" s="184" t="str">
        <f>VLOOKUP(H3306, 'RM &amp; SF'!B:E, 4, 0)</f>
        <v>قطعة</v>
      </c>
      <c r="K3306" s="78">
        <v>1</v>
      </c>
      <c r="L3306" s="13">
        <f>VLOOKUP(H3306, 'RM &amp; SF'!B:H, 7, 0)</f>
        <v>1.15E-2</v>
      </c>
      <c r="M3306" s="15">
        <f t="shared" si="173"/>
        <v>1.15E-2</v>
      </c>
      <c r="N3306" s="21" t="s">
        <v>825</v>
      </c>
      <c r="O3306" s="4">
        <f>VLOOKUP(B3306, 'All Menu'!B:L, 6, 0)</f>
        <v>16.760051334028681</v>
      </c>
      <c r="P3306" s="6">
        <f>VLOOKUP(B3306, 'All Menu'!B:L, 9, 0)</f>
        <v>11.779040583849017</v>
      </c>
      <c r="Q3306" s="14">
        <f>VLOOKUP(B3306, 'All Menu'!B:M, 12, 0)</f>
        <v>0.29719543519932395</v>
      </c>
      <c r="R3306" s="173">
        <f t="shared" si="170"/>
        <v>0</v>
      </c>
    </row>
    <row r="3307" spans="1:18" ht="14" hidden="1">
      <c r="A3307" s="78" t="s">
        <v>2920</v>
      </c>
      <c r="B3307" s="220" t="s">
        <v>1250</v>
      </c>
      <c r="C3307" s="185"/>
      <c r="D3307" s="30" t="s">
        <v>1706</v>
      </c>
      <c r="E3307" s="30" t="str">
        <f>VLOOKUP(B3307, 'All Menu'!B:M, 2, 0)</f>
        <v>قسم طلبات مارت</v>
      </c>
      <c r="F3307" s="103" t="str">
        <f>VLOOKUP(B3307, 'All Menu'!B:M, 3, 0)</f>
        <v>طلبات مارت</v>
      </c>
      <c r="G3307" s="90" t="s">
        <v>3058</v>
      </c>
      <c r="H3307" s="219">
        <v>5373</v>
      </c>
      <c r="I3307" s="110" t="str">
        <f>VLOOKUP(H3307, 'RM &amp; SF'!B:H, 2, 0)</f>
        <v>قطعيات عجل مشكلة</v>
      </c>
      <c r="J3307" s="184" t="str">
        <f>VLOOKUP(H3307, 'RM &amp; SF'!B:E, 4, 0)</f>
        <v>غم</v>
      </c>
      <c r="K3307" s="78">
        <v>450</v>
      </c>
      <c r="L3307" s="13">
        <f>VLOOKUP(H3307, 'RM &amp; SF'!B:H, 7, 0)</f>
        <v>9.0100000000000006E-3</v>
      </c>
      <c r="M3307" s="15">
        <f t="shared" si="173"/>
        <v>4.0545</v>
      </c>
      <c r="N3307" s="21" t="s">
        <v>825</v>
      </c>
      <c r="O3307" s="4">
        <f>VLOOKUP(B3307, 'All Menu'!B:L, 6, 0)</f>
        <v>6.1763705573593066</v>
      </c>
      <c r="P3307" s="6">
        <f>VLOOKUP(B3307, 'All Menu'!B:L, 9, 0)</f>
        <v>4.3680474250000003</v>
      </c>
      <c r="Q3307" s="14">
        <f>VLOOKUP(B3307, 'All Menu'!B:M, 12, 0)</f>
        <v>0.29278086791678037</v>
      </c>
      <c r="R3307" s="173">
        <f t="shared" si="170"/>
        <v>0</v>
      </c>
    </row>
    <row r="3308" spans="1:18" ht="14" hidden="1">
      <c r="A3308" s="78" t="s">
        <v>2920</v>
      </c>
      <c r="B3308" s="220" t="s">
        <v>1250</v>
      </c>
      <c r="C3308" s="185"/>
      <c r="D3308" s="30" t="s">
        <v>1706</v>
      </c>
      <c r="E3308" s="30" t="str">
        <f>VLOOKUP(B3308, 'All Menu'!B:M, 2, 0)</f>
        <v>قسم طلبات مارت</v>
      </c>
      <c r="F3308" s="103" t="str">
        <f>VLOOKUP(B3308, 'All Menu'!B:M, 3, 0)</f>
        <v>طلبات مارت</v>
      </c>
      <c r="G3308" s="90" t="s">
        <v>2317</v>
      </c>
      <c r="H3308" s="219">
        <v>4601</v>
      </c>
      <c r="I3308" s="110" t="str">
        <f>VLOOKUP(H3308, 'RM &amp; SF'!B:H, 2, 0)</f>
        <v>نتر خروف*****</v>
      </c>
      <c r="J3308" s="184" t="str">
        <f>VLOOKUP(H3308, 'RM &amp; SF'!B:E, 4, 0)</f>
        <v>غم</v>
      </c>
      <c r="K3308" s="78">
        <v>50</v>
      </c>
      <c r="L3308" s="13">
        <f>VLOOKUP(H3308, 'RM &amp; SF'!B:H, 7, 0)</f>
        <v>3.0000000000000001E-3</v>
      </c>
      <c r="M3308" s="15">
        <f t="shared" si="173"/>
        <v>0.15</v>
      </c>
      <c r="N3308" s="21" t="s">
        <v>825</v>
      </c>
      <c r="O3308" s="4">
        <f>VLOOKUP(B3308, 'All Menu'!B:L, 6, 0)</f>
        <v>6.1763705573593066</v>
      </c>
      <c r="P3308" s="6">
        <f>VLOOKUP(B3308, 'All Menu'!B:L, 9, 0)</f>
        <v>4.3680474250000003</v>
      </c>
      <c r="Q3308" s="14">
        <f>VLOOKUP(B3308, 'All Menu'!B:M, 12, 0)</f>
        <v>0.29278086791678037</v>
      </c>
      <c r="R3308" s="173">
        <f t="shared" si="170"/>
        <v>0</v>
      </c>
    </row>
    <row r="3309" spans="1:18" ht="14" hidden="1">
      <c r="A3309" s="78" t="s">
        <v>2920</v>
      </c>
      <c r="B3309" s="220" t="s">
        <v>1250</v>
      </c>
      <c r="C3309" s="185"/>
      <c r="D3309" s="30" t="s">
        <v>1706</v>
      </c>
      <c r="E3309" s="30" t="str">
        <f>VLOOKUP(B3309, 'All Menu'!B:M, 2, 0)</f>
        <v>قسم طلبات مارت</v>
      </c>
      <c r="F3309" s="103" t="str">
        <f>VLOOKUP(B3309, 'All Menu'!B:M, 3, 0)</f>
        <v>طلبات مارت</v>
      </c>
      <c r="G3309" s="90" t="s">
        <v>3058</v>
      </c>
      <c r="H3309" s="219" t="s">
        <v>292</v>
      </c>
      <c r="I3309" s="110" t="str">
        <f>VLOOKUP(H3309, 'RM &amp; SF'!B:H, 2, 0)</f>
        <v>صحن جديد - طلبات مارت</v>
      </c>
      <c r="J3309" s="184" t="str">
        <f>VLOOKUP(H3309, 'RM &amp; SF'!B:E, 4, 0)</f>
        <v>قطعة</v>
      </c>
      <c r="K3309" s="78">
        <v>1</v>
      </c>
      <c r="L3309" s="13">
        <f>VLOOKUP(H3309, 'RM &amp; SF'!B:H, 7, 0)</f>
        <v>0.15</v>
      </c>
      <c r="M3309" s="15">
        <f t="shared" si="173"/>
        <v>0.15</v>
      </c>
      <c r="N3309" s="21" t="s">
        <v>825</v>
      </c>
      <c r="O3309" s="4">
        <f>VLOOKUP(B3309, 'All Menu'!B:L, 6, 0)</f>
        <v>6.1763705573593066</v>
      </c>
      <c r="P3309" s="6">
        <f>VLOOKUP(B3309, 'All Menu'!B:L, 9, 0)</f>
        <v>4.3680474250000003</v>
      </c>
      <c r="Q3309" s="14">
        <f>VLOOKUP(B3309, 'All Menu'!B:M, 12, 0)</f>
        <v>0.29278086791678037</v>
      </c>
      <c r="R3309" s="173">
        <f t="shared" si="170"/>
        <v>0</v>
      </c>
    </row>
    <row r="3310" spans="1:18" ht="14" hidden="1">
      <c r="A3310" s="78" t="s">
        <v>2920</v>
      </c>
      <c r="B3310" s="220" t="s">
        <v>1250</v>
      </c>
      <c r="C3310" s="185"/>
      <c r="D3310" s="30" t="s">
        <v>1706</v>
      </c>
      <c r="E3310" s="30" t="str">
        <f>VLOOKUP(B3310, 'All Menu'!B:M, 2, 0)</f>
        <v>قسم طلبات مارت</v>
      </c>
      <c r="F3310" s="103" t="str">
        <f>VLOOKUP(B3310, 'All Menu'!B:M, 3, 0)</f>
        <v>طلبات مارت</v>
      </c>
      <c r="G3310" s="90" t="s">
        <v>3058</v>
      </c>
      <c r="H3310" s="219">
        <v>5274</v>
      </c>
      <c r="I3310" s="110" t="str">
        <f>VLOOKUP(H3310, 'RM &amp; SF'!B:H, 2, 0)</f>
        <v>نايلون للتغليف رول (رول جيلاتين) 45 سم*4 كغ*****</v>
      </c>
      <c r="J3310" s="184" t="str">
        <f>VLOOKUP(H3310, 'RM &amp; SF'!B:E, 4, 0)</f>
        <v>غم</v>
      </c>
      <c r="K3310" s="78">
        <v>1</v>
      </c>
      <c r="L3310" s="13">
        <f>VLOOKUP(H3310, 'RM &amp; SF'!B:H, 7, 0)</f>
        <v>2.0474249999999999E-3</v>
      </c>
      <c r="M3310" s="15">
        <f t="shared" si="173"/>
        <v>2.0474249999999999E-3</v>
      </c>
      <c r="N3310" s="21" t="s">
        <v>825</v>
      </c>
      <c r="O3310" s="4">
        <f>VLOOKUP(B3310, 'All Menu'!B:L, 6, 0)</f>
        <v>6.1763705573593066</v>
      </c>
      <c r="P3310" s="6">
        <f>VLOOKUP(B3310, 'All Menu'!B:L, 9, 0)</f>
        <v>4.3680474250000003</v>
      </c>
      <c r="Q3310" s="14">
        <f>VLOOKUP(B3310, 'All Menu'!B:M, 12, 0)</f>
        <v>0.29278086791678037</v>
      </c>
      <c r="R3310" s="173">
        <f t="shared" si="170"/>
        <v>0</v>
      </c>
    </row>
    <row r="3311" spans="1:18" ht="14" hidden="1">
      <c r="A3311" s="78" t="s">
        <v>2920</v>
      </c>
      <c r="B3311" s="220" t="s">
        <v>1250</v>
      </c>
      <c r="C3311" s="185"/>
      <c r="D3311" s="30" t="s">
        <v>1706</v>
      </c>
      <c r="E3311" s="30" t="str">
        <f>VLOOKUP(B3311, 'All Menu'!B:M, 2, 0)</f>
        <v>قسم طلبات مارت</v>
      </c>
      <c r="F3311" s="103" t="str">
        <f>VLOOKUP(B3311, 'All Menu'!B:M, 3, 0)</f>
        <v>طلبات مارت</v>
      </c>
      <c r="G3311" s="90" t="s">
        <v>3058</v>
      </c>
      <c r="H3311" s="219">
        <v>5372</v>
      </c>
      <c r="I3311" s="110" t="str">
        <f>VLOOKUP(H3311, 'RM &amp; SF'!B:H, 2, 0)</f>
        <v>ملصق - طلبات مارت</v>
      </c>
      <c r="J3311" s="184" t="str">
        <f>VLOOKUP(H3311, 'RM &amp; SF'!B:E, 4, 0)</f>
        <v>قطعة</v>
      </c>
      <c r="K3311" s="78">
        <v>1</v>
      </c>
      <c r="L3311" s="13">
        <f>VLOOKUP(H3311, 'RM &amp; SF'!B:H, 7, 0)</f>
        <v>1.15E-2</v>
      </c>
      <c r="M3311" s="15">
        <f t="shared" si="173"/>
        <v>1.15E-2</v>
      </c>
      <c r="N3311" s="21" t="s">
        <v>825</v>
      </c>
      <c r="O3311" s="4">
        <f>VLOOKUP(B3311, 'All Menu'!B:L, 6, 0)</f>
        <v>6.1763705573593066</v>
      </c>
      <c r="P3311" s="6">
        <f>VLOOKUP(B3311, 'All Menu'!B:L, 9, 0)</f>
        <v>4.3680474250000003</v>
      </c>
      <c r="Q3311" s="14">
        <f>VLOOKUP(B3311, 'All Menu'!B:M, 12, 0)</f>
        <v>0.29278086791678037</v>
      </c>
      <c r="R3311" s="173">
        <f t="shared" si="170"/>
        <v>0</v>
      </c>
    </row>
    <row r="3312" spans="1:18" ht="14" hidden="1">
      <c r="A3312" s="78" t="s">
        <v>2921</v>
      </c>
      <c r="B3312" s="220" t="s">
        <v>1249</v>
      </c>
      <c r="C3312" s="185"/>
      <c r="D3312" s="30" t="s">
        <v>1707</v>
      </c>
      <c r="E3312" s="30" t="str">
        <f>VLOOKUP(B3312, 'All Menu'!B:M, 2, 0)</f>
        <v>قسم طلبات مارت</v>
      </c>
      <c r="F3312" s="103" t="str">
        <f>VLOOKUP(B3312, 'All Menu'!B:M, 3, 0)</f>
        <v>طلبات مارت</v>
      </c>
      <c r="G3312" s="90" t="s">
        <v>3058</v>
      </c>
      <c r="H3312" s="219">
        <v>5373</v>
      </c>
      <c r="I3312" s="110" t="str">
        <f>VLOOKUP(H3312, 'RM &amp; SF'!B:H, 2, 0)</f>
        <v>قطعيات عجل مشكلة</v>
      </c>
      <c r="J3312" s="184" t="str">
        <f>VLOOKUP(H3312, 'RM &amp; SF'!B:E, 4, 0)</f>
        <v>غم</v>
      </c>
      <c r="K3312" s="78">
        <v>450</v>
      </c>
      <c r="L3312" s="13">
        <f>VLOOKUP(H3312, 'RM &amp; SF'!B:H, 7, 0)</f>
        <v>9.0100000000000006E-3</v>
      </c>
      <c r="M3312" s="15">
        <f t="shared" si="173"/>
        <v>4.0545</v>
      </c>
      <c r="N3312" s="21" t="s">
        <v>825</v>
      </c>
      <c r="O3312" s="4">
        <f>VLOOKUP(B3312, 'All Menu'!B:L, 6, 0)</f>
        <v>6.1763705573593066</v>
      </c>
      <c r="P3312" s="6">
        <f>VLOOKUP(B3312, 'All Menu'!B:L, 9, 0)</f>
        <v>4.3680474250000003</v>
      </c>
      <c r="Q3312" s="14">
        <f>VLOOKUP(B3312, 'All Menu'!B:M, 12, 0)</f>
        <v>0.29278086791678037</v>
      </c>
      <c r="R3312" s="173">
        <f t="shared" si="170"/>
        <v>0</v>
      </c>
    </row>
    <row r="3313" spans="1:18" ht="14" hidden="1">
      <c r="A3313" s="78" t="s">
        <v>2921</v>
      </c>
      <c r="B3313" s="220" t="s">
        <v>1249</v>
      </c>
      <c r="C3313" s="185"/>
      <c r="D3313" s="30" t="s">
        <v>1707</v>
      </c>
      <c r="E3313" s="30" t="str">
        <f>VLOOKUP(B3313, 'All Menu'!B:M, 2, 0)</f>
        <v>قسم طلبات مارت</v>
      </c>
      <c r="F3313" s="103" t="str">
        <f>VLOOKUP(B3313, 'All Menu'!B:M, 3, 0)</f>
        <v>طلبات مارت</v>
      </c>
      <c r="G3313" s="90" t="s">
        <v>2317</v>
      </c>
      <c r="H3313" s="219">
        <v>4601</v>
      </c>
      <c r="I3313" s="110" t="str">
        <f>VLOOKUP(H3313, 'RM &amp; SF'!B:H, 2, 0)</f>
        <v>نتر خروف*****</v>
      </c>
      <c r="J3313" s="184" t="str">
        <f>VLOOKUP(H3313, 'RM &amp; SF'!B:E, 4, 0)</f>
        <v>غم</v>
      </c>
      <c r="K3313" s="78">
        <v>50</v>
      </c>
      <c r="L3313" s="13">
        <f>VLOOKUP(H3313, 'RM &amp; SF'!B:H, 7, 0)</f>
        <v>3.0000000000000001E-3</v>
      </c>
      <c r="M3313" s="15">
        <f t="shared" si="173"/>
        <v>0.15</v>
      </c>
      <c r="N3313" s="21" t="s">
        <v>825</v>
      </c>
      <c r="O3313" s="4">
        <f>VLOOKUP(B3313, 'All Menu'!B:L, 6, 0)</f>
        <v>6.1763705573593066</v>
      </c>
      <c r="P3313" s="6">
        <f>VLOOKUP(B3313, 'All Menu'!B:L, 9, 0)</f>
        <v>4.3680474250000003</v>
      </c>
      <c r="Q3313" s="14">
        <f>VLOOKUP(B3313, 'All Menu'!B:M, 12, 0)</f>
        <v>0.29278086791678037</v>
      </c>
      <c r="R3313" s="173">
        <f t="shared" si="170"/>
        <v>0</v>
      </c>
    </row>
    <row r="3314" spans="1:18" ht="14" hidden="1">
      <c r="A3314" s="78" t="s">
        <v>2921</v>
      </c>
      <c r="B3314" s="220" t="s">
        <v>1249</v>
      </c>
      <c r="C3314" s="185"/>
      <c r="D3314" s="30" t="s">
        <v>1707</v>
      </c>
      <c r="E3314" s="30" t="str">
        <f>VLOOKUP(B3314, 'All Menu'!B:M, 2, 0)</f>
        <v>قسم طلبات مارت</v>
      </c>
      <c r="F3314" s="103" t="str">
        <f>VLOOKUP(B3314, 'All Menu'!B:M, 3, 0)</f>
        <v>طلبات مارت</v>
      </c>
      <c r="G3314" s="90" t="s">
        <v>3058</v>
      </c>
      <c r="H3314" s="219" t="s">
        <v>292</v>
      </c>
      <c r="I3314" s="110" t="str">
        <f>VLOOKUP(H3314, 'RM &amp; SF'!B:H, 2, 0)</f>
        <v>صحن جديد - طلبات مارت</v>
      </c>
      <c r="J3314" s="184" t="str">
        <f>VLOOKUP(H3314, 'RM &amp; SF'!B:E, 4, 0)</f>
        <v>قطعة</v>
      </c>
      <c r="K3314" s="78">
        <v>1</v>
      </c>
      <c r="L3314" s="13">
        <f>VLOOKUP(H3314, 'RM &amp; SF'!B:H, 7, 0)</f>
        <v>0.15</v>
      </c>
      <c r="M3314" s="15">
        <f t="shared" si="173"/>
        <v>0.15</v>
      </c>
      <c r="N3314" s="21" t="s">
        <v>825</v>
      </c>
      <c r="O3314" s="4">
        <f>VLOOKUP(B3314, 'All Menu'!B:L, 6, 0)</f>
        <v>6.1763705573593066</v>
      </c>
      <c r="P3314" s="6">
        <f>VLOOKUP(B3314, 'All Menu'!B:L, 9, 0)</f>
        <v>4.3680474250000003</v>
      </c>
      <c r="Q3314" s="14">
        <f>VLOOKUP(B3314, 'All Menu'!B:M, 12, 0)</f>
        <v>0.29278086791678037</v>
      </c>
      <c r="R3314" s="173">
        <f t="shared" si="170"/>
        <v>0</v>
      </c>
    </row>
    <row r="3315" spans="1:18" ht="14" hidden="1">
      <c r="A3315" s="78" t="s">
        <v>2921</v>
      </c>
      <c r="B3315" s="220" t="s">
        <v>1249</v>
      </c>
      <c r="C3315" s="185"/>
      <c r="D3315" s="30" t="s">
        <v>1707</v>
      </c>
      <c r="E3315" s="30" t="str">
        <f>VLOOKUP(B3315, 'All Menu'!B:M, 2, 0)</f>
        <v>قسم طلبات مارت</v>
      </c>
      <c r="F3315" s="103" t="str">
        <f>VLOOKUP(B3315, 'All Menu'!B:M, 3, 0)</f>
        <v>طلبات مارت</v>
      </c>
      <c r="G3315" s="90" t="s">
        <v>3058</v>
      </c>
      <c r="H3315" s="219">
        <v>5274</v>
      </c>
      <c r="I3315" s="110" t="str">
        <f>VLOOKUP(H3315, 'RM &amp; SF'!B:H, 2, 0)</f>
        <v>نايلون للتغليف رول (رول جيلاتين) 45 سم*4 كغ*****</v>
      </c>
      <c r="J3315" s="184" t="str">
        <f>VLOOKUP(H3315, 'RM &amp; SF'!B:E, 4, 0)</f>
        <v>غم</v>
      </c>
      <c r="K3315" s="78">
        <v>1</v>
      </c>
      <c r="L3315" s="13">
        <f>VLOOKUP(H3315, 'RM &amp; SF'!B:H, 7, 0)</f>
        <v>2.0474249999999999E-3</v>
      </c>
      <c r="M3315" s="15">
        <f t="shared" si="173"/>
        <v>2.0474249999999999E-3</v>
      </c>
      <c r="N3315" s="21" t="s">
        <v>825</v>
      </c>
      <c r="O3315" s="4">
        <f>VLOOKUP(B3315, 'All Menu'!B:L, 6, 0)</f>
        <v>6.1763705573593066</v>
      </c>
      <c r="P3315" s="6">
        <f>VLOOKUP(B3315, 'All Menu'!B:L, 9, 0)</f>
        <v>4.3680474250000003</v>
      </c>
      <c r="Q3315" s="14">
        <f>VLOOKUP(B3315, 'All Menu'!B:M, 12, 0)</f>
        <v>0.29278086791678037</v>
      </c>
      <c r="R3315" s="173">
        <f t="shared" si="170"/>
        <v>0</v>
      </c>
    </row>
    <row r="3316" spans="1:18" ht="14" hidden="1">
      <c r="A3316" s="78" t="s">
        <v>2921</v>
      </c>
      <c r="B3316" s="220" t="s">
        <v>1249</v>
      </c>
      <c r="C3316" s="185"/>
      <c r="D3316" s="30" t="s">
        <v>1707</v>
      </c>
      <c r="E3316" s="30" t="str">
        <f>VLOOKUP(B3316, 'All Menu'!B:M, 2, 0)</f>
        <v>قسم طلبات مارت</v>
      </c>
      <c r="F3316" s="103" t="str">
        <f>VLOOKUP(B3316, 'All Menu'!B:M, 3, 0)</f>
        <v>طلبات مارت</v>
      </c>
      <c r="G3316" s="90" t="s">
        <v>3058</v>
      </c>
      <c r="H3316" s="219">
        <v>5372</v>
      </c>
      <c r="I3316" s="110" t="str">
        <f>VLOOKUP(H3316, 'RM &amp; SF'!B:H, 2, 0)</f>
        <v>ملصق - طلبات مارت</v>
      </c>
      <c r="J3316" s="184" t="str">
        <f>VLOOKUP(H3316, 'RM &amp; SF'!B:E, 4, 0)</f>
        <v>قطعة</v>
      </c>
      <c r="K3316" s="78">
        <v>1</v>
      </c>
      <c r="L3316" s="13">
        <f>VLOOKUP(H3316, 'RM &amp; SF'!B:H, 7, 0)</f>
        <v>1.15E-2</v>
      </c>
      <c r="M3316" s="15">
        <f t="shared" si="173"/>
        <v>1.15E-2</v>
      </c>
      <c r="N3316" s="21" t="s">
        <v>825</v>
      </c>
      <c r="O3316" s="4">
        <f>VLOOKUP(B3316, 'All Menu'!B:L, 6, 0)</f>
        <v>6.1763705573593066</v>
      </c>
      <c r="P3316" s="6">
        <f>VLOOKUP(B3316, 'All Menu'!B:L, 9, 0)</f>
        <v>4.3680474250000003</v>
      </c>
      <c r="Q3316" s="14">
        <f>VLOOKUP(B3316, 'All Menu'!B:M, 12, 0)</f>
        <v>0.29278086791678037</v>
      </c>
      <c r="R3316" s="173">
        <f t="shared" si="170"/>
        <v>0</v>
      </c>
    </row>
    <row r="3317" spans="1:18" ht="14" hidden="1">
      <c r="A3317" s="78" t="s">
        <v>2922</v>
      </c>
      <c r="B3317" s="220" t="s">
        <v>1251</v>
      </c>
      <c r="C3317" s="185"/>
      <c r="D3317" s="30" t="s">
        <v>1708</v>
      </c>
      <c r="E3317" s="30" t="str">
        <f>VLOOKUP(B3317, 'All Menu'!B:M, 2, 0)</f>
        <v>قسم طلبات مارت</v>
      </c>
      <c r="F3317" s="103" t="str">
        <f>VLOOKUP(B3317, 'All Menu'!B:M, 3, 0)</f>
        <v>طلبات مارت</v>
      </c>
      <c r="G3317" s="90" t="s">
        <v>3058</v>
      </c>
      <c r="H3317" s="219">
        <v>5373</v>
      </c>
      <c r="I3317" s="110" t="str">
        <f>VLOOKUP(H3317, 'RM &amp; SF'!B:H, 2, 0)</f>
        <v>قطعيات عجل مشكلة</v>
      </c>
      <c r="J3317" s="184" t="str">
        <f>VLOOKUP(H3317, 'RM &amp; SF'!B:E, 4, 0)</f>
        <v>غم</v>
      </c>
      <c r="K3317" s="78">
        <v>400</v>
      </c>
      <c r="L3317" s="13">
        <f>VLOOKUP(H3317, 'RM &amp; SF'!B:H, 7, 0)</f>
        <v>9.0100000000000006E-3</v>
      </c>
      <c r="M3317" s="15">
        <f t="shared" si="173"/>
        <v>3.6040000000000001</v>
      </c>
      <c r="N3317" s="21" t="s">
        <v>825</v>
      </c>
      <c r="O3317" s="4">
        <f>VLOOKUP(B3317, 'All Menu'!B:L, 6, 0)</f>
        <v>6.1763705573593066</v>
      </c>
      <c r="P3317" s="6">
        <f>VLOOKUP(B3317, 'All Menu'!B:L, 9, 0)</f>
        <v>4.0675474249999999</v>
      </c>
      <c r="Q3317" s="14">
        <f>VLOOKUP(B3317, 'All Menu'!B:M, 12, 0)</f>
        <v>0.34143403683035001</v>
      </c>
      <c r="R3317" s="173">
        <f t="shared" si="170"/>
        <v>0</v>
      </c>
    </row>
    <row r="3318" spans="1:18" ht="14" hidden="1">
      <c r="A3318" s="78" t="s">
        <v>2922</v>
      </c>
      <c r="B3318" s="220" t="s">
        <v>1251</v>
      </c>
      <c r="C3318" s="185"/>
      <c r="D3318" s="30" t="s">
        <v>1708</v>
      </c>
      <c r="E3318" s="30" t="str">
        <f>VLOOKUP(B3318, 'All Menu'!B:M, 2, 0)</f>
        <v>قسم طلبات مارت</v>
      </c>
      <c r="F3318" s="103" t="str">
        <f>VLOOKUP(B3318, 'All Menu'!B:M, 3, 0)</f>
        <v>طلبات مارت</v>
      </c>
      <c r="G3318" s="90" t="s">
        <v>2317</v>
      </c>
      <c r="H3318" s="219">
        <v>4601</v>
      </c>
      <c r="I3318" s="110" t="str">
        <f>VLOOKUP(H3318, 'RM &amp; SF'!B:H, 2, 0)</f>
        <v>نتر خروف*****</v>
      </c>
      <c r="J3318" s="184" t="str">
        <f>VLOOKUP(H3318, 'RM &amp; SF'!B:E, 4, 0)</f>
        <v>غم</v>
      </c>
      <c r="K3318" s="78">
        <v>100</v>
      </c>
      <c r="L3318" s="13">
        <f>VLOOKUP(H3318, 'RM &amp; SF'!B:H, 7, 0)</f>
        <v>3.0000000000000001E-3</v>
      </c>
      <c r="M3318" s="15">
        <f t="shared" si="173"/>
        <v>0.3</v>
      </c>
      <c r="N3318" s="21" t="s">
        <v>825</v>
      </c>
      <c r="O3318" s="4">
        <f>VLOOKUP(B3318, 'All Menu'!B:L, 6, 0)</f>
        <v>6.1763705573593066</v>
      </c>
      <c r="P3318" s="6">
        <f>VLOOKUP(B3318, 'All Menu'!B:L, 9, 0)</f>
        <v>4.0675474249999999</v>
      </c>
      <c r="Q3318" s="14">
        <f>VLOOKUP(B3318, 'All Menu'!B:M, 12, 0)</f>
        <v>0.34143403683035001</v>
      </c>
      <c r="R3318" s="173">
        <f t="shared" si="170"/>
        <v>0</v>
      </c>
    </row>
    <row r="3319" spans="1:18" ht="14" hidden="1">
      <c r="A3319" s="78" t="s">
        <v>2922</v>
      </c>
      <c r="B3319" s="220" t="s">
        <v>1251</v>
      </c>
      <c r="C3319" s="185"/>
      <c r="D3319" s="30" t="s">
        <v>1708</v>
      </c>
      <c r="E3319" s="30" t="str">
        <f>VLOOKUP(B3319, 'All Menu'!B:M, 2, 0)</f>
        <v>قسم طلبات مارت</v>
      </c>
      <c r="F3319" s="103" t="str">
        <f>VLOOKUP(B3319, 'All Menu'!B:M, 3, 0)</f>
        <v>طلبات مارت</v>
      </c>
      <c r="G3319" s="90" t="s">
        <v>3058</v>
      </c>
      <c r="H3319" s="219" t="s">
        <v>292</v>
      </c>
      <c r="I3319" s="110" t="str">
        <f>VLOOKUP(H3319, 'RM &amp; SF'!B:H, 2, 0)</f>
        <v>صحن جديد - طلبات مارت</v>
      </c>
      <c r="J3319" s="184" t="str">
        <f>VLOOKUP(H3319, 'RM &amp; SF'!B:E, 4, 0)</f>
        <v>قطعة</v>
      </c>
      <c r="K3319" s="78">
        <v>1</v>
      </c>
      <c r="L3319" s="13">
        <f>VLOOKUP(H3319, 'RM &amp; SF'!B:H, 7, 0)</f>
        <v>0.15</v>
      </c>
      <c r="M3319" s="15">
        <f t="shared" si="173"/>
        <v>0.15</v>
      </c>
      <c r="N3319" s="21" t="s">
        <v>825</v>
      </c>
      <c r="O3319" s="4">
        <f>VLOOKUP(B3319, 'All Menu'!B:L, 6, 0)</f>
        <v>6.1763705573593066</v>
      </c>
      <c r="P3319" s="6">
        <f>VLOOKUP(B3319, 'All Menu'!B:L, 9, 0)</f>
        <v>4.0675474249999999</v>
      </c>
      <c r="Q3319" s="14">
        <f>VLOOKUP(B3319, 'All Menu'!B:M, 12, 0)</f>
        <v>0.34143403683035001</v>
      </c>
      <c r="R3319" s="173">
        <f t="shared" si="170"/>
        <v>0</v>
      </c>
    </row>
    <row r="3320" spans="1:18" ht="14" hidden="1">
      <c r="A3320" s="78" t="s">
        <v>2922</v>
      </c>
      <c r="B3320" s="220" t="s">
        <v>1251</v>
      </c>
      <c r="C3320" s="185"/>
      <c r="D3320" s="30" t="s">
        <v>1708</v>
      </c>
      <c r="E3320" s="30" t="str">
        <f>VLOOKUP(B3320, 'All Menu'!B:M, 2, 0)</f>
        <v>قسم طلبات مارت</v>
      </c>
      <c r="F3320" s="103" t="str">
        <f>VLOOKUP(B3320, 'All Menu'!B:M, 3, 0)</f>
        <v>طلبات مارت</v>
      </c>
      <c r="G3320" s="90" t="s">
        <v>3058</v>
      </c>
      <c r="H3320" s="219">
        <v>5274</v>
      </c>
      <c r="I3320" s="110" t="str">
        <f>VLOOKUP(H3320, 'RM &amp; SF'!B:H, 2, 0)</f>
        <v>نايلون للتغليف رول (رول جيلاتين) 45 سم*4 كغ*****</v>
      </c>
      <c r="J3320" s="184" t="str">
        <f>VLOOKUP(H3320, 'RM &amp; SF'!B:E, 4, 0)</f>
        <v>غم</v>
      </c>
      <c r="K3320" s="78">
        <v>1</v>
      </c>
      <c r="L3320" s="13">
        <f>VLOOKUP(H3320, 'RM &amp; SF'!B:H, 7, 0)</f>
        <v>2.0474249999999999E-3</v>
      </c>
      <c r="M3320" s="15">
        <f t="shared" si="173"/>
        <v>2.0474249999999999E-3</v>
      </c>
      <c r="N3320" s="21" t="s">
        <v>825</v>
      </c>
      <c r="O3320" s="4">
        <f>VLOOKUP(B3320, 'All Menu'!B:L, 6, 0)</f>
        <v>6.1763705573593066</v>
      </c>
      <c r="P3320" s="6">
        <f>VLOOKUP(B3320, 'All Menu'!B:L, 9, 0)</f>
        <v>4.0675474249999999</v>
      </c>
      <c r="Q3320" s="14">
        <f>VLOOKUP(B3320, 'All Menu'!B:M, 12, 0)</f>
        <v>0.34143403683035001</v>
      </c>
      <c r="R3320" s="173">
        <f t="shared" si="170"/>
        <v>0</v>
      </c>
    </row>
    <row r="3321" spans="1:18" ht="14" hidden="1">
      <c r="A3321" s="78" t="s">
        <v>2922</v>
      </c>
      <c r="B3321" s="220" t="s">
        <v>1251</v>
      </c>
      <c r="C3321" s="185"/>
      <c r="D3321" s="30" t="s">
        <v>1708</v>
      </c>
      <c r="E3321" s="30" t="str">
        <f>VLOOKUP(B3321, 'All Menu'!B:M, 2, 0)</f>
        <v>قسم طلبات مارت</v>
      </c>
      <c r="F3321" s="103" t="str">
        <f>VLOOKUP(B3321, 'All Menu'!B:M, 3, 0)</f>
        <v>طلبات مارت</v>
      </c>
      <c r="G3321" s="90" t="s">
        <v>3058</v>
      </c>
      <c r="H3321" s="219">
        <v>5372</v>
      </c>
      <c r="I3321" s="110" t="str">
        <f>VLOOKUP(H3321, 'RM &amp; SF'!B:H, 2, 0)</f>
        <v>ملصق - طلبات مارت</v>
      </c>
      <c r="J3321" s="184" t="str">
        <f>VLOOKUP(H3321, 'RM &amp; SF'!B:E, 4, 0)</f>
        <v>قطعة</v>
      </c>
      <c r="K3321" s="78">
        <v>1</v>
      </c>
      <c r="L3321" s="13">
        <f>VLOOKUP(H3321, 'RM &amp; SF'!B:H, 7, 0)</f>
        <v>1.15E-2</v>
      </c>
      <c r="M3321" s="15">
        <f t="shared" si="173"/>
        <v>1.15E-2</v>
      </c>
      <c r="N3321" s="21" t="s">
        <v>825</v>
      </c>
      <c r="O3321" s="4">
        <f>VLOOKUP(B3321, 'All Menu'!B:L, 6, 0)</f>
        <v>6.1763705573593066</v>
      </c>
      <c r="P3321" s="6">
        <f>VLOOKUP(B3321, 'All Menu'!B:L, 9, 0)</f>
        <v>4.0675474249999999</v>
      </c>
      <c r="Q3321" s="14">
        <f>VLOOKUP(B3321, 'All Menu'!B:M, 12, 0)</f>
        <v>0.34143403683035001</v>
      </c>
      <c r="R3321" s="173">
        <f t="shared" si="170"/>
        <v>0</v>
      </c>
    </row>
    <row r="3322" spans="1:18" ht="14" hidden="1">
      <c r="A3322" s="78" t="s">
        <v>2923</v>
      </c>
      <c r="B3322" s="220" t="s">
        <v>1263</v>
      </c>
      <c r="C3322" s="185"/>
      <c r="D3322" s="30" t="s">
        <v>2076</v>
      </c>
      <c r="E3322" s="30" t="str">
        <f>VLOOKUP(B3322, 'All Menu'!B:M, 2, 0)</f>
        <v>قسم طلبات مارت</v>
      </c>
      <c r="F3322" s="103" t="str">
        <f>VLOOKUP(B3322, 'All Menu'!B:M, 3, 0)</f>
        <v>طلبات مارت</v>
      </c>
      <c r="G3322" s="90" t="s">
        <v>3058</v>
      </c>
      <c r="H3322" s="219">
        <v>5373</v>
      </c>
      <c r="I3322" s="110" t="str">
        <f>VLOOKUP(H3322, 'RM &amp; SF'!B:H, 2, 0)</f>
        <v>قطعيات عجل مشكلة</v>
      </c>
      <c r="J3322" s="184" t="str">
        <f>VLOOKUP(H3322, 'RM &amp; SF'!B:E, 4, 0)</f>
        <v>غم</v>
      </c>
      <c r="K3322" s="78">
        <v>500</v>
      </c>
      <c r="L3322" s="13">
        <f>VLOOKUP(H3322, 'RM &amp; SF'!B:H, 7, 0)</f>
        <v>9.0100000000000006E-3</v>
      </c>
      <c r="M3322" s="15">
        <f t="shared" si="173"/>
        <v>4.5049999999999999</v>
      </c>
      <c r="N3322" s="21" t="s">
        <v>825</v>
      </c>
      <c r="O3322" s="4">
        <f>VLOOKUP(B3322, 'All Menu'!B:L, 6, 0)</f>
        <v>6.5724744534632036</v>
      </c>
      <c r="P3322" s="6">
        <f>VLOOKUP(B3322, 'All Menu'!B:L, 9, 0)</f>
        <v>4.6685474249999999</v>
      </c>
      <c r="Q3322" s="14">
        <f>VLOOKUP(B3322, 'All Menu'!B:M, 12, 0)</f>
        <v>0.28968192146566296</v>
      </c>
      <c r="R3322" s="173">
        <f t="shared" si="170"/>
        <v>0</v>
      </c>
    </row>
    <row r="3323" spans="1:18" ht="14" hidden="1">
      <c r="A3323" s="78" t="s">
        <v>2923</v>
      </c>
      <c r="B3323" s="220" t="s">
        <v>1263</v>
      </c>
      <c r="C3323" s="185"/>
      <c r="D3323" s="30" t="s">
        <v>2076</v>
      </c>
      <c r="E3323" s="30" t="str">
        <f>VLOOKUP(B3323, 'All Menu'!B:M, 2, 0)</f>
        <v>قسم طلبات مارت</v>
      </c>
      <c r="F3323" s="103" t="str">
        <f>VLOOKUP(B3323, 'All Menu'!B:M, 3, 0)</f>
        <v>طلبات مارت</v>
      </c>
      <c r="G3323" s="90" t="s">
        <v>3058</v>
      </c>
      <c r="H3323" s="219" t="s">
        <v>292</v>
      </c>
      <c r="I3323" s="110" t="str">
        <f>VLOOKUP(H3323, 'RM &amp; SF'!B:H, 2, 0)</f>
        <v>صحن جديد - طلبات مارت</v>
      </c>
      <c r="J3323" s="184" t="str">
        <f>VLOOKUP(H3323, 'RM &amp; SF'!B:E, 4, 0)</f>
        <v>قطعة</v>
      </c>
      <c r="K3323" s="78">
        <v>1</v>
      </c>
      <c r="L3323" s="13">
        <f>VLOOKUP(H3323, 'RM &amp; SF'!B:H, 7, 0)</f>
        <v>0.15</v>
      </c>
      <c r="M3323" s="15">
        <f t="shared" si="173"/>
        <v>0.15</v>
      </c>
      <c r="N3323" s="21" t="s">
        <v>825</v>
      </c>
      <c r="O3323" s="4">
        <f>VLOOKUP(B3323, 'All Menu'!B:L, 6, 0)</f>
        <v>6.5724744534632036</v>
      </c>
      <c r="P3323" s="6">
        <f>VLOOKUP(B3323, 'All Menu'!B:L, 9, 0)</f>
        <v>4.6685474249999999</v>
      </c>
      <c r="Q3323" s="14">
        <f>VLOOKUP(B3323, 'All Menu'!B:M, 12, 0)</f>
        <v>0.28968192146566296</v>
      </c>
      <c r="R3323" s="173">
        <f t="shared" si="170"/>
        <v>0</v>
      </c>
    </row>
    <row r="3324" spans="1:18" ht="14" hidden="1">
      <c r="A3324" s="78" t="s">
        <v>2923</v>
      </c>
      <c r="B3324" s="220" t="s">
        <v>1263</v>
      </c>
      <c r="C3324" s="185"/>
      <c r="D3324" s="30" t="s">
        <v>2076</v>
      </c>
      <c r="E3324" s="30" t="str">
        <f>VLOOKUP(B3324, 'All Menu'!B:M, 2, 0)</f>
        <v>قسم طلبات مارت</v>
      </c>
      <c r="F3324" s="103" t="str">
        <f>VLOOKUP(B3324, 'All Menu'!B:M, 3, 0)</f>
        <v>طلبات مارت</v>
      </c>
      <c r="G3324" s="90" t="s">
        <v>3058</v>
      </c>
      <c r="H3324" s="219">
        <v>5274</v>
      </c>
      <c r="I3324" s="110" t="str">
        <f>VLOOKUP(H3324, 'RM &amp; SF'!B:H, 2, 0)</f>
        <v>نايلون للتغليف رول (رول جيلاتين) 45 سم*4 كغ*****</v>
      </c>
      <c r="J3324" s="184" t="str">
        <f>VLOOKUP(H3324, 'RM &amp; SF'!B:E, 4, 0)</f>
        <v>غم</v>
      </c>
      <c r="K3324" s="78">
        <v>1</v>
      </c>
      <c r="L3324" s="13">
        <f>VLOOKUP(H3324, 'RM &amp; SF'!B:H, 7, 0)</f>
        <v>2.0474249999999999E-3</v>
      </c>
      <c r="M3324" s="15">
        <f t="shared" si="173"/>
        <v>2.0474249999999999E-3</v>
      </c>
      <c r="N3324" s="21" t="s">
        <v>825</v>
      </c>
      <c r="O3324" s="4">
        <f>VLOOKUP(B3324, 'All Menu'!B:L, 6, 0)</f>
        <v>6.5724744534632036</v>
      </c>
      <c r="P3324" s="6">
        <f>VLOOKUP(B3324, 'All Menu'!B:L, 9, 0)</f>
        <v>4.6685474249999999</v>
      </c>
      <c r="Q3324" s="14">
        <f>VLOOKUP(B3324, 'All Menu'!B:M, 12, 0)</f>
        <v>0.28968192146566296</v>
      </c>
      <c r="R3324" s="173">
        <f t="shared" si="170"/>
        <v>0</v>
      </c>
    </row>
    <row r="3325" spans="1:18" ht="14" hidden="1">
      <c r="A3325" s="78" t="s">
        <v>2923</v>
      </c>
      <c r="B3325" s="220" t="s">
        <v>1263</v>
      </c>
      <c r="C3325" s="185"/>
      <c r="D3325" s="30" t="s">
        <v>2076</v>
      </c>
      <c r="E3325" s="30" t="str">
        <f>VLOOKUP(B3325, 'All Menu'!B:M, 2, 0)</f>
        <v>قسم طلبات مارت</v>
      </c>
      <c r="F3325" s="103" t="str">
        <f>VLOOKUP(B3325, 'All Menu'!B:M, 3, 0)</f>
        <v>طلبات مارت</v>
      </c>
      <c r="G3325" s="90" t="s">
        <v>3058</v>
      </c>
      <c r="H3325" s="219">
        <v>5372</v>
      </c>
      <c r="I3325" s="110" t="str">
        <f>VLOOKUP(H3325, 'RM &amp; SF'!B:H, 2, 0)</f>
        <v>ملصق - طلبات مارت</v>
      </c>
      <c r="J3325" s="184" t="str">
        <f>VLOOKUP(H3325, 'RM &amp; SF'!B:E, 4, 0)</f>
        <v>قطعة</v>
      </c>
      <c r="K3325" s="78">
        <v>1</v>
      </c>
      <c r="L3325" s="13">
        <f>VLOOKUP(H3325, 'RM &amp; SF'!B:H, 7, 0)</f>
        <v>1.15E-2</v>
      </c>
      <c r="M3325" s="15">
        <f t="shared" si="173"/>
        <v>1.15E-2</v>
      </c>
      <c r="N3325" s="21" t="s">
        <v>825</v>
      </c>
      <c r="O3325" s="4">
        <f>VLOOKUP(B3325, 'All Menu'!B:L, 6, 0)</f>
        <v>6.5724744534632036</v>
      </c>
      <c r="P3325" s="6">
        <f>VLOOKUP(B3325, 'All Menu'!B:L, 9, 0)</f>
        <v>4.6685474249999999</v>
      </c>
      <c r="Q3325" s="14">
        <f>VLOOKUP(B3325, 'All Menu'!B:M, 12, 0)</f>
        <v>0.28968192146566296</v>
      </c>
      <c r="R3325" s="173">
        <f t="shared" si="170"/>
        <v>0</v>
      </c>
    </row>
    <row r="3326" spans="1:18" ht="14" hidden="1">
      <c r="A3326" s="78" t="s">
        <v>2924</v>
      </c>
      <c r="B3326" s="220" t="s">
        <v>1262</v>
      </c>
      <c r="C3326" s="185"/>
      <c r="D3326" s="30" t="s">
        <v>1710</v>
      </c>
      <c r="E3326" s="30" t="str">
        <f>VLOOKUP(B3326, 'All Menu'!B:M, 2, 0)</f>
        <v>قسم طلبات مارت</v>
      </c>
      <c r="F3326" s="103" t="str">
        <f>VLOOKUP(B3326, 'All Menu'!B:M, 3, 0)</f>
        <v>طلبات مارت</v>
      </c>
      <c r="G3326" s="90" t="s">
        <v>3058</v>
      </c>
      <c r="H3326" s="219">
        <v>5392</v>
      </c>
      <c r="I3326" s="110" t="str">
        <f>VLOOKUP(H3326, 'RM &amp; SF'!B:H, 2, 0)</f>
        <v>ريش - طلبات مارت</v>
      </c>
      <c r="J3326" s="184" t="str">
        <f>VLOOKUP(H3326, 'RM &amp; SF'!B:E, 4, 0)</f>
        <v>غم</v>
      </c>
      <c r="K3326" s="78">
        <v>500</v>
      </c>
      <c r="L3326" s="13">
        <f>VLOOKUP(H3326, 'RM &amp; SF'!B:H, 7, 0)</f>
        <v>1.4E-2</v>
      </c>
      <c r="M3326" s="15">
        <f t="shared" si="173"/>
        <v>7</v>
      </c>
      <c r="N3326" s="21" t="s">
        <v>825</v>
      </c>
      <c r="O3326" s="4">
        <f>VLOOKUP(B3326, 'All Menu'!B:L, 6, 0)</f>
        <v>9.6678441510695201</v>
      </c>
      <c r="P3326" s="6">
        <f>VLOOKUP(B3326, 'All Menu'!B:L, 9, 0)</f>
        <v>7.163547425</v>
      </c>
      <c r="Q3326" s="14">
        <f>VLOOKUP(B3326, 'All Menu'!B:M, 12, 0)</f>
        <v>0.25903362600156088</v>
      </c>
      <c r="R3326" s="173">
        <f t="shared" si="170"/>
        <v>0</v>
      </c>
    </row>
    <row r="3327" spans="1:18" ht="14" hidden="1">
      <c r="A3327" s="78" t="s">
        <v>2924</v>
      </c>
      <c r="B3327" s="220" t="s">
        <v>1262</v>
      </c>
      <c r="C3327" s="185"/>
      <c r="D3327" s="30" t="s">
        <v>1710</v>
      </c>
      <c r="E3327" s="30" t="str">
        <f>VLOOKUP(B3327, 'All Menu'!B:M, 2, 0)</f>
        <v>قسم طلبات مارت</v>
      </c>
      <c r="F3327" s="103" t="str">
        <f>VLOOKUP(B3327, 'All Menu'!B:M, 3, 0)</f>
        <v>طلبات مارت</v>
      </c>
      <c r="G3327" s="90" t="s">
        <v>3058</v>
      </c>
      <c r="H3327" s="219" t="s">
        <v>292</v>
      </c>
      <c r="I3327" s="110" t="str">
        <f>VLOOKUP(H3327, 'RM &amp; SF'!B:H, 2, 0)</f>
        <v>صحن جديد - طلبات مارت</v>
      </c>
      <c r="J3327" s="184" t="str">
        <f>VLOOKUP(H3327, 'RM &amp; SF'!B:E, 4, 0)</f>
        <v>قطعة</v>
      </c>
      <c r="K3327" s="78">
        <v>1</v>
      </c>
      <c r="L3327" s="13">
        <f>VLOOKUP(H3327, 'RM &amp; SF'!B:H, 7, 0)</f>
        <v>0.15</v>
      </c>
      <c r="M3327" s="15">
        <f t="shared" si="173"/>
        <v>0.15</v>
      </c>
      <c r="N3327" s="21" t="s">
        <v>825</v>
      </c>
      <c r="O3327" s="4">
        <f>VLOOKUP(B3327, 'All Menu'!B:L, 6, 0)</f>
        <v>9.6678441510695201</v>
      </c>
      <c r="P3327" s="6">
        <f>VLOOKUP(B3327, 'All Menu'!B:L, 9, 0)</f>
        <v>7.163547425</v>
      </c>
      <c r="Q3327" s="14">
        <f>VLOOKUP(B3327, 'All Menu'!B:M, 12, 0)</f>
        <v>0.25903362600156088</v>
      </c>
      <c r="R3327" s="173">
        <f t="shared" si="170"/>
        <v>0</v>
      </c>
    </row>
    <row r="3328" spans="1:18" ht="14" hidden="1">
      <c r="A3328" s="78" t="s">
        <v>2924</v>
      </c>
      <c r="B3328" s="220" t="s">
        <v>1262</v>
      </c>
      <c r="C3328" s="185"/>
      <c r="D3328" s="30" t="s">
        <v>1710</v>
      </c>
      <c r="E3328" s="30" t="str">
        <f>VLOOKUP(B3328, 'All Menu'!B:M, 2, 0)</f>
        <v>قسم طلبات مارت</v>
      </c>
      <c r="F3328" s="103" t="str">
        <f>VLOOKUP(B3328, 'All Menu'!B:M, 3, 0)</f>
        <v>طلبات مارت</v>
      </c>
      <c r="G3328" s="90" t="s">
        <v>3058</v>
      </c>
      <c r="H3328" s="219">
        <v>5274</v>
      </c>
      <c r="I3328" s="110" t="str">
        <f>VLOOKUP(H3328, 'RM &amp; SF'!B:H, 2, 0)</f>
        <v>نايلون للتغليف رول (رول جيلاتين) 45 سم*4 كغ*****</v>
      </c>
      <c r="J3328" s="184" t="str">
        <f>VLOOKUP(H3328, 'RM &amp; SF'!B:E, 4, 0)</f>
        <v>غم</v>
      </c>
      <c r="K3328" s="78">
        <v>1</v>
      </c>
      <c r="L3328" s="13">
        <f>VLOOKUP(H3328, 'RM &amp; SF'!B:H, 7, 0)</f>
        <v>2.0474249999999999E-3</v>
      </c>
      <c r="M3328" s="15">
        <f t="shared" si="173"/>
        <v>2.0474249999999999E-3</v>
      </c>
      <c r="N3328" s="21" t="s">
        <v>825</v>
      </c>
      <c r="O3328" s="4">
        <f>VLOOKUP(B3328, 'All Menu'!B:L, 6, 0)</f>
        <v>9.6678441510695201</v>
      </c>
      <c r="P3328" s="6">
        <f>VLOOKUP(B3328, 'All Menu'!B:L, 9, 0)</f>
        <v>7.163547425</v>
      </c>
      <c r="Q3328" s="14">
        <f>VLOOKUP(B3328, 'All Menu'!B:M, 12, 0)</f>
        <v>0.25903362600156088</v>
      </c>
      <c r="R3328" s="173">
        <f t="shared" si="170"/>
        <v>0</v>
      </c>
    </row>
    <row r="3329" spans="1:18" ht="14" hidden="1">
      <c r="A3329" s="78" t="s">
        <v>2924</v>
      </c>
      <c r="B3329" s="220" t="s">
        <v>1262</v>
      </c>
      <c r="C3329" s="185"/>
      <c r="D3329" s="30" t="s">
        <v>1710</v>
      </c>
      <c r="E3329" s="30" t="str">
        <f>VLOOKUP(B3329, 'All Menu'!B:M, 2, 0)</f>
        <v>قسم طلبات مارت</v>
      </c>
      <c r="F3329" s="103" t="str">
        <f>VLOOKUP(B3329, 'All Menu'!B:M, 3, 0)</f>
        <v>طلبات مارت</v>
      </c>
      <c r="G3329" s="90" t="s">
        <v>3058</v>
      </c>
      <c r="H3329" s="219">
        <v>5372</v>
      </c>
      <c r="I3329" s="110" t="str">
        <f>VLOOKUP(H3329, 'RM &amp; SF'!B:H, 2, 0)</f>
        <v>ملصق - طلبات مارت</v>
      </c>
      <c r="J3329" s="184" t="str">
        <f>VLOOKUP(H3329, 'RM &amp; SF'!B:E, 4, 0)</f>
        <v>قطعة</v>
      </c>
      <c r="K3329" s="78">
        <v>1</v>
      </c>
      <c r="L3329" s="13">
        <f>VLOOKUP(H3329, 'RM &amp; SF'!B:H, 7, 0)</f>
        <v>1.15E-2</v>
      </c>
      <c r="M3329" s="15">
        <f t="shared" si="173"/>
        <v>1.15E-2</v>
      </c>
      <c r="N3329" s="21" t="s">
        <v>825</v>
      </c>
      <c r="O3329" s="4">
        <f>VLOOKUP(B3329, 'All Menu'!B:L, 6, 0)</f>
        <v>9.6678441510695201</v>
      </c>
      <c r="P3329" s="6">
        <f>VLOOKUP(B3329, 'All Menu'!B:L, 9, 0)</f>
        <v>7.163547425</v>
      </c>
      <c r="Q3329" s="14">
        <f>VLOOKUP(B3329, 'All Menu'!B:M, 12, 0)</f>
        <v>0.25903362600156088</v>
      </c>
      <c r="R3329" s="173">
        <f t="shared" si="170"/>
        <v>0</v>
      </c>
    </row>
    <row r="3330" spans="1:18" ht="14" hidden="1">
      <c r="A3330" s="78" t="s">
        <v>2925</v>
      </c>
      <c r="B3330" s="220" t="s">
        <v>1261</v>
      </c>
      <c r="C3330" s="185"/>
      <c r="D3330" s="30" t="s">
        <v>1711</v>
      </c>
      <c r="E3330" s="30" t="str">
        <f>VLOOKUP(B3330, 'All Menu'!B:M, 2, 0)</f>
        <v>قسم طلبات مارت</v>
      </c>
      <c r="F3330" s="103" t="str">
        <f>VLOOKUP(B3330, 'All Menu'!B:M, 3, 0)</f>
        <v>طلبات مارت</v>
      </c>
      <c r="G3330" s="90" t="s">
        <v>3058</v>
      </c>
      <c r="H3330" s="219">
        <v>5373</v>
      </c>
      <c r="I3330" s="110" t="str">
        <f>VLOOKUP(H3330, 'RM &amp; SF'!B:H, 2, 0)</f>
        <v>قطعيات عجل مشكلة</v>
      </c>
      <c r="J3330" s="184" t="str">
        <f>VLOOKUP(H3330, 'RM &amp; SF'!B:E, 4, 0)</f>
        <v>غم</v>
      </c>
      <c r="K3330" s="78">
        <v>350</v>
      </c>
      <c r="L3330" s="13">
        <f>VLOOKUP(H3330, 'RM &amp; SF'!B:H, 7, 0)</f>
        <v>9.0100000000000006E-3</v>
      </c>
      <c r="M3330" s="15">
        <f t="shared" si="173"/>
        <v>3.1535000000000002</v>
      </c>
      <c r="N3330" s="21" t="s">
        <v>825</v>
      </c>
      <c r="O3330" s="4">
        <f>VLOOKUP(B3330, 'All Menu'!B:L, 6, 0)</f>
        <v>5.9249157954545453</v>
      </c>
      <c r="P3330" s="6">
        <f>VLOOKUP(B3330, 'All Menu'!B:L, 9, 0)</f>
        <v>4.1239444250000004</v>
      </c>
      <c r="Q3330" s="14">
        <f>VLOOKUP(B3330, 'All Menu'!B:M, 12, 0)</f>
        <v>0.30396573261618459</v>
      </c>
      <c r="R3330" s="173">
        <f t="shared" si="170"/>
        <v>0</v>
      </c>
    </row>
    <row r="3331" spans="1:18" ht="14" hidden="1">
      <c r="A3331" s="78" t="s">
        <v>2925</v>
      </c>
      <c r="B3331" s="220" t="s">
        <v>1261</v>
      </c>
      <c r="C3331" s="185"/>
      <c r="D3331" s="30" t="s">
        <v>1711</v>
      </c>
      <c r="E3331" s="30" t="str">
        <f>VLOOKUP(B3331, 'All Menu'!B:M, 2, 0)</f>
        <v>قسم طلبات مارت</v>
      </c>
      <c r="F3331" s="103" t="str">
        <f>VLOOKUP(B3331, 'All Menu'!B:M, 3, 0)</f>
        <v>طلبات مارت</v>
      </c>
      <c r="G3331" s="90" t="s">
        <v>3058</v>
      </c>
      <c r="H3331" s="219">
        <v>4598</v>
      </c>
      <c r="I3331" s="110" t="str">
        <f>VLOOKUP(H3331, 'RM &amp; SF'!B:H, 2, 0)</f>
        <v>لية خروف نية*****</v>
      </c>
      <c r="J3331" s="184" t="str">
        <f>VLOOKUP(H3331, 'RM &amp; SF'!B:E, 4, 0)</f>
        <v>غم</v>
      </c>
      <c r="K3331" s="78">
        <v>150</v>
      </c>
      <c r="L3331" s="13">
        <f>VLOOKUP(H3331, 'RM &amp; SF'!B:H, 7, 0)</f>
        <v>5.0000000000000001E-3</v>
      </c>
      <c r="M3331" s="15">
        <f t="shared" si="173"/>
        <v>0.75</v>
      </c>
      <c r="N3331" s="21" t="s">
        <v>825</v>
      </c>
      <c r="O3331" s="4">
        <f>VLOOKUP(B3331, 'All Menu'!B:L, 6, 0)</f>
        <v>5.9249157954545453</v>
      </c>
      <c r="P3331" s="6">
        <f>VLOOKUP(B3331, 'All Menu'!B:L, 9, 0)</f>
        <v>4.1239444250000004</v>
      </c>
      <c r="Q3331" s="14">
        <f>VLOOKUP(B3331, 'All Menu'!B:M, 12, 0)</f>
        <v>0.30396573261618459</v>
      </c>
      <c r="R3331" s="173">
        <f t="shared" si="170"/>
        <v>0</v>
      </c>
    </row>
    <row r="3332" spans="1:18" ht="14" hidden="1">
      <c r="A3332" s="78" t="s">
        <v>2925</v>
      </c>
      <c r="B3332" s="220" t="s">
        <v>1261</v>
      </c>
      <c r="C3332" s="185"/>
      <c r="D3332" s="30" t="s">
        <v>1711</v>
      </c>
      <c r="E3332" s="30" t="str">
        <f>VLOOKUP(B3332, 'All Menu'!B:M, 2, 0)</f>
        <v>قسم طلبات مارت</v>
      </c>
      <c r="F3332" s="103" t="str">
        <f>VLOOKUP(B3332, 'All Menu'!B:M, 3, 0)</f>
        <v>طلبات مارت</v>
      </c>
      <c r="G3332" s="90" t="s">
        <v>2212</v>
      </c>
      <c r="H3332" s="219">
        <v>4215</v>
      </c>
      <c r="I3332" s="110" t="str">
        <f>VLOOKUP(H3332, 'RM &amp; SF'!B:H, 2, 0)</f>
        <v>ملح صيني*****</v>
      </c>
      <c r="J3332" s="184" t="str">
        <f>VLOOKUP(H3332, 'RM &amp; SF'!B:E, 4, 0)</f>
        <v>غم</v>
      </c>
      <c r="K3332" s="78">
        <v>13</v>
      </c>
      <c r="L3332" s="13">
        <f>VLOOKUP(H3332, 'RM &amp; SF'!B:H, 7, 0)</f>
        <v>1.7240000000000001E-3</v>
      </c>
      <c r="M3332" s="15">
        <f t="shared" si="173"/>
        <v>2.2412000000000001E-2</v>
      </c>
      <c r="N3332" s="21" t="s">
        <v>825</v>
      </c>
      <c r="O3332" s="4">
        <f>VLOOKUP(B3332, 'All Menu'!B:L, 6, 0)</f>
        <v>5.9249157954545453</v>
      </c>
      <c r="P3332" s="6">
        <f>VLOOKUP(B3332, 'All Menu'!B:L, 9, 0)</f>
        <v>4.1239444250000004</v>
      </c>
      <c r="Q3332" s="14">
        <f>VLOOKUP(B3332, 'All Menu'!B:M, 12, 0)</f>
        <v>0.30396573261618459</v>
      </c>
      <c r="R3332" s="173">
        <f t="shared" si="170"/>
        <v>0</v>
      </c>
    </row>
    <row r="3333" spans="1:18" ht="14" hidden="1">
      <c r="A3333" s="78" t="s">
        <v>2925</v>
      </c>
      <c r="B3333" s="220" t="s">
        <v>1261</v>
      </c>
      <c r="C3333" s="185"/>
      <c r="D3333" s="30" t="s">
        <v>1711</v>
      </c>
      <c r="E3333" s="30" t="str">
        <f>VLOOKUP(B3333, 'All Menu'!B:M, 2, 0)</f>
        <v>قسم طلبات مارت</v>
      </c>
      <c r="F3333" s="103" t="str">
        <f>VLOOKUP(B3333, 'All Menu'!B:M, 3, 0)</f>
        <v>طلبات مارت</v>
      </c>
      <c r="G3333" s="90" t="s">
        <v>2206</v>
      </c>
      <c r="H3333" s="219">
        <v>4204</v>
      </c>
      <c r="I3333" s="110" t="str">
        <f>VLOOKUP(H3333, 'RM &amp; SF'!B:H, 2, 0)</f>
        <v>فلفل اسود ناعم*****</v>
      </c>
      <c r="J3333" s="184" t="str">
        <f>VLOOKUP(H3333, 'RM &amp; SF'!B:E, 4, 0)</f>
        <v>غم</v>
      </c>
      <c r="K3333" s="78">
        <v>5</v>
      </c>
      <c r="L3333" s="13">
        <f>VLOOKUP(H3333, 'RM &amp; SF'!B:H, 7, 0)</f>
        <v>6.8970000000000004E-3</v>
      </c>
      <c r="M3333" s="15">
        <f t="shared" si="173"/>
        <v>3.4485000000000002E-2</v>
      </c>
      <c r="N3333" s="21" t="s">
        <v>825</v>
      </c>
      <c r="O3333" s="4">
        <f>VLOOKUP(B3333, 'All Menu'!B:L, 6, 0)</f>
        <v>5.9249157954545453</v>
      </c>
      <c r="P3333" s="6">
        <f>VLOOKUP(B3333, 'All Menu'!B:L, 9, 0)</f>
        <v>4.1239444250000004</v>
      </c>
      <c r="Q3333" s="14">
        <f>VLOOKUP(B3333, 'All Menu'!B:M, 12, 0)</f>
        <v>0.30396573261618459</v>
      </c>
      <c r="R3333" s="173">
        <f t="shared" si="170"/>
        <v>0</v>
      </c>
    </row>
    <row r="3334" spans="1:18" ht="14" hidden="1">
      <c r="A3334" s="78" t="s">
        <v>2925</v>
      </c>
      <c r="B3334" s="220" t="s">
        <v>1261</v>
      </c>
      <c r="C3334" s="185"/>
      <c r="D3334" s="30" t="s">
        <v>1711</v>
      </c>
      <c r="E3334" s="30" t="str">
        <f>VLOOKUP(B3334, 'All Menu'!B:M, 2, 0)</f>
        <v>قسم طلبات مارت</v>
      </c>
      <c r="F3334" s="103" t="str">
        <f>VLOOKUP(B3334, 'All Menu'!B:M, 3, 0)</f>
        <v>طلبات مارت</v>
      </c>
      <c r="G3334" s="90" t="s">
        <v>3058</v>
      </c>
      <c r="H3334" s="219" t="s">
        <v>292</v>
      </c>
      <c r="I3334" s="110" t="str">
        <f>VLOOKUP(H3334, 'RM &amp; SF'!B:H, 2, 0)</f>
        <v>صحن جديد - طلبات مارت</v>
      </c>
      <c r="J3334" s="184" t="str">
        <f>VLOOKUP(H3334, 'RM &amp; SF'!B:E, 4, 0)</f>
        <v>قطعة</v>
      </c>
      <c r="K3334" s="78">
        <v>1</v>
      </c>
      <c r="L3334" s="13">
        <f>VLOOKUP(H3334, 'RM &amp; SF'!B:H, 7, 0)</f>
        <v>0.15</v>
      </c>
      <c r="M3334" s="15">
        <f t="shared" si="173"/>
        <v>0.15</v>
      </c>
      <c r="N3334" s="21" t="s">
        <v>825</v>
      </c>
      <c r="O3334" s="4">
        <f>VLOOKUP(B3334, 'All Menu'!B:L, 6, 0)</f>
        <v>5.9249157954545453</v>
      </c>
      <c r="P3334" s="6">
        <f>VLOOKUP(B3334, 'All Menu'!B:L, 9, 0)</f>
        <v>4.1239444250000004</v>
      </c>
      <c r="Q3334" s="14">
        <f>VLOOKUP(B3334, 'All Menu'!B:M, 12, 0)</f>
        <v>0.30396573261618459</v>
      </c>
      <c r="R3334" s="173">
        <f t="shared" si="170"/>
        <v>0</v>
      </c>
    </row>
    <row r="3335" spans="1:18" ht="14" hidden="1">
      <c r="A3335" s="78" t="s">
        <v>2925</v>
      </c>
      <c r="B3335" s="220" t="s">
        <v>1261</v>
      </c>
      <c r="C3335" s="185"/>
      <c r="D3335" s="30" t="s">
        <v>1711</v>
      </c>
      <c r="E3335" s="30" t="str">
        <f>VLOOKUP(B3335, 'All Menu'!B:M, 2, 0)</f>
        <v>قسم طلبات مارت</v>
      </c>
      <c r="F3335" s="103" t="str">
        <f>VLOOKUP(B3335, 'All Menu'!B:M, 3, 0)</f>
        <v>طلبات مارت</v>
      </c>
      <c r="G3335" s="90" t="s">
        <v>3058</v>
      </c>
      <c r="H3335" s="219">
        <v>5274</v>
      </c>
      <c r="I3335" s="110" t="str">
        <f>VLOOKUP(H3335, 'RM &amp; SF'!B:H, 2, 0)</f>
        <v>نايلون للتغليف رول (رول جيلاتين) 45 سم*4 كغ*****</v>
      </c>
      <c r="J3335" s="184" t="str">
        <f>VLOOKUP(H3335, 'RM &amp; SF'!B:E, 4, 0)</f>
        <v>غم</v>
      </c>
      <c r="K3335" s="78">
        <v>1</v>
      </c>
      <c r="L3335" s="13">
        <f>VLOOKUP(H3335, 'RM &amp; SF'!B:H, 7, 0)</f>
        <v>2.0474249999999999E-3</v>
      </c>
      <c r="M3335" s="15">
        <f t="shared" si="173"/>
        <v>2.0474249999999999E-3</v>
      </c>
      <c r="N3335" s="21" t="s">
        <v>825</v>
      </c>
      <c r="O3335" s="4">
        <f>VLOOKUP(B3335, 'All Menu'!B:L, 6, 0)</f>
        <v>5.9249157954545453</v>
      </c>
      <c r="P3335" s="6">
        <f>VLOOKUP(B3335, 'All Menu'!B:L, 9, 0)</f>
        <v>4.1239444250000004</v>
      </c>
      <c r="Q3335" s="14">
        <f>VLOOKUP(B3335, 'All Menu'!B:M, 12, 0)</f>
        <v>0.30396573261618459</v>
      </c>
      <c r="R3335" s="173">
        <f t="shared" si="170"/>
        <v>0</v>
      </c>
    </row>
    <row r="3336" spans="1:18" ht="14" hidden="1">
      <c r="A3336" s="78" t="s">
        <v>2925</v>
      </c>
      <c r="B3336" s="220" t="s">
        <v>1261</v>
      </c>
      <c r="C3336" s="185"/>
      <c r="D3336" s="30" t="s">
        <v>1711</v>
      </c>
      <c r="E3336" s="30" t="str">
        <f>VLOOKUP(B3336, 'All Menu'!B:M, 2, 0)</f>
        <v>قسم طلبات مارت</v>
      </c>
      <c r="F3336" s="103" t="str">
        <f>VLOOKUP(B3336, 'All Menu'!B:M, 3, 0)</f>
        <v>طلبات مارت</v>
      </c>
      <c r="G3336" s="90" t="s">
        <v>3058</v>
      </c>
      <c r="H3336" s="219">
        <v>5372</v>
      </c>
      <c r="I3336" s="110" t="str">
        <f>VLOOKUP(H3336, 'RM &amp; SF'!B:H, 2, 0)</f>
        <v>ملصق - طلبات مارت</v>
      </c>
      <c r="J3336" s="184" t="str">
        <f>VLOOKUP(H3336, 'RM &amp; SF'!B:E, 4, 0)</f>
        <v>قطعة</v>
      </c>
      <c r="K3336" s="78">
        <v>1</v>
      </c>
      <c r="L3336" s="13">
        <f>VLOOKUP(H3336, 'RM &amp; SF'!B:H, 7, 0)</f>
        <v>1.15E-2</v>
      </c>
      <c r="M3336" s="15">
        <f t="shared" si="173"/>
        <v>1.15E-2</v>
      </c>
      <c r="N3336" s="21" t="s">
        <v>825</v>
      </c>
      <c r="O3336" s="4">
        <f>VLOOKUP(B3336, 'All Menu'!B:L, 6, 0)</f>
        <v>5.9249157954545453</v>
      </c>
      <c r="P3336" s="6">
        <f>VLOOKUP(B3336, 'All Menu'!B:L, 9, 0)</f>
        <v>4.1239444250000004</v>
      </c>
      <c r="Q3336" s="14">
        <f>VLOOKUP(B3336, 'All Menu'!B:M, 12, 0)</f>
        <v>0.30396573261618459</v>
      </c>
      <c r="R3336" s="173">
        <f t="shared" si="170"/>
        <v>0</v>
      </c>
    </row>
    <row r="3337" spans="1:18" ht="14" hidden="1">
      <c r="A3337" s="78" t="s">
        <v>2926</v>
      </c>
      <c r="B3337" s="220" t="s">
        <v>1260</v>
      </c>
      <c r="C3337" s="185"/>
      <c r="D3337" s="30" t="s">
        <v>1712</v>
      </c>
      <c r="E3337" s="30" t="str">
        <f>VLOOKUP(B3337, 'All Menu'!B:M, 2, 0)</f>
        <v>قسم طلبات مارت</v>
      </c>
      <c r="F3337" s="103" t="str">
        <f>VLOOKUP(B3337, 'All Menu'!B:M, 3, 0)</f>
        <v>طلبات مارت</v>
      </c>
      <c r="G3337" s="90" t="s">
        <v>3058</v>
      </c>
      <c r="H3337" s="219">
        <v>5373</v>
      </c>
      <c r="I3337" s="110" t="str">
        <f>VLOOKUP(H3337, 'RM &amp; SF'!B:H, 2, 0)</f>
        <v>قطعيات عجل مشكلة</v>
      </c>
      <c r="J3337" s="184" t="str">
        <f>VLOOKUP(H3337, 'RM &amp; SF'!B:E, 4, 0)</f>
        <v>غم</v>
      </c>
      <c r="K3337" s="78">
        <v>500</v>
      </c>
      <c r="L3337" s="13">
        <f>VLOOKUP(H3337, 'RM &amp; SF'!B:H, 7, 0)</f>
        <v>9.0100000000000006E-3</v>
      </c>
      <c r="M3337" s="15">
        <f t="shared" si="173"/>
        <v>4.5049999999999999</v>
      </c>
      <c r="N3337" s="21" t="s">
        <v>825</v>
      </c>
      <c r="O3337" s="4">
        <f>VLOOKUP(B3337, 'All Menu'!B:L, 6, 0)</f>
        <v>6.5724744534632036</v>
      </c>
      <c r="P3337" s="6">
        <f>VLOOKUP(B3337, 'All Menu'!B:L, 9, 0)</f>
        <v>4.6685474249999999</v>
      </c>
      <c r="Q3337" s="14">
        <f>VLOOKUP(B3337, 'All Menu'!B:M, 12, 0)</f>
        <v>0.28968192146566296</v>
      </c>
      <c r="R3337" s="173">
        <f t="shared" si="170"/>
        <v>0</v>
      </c>
    </row>
    <row r="3338" spans="1:18" ht="14" hidden="1">
      <c r="A3338" s="78" t="s">
        <v>2926</v>
      </c>
      <c r="B3338" s="220" t="s">
        <v>1260</v>
      </c>
      <c r="C3338" s="185"/>
      <c r="D3338" s="30" t="s">
        <v>1712</v>
      </c>
      <c r="E3338" s="30" t="str">
        <f>VLOOKUP(B3338, 'All Menu'!B:M, 2, 0)</f>
        <v>قسم طلبات مارت</v>
      </c>
      <c r="F3338" s="103" t="str">
        <f>VLOOKUP(B3338, 'All Menu'!B:M, 3, 0)</f>
        <v>طلبات مارت</v>
      </c>
      <c r="G3338" s="90" t="s">
        <v>3058</v>
      </c>
      <c r="H3338" s="219" t="s">
        <v>292</v>
      </c>
      <c r="I3338" s="110" t="str">
        <f>VLOOKUP(H3338, 'RM &amp; SF'!B:H, 2, 0)</f>
        <v>صحن جديد - طلبات مارت</v>
      </c>
      <c r="J3338" s="184" t="str">
        <f>VLOOKUP(H3338, 'RM &amp; SF'!B:E, 4, 0)</f>
        <v>قطعة</v>
      </c>
      <c r="K3338" s="78">
        <v>1</v>
      </c>
      <c r="L3338" s="13">
        <f>VLOOKUP(H3338, 'RM &amp; SF'!B:H, 7, 0)</f>
        <v>0.15</v>
      </c>
      <c r="M3338" s="15">
        <f t="shared" si="173"/>
        <v>0.15</v>
      </c>
      <c r="N3338" s="21" t="s">
        <v>825</v>
      </c>
      <c r="O3338" s="4">
        <f>VLOOKUP(B3338, 'All Menu'!B:L, 6, 0)</f>
        <v>6.5724744534632036</v>
      </c>
      <c r="P3338" s="6">
        <f>VLOOKUP(B3338, 'All Menu'!B:L, 9, 0)</f>
        <v>4.6685474249999999</v>
      </c>
      <c r="Q3338" s="14">
        <f>VLOOKUP(B3338, 'All Menu'!B:M, 12, 0)</f>
        <v>0.28968192146566296</v>
      </c>
      <c r="R3338" s="173">
        <f t="shared" ref="R3338:R3403" si="174">C3338*K3338</f>
        <v>0</v>
      </c>
    </row>
    <row r="3339" spans="1:18" ht="14" hidden="1">
      <c r="A3339" s="78" t="s">
        <v>2926</v>
      </c>
      <c r="B3339" s="220" t="s">
        <v>1260</v>
      </c>
      <c r="C3339" s="185"/>
      <c r="D3339" s="30" t="s">
        <v>1712</v>
      </c>
      <c r="E3339" s="30" t="str">
        <f>VLOOKUP(B3339, 'All Menu'!B:M, 2, 0)</f>
        <v>قسم طلبات مارت</v>
      </c>
      <c r="F3339" s="103" t="str">
        <f>VLOOKUP(B3339, 'All Menu'!B:M, 3, 0)</f>
        <v>طلبات مارت</v>
      </c>
      <c r="G3339" s="90" t="s">
        <v>3058</v>
      </c>
      <c r="H3339" s="219">
        <v>5274</v>
      </c>
      <c r="I3339" s="110" t="str">
        <f>VLOOKUP(H3339, 'RM &amp; SF'!B:H, 2, 0)</f>
        <v>نايلون للتغليف رول (رول جيلاتين) 45 سم*4 كغ*****</v>
      </c>
      <c r="J3339" s="184" t="str">
        <f>VLOOKUP(H3339, 'RM &amp; SF'!B:E, 4, 0)</f>
        <v>غم</v>
      </c>
      <c r="K3339" s="78">
        <v>1</v>
      </c>
      <c r="L3339" s="13">
        <f>VLOOKUP(H3339, 'RM &amp; SF'!B:H, 7, 0)</f>
        <v>2.0474249999999999E-3</v>
      </c>
      <c r="M3339" s="15">
        <f t="shared" si="173"/>
        <v>2.0474249999999999E-3</v>
      </c>
      <c r="N3339" s="21" t="s">
        <v>825</v>
      </c>
      <c r="O3339" s="4">
        <f>VLOOKUP(B3339, 'All Menu'!B:L, 6, 0)</f>
        <v>6.5724744534632036</v>
      </c>
      <c r="P3339" s="6">
        <f>VLOOKUP(B3339, 'All Menu'!B:L, 9, 0)</f>
        <v>4.6685474249999999</v>
      </c>
      <c r="Q3339" s="14">
        <f>VLOOKUP(B3339, 'All Menu'!B:M, 12, 0)</f>
        <v>0.28968192146566296</v>
      </c>
      <c r="R3339" s="173">
        <f t="shared" si="174"/>
        <v>0</v>
      </c>
    </row>
    <row r="3340" spans="1:18" ht="14" hidden="1">
      <c r="A3340" s="78" t="s">
        <v>2926</v>
      </c>
      <c r="B3340" s="220" t="s">
        <v>1260</v>
      </c>
      <c r="C3340" s="185"/>
      <c r="D3340" s="30" t="s">
        <v>1712</v>
      </c>
      <c r="E3340" s="30" t="str">
        <f>VLOOKUP(B3340, 'All Menu'!B:M, 2, 0)</f>
        <v>قسم طلبات مارت</v>
      </c>
      <c r="F3340" s="103" t="str">
        <f>VLOOKUP(B3340, 'All Menu'!B:M, 3, 0)</f>
        <v>طلبات مارت</v>
      </c>
      <c r="G3340" s="90" t="s">
        <v>3058</v>
      </c>
      <c r="H3340" s="219">
        <v>5372</v>
      </c>
      <c r="I3340" s="110" t="str">
        <f>VLOOKUP(H3340, 'RM &amp; SF'!B:H, 2, 0)</f>
        <v>ملصق - طلبات مارت</v>
      </c>
      <c r="J3340" s="184" t="str">
        <f>VLOOKUP(H3340, 'RM &amp; SF'!B:E, 4, 0)</f>
        <v>قطعة</v>
      </c>
      <c r="K3340" s="78">
        <v>1</v>
      </c>
      <c r="L3340" s="13">
        <f>VLOOKUP(H3340, 'RM &amp; SF'!B:H, 7, 0)</f>
        <v>1.15E-2</v>
      </c>
      <c r="M3340" s="15">
        <f t="shared" si="173"/>
        <v>1.15E-2</v>
      </c>
      <c r="N3340" s="21" t="s">
        <v>825</v>
      </c>
      <c r="O3340" s="4">
        <f>VLOOKUP(B3340, 'All Menu'!B:L, 6, 0)</f>
        <v>6.5724744534632036</v>
      </c>
      <c r="P3340" s="6">
        <f>VLOOKUP(B3340, 'All Menu'!B:L, 9, 0)</f>
        <v>4.6685474249999999</v>
      </c>
      <c r="Q3340" s="14">
        <f>VLOOKUP(B3340, 'All Menu'!B:M, 12, 0)</f>
        <v>0.28968192146566296</v>
      </c>
      <c r="R3340" s="173">
        <f t="shared" si="174"/>
        <v>0</v>
      </c>
    </row>
    <row r="3341" spans="1:18" ht="14" hidden="1">
      <c r="A3341" s="78" t="s">
        <v>2927</v>
      </c>
      <c r="B3341" s="220" t="s">
        <v>1259</v>
      </c>
      <c r="C3341" s="185"/>
      <c r="D3341" s="30" t="s">
        <v>1713</v>
      </c>
      <c r="E3341" s="30" t="str">
        <f>VLOOKUP(B3341, 'All Menu'!B:M, 2, 0)</f>
        <v>قسم طلبات مارت</v>
      </c>
      <c r="F3341" s="103" t="str">
        <f>VLOOKUP(B3341, 'All Menu'!B:M, 3, 0)</f>
        <v>طلبات مارت</v>
      </c>
      <c r="G3341" s="90" t="s">
        <v>3058</v>
      </c>
      <c r="H3341" s="219">
        <v>5401</v>
      </c>
      <c r="I3341" s="110" t="str">
        <f>VLOOKUP(H3341, 'RM &amp; SF'!B:H, 2, 0)</f>
        <v xml:space="preserve">روز بيف  </v>
      </c>
      <c r="J3341" s="184" t="str">
        <f>VLOOKUP(H3341, 'RM &amp; SF'!B:E, 4, 0)</f>
        <v>غم</v>
      </c>
      <c r="K3341" s="78">
        <v>500</v>
      </c>
      <c r="L3341" s="13">
        <f>VLOOKUP(H3341, 'RM &amp; SF'!B:H, 7, 0)</f>
        <v>1.2580000000000001E-2</v>
      </c>
      <c r="M3341" s="15">
        <f t="shared" si="173"/>
        <v>6.29</v>
      </c>
      <c r="N3341" s="21" t="s">
        <v>825</v>
      </c>
      <c r="O3341" s="4">
        <f>VLOOKUP(B3341, 'All Menu'!B:L, 6, 0)</f>
        <v>9.8084051893939392</v>
      </c>
      <c r="P3341" s="6">
        <f>VLOOKUP(B3341, 'All Menu'!B:L, 9, 0)</f>
        <v>6.453547425</v>
      </c>
      <c r="Q3341" s="14">
        <f>VLOOKUP(B3341, 'All Menu'!B:M, 12, 0)</f>
        <v>0.34203906747466206</v>
      </c>
      <c r="R3341" s="173">
        <f t="shared" si="174"/>
        <v>0</v>
      </c>
    </row>
    <row r="3342" spans="1:18" ht="14" hidden="1">
      <c r="A3342" s="78" t="s">
        <v>2927</v>
      </c>
      <c r="B3342" s="220" t="s">
        <v>1259</v>
      </c>
      <c r="C3342" s="185"/>
      <c r="D3342" s="30" t="s">
        <v>1713</v>
      </c>
      <c r="E3342" s="30" t="str">
        <f>VLOOKUP(B3342, 'All Menu'!B:M, 2, 0)</f>
        <v>قسم طلبات مارت</v>
      </c>
      <c r="F3342" s="103" t="str">
        <f>VLOOKUP(B3342, 'All Menu'!B:M, 3, 0)</f>
        <v>طلبات مارت</v>
      </c>
      <c r="G3342" s="90" t="s">
        <v>3058</v>
      </c>
      <c r="H3342" s="219" t="s">
        <v>292</v>
      </c>
      <c r="I3342" s="110" t="str">
        <f>VLOOKUP(H3342, 'RM &amp; SF'!B:H, 2, 0)</f>
        <v>صحن جديد - طلبات مارت</v>
      </c>
      <c r="J3342" s="184" t="str">
        <f>VLOOKUP(H3342, 'RM &amp; SF'!B:E, 4, 0)</f>
        <v>قطعة</v>
      </c>
      <c r="K3342" s="78">
        <v>1</v>
      </c>
      <c r="L3342" s="13">
        <f>VLOOKUP(H3342, 'RM &amp; SF'!B:H, 7, 0)</f>
        <v>0.15</v>
      </c>
      <c r="M3342" s="15">
        <f t="shared" si="173"/>
        <v>0.15</v>
      </c>
      <c r="N3342" s="21" t="s">
        <v>825</v>
      </c>
      <c r="O3342" s="4">
        <f>VLOOKUP(B3342, 'All Menu'!B:L, 6, 0)</f>
        <v>9.8084051893939392</v>
      </c>
      <c r="P3342" s="6">
        <f>VLOOKUP(B3342, 'All Menu'!B:L, 9, 0)</f>
        <v>6.453547425</v>
      </c>
      <c r="Q3342" s="14">
        <f>VLOOKUP(B3342, 'All Menu'!B:M, 12, 0)</f>
        <v>0.34203906747466206</v>
      </c>
      <c r="R3342" s="173">
        <f t="shared" si="174"/>
        <v>0</v>
      </c>
    </row>
    <row r="3343" spans="1:18" ht="14" hidden="1">
      <c r="A3343" s="78" t="s">
        <v>2927</v>
      </c>
      <c r="B3343" s="220" t="s">
        <v>1259</v>
      </c>
      <c r="C3343" s="185"/>
      <c r="D3343" s="30" t="s">
        <v>1713</v>
      </c>
      <c r="E3343" s="30" t="str">
        <f>VLOOKUP(B3343, 'All Menu'!B:M, 2, 0)</f>
        <v>قسم طلبات مارت</v>
      </c>
      <c r="F3343" s="103" t="str">
        <f>VLOOKUP(B3343, 'All Menu'!B:M, 3, 0)</f>
        <v>طلبات مارت</v>
      </c>
      <c r="G3343" s="90" t="s">
        <v>3058</v>
      </c>
      <c r="H3343" s="219">
        <v>5274</v>
      </c>
      <c r="I3343" s="110" t="str">
        <f>VLOOKUP(H3343, 'RM &amp; SF'!B:H, 2, 0)</f>
        <v>نايلون للتغليف رول (رول جيلاتين) 45 سم*4 كغ*****</v>
      </c>
      <c r="J3343" s="184" t="str">
        <f>VLOOKUP(H3343, 'RM &amp; SF'!B:E, 4, 0)</f>
        <v>غم</v>
      </c>
      <c r="K3343" s="78">
        <v>1</v>
      </c>
      <c r="L3343" s="13">
        <f>VLOOKUP(H3343, 'RM &amp; SF'!B:H, 7, 0)</f>
        <v>2.0474249999999999E-3</v>
      </c>
      <c r="M3343" s="15">
        <f t="shared" si="173"/>
        <v>2.0474249999999999E-3</v>
      </c>
      <c r="N3343" s="21" t="s">
        <v>825</v>
      </c>
      <c r="O3343" s="4">
        <f>VLOOKUP(B3343, 'All Menu'!B:L, 6, 0)</f>
        <v>9.8084051893939392</v>
      </c>
      <c r="P3343" s="6">
        <f>VLOOKUP(B3343, 'All Menu'!B:L, 9, 0)</f>
        <v>6.453547425</v>
      </c>
      <c r="Q3343" s="14">
        <f>VLOOKUP(B3343, 'All Menu'!B:M, 12, 0)</f>
        <v>0.34203906747466206</v>
      </c>
      <c r="R3343" s="173">
        <f t="shared" si="174"/>
        <v>0</v>
      </c>
    </row>
    <row r="3344" spans="1:18" ht="14" hidden="1">
      <c r="A3344" s="78" t="s">
        <v>2927</v>
      </c>
      <c r="B3344" s="220" t="s">
        <v>1259</v>
      </c>
      <c r="C3344" s="185"/>
      <c r="D3344" s="30" t="s">
        <v>1713</v>
      </c>
      <c r="E3344" s="30" t="str">
        <f>VLOOKUP(B3344, 'All Menu'!B:M, 2, 0)</f>
        <v>قسم طلبات مارت</v>
      </c>
      <c r="F3344" s="103" t="str">
        <f>VLOOKUP(B3344, 'All Menu'!B:M, 3, 0)</f>
        <v>طلبات مارت</v>
      </c>
      <c r="G3344" s="90" t="s">
        <v>3058</v>
      </c>
      <c r="H3344" s="219">
        <v>5372</v>
      </c>
      <c r="I3344" s="110" t="str">
        <f>VLOOKUP(H3344, 'RM &amp; SF'!B:H, 2, 0)</f>
        <v>ملصق - طلبات مارت</v>
      </c>
      <c r="J3344" s="184" t="str">
        <f>VLOOKUP(H3344, 'RM &amp; SF'!B:E, 4, 0)</f>
        <v>قطعة</v>
      </c>
      <c r="K3344" s="78">
        <v>1</v>
      </c>
      <c r="L3344" s="13">
        <f>VLOOKUP(H3344, 'RM &amp; SF'!B:H, 7, 0)</f>
        <v>1.15E-2</v>
      </c>
      <c r="M3344" s="15">
        <f t="shared" si="173"/>
        <v>1.15E-2</v>
      </c>
      <c r="N3344" s="21" t="s">
        <v>825</v>
      </c>
      <c r="O3344" s="4">
        <f>VLOOKUP(B3344, 'All Menu'!B:L, 6, 0)</f>
        <v>9.8084051893939392</v>
      </c>
      <c r="P3344" s="6">
        <f>VLOOKUP(B3344, 'All Menu'!B:L, 9, 0)</f>
        <v>6.453547425</v>
      </c>
      <c r="Q3344" s="14">
        <f>VLOOKUP(B3344, 'All Menu'!B:M, 12, 0)</f>
        <v>0.34203906747466206</v>
      </c>
      <c r="R3344" s="173">
        <f t="shared" si="174"/>
        <v>0</v>
      </c>
    </row>
    <row r="3345" spans="1:18" ht="14" hidden="1">
      <c r="A3345" s="78" t="s">
        <v>2928</v>
      </c>
      <c r="B3345" s="220" t="s">
        <v>1258</v>
      </c>
      <c r="C3345" s="185"/>
      <c r="D3345" s="30" t="s">
        <v>1714</v>
      </c>
      <c r="E3345" s="30" t="str">
        <f>VLOOKUP(B3345, 'All Menu'!B:M, 2, 0)</f>
        <v>قسم طلبات مارت</v>
      </c>
      <c r="F3345" s="103" t="str">
        <f>VLOOKUP(B3345, 'All Menu'!B:M, 3, 0)</f>
        <v>طلبات مارت</v>
      </c>
      <c r="G3345" s="90" t="s">
        <v>3058</v>
      </c>
      <c r="H3345" s="219">
        <v>5373</v>
      </c>
      <c r="I3345" s="110" t="str">
        <f>VLOOKUP(H3345, 'RM &amp; SF'!B:H, 2, 0)</f>
        <v>قطعيات عجل مشكلة</v>
      </c>
      <c r="J3345" s="184" t="str">
        <f>VLOOKUP(H3345, 'RM &amp; SF'!B:E, 4, 0)</f>
        <v>غم</v>
      </c>
      <c r="K3345" s="78">
        <v>400</v>
      </c>
      <c r="L3345" s="13">
        <f>VLOOKUP(H3345, 'RM &amp; SF'!B:H, 7, 0)</f>
        <v>9.0100000000000006E-3</v>
      </c>
      <c r="M3345" s="15">
        <f t="shared" si="173"/>
        <v>3.6040000000000001</v>
      </c>
      <c r="N3345" s="21" t="s">
        <v>825</v>
      </c>
      <c r="O3345" s="4">
        <f>VLOOKUP(B3345, 'All Menu'!B:L, 6, 0)</f>
        <v>5.9426131259018744</v>
      </c>
      <c r="P3345" s="6">
        <f>VLOOKUP(B3345, 'All Menu'!B:L, 9, 0)</f>
        <v>4.1746960916666662</v>
      </c>
      <c r="Q3345" s="14">
        <f>VLOOKUP(B3345, 'All Menu'!B:M, 12, 0)</f>
        <v>0.29749825485516562</v>
      </c>
      <c r="R3345" s="173">
        <f t="shared" si="174"/>
        <v>0</v>
      </c>
    </row>
    <row r="3346" spans="1:18" ht="14" hidden="1">
      <c r="A3346" s="78" t="s">
        <v>2928</v>
      </c>
      <c r="B3346" s="220" t="s">
        <v>1258</v>
      </c>
      <c r="C3346" s="185"/>
      <c r="D3346" s="30" t="s">
        <v>1714</v>
      </c>
      <c r="E3346" s="30" t="str">
        <f>VLOOKUP(B3346, 'All Menu'!B:M, 2, 0)</f>
        <v>قسم طلبات مارت</v>
      </c>
      <c r="F3346" s="103" t="str">
        <f>VLOOKUP(B3346, 'All Menu'!B:M, 3, 0)</f>
        <v>طلبات مارت</v>
      </c>
      <c r="G3346" s="90" t="s">
        <v>2317</v>
      </c>
      <c r="H3346" s="219">
        <v>4601</v>
      </c>
      <c r="I3346" s="110" t="str">
        <f>VLOOKUP(H3346, 'RM &amp; SF'!B:H, 2, 0)</f>
        <v>نتر خروف*****</v>
      </c>
      <c r="J3346" s="184" t="str">
        <f>VLOOKUP(H3346, 'RM &amp; SF'!B:E, 4, 0)</f>
        <v>غم</v>
      </c>
      <c r="K3346" s="78">
        <v>100</v>
      </c>
      <c r="L3346" s="13">
        <f>VLOOKUP(H3346, 'RM &amp; SF'!B:H, 7, 0)</f>
        <v>3.0000000000000001E-3</v>
      </c>
      <c r="M3346" s="15">
        <f t="shared" si="173"/>
        <v>0.3</v>
      </c>
      <c r="N3346" s="21" t="s">
        <v>825</v>
      </c>
      <c r="O3346" s="4">
        <f>VLOOKUP(B3346, 'All Menu'!B:L, 6, 0)</f>
        <v>5.9426131259018744</v>
      </c>
      <c r="P3346" s="6">
        <f>VLOOKUP(B3346, 'All Menu'!B:L, 9, 0)</f>
        <v>4.1746960916666662</v>
      </c>
      <c r="Q3346" s="14">
        <f>VLOOKUP(B3346, 'All Menu'!B:M, 12, 0)</f>
        <v>0.29749825485516562</v>
      </c>
      <c r="R3346" s="173">
        <f t="shared" si="174"/>
        <v>0</v>
      </c>
    </row>
    <row r="3347" spans="1:18" ht="14" hidden="1">
      <c r="A3347" s="78" t="s">
        <v>2928</v>
      </c>
      <c r="B3347" s="220" t="s">
        <v>1258</v>
      </c>
      <c r="C3347" s="185"/>
      <c r="D3347" s="30" t="s">
        <v>1714</v>
      </c>
      <c r="E3347" s="30" t="str">
        <f>VLOOKUP(B3347, 'All Menu'!B:M, 2, 0)</f>
        <v>قسم طلبات مارت</v>
      </c>
      <c r="F3347" s="103" t="str">
        <f>VLOOKUP(B3347, 'All Menu'!B:M, 3, 0)</f>
        <v>طلبات مارت</v>
      </c>
      <c r="G3347" s="90" t="s">
        <v>2208</v>
      </c>
      <c r="H3347" s="219">
        <v>4211</v>
      </c>
      <c r="I3347" s="110" t="str">
        <f>VLOOKUP(H3347, 'RM &amp; SF'!B:H, 2, 0)</f>
        <v>كزبرة ناعمة*****</v>
      </c>
      <c r="J3347" s="184" t="str">
        <f>VLOOKUP(H3347, 'RM &amp; SF'!B:E, 4, 0)</f>
        <v>غم</v>
      </c>
      <c r="K3347" s="78">
        <v>9</v>
      </c>
      <c r="L3347" s="13">
        <f>VLOOKUP(H3347, 'RM &amp; SF'!B:H, 7, 0)</f>
        <v>1.5089999999999999E-3</v>
      </c>
      <c r="M3347" s="15">
        <f t="shared" si="173"/>
        <v>1.3580999999999999E-2</v>
      </c>
      <c r="N3347" s="21" t="s">
        <v>825</v>
      </c>
      <c r="O3347" s="4">
        <f>VLOOKUP(B3347, 'All Menu'!B:L, 6, 0)</f>
        <v>5.9426131259018744</v>
      </c>
      <c r="P3347" s="6">
        <f>VLOOKUP(B3347, 'All Menu'!B:L, 9, 0)</f>
        <v>4.1746960916666662</v>
      </c>
      <c r="Q3347" s="14">
        <f>VLOOKUP(B3347, 'All Menu'!B:M, 12, 0)</f>
        <v>0.29749825485516562</v>
      </c>
      <c r="R3347" s="173">
        <f t="shared" si="174"/>
        <v>0</v>
      </c>
    </row>
    <row r="3348" spans="1:18" ht="14" hidden="1">
      <c r="A3348" s="78" t="s">
        <v>2928</v>
      </c>
      <c r="B3348" s="220" t="s">
        <v>1258</v>
      </c>
      <c r="C3348" s="185"/>
      <c r="D3348" s="30" t="s">
        <v>1714</v>
      </c>
      <c r="E3348" s="30" t="str">
        <f>VLOOKUP(B3348, 'All Menu'!B:M, 2, 0)</f>
        <v>قسم طلبات مارت</v>
      </c>
      <c r="F3348" s="103" t="str">
        <f>VLOOKUP(B3348, 'All Menu'!B:M, 3, 0)</f>
        <v>طلبات مارت</v>
      </c>
      <c r="G3348" s="90" t="s">
        <v>2203</v>
      </c>
      <c r="H3348" s="219">
        <v>4152</v>
      </c>
      <c r="I3348" s="110" t="str">
        <f>VLOOKUP(H3348, 'RM &amp; SF'!B:H, 2, 0)</f>
        <v>ملح طعام 750غم*****</v>
      </c>
      <c r="J3348" s="184" t="str">
        <f>VLOOKUP(H3348, 'RM &amp; SF'!B:E, 4, 0)</f>
        <v>غم</v>
      </c>
      <c r="K3348" s="78">
        <v>25</v>
      </c>
      <c r="L3348" s="13">
        <f>VLOOKUP(H3348, 'RM &amp; SF'!B:H, 7, 0)</f>
        <v>1.7066666666666665E-4</v>
      </c>
      <c r="M3348" s="15">
        <f t="shared" si="173"/>
        <v>4.266666666666666E-3</v>
      </c>
      <c r="N3348" s="21" t="s">
        <v>825</v>
      </c>
      <c r="O3348" s="4">
        <f>VLOOKUP(B3348, 'All Menu'!B:L, 6, 0)</f>
        <v>5.9426131259018744</v>
      </c>
      <c r="P3348" s="6">
        <f>VLOOKUP(B3348, 'All Menu'!B:L, 9, 0)</f>
        <v>4.1746960916666662</v>
      </c>
      <c r="Q3348" s="14">
        <f>VLOOKUP(B3348, 'All Menu'!B:M, 12, 0)</f>
        <v>0.29749825485516562</v>
      </c>
      <c r="R3348" s="173">
        <f t="shared" si="174"/>
        <v>0</v>
      </c>
    </row>
    <row r="3349" spans="1:18" ht="14" hidden="1">
      <c r="A3349" s="78" t="s">
        <v>2928</v>
      </c>
      <c r="B3349" s="220" t="s">
        <v>1258</v>
      </c>
      <c r="C3349" s="185"/>
      <c r="D3349" s="30" t="s">
        <v>1714</v>
      </c>
      <c r="E3349" s="30" t="str">
        <f>VLOOKUP(B3349, 'All Menu'!B:M, 2, 0)</f>
        <v>قسم طلبات مارت</v>
      </c>
      <c r="F3349" s="103" t="str">
        <f>VLOOKUP(B3349, 'All Menu'!B:M, 3, 0)</f>
        <v>طلبات مارت</v>
      </c>
      <c r="G3349" s="90" t="s">
        <v>2206</v>
      </c>
      <c r="H3349" s="219">
        <v>4204</v>
      </c>
      <c r="I3349" s="110" t="str">
        <f>VLOOKUP(H3349, 'RM &amp; SF'!B:H, 2, 0)</f>
        <v>فلفل اسود ناعم*****</v>
      </c>
      <c r="J3349" s="184" t="str">
        <f>VLOOKUP(H3349, 'RM &amp; SF'!B:E, 4, 0)</f>
        <v>غم</v>
      </c>
      <c r="K3349" s="78">
        <v>9</v>
      </c>
      <c r="L3349" s="13">
        <f>VLOOKUP(H3349, 'RM &amp; SF'!B:H, 7, 0)</f>
        <v>6.8970000000000004E-3</v>
      </c>
      <c r="M3349" s="15">
        <f t="shared" si="173"/>
        <v>6.2073000000000003E-2</v>
      </c>
      <c r="N3349" s="21" t="s">
        <v>825</v>
      </c>
      <c r="O3349" s="4">
        <f>VLOOKUP(B3349, 'All Menu'!B:L, 6, 0)</f>
        <v>5.9426131259018744</v>
      </c>
      <c r="P3349" s="6">
        <f>VLOOKUP(B3349, 'All Menu'!B:L, 9, 0)</f>
        <v>4.1746960916666662</v>
      </c>
      <c r="Q3349" s="14">
        <f>VLOOKUP(B3349, 'All Menu'!B:M, 12, 0)</f>
        <v>0.29749825485516562</v>
      </c>
      <c r="R3349" s="173">
        <f t="shared" si="174"/>
        <v>0</v>
      </c>
    </row>
    <row r="3350" spans="1:18" ht="14" hidden="1">
      <c r="A3350" s="78" t="s">
        <v>2928</v>
      </c>
      <c r="B3350" s="220" t="s">
        <v>1258</v>
      </c>
      <c r="C3350" s="185"/>
      <c r="D3350" s="30" t="s">
        <v>1714</v>
      </c>
      <c r="E3350" s="30" t="str">
        <f>VLOOKUP(B3350, 'All Menu'!B:M, 2, 0)</f>
        <v>قسم طلبات مارت</v>
      </c>
      <c r="F3350" s="103" t="str">
        <f>VLOOKUP(B3350, 'All Menu'!B:M, 3, 0)</f>
        <v>طلبات مارت</v>
      </c>
      <c r="G3350" s="90" t="s">
        <v>2213</v>
      </c>
      <c r="H3350" s="219">
        <v>4218</v>
      </c>
      <c r="I3350" s="110" t="str">
        <f>VLOOKUP(H3350, 'RM &amp; SF'!B:H, 2, 0)</f>
        <v>بهارات مشكلة*****</v>
      </c>
      <c r="J3350" s="184" t="str">
        <f>VLOOKUP(H3350, 'RM &amp; SF'!B:E, 4, 0)</f>
        <v>غم</v>
      </c>
      <c r="K3350" s="78">
        <v>9</v>
      </c>
      <c r="L3350" s="13">
        <f>VLOOKUP(H3350, 'RM &amp; SF'!B:H, 7, 0)</f>
        <v>3.0169999999999997E-3</v>
      </c>
      <c r="M3350" s="15">
        <f t="shared" si="173"/>
        <v>2.7152999999999997E-2</v>
      </c>
      <c r="N3350" s="21" t="s">
        <v>825</v>
      </c>
      <c r="O3350" s="4">
        <f>VLOOKUP(B3350, 'All Menu'!B:L, 6, 0)</f>
        <v>5.9426131259018744</v>
      </c>
      <c r="P3350" s="6">
        <f>VLOOKUP(B3350, 'All Menu'!B:L, 9, 0)</f>
        <v>4.1746960916666662</v>
      </c>
      <c r="Q3350" s="14">
        <f>VLOOKUP(B3350, 'All Menu'!B:M, 12, 0)</f>
        <v>0.29749825485516562</v>
      </c>
      <c r="R3350" s="173">
        <f t="shared" si="174"/>
        <v>0</v>
      </c>
    </row>
    <row r="3351" spans="1:18" ht="14" hidden="1">
      <c r="A3351" s="78" t="s">
        <v>2928</v>
      </c>
      <c r="B3351" s="220" t="s">
        <v>1258</v>
      </c>
      <c r="C3351" s="185"/>
      <c r="D3351" s="30" t="s">
        <v>1714</v>
      </c>
      <c r="E3351" s="30" t="str">
        <f>VLOOKUP(B3351, 'All Menu'!B:M, 2, 0)</f>
        <v>قسم طلبات مارت</v>
      </c>
      <c r="F3351" s="103" t="str">
        <f>VLOOKUP(B3351, 'All Menu'!B:M, 3, 0)</f>
        <v>طلبات مارت</v>
      </c>
      <c r="G3351" s="90" t="s">
        <v>2251</v>
      </c>
      <c r="H3351" s="219">
        <v>4544</v>
      </c>
      <c r="I3351" s="110" t="str">
        <f>VLOOKUP(H3351, 'RM &amp; SF'!B:H, 2, 0)</f>
        <v>بقدونس*****</v>
      </c>
      <c r="J3351" s="184" t="str">
        <f>VLOOKUP(H3351, 'RM &amp; SF'!B:E, 4, 0)</f>
        <v>غم</v>
      </c>
      <c r="K3351" s="78">
        <v>0.1</v>
      </c>
      <c r="L3351" s="13">
        <f>VLOOKUP(H3351, 'RM &amp; SF'!B:H, 7, 0)</f>
        <v>7.5000000000000002E-4</v>
      </c>
      <c r="M3351" s="15">
        <f t="shared" si="173"/>
        <v>7.5000000000000007E-5</v>
      </c>
      <c r="N3351" s="21" t="s">
        <v>825</v>
      </c>
      <c r="O3351" s="4">
        <f>VLOOKUP(B3351, 'All Menu'!B:L, 6, 0)</f>
        <v>5.9426131259018744</v>
      </c>
      <c r="P3351" s="6">
        <f>VLOOKUP(B3351, 'All Menu'!B:L, 9, 0)</f>
        <v>4.1746960916666662</v>
      </c>
      <c r="Q3351" s="14">
        <f>VLOOKUP(B3351, 'All Menu'!B:M, 12, 0)</f>
        <v>0.29749825485516562</v>
      </c>
      <c r="R3351" s="173">
        <f t="shared" si="174"/>
        <v>0</v>
      </c>
    </row>
    <row r="3352" spans="1:18" ht="14" hidden="1">
      <c r="A3352" s="78" t="s">
        <v>2928</v>
      </c>
      <c r="B3352" s="220" t="s">
        <v>1258</v>
      </c>
      <c r="C3352" s="185"/>
      <c r="D3352" s="30" t="s">
        <v>1714</v>
      </c>
      <c r="E3352" s="30" t="str">
        <f>VLOOKUP(B3352, 'All Menu'!B:M, 2, 0)</f>
        <v>قسم طلبات مارت</v>
      </c>
      <c r="F3352" s="103" t="str">
        <f>VLOOKUP(B3352, 'All Menu'!B:M, 3, 0)</f>
        <v>طلبات مارت</v>
      </c>
      <c r="G3352" s="90" t="s">
        <v>3058</v>
      </c>
      <c r="H3352" s="219" t="s">
        <v>292</v>
      </c>
      <c r="I3352" s="110" t="str">
        <f>VLOOKUP(H3352, 'RM &amp; SF'!B:H, 2, 0)</f>
        <v>صحن جديد - طلبات مارت</v>
      </c>
      <c r="J3352" s="184" t="str">
        <f>VLOOKUP(H3352, 'RM &amp; SF'!B:E, 4, 0)</f>
        <v>قطعة</v>
      </c>
      <c r="K3352" s="78">
        <v>1</v>
      </c>
      <c r="L3352" s="13">
        <f>VLOOKUP(H3352, 'RM &amp; SF'!B:H, 7, 0)</f>
        <v>0.15</v>
      </c>
      <c r="M3352" s="15">
        <f t="shared" si="173"/>
        <v>0.15</v>
      </c>
      <c r="N3352" s="21" t="s">
        <v>825</v>
      </c>
      <c r="O3352" s="4">
        <f>VLOOKUP(B3352, 'All Menu'!B:L, 6, 0)</f>
        <v>5.9426131259018744</v>
      </c>
      <c r="P3352" s="6">
        <f>VLOOKUP(B3352, 'All Menu'!B:L, 9, 0)</f>
        <v>4.1746960916666662</v>
      </c>
      <c r="Q3352" s="14">
        <f>VLOOKUP(B3352, 'All Menu'!B:M, 12, 0)</f>
        <v>0.29749825485516562</v>
      </c>
      <c r="R3352" s="173">
        <f t="shared" si="174"/>
        <v>0</v>
      </c>
    </row>
    <row r="3353" spans="1:18" ht="14" hidden="1">
      <c r="A3353" s="78" t="s">
        <v>2928</v>
      </c>
      <c r="B3353" s="220" t="s">
        <v>1258</v>
      </c>
      <c r="C3353" s="185"/>
      <c r="D3353" s="30" t="s">
        <v>1714</v>
      </c>
      <c r="E3353" s="30" t="str">
        <f>VLOOKUP(B3353, 'All Menu'!B:M, 2, 0)</f>
        <v>قسم طلبات مارت</v>
      </c>
      <c r="F3353" s="103" t="str">
        <f>VLOOKUP(B3353, 'All Menu'!B:M, 3, 0)</f>
        <v>طلبات مارت</v>
      </c>
      <c r="G3353" s="90" t="s">
        <v>3058</v>
      </c>
      <c r="H3353" s="219">
        <v>5274</v>
      </c>
      <c r="I3353" s="110" t="str">
        <f>VLOOKUP(H3353, 'RM &amp; SF'!B:H, 2, 0)</f>
        <v>نايلون للتغليف رول (رول جيلاتين) 45 سم*4 كغ*****</v>
      </c>
      <c r="J3353" s="184" t="str">
        <f>VLOOKUP(H3353, 'RM &amp; SF'!B:E, 4, 0)</f>
        <v>غم</v>
      </c>
      <c r="K3353" s="78">
        <v>1</v>
      </c>
      <c r="L3353" s="13">
        <f>VLOOKUP(H3353, 'RM &amp; SF'!B:H, 7, 0)</f>
        <v>2.0474249999999999E-3</v>
      </c>
      <c r="M3353" s="15">
        <f t="shared" si="173"/>
        <v>2.0474249999999999E-3</v>
      </c>
      <c r="N3353" s="21" t="s">
        <v>825</v>
      </c>
      <c r="O3353" s="4">
        <f>VLOOKUP(B3353, 'All Menu'!B:L, 6, 0)</f>
        <v>5.9426131259018744</v>
      </c>
      <c r="P3353" s="6">
        <f>VLOOKUP(B3353, 'All Menu'!B:L, 9, 0)</f>
        <v>4.1746960916666662</v>
      </c>
      <c r="Q3353" s="14">
        <f>VLOOKUP(B3353, 'All Menu'!B:M, 12, 0)</f>
        <v>0.29749825485516562</v>
      </c>
      <c r="R3353" s="173">
        <f t="shared" si="174"/>
        <v>0</v>
      </c>
    </row>
    <row r="3354" spans="1:18" ht="14" hidden="1">
      <c r="A3354" s="78" t="s">
        <v>2928</v>
      </c>
      <c r="B3354" s="220" t="s">
        <v>1258</v>
      </c>
      <c r="C3354" s="185"/>
      <c r="D3354" s="30" t="s">
        <v>1714</v>
      </c>
      <c r="E3354" s="30" t="str">
        <f>VLOOKUP(B3354, 'All Menu'!B:M, 2, 0)</f>
        <v>قسم طلبات مارت</v>
      </c>
      <c r="F3354" s="103" t="str">
        <f>VLOOKUP(B3354, 'All Menu'!B:M, 3, 0)</f>
        <v>طلبات مارت</v>
      </c>
      <c r="G3354" s="90" t="s">
        <v>3058</v>
      </c>
      <c r="H3354" s="219">
        <v>5372</v>
      </c>
      <c r="I3354" s="110" t="str">
        <f>VLOOKUP(H3354, 'RM &amp; SF'!B:H, 2, 0)</f>
        <v>ملصق - طلبات مارت</v>
      </c>
      <c r="J3354" s="184" t="str">
        <f>VLOOKUP(H3354, 'RM &amp; SF'!B:E, 4, 0)</f>
        <v>قطعة</v>
      </c>
      <c r="K3354" s="78">
        <v>1</v>
      </c>
      <c r="L3354" s="13">
        <f>VLOOKUP(H3354, 'RM &amp; SF'!B:H, 7, 0)</f>
        <v>1.15E-2</v>
      </c>
      <c r="M3354" s="15">
        <f t="shared" si="173"/>
        <v>1.15E-2</v>
      </c>
      <c r="N3354" s="21" t="s">
        <v>825</v>
      </c>
      <c r="O3354" s="4">
        <f>VLOOKUP(B3354, 'All Menu'!B:L, 6, 0)</f>
        <v>5.9426131259018744</v>
      </c>
      <c r="P3354" s="6">
        <f>VLOOKUP(B3354, 'All Menu'!B:L, 9, 0)</f>
        <v>4.1746960916666662</v>
      </c>
      <c r="Q3354" s="14">
        <f>VLOOKUP(B3354, 'All Menu'!B:M, 12, 0)</f>
        <v>0.29749825485516562</v>
      </c>
      <c r="R3354" s="173">
        <f t="shared" si="174"/>
        <v>0</v>
      </c>
    </row>
    <row r="3355" spans="1:18" ht="14" hidden="1">
      <c r="A3355" s="78" t="s">
        <v>2929</v>
      </c>
      <c r="B3355" s="220" t="s">
        <v>1257</v>
      </c>
      <c r="C3355" s="185"/>
      <c r="D3355" s="30" t="s">
        <v>2077</v>
      </c>
      <c r="E3355" s="30" t="str">
        <f>VLOOKUP(B3355, 'All Menu'!B:M, 2, 0)</f>
        <v>قسم طلبات مارت</v>
      </c>
      <c r="F3355" s="103" t="str">
        <f>VLOOKUP(B3355, 'All Menu'!B:M, 3, 0)</f>
        <v>طلبات مارت</v>
      </c>
      <c r="G3355" s="90" t="s">
        <v>3058</v>
      </c>
      <c r="H3355" s="219">
        <v>5401</v>
      </c>
      <c r="I3355" s="110" t="str">
        <f>VLOOKUP(H3355, 'RM &amp; SF'!B:H, 2, 0)</f>
        <v xml:space="preserve">روز بيف  </v>
      </c>
      <c r="J3355" s="184" t="str">
        <f>VLOOKUP(H3355, 'RM &amp; SF'!B:E, 4, 0)</f>
        <v>غم</v>
      </c>
      <c r="K3355" s="78">
        <v>500</v>
      </c>
      <c r="L3355" s="13">
        <f>VLOOKUP(H3355, 'RM &amp; SF'!B:H, 7, 0)</f>
        <v>1.2580000000000001E-2</v>
      </c>
      <c r="M3355" s="15">
        <f t="shared" si="173"/>
        <v>6.29</v>
      </c>
      <c r="N3355" s="21" t="s">
        <v>825</v>
      </c>
      <c r="O3355" s="4">
        <f>VLOOKUP(B3355, 'All Menu'!B:L, 6, 0)</f>
        <v>9.8084051893939392</v>
      </c>
      <c r="P3355" s="6">
        <f>VLOOKUP(B3355, 'All Menu'!B:L, 9, 0)</f>
        <v>6.453547425</v>
      </c>
      <c r="Q3355" s="14">
        <f>VLOOKUP(B3355, 'All Menu'!B:M, 12, 0)</f>
        <v>0.34203906747466206</v>
      </c>
      <c r="R3355" s="173">
        <f t="shared" si="174"/>
        <v>0</v>
      </c>
    </row>
    <row r="3356" spans="1:18" ht="14" hidden="1">
      <c r="A3356" s="78" t="s">
        <v>2929</v>
      </c>
      <c r="B3356" s="220" t="s">
        <v>1257</v>
      </c>
      <c r="C3356" s="185"/>
      <c r="D3356" s="30" t="s">
        <v>2077</v>
      </c>
      <c r="E3356" s="30" t="str">
        <f>VLOOKUP(B3356, 'All Menu'!B:M, 2, 0)</f>
        <v>قسم طلبات مارت</v>
      </c>
      <c r="F3356" s="103" t="str">
        <f>VLOOKUP(B3356, 'All Menu'!B:M, 3, 0)</f>
        <v>طلبات مارت</v>
      </c>
      <c r="G3356" s="90" t="s">
        <v>3058</v>
      </c>
      <c r="H3356" s="219" t="s">
        <v>292</v>
      </c>
      <c r="I3356" s="110" t="str">
        <f>VLOOKUP(H3356, 'RM &amp; SF'!B:H, 2, 0)</f>
        <v>صحن جديد - طلبات مارت</v>
      </c>
      <c r="J3356" s="184" t="str">
        <f>VLOOKUP(H3356, 'RM &amp; SF'!B:E, 4, 0)</f>
        <v>قطعة</v>
      </c>
      <c r="K3356" s="78">
        <v>1</v>
      </c>
      <c r="L3356" s="13">
        <f>VLOOKUP(H3356, 'RM &amp; SF'!B:H, 7, 0)</f>
        <v>0.15</v>
      </c>
      <c r="M3356" s="15">
        <f t="shared" si="173"/>
        <v>0.15</v>
      </c>
      <c r="N3356" s="21" t="s">
        <v>825</v>
      </c>
      <c r="O3356" s="4">
        <f>VLOOKUP(B3356, 'All Menu'!B:L, 6, 0)</f>
        <v>9.8084051893939392</v>
      </c>
      <c r="P3356" s="6">
        <f>VLOOKUP(B3356, 'All Menu'!B:L, 9, 0)</f>
        <v>6.453547425</v>
      </c>
      <c r="Q3356" s="14">
        <f>VLOOKUP(B3356, 'All Menu'!B:M, 12, 0)</f>
        <v>0.34203906747466206</v>
      </c>
      <c r="R3356" s="173">
        <f t="shared" si="174"/>
        <v>0</v>
      </c>
    </row>
    <row r="3357" spans="1:18" ht="14" hidden="1">
      <c r="A3357" s="78" t="s">
        <v>2929</v>
      </c>
      <c r="B3357" s="220" t="s">
        <v>1257</v>
      </c>
      <c r="C3357" s="185"/>
      <c r="D3357" s="30" t="s">
        <v>2077</v>
      </c>
      <c r="E3357" s="30" t="str">
        <f>VLOOKUP(B3357, 'All Menu'!B:M, 2, 0)</f>
        <v>قسم طلبات مارت</v>
      </c>
      <c r="F3357" s="103" t="str">
        <f>VLOOKUP(B3357, 'All Menu'!B:M, 3, 0)</f>
        <v>طلبات مارت</v>
      </c>
      <c r="G3357" s="90" t="s">
        <v>3058</v>
      </c>
      <c r="H3357" s="219">
        <v>5274</v>
      </c>
      <c r="I3357" s="110" t="str">
        <f>VLOOKUP(H3357, 'RM &amp; SF'!B:H, 2, 0)</f>
        <v>نايلون للتغليف رول (رول جيلاتين) 45 سم*4 كغ*****</v>
      </c>
      <c r="J3357" s="184" t="str">
        <f>VLOOKUP(H3357, 'RM &amp; SF'!B:E, 4, 0)</f>
        <v>غم</v>
      </c>
      <c r="K3357" s="78">
        <v>1</v>
      </c>
      <c r="L3357" s="13">
        <f>VLOOKUP(H3357, 'RM &amp; SF'!B:H, 7, 0)</f>
        <v>2.0474249999999999E-3</v>
      </c>
      <c r="M3357" s="15">
        <f t="shared" si="173"/>
        <v>2.0474249999999999E-3</v>
      </c>
      <c r="N3357" s="21" t="s">
        <v>825</v>
      </c>
      <c r="O3357" s="4">
        <f>VLOOKUP(B3357, 'All Menu'!B:L, 6, 0)</f>
        <v>9.8084051893939392</v>
      </c>
      <c r="P3357" s="6">
        <f>VLOOKUP(B3357, 'All Menu'!B:L, 9, 0)</f>
        <v>6.453547425</v>
      </c>
      <c r="Q3357" s="14">
        <f>VLOOKUP(B3357, 'All Menu'!B:M, 12, 0)</f>
        <v>0.34203906747466206</v>
      </c>
      <c r="R3357" s="173">
        <f t="shared" si="174"/>
        <v>0</v>
      </c>
    </row>
    <row r="3358" spans="1:18" ht="14" hidden="1">
      <c r="A3358" s="78" t="s">
        <v>2929</v>
      </c>
      <c r="B3358" s="220" t="s">
        <v>1257</v>
      </c>
      <c r="C3358" s="185"/>
      <c r="D3358" s="30" t="s">
        <v>2077</v>
      </c>
      <c r="E3358" s="30" t="str">
        <f>VLOOKUP(B3358, 'All Menu'!B:M, 2, 0)</f>
        <v>قسم طلبات مارت</v>
      </c>
      <c r="F3358" s="103" t="str">
        <f>VLOOKUP(B3358, 'All Menu'!B:M, 3, 0)</f>
        <v>طلبات مارت</v>
      </c>
      <c r="G3358" s="90" t="s">
        <v>3058</v>
      </c>
      <c r="H3358" s="219">
        <v>5372</v>
      </c>
      <c r="I3358" s="110" t="str">
        <f>VLOOKUP(H3358, 'RM &amp; SF'!B:H, 2, 0)</f>
        <v>ملصق - طلبات مارت</v>
      </c>
      <c r="J3358" s="184" t="str">
        <f>VLOOKUP(H3358, 'RM &amp; SF'!B:E, 4, 0)</f>
        <v>قطعة</v>
      </c>
      <c r="K3358" s="78">
        <v>1</v>
      </c>
      <c r="L3358" s="13">
        <f>VLOOKUP(H3358, 'RM &amp; SF'!B:H, 7, 0)</f>
        <v>1.15E-2</v>
      </c>
      <c r="M3358" s="15">
        <f t="shared" si="173"/>
        <v>1.15E-2</v>
      </c>
      <c r="N3358" s="21" t="s">
        <v>825</v>
      </c>
      <c r="O3358" s="4">
        <f>VLOOKUP(B3358, 'All Menu'!B:L, 6, 0)</f>
        <v>9.8084051893939392</v>
      </c>
      <c r="P3358" s="6">
        <f>VLOOKUP(B3358, 'All Menu'!B:L, 9, 0)</f>
        <v>6.453547425</v>
      </c>
      <c r="Q3358" s="14">
        <f>VLOOKUP(B3358, 'All Menu'!B:M, 12, 0)</f>
        <v>0.34203906747466206</v>
      </c>
      <c r="R3358" s="173">
        <f t="shared" si="174"/>
        <v>0</v>
      </c>
    </row>
    <row r="3359" spans="1:18" ht="14" hidden="1">
      <c r="A3359" s="78" t="s">
        <v>2930</v>
      </c>
      <c r="B3359" s="220" t="s">
        <v>1256</v>
      </c>
      <c r="C3359" s="185"/>
      <c r="D3359" s="30" t="s">
        <v>2078</v>
      </c>
      <c r="E3359" s="30" t="str">
        <f>VLOOKUP(B3359, 'All Menu'!B:M, 2, 0)</f>
        <v>قسم طلبات مارت</v>
      </c>
      <c r="F3359" s="103" t="str">
        <f>VLOOKUP(B3359, 'All Menu'!B:M, 3, 0)</f>
        <v>طلبات مارت</v>
      </c>
      <c r="G3359" s="90" t="s">
        <v>3058</v>
      </c>
      <c r="H3359" s="219">
        <v>5386</v>
      </c>
      <c r="I3359" s="110" t="str">
        <f>VLOOKUP(H3359, 'RM &amp; SF'!B:H, 2, 0)</f>
        <v>مسحب الطاحونة - طلبات مارت</v>
      </c>
      <c r="J3359" s="184" t="str">
        <f>VLOOKUP(H3359, 'RM &amp; SF'!B:E, 4, 0)</f>
        <v>غم</v>
      </c>
      <c r="K3359" s="78">
        <v>500</v>
      </c>
      <c r="L3359" s="13">
        <f>VLOOKUP(H3359, 'RM &amp; SF'!B:H, 7, 0)</f>
        <v>4.2000000000000006E-3</v>
      </c>
      <c r="M3359" s="15">
        <f t="shared" si="173"/>
        <v>2.1</v>
      </c>
      <c r="N3359" s="21" t="s">
        <v>825</v>
      </c>
      <c r="O3359" s="4">
        <f>VLOOKUP(B3359, 'All Menu'!B:L, 6, 0)</f>
        <v>3.0980632333333333</v>
      </c>
      <c r="P3359" s="6">
        <f>VLOOKUP(B3359, 'All Menu'!B:L, 9, 0)</f>
        <v>2.2635474250000001</v>
      </c>
      <c r="Q3359" s="14">
        <f>VLOOKUP(B3359, 'All Menu'!B:M, 12, 0)</f>
        <v>0.26936693846479159</v>
      </c>
      <c r="R3359" s="173">
        <f t="shared" si="174"/>
        <v>0</v>
      </c>
    </row>
    <row r="3360" spans="1:18" ht="14" hidden="1">
      <c r="A3360" s="78" t="s">
        <v>2930</v>
      </c>
      <c r="B3360" s="220" t="s">
        <v>1256</v>
      </c>
      <c r="C3360" s="185"/>
      <c r="D3360" s="30" t="s">
        <v>2078</v>
      </c>
      <c r="E3360" s="30" t="str">
        <f>VLOOKUP(B3360, 'All Menu'!B:M, 2, 0)</f>
        <v>قسم طلبات مارت</v>
      </c>
      <c r="F3360" s="103" t="str">
        <f>VLOOKUP(B3360, 'All Menu'!B:M, 3, 0)</f>
        <v>طلبات مارت</v>
      </c>
      <c r="G3360" s="90" t="s">
        <v>3058</v>
      </c>
      <c r="H3360" s="219" t="s">
        <v>292</v>
      </c>
      <c r="I3360" s="110" t="str">
        <f>VLOOKUP(H3360, 'RM &amp; SF'!B:H, 2, 0)</f>
        <v>صحن جديد - طلبات مارت</v>
      </c>
      <c r="J3360" s="184" t="str">
        <f>VLOOKUP(H3360, 'RM &amp; SF'!B:E, 4, 0)</f>
        <v>قطعة</v>
      </c>
      <c r="K3360" s="78">
        <v>1</v>
      </c>
      <c r="L3360" s="13">
        <f>VLOOKUP(H3360, 'RM &amp; SF'!B:H, 7, 0)</f>
        <v>0.15</v>
      </c>
      <c r="M3360" s="15">
        <f t="shared" si="173"/>
        <v>0.15</v>
      </c>
      <c r="N3360" s="21" t="s">
        <v>825</v>
      </c>
      <c r="O3360" s="4">
        <f>VLOOKUP(B3360, 'All Menu'!B:L, 6, 0)</f>
        <v>3.0980632333333333</v>
      </c>
      <c r="P3360" s="6">
        <f>VLOOKUP(B3360, 'All Menu'!B:L, 9, 0)</f>
        <v>2.2635474250000001</v>
      </c>
      <c r="Q3360" s="14">
        <f>VLOOKUP(B3360, 'All Menu'!B:M, 12, 0)</f>
        <v>0.26936693846479159</v>
      </c>
      <c r="R3360" s="173">
        <f t="shared" si="174"/>
        <v>0</v>
      </c>
    </row>
    <row r="3361" spans="1:18" ht="14" hidden="1">
      <c r="A3361" s="78" t="s">
        <v>2930</v>
      </c>
      <c r="B3361" s="220" t="s">
        <v>1256</v>
      </c>
      <c r="C3361" s="185"/>
      <c r="D3361" s="30" t="s">
        <v>2078</v>
      </c>
      <c r="E3361" s="30" t="str">
        <f>VLOOKUP(B3361, 'All Menu'!B:M, 2, 0)</f>
        <v>قسم طلبات مارت</v>
      </c>
      <c r="F3361" s="103" t="str">
        <f>VLOOKUP(B3361, 'All Menu'!B:M, 3, 0)</f>
        <v>طلبات مارت</v>
      </c>
      <c r="G3361" s="90" t="s">
        <v>3058</v>
      </c>
      <c r="H3361" s="219">
        <v>5274</v>
      </c>
      <c r="I3361" s="110" t="str">
        <f>VLOOKUP(H3361, 'RM &amp; SF'!B:H, 2, 0)</f>
        <v>نايلون للتغليف رول (رول جيلاتين) 45 سم*4 كغ*****</v>
      </c>
      <c r="J3361" s="184" t="str">
        <f>VLOOKUP(H3361, 'RM &amp; SF'!B:E, 4, 0)</f>
        <v>غم</v>
      </c>
      <c r="K3361" s="78">
        <v>1</v>
      </c>
      <c r="L3361" s="13">
        <f>VLOOKUP(H3361, 'RM &amp; SF'!B:H, 7, 0)</f>
        <v>2.0474249999999999E-3</v>
      </c>
      <c r="M3361" s="15">
        <f t="shared" si="173"/>
        <v>2.0474249999999999E-3</v>
      </c>
      <c r="N3361" s="21" t="s">
        <v>825</v>
      </c>
      <c r="O3361" s="4">
        <f>VLOOKUP(B3361, 'All Menu'!B:L, 6, 0)</f>
        <v>3.0980632333333333</v>
      </c>
      <c r="P3361" s="6">
        <f>VLOOKUP(B3361, 'All Menu'!B:L, 9, 0)</f>
        <v>2.2635474250000001</v>
      </c>
      <c r="Q3361" s="14">
        <f>VLOOKUP(B3361, 'All Menu'!B:M, 12, 0)</f>
        <v>0.26936693846479159</v>
      </c>
      <c r="R3361" s="173">
        <f t="shared" si="174"/>
        <v>0</v>
      </c>
    </row>
    <row r="3362" spans="1:18" ht="14" hidden="1">
      <c r="A3362" s="78" t="s">
        <v>2930</v>
      </c>
      <c r="B3362" s="220" t="s">
        <v>1256</v>
      </c>
      <c r="C3362" s="185"/>
      <c r="D3362" s="30" t="s">
        <v>2078</v>
      </c>
      <c r="E3362" s="30" t="str">
        <f>VLOOKUP(B3362, 'All Menu'!B:M, 2, 0)</f>
        <v>قسم طلبات مارت</v>
      </c>
      <c r="F3362" s="103" t="str">
        <f>VLOOKUP(B3362, 'All Menu'!B:M, 3, 0)</f>
        <v>طلبات مارت</v>
      </c>
      <c r="G3362" s="90" t="s">
        <v>3058</v>
      </c>
      <c r="H3362" s="219">
        <v>5372</v>
      </c>
      <c r="I3362" s="110" t="str">
        <f>VLOOKUP(H3362, 'RM &amp; SF'!B:H, 2, 0)</f>
        <v>ملصق - طلبات مارت</v>
      </c>
      <c r="J3362" s="184" t="str">
        <f>VLOOKUP(H3362, 'RM &amp; SF'!B:E, 4, 0)</f>
        <v>قطعة</v>
      </c>
      <c r="K3362" s="78">
        <v>1</v>
      </c>
      <c r="L3362" s="13">
        <f>VLOOKUP(H3362, 'RM &amp; SF'!B:H, 7, 0)</f>
        <v>1.15E-2</v>
      </c>
      <c r="M3362" s="15">
        <f t="shared" si="173"/>
        <v>1.15E-2</v>
      </c>
      <c r="N3362" s="21" t="s">
        <v>825</v>
      </c>
      <c r="O3362" s="4">
        <f>VLOOKUP(B3362, 'All Menu'!B:L, 6, 0)</f>
        <v>3.0980632333333333</v>
      </c>
      <c r="P3362" s="6">
        <f>VLOOKUP(B3362, 'All Menu'!B:L, 9, 0)</f>
        <v>2.2635474250000001</v>
      </c>
      <c r="Q3362" s="14">
        <f>VLOOKUP(B3362, 'All Menu'!B:M, 12, 0)</f>
        <v>0.26936693846479159</v>
      </c>
      <c r="R3362" s="173">
        <f t="shared" si="174"/>
        <v>0</v>
      </c>
    </row>
    <row r="3363" spans="1:18" ht="14" hidden="1">
      <c r="A3363" s="78" t="s">
        <v>2931</v>
      </c>
      <c r="B3363" s="220" t="s">
        <v>1255</v>
      </c>
      <c r="C3363" s="185"/>
      <c r="D3363" s="30" t="s">
        <v>2079</v>
      </c>
      <c r="E3363" s="30" t="str">
        <f>VLOOKUP(B3363, 'All Menu'!B:M, 2, 0)</f>
        <v>قسم طلبات مارت</v>
      </c>
      <c r="F3363" s="103" t="str">
        <f>VLOOKUP(B3363, 'All Menu'!B:M, 3, 0)</f>
        <v>طلبات مارت</v>
      </c>
      <c r="G3363" s="90" t="s">
        <v>2312</v>
      </c>
      <c r="H3363" s="219">
        <v>5285</v>
      </c>
      <c r="I3363" s="110" t="str">
        <f>VLOOKUP(H3363, 'RM &amp; SF'!B:H, 2, 0)</f>
        <v>دجاج المركزية الكامل</v>
      </c>
      <c r="J3363" s="184" t="str">
        <f>VLOOKUP(H3363, 'RM &amp; SF'!B:E, 4, 0)</f>
        <v>غم</v>
      </c>
      <c r="K3363" s="78">
        <v>1200</v>
      </c>
      <c r="L3363" s="13">
        <f>VLOOKUP(H3363, 'RM &amp; SF'!B:H, 7, 0)</f>
        <v>1.75E-3</v>
      </c>
      <c r="M3363" s="15">
        <f t="shared" si="173"/>
        <v>2.1</v>
      </c>
      <c r="N3363" s="21" t="s">
        <v>825</v>
      </c>
      <c r="O3363" s="4">
        <f>VLOOKUP(B3363, 'All Menu'!B:L, 6, 0)</f>
        <v>3.0980632333333333</v>
      </c>
      <c r="P3363" s="6">
        <f>VLOOKUP(B3363, 'All Menu'!B:L, 9, 0)</f>
        <v>2.2635474250000001</v>
      </c>
      <c r="Q3363" s="14">
        <f>VLOOKUP(B3363, 'All Menu'!B:M, 12, 0)</f>
        <v>0.26936693846479159</v>
      </c>
      <c r="R3363" s="173">
        <f t="shared" si="174"/>
        <v>0</v>
      </c>
    </row>
    <row r="3364" spans="1:18" ht="14" hidden="1">
      <c r="A3364" s="78" t="s">
        <v>2931</v>
      </c>
      <c r="B3364" s="220" t="s">
        <v>1255</v>
      </c>
      <c r="C3364" s="185"/>
      <c r="D3364" s="30" t="s">
        <v>2079</v>
      </c>
      <c r="E3364" s="30" t="str">
        <f>VLOOKUP(B3364, 'All Menu'!B:M, 2, 0)</f>
        <v>قسم طلبات مارت</v>
      </c>
      <c r="F3364" s="103" t="str">
        <f>VLOOKUP(B3364, 'All Menu'!B:M, 3, 0)</f>
        <v>طلبات مارت</v>
      </c>
      <c r="G3364" s="90" t="s">
        <v>3058</v>
      </c>
      <c r="H3364" s="219" t="s">
        <v>292</v>
      </c>
      <c r="I3364" s="110" t="str">
        <f>VLOOKUP(H3364, 'RM &amp; SF'!B:H, 2, 0)</f>
        <v>صحن جديد - طلبات مارت</v>
      </c>
      <c r="J3364" s="184" t="str">
        <f>VLOOKUP(H3364, 'RM &amp; SF'!B:E, 4, 0)</f>
        <v>قطعة</v>
      </c>
      <c r="K3364" s="78">
        <v>1</v>
      </c>
      <c r="L3364" s="13">
        <f>VLOOKUP(H3364, 'RM &amp; SF'!B:H, 7, 0)</f>
        <v>0.15</v>
      </c>
      <c r="M3364" s="15">
        <f t="shared" si="173"/>
        <v>0.15</v>
      </c>
      <c r="N3364" s="21" t="s">
        <v>825</v>
      </c>
      <c r="O3364" s="4">
        <f>VLOOKUP(B3364, 'All Menu'!B:L, 6, 0)</f>
        <v>3.0980632333333333</v>
      </c>
      <c r="P3364" s="6">
        <f>VLOOKUP(B3364, 'All Menu'!B:L, 9, 0)</f>
        <v>2.2635474250000001</v>
      </c>
      <c r="Q3364" s="14">
        <f>VLOOKUP(B3364, 'All Menu'!B:M, 12, 0)</f>
        <v>0.26936693846479159</v>
      </c>
      <c r="R3364" s="173">
        <f t="shared" si="174"/>
        <v>0</v>
      </c>
    </row>
    <row r="3365" spans="1:18" ht="14" hidden="1">
      <c r="A3365" s="78" t="s">
        <v>2931</v>
      </c>
      <c r="B3365" s="220" t="s">
        <v>1255</v>
      </c>
      <c r="C3365" s="185"/>
      <c r="D3365" s="30" t="s">
        <v>2079</v>
      </c>
      <c r="E3365" s="30" t="str">
        <f>VLOOKUP(B3365, 'All Menu'!B:M, 2, 0)</f>
        <v>قسم طلبات مارت</v>
      </c>
      <c r="F3365" s="103" t="str">
        <f>VLOOKUP(B3365, 'All Menu'!B:M, 3, 0)</f>
        <v>طلبات مارت</v>
      </c>
      <c r="G3365" s="90" t="s">
        <v>3058</v>
      </c>
      <c r="H3365" s="219">
        <v>5274</v>
      </c>
      <c r="I3365" s="110" t="str">
        <f>VLOOKUP(H3365, 'RM &amp; SF'!B:H, 2, 0)</f>
        <v>نايلون للتغليف رول (رول جيلاتين) 45 سم*4 كغ*****</v>
      </c>
      <c r="J3365" s="184" t="str">
        <f>VLOOKUP(H3365, 'RM &amp; SF'!B:E, 4, 0)</f>
        <v>غم</v>
      </c>
      <c r="K3365" s="78">
        <v>1</v>
      </c>
      <c r="L3365" s="13">
        <f>VLOOKUP(H3365, 'RM &amp; SF'!B:H, 7, 0)</f>
        <v>2.0474249999999999E-3</v>
      </c>
      <c r="M3365" s="15">
        <f t="shared" si="173"/>
        <v>2.0474249999999999E-3</v>
      </c>
      <c r="N3365" s="21" t="s">
        <v>825</v>
      </c>
      <c r="O3365" s="4">
        <f>VLOOKUP(B3365, 'All Menu'!B:L, 6, 0)</f>
        <v>3.0980632333333333</v>
      </c>
      <c r="P3365" s="6">
        <f>VLOOKUP(B3365, 'All Menu'!B:L, 9, 0)</f>
        <v>2.2635474250000001</v>
      </c>
      <c r="Q3365" s="14">
        <f>VLOOKUP(B3365, 'All Menu'!B:M, 12, 0)</f>
        <v>0.26936693846479159</v>
      </c>
      <c r="R3365" s="173">
        <f t="shared" si="174"/>
        <v>0</v>
      </c>
    </row>
    <row r="3366" spans="1:18" ht="14" hidden="1">
      <c r="A3366" s="78" t="s">
        <v>2931</v>
      </c>
      <c r="B3366" s="220" t="s">
        <v>1255</v>
      </c>
      <c r="C3366" s="185"/>
      <c r="D3366" s="30" t="s">
        <v>2079</v>
      </c>
      <c r="E3366" s="30" t="str">
        <f>VLOOKUP(B3366, 'All Menu'!B:M, 2, 0)</f>
        <v>قسم طلبات مارت</v>
      </c>
      <c r="F3366" s="103" t="str">
        <f>VLOOKUP(B3366, 'All Menu'!B:M, 3, 0)</f>
        <v>طلبات مارت</v>
      </c>
      <c r="G3366" s="90" t="s">
        <v>3058</v>
      </c>
      <c r="H3366" s="219">
        <v>5372</v>
      </c>
      <c r="I3366" s="110" t="str">
        <f>VLOOKUP(H3366, 'RM &amp; SF'!B:H, 2, 0)</f>
        <v>ملصق - طلبات مارت</v>
      </c>
      <c r="J3366" s="184" t="str">
        <f>VLOOKUP(H3366, 'RM &amp; SF'!B:E, 4, 0)</f>
        <v>قطعة</v>
      </c>
      <c r="K3366" s="78">
        <v>1</v>
      </c>
      <c r="L3366" s="13">
        <f>VLOOKUP(H3366, 'RM &amp; SF'!B:H, 7, 0)</f>
        <v>1.15E-2</v>
      </c>
      <c r="M3366" s="15">
        <f t="shared" si="173"/>
        <v>1.15E-2</v>
      </c>
      <c r="N3366" s="21" t="s">
        <v>825</v>
      </c>
      <c r="O3366" s="4">
        <f>VLOOKUP(B3366, 'All Menu'!B:L, 6, 0)</f>
        <v>3.0980632333333333</v>
      </c>
      <c r="P3366" s="6">
        <f>VLOOKUP(B3366, 'All Menu'!B:L, 9, 0)</f>
        <v>2.2635474250000001</v>
      </c>
      <c r="Q3366" s="14">
        <f>VLOOKUP(B3366, 'All Menu'!B:M, 12, 0)</f>
        <v>0.26936693846479159</v>
      </c>
      <c r="R3366" s="173">
        <f t="shared" si="174"/>
        <v>0</v>
      </c>
    </row>
    <row r="3367" spans="1:18" ht="14" hidden="1">
      <c r="A3367" s="78" t="s">
        <v>2932</v>
      </c>
      <c r="B3367" s="220" t="s">
        <v>1254</v>
      </c>
      <c r="C3367" s="185"/>
      <c r="D3367" s="30" t="s">
        <v>2080</v>
      </c>
      <c r="E3367" s="30" t="str">
        <f>VLOOKUP(B3367, 'All Menu'!B:M, 2, 0)</f>
        <v>قسم طلبات مارت</v>
      </c>
      <c r="F3367" s="103" t="str">
        <f>VLOOKUP(B3367, 'All Menu'!B:M, 3, 0)</f>
        <v>طلبات مارت</v>
      </c>
      <c r="G3367" s="90" t="s">
        <v>3058</v>
      </c>
      <c r="H3367" s="219">
        <v>5326</v>
      </c>
      <c r="I3367" s="110" t="str">
        <f>VLOOKUP(H3367, 'RM &amp; SF'!B:H, 2, 0)</f>
        <v>صدر بعضمه - طلبات مارت</v>
      </c>
      <c r="J3367" s="184" t="str">
        <f>VLOOKUP(H3367, 'RM &amp; SF'!B:E, 4, 0)</f>
        <v>غم</v>
      </c>
      <c r="K3367" s="78">
        <v>500</v>
      </c>
      <c r="L3367" s="13">
        <f>VLOOKUP(H3367, 'RM &amp; SF'!B:H, 7, 0)</f>
        <v>2.3E-3</v>
      </c>
      <c r="M3367" s="15">
        <f t="shared" ref="M3367:M3432" si="175">L3367*K3367</f>
        <v>1.1499999999999999</v>
      </c>
      <c r="N3367" s="21" t="s">
        <v>825</v>
      </c>
      <c r="O3367" s="4">
        <f>VLOOKUP(B3367, 'All Menu'!B:L, 6, 0)</f>
        <v>1.7980632333333333</v>
      </c>
      <c r="P3367" s="6">
        <f>VLOOKUP(B3367, 'All Menu'!B:L, 9, 0)</f>
        <v>1.3135474249999999</v>
      </c>
      <c r="Q3367" s="14">
        <f>VLOOKUP(B3367, 'All Menu'!B:M, 12, 0)</f>
        <v>0.2694653888423687</v>
      </c>
      <c r="R3367" s="173">
        <f t="shared" si="174"/>
        <v>0</v>
      </c>
    </row>
    <row r="3368" spans="1:18" ht="14" hidden="1">
      <c r="A3368" s="78" t="s">
        <v>2932</v>
      </c>
      <c r="B3368" s="220" t="s">
        <v>1254</v>
      </c>
      <c r="C3368" s="185"/>
      <c r="D3368" s="30" t="s">
        <v>2080</v>
      </c>
      <c r="E3368" s="30" t="str">
        <f>VLOOKUP(B3368, 'All Menu'!B:M, 2, 0)</f>
        <v>قسم طلبات مارت</v>
      </c>
      <c r="F3368" s="103" t="str">
        <f>VLOOKUP(B3368, 'All Menu'!B:M, 3, 0)</f>
        <v>طلبات مارت</v>
      </c>
      <c r="G3368" s="90" t="s">
        <v>3058</v>
      </c>
      <c r="H3368" s="219" t="s">
        <v>292</v>
      </c>
      <c r="I3368" s="110" t="str">
        <f>VLOOKUP(H3368, 'RM &amp; SF'!B:H, 2, 0)</f>
        <v>صحن جديد - طلبات مارت</v>
      </c>
      <c r="J3368" s="184" t="str">
        <f>VLOOKUP(H3368, 'RM &amp; SF'!B:E, 4, 0)</f>
        <v>قطعة</v>
      </c>
      <c r="K3368" s="78">
        <v>1</v>
      </c>
      <c r="L3368" s="13">
        <f>VLOOKUP(H3368, 'RM &amp; SF'!B:H, 7, 0)</f>
        <v>0.15</v>
      </c>
      <c r="M3368" s="15">
        <f t="shared" si="175"/>
        <v>0.15</v>
      </c>
      <c r="N3368" s="21" t="s">
        <v>825</v>
      </c>
      <c r="O3368" s="4">
        <f>VLOOKUP(B3368, 'All Menu'!B:L, 6, 0)</f>
        <v>1.7980632333333333</v>
      </c>
      <c r="P3368" s="6">
        <f>VLOOKUP(B3368, 'All Menu'!B:L, 9, 0)</f>
        <v>1.3135474249999999</v>
      </c>
      <c r="Q3368" s="14">
        <f>VLOOKUP(B3368, 'All Menu'!B:M, 12, 0)</f>
        <v>0.2694653888423687</v>
      </c>
      <c r="R3368" s="173">
        <f t="shared" si="174"/>
        <v>0</v>
      </c>
    </row>
    <row r="3369" spans="1:18" ht="14" hidden="1">
      <c r="A3369" s="78" t="s">
        <v>2932</v>
      </c>
      <c r="B3369" s="220" t="s">
        <v>1254</v>
      </c>
      <c r="C3369" s="185"/>
      <c r="D3369" s="30" t="s">
        <v>2080</v>
      </c>
      <c r="E3369" s="30" t="str">
        <f>VLOOKUP(B3369, 'All Menu'!B:M, 2, 0)</f>
        <v>قسم طلبات مارت</v>
      </c>
      <c r="F3369" s="103" t="str">
        <f>VLOOKUP(B3369, 'All Menu'!B:M, 3, 0)</f>
        <v>طلبات مارت</v>
      </c>
      <c r="G3369" s="90" t="s">
        <v>3058</v>
      </c>
      <c r="H3369" s="219">
        <v>5274</v>
      </c>
      <c r="I3369" s="110" t="str">
        <f>VLOOKUP(H3369, 'RM &amp; SF'!B:H, 2, 0)</f>
        <v>نايلون للتغليف رول (رول جيلاتين) 45 سم*4 كغ*****</v>
      </c>
      <c r="J3369" s="184" t="str">
        <f>VLOOKUP(H3369, 'RM &amp; SF'!B:E, 4, 0)</f>
        <v>غم</v>
      </c>
      <c r="K3369" s="78">
        <v>1</v>
      </c>
      <c r="L3369" s="13">
        <f>VLOOKUP(H3369, 'RM &amp; SF'!B:H, 7, 0)</f>
        <v>2.0474249999999999E-3</v>
      </c>
      <c r="M3369" s="15">
        <f t="shared" si="175"/>
        <v>2.0474249999999999E-3</v>
      </c>
      <c r="N3369" s="21" t="s">
        <v>825</v>
      </c>
      <c r="O3369" s="4">
        <f>VLOOKUP(B3369, 'All Menu'!B:L, 6, 0)</f>
        <v>1.7980632333333333</v>
      </c>
      <c r="P3369" s="6">
        <f>VLOOKUP(B3369, 'All Menu'!B:L, 9, 0)</f>
        <v>1.3135474249999999</v>
      </c>
      <c r="Q3369" s="14">
        <f>VLOOKUP(B3369, 'All Menu'!B:M, 12, 0)</f>
        <v>0.2694653888423687</v>
      </c>
      <c r="R3369" s="173">
        <f t="shared" si="174"/>
        <v>0</v>
      </c>
    </row>
    <row r="3370" spans="1:18" ht="14" hidden="1">
      <c r="A3370" s="78" t="s">
        <v>2932</v>
      </c>
      <c r="B3370" s="220" t="s">
        <v>1254</v>
      </c>
      <c r="C3370" s="185"/>
      <c r="D3370" s="30" t="s">
        <v>2080</v>
      </c>
      <c r="E3370" s="30" t="str">
        <f>VLOOKUP(B3370, 'All Menu'!B:M, 2, 0)</f>
        <v>قسم طلبات مارت</v>
      </c>
      <c r="F3370" s="103" t="str">
        <f>VLOOKUP(B3370, 'All Menu'!B:M, 3, 0)</f>
        <v>طلبات مارت</v>
      </c>
      <c r="G3370" s="90" t="s">
        <v>3058</v>
      </c>
      <c r="H3370" s="219">
        <v>5372</v>
      </c>
      <c r="I3370" s="110" t="str">
        <f>VLOOKUP(H3370, 'RM &amp; SF'!B:H, 2, 0)</f>
        <v>ملصق - طلبات مارت</v>
      </c>
      <c r="J3370" s="184" t="str">
        <f>VLOOKUP(H3370, 'RM &amp; SF'!B:E, 4, 0)</f>
        <v>قطعة</v>
      </c>
      <c r="K3370" s="78">
        <v>1</v>
      </c>
      <c r="L3370" s="13">
        <f>VLOOKUP(H3370, 'RM &amp; SF'!B:H, 7, 0)</f>
        <v>1.15E-2</v>
      </c>
      <c r="M3370" s="15">
        <f t="shared" si="175"/>
        <v>1.15E-2</v>
      </c>
      <c r="N3370" s="21" t="s">
        <v>825</v>
      </c>
      <c r="O3370" s="4">
        <f>VLOOKUP(B3370, 'All Menu'!B:L, 6, 0)</f>
        <v>1.7980632333333333</v>
      </c>
      <c r="P3370" s="6">
        <f>VLOOKUP(B3370, 'All Menu'!B:L, 9, 0)</f>
        <v>1.3135474249999999</v>
      </c>
      <c r="Q3370" s="14">
        <f>VLOOKUP(B3370, 'All Menu'!B:M, 12, 0)</f>
        <v>0.2694653888423687</v>
      </c>
      <c r="R3370" s="173">
        <f t="shared" si="174"/>
        <v>0</v>
      </c>
    </row>
    <row r="3371" spans="1:18" ht="14" hidden="1">
      <c r="A3371" s="78" t="s">
        <v>2933</v>
      </c>
      <c r="B3371" s="220" t="s">
        <v>1253</v>
      </c>
      <c r="C3371" s="185"/>
      <c r="D3371" s="30" t="s">
        <v>2081</v>
      </c>
      <c r="E3371" s="30" t="str">
        <f>VLOOKUP(B3371, 'All Menu'!B:M, 2, 0)</f>
        <v>قسم طلبات مارت</v>
      </c>
      <c r="F3371" s="103" t="str">
        <f>VLOOKUP(B3371, 'All Menu'!B:M, 3, 0)</f>
        <v>طلبات مارت</v>
      </c>
      <c r="G3371" s="90" t="s">
        <v>3058</v>
      </c>
      <c r="H3371" s="219">
        <v>5386</v>
      </c>
      <c r="I3371" s="110" t="str">
        <f>VLOOKUP(H3371, 'RM &amp; SF'!B:H, 2, 0)</f>
        <v>مسحب الطاحونة - طلبات مارت</v>
      </c>
      <c r="J3371" s="184" t="str">
        <f>VLOOKUP(H3371, 'RM &amp; SF'!B:E, 4, 0)</f>
        <v>غم</v>
      </c>
      <c r="K3371" s="78">
        <v>350</v>
      </c>
      <c r="L3371" s="13">
        <f>VLOOKUP(H3371, 'RM &amp; SF'!B:H, 7, 0)</f>
        <v>4.2000000000000006E-3</v>
      </c>
      <c r="M3371" s="15">
        <f t="shared" si="175"/>
        <v>1.4700000000000002</v>
      </c>
      <c r="N3371" s="21" t="s">
        <v>825</v>
      </c>
      <c r="O3371" s="4">
        <f>VLOOKUP(B3371, 'All Menu'!B:L, 6, 0)</f>
        <v>2.5624259000000005</v>
      </c>
      <c r="P3371" s="6">
        <f>VLOOKUP(B3371, 'All Menu'!B:L, 9, 0)</f>
        <v>1.8618194250000004</v>
      </c>
      <c r="Q3371" s="14">
        <f>VLOOKUP(B3371, 'All Menu'!B:M, 12, 0)</f>
        <v>0.27341531124861013</v>
      </c>
      <c r="R3371" s="173">
        <f t="shared" si="174"/>
        <v>0</v>
      </c>
    </row>
    <row r="3372" spans="1:18" ht="14" hidden="1">
      <c r="A3372" s="78" t="s">
        <v>2933</v>
      </c>
      <c r="B3372" s="220" t="s">
        <v>1253</v>
      </c>
      <c r="C3372" s="185"/>
      <c r="D3372" s="30" t="s">
        <v>2081</v>
      </c>
      <c r="E3372" s="30" t="str">
        <f>VLOOKUP(B3372, 'All Menu'!B:M, 2, 0)</f>
        <v>قسم طلبات مارت</v>
      </c>
      <c r="F3372" s="103" t="str">
        <f>VLOOKUP(B3372, 'All Menu'!B:M, 3, 0)</f>
        <v>طلبات مارت</v>
      </c>
      <c r="G3372" s="90" t="s">
        <v>2203</v>
      </c>
      <c r="H3372" s="219">
        <v>4152</v>
      </c>
      <c r="I3372" s="110" t="str">
        <f>VLOOKUP(H3372, 'RM &amp; SF'!B:H, 2, 0)</f>
        <v>ملح طعام 750غم*****</v>
      </c>
      <c r="J3372" s="184" t="str">
        <f>VLOOKUP(H3372, 'RM &amp; SF'!B:E, 4, 0)</f>
        <v>غم</v>
      </c>
      <c r="K3372" s="78">
        <v>9</v>
      </c>
      <c r="L3372" s="13">
        <f>VLOOKUP(H3372, 'RM &amp; SF'!B:H, 7, 0)</f>
        <v>1.7066666666666665E-4</v>
      </c>
      <c r="M3372" s="15">
        <f t="shared" si="175"/>
        <v>1.5359999999999998E-3</v>
      </c>
      <c r="N3372" s="21" t="s">
        <v>825</v>
      </c>
      <c r="O3372" s="4">
        <f>VLOOKUP(B3372, 'All Menu'!B:L, 6, 0)</f>
        <v>2.5624259000000005</v>
      </c>
      <c r="P3372" s="6">
        <f>VLOOKUP(B3372, 'All Menu'!B:L, 9, 0)</f>
        <v>1.8618194250000004</v>
      </c>
      <c r="Q3372" s="14">
        <f>VLOOKUP(B3372, 'All Menu'!B:M, 12, 0)</f>
        <v>0.27341531124861013</v>
      </c>
      <c r="R3372" s="173">
        <f t="shared" si="174"/>
        <v>0</v>
      </c>
    </row>
    <row r="3373" spans="1:18" ht="14" hidden="1">
      <c r="A3373" s="78" t="s">
        <v>2933</v>
      </c>
      <c r="B3373" s="220" t="s">
        <v>1253</v>
      </c>
      <c r="C3373" s="185"/>
      <c r="D3373" s="30" t="s">
        <v>2081</v>
      </c>
      <c r="E3373" s="30" t="str">
        <f>VLOOKUP(B3373, 'All Menu'!B:M, 2, 0)</f>
        <v>قسم طلبات مارت</v>
      </c>
      <c r="F3373" s="103" t="str">
        <f>VLOOKUP(B3373, 'All Menu'!B:M, 3, 0)</f>
        <v>طلبات مارت</v>
      </c>
      <c r="G3373" s="90" t="s">
        <v>2288</v>
      </c>
      <c r="H3373" s="219">
        <v>4219</v>
      </c>
      <c r="I3373" s="110" t="str">
        <f>VLOOKUP(H3373, 'RM &amp; SF'!B:H, 2, 0)</f>
        <v>بابريكا حلوة*****</v>
      </c>
      <c r="J3373" s="184" t="str">
        <f>VLOOKUP(H3373, 'RM &amp; SF'!B:E, 4, 0)</f>
        <v>غم</v>
      </c>
      <c r="K3373" s="78">
        <v>10</v>
      </c>
      <c r="L3373" s="13">
        <f>VLOOKUP(H3373, 'RM &amp; SF'!B:H, 7, 0)</f>
        <v>2.5859999999999998E-3</v>
      </c>
      <c r="M3373" s="15">
        <f t="shared" si="175"/>
        <v>2.5859999999999998E-2</v>
      </c>
      <c r="N3373" s="21" t="s">
        <v>825</v>
      </c>
      <c r="O3373" s="4">
        <f>VLOOKUP(B3373, 'All Menu'!B:L, 6, 0)</f>
        <v>2.5624259000000005</v>
      </c>
      <c r="P3373" s="6">
        <f>VLOOKUP(B3373, 'All Menu'!B:L, 9, 0)</f>
        <v>1.8618194250000004</v>
      </c>
      <c r="Q3373" s="14">
        <f>VLOOKUP(B3373, 'All Menu'!B:M, 12, 0)</f>
        <v>0.27341531124861013</v>
      </c>
      <c r="R3373" s="173">
        <f t="shared" si="174"/>
        <v>0</v>
      </c>
    </row>
    <row r="3374" spans="1:18" ht="14" hidden="1">
      <c r="A3374" s="78" t="s">
        <v>2933</v>
      </c>
      <c r="B3374" s="220" t="s">
        <v>1253</v>
      </c>
      <c r="C3374" s="185"/>
      <c r="D3374" s="30" t="s">
        <v>2081</v>
      </c>
      <c r="E3374" s="30" t="str">
        <f>VLOOKUP(B3374, 'All Menu'!B:M, 2, 0)</f>
        <v>قسم طلبات مارت</v>
      </c>
      <c r="F3374" s="103" t="str">
        <f>VLOOKUP(B3374, 'All Menu'!B:M, 3, 0)</f>
        <v>طلبات مارت</v>
      </c>
      <c r="G3374" s="90" t="s">
        <v>2239</v>
      </c>
      <c r="H3374" s="219">
        <v>4513</v>
      </c>
      <c r="I3374" s="110" t="str">
        <f>VLOOKUP(H3374, 'RM &amp; SF'!B:H, 2, 0)</f>
        <v>ليمون اصفر*****</v>
      </c>
      <c r="J3374" s="184" t="str">
        <f>VLOOKUP(H3374, 'RM &amp; SF'!B:E, 4, 0)</f>
        <v>غم</v>
      </c>
      <c r="K3374" s="78">
        <v>13</v>
      </c>
      <c r="L3374" s="13">
        <f>VLOOKUP(H3374, 'RM &amp; SF'!B:H, 7, 0)</f>
        <v>1.75E-3</v>
      </c>
      <c r="M3374" s="15">
        <f t="shared" si="175"/>
        <v>2.2749999999999999E-2</v>
      </c>
      <c r="N3374" s="21" t="s">
        <v>825</v>
      </c>
      <c r="O3374" s="4">
        <f>VLOOKUP(B3374, 'All Menu'!B:L, 6, 0)</f>
        <v>2.5624259000000005</v>
      </c>
      <c r="P3374" s="6">
        <f>VLOOKUP(B3374, 'All Menu'!B:L, 9, 0)</f>
        <v>1.8618194250000004</v>
      </c>
      <c r="Q3374" s="14">
        <f>VLOOKUP(B3374, 'All Menu'!B:M, 12, 0)</f>
        <v>0.27341531124861013</v>
      </c>
      <c r="R3374" s="173">
        <f t="shared" si="174"/>
        <v>0</v>
      </c>
    </row>
    <row r="3375" spans="1:18" ht="14" hidden="1">
      <c r="A3375" s="78" t="s">
        <v>2933</v>
      </c>
      <c r="B3375" s="220" t="s">
        <v>1253</v>
      </c>
      <c r="C3375" s="185"/>
      <c r="D3375" s="30" t="s">
        <v>2081</v>
      </c>
      <c r="E3375" s="30" t="str">
        <f>VLOOKUP(B3375, 'All Menu'!B:M, 2, 0)</f>
        <v>قسم طلبات مارت</v>
      </c>
      <c r="F3375" s="103" t="str">
        <f>VLOOKUP(B3375, 'All Menu'!B:M, 3, 0)</f>
        <v>طلبات مارت</v>
      </c>
      <c r="G3375" s="90" t="s">
        <v>2256</v>
      </c>
      <c r="H3375" s="219">
        <v>4574</v>
      </c>
      <c r="I3375" s="110" t="str">
        <f>VLOOKUP(H3375, 'RM &amp; SF'!B:H, 2, 0)</f>
        <v>عصير برتقال طازج 2.5 لتر*****</v>
      </c>
      <c r="J3375" s="184" t="str">
        <f>VLOOKUP(H3375, 'RM &amp; SF'!B:E, 4, 0)</f>
        <v>مل</v>
      </c>
      <c r="K3375" s="78">
        <v>35</v>
      </c>
      <c r="L3375" s="13">
        <f>VLOOKUP(H3375, 'RM &amp; SF'!B:H, 7, 0)</f>
        <v>2E-3</v>
      </c>
      <c r="M3375" s="15">
        <f t="shared" si="175"/>
        <v>7.0000000000000007E-2</v>
      </c>
      <c r="N3375" s="21" t="s">
        <v>825</v>
      </c>
      <c r="O3375" s="4">
        <f>VLOOKUP(B3375, 'All Menu'!B:L, 6, 0)</f>
        <v>2.5624259000000005</v>
      </c>
      <c r="P3375" s="6">
        <f>VLOOKUP(B3375, 'All Menu'!B:L, 9, 0)</f>
        <v>1.8618194250000004</v>
      </c>
      <c r="Q3375" s="14">
        <f>VLOOKUP(B3375, 'All Menu'!B:M, 12, 0)</f>
        <v>0.27341531124861013</v>
      </c>
      <c r="R3375" s="173">
        <f t="shared" si="174"/>
        <v>0</v>
      </c>
    </row>
    <row r="3376" spans="1:18" ht="14" hidden="1">
      <c r="A3376" s="78" t="s">
        <v>2933</v>
      </c>
      <c r="B3376" s="220" t="s">
        <v>1253</v>
      </c>
      <c r="C3376" s="185"/>
      <c r="D3376" s="30" t="s">
        <v>2081</v>
      </c>
      <c r="E3376" s="30" t="str">
        <f>VLOOKUP(B3376, 'All Menu'!B:M, 2, 0)</f>
        <v>قسم طلبات مارت</v>
      </c>
      <c r="F3376" s="103" t="str">
        <f>VLOOKUP(B3376, 'All Menu'!B:M, 3, 0)</f>
        <v>طلبات مارت</v>
      </c>
      <c r="G3376" s="90" t="s">
        <v>2260</v>
      </c>
      <c r="H3376" s="219">
        <v>4160</v>
      </c>
      <c r="I3376" s="110" t="str">
        <f>VLOOKUP(H3376, 'RM &amp; SF'!B:H, 2, 0)</f>
        <v>زيت صويا 18 لتر*****</v>
      </c>
      <c r="J3376" s="184" t="str">
        <f>VLOOKUP(H3376, 'RM &amp; SF'!B:E, 4, 0)</f>
        <v>مل</v>
      </c>
      <c r="K3376" s="78">
        <v>50</v>
      </c>
      <c r="L3376" s="13">
        <f>VLOOKUP(H3376, 'RM &amp; SF'!B:H, 7, 0)</f>
        <v>1.335E-3</v>
      </c>
      <c r="M3376" s="15">
        <f t="shared" si="175"/>
        <v>6.6750000000000004E-2</v>
      </c>
      <c r="N3376" s="21" t="s">
        <v>825</v>
      </c>
      <c r="O3376" s="4">
        <f>VLOOKUP(B3376, 'All Menu'!B:L, 6, 0)</f>
        <v>2.5624259000000005</v>
      </c>
      <c r="P3376" s="6">
        <f>VLOOKUP(B3376, 'All Menu'!B:L, 9, 0)</f>
        <v>1.8618194250000004</v>
      </c>
      <c r="Q3376" s="14">
        <f>VLOOKUP(B3376, 'All Menu'!B:M, 12, 0)</f>
        <v>0.27341531124861013</v>
      </c>
      <c r="R3376" s="173">
        <f t="shared" si="174"/>
        <v>0</v>
      </c>
    </row>
    <row r="3377" spans="1:18" ht="14" hidden="1">
      <c r="A3377" s="78" t="s">
        <v>2933</v>
      </c>
      <c r="B3377" s="220" t="s">
        <v>1253</v>
      </c>
      <c r="C3377" s="185"/>
      <c r="D3377" s="30" t="s">
        <v>2081</v>
      </c>
      <c r="E3377" s="30" t="str">
        <f>VLOOKUP(B3377, 'All Menu'!B:M, 2, 0)</f>
        <v>قسم طلبات مارت</v>
      </c>
      <c r="F3377" s="103" t="str">
        <f>VLOOKUP(B3377, 'All Menu'!B:M, 3, 0)</f>
        <v>طلبات مارت</v>
      </c>
      <c r="G3377" s="90" t="s">
        <v>3058</v>
      </c>
      <c r="H3377" s="219">
        <v>5374</v>
      </c>
      <c r="I3377" s="110" t="str">
        <f>VLOOKUP(H3377, 'RM &amp; SF'!B:H, 2, 0)</f>
        <v>بهارات شاورما - طلبات مارت</v>
      </c>
      <c r="J3377" s="184" t="str">
        <f>VLOOKUP(H3377, 'RM &amp; SF'!B:E, 4, 0)</f>
        <v>غم</v>
      </c>
      <c r="K3377" s="78">
        <v>8</v>
      </c>
      <c r="L3377" s="13">
        <f>VLOOKUP(H3377, 'RM &amp; SF'!B:H, 7, 0)</f>
        <v>5.1719999999999995E-3</v>
      </c>
      <c r="M3377" s="15">
        <f t="shared" si="175"/>
        <v>4.1375999999999996E-2</v>
      </c>
      <c r="N3377" s="21" t="s">
        <v>825</v>
      </c>
      <c r="O3377" s="4">
        <f>VLOOKUP(B3377, 'All Menu'!B:L, 6, 0)</f>
        <v>2.5624259000000005</v>
      </c>
      <c r="P3377" s="6">
        <f>VLOOKUP(B3377, 'All Menu'!B:L, 9, 0)</f>
        <v>1.8618194250000004</v>
      </c>
      <c r="Q3377" s="14">
        <f>VLOOKUP(B3377, 'All Menu'!B:M, 12, 0)</f>
        <v>0.27341531124861013</v>
      </c>
      <c r="R3377" s="173">
        <f t="shared" si="174"/>
        <v>0</v>
      </c>
    </row>
    <row r="3378" spans="1:18" ht="14" hidden="1">
      <c r="A3378" s="78" t="s">
        <v>2933</v>
      </c>
      <c r="B3378" s="220" t="s">
        <v>1253</v>
      </c>
      <c r="C3378" s="185"/>
      <c r="D3378" s="30" t="s">
        <v>2081</v>
      </c>
      <c r="E3378" s="30" t="str">
        <f>VLOOKUP(B3378, 'All Menu'!B:M, 2, 0)</f>
        <v>قسم طلبات مارت</v>
      </c>
      <c r="F3378" s="103" t="str">
        <f>VLOOKUP(B3378, 'All Menu'!B:M, 3, 0)</f>
        <v>طلبات مارت</v>
      </c>
      <c r="G3378" s="90" t="s">
        <v>3058</v>
      </c>
      <c r="H3378" s="219" t="s">
        <v>292</v>
      </c>
      <c r="I3378" s="110" t="str">
        <f>VLOOKUP(H3378, 'RM &amp; SF'!B:H, 2, 0)</f>
        <v>صحن جديد - طلبات مارت</v>
      </c>
      <c r="J3378" s="184" t="str">
        <f>VLOOKUP(H3378, 'RM &amp; SF'!B:E, 4, 0)</f>
        <v>قطعة</v>
      </c>
      <c r="K3378" s="78">
        <v>1</v>
      </c>
      <c r="L3378" s="13">
        <f>VLOOKUP(H3378, 'RM &amp; SF'!B:H, 7, 0)</f>
        <v>0.15</v>
      </c>
      <c r="M3378" s="15">
        <f t="shared" si="175"/>
        <v>0.15</v>
      </c>
      <c r="N3378" s="21" t="s">
        <v>825</v>
      </c>
      <c r="O3378" s="4">
        <f>VLOOKUP(B3378, 'All Menu'!B:L, 6, 0)</f>
        <v>2.5624259000000005</v>
      </c>
      <c r="P3378" s="6">
        <f>VLOOKUP(B3378, 'All Menu'!B:L, 9, 0)</f>
        <v>1.8618194250000004</v>
      </c>
      <c r="Q3378" s="14">
        <f>VLOOKUP(B3378, 'All Menu'!B:M, 12, 0)</f>
        <v>0.27341531124861013</v>
      </c>
      <c r="R3378" s="173">
        <f t="shared" si="174"/>
        <v>0</v>
      </c>
    </row>
    <row r="3379" spans="1:18" ht="14" hidden="1">
      <c r="A3379" s="78" t="s">
        <v>2933</v>
      </c>
      <c r="B3379" s="220" t="s">
        <v>1253</v>
      </c>
      <c r="C3379" s="185"/>
      <c r="D3379" s="30" t="s">
        <v>2081</v>
      </c>
      <c r="E3379" s="30" t="str">
        <f>VLOOKUP(B3379, 'All Menu'!B:M, 2, 0)</f>
        <v>قسم طلبات مارت</v>
      </c>
      <c r="F3379" s="103" t="str">
        <f>VLOOKUP(B3379, 'All Menu'!B:M, 3, 0)</f>
        <v>طلبات مارت</v>
      </c>
      <c r="G3379" s="90" t="s">
        <v>3058</v>
      </c>
      <c r="H3379" s="219">
        <v>5274</v>
      </c>
      <c r="I3379" s="110" t="str">
        <f>VLOOKUP(H3379, 'RM &amp; SF'!B:H, 2, 0)</f>
        <v>نايلون للتغليف رول (رول جيلاتين) 45 سم*4 كغ*****</v>
      </c>
      <c r="J3379" s="184" t="str">
        <f>VLOOKUP(H3379, 'RM &amp; SF'!B:E, 4, 0)</f>
        <v>غم</v>
      </c>
      <c r="K3379" s="78">
        <v>1</v>
      </c>
      <c r="L3379" s="13">
        <f>VLOOKUP(H3379, 'RM &amp; SF'!B:H, 7, 0)</f>
        <v>2.0474249999999999E-3</v>
      </c>
      <c r="M3379" s="15">
        <f t="shared" si="175"/>
        <v>2.0474249999999999E-3</v>
      </c>
      <c r="N3379" s="21" t="s">
        <v>825</v>
      </c>
      <c r="O3379" s="4">
        <f>VLOOKUP(B3379, 'All Menu'!B:L, 6, 0)</f>
        <v>2.5624259000000005</v>
      </c>
      <c r="P3379" s="6">
        <f>VLOOKUP(B3379, 'All Menu'!B:L, 9, 0)</f>
        <v>1.8618194250000004</v>
      </c>
      <c r="Q3379" s="14">
        <f>VLOOKUP(B3379, 'All Menu'!B:M, 12, 0)</f>
        <v>0.27341531124861013</v>
      </c>
      <c r="R3379" s="173">
        <f t="shared" si="174"/>
        <v>0</v>
      </c>
    </row>
    <row r="3380" spans="1:18" ht="14" hidden="1">
      <c r="A3380" s="78" t="s">
        <v>2933</v>
      </c>
      <c r="B3380" s="220" t="s">
        <v>1253</v>
      </c>
      <c r="C3380" s="185"/>
      <c r="D3380" s="30" t="s">
        <v>2081</v>
      </c>
      <c r="E3380" s="30" t="str">
        <f>VLOOKUP(B3380, 'All Menu'!B:M, 2, 0)</f>
        <v>قسم طلبات مارت</v>
      </c>
      <c r="F3380" s="103" t="str">
        <f>VLOOKUP(B3380, 'All Menu'!B:M, 3, 0)</f>
        <v>طلبات مارت</v>
      </c>
      <c r="G3380" s="90" t="s">
        <v>3058</v>
      </c>
      <c r="H3380" s="219">
        <v>5372</v>
      </c>
      <c r="I3380" s="110" t="str">
        <f>VLOOKUP(H3380, 'RM &amp; SF'!B:H, 2, 0)</f>
        <v>ملصق - طلبات مارت</v>
      </c>
      <c r="J3380" s="184" t="str">
        <f>VLOOKUP(H3380, 'RM &amp; SF'!B:E, 4, 0)</f>
        <v>قطعة</v>
      </c>
      <c r="K3380" s="78">
        <v>1</v>
      </c>
      <c r="L3380" s="13">
        <f>VLOOKUP(H3380, 'RM &amp; SF'!B:H, 7, 0)</f>
        <v>1.15E-2</v>
      </c>
      <c r="M3380" s="15">
        <f t="shared" si="175"/>
        <v>1.15E-2</v>
      </c>
      <c r="N3380" s="21" t="s">
        <v>825</v>
      </c>
      <c r="O3380" s="4">
        <f>VLOOKUP(B3380, 'All Menu'!B:L, 6, 0)</f>
        <v>2.5624259000000005</v>
      </c>
      <c r="P3380" s="6">
        <f>VLOOKUP(B3380, 'All Menu'!B:L, 9, 0)</f>
        <v>1.8618194250000004</v>
      </c>
      <c r="Q3380" s="14">
        <f>VLOOKUP(B3380, 'All Menu'!B:M, 12, 0)</f>
        <v>0.27341531124861013</v>
      </c>
      <c r="R3380" s="173">
        <f t="shared" si="174"/>
        <v>0</v>
      </c>
    </row>
    <row r="3381" spans="1:18" ht="14" hidden="1">
      <c r="A3381" s="78" t="s">
        <v>2934</v>
      </c>
      <c r="B3381" s="220" t="s">
        <v>1252</v>
      </c>
      <c r="C3381" s="185"/>
      <c r="D3381" s="30" t="s">
        <v>2082</v>
      </c>
      <c r="E3381" s="30" t="str">
        <f>VLOOKUP(B3381, 'All Menu'!B:M, 2, 0)</f>
        <v>قسم طلبات مارت</v>
      </c>
      <c r="F3381" s="103" t="str">
        <f>VLOOKUP(B3381, 'All Menu'!B:M, 3, 0)</f>
        <v>طلبات مارت</v>
      </c>
      <c r="G3381" s="90" t="s">
        <v>3058</v>
      </c>
      <c r="H3381" s="219">
        <v>5386</v>
      </c>
      <c r="I3381" s="110" t="str">
        <f>VLOOKUP(H3381, 'RM &amp; SF'!B:H, 2, 0)</f>
        <v>مسحب الطاحونة - طلبات مارت</v>
      </c>
      <c r="J3381" s="184" t="str">
        <f>VLOOKUP(H3381, 'RM &amp; SF'!B:E, 4, 0)</f>
        <v>غم</v>
      </c>
      <c r="K3381" s="78">
        <v>250</v>
      </c>
      <c r="L3381" s="13">
        <f>VLOOKUP(H3381, 'RM &amp; SF'!B:H, 7, 0)</f>
        <v>4.2000000000000006E-3</v>
      </c>
      <c r="M3381" s="15">
        <f t="shared" si="175"/>
        <v>1.05</v>
      </c>
      <c r="N3381" s="21" t="s">
        <v>825</v>
      </c>
      <c r="O3381" s="4">
        <f>VLOOKUP(B3381, 'All Menu'!B:L, 6, 0)</f>
        <v>1.9296173106060608</v>
      </c>
      <c r="P3381" s="6">
        <f>VLOOKUP(B3381, 'All Menu'!B:L, 9, 0)</f>
        <v>1.213547425</v>
      </c>
      <c r="Q3381" s="14">
        <f>VLOOKUP(B3381, 'All Menu'!B:M, 12, 0)</f>
        <v>0.37109424841403144</v>
      </c>
      <c r="R3381" s="173">
        <f t="shared" si="174"/>
        <v>0</v>
      </c>
    </row>
    <row r="3382" spans="1:18" ht="14" hidden="1">
      <c r="A3382" s="78" t="s">
        <v>2934</v>
      </c>
      <c r="B3382" s="220" t="s">
        <v>1252</v>
      </c>
      <c r="C3382" s="185"/>
      <c r="D3382" s="30" t="s">
        <v>2082</v>
      </c>
      <c r="E3382" s="30" t="str">
        <f>VLOOKUP(B3382, 'All Menu'!B:M, 2, 0)</f>
        <v>قسم طلبات مارت</v>
      </c>
      <c r="F3382" s="103" t="str">
        <f>VLOOKUP(B3382, 'All Menu'!B:M, 3, 0)</f>
        <v>طلبات مارت</v>
      </c>
      <c r="G3382" s="90" t="s">
        <v>3058</v>
      </c>
      <c r="H3382" s="219" t="s">
        <v>292</v>
      </c>
      <c r="I3382" s="110" t="str">
        <f>VLOOKUP(H3382, 'RM &amp; SF'!B:H, 2, 0)</f>
        <v>صحن جديد - طلبات مارت</v>
      </c>
      <c r="J3382" s="184" t="str">
        <f>VLOOKUP(H3382, 'RM &amp; SF'!B:E, 4, 0)</f>
        <v>قطعة</v>
      </c>
      <c r="K3382" s="78">
        <v>1</v>
      </c>
      <c r="L3382" s="13">
        <f>VLOOKUP(H3382, 'RM &amp; SF'!B:H, 7, 0)</f>
        <v>0.15</v>
      </c>
      <c r="M3382" s="15">
        <f t="shared" si="175"/>
        <v>0.15</v>
      </c>
      <c r="N3382" s="21" t="s">
        <v>825</v>
      </c>
      <c r="O3382" s="4">
        <f>VLOOKUP(B3382, 'All Menu'!B:L, 6, 0)</f>
        <v>1.9296173106060608</v>
      </c>
      <c r="P3382" s="6">
        <f>VLOOKUP(B3382, 'All Menu'!B:L, 9, 0)</f>
        <v>1.213547425</v>
      </c>
      <c r="Q3382" s="14">
        <f>VLOOKUP(B3382, 'All Menu'!B:M, 12, 0)</f>
        <v>0.37109424841403144</v>
      </c>
      <c r="R3382" s="173">
        <f t="shared" si="174"/>
        <v>0</v>
      </c>
    </row>
    <row r="3383" spans="1:18" ht="14" hidden="1">
      <c r="A3383" s="78" t="s">
        <v>2934</v>
      </c>
      <c r="B3383" s="220" t="s">
        <v>1252</v>
      </c>
      <c r="C3383" s="185"/>
      <c r="D3383" s="30" t="s">
        <v>2082</v>
      </c>
      <c r="E3383" s="30" t="str">
        <f>VLOOKUP(B3383, 'All Menu'!B:M, 2, 0)</f>
        <v>قسم طلبات مارت</v>
      </c>
      <c r="F3383" s="103" t="str">
        <f>VLOOKUP(B3383, 'All Menu'!B:M, 3, 0)</f>
        <v>طلبات مارت</v>
      </c>
      <c r="G3383" s="90" t="s">
        <v>3058</v>
      </c>
      <c r="H3383" s="219">
        <v>5274</v>
      </c>
      <c r="I3383" s="110" t="str">
        <f>VLOOKUP(H3383, 'RM &amp; SF'!B:H, 2, 0)</f>
        <v>نايلون للتغليف رول (رول جيلاتين) 45 سم*4 كغ*****</v>
      </c>
      <c r="J3383" s="184" t="str">
        <f>VLOOKUP(H3383, 'RM &amp; SF'!B:E, 4, 0)</f>
        <v>غم</v>
      </c>
      <c r="K3383" s="78">
        <v>1</v>
      </c>
      <c r="L3383" s="13">
        <f>VLOOKUP(H3383, 'RM &amp; SF'!B:H, 7, 0)</f>
        <v>2.0474249999999999E-3</v>
      </c>
      <c r="M3383" s="15">
        <f t="shared" si="175"/>
        <v>2.0474249999999999E-3</v>
      </c>
      <c r="N3383" s="21" t="s">
        <v>825</v>
      </c>
      <c r="O3383" s="4">
        <f>VLOOKUP(B3383, 'All Menu'!B:L, 6, 0)</f>
        <v>1.9296173106060608</v>
      </c>
      <c r="P3383" s="6">
        <f>VLOOKUP(B3383, 'All Menu'!B:L, 9, 0)</f>
        <v>1.213547425</v>
      </c>
      <c r="Q3383" s="14">
        <f>VLOOKUP(B3383, 'All Menu'!B:M, 12, 0)</f>
        <v>0.37109424841403144</v>
      </c>
      <c r="R3383" s="173">
        <f t="shared" si="174"/>
        <v>0</v>
      </c>
    </row>
    <row r="3384" spans="1:18" ht="14" hidden="1">
      <c r="A3384" s="78" t="s">
        <v>2934</v>
      </c>
      <c r="B3384" s="220" t="s">
        <v>1252</v>
      </c>
      <c r="C3384" s="185"/>
      <c r="D3384" s="30" t="s">
        <v>2082</v>
      </c>
      <c r="E3384" s="30" t="str">
        <f>VLOOKUP(B3384, 'All Menu'!B:M, 2, 0)</f>
        <v>قسم طلبات مارت</v>
      </c>
      <c r="F3384" s="103" t="str">
        <f>VLOOKUP(B3384, 'All Menu'!B:M, 3, 0)</f>
        <v>طلبات مارت</v>
      </c>
      <c r="G3384" s="90" t="s">
        <v>3058</v>
      </c>
      <c r="H3384" s="219">
        <v>5372</v>
      </c>
      <c r="I3384" s="110" t="str">
        <f>VLOOKUP(H3384, 'RM &amp; SF'!B:H, 2, 0)</f>
        <v>ملصق - طلبات مارت</v>
      </c>
      <c r="J3384" s="184" t="str">
        <f>VLOOKUP(H3384, 'RM &amp; SF'!B:E, 4, 0)</f>
        <v>قطعة</v>
      </c>
      <c r="K3384" s="78">
        <v>1</v>
      </c>
      <c r="L3384" s="13">
        <f>VLOOKUP(H3384, 'RM &amp; SF'!B:H, 7, 0)</f>
        <v>1.15E-2</v>
      </c>
      <c r="M3384" s="15">
        <f t="shared" si="175"/>
        <v>1.15E-2</v>
      </c>
      <c r="N3384" s="21" t="s">
        <v>825</v>
      </c>
      <c r="O3384" s="4">
        <f>VLOOKUP(B3384, 'All Menu'!B:L, 6, 0)</f>
        <v>1.9296173106060608</v>
      </c>
      <c r="P3384" s="6">
        <f>VLOOKUP(B3384, 'All Menu'!B:L, 9, 0)</f>
        <v>1.213547425</v>
      </c>
      <c r="Q3384" s="14">
        <f>VLOOKUP(B3384, 'All Menu'!B:M, 12, 0)</f>
        <v>0.37109424841403144</v>
      </c>
      <c r="R3384" s="173">
        <f t="shared" si="174"/>
        <v>0</v>
      </c>
    </row>
    <row r="3385" spans="1:18" ht="14" hidden="1">
      <c r="A3385" s="78" t="s">
        <v>2248</v>
      </c>
      <c r="B3385" s="220" t="s">
        <v>1269</v>
      </c>
      <c r="C3385" s="185"/>
      <c r="D3385" s="30" t="s">
        <v>2083</v>
      </c>
      <c r="E3385" s="30" t="str">
        <f>VLOOKUP(B3385, 'All Menu'!B:M, 2, 0)</f>
        <v>قسم طلبات مارت</v>
      </c>
      <c r="F3385" s="103" t="str">
        <f>VLOOKUP(B3385, 'All Menu'!B:M, 3, 0)</f>
        <v>طلبات مارت</v>
      </c>
      <c r="G3385" s="90" t="s">
        <v>3058</v>
      </c>
      <c r="H3385" s="219">
        <v>5446</v>
      </c>
      <c r="I3385" s="110" t="str">
        <f>VLOOKUP(H3385, 'RM &amp; SF'!B:H, 2, 0)</f>
        <v xml:space="preserve">موزات خروف - طلبات مارت </v>
      </c>
      <c r="J3385" s="184" t="str">
        <f>VLOOKUP(H3385, 'RM &amp; SF'!B:E, 4, 0)</f>
        <v>غم</v>
      </c>
      <c r="K3385" s="78">
        <v>1000</v>
      </c>
      <c r="L3385" s="13">
        <f>VLOOKUP(H3385, 'RM &amp; SF'!B:H, 7, 0)</f>
        <v>1.1615493158849017E-2</v>
      </c>
      <c r="M3385" s="15">
        <f t="shared" si="175"/>
        <v>11.615493158849016</v>
      </c>
      <c r="N3385" s="21" t="s">
        <v>825</v>
      </c>
      <c r="O3385" s="4">
        <f>VLOOKUP(B3385, 'All Menu'!B:L, 6, 0)</f>
        <v>16.760051334028681</v>
      </c>
      <c r="P3385" s="6">
        <f>VLOOKUP(B3385, 'All Menu'!B:L, 9, 0)</f>
        <v>11.779040583849017</v>
      </c>
      <c r="Q3385" s="14">
        <f>VLOOKUP(B3385, 'All Menu'!B:M, 12, 0)</f>
        <v>0.29719543519932395</v>
      </c>
      <c r="R3385" s="173">
        <f t="shared" si="174"/>
        <v>0</v>
      </c>
    </row>
    <row r="3386" spans="1:18" ht="14" hidden="1">
      <c r="A3386" s="78" t="s">
        <v>2248</v>
      </c>
      <c r="B3386" s="220" t="s">
        <v>1269</v>
      </c>
      <c r="C3386" s="185"/>
      <c r="D3386" s="30" t="s">
        <v>2083</v>
      </c>
      <c r="E3386" s="30" t="str">
        <f>VLOOKUP(B3386, 'All Menu'!B:M, 2, 0)</f>
        <v>قسم طلبات مارت</v>
      </c>
      <c r="F3386" s="103" t="str">
        <f>VLOOKUP(B3386, 'All Menu'!B:M, 3, 0)</f>
        <v>طلبات مارت</v>
      </c>
      <c r="G3386" s="90" t="s">
        <v>3058</v>
      </c>
      <c r="H3386" s="219" t="s">
        <v>292</v>
      </c>
      <c r="I3386" s="110" t="str">
        <f>VLOOKUP(H3386, 'RM &amp; SF'!B:H, 2, 0)</f>
        <v>صحن جديد - طلبات مارت</v>
      </c>
      <c r="J3386" s="184" t="str">
        <f>VLOOKUP(H3386, 'RM &amp; SF'!B:E, 4, 0)</f>
        <v>قطعة</v>
      </c>
      <c r="K3386" s="78">
        <v>1</v>
      </c>
      <c r="L3386" s="13">
        <f>VLOOKUP(H3386, 'RM &amp; SF'!B:H, 7, 0)</f>
        <v>0.15</v>
      </c>
      <c r="M3386" s="15">
        <f t="shared" si="175"/>
        <v>0.15</v>
      </c>
      <c r="N3386" s="21" t="s">
        <v>825</v>
      </c>
      <c r="O3386" s="4">
        <f>VLOOKUP(B3386, 'All Menu'!B:L, 6, 0)</f>
        <v>16.760051334028681</v>
      </c>
      <c r="P3386" s="6">
        <f>VLOOKUP(B3386, 'All Menu'!B:L, 9, 0)</f>
        <v>11.779040583849017</v>
      </c>
      <c r="Q3386" s="14">
        <f>VLOOKUP(B3386, 'All Menu'!B:M, 12, 0)</f>
        <v>0.29719543519932395</v>
      </c>
      <c r="R3386" s="173">
        <f t="shared" si="174"/>
        <v>0</v>
      </c>
    </row>
    <row r="3387" spans="1:18" ht="14" hidden="1">
      <c r="A3387" s="78" t="s">
        <v>2248</v>
      </c>
      <c r="B3387" s="220" t="s">
        <v>1269</v>
      </c>
      <c r="C3387" s="185"/>
      <c r="D3387" s="30" t="s">
        <v>2083</v>
      </c>
      <c r="E3387" s="30" t="str">
        <f>VLOOKUP(B3387, 'All Menu'!B:M, 2, 0)</f>
        <v>قسم طلبات مارت</v>
      </c>
      <c r="F3387" s="103" t="str">
        <f>VLOOKUP(B3387, 'All Menu'!B:M, 3, 0)</f>
        <v>طلبات مارت</v>
      </c>
      <c r="G3387" s="90" t="s">
        <v>3058</v>
      </c>
      <c r="H3387" s="219">
        <v>5274</v>
      </c>
      <c r="I3387" s="110" t="str">
        <f>VLOOKUP(H3387, 'RM &amp; SF'!B:H, 2, 0)</f>
        <v>نايلون للتغليف رول (رول جيلاتين) 45 سم*4 كغ*****</v>
      </c>
      <c r="J3387" s="184" t="str">
        <f>VLOOKUP(H3387, 'RM &amp; SF'!B:E, 4, 0)</f>
        <v>غم</v>
      </c>
      <c r="K3387" s="78">
        <v>1</v>
      </c>
      <c r="L3387" s="13">
        <f>VLOOKUP(H3387, 'RM &amp; SF'!B:H, 7, 0)</f>
        <v>2.0474249999999999E-3</v>
      </c>
      <c r="M3387" s="15">
        <f t="shared" si="175"/>
        <v>2.0474249999999999E-3</v>
      </c>
      <c r="N3387" s="21" t="s">
        <v>825</v>
      </c>
      <c r="O3387" s="4">
        <f>VLOOKUP(B3387, 'All Menu'!B:L, 6, 0)</f>
        <v>16.760051334028681</v>
      </c>
      <c r="P3387" s="6">
        <f>VLOOKUP(B3387, 'All Menu'!B:L, 9, 0)</f>
        <v>11.779040583849017</v>
      </c>
      <c r="Q3387" s="14">
        <f>VLOOKUP(B3387, 'All Menu'!B:M, 12, 0)</f>
        <v>0.29719543519932395</v>
      </c>
      <c r="R3387" s="173">
        <f t="shared" si="174"/>
        <v>0</v>
      </c>
    </row>
    <row r="3388" spans="1:18" ht="14" hidden="1">
      <c r="A3388" s="78" t="s">
        <v>2248</v>
      </c>
      <c r="B3388" s="220" t="s">
        <v>1269</v>
      </c>
      <c r="C3388" s="185"/>
      <c r="D3388" s="30" t="s">
        <v>2083</v>
      </c>
      <c r="E3388" s="30" t="str">
        <f>VLOOKUP(B3388, 'All Menu'!B:M, 2, 0)</f>
        <v>قسم طلبات مارت</v>
      </c>
      <c r="F3388" s="103" t="str">
        <f>VLOOKUP(B3388, 'All Menu'!B:M, 3, 0)</f>
        <v>طلبات مارت</v>
      </c>
      <c r="G3388" s="90" t="s">
        <v>3058</v>
      </c>
      <c r="H3388" s="219">
        <v>5372</v>
      </c>
      <c r="I3388" s="110" t="str">
        <f>VLOOKUP(H3388, 'RM &amp; SF'!B:H, 2, 0)</f>
        <v>ملصق - طلبات مارت</v>
      </c>
      <c r="J3388" s="184" t="str">
        <f>VLOOKUP(H3388, 'RM &amp; SF'!B:E, 4, 0)</f>
        <v>قطعة</v>
      </c>
      <c r="K3388" s="78">
        <v>1</v>
      </c>
      <c r="L3388" s="13">
        <f>VLOOKUP(H3388, 'RM &amp; SF'!B:H, 7, 0)</f>
        <v>1.15E-2</v>
      </c>
      <c r="M3388" s="15">
        <f t="shared" si="175"/>
        <v>1.15E-2</v>
      </c>
      <c r="N3388" s="21" t="s">
        <v>825</v>
      </c>
      <c r="O3388" s="4">
        <f>VLOOKUP(B3388, 'All Menu'!B:L, 6, 0)</f>
        <v>16.760051334028681</v>
      </c>
      <c r="P3388" s="6">
        <f>VLOOKUP(B3388, 'All Menu'!B:L, 9, 0)</f>
        <v>11.779040583849017</v>
      </c>
      <c r="Q3388" s="14">
        <f>VLOOKUP(B3388, 'All Menu'!B:M, 12, 0)</f>
        <v>0.29719543519932395</v>
      </c>
      <c r="R3388" s="173">
        <f t="shared" si="174"/>
        <v>0</v>
      </c>
    </row>
    <row r="3389" spans="1:18" ht="14" hidden="1">
      <c r="A3389" s="78" t="s">
        <v>2935</v>
      </c>
      <c r="B3389" s="220" t="s">
        <v>1268</v>
      </c>
      <c r="C3389" s="185"/>
      <c r="D3389" s="30" t="s">
        <v>2084</v>
      </c>
      <c r="E3389" s="30" t="str">
        <f>VLOOKUP(B3389, 'All Menu'!B:M, 2, 0)</f>
        <v>قسم طلبات مارت</v>
      </c>
      <c r="F3389" s="103" t="str">
        <f>VLOOKUP(B3389, 'All Menu'!B:M, 3, 0)</f>
        <v>طلبات مارت</v>
      </c>
      <c r="G3389" s="90" t="s">
        <v>2378</v>
      </c>
      <c r="H3389" s="219" t="s">
        <v>798</v>
      </c>
      <c r="I3389" s="110" t="str">
        <f>VLOOKUP(H3389, 'RM &amp; SF'!B:H, 2, 0)</f>
        <v>سجق</v>
      </c>
      <c r="J3389" s="184" t="str">
        <f>VLOOKUP(H3389, 'RM &amp; SF'!B:E, 4, 0)</f>
        <v>غم</v>
      </c>
      <c r="K3389" s="78">
        <v>500</v>
      </c>
      <c r="L3389" s="13">
        <f>VLOOKUP(H3389, 'RM &amp; SF'!B:H, 7, 0)</f>
        <v>3.284080212555334E-3</v>
      </c>
      <c r="M3389" s="15">
        <f t="shared" si="175"/>
        <v>1.6420401062776671</v>
      </c>
      <c r="N3389" s="21" t="s">
        <v>825</v>
      </c>
      <c r="O3389" s="4">
        <f>VLOOKUP(B3389, 'All Menu'!B:L, 6, 0)</f>
        <v>2.6499125080868144</v>
      </c>
      <c r="P3389" s="6">
        <f>VLOOKUP(B3389, 'All Menu'!B:L, 9, 0)</f>
        <v>1.9238825161031603</v>
      </c>
      <c r="Q3389" s="14">
        <f>VLOOKUP(B3389, 'All Menu'!B:M, 12, 0)</f>
        <v>0.27398262764072678</v>
      </c>
      <c r="R3389" s="173">
        <f t="shared" si="174"/>
        <v>0</v>
      </c>
    </row>
    <row r="3390" spans="1:18" ht="14" hidden="1">
      <c r="A3390" s="78" t="s">
        <v>2935</v>
      </c>
      <c r="B3390" s="220" t="s">
        <v>1268</v>
      </c>
      <c r="C3390" s="185"/>
      <c r="D3390" s="30" t="s">
        <v>2084</v>
      </c>
      <c r="E3390" s="30" t="str">
        <f>VLOOKUP(B3390, 'All Menu'!B:M, 2, 0)</f>
        <v>قسم طلبات مارت</v>
      </c>
      <c r="F3390" s="103" t="str">
        <f>VLOOKUP(B3390, 'All Menu'!B:M, 3, 0)</f>
        <v>طلبات مارت</v>
      </c>
      <c r="G3390" s="90" t="s">
        <v>3058</v>
      </c>
      <c r="H3390" s="219">
        <v>1212121515</v>
      </c>
      <c r="I3390" s="110" t="str">
        <f>VLOOKUP(H3390, 'RM &amp; SF'!B:H, 2, 0)</f>
        <v>صوص نقانق طلبات مارت</v>
      </c>
      <c r="J3390" s="184" t="str">
        <f>VLOOKUP(H3390, 'RM &amp; SF'!B:E, 4, 0)</f>
        <v>غم</v>
      </c>
      <c r="K3390" s="78">
        <v>45</v>
      </c>
      <c r="L3390" s="13">
        <f>VLOOKUP(H3390, 'RM &amp; SF'!B:H, 7, 0)</f>
        <v>2.3621107738998484E-3</v>
      </c>
      <c r="M3390" s="15">
        <f t="shared" ref="M3390:M3391" si="176">L3390*K3390</f>
        <v>0.10629498482549318</v>
      </c>
      <c r="N3390" s="21" t="s">
        <v>825</v>
      </c>
      <c r="O3390" s="4">
        <f>VLOOKUP(B3390, 'All Menu'!B:L, 6, 0)</f>
        <v>2.6499125080868144</v>
      </c>
      <c r="P3390" s="6">
        <f>VLOOKUP(B3390, 'All Menu'!B:L, 9, 0)</f>
        <v>1.9238825161031603</v>
      </c>
      <c r="Q3390" s="14">
        <f>VLOOKUP(B3390, 'All Menu'!B:M, 12, 0)</f>
        <v>0.27398262764072678</v>
      </c>
      <c r="R3390" s="173">
        <f t="shared" si="174"/>
        <v>0</v>
      </c>
    </row>
    <row r="3391" spans="1:18" ht="14" hidden="1">
      <c r="A3391" s="78" t="s">
        <v>2935</v>
      </c>
      <c r="B3391" s="220" t="s">
        <v>1268</v>
      </c>
      <c r="C3391" s="185"/>
      <c r="D3391" s="30" t="s">
        <v>2084</v>
      </c>
      <c r="E3391" s="30" t="str">
        <f>VLOOKUP(B3391, 'All Menu'!B:M, 2, 0)</f>
        <v>قسم طلبات مارت</v>
      </c>
      <c r="F3391" s="103" t="str">
        <f>VLOOKUP(B3391, 'All Menu'!B:M, 3, 0)</f>
        <v>طلبات مارت</v>
      </c>
      <c r="G3391" s="90" t="s">
        <v>3058</v>
      </c>
      <c r="H3391" s="219">
        <v>4289</v>
      </c>
      <c r="I3391" s="110" t="str">
        <f>VLOOKUP(H3391, 'RM &amp; SF'!B:H, 2, 0)</f>
        <v>علب صوص دائري منفصل أسود 30 مل 1*100 حبة*****</v>
      </c>
      <c r="J3391" s="184" t="str">
        <f>VLOOKUP(H3391, 'RM &amp; SF'!B:E, 4, 0)</f>
        <v>قطعة</v>
      </c>
      <c r="K3391" s="78">
        <v>1</v>
      </c>
      <c r="L3391" s="13">
        <f>VLOOKUP(H3391, 'RM &amp; SF'!B:H, 7, 0)</f>
        <v>1.2E-2</v>
      </c>
      <c r="M3391" s="15">
        <f t="shared" si="176"/>
        <v>1.2E-2</v>
      </c>
      <c r="N3391" s="21" t="s">
        <v>825</v>
      </c>
      <c r="O3391" s="4">
        <f>VLOOKUP(B3391, 'All Menu'!B:L, 6, 0)</f>
        <v>2.6499125080868144</v>
      </c>
      <c r="P3391" s="6">
        <f>VLOOKUP(B3391, 'All Menu'!B:L, 9, 0)</f>
        <v>1.9238825161031603</v>
      </c>
      <c r="Q3391" s="14">
        <f>VLOOKUP(B3391, 'All Menu'!B:M, 12, 0)</f>
        <v>0.27398262764072678</v>
      </c>
      <c r="R3391" s="173">
        <f t="shared" si="174"/>
        <v>0</v>
      </c>
    </row>
    <row r="3392" spans="1:18" ht="14" hidden="1">
      <c r="A3392" s="78" t="s">
        <v>2935</v>
      </c>
      <c r="B3392" s="220" t="s">
        <v>1268</v>
      </c>
      <c r="C3392" s="185"/>
      <c r="D3392" s="30" t="s">
        <v>2084</v>
      </c>
      <c r="E3392" s="30" t="str">
        <f>VLOOKUP(B3392, 'All Menu'!B:M, 2, 0)</f>
        <v>قسم طلبات مارت</v>
      </c>
      <c r="F3392" s="103" t="str">
        <f>VLOOKUP(B3392, 'All Menu'!B:M, 3, 0)</f>
        <v>طلبات مارت</v>
      </c>
      <c r="G3392" s="90" t="s">
        <v>3058</v>
      </c>
      <c r="H3392" s="219" t="s">
        <v>292</v>
      </c>
      <c r="I3392" s="110" t="str">
        <f>VLOOKUP(H3392, 'RM &amp; SF'!B:H, 2, 0)</f>
        <v>صحن جديد - طلبات مارت</v>
      </c>
      <c r="J3392" s="184" t="str">
        <f>VLOOKUP(H3392, 'RM &amp; SF'!B:E, 4, 0)</f>
        <v>قطعة</v>
      </c>
      <c r="K3392" s="78">
        <v>1</v>
      </c>
      <c r="L3392" s="13">
        <f>VLOOKUP(H3392, 'RM &amp; SF'!B:H, 7, 0)</f>
        <v>0.15</v>
      </c>
      <c r="M3392" s="15">
        <f t="shared" si="175"/>
        <v>0.15</v>
      </c>
      <c r="N3392" s="21" t="s">
        <v>825</v>
      </c>
      <c r="O3392" s="4">
        <f>VLOOKUP(B3392, 'All Menu'!B:L, 6, 0)</f>
        <v>2.6499125080868144</v>
      </c>
      <c r="P3392" s="6">
        <f>VLOOKUP(B3392, 'All Menu'!B:L, 9, 0)</f>
        <v>1.9238825161031603</v>
      </c>
      <c r="Q3392" s="14">
        <f>VLOOKUP(B3392, 'All Menu'!B:M, 12, 0)</f>
        <v>0.27398262764072678</v>
      </c>
      <c r="R3392" s="173">
        <f t="shared" si="174"/>
        <v>0</v>
      </c>
    </row>
    <row r="3393" spans="1:18" ht="14" hidden="1">
      <c r="A3393" s="78" t="s">
        <v>2935</v>
      </c>
      <c r="B3393" s="220" t="s">
        <v>1268</v>
      </c>
      <c r="C3393" s="185"/>
      <c r="D3393" s="30" t="s">
        <v>2084</v>
      </c>
      <c r="E3393" s="30" t="str">
        <f>VLOOKUP(B3393, 'All Menu'!B:M, 2, 0)</f>
        <v>قسم طلبات مارت</v>
      </c>
      <c r="F3393" s="103" t="str">
        <f>VLOOKUP(B3393, 'All Menu'!B:M, 3, 0)</f>
        <v>طلبات مارت</v>
      </c>
      <c r="G3393" s="90" t="s">
        <v>3058</v>
      </c>
      <c r="H3393" s="219">
        <v>5274</v>
      </c>
      <c r="I3393" s="110" t="str">
        <f>VLOOKUP(H3393, 'RM &amp; SF'!B:H, 2, 0)</f>
        <v>نايلون للتغليف رول (رول جيلاتين) 45 سم*4 كغ*****</v>
      </c>
      <c r="J3393" s="184" t="str">
        <f>VLOOKUP(H3393, 'RM &amp; SF'!B:E, 4, 0)</f>
        <v>غم</v>
      </c>
      <c r="K3393" s="78">
        <v>1</v>
      </c>
      <c r="L3393" s="13">
        <f>VLOOKUP(H3393, 'RM &amp; SF'!B:H, 7, 0)</f>
        <v>2.0474249999999999E-3</v>
      </c>
      <c r="M3393" s="15">
        <f t="shared" si="175"/>
        <v>2.0474249999999999E-3</v>
      </c>
      <c r="N3393" s="21" t="s">
        <v>825</v>
      </c>
      <c r="O3393" s="4">
        <f>VLOOKUP(B3393, 'All Menu'!B:L, 6, 0)</f>
        <v>2.6499125080868144</v>
      </c>
      <c r="P3393" s="6">
        <f>VLOOKUP(B3393, 'All Menu'!B:L, 9, 0)</f>
        <v>1.9238825161031603</v>
      </c>
      <c r="Q3393" s="14">
        <f>VLOOKUP(B3393, 'All Menu'!B:M, 12, 0)</f>
        <v>0.27398262764072678</v>
      </c>
      <c r="R3393" s="173">
        <f t="shared" si="174"/>
        <v>0</v>
      </c>
    </row>
    <row r="3394" spans="1:18" ht="14" hidden="1">
      <c r="A3394" s="78" t="s">
        <v>2935</v>
      </c>
      <c r="B3394" s="220" t="s">
        <v>1268</v>
      </c>
      <c r="C3394" s="185"/>
      <c r="D3394" s="30" t="s">
        <v>2084</v>
      </c>
      <c r="E3394" s="30" t="str">
        <f>VLOOKUP(B3394, 'All Menu'!B:M, 2, 0)</f>
        <v>قسم طلبات مارت</v>
      </c>
      <c r="F3394" s="103" t="str">
        <f>VLOOKUP(B3394, 'All Menu'!B:M, 3, 0)</f>
        <v>طلبات مارت</v>
      </c>
      <c r="G3394" s="90" t="s">
        <v>3058</v>
      </c>
      <c r="H3394" s="219">
        <v>5372</v>
      </c>
      <c r="I3394" s="110" t="str">
        <f>VLOOKUP(H3394, 'RM &amp; SF'!B:H, 2, 0)</f>
        <v>ملصق - طلبات مارت</v>
      </c>
      <c r="J3394" s="184" t="str">
        <f>VLOOKUP(H3394, 'RM &amp; SF'!B:E, 4, 0)</f>
        <v>قطعة</v>
      </c>
      <c r="K3394" s="78">
        <v>1</v>
      </c>
      <c r="L3394" s="13">
        <f>VLOOKUP(H3394, 'RM &amp; SF'!B:H, 7, 0)</f>
        <v>1.15E-2</v>
      </c>
      <c r="M3394" s="15">
        <f t="shared" si="175"/>
        <v>1.15E-2</v>
      </c>
      <c r="N3394" s="21" t="s">
        <v>825</v>
      </c>
      <c r="O3394" s="4">
        <f>VLOOKUP(B3394, 'All Menu'!B:L, 6, 0)</f>
        <v>2.6499125080868144</v>
      </c>
      <c r="P3394" s="6">
        <f>VLOOKUP(B3394, 'All Menu'!B:L, 9, 0)</f>
        <v>1.9238825161031603</v>
      </c>
      <c r="Q3394" s="14">
        <f>VLOOKUP(B3394, 'All Menu'!B:M, 12, 0)</f>
        <v>0.27398262764072678</v>
      </c>
      <c r="R3394" s="173">
        <f t="shared" si="174"/>
        <v>0</v>
      </c>
    </row>
    <row r="3395" spans="1:18" ht="14" hidden="1">
      <c r="A3395" s="78" t="s">
        <v>2936</v>
      </c>
      <c r="B3395" s="220" t="s">
        <v>1265</v>
      </c>
      <c r="C3395" s="185"/>
      <c r="D3395" s="30" t="s">
        <v>1720</v>
      </c>
      <c r="E3395" s="30" t="str">
        <f>VLOOKUP(B3395, 'All Menu'!B:M, 2, 0)</f>
        <v>قسم طلبات مارت</v>
      </c>
      <c r="F3395" s="103" t="str">
        <f>VLOOKUP(B3395, 'All Menu'!B:M, 3, 0)</f>
        <v>طلبات مارت</v>
      </c>
      <c r="G3395" s="90" t="s">
        <v>3058</v>
      </c>
      <c r="H3395" s="219">
        <v>5394</v>
      </c>
      <c r="I3395" s="110" t="str">
        <f>VLOOKUP(H3395, 'RM &amp; SF'!B:H, 2, 0)</f>
        <v>فخد خروف - طلبات مارت</v>
      </c>
      <c r="J3395" s="184" t="str">
        <f>VLOOKUP(H3395, 'RM &amp; SF'!B:E, 4, 0)</f>
        <v>غم</v>
      </c>
      <c r="K3395" s="78">
        <v>1000</v>
      </c>
      <c r="L3395" s="13">
        <f>VLOOKUP(H3395, 'RM &amp; SF'!B:H, 7, 0)</f>
        <v>1.1615493158849017E-2</v>
      </c>
      <c r="M3395" s="15">
        <f t="shared" si="175"/>
        <v>11.615493158849016</v>
      </c>
      <c r="N3395" s="21" t="s">
        <v>825</v>
      </c>
      <c r="O3395" s="4">
        <f>VLOOKUP(B3395, 'All Menu'!B:L, 6, 0)</f>
        <v>16.760051334028681</v>
      </c>
      <c r="P3395" s="6">
        <f>VLOOKUP(B3395, 'All Menu'!B:L, 9, 0)</f>
        <v>11.779040583849017</v>
      </c>
      <c r="Q3395" s="14">
        <f>VLOOKUP(B3395, 'All Menu'!B:M, 12, 0)</f>
        <v>0.29719543519932395</v>
      </c>
      <c r="R3395" s="173">
        <f t="shared" si="174"/>
        <v>0</v>
      </c>
    </row>
    <row r="3396" spans="1:18" ht="14" hidden="1">
      <c r="A3396" s="78" t="s">
        <v>2936</v>
      </c>
      <c r="B3396" s="220" t="s">
        <v>1265</v>
      </c>
      <c r="C3396" s="185"/>
      <c r="D3396" s="30" t="s">
        <v>1720</v>
      </c>
      <c r="E3396" s="30" t="str">
        <f>VLOOKUP(B3396, 'All Menu'!B:M, 2, 0)</f>
        <v>قسم طلبات مارت</v>
      </c>
      <c r="F3396" s="103" t="str">
        <f>VLOOKUP(B3396, 'All Menu'!B:M, 3, 0)</f>
        <v>طلبات مارت</v>
      </c>
      <c r="G3396" s="90" t="s">
        <v>3058</v>
      </c>
      <c r="H3396" s="219" t="s">
        <v>292</v>
      </c>
      <c r="I3396" s="110" t="str">
        <f>VLOOKUP(H3396, 'RM &amp; SF'!B:H, 2, 0)</f>
        <v>صحن جديد - طلبات مارت</v>
      </c>
      <c r="J3396" s="184" t="str">
        <f>VLOOKUP(H3396, 'RM &amp; SF'!B:E, 4, 0)</f>
        <v>قطعة</v>
      </c>
      <c r="K3396" s="78">
        <v>1</v>
      </c>
      <c r="L3396" s="13">
        <f>VLOOKUP(H3396, 'RM &amp; SF'!B:H, 7, 0)</f>
        <v>0.15</v>
      </c>
      <c r="M3396" s="15">
        <f t="shared" si="175"/>
        <v>0.15</v>
      </c>
      <c r="N3396" s="21" t="s">
        <v>825</v>
      </c>
      <c r="O3396" s="4">
        <f>VLOOKUP(B3396, 'All Menu'!B:L, 6, 0)</f>
        <v>16.760051334028681</v>
      </c>
      <c r="P3396" s="6">
        <f>VLOOKUP(B3396, 'All Menu'!B:L, 9, 0)</f>
        <v>11.779040583849017</v>
      </c>
      <c r="Q3396" s="14">
        <f>VLOOKUP(B3396, 'All Menu'!B:M, 12, 0)</f>
        <v>0.29719543519932395</v>
      </c>
      <c r="R3396" s="173">
        <f t="shared" si="174"/>
        <v>0</v>
      </c>
    </row>
    <row r="3397" spans="1:18" ht="14" hidden="1">
      <c r="A3397" s="78" t="s">
        <v>2936</v>
      </c>
      <c r="B3397" s="220" t="s">
        <v>1265</v>
      </c>
      <c r="C3397" s="185"/>
      <c r="D3397" s="30" t="s">
        <v>1720</v>
      </c>
      <c r="E3397" s="30" t="str">
        <f>VLOOKUP(B3397, 'All Menu'!B:M, 2, 0)</f>
        <v>قسم طلبات مارت</v>
      </c>
      <c r="F3397" s="103" t="str">
        <f>VLOOKUP(B3397, 'All Menu'!B:M, 3, 0)</f>
        <v>طلبات مارت</v>
      </c>
      <c r="G3397" s="90" t="s">
        <v>3058</v>
      </c>
      <c r="H3397" s="219">
        <v>5274</v>
      </c>
      <c r="I3397" s="110" t="str">
        <f>VLOOKUP(H3397, 'RM &amp; SF'!B:H, 2, 0)</f>
        <v>نايلون للتغليف رول (رول جيلاتين) 45 سم*4 كغ*****</v>
      </c>
      <c r="J3397" s="184" t="str">
        <f>VLOOKUP(H3397, 'RM &amp; SF'!B:E, 4, 0)</f>
        <v>غم</v>
      </c>
      <c r="K3397" s="78">
        <v>1</v>
      </c>
      <c r="L3397" s="13">
        <f>VLOOKUP(H3397, 'RM &amp; SF'!B:H, 7, 0)</f>
        <v>2.0474249999999999E-3</v>
      </c>
      <c r="M3397" s="15">
        <f t="shared" si="175"/>
        <v>2.0474249999999999E-3</v>
      </c>
      <c r="N3397" s="21" t="s">
        <v>825</v>
      </c>
      <c r="O3397" s="4">
        <f>VLOOKUP(B3397, 'All Menu'!B:L, 6, 0)</f>
        <v>16.760051334028681</v>
      </c>
      <c r="P3397" s="6">
        <f>VLOOKUP(B3397, 'All Menu'!B:L, 9, 0)</f>
        <v>11.779040583849017</v>
      </c>
      <c r="Q3397" s="14">
        <f>VLOOKUP(B3397, 'All Menu'!B:M, 12, 0)</f>
        <v>0.29719543519932395</v>
      </c>
      <c r="R3397" s="173">
        <f t="shared" si="174"/>
        <v>0</v>
      </c>
    </row>
    <row r="3398" spans="1:18" ht="14" hidden="1">
      <c r="A3398" s="78" t="s">
        <v>2936</v>
      </c>
      <c r="B3398" s="220" t="s">
        <v>1265</v>
      </c>
      <c r="C3398" s="185"/>
      <c r="D3398" s="30" t="s">
        <v>1720</v>
      </c>
      <c r="E3398" s="30" t="str">
        <f>VLOOKUP(B3398, 'All Menu'!B:M, 2, 0)</f>
        <v>قسم طلبات مارت</v>
      </c>
      <c r="F3398" s="103" t="str">
        <f>VLOOKUP(B3398, 'All Menu'!B:M, 3, 0)</f>
        <v>طلبات مارت</v>
      </c>
      <c r="G3398" s="90" t="s">
        <v>3058</v>
      </c>
      <c r="H3398" s="219">
        <v>5372</v>
      </c>
      <c r="I3398" s="110" t="str">
        <f>VLOOKUP(H3398, 'RM &amp; SF'!B:H, 2, 0)</f>
        <v>ملصق - طلبات مارت</v>
      </c>
      <c r="J3398" s="184" t="str">
        <f>VLOOKUP(H3398, 'RM &amp; SF'!B:E, 4, 0)</f>
        <v>قطعة</v>
      </c>
      <c r="K3398" s="78">
        <v>1</v>
      </c>
      <c r="L3398" s="13">
        <f>VLOOKUP(H3398, 'RM &amp; SF'!B:H, 7, 0)</f>
        <v>1.15E-2</v>
      </c>
      <c r="M3398" s="15">
        <f t="shared" si="175"/>
        <v>1.15E-2</v>
      </c>
      <c r="N3398" s="21" t="s">
        <v>825</v>
      </c>
      <c r="O3398" s="4">
        <f>VLOOKUP(B3398, 'All Menu'!B:L, 6, 0)</f>
        <v>16.760051334028681</v>
      </c>
      <c r="P3398" s="6">
        <f>VLOOKUP(B3398, 'All Menu'!B:L, 9, 0)</f>
        <v>11.779040583849017</v>
      </c>
      <c r="Q3398" s="14">
        <f>VLOOKUP(B3398, 'All Menu'!B:M, 12, 0)</f>
        <v>0.29719543519932395</v>
      </c>
      <c r="R3398" s="173">
        <f t="shared" si="174"/>
        <v>0</v>
      </c>
    </row>
    <row r="3399" spans="1:18" ht="14" hidden="1">
      <c r="A3399" s="78" t="s">
        <v>2998</v>
      </c>
      <c r="B3399" s="220" t="s">
        <v>1267</v>
      </c>
      <c r="C3399" s="185"/>
      <c r="D3399" s="30" t="s">
        <v>2085</v>
      </c>
      <c r="E3399" s="30" t="str">
        <f>VLOOKUP(B3399, 'All Menu'!B:M, 2, 0)</f>
        <v>قسم طلبات مارت</v>
      </c>
      <c r="F3399" s="103" t="str">
        <f>VLOOKUP(B3399, 'All Menu'!B:M, 3, 0)</f>
        <v>طلبات مارت</v>
      </c>
      <c r="G3399" s="90" t="s">
        <v>3058</v>
      </c>
      <c r="H3399" s="219">
        <v>5386</v>
      </c>
      <c r="I3399" s="110" t="str">
        <f>VLOOKUP(H3399, 'RM &amp; SF'!B:H, 2, 0)</f>
        <v>مسحب الطاحونة - طلبات مارت</v>
      </c>
      <c r="J3399" s="184" t="str">
        <f>VLOOKUP(H3399, 'RM &amp; SF'!B:E, 4, 0)</f>
        <v>غم</v>
      </c>
      <c r="K3399" s="78">
        <v>700</v>
      </c>
      <c r="L3399" s="13">
        <f>VLOOKUP(H3399, 'RM &amp; SF'!B:H, 7, 0)</f>
        <v>4.2000000000000006E-3</v>
      </c>
      <c r="M3399" s="15">
        <f t="shared" si="175"/>
        <v>2.9400000000000004</v>
      </c>
      <c r="N3399" s="21" t="s">
        <v>825</v>
      </c>
      <c r="O3399" s="4">
        <f>VLOOKUP(B3399, 'All Menu'!B:L, 6, 0)</f>
        <v>4.2180632333333339</v>
      </c>
      <c r="P3399" s="6">
        <f>VLOOKUP(B3399, 'All Menu'!B:L, 9, 0)</f>
        <v>3.1035474250000004</v>
      </c>
      <c r="Q3399" s="14">
        <f>VLOOKUP(B3399, 'All Menu'!B:M, 12, 0)</f>
        <v>0.26422453782244154</v>
      </c>
      <c r="R3399" s="173">
        <f t="shared" si="174"/>
        <v>0</v>
      </c>
    </row>
    <row r="3400" spans="1:18" ht="14" hidden="1">
      <c r="A3400" s="78" t="s">
        <v>2998</v>
      </c>
      <c r="B3400" s="220" t="s">
        <v>1267</v>
      </c>
      <c r="C3400" s="185"/>
      <c r="D3400" s="30" t="s">
        <v>2085</v>
      </c>
      <c r="E3400" s="30" t="str">
        <f>VLOOKUP(B3400, 'All Menu'!B:M, 2, 0)</f>
        <v>قسم طلبات مارت</v>
      </c>
      <c r="F3400" s="103" t="str">
        <f>VLOOKUP(B3400, 'All Menu'!B:M, 3, 0)</f>
        <v>طلبات مارت</v>
      </c>
      <c r="G3400" s="90" t="s">
        <v>3058</v>
      </c>
      <c r="H3400" s="219" t="s">
        <v>292</v>
      </c>
      <c r="I3400" s="110" t="str">
        <f>VLOOKUP(H3400, 'RM &amp; SF'!B:H, 2, 0)</f>
        <v>صحن جديد - طلبات مارت</v>
      </c>
      <c r="J3400" s="184" t="str">
        <f>VLOOKUP(H3400, 'RM &amp; SF'!B:E, 4, 0)</f>
        <v>قطعة</v>
      </c>
      <c r="K3400" s="78">
        <v>1</v>
      </c>
      <c r="L3400" s="13">
        <f>VLOOKUP(H3400, 'RM &amp; SF'!B:H, 7, 0)</f>
        <v>0.15</v>
      </c>
      <c r="M3400" s="15">
        <f t="shared" si="175"/>
        <v>0.15</v>
      </c>
      <c r="N3400" s="21" t="s">
        <v>825</v>
      </c>
      <c r="O3400" s="4">
        <f>VLOOKUP(B3400, 'All Menu'!B:L, 6, 0)</f>
        <v>4.2180632333333339</v>
      </c>
      <c r="P3400" s="6">
        <f>VLOOKUP(B3400, 'All Menu'!B:L, 9, 0)</f>
        <v>3.1035474250000004</v>
      </c>
      <c r="Q3400" s="14">
        <f>VLOOKUP(B3400, 'All Menu'!B:M, 12, 0)</f>
        <v>0.26422453782244154</v>
      </c>
      <c r="R3400" s="173">
        <f t="shared" si="174"/>
        <v>0</v>
      </c>
    </row>
    <row r="3401" spans="1:18" ht="14" hidden="1">
      <c r="A3401" s="78" t="s">
        <v>2998</v>
      </c>
      <c r="B3401" s="220" t="s">
        <v>1267</v>
      </c>
      <c r="C3401" s="185"/>
      <c r="D3401" s="30" t="s">
        <v>2085</v>
      </c>
      <c r="E3401" s="30" t="str">
        <f>VLOOKUP(B3401, 'All Menu'!B:M, 2, 0)</f>
        <v>قسم طلبات مارت</v>
      </c>
      <c r="F3401" s="103" t="str">
        <f>VLOOKUP(B3401, 'All Menu'!B:M, 3, 0)</f>
        <v>طلبات مارت</v>
      </c>
      <c r="G3401" s="90" t="s">
        <v>3058</v>
      </c>
      <c r="H3401" s="219">
        <v>5274</v>
      </c>
      <c r="I3401" s="110" t="str">
        <f>VLOOKUP(H3401, 'RM &amp; SF'!B:H, 2, 0)</f>
        <v>نايلون للتغليف رول (رول جيلاتين) 45 سم*4 كغ*****</v>
      </c>
      <c r="J3401" s="184" t="str">
        <f>VLOOKUP(H3401, 'RM &amp; SF'!B:E, 4, 0)</f>
        <v>غم</v>
      </c>
      <c r="K3401" s="78">
        <v>1</v>
      </c>
      <c r="L3401" s="13">
        <f>VLOOKUP(H3401, 'RM &amp; SF'!B:H, 7, 0)</f>
        <v>2.0474249999999999E-3</v>
      </c>
      <c r="M3401" s="15">
        <f t="shared" si="175"/>
        <v>2.0474249999999999E-3</v>
      </c>
      <c r="N3401" s="21" t="s">
        <v>825</v>
      </c>
      <c r="O3401" s="4">
        <f>VLOOKUP(B3401, 'All Menu'!B:L, 6, 0)</f>
        <v>4.2180632333333339</v>
      </c>
      <c r="P3401" s="6">
        <f>VLOOKUP(B3401, 'All Menu'!B:L, 9, 0)</f>
        <v>3.1035474250000004</v>
      </c>
      <c r="Q3401" s="14">
        <f>VLOOKUP(B3401, 'All Menu'!B:M, 12, 0)</f>
        <v>0.26422453782244154</v>
      </c>
      <c r="R3401" s="173">
        <f t="shared" si="174"/>
        <v>0</v>
      </c>
    </row>
    <row r="3402" spans="1:18" ht="14" hidden="1">
      <c r="A3402" s="78" t="s">
        <v>2998</v>
      </c>
      <c r="B3402" s="220" t="s">
        <v>1267</v>
      </c>
      <c r="C3402" s="185"/>
      <c r="D3402" s="30" t="s">
        <v>2085</v>
      </c>
      <c r="E3402" s="30" t="str">
        <f>VLOOKUP(B3402, 'All Menu'!B:M, 2, 0)</f>
        <v>قسم طلبات مارت</v>
      </c>
      <c r="F3402" s="103" t="str">
        <f>VLOOKUP(B3402, 'All Menu'!B:M, 3, 0)</f>
        <v>طلبات مارت</v>
      </c>
      <c r="G3402" s="90" t="s">
        <v>3058</v>
      </c>
      <c r="H3402" s="219">
        <v>5372</v>
      </c>
      <c r="I3402" s="110" t="str">
        <f>VLOOKUP(H3402, 'RM &amp; SF'!B:H, 2, 0)</f>
        <v>ملصق - طلبات مارت</v>
      </c>
      <c r="J3402" s="184" t="str">
        <f>VLOOKUP(H3402, 'RM &amp; SF'!B:E, 4, 0)</f>
        <v>قطعة</v>
      </c>
      <c r="K3402" s="78">
        <v>1</v>
      </c>
      <c r="L3402" s="13">
        <f>VLOOKUP(H3402, 'RM &amp; SF'!B:H, 7, 0)</f>
        <v>1.15E-2</v>
      </c>
      <c r="M3402" s="15">
        <f t="shared" si="175"/>
        <v>1.15E-2</v>
      </c>
      <c r="N3402" s="21" t="s">
        <v>825</v>
      </c>
      <c r="O3402" s="4">
        <f>VLOOKUP(B3402, 'All Menu'!B:L, 6, 0)</f>
        <v>4.2180632333333339</v>
      </c>
      <c r="P3402" s="6">
        <f>VLOOKUP(B3402, 'All Menu'!B:L, 9, 0)</f>
        <v>3.1035474250000004</v>
      </c>
      <c r="Q3402" s="14">
        <f>VLOOKUP(B3402, 'All Menu'!B:M, 12, 0)</f>
        <v>0.26422453782244154</v>
      </c>
      <c r="R3402" s="173">
        <f t="shared" si="174"/>
        <v>0</v>
      </c>
    </row>
    <row r="3403" spans="1:18" ht="14" hidden="1">
      <c r="A3403" s="78" t="s">
        <v>2937</v>
      </c>
      <c r="B3403" s="220" t="s">
        <v>1266</v>
      </c>
      <c r="C3403" s="185"/>
      <c r="D3403" s="30" t="s">
        <v>2086</v>
      </c>
      <c r="E3403" s="30" t="str">
        <f>VLOOKUP(B3403, 'All Menu'!B:M, 2, 0)</f>
        <v>قسم طلبات مارت</v>
      </c>
      <c r="F3403" s="103" t="str">
        <f>VLOOKUP(B3403, 'All Menu'!B:M, 3, 0)</f>
        <v>طلبات مارت</v>
      </c>
      <c r="G3403" s="90" t="s">
        <v>3058</v>
      </c>
      <c r="H3403" s="219">
        <v>5386</v>
      </c>
      <c r="I3403" s="110" t="str">
        <f>VLOOKUP(H3403, 'RM &amp; SF'!B:H, 2, 0)</f>
        <v>مسحب الطاحونة - طلبات مارت</v>
      </c>
      <c r="J3403" s="184" t="str">
        <f>VLOOKUP(H3403, 'RM &amp; SF'!B:E, 4, 0)</f>
        <v>غم</v>
      </c>
      <c r="K3403" s="78">
        <v>250</v>
      </c>
      <c r="L3403" s="13">
        <f>VLOOKUP(H3403, 'RM &amp; SF'!B:H, 7, 0)</f>
        <v>4.2000000000000006E-3</v>
      </c>
      <c r="M3403" s="15">
        <f t="shared" si="175"/>
        <v>1.05</v>
      </c>
      <c r="N3403" s="21" t="s">
        <v>825</v>
      </c>
      <c r="O3403" s="4">
        <f>VLOOKUP(B3403, 'All Menu'!B:L, 6, 0)</f>
        <v>1.6980632333333334</v>
      </c>
      <c r="P3403" s="6">
        <f>VLOOKUP(B3403, 'All Menu'!B:L, 9, 0)</f>
        <v>1.213547425</v>
      </c>
      <c r="Q3403" s="14">
        <f>VLOOKUP(B3403, 'All Menu'!B:M, 12, 0)</f>
        <v>0.28533437319776295</v>
      </c>
      <c r="R3403" s="173">
        <f t="shared" si="174"/>
        <v>0</v>
      </c>
    </row>
    <row r="3404" spans="1:18" ht="14" hidden="1">
      <c r="A3404" s="78" t="s">
        <v>2937</v>
      </c>
      <c r="B3404" s="220" t="s">
        <v>1266</v>
      </c>
      <c r="C3404" s="185"/>
      <c r="D3404" s="30" t="s">
        <v>2086</v>
      </c>
      <c r="E3404" s="30" t="str">
        <f>VLOOKUP(B3404, 'All Menu'!B:M, 2, 0)</f>
        <v>قسم طلبات مارت</v>
      </c>
      <c r="F3404" s="103" t="str">
        <f>VLOOKUP(B3404, 'All Menu'!B:M, 3, 0)</f>
        <v>طلبات مارت</v>
      </c>
      <c r="G3404" s="90" t="s">
        <v>3058</v>
      </c>
      <c r="H3404" s="219" t="s">
        <v>292</v>
      </c>
      <c r="I3404" s="110" t="str">
        <f>VLOOKUP(H3404, 'RM &amp; SF'!B:H, 2, 0)</f>
        <v>صحن جديد - طلبات مارت</v>
      </c>
      <c r="J3404" s="184" t="str">
        <f>VLOOKUP(H3404, 'RM &amp; SF'!B:E, 4, 0)</f>
        <v>قطعة</v>
      </c>
      <c r="K3404" s="78">
        <v>1</v>
      </c>
      <c r="L3404" s="13">
        <f>VLOOKUP(H3404, 'RM &amp; SF'!B:H, 7, 0)</f>
        <v>0.15</v>
      </c>
      <c r="M3404" s="15">
        <f t="shared" si="175"/>
        <v>0.15</v>
      </c>
      <c r="N3404" s="21" t="s">
        <v>825</v>
      </c>
      <c r="O3404" s="4">
        <f>VLOOKUP(B3404, 'All Menu'!B:L, 6, 0)</f>
        <v>1.6980632333333334</v>
      </c>
      <c r="P3404" s="6">
        <f>VLOOKUP(B3404, 'All Menu'!B:L, 9, 0)</f>
        <v>1.213547425</v>
      </c>
      <c r="Q3404" s="14">
        <f>VLOOKUP(B3404, 'All Menu'!B:M, 12, 0)</f>
        <v>0.28533437319776295</v>
      </c>
      <c r="R3404" s="173">
        <f t="shared" ref="R3404:R3465" si="177">C3404*K3404</f>
        <v>0</v>
      </c>
    </row>
    <row r="3405" spans="1:18" ht="14" hidden="1">
      <c r="A3405" s="78" t="s">
        <v>2937</v>
      </c>
      <c r="B3405" s="220" t="s">
        <v>1266</v>
      </c>
      <c r="C3405" s="185"/>
      <c r="D3405" s="30" t="s">
        <v>2086</v>
      </c>
      <c r="E3405" s="30" t="str">
        <f>VLOOKUP(B3405, 'All Menu'!B:M, 2, 0)</f>
        <v>قسم طلبات مارت</v>
      </c>
      <c r="F3405" s="103" t="str">
        <f>VLOOKUP(B3405, 'All Menu'!B:M, 3, 0)</f>
        <v>طلبات مارت</v>
      </c>
      <c r="G3405" s="90" t="s">
        <v>3058</v>
      </c>
      <c r="H3405" s="219">
        <v>5274</v>
      </c>
      <c r="I3405" s="110" t="str">
        <f>VLOOKUP(H3405, 'RM &amp; SF'!B:H, 2, 0)</f>
        <v>نايلون للتغليف رول (رول جيلاتين) 45 سم*4 كغ*****</v>
      </c>
      <c r="J3405" s="184" t="str">
        <f>VLOOKUP(H3405, 'RM &amp; SF'!B:E, 4, 0)</f>
        <v>غم</v>
      </c>
      <c r="K3405" s="78">
        <v>1</v>
      </c>
      <c r="L3405" s="13">
        <f>VLOOKUP(H3405, 'RM &amp; SF'!B:H, 7, 0)</f>
        <v>2.0474249999999999E-3</v>
      </c>
      <c r="M3405" s="15">
        <f t="shared" si="175"/>
        <v>2.0474249999999999E-3</v>
      </c>
      <c r="N3405" s="21" t="s">
        <v>825</v>
      </c>
      <c r="O3405" s="4">
        <f>VLOOKUP(B3405, 'All Menu'!B:L, 6, 0)</f>
        <v>1.6980632333333334</v>
      </c>
      <c r="P3405" s="6">
        <f>VLOOKUP(B3405, 'All Menu'!B:L, 9, 0)</f>
        <v>1.213547425</v>
      </c>
      <c r="Q3405" s="14">
        <f>VLOOKUP(B3405, 'All Menu'!B:M, 12, 0)</f>
        <v>0.28533437319776295</v>
      </c>
      <c r="R3405" s="173">
        <f t="shared" si="177"/>
        <v>0</v>
      </c>
    </row>
    <row r="3406" spans="1:18" ht="14" hidden="1">
      <c r="A3406" s="78" t="s">
        <v>2937</v>
      </c>
      <c r="B3406" s="220" t="s">
        <v>1266</v>
      </c>
      <c r="C3406" s="185"/>
      <c r="D3406" s="30" t="s">
        <v>2086</v>
      </c>
      <c r="E3406" s="30" t="str">
        <f>VLOOKUP(B3406, 'All Menu'!B:M, 2, 0)</f>
        <v>قسم طلبات مارت</v>
      </c>
      <c r="F3406" s="103" t="str">
        <f>VLOOKUP(B3406, 'All Menu'!B:M, 3, 0)</f>
        <v>طلبات مارت</v>
      </c>
      <c r="G3406" s="90" t="s">
        <v>3058</v>
      </c>
      <c r="H3406" s="219">
        <v>5372</v>
      </c>
      <c r="I3406" s="110" t="str">
        <f>VLOOKUP(H3406, 'RM &amp; SF'!B:H, 2, 0)</f>
        <v>ملصق - طلبات مارت</v>
      </c>
      <c r="J3406" s="184" t="str">
        <f>VLOOKUP(H3406, 'RM &amp; SF'!B:E, 4, 0)</f>
        <v>قطعة</v>
      </c>
      <c r="K3406" s="78">
        <v>1</v>
      </c>
      <c r="L3406" s="13">
        <f>VLOOKUP(H3406, 'RM &amp; SF'!B:H, 7, 0)</f>
        <v>1.15E-2</v>
      </c>
      <c r="M3406" s="15">
        <f t="shared" si="175"/>
        <v>1.15E-2</v>
      </c>
      <c r="N3406" s="21" t="s">
        <v>825</v>
      </c>
      <c r="O3406" s="4">
        <f>VLOOKUP(B3406, 'All Menu'!B:L, 6, 0)</f>
        <v>1.6980632333333334</v>
      </c>
      <c r="P3406" s="6">
        <f>VLOOKUP(B3406, 'All Menu'!B:L, 9, 0)</f>
        <v>1.213547425</v>
      </c>
      <c r="Q3406" s="14">
        <f>VLOOKUP(B3406, 'All Menu'!B:M, 12, 0)</f>
        <v>0.28533437319776295</v>
      </c>
      <c r="R3406" s="173">
        <f t="shared" si="177"/>
        <v>0</v>
      </c>
    </row>
    <row r="3407" spans="1:18" ht="14" hidden="1">
      <c r="A3407" s="78" t="s">
        <v>2918</v>
      </c>
      <c r="B3407" s="220">
        <v>1223965891930</v>
      </c>
      <c r="C3407" s="185"/>
      <c r="D3407" s="30" t="s">
        <v>2087</v>
      </c>
      <c r="E3407" s="30" t="str">
        <f>VLOOKUP(B3407, 'All Menu'!B:M, 2, 0)</f>
        <v>قسم طلبات مارت</v>
      </c>
      <c r="F3407" s="103" t="str">
        <f>VLOOKUP(B3407, 'All Menu'!B:M, 3, 0)</f>
        <v>طلبات مارت</v>
      </c>
      <c r="G3407" s="90" t="s">
        <v>3058</v>
      </c>
      <c r="H3407" s="219">
        <v>5373</v>
      </c>
      <c r="I3407" s="110" t="str">
        <f>VLOOKUP(H3407, 'RM &amp; SF'!B:H, 2, 0)</f>
        <v>قطعيات عجل مشكلة</v>
      </c>
      <c r="J3407" s="184" t="str">
        <f>VLOOKUP(H3407, 'RM &amp; SF'!B:E, 4, 0)</f>
        <v>غم</v>
      </c>
      <c r="K3407" s="78">
        <v>575</v>
      </c>
      <c r="L3407" s="13">
        <f>VLOOKUP(H3407, 'RM &amp; SF'!B:H, 7, 0)</f>
        <v>9.0100000000000006E-3</v>
      </c>
      <c r="M3407" s="15">
        <f t="shared" si="175"/>
        <v>5.1807500000000006</v>
      </c>
      <c r="N3407" s="21" t="s">
        <v>825</v>
      </c>
      <c r="O3407" s="4">
        <f>VLOOKUP(B3407, 'All Menu'!B:L, 6, 0)</f>
        <v>12.696725342785053</v>
      </c>
      <c r="P3407" s="6">
        <f>VLOOKUP(B3407, 'All Menu'!B:L, 9, 0)</f>
        <v>9.9118654356602196</v>
      </c>
      <c r="Q3407" s="14">
        <f>VLOOKUP(B3407, 'All Menu'!B:M, 12, 0)</f>
        <v>0.21933686300517927</v>
      </c>
      <c r="R3407" s="173">
        <f t="shared" si="177"/>
        <v>0</v>
      </c>
    </row>
    <row r="3408" spans="1:18" ht="14" hidden="1">
      <c r="A3408" s="78" t="s">
        <v>2918</v>
      </c>
      <c r="B3408" s="220">
        <v>1223965891930</v>
      </c>
      <c r="C3408" s="185"/>
      <c r="D3408" s="30" t="s">
        <v>2087</v>
      </c>
      <c r="E3408" s="30" t="str">
        <f>VLOOKUP(B3408, 'All Menu'!B:M, 2, 0)</f>
        <v>قسم طلبات مارت</v>
      </c>
      <c r="F3408" s="103" t="str">
        <f>VLOOKUP(B3408, 'All Menu'!B:M, 3, 0)</f>
        <v>طلبات مارت</v>
      </c>
      <c r="G3408" s="90" t="s">
        <v>3058</v>
      </c>
      <c r="H3408" s="219">
        <v>4598</v>
      </c>
      <c r="I3408" s="110" t="str">
        <f>VLOOKUP(H3408, 'RM &amp; SF'!B:H, 2, 0)</f>
        <v>لية خروف نية*****</v>
      </c>
      <c r="J3408" s="184" t="str">
        <f>VLOOKUP(H3408, 'RM &amp; SF'!B:E, 4, 0)</f>
        <v>غم</v>
      </c>
      <c r="K3408" s="78">
        <v>175</v>
      </c>
      <c r="L3408" s="13">
        <f>VLOOKUP(H3408, 'RM &amp; SF'!B:H, 7, 0)</f>
        <v>5.0000000000000001E-3</v>
      </c>
      <c r="M3408" s="15">
        <f t="shared" si="175"/>
        <v>0.875</v>
      </c>
      <c r="N3408" s="21" t="s">
        <v>825</v>
      </c>
      <c r="O3408" s="4">
        <f>VLOOKUP(B3408, 'All Menu'!B:L, 6, 0)</f>
        <v>12.696725342785053</v>
      </c>
      <c r="P3408" s="6">
        <f>VLOOKUP(B3408, 'All Menu'!B:L, 9, 0)</f>
        <v>9.9118654356602196</v>
      </c>
      <c r="Q3408" s="14">
        <f>VLOOKUP(B3408, 'All Menu'!B:M, 12, 0)</f>
        <v>0.21933686300517927</v>
      </c>
      <c r="R3408" s="173">
        <f t="shared" si="177"/>
        <v>0</v>
      </c>
    </row>
    <row r="3409" spans="1:18" ht="14" hidden="1">
      <c r="A3409" s="78" t="s">
        <v>2918</v>
      </c>
      <c r="B3409" s="220">
        <v>1223965891930</v>
      </c>
      <c r="C3409" s="185"/>
      <c r="D3409" s="30" t="s">
        <v>2087</v>
      </c>
      <c r="E3409" s="30" t="str">
        <f>VLOOKUP(B3409, 'All Menu'!B:M, 2, 0)</f>
        <v>قسم طلبات مارت</v>
      </c>
      <c r="F3409" s="103" t="str">
        <f>VLOOKUP(B3409, 'All Menu'!B:M, 3, 0)</f>
        <v>طلبات مارت</v>
      </c>
      <c r="G3409" s="90" t="s">
        <v>2206</v>
      </c>
      <c r="H3409" s="219">
        <v>4204</v>
      </c>
      <c r="I3409" s="110" t="str">
        <f>VLOOKUP(H3409, 'RM &amp; SF'!B:H, 2, 0)</f>
        <v>فلفل اسود ناعم*****</v>
      </c>
      <c r="J3409" s="184" t="str">
        <f>VLOOKUP(H3409, 'RM &amp; SF'!B:E, 4, 0)</f>
        <v>غم</v>
      </c>
      <c r="K3409" s="78">
        <v>5</v>
      </c>
      <c r="L3409" s="13">
        <f>VLOOKUP(H3409, 'RM &amp; SF'!B:H, 7, 0)</f>
        <v>6.8970000000000004E-3</v>
      </c>
      <c r="M3409" s="15">
        <f t="shared" si="175"/>
        <v>3.4485000000000002E-2</v>
      </c>
      <c r="N3409" s="21" t="s">
        <v>825</v>
      </c>
      <c r="O3409" s="4">
        <f>VLOOKUP(B3409, 'All Menu'!B:L, 6, 0)</f>
        <v>12.696725342785053</v>
      </c>
      <c r="P3409" s="6">
        <f>VLOOKUP(B3409, 'All Menu'!B:L, 9, 0)</f>
        <v>9.9118654356602196</v>
      </c>
      <c r="Q3409" s="14">
        <f>VLOOKUP(B3409, 'All Menu'!B:M, 12, 0)</f>
        <v>0.21933686300517927</v>
      </c>
      <c r="R3409" s="173">
        <f t="shared" si="177"/>
        <v>0</v>
      </c>
    </row>
    <row r="3410" spans="1:18" ht="14" hidden="1">
      <c r="A3410" s="78" t="s">
        <v>2918</v>
      </c>
      <c r="B3410" s="220">
        <v>1223965891930</v>
      </c>
      <c r="C3410" s="185"/>
      <c r="D3410" s="30" t="s">
        <v>2087</v>
      </c>
      <c r="E3410" s="30" t="str">
        <f>VLOOKUP(B3410, 'All Menu'!B:M, 2, 0)</f>
        <v>قسم طلبات مارت</v>
      </c>
      <c r="F3410" s="103" t="str">
        <f>VLOOKUP(B3410, 'All Menu'!B:M, 3, 0)</f>
        <v>طلبات مارت</v>
      </c>
      <c r="G3410" s="90" t="s">
        <v>2212</v>
      </c>
      <c r="H3410" s="219">
        <v>4215</v>
      </c>
      <c r="I3410" s="110" t="str">
        <f>VLOOKUP(H3410, 'RM &amp; SF'!B:H, 2, 0)</f>
        <v>ملح صيني*****</v>
      </c>
      <c r="J3410" s="184" t="str">
        <f>VLOOKUP(H3410, 'RM &amp; SF'!B:E, 4, 0)</f>
        <v>غم</v>
      </c>
      <c r="K3410" s="78">
        <v>13</v>
      </c>
      <c r="L3410" s="13">
        <f>VLOOKUP(H3410, 'RM &amp; SF'!B:H, 7, 0)</f>
        <v>1.7240000000000001E-3</v>
      </c>
      <c r="M3410" s="15">
        <f t="shared" si="175"/>
        <v>2.2412000000000001E-2</v>
      </c>
      <c r="N3410" s="21" t="s">
        <v>825</v>
      </c>
      <c r="O3410" s="4">
        <f>VLOOKUP(B3410, 'All Menu'!B:L, 6, 0)</f>
        <v>12.696725342785053</v>
      </c>
      <c r="P3410" s="6">
        <f>VLOOKUP(B3410, 'All Menu'!B:L, 9, 0)</f>
        <v>9.9118654356602196</v>
      </c>
      <c r="Q3410" s="14">
        <f>VLOOKUP(B3410, 'All Menu'!B:M, 12, 0)</f>
        <v>0.21933686300517927</v>
      </c>
      <c r="R3410" s="173">
        <f t="shared" si="177"/>
        <v>0</v>
      </c>
    </row>
    <row r="3411" spans="1:18" ht="14" hidden="1">
      <c r="A3411" s="78" t="s">
        <v>2918</v>
      </c>
      <c r="B3411" s="220">
        <v>1223965891930</v>
      </c>
      <c r="C3411" s="185"/>
      <c r="D3411" s="30" t="s">
        <v>2087</v>
      </c>
      <c r="E3411" s="30" t="str">
        <f>VLOOKUP(B3411, 'All Menu'!B:M, 2, 0)</f>
        <v>قسم طلبات مارت</v>
      </c>
      <c r="F3411" s="103" t="str">
        <f>VLOOKUP(B3411, 'All Menu'!B:M, 3, 0)</f>
        <v>طلبات مارت</v>
      </c>
      <c r="G3411" s="90" t="s">
        <v>2234</v>
      </c>
      <c r="H3411" s="219">
        <v>4503</v>
      </c>
      <c r="I3411" s="110" t="str">
        <f>VLOOKUP(H3411, 'RM &amp; SF'!B:H, 2, 0)</f>
        <v>بصل ناشف دفش*****</v>
      </c>
      <c r="J3411" s="184" t="str">
        <f>VLOOKUP(H3411, 'RM &amp; SF'!B:E, 4, 0)</f>
        <v>غم</v>
      </c>
      <c r="K3411" s="78">
        <v>150</v>
      </c>
      <c r="L3411" s="13">
        <f>VLOOKUP(H3411, 'RM &amp; SF'!B:H, 7, 0)</f>
        <v>2.5000000000000001E-4</v>
      </c>
      <c r="M3411" s="15">
        <f t="shared" si="175"/>
        <v>3.7499999999999999E-2</v>
      </c>
      <c r="N3411" s="21" t="s">
        <v>825</v>
      </c>
      <c r="O3411" s="4">
        <f>VLOOKUP(B3411, 'All Menu'!B:L, 6, 0)</f>
        <v>12.696725342785053</v>
      </c>
      <c r="P3411" s="6">
        <f>VLOOKUP(B3411, 'All Menu'!B:L, 9, 0)</f>
        <v>9.9118654356602196</v>
      </c>
      <c r="Q3411" s="14">
        <f>VLOOKUP(B3411, 'All Menu'!B:M, 12, 0)</f>
        <v>0.21933686300517927</v>
      </c>
      <c r="R3411" s="173">
        <f t="shared" si="177"/>
        <v>0</v>
      </c>
    </row>
    <row r="3412" spans="1:18" ht="14" hidden="1">
      <c r="A3412" s="78" t="s">
        <v>2918</v>
      </c>
      <c r="B3412" s="220">
        <v>1223965891930</v>
      </c>
      <c r="C3412" s="185"/>
      <c r="D3412" s="30" t="s">
        <v>2087</v>
      </c>
      <c r="E3412" s="30" t="str">
        <f>VLOOKUP(B3412, 'All Menu'!B:M, 2, 0)</f>
        <v>قسم طلبات مارت</v>
      </c>
      <c r="F3412" s="103" t="str">
        <f>VLOOKUP(B3412, 'All Menu'!B:M, 3, 0)</f>
        <v>طلبات مارت</v>
      </c>
      <c r="G3412" s="90" t="s">
        <v>2309</v>
      </c>
      <c r="H3412" s="219">
        <v>4491</v>
      </c>
      <c r="I3412" s="110" t="str">
        <f>VLOOKUP(H3412, 'RM &amp; SF'!B:H, 2, 0)</f>
        <v>بندورة جامدة*****</v>
      </c>
      <c r="J3412" s="184" t="str">
        <f>VLOOKUP(H3412, 'RM &amp; SF'!B:E, 4, 0)</f>
        <v>غم</v>
      </c>
      <c r="K3412" s="78">
        <v>200</v>
      </c>
      <c r="L3412" s="13">
        <f>VLOOKUP(H3412, 'RM &amp; SF'!B:H, 7, 0)</f>
        <v>5.0000000000000001E-4</v>
      </c>
      <c r="M3412" s="15">
        <f t="shared" si="175"/>
        <v>0.1</v>
      </c>
      <c r="N3412" s="21" t="s">
        <v>825</v>
      </c>
      <c r="O3412" s="4">
        <f>VLOOKUP(B3412, 'All Menu'!B:L, 6, 0)</f>
        <v>12.696725342785053</v>
      </c>
      <c r="P3412" s="6">
        <f>VLOOKUP(B3412, 'All Menu'!B:L, 9, 0)</f>
        <v>9.9118654356602196</v>
      </c>
      <c r="Q3412" s="14">
        <f>VLOOKUP(B3412, 'All Menu'!B:M, 12, 0)</f>
        <v>0.21933686300517927</v>
      </c>
      <c r="R3412" s="173">
        <f t="shared" si="177"/>
        <v>0</v>
      </c>
    </row>
    <row r="3413" spans="1:18" ht="14" hidden="1">
      <c r="A3413" s="78" t="s">
        <v>2918</v>
      </c>
      <c r="B3413" s="220">
        <v>1223965891930</v>
      </c>
      <c r="C3413" s="185"/>
      <c r="D3413" s="30" t="s">
        <v>2087</v>
      </c>
      <c r="E3413" s="30" t="str">
        <f>VLOOKUP(B3413, 'All Menu'!B:M, 2, 0)</f>
        <v>قسم طلبات مارت</v>
      </c>
      <c r="F3413" s="103" t="str">
        <f>VLOOKUP(B3413, 'All Menu'!B:M, 3, 0)</f>
        <v>طلبات مارت</v>
      </c>
      <c r="G3413" s="90" t="s">
        <v>2175</v>
      </c>
      <c r="H3413" s="219">
        <v>4562</v>
      </c>
      <c r="I3413" s="110" t="str">
        <f>VLOOKUP(H3413, 'RM &amp; SF'!B:H, 2, 0)</f>
        <v>*****جبنة شدر احمر شرائح 2.270 كغ</v>
      </c>
      <c r="J3413" s="184" t="str">
        <f>VLOOKUP(H3413, 'RM &amp; SF'!B:E, 4, 0)</f>
        <v>قطعة</v>
      </c>
      <c r="K3413" s="78">
        <v>5</v>
      </c>
      <c r="L3413" s="13">
        <f>VLOOKUP(H3413, 'RM &amp; SF'!B:H, 7, 0)</f>
        <v>0.18560000000000001</v>
      </c>
      <c r="M3413" s="15">
        <f t="shared" si="175"/>
        <v>0.92800000000000005</v>
      </c>
      <c r="N3413" s="21" t="s">
        <v>825</v>
      </c>
      <c r="O3413" s="4">
        <f>VLOOKUP(B3413, 'All Menu'!B:L, 6, 0)</f>
        <v>12.696725342785053</v>
      </c>
      <c r="P3413" s="6">
        <f>VLOOKUP(B3413, 'All Menu'!B:L, 9, 0)</f>
        <v>9.9118654356602196</v>
      </c>
      <c r="Q3413" s="14">
        <f>VLOOKUP(B3413, 'All Menu'!B:M, 12, 0)</f>
        <v>0.21933686300517927</v>
      </c>
      <c r="R3413" s="173">
        <f t="shared" si="177"/>
        <v>0</v>
      </c>
    </row>
    <row r="3414" spans="1:18" ht="14" hidden="1">
      <c r="A3414" s="78" t="s">
        <v>2918</v>
      </c>
      <c r="B3414" s="220">
        <v>1223965891930</v>
      </c>
      <c r="C3414" s="185"/>
      <c r="D3414" s="30" t="s">
        <v>2087</v>
      </c>
      <c r="E3414" s="30" t="str">
        <f>VLOOKUP(B3414, 'All Menu'!B:M, 2, 0)</f>
        <v>قسم طلبات مارت</v>
      </c>
      <c r="F3414" s="103" t="str">
        <f>VLOOKUP(B3414, 'All Menu'!B:M, 3, 0)</f>
        <v>طلبات مارت</v>
      </c>
      <c r="G3414" s="90" t="s">
        <v>2318</v>
      </c>
      <c r="H3414" s="219">
        <v>4255</v>
      </c>
      <c r="I3414" s="110" t="str">
        <f>VLOOKUP(H3414, 'RM &amp; SF'!B:H, 2, 0)</f>
        <v>هلابينيو ناشف*****</v>
      </c>
      <c r="J3414" s="184" t="str">
        <f>VLOOKUP(H3414, 'RM &amp; SF'!B:E, 4, 0)</f>
        <v>غم</v>
      </c>
      <c r="K3414" s="78">
        <v>150</v>
      </c>
      <c r="L3414" s="13">
        <f>VLOOKUP(H3414, 'RM &amp; SF'!B:H, 7, 0)</f>
        <v>2E-3</v>
      </c>
      <c r="M3414" s="15">
        <f t="shared" si="175"/>
        <v>0.3</v>
      </c>
      <c r="N3414" s="21" t="s">
        <v>825</v>
      </c>
      <c r="O3414" s="4">
        <f>VLOOKUP(B3414, 'All Menu'!B:L, 6, 0)</f>
        <v>12.696725342785053</v>
      </c>
      <c r="P3414" s="6">
        <f>VLOOKUP(B3414, 'All Menu'!B:L, 9, 0)</f>
        <v>9.9118654356602196</v>
      </c>
      <c r="Q3414" s="14">
        <f>VLOOKUP(B3414, 'All Menu'!B:M, 12, 0)</f>
        <v>0.21933686300517927</v>
      </c>
      <c r="R3414" s="173">
        <f t="shared" si="177"/>
        <v>0</v>
      </c>
    </row>
    <row r="3415" spans="1:18" ht="14" hidden="1">
      <c r="A3415" s="78" t="s">
        <v>2918</v>
      </c>
      <c r="B3415" s="220">
        <v>1223965891930</v>
      </c>
      <c r="C3415" s="185"/>
      <c r="D3415" s="30" t="s">
        <v>2087</v>
      </c>
      <c r="E3415" s="30" t="str">
        <f>VLOOKUP(B3415, 'All Menu'!B:M, 2, 0)</f>
        <v>قسم طلبات مارت</v>
      </c>
      <c r="F3415" s="103" t="str">
        <f>VLOOKUP(B3415, 'All Menu'!B:M, 3, 0)</f>
        <v>طلبات مارت</v>
      </c>
      <c r="G3415" s="90" t="s">
        <v>2297</v>
      </c>
      <c r="H3415" s="219">
        <v>4870</v>
      </c>
      <c r="I3415" s="110" t="str">
        <f>VLOOKUP(H3415, 'RM &amp; SF'!B:H, 2, 0)</f>
        <v>مخلل الهمبرجر شرائح (تشيبس) بنكهة الشبت 1100 غم = الوزن المصفى*****</v>
      </c>
      <c r="J3415" s="184" t="str">
        <f>VLOOKUP(H3415, 'RM &amp; SF'!B:E, 4, 0)</f>
        <v>غم</v>
      </c>
      <c r="K3415" s="78">
        <v>150</v>
      </c>
      <c r="L3415" s="13">
        <f>VLOOKUP(H3415, 'RM &amp; SF'!B:H, 7, 0)</f>
        <v>2.568E-3</v>
      </c>
      <c r="M3415" s="15">
        <f t="shared" si="175"/>
        <v>0.38519999999999999</v>
      </c>
      <c r="N3415" s="21" t="s">
        <v>825</v>
      </c>
      <c r="O3415" s="4">
        <f>VLOOKUP(B3415, 'All Menu'!B:L, 6, 0)</f>
        <v>12.696725342785053</v>
      </c>
      <c r="P3415" s="6">
        <f>VLOOKUP(B3415, 'All Menu'!B:L, 9, 0)</f>
        <v>9.9118654356602196</v>
      </c>
      <c r="Q3415" s="14">
        <f>VLOOKUP(B3415, 'All Menu'!B:M, 12, 0)</f>
        <v>0.21933686300517927</v>
      </c>
      <c r="R3415" s="173">
        <f t="shared" si="177"/>
        <v>0</v>
      </c>
    </row>
    <row r="3416" spans="1:18" ht="14" hidden="1">
      <c r="A3416" s="78" t="s">
        <v>2918</v>
      </c>
      <c r="B3416" s="220">
        <v>1223965891930</v>
      </c>
      <c r="C3416" s="185"/>
      <c r="D3416" s="30" t="s">
        <v>2087</v>
      </c>
      <c r="E3416" s="30" t="str">
        <f>VLOOKUP(B3416, 'All Menu'!B:M, 2, 0)</f>
        <v>قسم طلبات مارت</v>
      </c>
      <c r="F3416" s="103" t="str">
        <f>VLOOKUP(B3416, 'All Menu'!B:M, 3, 0)</f>
        <v>طلبات مارت</v>
      </c>
      <c r="G3416" s="90" t="s">
        <v>2226</v>
      </c>
      <c r="H3416" s="219">
        <v>5045</v>
      </c>
      <c r="I3416" s="110" t="str">
        <f>VLOOKUP(H3416, 'RM &amp; SF'!B:H, 2, 0)</f>
        <v>*****خبز بيرجر بطاطا 5 لنش مغلف بشكل منفصل</v>
      </c>
      <c r="J3416" s="184" t="str">
        <f>VLOOKUP(H3416, 'RM &amp; SF'!B:E, 4, 0)</f>
        <v>قطعة</v>
      </c>
      <c r="K3416" s="78">
        <v>6</v>
      </c>
      <c r="L3416" s="13">
        <f>VLOOKUP(H3416, 'RM &amp; SF'!B:H, 7, 0)</f>
        <v>0.17499999999999999</v>
      </c>
      <c r="M3416" s="15">
        <f t="shared" si="175"/>
        <v>1.0499999999999998</v>
      </c>
      <c r="N3416" s="21" t="s">
        <v>825</v>
      </c>
      <c r="O3416" s="4">
        <f>VLOOKUP(B3416, 'All Menu'!B:L, 6, 0)</f>
        <v>12.696725342785053</v>
      </c>
      <c r="P3416" s="6">
        <f>VLOOKUP(B3416, 'All Menu'!B:L, 9, 0)</f>
        <v>9.9118654356602196</v>
      </c>
      <c r="Q3416" s="14">
        <f>VLOOKUP(B3416, 'All Menu'!B:M, 12, 0)</f>
        <v>0.21933686300517927</v>
      </c>
      <c r="R3416" s="173">
        <f t="shared" si="177"/>
        <v>0</v>
      </c>
    </row>
    <row r="3417" spans="1:18" ht="14" hidden="1">
      <c r="A3417" s="78" t="s">
        <v>2918</v>
      </c>
      <c r="B3417" s="220">
        <v>1223965891930</v>
      </c>
      <c r="C3417" s="185"/>
      <c r="D3417" s="30" t="s">
        <v>2087</v>
      </c>
      <c r="E3417" s="30" t="str">
        <f>VLOOKUP(B3417, 'All Menu'!B:M, 2, 0)</f>
        <v>قسم طلبات مارت</v>
      </c>
      <c r="F3417" s="103" t="str">
        <f>VLOOKUP(B3417, 'All Menu'!B:M, 3, 0)</f>
        <v>طلبات مارت</v>
      </c>
      <c r="G3417" s="90" t="s">
        <v>2366</v>
      </c>
      <c r="H3417" s="219" t="s">
        <v>764</v>
      </c>
      <c r="I3417" s="110" t="str">
        <f>VLOOKUP(H3417, 'RM &amp; SF'!B:H, 2, 0)</f>
        <v>صوص برجر</v>
      </c>
      <c r="J3417" s="184" t="str">
        <f>VLOOKUP(H3417, 'RM &amp; SF'!B:E, 4, 0)</f>
        <v>غم</v>
      </c>
      <c r="K3417" s="78">
        <v>200</v>
      </c>
      <c r="L3417" s="13">
        <f>VLOOKUP(H3417, 'RM &amp; SF'!B:H, 7, 0)</f>
        <v>1.8102439024390246E-3</v>
      </c>
      <c r="M3417" s="15">
        <f t="shared" si="175"/>
        <v>0.36204878048780492</v>
      </c>
      <c r="N3417" s="21" t="s">
        <v>825</v>
      </c>
      <c r="O3417" s="4">
        <f>VLOOKUP(B3417, 'All Menu'!B:L, 6, 0)</f>
        <v>12.696725342785053</v>
      </c>
      <c r="P3417" s="6">
        <f>VLOOKUP(B3417, 'All Menu'!B:L, 9, 0)</f>
        <v>9.9118654356602196</v>
      </c>
      <c r="Q3417" s="14">
        <f>VLOOKUP(B3417, 'All Menu'!B:M, 12, 0)</f>
        <v>0.21933686300517927</v>
      </c>
      <c r="R3417" s="173">
        <f t="shared" si="177"/>
        <v>0</v>
      </c>
    </row>
    <row r="3418" spans="1:18" ht="14" hidden="1">
      <c r="A3418" s="78" t="s">
        <v>2918</v>
      </c>
      <c r="B3418" s="220">
        <v>1223965891930</v>
      </c>
      <c r="C3418" s="185"/>
      <c r="D3418" s="30" t="s">
        <v>2087</v>
      </c>
      <c r="E3418" s="30" t="str">
        <f>VLOOKUP(B3418, 'All Menu'!B:M, 2, 0)</f>
        <v>قسم طلبات مارت</v>
      </c>
      <c r="F3418" s="103" t="str">
        <f>VLOOKUP(B3418, 'All Menu'!B:M, 3, 0)</f>
        <v>طلبات مارت</v>
      </c>
      <c r="G3418" s="90" t="s">
        <v>3058</v>
      </c>
      <c r="H3418" s="219">
        <v>5404</v>
      </c>
      <c r="I3418" s="110" t="str">
        <f>VLOOKUP(H3418, 'RM &amp; SF'!B:H, 2, 0)</f>
        <v>بوكس برجر</v>
      </c>
      <c r="J3418" s="184" t="str">
        <f>VLOOKUP(H3418, 'RM &amp; SF'!B:E, 4, 0)</f>
        <v>قطعة</v>
      </c>
      <c r="K3418" s="78">
        <v>1</v>
      </c>
      <c r="L3418" s="13">
        <f>VLOOKUP(H3418, 'RM &amp; SF'!B:H, 7, 0)</f>
        <v>0.37068965517241381</v>
      </c>
      <c r="M3418" s="15">
        <f t="shared" si="175"/>
        <v>0.37068965517241381</v>
      </c>
      <c r="N3418" s="21" t="s">
        <v>825</v>
      </c>
      <c r="O3418" s="4">
        <f>VLOOKUP(B3418, 'All Menu'!B:L, 6, 0)</f>
        <v>12.696725342785053</v>
      </c>
      <c r="P3418" s="6">
        <f>VLOOKUP(B3418, 'All Menu'!B:L, 9, 0)</f>
        <v>9.9118654356602196</v>
      </c>
      <c r="Q3418" s="14">
        <f>VLOOKUP(B3418, 'All Menu'!B:M, 12, 0)</f>
        <v>0.21933686300517927</v>
      </c>
      <c r="R3418" s="173">
        <f t="shared" si="177"/>
        <v>0</v>
      </c>
    </row>
    <row r="3419" spans="1:18" ht="14" hidden="1">
      <c r="A3419" s="78" t="s">
        <v>2918</v>
      </c>
      <c r="B3419" s="220">
        <v>1223965891930</v>
      </c>
      <c r="C3419" s="185"/>
      <c r="D3419" s="30" t="s">
        <v>2087</v>
      </c>
      <c r="E3419" s="30" t="str">
        <f>VLOOKUP(B3419, 'All Menu'!B:M, 2, 0)</f>
        <v>قسم طلبات مارت</v>
      </c>
      <c r="F3419" s="103" t="str">
        <f>VLOOKUP(B3419, 'All Menu'!B:M, 3, 0)</f>
        <v>طلبات مارت</v>
      </c>
      <c r="G3419" s="90" t="s">
        <v>3058</v>
      </c>
      <c r="H3419" s="219">
        <v>4285</v>
      </c>
      <c r="I3419" s="110" t="str">
        <f>VLOOKUP(H3419, 'RM &amp; SF'!B:H, 2, 0)</f>
        <v>علب بلاستيك مربع متصل 150 مل*****</v>
      </c>
      <c r="J3419" s="184" t="str">
        <f>VLOOKUP(H3419, 'RM &amp; SF'!B:E, 4, 0)</f>
        <v>قطعة</v>
      </c>
      <c r="K3419" s="78">
        <v>12</v>
      </c>
      <c r="L3419" s="13">
        <f>VLOOKUP(H3419, 'RM &amp; SF'!B:H, 7, 0)</f>
        <v>1.494E-2</v>
      </c>
      <c r="M3419" s="15">
        <f t="shared" si="175"/>
        <v>0.17927999999999999</v>
      </c>
      <c r="N3419" s="21" t="s">
        <v>825</v>
      </c>
      <c r="O3419" s="4">
        <f>VLOOKUP(B3419, 'All Menu'!B:L, 6, 0)</f>
        <v>12.696725342785053</v>
      </c>
      <c r="P3419" s="6">
        <f>VLOOKUP(B3419, 'All Menu'!B:L, 9, 0)</f>
        <v>9.9118654356602196</v>
      </c>
      <c r="Q3419" s="14">
        <f>VLOOKUP(B3419, 'All Menu'!B:M, 12, 0)</f>
        <v>0.21933686300517927</v>
      </c>
      <c r="R3419" s="173">
        <f t="shared" si="177"/>
        <v>0</v>
      </c>
    </row>
    <row r="3420" spans="1:18" ht="14" hidden="1">
      <c r="A3420" s="78" t="s">
        <v>2918</v>
      </c>
      <c r="B3420" s="220">
        <v>1223965891930</v>
      </c>
      <c r="C3420" s="185"/>
      <c r="D3420" s="30" t="s">
        <v>2087</v>
      </c>
      <c r="E3420" s="30" t="str">
        <f>VLOOKUP(B3420, 'All Menu'!B:M, 2, 0)</f>
        <v>قسم طلبات مارت</v>
      </c>
      <c r="F3420" s="103" t="str">
        <f>VLOOKUP(B3420, 'All Menu'!B:M, 3, 0)</f>
        <v>طلبات مارت</v>
      </c>
      <c r="G3420" s="90" t="s">
        <v>2241</v>
      </c>
      <c r="H3420" s="219">
        <v>4518</v>
      </c>
      <c r="I3420" s="110" t="str">
        <f>VLOOKUP(H3420, 'RM &amp; SF'!B:H, 2, 0)</f>
        <v>خس ايسبرغ*****</v>
      </c>
      <c r="J3420" s="184" t="str">
        <f>VLOOKUP(H3420, 'RM &amp; SF'!B:E, 4, 0)</f>
        <v>غم</v>
      </c>
      <c r="K3420" s="78">
        <v>100</v>
      </c>
      <c r="L3420" s="13">
        <f>VLOOKUP(H3420, 'RM &amp; SF'!B:H, 7, 0)</f>
        <v>7.5000000000000002E-4</v>
      </c>
      <c r="M3420" s="15">
        <f t="shared" si="175"/>
        <v>7.4999999999999997E-2</v>
      </c>
      <c r="N3420" s="21" t="s">
        <v>825</v>
      </c>
      <c r="O3420" s="4">
        <f>VLOOKUP(B3420, 'All Menu'!B:L, 6, 0)</f>
        <v>12.696725342785053</v>
      </c>
      <c r="P3420" s="6">
        <f>VLOOKUP(B3420, 'All Menu'!B:L, 9, 0)</f>
        <v>9.9118654356602196</v>
      </c>
      <c r="Q3420" s="14">
        <f>VLOOKUP(B3420, 'All Menu'!B:M, 12, 0)</f>
        <v>0.21933686300517927</v>
      </c>
      <c r="R3420" s="173">
        <f t="shared" si="177"/>
        <v>0</v>
      </c>
    </row>
    <row r="3421" spans="1:18" ht="14" hidden="1">
      <c r="A3421" s="78" t="s">
        <v>2918</v>
      </c>
      <c r="B3421" s="220">
        <v>1223965891930</v>
      </c>
      <c r="C3421" s="185"/>
      <c r="D3421" s="30" t="s">
        <v>2087</v>
      </c>
      <c r="E3421" s="30" t="str">
        <f>VLOOKUP(B3421, 'All Menu'!B:M, 2, 0)</f>
        <v>قسم طلبات مارت</v>
      </c>
      <c r="F3421" s="103" t="str">
        <f>VLOOKUP(B3421, 'All Menu'!B:M, 3, 0)</f>
        <v>طلبات مارت</v>
      </c>
      <c r="G3421" s="90" t="s">
        <v>3058</v>
      </c>
      <c r="H3421" s="219">
        <v>5372</v>
      </c>
      <c r="I3421" s="110" t="str">
        <f>VLOOKUP(H3421, 'RM &amp; SF'!B:H, 2, 0)</f>
        <v>ملصق - طلبات مارت</v>
      </c>
      <c r="J3421" s="184" t="str">
        <f>VLOOKUP(H3421, 'RM &amp; SF'!B:E, 4, 0)</f>
        <v>قطعة</v>
      </c>
      <c r="K3421" s="78">
        <v>1</v>
      </c>
      <c r="L3421" s="13">
        <f>VLOOKUP(H3421, 'RM &amp; SF'!B:H, 7, 0)</f>
        <v>1.15E-2</v>
      </c>
      <c r="M3421" s="15">
        <f t="shared" si="175"/>
        <v>1.15E-2</v>
      </c>
      <c r="N3421" s="21" t="s">
        <v>825</v>
      </c>
      <c r="O3421" s="4">
        <f>VLOOKUP(B3421, 'All Menu'!B:L, 6, 0)</f>
        <v>12.696725342785053</v>
      </c>
      <c r="P3421" s="6">
        <f>VLOOKUP(B3421, 'All Menu'!B:L, 9, 0)</f>
        <v>9.9118654356602196</v>
      </c>
      <c r="Q3421" s="14">
        <f>VLOOKUP(B3421, 'All Menu'!B:M, 12, 0)</f>
        <v>0.21933686300517927</v>
      </c>
      <c r="R3421" s="173">
        <f t="shared" si="177"/>
        <v>0</v>
      </c>
    </row>
    <row r="3422" spans="1:18" ht="14" hidden="1">
      <c r="A3422" s="78" t="s">
        <v>2916</v>
      </c>
      <c r="B3422" s="220">
        <v>1223965891928</v>
      </c>
      <c r="C3422" s="185"/>
      <c r="D3422" s="30" t="s">
        <v>2088</v>
      </c>
      <c r="E3422" s="30" t="str">
        <f>VLOOKUP(B3422, 'All Menu'!B:M, 2, 0)</f>
        <v>قسم طلبات مارت</v>
      </c>
      <c r="F3422" s="103" t="str">
        <f>VLOOKUP(B3422, 'All Menu'!B:M, 3, 0)</f>
        <v>طلبات مارت</v>
      </c>
      <c r="G3422" s="90" t="s">
        <v>2429</v>
      </c>
      <c r="H3422" s="219" t="s">
        <v>610</v>
      </c>
      <c r="I3422" s="110" t="str">
        <f>VLOOKUP(H3422, 'RM &amp; SF'!B:H, 2, 0)</f>
        <v>كباب الساندويش</v>
      </c>
      <c r="J3422" s="184" t="str">
        <f>VLOOKUP(H3422, 'RM &amp; SF'!B:E, 4, 0)</f>
        <v>غم</v>
      </c>
      <c r="K3422" s="78">
        <v>500</v>
      </c>
      <c r="L3422" s="13">
        <f>VLOOKUP(H3422, 'RM &amp; SF'!B:H, 7, 0)</f>
        <v>6.0066783033033031E-3</v>
      </c>
      <c r="M3422" s="15">
        <f t="shared" si="175"/>
        <v>3.0033391516516517</v>
      </c>
      <c r="N3422" s="21" t="s">
        <v>825</v>
      </c>
      <c r="O3422" s="4">
        <f>VLOOKUP(B3422, 'All Menu'!B:L, 6, 0)</f>
        <v>6.8220636496886495</v>
      </c>
      <c r="P3422" s="6">
        <f>VLOOKUP(B3422, 'All Menu'!B:L, 9, 0)</f>
        <v>4.6379191516516514</v>
      </c>
      <c r="Q3422" s="14">
        <f>VLOOKUP(B3422, 'All Menu'!B:M, 12, 0)</f>
        <v>0.32015891527729734</v>
      </c>
      <c r="R3422" s="173">
        <f t="shared" si="177"/>
        <v>0</v>
      </c>
    </row>
    <row r="3423" spans="1:18" ht="14" hidden="1">
      <c r="A3423" s="78" t="s">
        <v>2916</v>
      </c>
      <c r="B3423" s="220">
        <v>1223965891928</v>
      </c>
      <c r="C3423" s="185"/>
      <c r="D3423" s="30" t="s">
        <v>2088</v>
      </c>
      <c r="E3423" s="30" t="str">
        <f>VLOOKUP(B3423, 'All Menu'!B:M, 2, 0)</f>
        <v>قسم طلبات مارت</v>
      </c>
      <c r="F3423" s="103" t="str">
        <f>VLOOKUP(B3423, 'All Menu'!B:M, 3, 0)</f>
        <v>طلبات مارت</v>
      </c>
      <c r="G3423" s="90" t="s">
        <v>2309</v>
      </c>
      <c r="H3423" s="219">
        <v>4491</v>
      </c>
      <c r="I3423" s="110" t="str">
        <f>VLOOKUP(H3423, 'RM &amp; SF'!B:H, 2, 0)</f>
        <v>بندورة جامدة*****</v>
      </c>
      <c r="J3423" s="184" t="str">
        <f>VLOOKUP(H3423, 'RM &amp; SF'!B:E, 4, 0)</f>
        <v>غم</v>
      </c>
      <c r="K3423" s="78">
        <v>270</v>
      </c>
      <c r="L3423" s="13">
        <f>VLOOKUP(H3423, 'RM &amp; SF'!B:H, 7, 0)</f>
        <v>5.0000000000000001E-4</v>
      </c>
      <c r="M3423" s="15">
        <f t="shared" si="175"/>
        <v>0.13500000000000001</v>
      </c>
      <c r="N3423" s="21" t="s">
        <v>825</v>
      </c>
      <c r="O3423" s="4">
        <f>VLOOKUP(B3423, 'All Menu'!B:L, 6, 0)</f>
        <v>6.8220636496886495</v>
      </c>
      <c r="P3423" s="6">
        <f>VLOOKUP(B3423, 'All Menu'!B:L, 9, 0)</f>
        <v>4.6379191516516514</v>
      </c>
      <c r="Q3423" s="14">
        <f>VLOOKUP(B3423, 'All Menu'!B:M, 12, 0)</f>
        <v>0.32015891527729734</v>
      </c>
      <c r="R3423" s="173">
        <f t="shared" si="177"/>
        <v>0</v>
      </c>
    </row>
    <row r="3424" spans="1:18" ht="14" hidden="1">
      <c r="A3424" s="78" t="s">
        <v>2916</v>
      </c>
      <c r="B3424" s="220">
        <v>1223965891928</v>
      </c>
      <c r="C3424" s="185"/>
      <c r="D3424" s="30" t="s">
        <v>2088</v>
      </c>
      <c r="E3424" s="30" t="str">
        <f>VLOOKUP(B3424, 'All Menu'!B:M, 2, 0)</f>
        <v>قسم طلبات مارت</v>
      </c>
      <c r="F3424" s="103" t="str">
        <f>VLOOKUP(B3424, 'All Menu'!B:M, 3, 0)</f>
        <v>طلبات مارت</v>
      </c>
      <c r="G3424" s="90" t="s">
        <v>2235</v>
      </c>
      <c r="H3424" s="219">
        <v>4504</v>
      </c>
      <c r="I3424" s="110" t="str">
        <f>VLOOKUP(H3424, 'RM &amp; SF'!B:H, 2, 0)</f>
        <v>بصل مشاوي (بصل بيبي)***</v>
      </c>
      <c r="J3424" s="184" t="str">
        <f>VLOOKUP(H3424, 'RM &amp; SF'!B:E, 4, 0)</f>
        <v>غم</v>
      </c>
      <c r="K3424" s="78">
        <v>270</v>
      </c>
      <c r="L3424" s="13">
        <f>VLOOKUP(H3424, 'RM &amp; SF'!B:H, 7, 0)</f>
        <v>3.5E-4</v>
      </c>
      <c r="M3424" s="15">
        <f t="shared" si="175"/>
        <v>9.4500000000000001E-2</v>
      </c>
      <c r="N3424" s="21" t="s">
        <v>825</v>
      </c>
      <c r="O3424" s="4">
        <f>VLOOKUP(B3424, 'All Menu'!B:L, 6, 0)</f>
        <v>6.8220636496886495</v>
      </c>
      <c r="P3424" s="6">
        <f>VLOOKUP(B3424, 'All Menu'!B:L, 9, 0)</f>
        <v>4.6379191516516514</v>
      </c>
      <c r="Q3424" s="14">
        <f>VLOOKUP(B3424, 'All Menu'!B:M, 12, 0)</f>
        <v>0.32015891527729734</v>
      </c>
      <c r="R3424" s="173">
        <f t="shared" si="177"/>
        <v>0</v>
      </c>
    </row>
    <row r="3425" spans="1:18" ht="14" hidden="1">
      <c r="A3425" s="78" t="s">
        <v>2916</v>
      </c>
      <c r="B3425" s="220">
        <v>1223965891928</v>
      </c>
      <c r="C3425" s="185"/>
      <c r="D3425" s="30" t="s">
        <v>2088</v>
      </c>
      <c r="E3425" s="30" t="str">
        <f>VLOOKUP(B3425, 'All Menu'!B:M, 2, 0)</f>
        <v>قسم طلبات مارت</v>
      </c>
      <c r="F3425" s="103" t="str">
        <f>VLOOKUP(B3425, 'All Menu'!B:M, 3, 0)</f>
        <v>طلبات مارت</v>
      </c>
      <c r="G3425" s="90" t="s">
        <v>2201</v>
      </c>
      <c r="H3425" s="219">
        <v>4412</v>
      </c>
      <c r="I3425" s="110" t="str">
        <f>VLOOKUP(H3425, 'RM &amp; SF'!B:H, 2, 0)</f>
        <v>اسياخ شوي رفيع سفري 1*100 حبة*****</v>
      </c>
      <c r="J3425" s="184" t="str">
        <f>VLOOKUP(H3425, 'RM &amp; SF'!B:E, 4, 0)</f>
        <v>قطعة</v>
      </c>
      <c r="K3425" s="78">
        <v>14</v>
      </c>
      <c r="L3425" s="13">
        <f>VLOOKUP(H3425, 'RM &amp; SF'!B:H, 7, 0)</f>
        <v>6.8970000000000004E-2</v>
      </c>
      <c r="M3425" s="15">
        <f t="shared" si="175"/>
        <v>0.9655800000000001</v>
      </c>
      <c r="N3425" s="21" t="s">
        <v>825</v>
      </c>
      <c r="O3425" s="4">
        <f>VLOOKUP(B3425, 'All Menu'!B:L, 6, 0)</f>
        <v>6.8220636496886495</v>
      </c>
      <c r="P3425" s="6">
        <f>VLOOKUP(B3425, 'All Menu'!B:L, 9, 0)</f>
        <v>4.6379191516516514</v>
      </c>
      <c r="Q3425" s="14">
        <f>VLOOKUP(B3425, 'All Menu'!B:M, 12, 0)</f>
        <v>0.32015891527729734</v>
      </c>
      <c r="R3425" s="173">
        <f t="shared" si="177"/>
        <v>0</v>
      </c>
    </row>
    <row r="3426" spans="1:18" ht="14" hidden="1">
      <c r="A3426" s="78" t="s">
        <v>2916</v>
      </c>
      <c r="B3426" s="220">
        <v>1223965891928</v>
      </c>
      <c r="C3426" s="185"/>
      <c r="D3426" s="30" t="s">
        <v>2088</v>
      </c>
      <c r="E3426" s="30" t="str">
        <f>VLOOKUP(B3426, 'All Menu'!B:M, 2, 0)</f>
        <v>قسم طلبات مارت</v>
      </c>
      <c r="F3426" s="103" t="str">
        <f>VLOOKUP(B3426, 'All Menu'!B:M, 3, 0)</f>
        <v>طلبات مارت</v>
      </c>
      <c r="G3426" s="90" t="s">
        <v>3058</v>
      </c>
      <c r="H3426" s="219">
        <v>4806</v>
      </c>
      <c r="I3426" s="110" t="str">
        <f>VLOOKUP(H3426, 'RM &amp; SF'!B:H, 2, 0)</f>
        <v>بوكس مشاوي كرتون (بوكس الرحلة) 38*26*5 سم 1*25 حبة*****</v>
      </c>
      <c r="J3426" s="184" t="str">
        <f>VLOOKUP(H3426, 'RM &amp; SF'!B:E, 4, 0)</f>
        <v>قطعة</v>
      </c>
      <c r="K3426" s="78">
        <v>1</v>
      </c>
      <c r="L3426" s="13">
        <f>VLOOKUP(H3426, 'RM &amp; SF'!B:H, 7, 0)</f>
        <v>0.218</v>
      </c>
      <c r="M3426" s="15">
        <f t="shared" si="175"/>
        <v>0.218</v>
      </c>
      <c r="N3426" s="21" t="s">
        <v>825</v>
      </c>
      <c r="O3426" s="4">
        <f>VLOOKUP(B3426, 'All Menu'!B:L, 6, 0)</f>
        <v>6.8220636496886495</v>
      </c>
      <c r="P3426" s="6">
        <f>VLOOKUP(B3426, 'All Menu'!B:L, 9, 0)</f>
        <v>4.6379191516516514</v>
      </c>
      <c r="Q3426" s="14">
        <f>VLOOKUP(B3426, 'All Menu'!B:M, 12, 0)</f>
        <v>0.32015891527729734</v>
      </c>
      <c r="R3426" s="173">
        <f t="shared" si="177"/>
        <v>0</v>
      </c>
    </row>
    <row r="3427" spans="1:18" ht="14" hidden="1">
      <c r="A3427" s="78" t="s">
        <v>2916</v>
      </c>
      <c r="B3427" s="220">
        <v>1223965891928</v>
      </c>
      <c r="C3427" s="185"/>
      <c r="D3427" s="30" t="s">
        <v>2088</v>
      </c>
      <c r="E3427" s="30" t="str">
        <f>VLOOKUP(B3427, 'All Menu'!B:M, 2, 0)</f>
        <v>قسم طلبات مارت</v>
      </c>
      <c r="F3427" s="103" t="str">
        <f>VLOOKUP(B3427, 'All Menu'!B:M, 3, 0)</f>
        <v>طلبات مارت</v>
      </c>
      <c r="G3427" s="90" t="s">
        <v>3058</v>
      </c>
      <c r="H3427" s="219">
        <v>4598</v>
      </c>
      <c r="I3427" s="110" t="str">
        <f>VLOOKUP(H3427, 'RM &amp; SF'!B:H, 2, 0)</f>
        <v>لية خروف نية*****</v>
      </c>
      <c r="J3427" s="184" t="str">
        <f>VLOOKUP(H3427, 'RM &amp; SF'!B:E, 4, 0)</f>
        <v>غم</v>
      </c>
      <c r="K3427" s="78">
        <v>40</v>
      </c>
      <c r="L3427" s="13">
        <f>VLOOKUP(H3427, 'RM &amp; SF'!B:H, 7, 0)</f>
        <v>5.0000000000000001E-3</v>
      </c>
      <c r="M3427" s="15">
        <f t="shared" si="175"/>
        <v>0.2</v>
      </c>
      <c r="N3427" s="21" t="s">
        <v>825</v>
      </c>
      <c r="O3427" s="4">
        <f>VLOOKUP(B3427, 'All Menu'!B:L, 6, 0)</f>
        <v>6.8220636496886495</v>
      </c>
      <c r="P3427" s="6">
        <f>VLOOKUP(B3427, 'All Menu'!B:L, 9, 0)</f>
        <v>4.6379191516516514</v>
      </c>
      <c r="Q3427" s="14">
        <f>VLOOKUP(B3427, 'All Menu'!B:M, 12, 0)</f>
        <v>0.32015891527729734</v>
      </c>
      <c r="R3427" s="173">
        <f t="shared" si="177"/>
        <v>0</v>
      </c>
    </row>
    <row r="3428" spans="1:18" ht="14" hidden="1">
      <c r="A3428" s="78" t="s">
        <v>2916</v>
      </c>
      <c r="B3428" s="220">
        <v>1223965891928</v>
      </c>
      <c r="C3428" s="185"/>
      <c r="D3428" s="30" t="s">
        <v>2088</v>
      </c>
      <c r="E3428" s="30" t="str">
        <f>VLOOKUP(B3428, 'All Menu'!B:M, 2, 0)</f>
        <v>قسم طلبات مارت</v>
      </c>
      <c r="F3428" s="103" t="str">
        <f>VLOOKUP(B3428, 'All Menu'!B:M, 3, 0)</f>
        <v>طلبات مارت</v>
      </c>
      <c r="G3428" s="90" t="s">
        <v>2231</v>
      </c>
      <c r="H3428" s="219">
        <v>4499</v>
      </c>
      <c r="I3428" s="110" t="str">
        <f>VLOOKUP(H3428, 'RM &amp; SF'!B:H, 2, 0)</f>
        <v>فلفل حار اخضر*****</v>
      </c>
      <c r="J3428" s="184" t="str">
        <f>VLOOKUP(H3428, 'RM &amp; SF'!B:E, 4, 0)</f>
        <v>غم</v>
      </c>
      <c r="K3428" s="78">
        <v>20</v>
      </c>
      <c r="L3428" s="13">
        <f>VLOOKUP(H3428, 'RM &amp; SF'!B:H, 7, 0)</f>
        <v>5.0000000000000001E-4</v>
      </c>
      <c r="M3428" s="15">
        <f t="shared" si="175"/>
        <v>0.01</v>
      </c>
      <c r="N3428" s="21" t="s">
        <v>825</v>
      </c>
      <c r="O3428" s="4">
        <f>VLOOKUP(B3428, 'All Menu'!B:L, 6, 0)</f>
        <v>6.8220636496886495</v>
      </c>
      <c r="P3428" s="6">
        <f>VLOOKUP(B3428, 'All Menu'!B:L, 9, 0)</f>
        <v>4.6379191516516514</v>
      </c>
      <c r="Q3428" s="14">
        <f>VLOOKUP(B3428, 'All Menu'!B:M, 12, 0)</f>
        <v>0.32015891527729734</v>
      </c>
      <c r="R3428" s="173">
        <f t="shared" si="177"/>
        <v>0</v>
      </c>
    </row>
    <row r="3429" spans="1:18" ht="14" hidden="1">
      <c r="A3429" s="78" t="s">
        <v>2916</v>
      </c>
      <c r="B3429" s="220">
        <v>1223965891928</v>
      </c>
      <c r="C3429" s="185"/>
      <c r="D3429" s="30" t="s">
        <v>2088</v>
      </c>
      <c r="E3429" s="30" t="str">
        <f>VLOOKUP(B3429, 'All Menu'!B:M, 2, 0)</f>
        <v>قسم طلبات مارت</v>
      </c>
      <c r="F3429" s="103" t="str">
        <f>VLOOKUP(B3429, 'All Menu'!B:M, 3, 0)</f>
        <v>طلبات مارت</v>
      </c>
      <c r="G3429" s="90" t="s">
        <v>3058</v>
      </c>
      <c r="H3429" s="219">
        <v>5372</v>
      </c>
      <c r="I3429" s="110" t="str">
        <f>VLOOKUP(H3429, 'RM &amp; SF'!B:H, 2, 0)</f>
        <v>ملصق - طلبات مارت</v>
      </c>
      <c r="J3429" s="184" t="str">
        <f>VLOOKUP(H3429, 'RM &amp; SF'!B:E, 4, 0)</f>
        <v>قطعة</v>
      </c>
      <c r="K3429" s="78">
        <v>1</v>
      </c>
      <c r="L3429" s="13">
        <f>VLOOKUP(H3429, 'RM &amp; SF'!B:H, 7, 0)</f>
        <v>1.15E-2</v>
      </c>
      <c r="M3429" s="15">
        <f t="shared" si="175"/>
        <v>1.15E-2</v>
      </c>
      <c r="N3429" s="21" t="s">
        <v>825</v>
      </c>
      <c r="O3429" s="4">
        <f>VLOOKUP(B3429, 'All Menu'!B:L, 6, 0)</f>
        <v>6.8220636496886495</v>
      </c>
      <c r="P3429" s="6">
        <f>VLOOKUP(B3429, 'All Menu'!B:L, 9, 0)</f>
        <v>4.6379191516516514</v>
      </c>
      <c r="Q3429" s="14">
        <f>VLOOKUP(B3429, 'All Menu'!B:M, 12, 0)</f>
        <v>0.32015891527729734</v>
      </c>
      <c r="R3429" s="173">
        <f t="shared" si="177"/>
        <v>0</v>
      </c>
    </row>
    <row r="3430" spans="1:18" ht="14" hidden="1">
      <c r="A3430" s="78" t="s">
        <v>2917</v>
      </c>
      <c r="B3430" s="220">
        <v>1223965891929</v>
      </c>
      <c r="C3430" s="185"/>
      <c r="D3430" s="30" t="s">
        <v>2089</v>
      </c>
      <c r="E3430" s="30" t="str">
        <f>VLOOKUP(B3430, 'All Menu'!B:M, 2, 0)</f>
        <v>قسم طلبات مارت</v>
      </c>
      <c r="F3430" s="103" t="str">
        <f>VLOOKUP(B3430, 'All Menu'!B:M, 3, 0)</f>
        <v>طلبات مارت</v>
      </c>
      <c r="G3430" s="90" t="s">
        <v>2456</v>
      </c>
      <c r="H3430" s="219" t="s">
        <v>506</v>
      </c>
      <c r="I3430" s="110" t="str">
        <f>VLOOKUP(H3430, 'RM &amp; SF'!B:H, 2, 0)</f>
        <v>شيش</v>
      </c>
      <c r="J3430" s="184" t="str">
        <f>VLOOKUP(H3430, 'RM &amp; SF'!B:E, 4, 0)</f>
        <v>غم</v>
      </c>
      <c r="K3430" s="78">
        <v>500</v>
      </c>
      <c r="L3430" s="13">
        <f>VLOOKUP(H3430, 'RM &amp; SF'!B:H, 7, 0)</f>
        <v>4.6721213030918281E-3</v>
      </c>
      <c r="M3430" s="15">
        <f t="shared" si="175"/>
        <v>2.3360606515459139</v>
      </c>
      <c r="N3430" s="21" t="s">
        <v>825</v>
      </c>
      <c r="O3430" s="4">
        <f>VLOOKUP(B3430, 'All Menu'!B:L, 6, 0)</f>
        <v>5.9109100780998691</v>
      </c>
      <c r="P3430" s="6">
        <f>VLOOKUP(B3430, 'All Menu'!B:L, 9, 0)</f>
        <v>3.8412006515459138</v>
      </c>
      <c r="Q3430" s="14">
        <f>VLOOKUP(B3430, 'All Menu'!B:M, 12, 0)</f>
        <v>0.35015072115921742</v>
      </c>
      <c r="R3430" s="173">
        <f t="shared" si="177"/>
        <v>0</v>
      </c>
    </row>
    <row r="3431" spans="1:18" ht="14" hidden="1">
      <c r="A3431" s="78" t="s">
        <v>2917</v>
      </c>
      <c r="B3431" s="220">
        <v>1223965891929</v>
      </c>
      <c r="C3431" s="185"/>
      <c r="D3431" s="30" t="s">
        <v>2089</v>
      </c>
      <c r="E3431" s="30" t="str">
        <f>VLOOKUP(B3431, 'All Menu'!B:M, 2, 0)</f>
        <v>قسم طلبات مارت</v>
      </c>
      <c r="F3431" s="103" t="str">
        <f>VLOOKUP(B3431, 'All Menu'!B:M, 3, 0)</f>
        <v>طلبات مارت</v>
      </c>
      <c r="G3431" s="90" t="s">
        <v>2309</v>
      </c>
      <c r="H3431" s="219">
        <v>4491</v>
      </c>
      <c r="I3431" s="110" t="str">
        <f>VLOOKUP(H3431, 'RM &amp; SF'!B:H, 2, 0)</f>
        <v>بندورة جامدة*****</v>
      </c>
      <c r="J3431" s="184" t="str">
        <f>VLOOKUP(H3431, 'RM &amp; SF'!B:E, 4, 0)</f>
        <v>غم</v>
      </c>
      <c r="K3431" s="78">
        <v>280</v>
      </c>
      <c r="L3431" s="13">
        <f>VLOOKUP(H3431, 'RM &amp; SF'!B:H, 7, 0)</f>
        <v>5.0000000000000001E-4</v>
      </c>
      <c r="M3431" s="15">
        <f t="shared" si="175"/>
        <v>0.14000000000000001</v>
      </c>
      <c r="N3431" s="21" t="s">
        <v>825</v>
      </c>
      <c r="O3431" s="4">
        <f>VLOOKUP(B3431, 'All Menu'!B:L, 6, 0)</f>
        <v>5.9109100780998691</v>
      </c>
      <c r="P3431" s="6">
        <f>VLOOKUP(B3431, 'All Menu'!B:L, 9, 0)</f>
        <v>3.8412006515459138</v>
      </c>
      <c r="Q3431" s="14">
        <f>VLOOKUP(B3431, 'All Menu'!B:M, 12, 0)</f>
        <v>0.35015072115921742</v>
      </c>
      <c r="R3431" s="173">
        <f t="shared" si="177"/>
        <v>0</v>
      </c>
    </row>
    <row r="3432" spans="1:18" ht="14" hidden="1">
      <c r="A3432" s="78" t="s">
        <v>2917</v>
      </c>
      <c r="B3432" s="220">
        <v>1223965891929</v>
      </c>
      <c r="C3432" s="185"/>
      <c r="D3432" s="30" t="s">
        <v>2089</v>
      </c>
      <c r="E3432" s="30" t="str">
        <f>VLOOKUP(B3432, 'All Menu'!B:M, 2, 0)</f>
        <v>قسم طلبات مارت</v>
      </c>
      <c r="F3432" s="103" t="str">
        <f>VLOOKUP(B3432, 'All Menu'!B:M, 3, 0)</f>
        <v>طلبات مارت</v>
      </c>
      <c r="G3432" s="90" t="s">
        <v>2235</v>
      </c>
      <c r="H3432" s="219">
        <v>4504</v>
      </c>
      <c r="I3432" s="110" t="str">
        <f>VLOOKUP(H3432, 'RM &amp; SF'!B:H, 2, 0)</f>
        <v>بصل مشاوي (بصل بيبي)***</v>
      </c>
      <c r="J3432" s="184" t="str">
        <f>VLOOKUP(H3432, 'RM &amp; SF'!B:E, 4, 0)</f>
        <v>غم</v>
      </c>
      <c r="K3432" s="78">
        <v>280</v>
      </c>
      <c r="L3432" s="13">
        <f>VLOOKUP(H3432, 'RM &amp; SF'!B:H, 7, 0)</f>
        <v>3.5E-4</v>
      </c>
      <c r="M3432" s="15">
        <f t="shared" si="175"/>
        <v>9.8000000000000004E-2</v>
      </c>
      <c r="N3432" s="21" t="s">
        <v>825</v>
      </c>
      <c r="O3432" s="4">
        <f>VLOOKUP(B3432, 'All Menu'!B:L, 6, 0)</f>
        <v>5.9109100780998691</v>
      </c>
      <c r="P3432" s="6">
        <f>VLOOKUP(B3432, 'All Menu'!B:L, 9, 0)</f>
        <v>3.8412006515459138</v>
      </c>
      <c r="Q3432" s="14">
        <f>VLOOKUP(B3432, 'All Menu'!B:M, 12, 0)</f>
        <v>0.35015072115921742</v>
      </c>
      <c r="R3432" s="173">
        <f t="shared" si="177"/>
        <v>0</v>
      </c>
    </row>
    <row r="3433" spans="1:18" ht="14" hidden="1">
      <c r="A3433" s="78" t="s">
        <v>2917</v>
      </c>
      <c r="B3433" s="220">
        <v>1223965891929</v>
      </c>
      <c r="C3433" s="185"/>
      <c r="D3433" s="30" t="s">
        <v>2089</v>
      </c>
      <c r="E3433" s="30" t="str">
        <f>VLOOKUP(B3433, 'All Menu'!B:M, 2, 0)</f>
        <v>قسم طلبات مارت</v>
      </c>
      <c r="F3433" s="103" t="str">
        <f>VLOOKUP(B3433, 'All Menu'!B:M, 3, 0)</f>
        <v>طلبات مارت</v>
      </c>
      <c r="G3433" s="90" t="s">
        <v>2201</v>
      </c>
      <c r="H3433" s="219">
        <v>4412</v>
      </c>
      <c r="I3433" s="110" t="str">
        <f>VLOOKUP(H3433, 'RM &amp; SF'!B:H, 2, 0)</f>
        <v>اسياخ شوي رفيع سفري 1*100 حبة*****</v>
      </c>
      <c r="J3433" s="184" t="str">
        <f>VLOOKUP(H3433, 'RM &amp; SF'!B:E, 4, 0)</f>
        <v>قطعة</v>
      </c>
      <c r="K3433" s="78">
        <v>12</v>
      </c>
      <c r="L3433" s="13">
        <f>VLOOKUP(H3433, 'RM &amp; SF'!B:H, 7, 0)</f>
        <v>6.8970000000000004E-2</v>
      </c>
      <c r="M3433" s="15">
        <f t="shared" ref="M3433:M3457" si="178">L3433*K3433</f>
        <v>0.82764000000000004</v>
      </c>
      <c r="N3433" s="21" t="s">
        <v>825</v>
      </c>
      <c r="O3433" s="4">
        <f>VLOOKUP(B3433, 'All Menu'!B:L, 6, 0)</f>
        <v>5.9109100780998691</v>
      </c>
      <c r="P3433" s="6">
        <f>VLOOKUP(B3433, 'All Menu'!B:L, 9, 0)</f>
        <v>3.8412006515459138</v>
      </c>
      <c r="Q3433" s="14">
        <f>VLOOKUP(B3433, 'All Menu'!B:M, 12, 0)</f>
        <v>0.35015072115921742</v>
      </c>
      <c r="R3433" s="173">
        <f t="shared" si="177"/>
        <v>0</v>
      </c>
    </row>
    <row r="3434" spans="1:18" ht="14" hidden="1">
      <c r="A3434" s="78" t="s">
        <v>2917</v>
      </c>
      <c r="B3434" s="220">
        <v>1223965891929</v>
      </c>
      <c r="C3434" s="185"/>
      <c r="D3434" s="30" t="s">
        <v>2089</v>
      </c>
      <c r="E3434" s="30" t="str">
        <f>VLOOKUP(B3434, 'All Menu'!B:M, 2, 0)</f>
        <v>قسم طلبات مارت</v>
      </c>
      <c r="F3434" s="103" t="str">
        <f>VLOOKUP(B3434, 'All Menu'!B:M, 3, 0)</f>
        <v>طلبات مارت</v>
      </c>
      <c r="G3434" s="90" t="s">
        <v>3058</v>
      </c>
      <c r="H3434" s="219">
        <v>4806</v>
      </c>
      <c r="I3434" s="110" t="str">
        <f>VLOOKUP(H3434, 'RM &amp; SF'!B:H, 2, 0)</f>
        <v>بوكس مشاوي كرتون (بوكس الرحلة) 38*26*5 سم 1*25 حبة*****</v>
      </c>
      <c r="J3434" s="184" t="str">
        <f>VLOOKUP(H3434, 'RM &amp; SF'!B:E, 4, 0)</f>
        <v>قطعة</v>
      </c>
      <c r="K3434" s="78">
        <v>1</v>
      </c>
      <c r="L3434" s="13">
        <f>VLOOKUP(H3434, 'RM &amp; SF'!B:H, 7, 0)</f>
        <v>0.218</v>
      </c>
      <c r="M3434" s="15">
        <f t="shared" si="178"/>
        <v>0.218</v>
      </c>
      <c r="N3434" s="21" t="s">
        <v>825</v>
      </c>
      <c r="O3434" s="4">
        <f>VLOOKUP(B3434, 'All Menu'!B:L, 6, 0)</f>
        <v>5.9109100780998691</v>
      </c>
      <c r="P3434" s="6">
        <f>VLOOKUP(B3434, 'All Menu'!B:L, 9, 0)</f>
        <v>3.8412006515459138</v>
      </c>
      <c r="Q3434" s="14">
        <f>VLOOKUP(B3434, 'All Menu'!B:M, 12, 0)</f>
        <v>0.35015072115921742</v>
      </c>
      <c r="R3434" s="173">
        <f t="shared" si="177"/>
        <v>0</v>
      </c>
    </row>
    <row r="3435" spans="1:18" ht="14" hidden="1">
      <c r="A3435" s="78" t="s">
        <v>2917</v>
      </c>
      <c r="B3435" s="220">
        <v>1223965891929</v>
      </c>
      <c r="C3435" s="185"/>
      <c r="D3435" s="30" t="s">
        <v>2089</v>
      </c>
      <c r="E3435" s="30" t="str">
        <f>VLOOKUP(B3435, 'All Menu'!B:M, 2, 0)</f>
        <v>قسم طلبات مارت</v>
      </c>
      <c r="F3435" s="103" t="str">
        <f>VLOOKUP(B3435, 'All Menu'!B:M, 3, 0)</f>
        <v>طلبات مارت</v>
      </c>
      <c r="G3435" s="90" t="s">
        <v>3058</v>
      </c>
      <c r="H3435" s="219">
        <v>4598</v>
      </c>
      <c r="I3435" s="110" t="str">
        <f>VLOOKUP(H3435, 'RM &amp; SF'!B:H, 2, 0)</f>
        <v>لية خروف نية*****</v>
      </c>
      <c r="J3435" s="184" t="str">
        <f>VLOOKUP(H3435, 'RM &amp; SF'!B:E, 4, 0)</f>
        <v>غم</v>
      </c>
      <c r="K3435" s="78">
        <v>40</v>
      </c>
      <c r="L3435" s="13">
        <f>VLOOKUP(H3435, 'RM &amp; SF'!B:H, 7, 0)</f>
        <v>5.0000000000000001E-3</v>
      </c>
      <c r="M3435" s="15">
        <f t="shared" si="178"/>
        <v>0.2</v>
      </c>
      <c r="N3435" s="21" t="s">
        <v>825</v>
      </c>
      <c r="O3435" s="4">
        <f>VLOOKUP(B3435, 'All Menu'!B:L, 6, 0)</f>
        <v>5.9109100780998691</v>
      </c>
      <c r="P3435" s="6">
        <f>VLOOKUP(B3435, 'All Menu'!B:L, 9, 0)</f>
        <v>3.8412006515459138</v>
      </c>
      <c r="Q3435" s="14">
        <f>VLOOKUP(B3435, 'All Menu'!B:M, 12, 0)</f>
        <v>0.35015072115921742</v>
      </c>
      <c r="R3435" s="173">
        <f t="shared" si="177"/>
        <v>0</v>
      </c>
    </row>
    <row r="3436" spans="1:18" ht="14" hidden="1">
      <c r="A3436" s="78" t="s">
        <v>2917</v>
      </c>
      <c r="B3436" s="220">
        <v>1223965891929</v>
      </c>
      <c r="C3436" s="185"/>
      <c r="D3436" s="30" t="s">
        <v>2089</v>
      </c>
      <c r="E3436" s="30" t="str">
        <f>VLOOKUP(B3436, 'All Menu'!B:M, 2, 0)</f>
        <v>قسم طلبات مارت</v>
      </c>
      <c r="F3436" s="103" t="str">
        <f>VLOOKUP(B3436, 'All Menu'!B:M, 3, 0)</f>
        <v>طلبات مارت</v>
      </c>
      <c r="G3436" s="90" t="s">
        <v>2231</v>
      </c>
      <c r="H3436" s="219">
        <v>4499</v>
      </c>
      <c r="I3436" s="110" t="str">
        <f>VLOOKUP(H3436, 'RM &amp; SF'!B:H, 2, 0)</f>
        <v>فلفل حار اخضر*****</v>
      </c>
      <c r="J3436" s="184" t="str">
        <f>VLOOKUP(H3436, 'RM &amp; SF'!B:E, 4, 0)</f>
        <v>غم</v>
      </c>
      <c r="K3436" s="78">
        <v>20</v>
      </c>
      <c r="L3436" s="13">
        <f>VLOOKUP(H3436, 'RM &amp; SF'!B:H, 7, 0)</f>
        <v>5.0000000000000001E-4</v>
      </c>
      <c r="M3436" s="15">
        <f t="shared" si="178"/>
        <v>0.01</v>
      </c>
      <c r="N3436" s="21" t="s">
        <v>825</v>
      </c>
      <c r="O3436" s="4">
        <f>VLOOKUP(B3436, 'All Menu'!B:L, 6, 0)</f>
        <v>5.9109100780998691</v>
      </c>
      <c r="P3436" s="6">
        <f>VLOOKUP(B3436, 'All Menu'!B:L, 9, 0)</f>
        <v>3.8412006515459138</v>
      </c>
      <c r="Q3436" s="14">
        <f>VLOOKUP(B3436, 'All Menu'!B:M, 12, 0)</f>
        <v>0.35015072115921742</v>
      </c>
      <c r="R3436" s="173">
        <f t="shared" si="177"/>
        <v>0</v>
      </c>
    </row>
    <row r="3437" spans="1:18" ht="14" hidden="1">
      <c r="A3437" s="78" t="s">
        <v>2917</v>
      </c>
      <c r="B3437" s="220">
        <v>1223965891929</v>
      </c>
      <c r="C3437" s="185"/>
      <c r="D3437" s="30" t="s">
        <v>2089</v>
      </c>
      <c r="E3437" s="30" t="str">
        <f>VLOOKUP(B3437, 'All Menu'!B:M, 2, 0)</f>
        <v>قسم طلبات مارت</v>
      </c>
      <c r="F3437" s="103" t="str">
        <f>VLOOKUP(B3437, 'All Menu'!B:M, 3, 0)</f>
        <v>طلبات مارت</v>
      </c>
      <c r="G3437" s="90" t="s">
        <v>3058</v>
      </c>
      <c r="H3437" s="219">
        <v>5372</v>
      </c>
      <c r="I3437" s="110" t="str">
        <f>VLOOKUP(H3437, 'RM &amp; SF'!B:H, 2, 0)</f>
        <v>ملصق - طلبات مارت</v>
      </c>
      <c r="J3437" s="184" t="str">
        <f>VLOOKUP(H3437, 'RM &amp; SF'!B:E, 4, 0)</f>
        <v>قطعة</v>
      </c>
      <c r="K3437" s="78">
        <v>1</v>
      </c>
      <c r="L3437" s="13">
        <f>VLOOKUP(H3437, 'RM &amp; SF'!B:H, 7, 0)</f>
        <v>1.15E-2</v>
      </c>
      <c r="M3437" s="15">
        <f t="shared" si="178"/>
        <v>1.15E-2</v>
      </c>
      <c r="N3437" s="21" t="s">
        <v>825</v>
      </c>
      <c r="O3437" s="4">
        <f>VLOOKUP(B3437, 'All Menu'!B:L, 6, 0)</f>
        <v>5.9109100780998691</v>
      </c>
      <c r="P3437" s="6">
        <f>VLOOKUP(B3437, 'All Menu'!B:L, 9, 0)</f>
        <v>3.8412006515459138</v>
      </c>
      <c r="Q3437" s="14">
        <f>VLOOKUP(B3437, 'All Menu'!B:M, 12, 0)</f>
        <v>0.35015072115921742</v>
      </c>
      <c r="R3437" s="173">
        <f t="shared" si="177"/>
        <v>0</v>
      </c>
    </row>
    <row r="3438" spans="1:18" ht="14" hidden="1">
      <c r="A3438" s="78" t="s">
        <v>2915</v>
      </c>
      <c r="B3438" s="220">
        <v>1223965891925</v>
      </c>
      <c r="C3438" s="185"/>
      <c r="D3438" s="30" t="s">
        <v>2090</v>
      </c>
      <c r="E3438" s="30" t="str">
        <f>VLOOKUP(B3438, 'All Menu'!B:M, 2, 0)</f>
        <v>قسم طلبات مارت</v>
      </c>
      <c r="F3438" s="103" t="str">
        <f>VLOOKUP(B3438, 'All Menu'!B:M, 3, 0)</f>
        <v>طلبات مارت</v>
      </c>
      <c r="G3438" s="90" t="s">
        <v>2445</v>
      </c>
      <c r="H3438" s="219" t="s">
        <v>668</v>
      </c>
      <c r="I3438" s="110" t="str">
        <f>VLOOKUP(H3438, 'RM &amp; SF'!B:H, 2, 0)</f>
        <v>دجاج مسحب بالفرن انترناشونال</v>
      </c>
      <c r="J3438" s="184" t="str">
        <f>VLOOKUP(H3438, 'RM &amp; SF'!B:E, 4, 0)</f>
        <v>غم</v>
      </c>
      <c r="K3438" s="78">
        <v>500</v>
      </c>
      <c r="L3438" s="13">
        <f>VLOOKUP(H3438, 'RM &amp; SF'!B:H, 7, 0)</f>
        <v>4.5947853888888886E-3</v>
      </c>
      <c r="M3438" s="15">
        <f t="shared" si="178"/>
        <v>2.2973926944444445</v>
      </c>
      <c r="N3438" s="21" t="s">
        <v>825</v>
      </c>
      <c r="O3438" s="4">
        <f>VLOOKUP(B3438, 'All Menu'!B:L, 6, 0)</f>
        <v>4.3491136309067686</v>
      </c>
      <c r="P3438" s="6">
        <f>VLOOKUP(B3438, 'All Menu'!B:L, 9, 0)</f>
        <v>3.3018352231800763</v>
      </c>
      <c r="Q3438" s="14">
        <f>VLOOKUP(B3438, 'All Menu'!B:M, 12, 0)</f>
        <v>0.2408027236364344</v>
      </c>
      <c r="R3438" s="173">
        <f t="shared" si="177"/>
        <v>0</v>
      </c>
    </row>
    <row r="3439" spans="1:18" ht="14" hidden="1">
      <c r="A3439" s="78" t="s">
        <v>2915</v>
      </c>
      <c r="B3439" s="220">
        <v>1223965891925</v>
      </c>
      <c r="C3439" s="185"/>
      <c r="D3439" s="30" t="s">
        <v>2090</v>
      </c>
      <c r="E3439" s="30" t="str">
        <f>VLOOKUP(B3439, 'All Menu'!B:M, 2, 0)</f>
        <v>قسم طلبات مارت</v>
      </c>
      <c r="F3439" s="103" t="str">
        <f>VLOOKUP(B3439, 'All Menu'!B:M, 3, 0)</f>
        <v>طلبات مارت</v>
      </c>
      <c r="G3439" s="90" t="s">
        <v>2234</v>
      </c>
      <c r="H3439" s="219">
        <v>4503</v>
      </c>
      <c r="I3439" s="110" t="str">
        <f>VLOOKUP(H3439, 'RM &amp; SF'!B:H, 2, 0)</f>
        <v>بصل ناشف دفش*****</v>
      </c>
      <c r="J3439" s="184" t="str">
        <f>VLOOKUP(H3439, 'RM &amp; SF'!B:E, 4, 0)</f>
        <v>غم</v>
      </c>
      <c r="K3439" s="78">
        <v>100</v>
      </c>
      <c r="L3439" s="13">
        <f>VLOOKUP(H3439, 'RM &amp; SF'!B:H, 7, 0)</f>
        <v>2.5000000000000001E-4</v>
      </c>
      <c r="M3439" s="15">
        <f t="shared" si="178"/>
        <v>2.5000000000000001E-2</v>
      </c>
      <c r="N3439" s="21" t="s">
        <v>825</v>
      </c>
      <c r="O3439" s="4">
        <f>VLOOKUP(B3439, 'All Menu'!B:L, 6, 0)</f>
        <v>4.3491136309067686</v>
      </c>
      <c r="P3439" s="6">
        <f>VLOOKUP(B3439, 'All Menu'!B:L, 9, 0)</f>
        <v>3.3018352231800763</v>
      </c>
      <c r="Q3439" s="14">
        <f>VLOOKUP(B3439, 'All Menu'!B:M, 12, 0)</f>
        <v>0.2408027236364344</v>
      </c>
      <c r="R3439" s="173">
        <f t="shared" si="177"/>
        <v>0</v>
      </c>
    </row>
    <row r="3440" spans="1:18" ht="15.5" hidden="1">
      <c r="A3440" s="78" t="s">
        <v>2915</v>
      </c>
      <c r="B3440" s="220">
        <v>1223965891925</v>
      </c>
      <c r="C3440" s="185"/>
      <c r="D3440" s="30" t="s">
        <v>2090</v>
      </c>
      <c r="E3440" s="30" t="str">
        <f>VLOOKUP(B3440, 'All Menu'!B:M, 2, 0)</f>
        <v>قسم طلبات مارت</v>
      </c>
      <c r="F3440" s="103" t="str">
        <f>VLOOKUP(B3440, 'All Menu'!B:M, 3, 0)</f>
        <v>طلبات مارت</v>
      </c>
      <c r="G3440" s="90" t="s">
        <v>2321</v>
      </c>
      <c r="H3440" s="67">
        <v>5292</v>
      </c>
      <c r="I3440" s="110" t="str">
        <f>VLOOKUP(H3440, 'RM &amp; SF'!B:H, 2, 0)</f>
        <v>ثوم مقشر*****</v>
      </c>
      <c r="J3440" s="184" t="str">
        <f>VLOOKUP(H3440, 'RM &amp; SF'!B:E, 4, 0)</f>
        <v>غم</v>
      </c>
      <c r="K3440" s="78">
        <v>100</v>
      </c>
      <c r="L3440" s="13">
        <f>VLOOKUP(H3440, 'RM &amp; SF'!B:H, 7, 0)</f>
        <v>4.4999999999999997E-3</v>
      </c>
      <c r="M3440" s="15">
        <f t="shared" si="178"/>
        <v>0.44999999999999996</v>
      </c>
      <c r="N3440" s="21" t="s">
        <v>825</v>
      </c>
      <c r="O3440" s="4">
        <f>VLOOKUP(B3440, 'All Menu'!B:L, 6, 0)</f>
        <v>4.3491136309067686</v>
      </c>
      <c r="P3440" s="6">
        <f>VLOOKUP(B3440, 'All Menu'!B:L, 9, 0)</f>
        <v>3.3018352231800763</v>
      </c>
      <c r="Q3440" s="14">
        <f>VLOOKUP(B3440, 'All Menu'!B:M, 12, 0)</f>
        <v>0.2408027236364344</v>
      </c>
      <c r="R3440" s="173">
        <f t="shared" si="177"/>
        <v>0</v>
      </c>
    </row>
    <row r="3441" spans="1:18" ht="14" hidden="1">
      <c r="A3441" s="78" t="s">
        <v>2915</v>
      </c>
      <c r="B3441" s="220">
        <v>1223965891925</v>
      </c>
      <c r="C3441" s="185"/>
      <c r="D3441" s="30" t="s">
        <v>2090</v>
      </c>
      <c r="E3441" s="30" t="str">
        <f>VLOOKUP(B3441, 'All Menu'!B:M, 2, 0)</f>
        <v>قسم طلبات مارت</v>
      </c>
      <c r="F3441" s="103" t="str">
        <f>VLOOKUP(B3441, 'All Menu'!B:M, 3, 0)</f>
        <v>طلبات مارت</v>
      </c>
      <c r="G3441" s="90" t="s">
        <v>2232</v>
      </c>
      <c r="H3441" s="219">
        <v>4500</v>
      </c>
      <c r="I3441" s="110" t="str">
        <f>VLOOKUP(H3441, 'RM &amp; SF'!B:H, 2, 0)</f>
        <v>فلفل حلو اخضر*****</v>
      </c>
      <c r="J3441" s="184" t="str">
        <f>VLOOKUP(H3441, 'RM &amp; SF'!B:E, 4, 0)</f>
        <v>غم</v>
      </c>
      <c r="K3441" s="78">
        <v>100</v>
      </c>
      <c r="L3441" s="13">
        <f>VLOOKUP(H3441, 'RM &amp; SF'!B:H, 7, 0)</f>
        <v>7.7999999999999999E-4</v>
      </c>
      <c r="M3441" s="15">
        <f t="shared" si="178"/>
        <v>7.8E-2</v>
      </c>
      <c r="N3441" s="21" t="s">
        <v>825</v>
      </c>
      <c r="O3441" s="4">
        <f>VLOOKUP(B3441, 'All Menu'!B:L, 6, 0)</f>
        <v>4.3491136309067686</v>
      </c>
      <c r="P3441" s="6">
        <f>VLOOKUP(B3441, 'All Menu'!B:L, 9, 0)</f>
        <v>3.3018352231800763</v>
      </c>
      <c r="Q3441" s="14">
        <f>VLOOKUP(B3441, 'All Menu'!B:M, 12, 0)</f>
        <v>0.2408027236364344</v>
      </c>
      <c r="R3441" s="173">
        <f t="shared" si="177"/>
        <v>0</v>
      </c>
    </row>
    <row r="3442" spans="1:18" ht="14" hidden="1">
      <c r="A3442" s="78" t="s">
        <v>2915</v>
      </c>
      <c r="B3442" s="220">
        <v>1223965891925</v>
      </c>
      <c r="C3442" s="185"/>
      <c r="D3442" s="30" t="s">
        <v>2090</v>
      </c>
      <c r="E3442" s="30" t="str">
        <f>VLOOKUP(B3442, 'All Menu'!B:M, 2, 0)</f>
        <v>قسم طلبات مارت</v>
      </c>
      <c r="F3442" s="103" t="str">
        <f>VLOOKUP(B3442, 'All Menu'!B:M, 3, 0)</f>
        <v>طلبات مارت</v>
      </c>
      <c r="G3442" s="90" t="s">
        <v>2233</v>
      </c>
      <c r="H3442" s="219">
        <v>4501</v>
      </c>
      <c r="I3442" s="110" t="str">
        <f>VLOOKUP(H3442, 'RM &amp; SF'!B:H, 2, 0)</f>
        <v>فلفل حلو احمر*****</v>
      </c>
      <c r="J3442" s="184" t="str">
        <f>VLOOKUP(H3442, 'RM &amp; SF'!B:E, 4, 0)</f>
        <v>غم</v>
      </c>
      <c r="K3442" s="78">
        <v>100</v>
      </c>
      <c r="L3442" s="13">
        <f>VLOOKUP(H3442, 'RM &amp; SF'!B:H, 7, 0)</f>
        <v>7.5000000000000002E-4</v>
      </c>
      <c r="M3442" s="15">
        <f t="shared" si="178"/>
        <v>7.4999999999999997E-2</v>
      </c>
      <c r="N3442" s="21" t="s">
        <v>825</v>
      </c>
      <c r="O3442" s="4">
        <f>VLOOKUP(B3442, 'All Menu'!B:L, 6, 0)</f>
        <v>4.3491136309067686</v>
      </c>
      <c r="P3442" s="6">
        <f>VLOOKUP(B3442, 'All Menu'!B:L, 9, 0)</f>
        <v>3.3018352231800763</v>
      </c>
      <c r="Q3442" s="14">
        <f>VLOOKUP(B3442, 'All Menu'!B:M, 12, 0)</f>
        <v>0.2408027236364344</v>
      </c>
      <c r="R3442" s="173">
        <f t="shared" si="177"/>
        <v>0</v>
      </c>
    </row>
    <row r="3443" spans="1:18" ht="14" hidden="1">
      <c r="A3443" s="78" t="s">
        <v>2915</v>
      </c>
      <c r="B3443" s="220">
        <v>1223965891925</v>
      </c>
      <c r="C3443" s="185"/>
      <c r="D3443" s="30" t="s">
        <v>2090</v>
      </c>
      <c r="E3443" s="30" t="str">
        <f>VLOOKUP(B3443, 'All Menu'!B:M, 2, 0)</f>
        <v>قسم طلبات مارت</v>
      </c>
      <c r="F3443" s="103" t="str">
        <f>VLOOKUP(B3443, 'All Menu'!B:M, 3, 0)</f>
        <v>طلبات مارت</v>
      </c>
      <c r="G3443" s="90" t="s">
        <v>3058</v>
      </c>
      <c r="H3443" s="219">
        <v>5424</v>
      </c>
      <c r="I3443" s="110" t="str">
        <f>VLOOKUP(H3443, 'RM &amp; SF'!B:H, 2, 0)</f>
        <v>علب قصدير مدور 1/2 كغ RZ 25*****</v>
      </c>
      <c r="J3443" s="184" t="str">
        <f>VLOOKUP(H3443, 'RM &amp; SF'!B:E, 4, 0)</f>
        <v>قطعة</v>
      </c>
      <c r="K3443" s="78">
        <v>1</v>
      </c>
      <c r="L3443" s="13">
        <f>VLOOKUP(H3443, 'RM &amp; SF'!B:H, 7, 0)</f>
        <v>0.1149425287356322</v>
      </c>
      <c r="M3443" s="15">
        <f t="shared" si="178"/>
        <v>0.1149425287356322</v>
      </c>
      <c r="N3443" s="21" t="s">
        <v>825</v>
      </c>
      <c r="O3443" s="4">
        <f>VLOOKUP(B3443, 'All Menu'!B:L, 6, 0)</f>
        <v>4.3491136309067686</v>
      </c>
      <c r="P3443" s="6">
        <f>VLOOKUP(B3443, 'All Menu'!B:L, 9, 0)</f>
        <v>3.3018352231800763</v>
      </c>
      <c r="Q3443" s="14">
        <f>VLOOKUP(B3443, 'All Menu'!B:M, 12, 0)</f>
        <v>0.2408027236364344</v>
      </c>
      <c r="R3443" s="173">
        <f t="shared" si="177"/>
        <v>0</v>
      </c>
    </row>
    <row r="3444" spans="1:18" ht="14" hidden="1">
      <c r="A3444" s="78" t="s">
        <v>2915</v>
      </c>
      <c r="B3444" s="220">
        <v>1223965891925</v>
      </c>
      <c r="C3444" s="185"/>
      <c r="D3444" s="30" t="s">
        <v>2090</v>
      </c>
      <c r="E3444" s="30" t="str">
        <f>VLOOKUP(B3444, 'All Menu'!B:M, 2, 0)</f>
        <v>قسم طلبات مارت</v>
      </c>
      <c r="F3444" s="103" t="str">
        <f>VLOOKUP(B3444, 'All Menu'!B:M, 3, 0)</f>
        <v>طلبات مارت</v>
      </c>
      <c r="G3444" s="90" t="s">
        <v>3058</v>
      </c>
      <c r="H3444" s="219">
        <v>4274</v>
      </c>
      <c r="I3444" s="110" t="str">
        <f>VLOOKUP(H3444, 'RM &amp; SF'!B:H, 2, 0)</f>
        <v>علب المركزية مطبوع + قاطع رقم 1 1*100 حبة*****</v>
      </c>
      <c r="J3444" s="184" t="str">
        <f>VLOOKUP(H3444, 'RM &amp; SF'!B:E, 4, 0)</f>
        <v>قطعة</v>
      </c>
      <c r="K3444" s="78">
        <v>1</v>
      </c>
      <c r="L3444" s="13">
        <f>VLOOKUP(H3444, 'RM &amp; SF'!B:H, 7, 0)</f>
        <v>0.25</v>
      </c>
      <c r="M3444" s="15">
        <f t="shared" si="178"/>
        <v>0.25</v>
      </c>
      <c r="N3444" s="21" t="s">
        <v>825</v>
      </c>
      <c r="O3444" s="4">
        <f>VLOOKUP(B3444, 'All Menu'!B:L, 6, 0)</f>
        <v>4.3491136309067686</v>
      </c>
      <c r="P3444" s="6">
        <f>VLOOKUP(B3444, 'All Menu'!B:L, 9, 0)</f>
        <v>3.3018352231800763</v>
      </c>
      <c r="Q3444" s="14">
        <f>VLOOKUP(B3444, 'All Menu'!B:M, 12, 0)</f>
        <v>0.2408027236364344</v>
      </c>
      <c r="R3444" s="173">
        <f t="shared" si="177"/>
        <v>0</v>
      </c>
    </row>
    <row r="3445" spans="1:18" ht="14" hidden="1">
      <c r="A3445" s="78" t="s">
        <v>2915</v>
      </c>
      <c r="B3445" s="220">
        <v>1223965891925</v>
      </c>
      <c r="C3445" s="185"/>
      <c r="D3445" s="30" t="s">
        <v>2090</v>
      </c>
      <c r="E3445" s="30" t="str">
        <f>VLOOKUP(B3445, 'All Menu'!B:M, 2, 0)</f>
        <v>قسم طلبات مارت</v>
      </c>
      <c r="F3445" s="103" t="str">
        <f>VLOOKUP(B3445, 'All Menu'!B:M, 3, 0)</f>
        <v>طلبات مارت</v>
      </c>
      <c r="G3445" s="90" t="s">
        <v>3058</v>
      </c>
      <c r="H3445" s="219">
        <v>5372</v>
      </c>
      <c r="I3445" s="110" t="str">
        <f>VLOOKUP(H3445, 'RM &amp; SF'!B:H, 2, 0)</f>
        <v>ملصق - طلبات مارت</v>
      </c>
      <c r="J3445" s="184" t="str">
        <f>VLOOKUP(H3445, 'RM &amp; SF'!B:E, 4, 0)</f>
        <v>قطعة</v>
      </c>
      <c r="K3445" s="78">
        <v>1</v>
      </c>
      <c r="L3445" s="13">
        <f>VLOOKUP(H3445, 'RM &amp; SF'!B:H, 7, 0)</f>
        <v>1.15E-2</v>
      </c>
      <c r="M3445" s="15">
        <f t="shared" si="178"/>
        <v>1.15E-2</v>
      </c>
      <c r="N3445" s="21" t="s">
        <v>825</v>
      </c>
      <c r="O3445" s="4">
        <f>VLOOKUP(B3445, 'All Menu'!B:L, 6, 0)</f>
        <v>4.3491136309067686</v>
      </c>
      <c r="P3445" s="6">
        <f>VLOOKUP(B3445, 'All Menu'!B:L, 9, 0)</f>
        <v>3.3018352231800763</v>
      </c>
      <c r="Q3445" s="14">
        <f>VLOOKUP(B3445, 'All Menu'!B:M, 12, 0)</f>
        <v>0.2408027236364344</v>
      </c>
      <c r="R3445" s="173">
        <f t="shared" si="177"/>
        <v>0</v>
      </c>
    </row>
    <row r="3446" spans="1:18" ht="14" hidden="1">
      <c r="A3446" s="78" t="s">
        <v>2997</v>
      </c>
      <c r="B3446" s="220" t="s">
        <v>1288</v>
      </c>
      <c r="C3446" s="185"/>
      <c r="D3446" s="30" t="s">
        <v>2091</v>
      </c>
      <c r="E3446" s="30" t="str">
        <f>VLOOKUP(B3446, 'All Menu'!B:M, 2, 0)</f>
        <v>قسم طلبات مارت</v>
      </c>
      <c r="F3446" s="103" t="str">
        <f>VLOOKUP(B3446, 'All Menu'!B:M, 3, 0)</f>
        <v>طلبات مارت</v>
      </c>
      <c r="G3446" s="90" t="s">
        <v>3058</v>
      </c>
      <c r="H3446" s="219">
        <v>4598</v>
      </c>
      <c r="I3446" s="110" t="str">
        <f>VLOOKUP(H3446, 'RM &amp; SF'!B:H, 2, 0)</f>
        <v>لية خروف نية*****</v>
      </c>
      <c r="J3446" s="184" t="str">
        <f>VLOOKUP(H3446, 'RM &amp; SF'!B:E, 4, 0)</f>
        <v>غم</v>
      </c>
      <c r="K3446" s="78">
        <v>250</v>
      </c>
      <c r="L3446" s="13">
        <f>VLOOKUP(H3446, 'RM &amp; SF'!B:H, 7, 0)</f>
        <v>5.0000000000000001E-3</v>
      </c>
      <c r="M3446" s="15">
        <f t="shared" si="178"/>
        <v>1.25</v>
      </c>
      <c r="N3446" s="21" t="s">
        <v>825</v>
      </c>
      <c r="O3446" s="4">
        <f>VLOOKUP(B3446, 'All Menu'!B:L, 6, 0)</f>
        <v>2.2326476136363635</v>
      </c>
      <c r="P3446" s="6">
        <f>VLOOKUP(B3446, 'All Menu'!B:L, 9, 0)</f>
        <v>1.413547425</v>
      </c>
      <c r="Q3446" s="14">
        <f>VLOOKUP(B3446, 'All Menu'!B:M, 12, 0)</f>
        <v>0.36687392297536675</v>
      </c>
      <c r="R3446" s="173">
        <f t="shared" si="177"/>
        <v>0</v>
      </c>
    </row>
    <row r="3447" spans="1:18" ht="14" hidden="1">
      <c r="A3447" s="78" t="s">
        <v>2997</v>
      </c>
      <c r="B3447" s="220" t="s">
        <v>1288</v>
      </c>
      <c r="C3447" s="185"/>
      <c r="D3447" s="30" t="s">
        <v>2091</v>
      </c>
      <c r="E3447" s="30" t="str">
        <f>VLOOKUP(B3447, 'All Menu'!B:M, 2, 0)</f>
        <v>قسم طلبات مارت</v>
      </c>
      <c r="F3447" s="103" t="str">
        <f>VLOOKUP(B3447, 'All Menu'!B:M, 3, 0)</f>
        <v>طلبات مارت</v>
      </c>
      <c r="G3447" s="90" t="s">
        <v>3058</v>
      </c>
      <c r="H3447" s="219" t="s">
        <v>292</v>
      </c>
      <c r="I3447" s="110" t="str">
        <f>VLOOKUP(H3447, 'RM &amp; SF'!B:H, 2, 0)</f>
        <v>صحن جديد - طلبات مارت</v>
      </c>
      <c r="J3447" s="184" t="str">
        <f>VLOOKUP(H3447, 'RM &amp; SF'!B:E, 4, 0)</f>
        <v>قطعة</v>
      </c>
      <c r="K3447" s="78">
        <v>1</v>
      </c>
      <c r="L3447" s="13">
        <f>VLOOKUP(H3447, 'RM &amp; SF'!B:H, 7, 0)</f>
        <v>0.15</v>
      </c>
      <c r="M3447" s="15">
        <f t="shared" si="178"/>
        <v>0.15</v>
      </c>
      <c r="N3447" s="21" t="s">
        <v>825</v>
      </c>
      <c r="O3447" s="4">
        <f>VLOOKUP(B3447, 'All Menu'!B:L, 6, 0)</f>
        <v>2.2326476136363635</v>
      </c>
      <c r="P3447" s="6">
        <f>VLOOKUP(B3447, 'All Menu'!B:L, 9, 0)</f>
        <v>1.413547425</v>
      </c>
      <c r="Q3447" s="14">
        <f>VLOOKUP(B3447, 'All Menu'!B:M, 12, 0)</f>
        <v>0.36687392297536675</v>
      </c>
      <c r="R3447" s="173">
        <f t="shared" si="177"/>
        <v>0</v>
      </c>
    </row>
    <row r="3448" spans="1:18" ht="14" hidden="1">
      <c r="A3448" s="78" t="s">
        <v>2997</v>
      </c>
      <c r="B3448" s="220" t="s">
        <v>1288</v>
      </c>
      <c r="C3448" s="185"/>
      <c r="D3448" s="30" t="s">
        <v>2091</v>
      </c>
      <c r="E3448" s="30" t="str">
        <f>VLOOKUP(B3448, 'All Menu'!B:M, 2, 0)</f>
        <v>قسم طلبات مارت</v>
      </c>
      <c r="F3448" s="103" t="str">
        <f>VLOOKUP(B3448, 'All Menu'!B:M, 3, 0)</f>
        <v>طلبات مارت</v>
      </c>
      <c r="G3448" s="90" t="s">
        <v>3058</v>
      </c>
      <c r="H3448" s="219">
        <v>5274</v>
      </c>
      <c r="I3448" s="110" t="str">
        <f>VLOOKUP(H3448, 'RM &amp; SF'!B:H, 2, 0)</f>
        <v>نايلون للتغليف رول (رول جيلاتين) 45 سم*4 كغ*****</v>
      </c>
      <c r="J3448" s="184" t="str">
        <f>VLOOKUP(H3448, 'RM &amp; SF'!B:E, 4, 0)</f>
        <v>غم</v>
      </c>
      <c r="K3448" s="78">
        <v>1</v>
      </c>
      <c r="L3448" s="13">
        <f>VLOOKUP(H3448, 'RM &amp; SF'!B:H, 7, 0)</f>
        <v>2.0474249999999999E-3</v>
      </c>
      <c r="M3448" s="15">
        <f t="shared" si="178"/>
        <v>2.0474249999999999E-3</v>
      </c>
      <c r="N3448" s="21" t="s">
        <v>825</v>
      </c>
      <c r="O3448" s="4">
        <f>VLOOKUP(B3448, 'All Menu'!B:L, 6, 0)</f>
        <v>2.2326476136363635</v>
      </c>
      <c r="P3448" s="6">
        <f>VLOOKUP(B3448, 'All Menu'!B:L, 9, 0)</f>
        <v>1.413547425</v>
      </c>
      <c r="Q3448" s="14">
        <f>VLOOKUP(B3448, 'All Menu'!B:M, 12, 0)</f>
        <v>0.36687392297536675</v>
      </c>
      <c r="R3448" s="173">
        <f t="shared" si="177"/>
        <v>0</v>
      </c>
    </row>
    <row r="3449" spans="1:18" ht="14" hidden="1">
      <c r="A3449" s="78" t="s">
        <v>2997</v>
      </c>
      <c r="B3449" s="220" t="s">
        <v>1288</v>
      </c>
      <c r="C3449" s="185"/>
      <c r="D3449" s="30" t="s">
        <v>2091</v>
      </c>
      <c r="E3449" s="30" t="str">
        <f>VLOOKUP(B3449, 'All Menu'!B:M, 2, 0)</f>
        <v>قسم طلبات مارت</v>
      </c>
      <c r="F3449" s="103" t="str">
        <f>VLOOKUP(B3449, 'All Menu'!B:M, 3, 0)</f>
        <v>طلبات مارت</v>
      </c>
      <c r="G3449" s="90" t="s">
        <v>3058</v>
      </c>
      <c r="H3449" s="219">
        <v>5372</v>
      </c>
      <c r="I3449" s="110" t="str">
        <f>VLOOKUP(H3449, 'RM &amp; SF'!B:H, 2, 0)</f>
        <v>ملصق - طلبات مارت</v>
      </c>
      <c r="J3449" s="184" t="str">
        <f>VLOOKUP(H3449, 'RM &amp; SF'!B:E, 4, 0)</f>
        <v>قطعة</v>
      </c>
      <c r="K3449" s="78">
        <v>1</v>
      </c>
      <c r="L3449" s="13">
        <f>VLOOKUP(H3449, 'RM &amp; SF'!B:H, 7, 0)</f>
        <v>1.15E-2</v>
      </c>
      <c r="M3449" s="15">
        <f t="shared" si="178"/>
        <v>1.15E-2</v>
      </c>
      <c r="N3449" s="21" t="s">
        <v>825</v>
      </c>
      <c r="O3449" s="4">
        <f>VLOOKUP(B3449, 'All Menu'!B:L, 6, 0)</f>
        <v>2.2326476136363635</v>
      </c>
      <c r="P3449" s="6">
        <f>VLOOKUP(B3449, 'All Menu'!B:L, 9, 0)</f>
        <v>1.413547425</v>
      </c>
      <c r="Q3449" s="14">
        <f>VLOOKUP(B3449, 'All Menu'!B:M, 12, 0)</f>
        <v>0.36687392297536675</v>
      </c>
      <c r="R3449" s="173">
        <f t="shared" si="177"/>
        <v>0</v>
      </c>
    </row>
    <row r="3450" spans="1:18" ht="14" hidden="1">
      <c r="A3450" s="78" t="s">
        <v>2938</v>
      </c>
      <c r="B3450" s="220" t="s">
        <v>1287</v>
      </c>
      <c r="C3450" s="185"/>
      <c r="D3450" s="30" t="s">
        <v>2106</v>
      </c>
      <c r="E3450" s="30" t="str">
        <f>VLOOKUP(B3450, 'All Menu'!B:M, 2, 0)</f>
        <v>قسم طلبات مارت</v>
      </c>
      <c r="F3450" s="103" t="str">
        <f>VLOOKUP(B3450, 'All Menu'!B:M, 3, 0)</f>
        <v>طلبات مارت</v>
      </c>
      <c r="G3450" s="90" t="s">
        <v>2312</v>
      </c>
      <c r="H3450" s="219">
        <v>5285</v>
      </c>
      <c r="I3450" s="110" t="str">
        <f>VLOOKUP(H3450, 'RM &amp; SF'!B:H, 2, 0)</f>
        <v>دجاج المركزية الكامل</v>
      </c>
      <c r="J3450" s="184" t="str">
        <f>VLOOKUP(H3450, 'RM &amp; SF'!B:E, 4, 0)</f>
        <v>غم</v>
      </c>
      <c r="K3450" s="78">
        <v>1000</v>
      </c>
      <c r="L3450" s="13">
        <f>VLOOKUP(H3450, 'RM &amp; SF'!B:H, 7, 0)</f>
        <v>1.75E-3</v>
      </c>
      <c r="M3450" s="15">
        <f t="shared" si="178"/>
        <v>1.75</v>
      </c>
      <c r="N3450" s="21" t="s">
        <v>825</v>
      </c>
      <c r="O3450" s="4">
        <f>VLOOKUP(B3450, 'All Menu'!B:L, 6, 0)</f>
        <v>2.6313965666666665</v>
      </c>
      <c r="P3450" s="6">
        <f>VLOOKUP(B3450, 'All Menu'!B:L, 9, 0)</f>
        <v>1.913547425</v>
      </c>
      <c r="Q3450" s="14">
        <f>VLOOKUP(B3450, 'All Menu'!B:M, 12, 0)</f>
        <v>0.27280158025591911</v>
      </c>
      <c r="R3450" s="173">
        <f t="shared" si="177"/>
        <v>0</v>
      </c>
    </row>
    <row r="3451" spans="1:18" ht="14" hidden="1">
      <c r="A3451" s="78" t="s">
        <v>2938</v>
      </c>
      <c r="B3451" s="220" t="s">
        <v>1287</v>
      </c>
      <c r="C3451" s="185"/>
      <c r="D3451" s="30" t="s">
        <v>2106</v>
      </c>
      <c r="E3451" s="30" t="str">
        <f>VLOOKUP(B3451, 'All Menu'!B:M, 2, 0)</f>
        <v>قسم طلبات مارت</v>
      </c>
      <c r="F3451" s="103" t="str">
        <f>VLOOKUP(B3451, 'All Menu'!B:M, 3, 0)</f>
        <v>طلبات مارت</v>
      </c>
      <c r="G3451" s="90" t="s">
        <v>3058</v>
      </c>
      <c r="H3451" s="219" t="s">
        <v>292</v>
      </c>
      <c r="I3451" s="110" t="str">
        <f>VLOOKUP(H3451, 'RM &amp; SF'!B:H, 2, 0)</f>
        <v>صحن جديد - طلبات مارت</v>
      </c>
      <c r="J3451" s="184" t="str">
        <f>VLOOKUP(H3451, 'RM &amp; SF'!B:E, 4, 0)</f>
        <v>قطعة</v>
      </c>
      <c r="K3451" s="78">
        <v>1</v>
      </c>
      <c r="L3451" s="13">
        <f>VLOOKUP(H3451, 'RM &amp; SF'!B:H, 7, 0)</f>
        <v>0.15</v>
      </c>
      <c r="M3451" s="15">
        <f t="shared" si="178"/>
        <v>0.15</v>
      </c>
      <c r="N3451" s="21" t="s">
        <v>825</v>
      </c>
      <c r="O3451" s="4">
        <f>VLOOKUP(B3451, 'All Menu'!B:L, 6, 0)</f>
        <v>2.6313965666666665</v>
      </c>
      <c r="P3451" s="6">
        <f>VLOOKUP(B3451, 'All Menu'!B:L, 9, 0)</f>
        <v>1.913547425</v>
      </c>
      <c r="Q3451" s="14">
        <f>VLOOKUP(B3451, 'All Menu'!B:M, 12, 0)</f>
        <v>0.27280158025591911</v>
      </c>
      <c r="R3451" s="173">
        <f t="shared" si="177"/>
        <v>0</v>
      </c>
    </row>
    <row r="3452" spans="1:18" ht="14" hidden="1">
      <c r="A3452" s="78" t="s">
        <v>2938</v>
      </c>
      <c r="B3452" s="220" t="s">
        <v>1287</v>
      </c>
      <c r="C3452" s="185"/>
      <c r="D3452" s="30" t="s">
        <v>2106</v>
      </c>
      <c r="E3452" s="30" t="str">
        <f>VLOOKUP(B3452, 'All Menu'!B:M, 2, 0)</f>
        <v>قسم طلبات مارت</v>
      </c>
      <c r="F3452" s="103" t="str">
        <f>VLOOKUP(B3452, 'All Menu'!B:M, 3, 0)</f>
        <v>طلبات مارت</v>
      </c>
      <c r="G3452" s="90" t="s">
        <v>3058</v>
      </c>
      <c r="H3452" s="219">
        <v>5274</v>
      </c>
      <c r="I3452" s="110" t="str">
        <f>VLOOKUP(H3452, 'RM &amp; SF'!B:H, 2, 0)</f>
        <v>نايلون للتغليف رول (رول جيلاتين) 45 سم*4 كغ*****</v>
      </c>
      <c r="J3452" s="184" t="str">
        <f>VLOOKUP(H3452, 'RM &amp; SF'!B:E, 4, 0)</f>
        <v>غم</v>
      </c>
      <c r="K3452" s="78">
        <v>1</v>
      </c>
      <c r="L3452" s="13">
        <f>VLOOKUP(H3452, 'RM &amp; SF'!B:H, 7, 0)</f>
        <v>2.0474249999999999E-3</v>
      </c>
      <c r="M3452" s="15">
        <f t="shared" si="178"/>
        <v>2.0474249999999999E-3</v>
      </c>
      <c r="N3452" s="21" t="s">
        <v>825</v>
      </c>
      <c r="O3452" s="4">
        <f>VLOOKUP(B3452, 'All Menu'!B:L, 6, 0)</f>
        <v>2.6313965666666665</v>
      </c>
      <c r="P3452" s="6">
        <f>VLOOKUP(B3452, 'All Menu'!B:L, 9, 0)</f>
        <v>1.913547425</v>
      </c>
      <c r="Q3452" s="14">
        <f>VLOOKUP(B3452, 'All Menu'!B:M, 12, 0)</f>
        <v>0.27280158025591911</v>
      </c>
      <c r="R3452" s="173">
        <f t="shared" si="177"/>
        <v>0</v>
      </c>
    </row>
    <row r="3453" spans="1:18" ht="14" hidden="1">
      <c r="A3453" s="78" t="s">
        <v>2938</v>
      </c>
      <c r="B3453" s="220" t="s">
        <v>1287</v>
      </c>
      <c r="C3453" s="185"/>
      <c r="D3453" s="30" t="s">
        <v>2106</v>
      </c>
      <c r="E3453" s="30" t="str">
        <f>VLOOKUP(B3453, 'All Menu'!B:M, 2, 0)</f>
        <v>قسم طلبات مارت</v>
      </c>
      <c r="F3453" s="103" t="str">
        <f>VLOOKUP(B3453, 'All Menu'!B:M, 3, 0)</f>
        <v>طلبات مارت</v>
      </c>
      <c r="G3453" s="90" t="s">
        <v>3058</v>
      </c>
      <c r="H3453" s="219">
        <v>5372</v>
      </c>
      <c r="I3453" s="110" t="str">
        <f>VLOOKUP(H3453, 'RM &amp; SF'!B:H, 2, 0)</f>
        <v>ملصق - طلبات مارت</v>
      </c>
      <c r="J3453" s="184" t="str">
        <f>VLOOKUP(H3453, 'RM &amp; SF'!B:E, 4, 0)</f>
        <v>قطعة</v>
      </c>
      <c r="K3453" s="78">
        <v>1</v>
      </c>
      <c r="L3453" s="13">
        <f>VLOOKUP(H3453, 'RM &amp; SF'!B:H, 7, 0)</f>
        <v>1.15E-2</v>
      </c>
      <c r="M3453" s="15">
        <f t="shared" si="178"/>
        <v>1.15E-2</v>
      </c>
      <c r="N3453" s="21" t="s">
        <v>825</v>
      </c>
      <c r="O3453" s="4">
        <f>VLOOKUP(B3453, 'All Menu'!B:L, 6, 0)</f>
        <v>2.6313965666666665</v>
      </c>
      <c r="P3453" s="6">
        <f>VLOOKUP(B3453, 'All Menu'!B:L, 9, 0)</f>
        <v>1.913547425</v>
      </c>
      <c r="Q3453" s="14">
        <f>VLOOKUP(B3453, 'All Menu'!B:M, 12, 0)</f>
        <v>0.27280158025591911</v>
      </c>
      <c r="R3453" s="173">
        <f t="shared" si="177"/>
        <v>0</v>
      </c>
    </row>
    <row r="3454" spans="1:18" ht="14" hidden="1">
      <c r="A3454" s="78" t="s">
        <v>3171</v>
      </c>
      <c r="B3454" s="220">
        <v>1223965891949</v>
      </c>
      <c r="C3454" s="185"/>
      <c r="D3454" s="30" t="s">
        <v>2092</v>
      </c>
      <c r="E3454" s="30" t="str">
        <f>VLOOKUP(B3454, 'All Menu'!B:M, 2, 0)</f>
        <v>قسم طلبات مارت</v>
      </c>
      <c r="F3454" s="103" t="str">
        <f>VLOOKUP(B3454, 'All Menu'!B:M, 3, 0)</f>
        <v>طلبات مارت</v>
      </c>
      <c r="G3454" s="90" t="s">
        <v>3058</v>
      </c>
      <c r="H3454" s="219">
        <v>4606</v>
      </c>
      <c r="I3454" s="110" t="str">
        <f>VLOOKUP(H3454, 'RM &amp; SF'!B:H, 2, 0)</f>
        <v>أضلاع خروف (قص خروف) مع عظم*****</v>
      </c>
      <c r="J3454" s="184" t="str">
        <f>VLOOKUP(H3454, 'RM &amp; SF'!B:E, 4, 0)</f>
        <v>غم</v>
      </c>
      <c r="K3454" s="78">
        <v>500</v>
      </c>
      <c r="L3454" s="13">
        <f>VLOOKUP(H3454, 'RM &amp; SF'!B:H, 7, 0)</f>
        <v>1.0500000000000001E-2</v>
      </c>
      <c r="M3454" s="15">
        <f t="shared" si="178"/>
        <v>5.25</v>
      </c>
      <c r="N3454" s="21" t="s">
        <v>825</v>
      </c>
      <c r="O3454" s="4">
        <f>VLOOKUP(B3454, 'All Menu'!B:L, 6, 0)</f>
        <v>7.32827195855615</v>
      </c>
      <c r="P3454" s="6">
        <f>VLOOKUP(B3454, 'All Menu'!B:L, 9, 0)</f>
        <v>5.413547425</v>
      </c>
      <c r="Q3454" s="14">
        <f>VLOOKUP(B3454, 'All Menu'!B:M, 12, 0)</f>
        <v>0.26127913161309557</v>
      </c>
      <c r="R3454" s="173">
        <f t="shared" si="177"/>
        <v>0</v>
      </c>
    </row>
    <row r="3455" spans="1:18" ht="14" hidden="1">
      <c r="A3455" s="78" t="s">
        <v>3171</v>
      </c>
      <c r="B3455" s="220">
        <v>1223965891949</v>
      </c>
      <c r="C3455" s="185"/>
      <c r="D3455" s="30" t="s">
        <v>2092</v>
      </c>
      <c r="E3455" s="30" t="str">
        <f>VLOOKUP(B3455, 'All Menu'!B:M, 2, 0)</f>
        <v>قسم طلبات مارت</v>
      </c>
      <c r="F3455" s="103" t="str">
        <f>VLOOKUP(B3455, 'All Menu'!B:M, 3, 0)</f>
        <v>طلبات مارت</v>
      </c>
      <c r="G3455" s="90" t="s">
        <v>3058</v>
      </c>
      <c r="H3455" s="219" t="s">
        <v>292</v>
      </c>
      <c r="I3455" s="110" t="str">
        <f>VLOOKUP(H3455, 'RM &amp; SF'!B:H, 2, 0)</f>
        <v>صحن جديد - طلبات مارت</v>
      </c>
      <c r="J3455" s="184" t="str">
        <f>VLOOKUP(H3455, 'RM &amp; SF'!B:E, 4, 0)</f>
        <v>قطعة</v>
      </c>
      <c r="K3455" s="78">
        <v>1</v>
      </c>
      <c r="L3455" s="13">
        <f>VLOOKUP(H3455, 'RM &amp; SF'!B:H, 7, 0)</f>
        <v>0.15</v>
      </c>
      <c r="M3455" s="15">
        <f t="shared" si="178"/>
        <v>0.15</v>
      </c>
      <c r="N3455" s="21" t="s">
        <v>825</v>
      </c>
      <c r="O3455" s="4">
        <f>VLOOKUP(B3455, 'All Menu'!B:L, 6, 0)</f>
        <v>7.32827195855615</v>
      </c>
      <c r="P3455" s="6">
        <f>VLOOKUP(B3455, 'All Menu'!B:L, 9, 0)</f>
        <v>5.413547425</v>
      </c>
      <c r="Q3455" s="14">
        <f>VLOOKUP(B3455, 'All Menu'!B:M, 12, 0)</f>
        <v>0.26127913161309557</v>
      </c>
      <c r="R3455" s="173">
        <f t="shared" si="177"/>
        <v>0</v>
      </c>
    </row>
    <row r="3456" spans="1:18" ht="14" hidden="1">
      <c r="A3456" s="78" t="s">
        <v>3171</v>
      </c>
      <c r="B3456" s="220">
        <v>1223965891949</v>
      </c>
      <c r="C3456" s="185"/>
      <c r="D3456" s="30" t="s">
        <v>2092</v>
      </c>
      <c r="E3456" s="30" t="str">
        <f>VLOOKUP(B3456, 'All Menu'!B:M, 2, 0)</f>
        <v>قسم طلبات مارت</v>
      </c>
      <c r="F3456" s="103" t="str">
        <f>VLOOKUP(B3456, 'All Menu'!B:M, 3, 0)</f>
        <v>طلبات مارت</v>
      </c>
      <c r="G3456" s="90" t="s">
        <v>3058</v>
      </c>
      <c r="H3456" s="219">
        <v>5274</v>
      </c>
      <c r="I3456" s="110" t="str">
        <f>VLOOKUP(H3456, 'RM &amp; SF'!B:H, 2, 0)</f>
        <v>نايلون للتغليف رول (رول جيلاتين) 45 سم*4 كغ*****</v>
      </c>
      <c r="J3456" s="184" t="str">
        <f>VLOOKUP(H3456, 'RM &amp; SF'!B:E, 4, 0)</f>
        <v>غم</v>
      </c>
      <c r="K3456" s="78">
        <v>1</v>
      </c>
      <c r="L3456" s="13">
        <f>VLOOKUP(H3456, 'RM &amp; SF'!B:H, 7, 0)</f>
        <v>2.0474249999999999E-3</v>
      </c>
      <c r="M3456" s="15">
        <f t="shared" si="178"/>
        <v>2.0474249999999999E-3</v>
      </c>
      <c r="N3456" s="21" t="s">
        <v>825</v>
      </c>
      <c r="O3456" s="4">
        <f>VLOOKUP(B3456, 'All Menu'!B:L, 6, 0)</f>
        <v>7.32827195855615</v>
      </c>
      <c r="P3456" s="6">
        <f>VLOOKUP(B3456, 'All Menu'!B:L, 9, 0)</f>
        <v>5.413547425</v>
      </c>
      <c r="Q3456" s="14">
        <f>VLOOKUP(B3456, 'All Menu'!B:M, 12, 0)</f>
        <v>0.26127913161309557</v>
      </c>
      <c r="R3456" s="173">
        <f t="shared" si="177"/>
        <v>0</v>
      </c>
    </row>
    <row r="3457" spans="1:18" ht="14" hidden="1">
      <c r="A3457" s="78" t="s">
        <v>3171</v>
      </c>
      <c r="B3457" s="220">
        <v>1223965891949</v>
      </c>
      <c r="C3457" s="185"/>
      <c r="D3457" s="30" t="s">
        <v>2092</v>
      </c>
      <c r="E3457" s="30" t="str">
        <f>VLOOKUP(B3457, 'All Menu'!B:M, 2, 0)</f>
        <v>قسم طلبات مارت</v>
      </c>
      <c r="F3457" s="103" t="str">
        <f>VLOOKUP(B3457, 'All Menu'!B:M, 3, 0)</f>
        <v>طلبات مارت</v>
      </c>
      <c r="G3457" s="90" t="s">
        <v>3058</v>
      </c>
      <c r="H3457" s="219">
        <v>5372</v>
      </c>
      <c r="I3457" s="110" t="str">
        <f>VLOOKUP(H3457, 'RM &amp; SF'!B:H, 2, 0)</f>
        <v>ملصق - طلبات مارت</v>
      </c>
      <c r="J3457" s="184" t="str">
        <f>VLOOKUP(H3457, 'RM &amp; SF'!B:E, 4, 0)</f>
        <v>قطعة</v>
      </c>
      <c r="K3457" s="78">
        <v>1</v>
      </c>
      <c r="L3457" s="13">
        <f>VLOOKUP(H3457, 'RM &amp; SF'!B:H, 7, 0)</f>
        <v>1.15E-2</v>
      </c>
      <c r="M3457" s="15">
        <f t="shared" si="178"/>
        <v>1.15E-2</v>
      </c>
      <c r="N3457" s="21" t="s">
        <v>825</v>
      </c>
      <c r="O3457" s="4">
        <f>VLOOKUP(B3457, 'All Menu'!B:L, 6, 0)</f>
        <v>7.32827195855615</v>
      </c>
      <c r="P3457" s="6">
        <f>VLOOKUP(B3457, 'All Menu'!B:L, 9, 0)</f>
        <v>5.413547425</v>
      </c>
      <c r="Q3457" s="14">
        <f>VLOOKUP(B3457, 'All Menu'!B:M, 12, 0)</f>
        <v>0.26127913161309557</v>
      </c>
      <c r="R3457" s="173">
        <f t="shared" si="177"/>
        <v>0</v>
      </c>
    </row>
    <row r="3458" spans="1:18" ht="14" hidden="1">
      <c r="A3458" s="78">
        <v>0</v>
      </c>
      <c r="B3458" s="4" t="s">
        <v>1921</v>
      </c>
      <c r="C3458" s="185"/>
      <c r="D3458" s="263" t="s">
        <v>1922</v>
      </c>
      <c r="E3458" s="30" t="str">
        <f>VLOOKUP(B3458, 'All Menu'!B:M, 2, 0)</f>
        <v>قسم اشتراكات</v>
      </c>
      <c r="F3458" s="103" t="str">
        <f>VLOOKUP(B3458, 'All Menu'!B:M, 3, 0)</f>
        <v>اشتراكات</v>
      </c>
      <c r="G3458" s="90" t="s">
        <v>2388</v>
      </c>
      <c r="H3458" s="4" t="s">
        <v>558</v>
      </c>
      <c r="I3458" s="110" t="str">
        <f>VLOOKUP(H3458, 'RM &amp; SF'!B:H, 2, 0)</f>
        <v xml:space="preserve">كبسة </v>
      </c>
      <c r="J3458" s="184" t="str">
        <f>VLOOKUP(H3458, 'RM &amp; SF'!B:E, 4, 0)</f>
        <v>غم</v>
      </c>
      <c r="K3458" s="78">
        <v>500</v>
      </c>
      <c r="L3458" s="13">
        <f>VLOOKUP(H3458, 'RM &amp; SF'!B:H, 7, 0)</f>
        <v>6.3725786356821576E-4</v>
      </c>
      <c r="M3458" s="15">
        <f t="shared" ref="M3458:M3463" si="179">L3458*K3458</f>
        <v>0.31862893178410789</v>
      </c>
      <c r="N3458" s="21" t="s">
        <v>825</v>
      </c>
      <c r="O3458" s="4">
        <f>VLOOKUP(B3458, 'All Menu'!B:L, 6, 0)</f>
        <v>3.75</v>
      </c>
      <c r="P3458" s="6">
        <f>VLOOKUP(B3458, 'All Menu'!B:L, 9, 0)</f>
        <v>1.9936646727101242</v>
      </c>
      <c r="Q3458" s="14">
        <f>VLOOKUP(B3458, 'All Menu'!B:M, 12, 0)</f>
        <v>0.46835608727730021</v>
      </c>
      <c r="R3458" s="173">
        <f t="shared" si="177"/>
        <v>0</v>
      </c>
    </row>
    <row r="3459" spans="1:18" ht="14" hidden="1">
      <c r="A3459" s="78">
        <v>0</v>
      </c>
      <c r="B3459" s="4" t="s">
        <v>1921</v>
      </c>
      <c r="C3459" s="185"/>
      <c r="D3459" s="263" t="s">
        <v>1922</v>
      </c>
      <c r="E3459" s="30" t="str">
        <f>VLOOKUP(B3459, 'All Menu'!B:M, 2, 0)</f>
        <v>قسم اشتراكات</v>
      </c>
      <c r="F3459" s="103" t="str">
        <f>VLOOKUP(B3459, 'All Menu'!B:M, 3, 0)</f>
        <v>اشتراكات</v>
      </c>
      <c r="G3459" s="90" t="s">
        <v>2354</v>
      </c>
      <c r="H3459" s="4" t="s">
        <v>734</v>
      </c>
      <c r="I3459" s="110" t="str">
        <f>VLOOKUP(H3459, 'RM &amp; SF'!B:H, 2, 0)</f>
        <v>دجاج اللاين متبل</v>
      </c>
      <c r="J3459" s="184" t="str">
        <f>VLOOKUP(H3459, 'RM &amp; SF'!B:E, 4, 0)</f>
        <v>قطعة</v>
      </c>
      <c r="K3459" s="78">
        <v>0.5</v>
      </c>
      <c r="L3459" s="13">
        <f>VLOOKUP(H3459, 'RM &amp; SF'!B:H, 7, 0)</f>
        <v>2.9227303784037559</v>
      </c>
      <c r="M3459" s="15">
        <f t="shared" si="179"/>
        <v>1.461365189201878</v>
      </c>
      <c r="N3459" s="21" t="s">
        <v>825</v>
      </c>
      <c r="O3459" s="4">
        <f>VLOOKUP(B3459, 'All Menu'!B:L, 6, 0)</f>
        <v>3.75</v>
      </c>
      <c r="P3459" s="6">
        <f>VLOOKUP(B3459, 'All Menu'!B:L, 9, 0)</f>
        <v>1.9936646727101242</v>
      </c>
      <c r="Q3459" s="14">
        <f>VLOOKUP(B3459, 'All Menu'!B:M, 12, 0)</f>
        <v>0.46835608727730021</v>
      </c>
      <c r="R3459" s="173">
        <f t="shared" si="177"/>
        <v>0</v>
      </c>
    </row>
    <row r="3460" spans="1:18" ht="14" hidden="1">
      <c r="A3460" s="78">
        <v>0</v>
      </c>
      <c r="B3460" s="4" t="s">
        <v>1921</v>
      </c>
      <c r="C3460" s="185"/>
      <c r="D3460" s="263" t="s">
        <v>1922</v>
      </c>
      <c r="E3460" s="30" t="str">
        <f>VLOOKUP(B3460, 'All Menu'!B:M, 2, 0)</f>
        <v>قسم اشتراكات</v>
      </c>
      <c r="F3460" s="103" t="str">
        <f>VLOOKUP(B3460, 'All Menu'!B:M, 3, 0)</f>
        <v>اشتراكات</v>
      </c>
      <c r="G3460" s="90" t="s">
        <v>2190</v>
      </c>
      <c r="H3460" s="4">
        <v>4279</v>
      </c>
      <c r="I3460" s="110" t="str">
        <f>VLOOKUP(H3460, 'RM &amp; SF'!B:H, 2, 0)</f>
        <v>علب ميكرويف مستطيل اسود مفرغة (احادي)*****</v>
      </c>
      <c r="J3460" s="184" t="str">
        <f>VLOOKUP(H3460, 'RM &amp; SF'!B:E, 4, 0)</f>
        <v>قطعة</v>
      </c>
      <c r="K3460" s="78">
        <v>1</v>
      </c>
      <c r="L3460" s="13">
        <f>VLOOKUP(H3460, 'RM &amp; SF'!B:H, 7, 0)</f>
        <v>9.4799999999999995E-2</v>
      </c>
      <c r="M3460" s="15">
        <f t="shared" si="179"/>
        <v>9.4799999999999995E-2</v>
      </c>
      <c r="N3460" s="21" t="s">
        <v>825</v>
      </c>
      <c r="O3460" s="4">
        <f>VLOOKUP(B3460, 'All Menu'!B:L, 6, 0)</f>
        <v>3.75</v>
      </c>
      <c r="P3460" s="6">
        <f>VLOOKUP(B3460, 'All Menu'!B:L, 9, 0)</f>
        <v>1.9936646727101242</v>
      </c>
      <c r="Q3460" s="14">
        <f>VLOOKUP(B3460, 'All Menu'!B:M, 12, 0)</f>
        <v>0.46835608727730021</v>
      </c>
      <c r="R3460" s="173">
        <f t="shared" si="177"/>
        <v>0</v>
      </c>
    </row>
    <row r="3461" spans="1:18" ht="14" hidden="1">
      <c r="A3461" s="78">
        <v>0</v>
      </c>
      <c r="B3461" s="4" t="s">
        <v>1921</v>
      </c>
      <c r="C3461" s="185"/>
      <c r="D3461" s="263" t="s">
        <v>1922</v>
      </c>
      <c r="E3461" s="30" t="str">
        <f>VLOOKUP(B3461, 'All Menu'!B:M, 2, 0)</f>
        <v>قسم اشتراكات</v>
      </c>
      <c r="F3461" s="103" t="str">
        <f>VLOOKUP(B3461, 'All Menu'!B:M, 3, 0)</f>
        <v>اشتراكات</v>
      </c>
      <c r="G3461" s="90" t="s">
        <v>3058</v>
      </c>
      <c r="H3461" s="4">
        <v>4266</v>
      </c>
      <c r="I3461" s="110" t="str">
        <f>VLOOKUP(H3461, 'RM &amp; SF'!B:H, 2, 0)</f>
        <v>اساور علب وجبات مطبوع 1*50 حبة*****</v>
      </c>
      <c r="J3461" s="184" t="str">
        <f>VLOOKUP(H3461, 'RM &amp; SF'!B:E, 4, 0)</f>
        <v>قطعة</v>
      </c>
      <c r="K3461" s="78">
        <v>1</v>
      </c>
      <c r="L3461" s="13">
        <f>VLOOKUP(H3461, 'RM &amp; SF'!B:H, 7, 0)</f>
        <v>6.3224137931034485E-2</v>
      </c>
      <c r="M3461" s="15">
        <f t="shared" si="179"/>
        <v>6.3224137931034485E-2</v>
      </c>
      <c r="N3461" s="21" t="s">
        <v>825</v>
      </c>
      <c r="O3461" s="4">
        <f>VLOOKUP(B3461, 'All Menu'!B:L, 6, 0)</f>
        <v>3.75</v>
      </c>
      <c r="P3461" s="6">
        <f>VLOOKUP(B3461, 'All Menu'!B:L, 9, 0)</f>
        <v>1.9936646727101242</v>
      </c>
      <c r="Q3461" s="14">
        <f>VLOOKUP(B3461, 'All Menu'!B:M, 12, 0)</f>
        <v>0.46835608727730021</v>
      </c>
      <c r="R3461" s="173">
        <f t="shared" si="177"/>
        <v>0</v>
      </c>
    </row>
    <row r="3462" spans="1:18" ht="14" hidden="1">
      <c r="A3462" s="78">
        <v>0</v>
      </c>
      <c r="B3462" s="4" t="s">
        <v>1921</v>
      </c>
      <c r="C3462" s="185"/>
      <c r="D3462" s="263" t="s">
        <v>1922</v>
      </c>
      <c r="E3462" s="30" t="str">
        <f>VLOOKUP(B3462, 'All Menu'!B:M, 2, 0)</f>
        <v>قسم اشتراكات</v>
      </c>
      <c r="F3462" s="103" t="str">
        <f>VLOOKUP(B3462, 'All Menu'!B:M, 3, 0)</f>
        <v>اشتراكات</v>
      </c>
      <c r="G3462" s="90" t="s">
        <v>2195</v>
      </c>
      <c r="H3462" s="4">
        <v>4329</v>
      </c>
      <c r="I3462" s="110" t="str">
        <f>VLOOKUP(H3462, 'RM &amp; SF'!B:H, 2, 0)</f>
        <v>ملاعق بلاستيك مع معقم مطبوع 1*500 حبة*****</v>
      </c>
      <c r="J3462" s="184" t="str">
        <f>VLOOKUP(H3462, 'RM &amp; SF'!B:E, 4, 0)</f>
        <v>قطعة</v>
      </c>
      <c r="K3462" s="78">
        <v>1</v>
      </c>
      <c r="L3462" s="13">
        <f>VLOOKUP(H3462, 'RM &amp; SF'!B:H, 7, 0)</f>
        <v>4.7399999999999997E-4</v>
      </c>
      <c r="M3462" s="15">
        <f t="shared" si="179"/>
        <v>4.7399999999999997E-4</v>
      </c>
      <c r="N3462" s="21" t="s">
        <v>825</v>
      </c>
      <c r="O3462" s="4">
        <f>VLOOKUP(B3462, 'All Menu'!B:L, 6, 0)</f>
        <v>3.75</v>
      </c>
      <c r="P3462" s="6">
        <f>VLOOKUP(B3462, 'All Menu'!B:L, 9, 0)</f>
        <v>1.9936646727101242</v>
      </c>
      <c r="Q3462" s="14">
        <f>VLOOKUP(B3462, 'All Menu'!B:M, 12, 0)</f>
        <v>0.46835608727730021</v>
      </c>
      <c r="R3462" s="173">
        <f t="shared" si="177"/>
        <v>0</v>
      </c>
    </row>
    <row r="3463" spans="1:18" ht="14" hidden="1">
      <c r="A3463" s="78">
        <v>0</v>
      </c>
      <c r="B3463" s="4" t="s">
        <v>1921</v>
      </c>
      <c r="C3463" s="185"/>
      <c r="D3463" s="263" t="s">
        <v>1922</v>
      </c>
      <c r="E3463" s="30" t="str">
        <f>VLOOKUP(B3463, 'All Menu'!B:M, 2, 0)</f>
        <v>قسم اشتراكات</v>
      </c>
      <c r="F3463" s="103" t="str">
        <f>VLOOKUP(B3463, 'All Menu'!B:M, 3, 0)</f>
        <v>اشتراكات</v>
      </c>
      <c r="G3463" s="90" t="s">
        <v>2193</v>
      </c>
      <c r="H3463" s="4">
        <v>4309</v>
      </c>
      <c r="I3463" s="110" t="str">
        <f>VLOOKUP(H3463, 'RM &amp; SF'!B:H, 2, 0)</f>
        <v>اكياس بلاستيك مطبوع 55 سم*****</v>
      </c>
      <c r="J3463" s="184" t="str">
        <f>VLOOKUP(H3463, 'RM &amp; SF'!B:E, 4, 0)</f>
        <v>قطعة</v>
      </c>
      <c r="K3463" s="78">
        <v>1</v>
      </c>
      <c r="L3463" s="13">
        <f>VLOOKUP(H3463, 'RM &amp; SF'!B:H, 7, 0)</f>
        <v>5.5172413793103454E-2</v>
      </c>
      <c r="M3463" s="15">
        <f t="shared" si="179"/>
        <v>5.5172413793103454E-2</v>
      </c>
      <c r="N3463" s="21" t="s">
        <v>825</v>
      </c>
      <c r="O3463" s="4">
        <f>VLOOKUP(B3463, 'All Menu'!B:L, 6, 0)</f>
        <v>3.75</v>
      </c>
      <c r="P3463" s="6">
        <f>VLOOKUP(B3463, 'All Menu'!B:L, 9, 0)</f>
        <v>1.9936646727101242</v>
      </c>
      <c r="Q3463" s="14">
        <f>VLOOKUP(B3463, 'All Menu'!B:M, 12, 0)</f>
        <v>0.46835608727730021</v>
      </c>
      <c r="R3463" s="173">
        <f t="shared" si="177"/>
        <v>0</v>
      </c>
    </row>
    <row r="3464" spans="1:18" ht="14" hidden="1">
      <c r="A3464" s="78" t="s">
        <v>2999</v>
      </c>
      <c r="B3464" s="220">
        <v>60060</v>
      </c>
      <c r="C3464" s="185"/>
      <c r="D3464" s="30" t="s">
        <v>1974</v>
      </c>
      <c r="E3464" s="30" t="str">
        <f>VLOOKUP(B3464, 'All Menu'!B:M, 2, 0)</f>
        <v>قسم الملحمة</v>
      </c>
      <c r="F3464" s="103" t="str">
        <f>VLOOKUP(B3464, 'All Menu'!B:M, 3, 0)</f>
        <v>لحوم بلدية</v>
      </c>
      <c r="G3464" s="90" t="s">
        <v>3058</v>
      </c>
      <c r="H3464" s="219">
        <v>5373</v>
      </c>
      <c r="I3464" s="110" t="str">
        <f>VLOOKUP(H3464, 'RM &amp; SF'!B:H, 2, 0)</f>
        <v>قطعيات عجل مشكلة</v>
      </c>
      <c r="J3464" s="184" t="str">
        <f>VLOOKUP(H3464, 'RM &amp; SF'!B:E, 4, 0)</f>
        <v>غم</v>
      </c>
      <c r="K3464" s="78">
        <v>1000</v>
      </c>
      <c r="L3464" s="13">
        <f>VLOOKUP(H3464, 'RM &amp; SF'!B:H, 7, 0)</f>
        <v>9.0100000000000006E-3</v>
      </c>
      <c r="M3464" s="15">
        <f t="shared" ref="M3464" si="180">L3464*K3464</f>
        <v>9.01</v>
      </c>
      <c r="N3464" s="21" t="s">
        <v>825</v>
      </c>
      <c r="O3464" s="4">
        <f>VLOOKUP(B3464, 'All Menu'!B:L, 6, 0)</f>
        <v>10.972133104005055</v>
      </c>
      <c r="P3464" s="6">
        <f>VLOOKUP(B3464, 'All Menu'!B:L, 9, 0)</f>
        <v>9.01</v>
      </c>
      <c r="Q3464" s="14">
        <f>VLOOKUP(B3464, 'All Menu'!B:M, 12, 0)</f>
        <v>0.17882877334844177</v>
      </c>
      <c r="R3464" s="173">
        <f t="shared" si="177"/>
        <v>0</v>
      </c>
    </row>
    <row r="3465" spans="1:18" ht="14" hidden="1">
      <c r="A3465" s="78" t="s">
        <v>2186</v>
      </c>
      <c r="B3465" s="220">
        <v>50061</v>
      </c>
      <c r="C3465" s="185"/>
      <c r="D3465" s="30" t="s">
        <v>2151</v>
      </c>
      <c r="E3465" s="30" t="str">
        <f>VLOOKUP(B3465, 'All Menu'!B:M, 2, 0)</f>
        <v>قسم الملحمة</v>
      </c>
      <c r="F3465" s="103" t="str">
        <f>VLOOKUP(B3465, 'All Menu'!B:M, 3, 0)</f>
        <v>لحوم بلدية</v>
      </c>
      <c r="G3465" s="90" t="s">
        <v>2186</v>
      </c>
      <c r="H3465" s="219">
        <v>50061</v>
      </c>
      <c r="I3465" s="110" t="str">
        <f>VLOOKUP(H3465, 'RM &amp; SF'!B:H, 2, 0)</f>
        <v>قلوب خروف بلدي</v>
      </c>
      <c r="J3465" s="184" t="str">
        <f>VLOOKUP(H3465, 'RM &amp; SF'!B:E, 4, 0)</f>
        <v>غم</v>
      </c>
      <c r="K3465" s="78">
        <v>1000</v>
      </c>
      <c r="L3465" s="13">
        <f>VLOOKUP(H3465, 'RM &amp; SF'!B:H, 7, 0)</f>
        <v>7.0000000000000001E-3</v>
      </c>
      <c r="M3465" s="15">
        <f t="shared" ref="M3465:M3467" si="181">L3465*K3465</f>
        <v>7</v>
      </c>
      <c r="N3465" s="21" t="s">
        <v>825</v>
      </c>
      <c r="O3465" s="4">
        <f>VLOOKUP(B3465, 'All Menu'!B:L, 6, 0)</f>
        <v>8</v>
      </c>
      <c r="P3465" s="6">
        <f>VLOOKUP(B3465, 'All Menu'!B:L, 9, 0)</f>
        <v>7</v>
      </c>
      <c r="Q3465" s="14">
        <f>VLOOKUP(B3465, 'All Menu'!B:M, 12, 0)</f>
        <v>0.125</v>
      </c>
      <c r="R3465" s="173">
        <f t="shared" si="177"/>
        <v>0</v>
      </c>
    </row>
    <row r="3466" spans="1:18" ht="14" hidden="1">
      <c r="A3466" s="78" t="s">
        <v>2187</v>
      </c>
      <c r="B3466" s="220">
        <v>50062</v>
      </c>
      <c r="C3466" s="185"/>
      <c r="D3466" s="30" t="s">
        <v>2152</v>
      </c>
      <c r="E3466" s="30" t="str">
        <f>VLOOKUP(B3466, 'All Menu'!B:M, 2, 0)</f>
        <v>قسم الملحمة</v>
      </c>
      <c r="F3466" s="103" t="str">
        <f>VLOOKUP(B3466, 'All Menu'!B:M, 3, 0)</f>
        <v>سقط</v>
      </c>
      <c r="G3466" s="90" t="s">
        <v>2187</v>
      </c>
      <c r="H3466" s="219">
        <v>50062</v>
      </c>
      <c r="I3466" s="110" t="str">
        <f>VLOOKUP(H3466, 'RM &amp; SF'!B:H, 2, 0)</f>
        <v>كولاجين خروف</v>
      </c>
      <c r="J3466" s="184" t="str">
        <f>VLOOKUP(H3466, 'RM &amp; SF'!B:E, 4, 0)</f>
        <v>غم</v>
      </c>
      <c r="K3466" s="78">
        <v>1000</v>
      </c>
      <c r="L3466" s="13">
        <f>VLOOKUP(H3466, 'RM &amp; SF'!B:H, 7, 0)</f>
        <v>1.5E-3</v>
      </c>
      <c r="M3466" s="15">
        <f t="shared" si="181"/>
        <v>1.5</v>
      </c>
      <c r="N3466" s="21" t="s">
        <v>825</v>
      </c>
      <c r="O3466" s="4">
        <f>VLOOKUP(B3466, 'All Menu'!B:L, 6, 0)</f>
        <v>3</v>
      </c>
      <c r="P3466" s="6">
        <f>VLOOKUP(B3466, 'All Menu'!B:L, 9, 0)</f>
        <v>1.5</v>
      </c>
      <c r="Q3466" s="14">
        <f>VLOOKUP(B3466, 'All Menu'!B:M, 12, 0)</f>
        <v>0.5</v>
      </c>
      <c r="R3466" s="173">
        <f t="shared" ref="R3466:R3497" si="182">C3466*K3466</f>
        <v>0</v>
      </c>
    </row>
    <row r="3467" spans="1:18" ht="14" hidden="1">
      <c r="A3467" s="78" t="s">
        <v>2188</v>
      </c>
      <c r="B3467" s="220">
        <v>50063</v>
      </c>
      <c r="C3467" s="185"/>
      <c r="D3467" s="30" t="s">
        <v>2153</v>
      </c>
      <c r="E3467" s="30" t="str">
        <f>VLOOKUP(B3467, 'All Menu'!B:M, 2, 0)</f>
        <v>قسم الملحمة</v>
      </c>
      <c r="F3467" s="103" t="str">
        <f>VLOOKUP(B3467, 'All Menu'!B:M, 3, 0)</f>
        <v>سقط</v>
      </c>
      <c r="G3467" s="90" t="s">
        <v>2188</v>
      </c>
      <c r="H3467" s="219">
        <v>50063</v>
      </c>
      <c r="I3467" s="110" t="str">
        <f>VLOOKUP(H3467, 'RM &amp; SF'!B:H, 2, 0)</f>
        <v>كولاجين عجل</v>
      </c>
      <c r="J3467" s="184" t="str">
        <f>VLOOKUP(H3467, 'RM &amp; SF'!B:E, 4, 0)</f>
        <v>غم</v>
      </c>
      <c r="K3467" s="78">
        <v>1000</v>
      </c>
      <c r="L3467" s="13">
        <f>VLOOKUP(H3467, 'RM &amp; SF'!B:H, 7, 0)</f>
        <v>1.5E-3</v>
      </c>
      <c r="M3467" s="15">
        <f t="shared" si="181"/>
        <v>1.5</v>
      </c>
      <c r="N3467" s="21" t="s">
        <v>825</v>
      </c>
      <c r="O3467" s="4">
        <f>VLOOKUP(B3467, 'All Menu'!B:L, 6, 0)</f>
        <v>3</v>
      </c>
      <c r="P3467" s="6">
        <f>VLOOKUP(B3467, 'All Menu'!B:L, 9, 0)</f>
        <v>1.5</v>
      </c>
      <c r="Q3467" s="14">
        <f>VLOOKUP(B3467, 'All Menu'!B:M, 12, 0)</f>
        <v>0.5</v>
      </c>
      <c r="R3467" s="173">
        <f t="shared" si="182"/>
        <v>0</v>
      </c>
    </row>
    <row r="3468" spans="1:18" ht="14" hidden="1">
      <c r="A3468" s="78" t="s">
        <v>3079</v>
      </c>
      <c r="B3468" s="220" t="s">
        <v>1912</v>
      </c>
      <c r="C3468" s="185"/>
      <c r="D3468" s="30" t="s">
        <v>1913</v>
      </c>
      <c r="E3468" s="30" t="str">
        <f>VLOOKUP(B3468, 'All Menu'!B:M, 2, 0)</f>
        <v>قسم التواصي</v>
      </c>
      <c r="F3468" s="103" t="str">
        <f>VLOOKUP(B3468, 'All Menu'!B:M, 3, 0)</f>
        <v>التواصي سفري</v>
      </c>
      <c r="G3468" s="90" t="s">
        <v>3058</v>
      </c>
      <c r="H3468" s="219">
        <v>4021</v>
      </c>
      <c r="I3468" s="110" t="str">
        <f>VLOOKUP(H3468, 'RM &amp; SF'!B:H, 2, 0)</f>
        <v>مكعبات مرق الدجاج 24 عبوة*2 مكعب*****</v>
      </c>
      <c r="J3468" s="184" t="str">
        <f>VLOOKUP(H3468, 'RM &amp; SF'!B:E, 4, 0)</f>
        <v>غم</v>
      </c>
      <c r="K3468" s="78">
        <v>300</v>
      </c>
      <c r="L3468" s="13">
        <f>VLOOKUP(H3468, 'RM &amp; SF'!B:H, 7, 0)</f>
        <v>3.8541666666666668E-3</v>
      </c>
      <c r="M3468" s="15">
        <f t="shared" ref="M3468:M3486" si="183">L3468*K3468</f>
        <v>1.15625</v>
      </c>
      <c r="N3468" s="21" t="s">
        <v>825</v>
      </c>
      <c r="O3468" s="4">
        <f>VLOOKUP(B3468, 'All Menu'!B:L, 6, 0)</f>
        <v>17.241379310344829</v>
      </c>
      <c r="P3468" s="6">
        <f>VLOOKUP(B3468, 'All Menu'!B:L, 9, 0)</f>
        <v>14.525006348849017</v>
      </c>
      <c r="Q3468" s="14">
        <f>VLOOKUP(B3468, 'All Menu'!B:M, 12, 0)</f>
        <v>0.15754963176675713</v>
      </c>
      <c r="R3468" s="173">
        <f t="shared" si="182"/>
        <v>0</v>
      </c>
    </row>
    <row r="3469" spans="1:18" ht="14" hidden="1">
      <c r="A3469" s="78" t="s">
        <v>3079</v>
      </c>
      <c r="B3469" s="220" t="s">
        <v>1912</v>
      </c>
      <c r="C3469" s="185"/>
      <c r="D3469" s="30" t="s">
        <v>1913</v>
      </c>
      <c r="E3469" s="30" t="str">
        <f>VLOOKUP(B3469, 'All Menu'!B:M, 2, 0)</f>
        <v>قسم التواصي</v>
      </c>
      <c r="F3469" s="103" t="str">
        <f>VLOOKUP(B3469, 'All Menu'!B:M, 3, 0)</f>
        <v>التواصي سفري</v>
      </c>
      <c r="G3469" s="90" t="s">
        <v>2203</v>
      </c>
      <c r="H3469" s="219">
        <v>4152</v>
      </c>
      <c r="I3469" s="110" t="str">
        <f>VLOOKUP(H3469, 'RM &amp; SF'!B:H, 2, 0)</f>
        <v>ملح طعام 750غم*****</v>
      </c>
      <c r="J3469" s="184" t="str">
        <f>VLOOKUP(H3469, 'RM &amp; SF'!B:E, 4, 0)</f>
        <v>غم</v>
      </c>
      <c r="K3469" s="78">
        <v>30</v>
      </c>
      <c r="L3469" s="13">
        <f>VLOOKUP(H3469, 'RM &amp; SF'!B:H, 7, 0)</f>
        <v>1.7066666666666665E-4</v>
      </c>
      <c r="M3469" s="15">
        <f t="shared" si="183"/>
        <v>5.1199999999999996E-3</v>
      </c>
      <c r="N3469" s="21" t="s">
        <v>825</v>
      </c>
      <c r="O3469" s="4">
        <f>VLOOKUP(B3469, 'All Menu'!B:L, 6, 0)</f>
        <v>17.241379310344829</v>
      </c>
      <c r="P3469" s="6">
        <f>VLOOKUP(B3469, 'All Menu'!B:L, 9, 0)</f>
        <v>14.525006348849017</v>
      </c>
      <c r="Q3469" s="14">
        <f>VLOOKUP(B3469, 'All Menu'!B:M, 12, 0)</f>
        <v>0.15754963176675713</v>
      </c>
      <c r="R3469" s="173">
        <f t="shared" si="182"/>
        <v>0</v>
      </c>
    </row>
    <row r="3470" spans="1:18" ht="14" hidden="1">
      <c r="A3470" s="78" t="s">
        <v>3079</v>
      </c>
      <c r="B3470" s="220" t="s">
        <v>1912</v>
      </c>
      <c r="C3470" s="185"/>
      <c r="D3470" s="30" t="s">
        <v>1913</v>
      </c>
      <c r="E3470" s="30" t="str">
        <f>VLOOKUP(B3470, 'All Menu'!B:M, 2, 0)</f>
        <v>قسم التواصي</v>
      </c>
      <c r="F3470" s="103" t="str">
        <f>VLOOKUP(B3470, 'All Menu'!B:M, 3, 0)</f>
        <v>التواصي سفري</v>
      </c>
      <c r="G3470" s="90" t="s">
        <v>3058</v>
      </c>
      <c r="H3470" s="219">
        <v>4191</v>
      </c>
      <c r="I3470" s="110" t="str">
        <f>VLOOKUP(H3470, 'RM &amp; SF'!B:H, 2, 0)</f>
        <v>جوزة الطيب مطحونة*****</v>
      </c>
      <c r="J3470" s="184" t="str">
        <f>VLOOKUP(H3470, 'RM &amp; SF'!B:E, 4, 0)</f>
        <v>غم</v>
      </c>
      <c r="K3470" s="78">
        <v>5</v>
      </c>
      <c r="L3470" s="13">
        <f>VLOOKUP(H3470, 'RM &amp; SF'!B:H, 7, 0)</f>
        <v>6.0339999999999994E-3</v>
      </c>
      <c r="M3470" s="15">
        <f t="shared" si="183"/>
        <v>3.0169999999999995E-2</v>
      </c>
      <c r="N3470" s="21" t="s">
        <v>825</v>
      </c>
      <c r="O3470" s="4">
        <f>VLOOKUP(B3470, 'All Menu'!B:L, 6, 0)</f>
        <v>17.241379310344829</v>
      </c>
      <c r="P3470" s="6">
        <f>VLOOKUP(B3470, 'All Menu'!B:L, 9, 0)</f>
        <v>14.525006348849017</v>
      </c>
      <c r="Q3470" s="14">
        <f>VLOOKUP(B3470, 'All Menu'!B:M, 12, 0)</f>
        <v>0.15754963176675713</v>
      </c>
      <c r="R3470" s="173">
        <f t="shared" si="182"/>
        <v>0</v>
      </c>
    </row>
    <row r="3471" spans="1:18" ht="14" hidden="1">
      <c r="A3471" s="78" t="s">
        <v>3079</v>
      </c>
      <c r="B3471" s="220" t="s">
        <v>1912</v>
      </c>
      <c r="C3471" s="185"/>
      <c r="D3471" s="30" t="s">
        <v>1913</v>
      </c>
      <c r="E3471" s="30" t="str">
        <f>VLOOKUP(B3471, 'All Menu'!B:M, 2, 0)</f>
        <v>قسم التواصي</v>
      </c>
      <c r="F3471" s="103" t="str">
        <f>VLOOKUP(B3471, 'All Menu'!B:M, 3, 0)</f>
        <v>التواصي سفري</v>
      </c>
      <c r="G3471" s="90" t="s">
        <v>2206</v>
      </c>
      <c r="H3471" s="219">
        <v>4204</v>
      </c>
      <c r="I3471" s="110" t="str">
        <f>VLOOKUP(H3471, 'RM &amp; SF'!B:H, 2, 0)</f>
        <v>فلفل اسود ناعم*****</v>
      </c>
      <c r="J3471" s="184" t="str">
        <f>VLOOKUP(H3471, 'RM &amp; SF'!B:E, 4, 0)</f>
        <v>غم</v>
      </c>
      <c r="K3471" s="78">
        <v>10</v>
      </c>
      <c r="L3471" s="13">
        <f>VLOOKUP(H3471, 'RM &amp; SF'!B:H, 7, 0)</f>
        <v>6.8970000000000004E-3</v>
      </c>
      <c r="M3471" s="15">
        <f t="shared" si="183"/>
        <v>6.8970000000000004E-2</v>
      </c>
      <c r="N3471" s="21" t="s">
        <v>825</v>
      </c>
      <c r="O3471" s="4">
        <f>VLOOKUP(B3471, 'All Menu'!B:L, 6, 0)</f>
        <v>17.241379310344829</v>
      </c>
      <c r="P3471" s="6">
        <f>VLOOKUP(B3471, 'All Menu'!B:L, 9, 0)</f>
        <v>14.525006348849017</v>
      </c>
      <c r="Q3471" s="14">
        <f>VLOOKUP(B3471, 'All Menu'!B:M, 12, 0)</f>
        <v>0.15754963176675713</v>
      </c>
      <c r="R3471" s="173">
        <f t="shared" si="182"/>
        <v>0</v>
      </c>
    </row>
    <row r="3472" spans="1:18" ht="14" hidden="1">
      <c r="A3472" s="78" t="s">
        <v>3079</v>
      </c>
      <c r="B3472" s="220" t="s">
        <v>1912</v>
      </c>
      <c r="C3472" s="185"/>
      <c r="D3472" s="30" t="s">
        <v>1913</v>
      </c>
      <c r="E3472" s="30" t="str">
        <f>VLOOKUP(B3472, 'All Menu'!B:M, 2, 0)</f>
        <v>قسم التواصي</v>
      </c>
      <c r="F3472" s="103" t="str">
        <f>VLOOKUP(B3472, 'All Menu'!B:M, 3, 0)</f>
        <v>التواصي سفري</v>
      </c>
      <c r="G3472" s="90" t="s">
        <v>2208</v>
      </c>
      <c r="H3472" s="219">
        <v>4211</v>
      </c>
      <c r="I3472" s="110" t="str">
        <f>VLOOKUP(H3472, 'RM &amp; SF'!B:H, 2, 0)</f>
        <v>كزبرة ناعمة*****</v>
      </c>
      <c r="J3472" s="184" t="str">
        <f>VLOOKUP(H3472, 'RM &amp; SF'!B:E, 4, 0)</f>
        <v>غم</v>
      </c>
      <c r="K3472" s="78">
        <v>5</v>
      </c>
      <c r="L3472" s="13">
        <f>VLOOKUP(H3472, 'RM &amp; SF'!B:H, 7, 0)</f>
        <v>1.5089999999999999E-3</v>
      </c>
      <c r="M3472" s="15">
        <f t="shared" si="183"/>
        <v>7.5449999999999996E-3</v>
      </c>
      <c r="N3472" s="21" t="s">
        <v>825</v>
      </c>
      <c r="O3472" s="4">
        <f>VLOOKUP(B3472, 'All Menu'!B:L, 6, 0)</f>
        <v>17.241379310344829</v>
      </c>
      <c r="P3472" s="6">
        <f>VLOOKUP(B3472, 'All Menu'!B:L, 9, 0)</f>
        <v>14.525006348849017</v>
      </c>
      <c r="Q3472" s="14">
        <f>VLOOKUP(B3472, 'All Menu'!B:M, 12, 0)</f>
        <v>0.15754963176675713</v>
      </c>
      <c r="R3472" s="173">
        <f t="shared" si="182"/>
        <v>0</v>
      </c>
    </row>
    <row r="3473" spans="1:18" ht="14" hidden="1">
      <c r="A3473" s="78" t="s">
        <v>3079</v>
      </c>
      <c r="B3473" s="220" t="s">
        <v>1912</v>
      </c>
      <c r="C3473" s="185"/>
      <c r="D3473" s="30" t="s">
        <v>1913</v>
      </c>
      <c r="E3473" s="30" t="str">
        <f>VLOOKUP(B3473, 'All Menu'!B:M, 2, 0)</f>
        <v>قسم التواصي</v>
      </c>
      <c r="F3473" s="103" t="str">
        <f>VLOOKUP(B3473, 'All Menu'!B:M, 3, 0)</f>
        <v>التواصي سفري</v>
      </c>
      <c r="G3473" s="90" t="s">
        <v>2211</v>
      </c>
      <c r="H3473" s="219">
        <v>4214</v>
      </c>
      <c r="I3473" s="110" t="str">
        <f>VLOOKUP(H3473, 'RM &amp; SF'!B:H, 2, 0)</f>
        <v>قرفة ناعمة*****</v>
      </c>
      <c r="J3473" s="184" t="str">
        <f>VLOOKUP(H3473, 'RM &amp; SF'!B:E, 4, 0)</f>
        <v>غم</v>
      </c>
      <c r="K3473" s="78">
        <v>10</v>
      </c>
      <c r="L3473" s="13">
        <f>VLOOKUP(H3473, 'RM &amp; SF'!B:H, 7, 0)</f>
        <v>2.8020000000000002E-3</v>
      </c>
      <c r="M3473" s="15">
        <f t="shared" si="183"/>
        <v>2.8020000000000003E-2</v>
      </c>
      <c r="N3473" s="21" t="s">
        <v>825</v>
      </c>
      <c r="O3473" s="4">
        <f>VLOOKUP(B3473, 'All Menu'!B:L, 6, 0)</f>
        <v>17.241379310344829</v>
      </c>
      <c r="P3473" s="6">
        <f>VLOOKUP(B3473, 'All Menu'!B:L, 9, 0)</f>
        <v>14.525006348849017</v>
      </c>
      <c r="Q3473" s="14">
        <f>VLOOKUP(B3473, 'All Menu'!B:M, 12, 0)</f>
        <v>0.15754963176675713</v>
      </c>
      <c r="R3473" s="173">
        <f t="shared" si="182"/>
        <v>0</v>
      </c>
    </row>
    <row r="3474" spans="1:18" ht="14" hidden="1">
      <c r="A3474" s="78" t="s">
        <v>3079</v>
      </c>
      <c r="B3474" s="220" t="s">
        <v>1912</v>
      </c>
      <c r="C3474" s="185"/>
      <c r="D3474" s="30" t="s">
        <v>1913</v>
      </c>
      <c r="E3474" s="30" t="str">
        <f>VLOOKUP(B3474, 'All Menu'!B:M, 2, 0)</f>
        <v>قسم التواصي</v>
      </c>
      <c r="F3474" s="103" t="str">
        <f>VLOOKUP(B3474, 'All Menu'!B:M, 3, 0)</f>
        <v>التواصي سفري</v>
      </c>
      <c r="G3474" s="90" t="s">
        <v>2213</v>
      </c>
      <c r="H3474" s="219">
        <v>4218</v>
      </c>
      <c r="I3474" s="110" t="str">
        <f>VLOOKUP(H3474, 'RM &amp; SF'!B:H, 2, 0)</f>
        <v>بهارات مشكلة*****</v>
      </c>
      <c r="J3474" s="184" t="str">
        <f>VLOOKUP(H3474, 'RM &amp; SF'!B:E, 4, 0)</f>
        <v>غم</v>
      </c>
      <c r="K3474" s="78">
        <v>10</v>
      </c>
      <c r="L3474" s="13">
        <f>VLOOKUP(H3474, 'RM &amp; SF'!B:H, 7, 0)</f>
        <v>3.0169999999999997E-3</v>
      </c>
      <c r="M3474" s="15">
        <f t="shared" si="183"/>
        <v>3.0169999999999995E-2</v>
      </c>
      <c r="N3474" s="21" t="s">
        <v>825</v>
      </c>
      <c r="O3474" s="4">
        <f>VLOOKUP(B3474, 'All Menu'!B:L, 6, 0)</f>
        <v>17.241379310344829</v>
      </c>
      <c r="P3474" s="6">
        <f>VLOOKUP(B3474, 'All Menu'!B:L, 9, 0)</f>
        <v>14.525006348849017</v>
      </c>
      <c r="Q3474" s="14">
        <f>VLOOKUP(B3474, 'All Menu'!B:M, 12, 0)</f>
        <v>0.15754963176675713</v>
      </c>
      <c r="R3474" s="173">
        <f t="shared" si="182"/>
        <v>0</v>
      </c>
    </row>
    <row r="3475" spans="1:18" ht="14" hidden="1">
      <c r="A3475" s="78" t="s">
        <v>3079</v>
      </c>
      <c r="B3475" s="220" t="s">
        <v>1912</v>
      </c>
      <c r="C3475" s="185"/>
      <c r="D3475" s="30" t="s">
        <v>1913</v>
      </c>
      <c r="E3475" s="30" t="str">
        <f>VLOOKUP(B3475, 'All Menu'!B:M, 2, 0)</f>
        <v>قسم التواصي</v>
      </c>
      <c r="F3475" s="103" t="str">
        <f>VLOOKUP(B3475, 'All Menu'!B:M, 3, 0)</f>
        <v>التواصي سفري</v>
      </c>
      <c r="G3475" s="90" t="s">
        <v>3058</v>
      </c>
      <c r="H3475" s="219">
        <v>4222</v>
      </c>
      <c r="I3475" s="110" t="str">
        <f>VLOOKUP(H3475, 'RM &amp; SF'!B:H, 2, 0)</f>
        <v>كمون ناعم*****</v>
      </c>
      <c r="J3475" s="184" t="str">
        <f>VLOOKUP(H3475, 'RM &amp; SF'!B:E, 4, 0)</f>
        <v>غم</v>
      </c>
      <c r="K3475" s="78">
        <v>10</v>
      </c>
      <c r="L3475" s="13">
        <f>VLOOKUP(H3475, 'RM &amp; SF'!B:H, 7, 0)</f>
        <v>3.2330000000000002E-3</v>
      </c>
      <c r="M3475" s="15">
        <f t="shared" si="183"/>
        <v>3.2330000000000005E-2</v>
      </c>
      <c r="N3475" s="21" t="s">
        <v>825</v>
      </c>
      <c r="O3475" s="4">
        <f>VLOOKUP(B3475, 'All Menu'!B:L, 6, 0)</f>
        <v>17.241379310344829</v>
      </c>
      <c r="P3475" s="6">
        <f>VLOOKUP(B3475, 'All Menu'!B:L, 9, 0)</f>
        <v>14.525006348849017</v>
      </c>
      <c r="Q3475" s="14">
        <f>VLOOKUP(B3475, 'All Menu'!B:M, 12, 0)</f>
        <v>0.15754963176675713</v>
      </c>
      <c r="R3475" s="173">
        <f t="shared" si="182"/>
        <v>0</v>
      </c>
    </row>
    <row r="3476" spans="1:18" ht="14" hidden="1">
      <c r="A3476" s="78" t="s">
        <v>3079</v>
      </c>
      <c r="B3476" s="220" t="s">
        <v>1912</v>
      </c>
      <c r="C3476" s="185"/>
      <c r="D3476" s="30" t="s">
        <v>1913</v>
      </c>
      <c r="E3476" s="30" t="str">
        <f>VLOOKUP(B3476, 'All Menu'!B:M, 2, 0)</f>
        <v>قسم التواصي</v>
      </c>
      <c r="F3476" s="103" t="str">
        <f>VLOOKUP(B3476, 'All Menu'!B:M, 3, 0)</f>
        <v>التواصي سفري</v>
      </c>
      <c r="G3476" s="90" t="s">
        <v>2214</v>
      </c>
      <c r="H3476" s="219">
        <v>4223</v>
      </c>
      <c r="I3476" s="110" t="str">
        <f>VLOOKUP(H3476, 'RM &amp; SF'!B:H, 2, 0)</f>
        <v>بهارات كاري*****</v>
      </c>
      <c r="J3476" s="184" t="str">
        <f>VLOOKUP(H3476, 'RM &amp; SF'!B:E, 4, 0)</f>
        <v>غم</v>
      </c>
      <c r="K3476" s="78">
        <v>5</v>
      </c>
      <c r="L3476" s="13">
        <f>VLOOKUP(H3476, 'RM &amp; SF'!B:H, 7, 0)</f>
        <v>2.2409999999999999E-3</v>
      </c>
      <c r="M3476" s="15">
        <f t="shared" si="183"/>
        <v>1.1205E-2</v>
      </c>
      <c r="N3476" s="21" t="s">
        <v>825</v>
      </c>
      <c r="O3476" s="4">
        <f>VLOOKUP(B3476, 'All Menu'!B:L, 6, 0)</f>
        <v>17.241379310344829</v>
      </c>
      <c r="P3476" s="6">
        <f>VLOOKUP(B3476, 'All Menu'!B:L, 9, 0)</f>
        <v>14.525006348849017</v>
      </c>
      <c r="Q3476" s="14">
        <f>VLOOKUP(B3476, 'All Menu'!B:M, 12, 0)</f>
        <v>0.15754963176675713</v>
      </c>
      <c r="R3476" s="173">
        <f t="shared" si="182"/>
        <v>0</v>
      </c>
    </row>
    <row r="3477" spans="1:18" ht="14" hidden="1">
      <c r="A3477" s="78" t="s">
        <v>3079</v>
      </c>
      <c r="B3477" s="220" t="s">
        <v>1912</v>
      </c>
      <c r="C3477" s="185"/>
      <c r="D3477" s="30" t="s">
        <v>1913</v>
      </c>
      <c r="E3477" s="30" t="str">
        <f>VLOOKUP(B3477, 'All Menu'!B:M, 2, 0)</f>
        <v>قسم التواصي</v>
      </c>
      <c r="F3477" s="103" t="str">
        <f>VLOOKUP(B3477, 'All Menu'!B:M, 3, 0)</f>
        <v>التواصي سفري</v>
      </c>
      <c r="G3477" s="90" t="s">
        <v>2218</v>
      </c>
      <c r="H3477" s="219">
        <v>4233</v>
      </c>
      <c r="I3477" s="110" t="str">
        <f>VLOOKUP(H3477, 'RM &amp; SF'!B:H, 2, 0)</f>
        <v>هال ناعم*****</v>
      </c>
      <c r="J3477" s="184" t="str">
        <f>VLOOKUP(H3477, 'RM &amp; SF'!B:E, 4, 0)</f>
        <v>غم</v>
      </c>
      <c r="K3477" s="78">
        <v>10</v>
      </c>
      <c r="L3477" s="13">
        <f>VLOOKUP(H3477, 'RM &amp; SF'!B:H, 7, 0)</f>
        <v>2.3E-2</v>
      </c>
      <c r="M3477" s="15">
        <f t="shared" si="183"/>
        <v>0.22999999999999998</v>
      </c>
      <c r="N3477" s="21" t="s">
        <v>825</v>
      </c>
      <c r="O3477" s="4">
        <f>VLOOKUP(B3477, 'All Menu'!B:L, 6, 0)</f>
        <v>17.241379310344829</v>
      </c>
      <c r="P3477" s="6">
        <f>VLOOKUP(B3477, 'All Menu'!B:L, 9, 0)</f>
        <v>14.525006348849017</v>
      </c>
      <c r="Q3477" s="14">
        <f>VLOOKUP(B3477, 'All Menu'!B:M, 12, 0)</f>
        <v>0.15754963176675713</v>
      </c>
      <c r="R3477" s="173">
        <f t="shared" si="182"/>
        <v>0</v>
      </c>
    </row>
    <row r="3478" spans="1:18" ht="14" hidden="1">
      <c r="A3478" s="78" t="s">
        <v>3079</v>
      </c>
      <c r="B3478" s="220" t="s">
        <v>1912</v>
      </c>
      <c r="C3478" s="185"/>
      <c r="D3478" s="30" t="s">
        <v>1913</v>
      </c>
      <c r="E3478" s="30" t="str">
        <f>VLOOKUP(B3478, 'All Menu'!B:M, 2, 0)</f>
        <v>قسم التواصي</v>
      </c>
      <c r="F3478" s="103" t="str">
        <f>VLOOKUP(B3478, 'All Menu'!B:M, 3, 0)</f>
        <v>التواصي سفري</v>
      </c>
      <c r="G3478" s="90" t="s">
        <v>2222</v>
      </c>
      <c r="H3478" s="219">
        <v>4240</v>
      </c>
      <c r="I3478" s="110" t="str">
        <f>VLOOKUP(H3478, 'RM &amp; SF'!B:H, 2, 0)</f>
        <v>كركم ناعم*****</v>
      </c>
      <c r="J3478" s="184" t="str">
        <f>VLOOKUP(H3478, 'RM &amp; SF'!B:E, 4, 0)</f>
        <v>غم</v>
      </c>
      <c r="K3478" s="78">
        <v>10</v>
      </c>
      <c r="L3478" s="13">
        <f>VLOOKUP(H3478, 'RM &amp; SF'!B:H, 7, 0)</f>
        <v>1.9399999999999999E-3</v>
      </c>
      <c r="M3478" s="15">
        <f t="shared" si="183"/>
        <v>1.9400000000000001E-2</v>
      </c>
      <c r="N3478" s="21" t="s">
        <v>825</v>
      </c>
      <c r="O3478" s="4">
        <f>VLOOKUP(B3478, 'All Menu'!B:L, 6, 0)</f>
        <v>17.241379310344829</v>
      </c>
      <c r="P3478" s="6">
        <f>VLOOKUP(B3478, 'All Menu'!B:L, 9, 0)</f>
        <v>14.525006348849017</v>
      </c>
      <c r="Q3478" s="14">
        <f>VLOOKUP(B3478, 'All Menu'!B:M, 12, 0)</f>
        <v>0.15754963176675713</v>
      </c>
      <c r="R3478" s="173">
        <f t="shared" si="182"/>
        <v>0</v>
      </c>
    </row>
    <row r="3479" spans="1:18" ht="14" hidden="1">
      <c r="A3479" s="78" t="s">
        <v>3079</v>
      </c>
      <c r="B3479" s="220" t="s">
        <v>1912</v>
      </c>
      <c r="C3479" s="185"/>
      <c r="D3479" s="30" t="s">
        <v>1913</v>
      </c>
      <c r="E3479" s="30" t="str">
        <f>VLOOKUP(B3479, 'All Menu'!B:M, 2, 0)</f>
        <v>قسم التواصي</v>
      </c>
      <c r="F3479" s="103" t="str">
        <f>VLOOKUP(B3479, 'All Menu'!B:M, 3, 0)</f>
        <v>التواصي سفري</v>
      </c>
      <c r="G3479" s="90" t="s">
        <v>2229</v>
      </c>
      <c r="H3479" s="219">
        <v>4494</v>
      </c>
      <c r="I3479" s="110" t="str">
        <f>VLOOKUP(H3479, 'RM &amp; SF'!B:H, 2, 0)</f>
        <v>باذنجان (اسود) كلاسك*****</v>
      </c>
      <c r="J3479" s="184" t="str">
        <f>VLOOKUP(H3479, 'RM &amp; SF'!B:E, 4, 0)</f>
        <v>غم</v>
      </c>
      <c r="K3479" s="78">
        <v>150</v>
      </c>
      <c r="L3479" s="13">
        <f>VLOOKUP(H3479, 'RM &amp; SF'!B:H, 7, 0)</f>
        <v>4.4999999999999999E-4</v>
      </c>
      <c r="M3479" s="15">
        <f t="shared" si="183"/>
        <v>6.7500000000000004E-2</v>
      </c>
      <c r="N3479" s="21" t="s">
        <v>825</v>
      </c>
      <c r="O3479" s="4">
        <f>VLOOKUP(B3479, 'All Menu'!B:L, 6, 0)</f>
        <v>17.241379310344829</v>
      </c>
      <c r="P3479" s="6">
        <f>VLOOKUP(B3479, 'All Menu'!B:L, 9, 0)</f>
        <v>14.525006348849017</v>
      </c>
      <c r="Q3479" s="14">
        <f>VLOOKUP(B3479, 'All Menu'!B:M, 12, 0)</f>
        <v>0.15754963176675713</v>
      </c>
      <c r="R3479" s="173">
        <f t="shared" si="182"/>
        <v>0</v>
      </c>
    </row>
    <row r="3480" spans="1:18" ht="14" hidden="1">
      <c r="A3480" s="78" t="s">
        <v>3079</v>
      </c>
      <c r="B3480" s="220" t="s">
        <v>1912</v>
      </c>
      <c r="C3480" s="185"/>
      <c r="D3480" s="30" t="s">
        <v>1913</v>
      </c>
      <c r="E3480" s="30" t="str">
        <f>VLOOKUP(B3480, 'All Menu'!B:M, 2, 0)</f>
        <v>قسم التواصي</v>
      </c>
      <c r="F3480" s="103" t="str">
        <f>VLOOKUP(B3480, 'All Menu'!B:M, 3, 0)</f>
        <v>التواصي سفري</v>
      </c>
      <c r="G3480" s="90" t="s">
        <v>2230</v>
      </c>
      <c r="H3480" s="219">
        <v>4497</v>
      </c>
      <c r="I3480" s="110" t="str">
        <f>VLOOKUP(H3480, 'RM &amp; SF'!B:H, 2, 0)</f>
        <v>بطاطا*****</v>
      </c>
      <c r="J3480" s="184" t="str">
        <f>VLOOKUP(H3480, 'RM &amp; SF'!B:E, 4, 0)</f>
        <v>غم</v>
      </c>
      <c r="K3480" s="78">
        <v>150</v>
      </c>
      <c r="L3480" s="13">
        <f>VLOOKUP(H3480, 'RM &amp; SF'!B:H, 7, 0)</f>
        <v>4.0000000000000002E-4</v>
      </c>
      <c r="M3480" s="15">
        <f t="shared" si="183"/>
        <v>6.0000000000000005E-2</v>
      </c>
      <c r="N3480" s="21" t="s">
        <v>825</v>
      </c>
      <c r="O3480" s="4">
        <f>VLOOKUP(B3480, 'All Menu'!B:L, 6, 0)</f>
        <v>17.241379310344829</v>
      </c>
      <c r="P3480" s="6">
        <f>VLOOKUP(B3480, 'All Menu'!B:L, 9, 0)</f>
        <v>14.525006348849017</v>
      </c>
      <c r="Q3480" s="14">
        <f>VLOOKUP(B3480, 'All Menu'!B:M, 12, 0)</f>
        <v>0.15754963176675713</v>
      </c>
      <c r="R3480" s="173">
        <f t="shared" si="182"/>
        <v>0</v>
      </c>
    </row>
    <row r="3481" spans="1:18" ht="14" hidden="1">
      <c r="A3481" s="78" t="s">
        <v>3079</v>
      </c>
      <c r="B3481" s="220" t="s">
        <v>1912</v>
      </c>
      <c r="C3481" s="185"/>
      <c r="D3481" s="30" t="s">
        <v>1913</v>
      </c>
      <c r="E3481" s="30" t="str">
        <f>VLOOKUP(B3481, 'All Menu'!B:M, 2, 0)</f>
        <v>قسم التواصي</v>
      </c>
      <c r="F3481" s="103" t="str">
        <f>VLOOKUP(B3481, 'All Menu'!B:M, 3, 0)</f>
        <v>التواصي سفري</v>
      </c>
      <c r="G3481" s="90" t="s">
        <v>2234</v>
      </c>
      <c r="H3481" s="219">
        <v>4503</v>
      </c>
      <c r="I3481" s="110" t="str">
        <f>VLOOKUP(H3481, 'RM &amp; SF'!B:H, 2, 0)</f>
        <v>بصل ناشف دفش*****</v>
      </c>
      <c r="J3481" s="184" t="str">
        <f>VLOOKUP(H3481, 'RM &amp; SF'!B:E, 4, 0)</f>
        <v>غم</v>
      </c>
      <c r="K3481" s="78">
        <v>200</v>
      </c>
      <c r="L3481" s="13">
        <f>VLOOKUP(H3481, 'RM &amp; SF'!B:H, 7, 0)</f>
        <v>2.5000000000000001E-4</v>
      </c>
      <c r="M3481" s="15">
        <f t="shared" si="183"/>
        <v>0.05</v>
      </c>
      <c r="N3481" s="21" t="s">
        <v>825</v>
      </c>
      <c r="O3481" s="4">
        <f>VLOOKUP(B3481, 'All Menu'!B:L, 6, 0)</f>
        <v>17.241379310344829</v>
      </c>
      <c r="P3481" s="6">
        <f>VLOOKUP(B3481, 'All Menu'!B:L, 9, 0)</f>
        <v>14.525006348849017</v>
      </c>
      <c r="Q3481" s="14">
        <f>VLOOKUP(B3481, 'All Menu'!B:M, 12, 0)</f>
        <v>0.15754963176675713</v>
      </c>
      <c r="R3481" s="173">
        <f t="shared" si="182"/>
        <v>0</v>
      </c>
    </row>
    <row r="3482" spans="1:18" ht="14" hidden="1">
      <c r="A3482" s="78" t="s">
        <v>3079</v>
      </c>
      <c r="B3482" s="220" t="s">
        <v>1912</v>
      </c>
      <c r="C3482" s="185"/>
      <c r="D3482" s="30" t="s">
        <v>1913</v>
      </c>
      <c r="E3482" s="30" t="str">
        <f>VLOOKUP(B3482, 'All Menu'!B:M, 2, 0)</f>
        <v>قسم التواصي</v>
      </c>
      <c r="F3482" s="103" t="str">
        <f>VLOOKUP(B3482, 'All Menu'!B:M, 3, 0)</f>
        <v>التواصي سفري</v>
      </c>
      <c r="G3482" s="90" t="s">
        <v>2247</v>
      </c>
      <c r="H3482" s="219">
        <v>4525</v>
      </c>
      <c r="I3482" s="110" t="str">
        <f>VLOOKUP(H3482, 'RM &amp; SF'!B:H, 2, 0)</f>
        <v>زهرة*****</v>
      </c>
      <c r="J3482" s="184" t="str">
        <f>VLOOKUP(H3482, 'RM &amp; SF'!B:E, 4, 0)</f>
        <v>غم</v>
      </c>
      <c r="K3482" s="78">
        <v>150</v>
      </c>
      <c r="L3482" s="13">
        <f>VLOOKUP(H3482, 'RM &amp; SF'!B:H, 7, 0)</f>
        <v>1E-3</v>
      </c>
      <c r="M3482" s="15">
        <f t="shared" si="183"/>
        <v>0.15</v>
      </c>
      <c r="N3482" s="21" t="s">
        <v>825</v>
      </c>
      <c r="O3482" s="4">
        <f>VLOOKUP(B3482, 'All Menu'!B:L, 6, 0)</f>
        <v>17.241379310344829</v>
      </c>
      <c r="P3482" s="6">
        <f>VLOOKUP(B3482, 'All Menu'!B:L, 9, 0)</f>
        <v>14.525006348849017</v>
      </c>
      <c r="Q3482" s="14">
        <f>VLOOKUP(B3482, 'All Menu'!B:M, 12, 0)</f>
        <v>0.15754963176675713</v>
      </c>
      <c r="R3482" s="173">
        <f t="shared" si="182"/>
        <v>0</v>
      </c>
    </row>
    <row r="3483" spans="1:18" ht="14" hidden="1">
      <c r="A3483" s="78" t="s">
        <v>3079</v>
      </c>
      <c r="B3483" s="220" t="s">
        <v>1912</v>
      </c>
      <c r="C3483" s="185"/>
      <c r="D3483" s="30" t="s">
        <v>1913</v>
      </c>
      <c r="E3483" s="30" t="str">
        <f>VLOOKUP(B3483, 'All Menu'!B:M, 2, 0)</f>
        <v>قسم التواصي</v>
      </c>
      <c r="F3483" s="103" t="str">
        <f>VLOOKUP(B3483, 'All Menu'!B:M, 3, 0)</f>
        <v>التواصي سفري</v>
      </c>
      <c r="G3483" s="90" t="s">
        <v>2260</v>
      </c>
      <c r="H3483" s="219">
        <v>4160</v>
      </c>
      <c r="I3483" s="110" t="str">
        <f>VLOOKUP(H3483, 'RM &amp; SF'!B:H, 2, 0)</f>
        <v>زيت صويا 18 لتر*****</v>
      </c>
      <c r="J3483" s="184" t="str">
        <f>VLOOKUP(H3483, 'RM &amp; SF'!B:E, 4, 0)</f>
        <v>مل</v>
      </c>
      <c r="K3483" s="78">
        <v>100</v>
      </c>
      <c r="L3483" s="13">
        <f>VLOOKUP(H3483, 'RM &amp; SF'!B:H, 7, 0)</f>
        <v>1.335E-3</v>
      </c>
      <c r="M3483" s="15">
        <f t="shared" si="183"/>
        <v>0.13350000000000001</v>
      </c>
      <c r="N3483" s="21" t="s">
        <v>825</v>
      </c>
      <c r="O3483" s="4">
        <f>VLOOKUP(B3483, 'All Menu'!B:L, 6, 0)</f>
        <v>17.241379310344829</v>
      </c>
      <c r="P3483" s="6">
        <f>VLOOKUP(B3483, 'All Menu'!B:L, 9, 0)</f>
        <v>14.525006348849017</v>
      </c>
      <c r="Q3483" s="14">
        <f>VLOOKUP(B3483, 'All Menu'!B:M, 12, 0)</f>
        <v>0.15754963176675713</v>
      </c>
      <c r="R3483" s="173">
        <f t="shared" si="182"/>
        <v>0</v>
      </c>
    </row>
    <row r="3484" spans="1:18" ht="14" hidden="1">
      <c r="A3484" s="78" t="s">
        <v>3079</v>
      </c>
      <c r="B3484" s="220" t="s">
        <v>1912</v>
      </c>
      <c r="C3484" s="185"/>
      <c r="D3484" s="30" t="s">
        <v>1913</v>
      </c>
      <c r="E3484" s="30" t="str">
        <f>VLOOKUP(B3484, 'All Menu'!B:M, 2, 0)</f>
        <v>قسم التواصي</v>
      </c>
      <c r="F3484" s="103" t="str">
        <f>VLOOKUP(B3484, 'All Menu'!B:M, 3, 0)</f>
        <v>التواصي سفري</v>
      </c>
      <c r="G3484" s="90" t="s">
        <v>3058</v>
      </c>
      <c r="H3484" s="219">
        <v>3</v>
      </c>
      <c r="I3484" s="110" t="str">
        <f>VLOOKUP(H3484, 'RM &amp; SF'!B:H, 2, 0)</f>
        <v>مياه حنفية</v>
      </c>
      <c r="J3484" s="184" t="str">
        <f>VLOOKUP(H3484, 'RM &amp; SF'!B:E, 4, 0)</f>
        <v>مل</v>
      </c>
      <c r="K3484" s="78">
        <v>2150</v>
      </c>
      <c r="L3484" s="13">
        <f>VLOOKUP(H3484, 'RM &amp; SF'!B:H, 7, 0)</f>
        <v>0</v>
      </c>
      <c r="M3484" s="15">
        <f t="shared" si="183"/>
        <v>0</v>
      </c>
      <c r="N3484" s="21" t="s">
        <v>825</v>
      </c>
      <c r="O3484" s="4">
        <f>VLOOKUP(B3484, 'All Menu'!B:L, 6, 0)</f>
        <v>17.241379310344829</v>
      </c>
      <c r="P3484" s="6">
        <f>VLOOKUP(B3484, 'All Menu'!B:L, 9, 0)</f>
        <v>14.525006348849017</v>
      </c>
      <c r="Q3484" s="14">
        <f>VLOOKUP(B3484, 'All Menu'!B:M, 12, 0)</f>
        <v>0.15754963176675713</v>
      </c>
      <c r="R3484" s="173">
        <f t="shared" si="182"/>
        <v>0</v>
      </c>
    </row>
    <row r="3485" spans="1:18" ht="14" hidden="1">
      <c r="A3485" s="78" t="s">
        <v>3079</v>
      </c>
      <c r="B3485" s="220" t="s">
        <v>1912</v>
      </c>
      <c r="C3485" s="185"/>
      <c r="D3485" s="30" t="s">
        <v>1913</v>
      </c>
      <c r="E3485" s="30" t="str">
        <f>VLOOKUP(B3485, 'All Menu'!B:M, 2, 0)</f>
        <v>قسم التواصي</v>
      </c>
      <c r="F3485" s="103" t="str">
        <f>VLOOKUP(B3485, 'All Menu'!B:M, 3, 0)</f>
        <v>التواصي سفري</v>
      </c>
      <c r="G3485" s="90" t="s">
        <v>3058</v>
      </c>
      <c r="H3485" s="219">
        <v>4608</v>
      </c>
      <c r="I3485" s="110" t="str">
        <f>VLOOKUP(H3485, 'RM &amp; SF'!B:H, 2, 0)</f>
        <v>لحمة قطع نية بالكيلو*****</v>
      </c>
      <c r="J3485" s="184" t="str">
        <f>VLOOKUP(H3485, 'RM &amp; SF'!B:E, 4, 0)</f>
        <v>غم</v>
      </c>
      <c r="K3485" s="78">
        <v>1000</v>
      </c>
      <c r="L3485" s="13">
        <f>VLOOKUP(H3485, 'RM &amp; SF'!B:H, 7, 0)</f>
        <v>1.1615493158849017E-2</v>
      </c>
      <c r="M3485" s="15">
        <f t="shared" si="183"/>
        <v>11.615493158849016</v>
      </c>
      <c r="N3485" s="21" t="s">
        <v>825</v>
      </c>
      <c r="O3485" s="4">
        <f>VLOOKUP(B3485, 'All Menu'!B:L, 6, 0)</f>
        <v>17.241379310344829</v>
      </c>
      <c r="P3485" s="6">
        <f>VLOOKUP(B3485, 'All Menu'!B:L, 9, 0)</f>
        <v>14.525006348849017</v>
      </c>
      <c r="Q3485" s="14">
        <f>VLOOKUP(B3485, 'All Menu'!B:M, 12, 0)</f>
        <v>0.15754963176675713</v>
      </c>
      <c r="R3485" s="173">
        <f t="shared" si="182"/>
        <v>0</v>
      </c>
    </row>
    <row r="3486" spans="1:18" ht="14">
      <c r="A3486" s="78" t="s">
        <v>3079</v>
      </c>
      <c r="B3486" s="220" t="s">
        <v>1912</v>
      </c>
      <c r="C3486" s="185"/>
      <c r="D3486" s="30" t="s">
        <v>1913</v>
      </c>
      <c r="E3486" s="30" t="str">
        <f>VLOOKUP(B3486, 'All Menu'!B:M, 2, 0)</f>
        <v>قسم التواصي</v>
      </c>
      <c r="F3486" s="103" t="str">
        <f>VLOOKUP(B3486, 'All Menu'!B:M, 3, 0)</f>
        <v>التواصي سفري</v>
      </c>
      <c r="G3486" s="90" t="s">
        <v>2389</v>
      </c>
      <c r="H3486" s="219" t="s">
        <v>550</v>
      </c>
      <c r="I3486" s="110" t="str">
        <f>VLOOKUP(H3486, 'RM &amp; SF'!B:H, 2, 0)</f>
        <v>ارز منسف</v>
      </c>
      <c r="J3486" s="184" t="str">
        <f>VLOOKUP(H3486, 'RM &amp; SF'!B:E, 4, 0)</f>
        <v>غم</v>
      </c>
      <c r="K3486" s="78">
        <v>1000</v>
      </c>
      <c r="L3486" s="13">
        <f>VLOOKUP(H3486, 'RM &amp; SF'!B:H, 7, 0)</f>
        <v>4.9216375000000004E-4</v>
      </c>
      <c r="M3486" s="15">
        <f t="shared" si="183"/>
        <v>0.49216375000000001</v>
      </c>
      <c r="N3486" s="21" t="s">
        <v>825</v>
      </c>
      <c r="O3486" s="4">
        <f>VLOOKUP(B3486, 'All Menu'!B:L, 6, 0)</f>
        <v>17.241379310344829</v>
      </c>
      <c r="P3486" s="6">
        <f>VLOOKUP(B3486, 'All Menu'!B:L, 9, 0)</f>
        <v>14.525006348849017</v>
      </c>
      <c r="Q3486" s="14">
        <f>VLOOKUP(B3486, 'All Menu'!B:M, 12, 0)</f>
        <v>0.15754963176675713</v>
      </c>
      <c r="R3486" s="173">
        <f t="shared" si="182"/>
        <v>0</v>
      </c>
    </row>
    <row r="3487" spans="1:18" ht="14" hidden="1">
      <c r="A3487" s="78" t="s">
        <v>3079</v>
      </c>
      <c r="B3487" s="220" t="s">
        <v>1912</v>
      </c>
      <c r="C3487" s="185"/>
      <c r="D3487" s="30" t="s">
        <v>1913</v>
      </c>
      <c r="E3487" s="30" t="str">
        <f>VLOOKUP(B3487, 'All Menu'!B:M, 2, 0)</f>
        <v>قسم التواصي</v>
      </c>
      <c r="F3487" s="103" t="str">
        <f>VLOOKUP(B3487, 'All Menu'!B:M, 3, 0)</f>
        <v>التواصي سفري</v>
      </c>
      <c r="G3487" s="90" t="s">
        <v>3058</v>
      </c>
      <c r="H3487" s="219">
        <v>4354</v>
      </c>
      <c r="I3487" s="110" t="str">
        <f>VLOOKUP(H3487, 'RM &amp; SF'!B:H, 2, 0)</f>
        <v>سدر بلاستيك دائري 35 سم*****</v>
      </c>
      <c r="J3487" s="184" t="str">
        <f>VLOOKUP(H3487, 'RM &amp; SF'!B:E, 4, 0)</f>
        <v>قطعة</v>
      </c>
      <c r="K3487" s="78">
        <v>1</v>
      </c>
      <c r="L3487" s="13">
        <f>VLOOKUP(H3487, 'RM &amp; SF'!B:H, 7, 0)</f>
        <v>0.28016999999999997</v>
      </c>
      <c r="M3487" s="15">
        <f t="shared" ref="M3487:M3490" si="184">L3487*K3487</f>
        <v>0.28016999999999997</v>
      </c>
      <c r="N3487" s="21" t="s">
        <v>825</v>
      </c>
      <c r="O3487" s="4">
        <f>VLOOKUP(B3487, 'All Menu'!B:L, 6, 0)</f>
        <v>17.241379310344829</v>
      </c>
      <c r="P3487" s="6">
        <f>VLOOKUP(B3487, 'All Menu'!B:L, 9, 0)</f>
        <v>14.525006348849017</v>
      </c>
      <c r="Q3487" s="14">
        <f>VLOOKUP(B3487, 'All Menu'!B:M, 12, 0)</f>
        <v>0.15754963176675713</v>
      </c>
      <c r="R3487" s="173">
        <f t="shared" si="182"/>
        <v>0</v>
      </c>
    </row>
    <row r="3488" spans="1:18" ht="14" hidden="1">
      <c r="A3488" s="78" t="s">
        <v>3079</v>
      </c>
      <c r="B3488" s="220" t="s">
        <v>1912</v>
      </c>
      <c r="C3488" s="185"/>
      <c r="D3488" s="30" t="s">
        <v>1913</v>
      </c>
      <c r="E3488" s="30" t="str">
        <f>VLOOKUP(B3488, 'All Menu'!B:M, 2, 0)</f>
        <v>قسم التواصي</v>
      </c>
      <c r="F3488" s="103" t="str">
        <f>VLOOKUP(B3488, 'All Menu'!B:M, 3, 0)</f>
        <v>التواصي سفري</v>
      </c>
      <c r="G3488" s="90" t="s">
        <v>2194</v>
      </c>
      <c r="H3488" s="219">
        <v>4323</v>
      </c>
      <c r="I3488" s="110" t="str">
        <f>VLOOKUP(H3488, 'RM &amp; SF'!B:H, 2, 0)</f>
        <v>قصدير رول 45 سم*2كغ*****</v>
      </c>
      <c r="J3488" s="184" t="str">
        <f>VLOOKUP(H3488, 'RM &amp; SF'!B:E, 4, 0)</f>
        <v>غم</v>
      </c>
      <c r="K3488" s="78">
        <v>0.06</v>
      </c>
      <c r="L3488" s="13">
        <f>VLOOKUP(H3488, 'RM &amp; SF'!B:H, 7, 0)</f>
        <v>1.7240000000000001E-3</v>
      </c>
      <c r="M3488" s="15">
        <f t="shared" si="184"/>
        <v>1.0344E-4</v>
      </c>
      <c r="N3488" s="21" t="s">
        <v>825</v>
      </c>
      <c r="O3488" s="4">
        <f>VLOOKUP(B3488, 'All Menu'!B:L, 6, 0)</f>
        <v>17.241379310344829</v>
      </c>
      <c r="P3488" s="6">
        <f>VLOOKUP(B3488, 'All Menu'!B:L, 9, 0)</f>
        <v>14.525006348849017</v>
      </c>
      <c r="Q3488" s="14">
        <f>VLOOKUP(B3488, 'All Menu'!B:M, 12, 0)</f>
        <v>0.15754963176675713</v>
      </c>
      <c r="R3488" s="173">
        <f t="shared" si="182"/>
        <v>0</v>
      </c>
    </row>
    <row r="3489" spans="1:18" ht="14" hidden="1">
      <c r="A3489" s="78" t="s">
        <v>3079</v>
      </c>
      <c r="B3489" s="220" t="s">
        <v>1912</v>
      </c>
      <c r="C3489" s="185"/>
      <c r="D3489" s="30" t="s">
        <v>1913</v>
      </c>
      <c r="E3489" s="30" t="str">
        <f>VLOOKUP(B3489, 'All Menu'!B:M, 2, 0)</f>
        <v>قسم التواصي</v>
      </c>
      <c r="F3489" s="103" t="str">
        <f>VLOOKUP(B3489, 'All Menu'!B:M, 3, 0)</f>
        <v>التواصي سفري</v>
      </c>
      <c r="G3489" s="90" t="s">
        <v>3058</v>
      </c>
      <c r="H3489" s="219">
        <v>5378</v>
      </c>
      <c r="I3489" s="110" t="str">
        <f>VLOOKUP(H3489, 'RM &amp; SF'!B:H, 2, 0)</f>
        <v>رول مركزية تواصي</v>
      </c>
      <c r="J3489" s="184" t="str">
        <f>VLOOKUP(H3489, 'RM &amp; SF'!B:E, 4, 0)</f>
        <v>غم</v>
      </c>
      <c r="K3489" s="78">
        <v>20</v>
      </c>
      <c r="L3489" s="13">
        <f>VLOOKUP(H3489, 'RM &amp; SF'!B:H, 7, 0)</f>
        <v>2.7499999999999998E-3</v>
      </c>
      <c r="M3489" s="15">
        <f t="shared" si="184"/>
        <v>5.4999999999999993E-2</v>
      </c>
      <c r="N3489" s="21" t="s">
        <v>825</v>
      </c>
      <c r="O3489" s="4">
        <f>VLOOKUP(B3489, 'All Menu'!B:L, 6, 0)</f>
        <v>17.241379310344829</v>
      </c>
      <c r="P3489" s="6">
        <f>VLOOKUP(B3489, 'All Menu'!B:L, 9, 0)</f>
        <v>14.525006348849017</v>
      </c>
      <c r="Q3489" s="14">
        <f>VLOOKUP(B3489, 'All Menu'!B:M, 12, 0)</f>
        <v>0.15754963176675713</v>
      </c>
      <c r="R3489" s="173">
        <f t="shared" si="182"/>
        <v>0</v>
      </c>
    </row>
    <row r="3490" spans="1:18" ht="14" hidden="1">
      <c r="A3490" s="78" t="s">
        <v>3079</v>
      </c>
      <c r="B3490" s="220" t="s">
        <v>1912</v>
      </c>
      <c r="C3490" s="185"/>
      <c r="D3490" s="30" t="s">
        <v>1913</v>
      </c>
      <c r="E3490" s="30" t="str">
        <f>VLOOKUP(B3490, 'All Menu'!B:M, 2, 0)</f>
        <v>قسم التواصي</v>
      </c>
      <c r="F3490" s="103" t="str">
        <f>VLOOKUP(B3490, 'All Menu'!B:M, 3, 0)</f>
        <v>التواصي سفري</v>
      </c>
      <c r="G3490" s="90" t="s">
        <v>2195</v>
      </c>
      <c r="H3490" s="219">
        <v>4329</v>
      </c>
      <c r="I3490" s="110" t="str">
        <f>VLOOKUP(H3490, 'RM &amp; SF'!B:H, 2, 0)</f>
        <v>ملاعق بلاستيك مع معقم مطبوع 1*500 حبة*****</v>
      </c>
      <c r="J3490" s="184" t="str">
        <f>VLOOKUP(H3490, 'RM &amp; SF'!B:E, 4, 0)</f>
        <v>قطعة</v>
      </c>
      <c r="K3490" s="78">
        <v>4</v>
      </c>
      <c r="L3490" s="13">
        <f>VLOOKUP(H3490, 'RM &amp; SF'!B:H, 7, 0)</f>
        <v>4.7399999999999997E-4</v>
      </c>
      <c r="M3490" s="15">
        <f t="shared" si="184"/>
        <v>1.8959999999999999E-3</v>
      </c>
      <c r="N3490" s="21" t="s">
        <v>825</v>
      </c>
      <c r="O3490" s="4">
        <f>VLOOKUP(B3490, 'All Menu'!B:L, 6, 0)</f>
        <v>17.241379310344829</v>
      </c>
      <c r="P3490" s="6">
        <f>VLOOKUP(B3490, 'All Menu'!B:L, 9, 0)</f>
        <v>14.525006348849017</v>
      </c>
      <c r="Q3490" s="14">
        <f>VLOOKUP(B3490, 'All Menu'!B:M, 12, 0)</f>
        <v>0.15754963176675713</v>
      </c>
      <c r="R3490" s="173">
        <f t="shared" si="182"/>
        <v>0</v>
      </c>
    </row>
    <row r="3491" spans="1:18" ht="14" hidden="1">
      <c r="A3491" s="78" t="s">
        <v>3164</v>
      </c>
      <c r="B3491" s="220" t="s">
        <v>2162</v>
      </c>
      <c r="C3491" s="185"/>
      <c r="D3491" s="30" t="s">
        <v>1991</v>
      </c>
      <c r="E3491" s="30" t="str">
        <f>VLOOKUP(B3491, 'All Menu'!B:M, 2, 0)</f>
        <v>قسم الملحمة</v>
      </c>
      <c r="F3491" s="103" t="str">
        <f>VLOOKUP(B3491, 'All Menu'!B:M, 3, 0)</f>
        <v>العقائق</v>
      </c>
      <c r="G3491" s="90" t="s">
        <v>3058</v>
      </c>
      <c r="H3491" s="219">
        <v>0</v>
      </c>
      <c r="I3491" s="110"/>
      <c r="J3491" s="184"/>
      <c r="L3491" s="13"/>
      <c r="M3491" s="15"/>
      <c r="N3491" s="21" t="s">
        <v>825</v>
      </c>
      <c r="O3491" s="4">
        <f>VLOOKUP(B3491, 'All Menu'!B:L, 6, 0)</f>
        <v>255</v>
      </c>
      <c r="P3491" s="6">
        <f>VLOOKUP(B3491, 'All Menu'!B:L, 9, 0)</f>
        <v>0</v>
      </c>
      <c r="Q3491" s="14">
        <f>VLOOKUP(B3491, 'All Menu'!B:M, 12, 0)</f>
        <v>1</v>
      </c>
      <c r="R3491" s="173">
        <f t="shared" si="182"/>
        <v>0</v>
      </c>
    </row>
    <row r="3492" spans="1:18" ht="14" hidden="1">
      <c r="A3492" s="78" t="s">
        <v>3165</v>
      </c>
      <c r="B3492" s="220" t="s">
        <v>2163</v>
      </c>
      <c r="C3492" s="185"/>
      <c r="D3492" s="30" t="s">
        <v>1992</v>
      </c>
      <c r="E3492" s="30" t="str">
        <f>VLOOKUP(B3492, 'All Menu'!B:M, 2, 0)</f>
        <v>قسم الملحمة</v>
      </c>
      <c r="F3492" s="103" t="str">
        <f>VLOOKUP(B3492, 'All Menu'!B:M, 3, 0)</f>
        <v>العقائق</v>
      </c>
      <c r="G3492" s="90" t="s">
        <v>3058</v>
      </c>
      <c r="H3492" s="219">
        <v>0</v>
      </c>
      <c r="I3492" s="110"/>
      <c r="J3492" s="184"/>
      <c r="L3492" s="13"/>
      <c r="M3492" s="15"/>
      <c r="N3492" s="21" t="s">
        <v>825</v>
      </c>
      <c r="O3492" s="4">
        <f>VLOOKUP(B3492, 'All Menu'!B:L, 6, 0)</f>
        <v>285</v>
      </c>
      <c r="P3492" s="6">
        <f>VLOOKUP(B3492, 'All Menu'!B:L, 9, 0)</f>
        <v>0</v>
      </c>
      <c r="Q3492" s="14">
        <f>VLOOKUP(B3492, 'All Menu'!B:M, 12, 0)</f>
        <v>1</v>
      </c>
      <c r="R3492" s="173">
        <f t="shared" si="182"/>
        <v>0</v>
      </c>
    </row>
    <row r="3493" spans="1:18" ht="14" hidden="1">
      <c r="A3493" s="78" t="s">
        <v>3166</v>
      </c>
      <c r="B3493" s="220" t="s">
        <v>2164</v>
      </c>
      <c r="C3493" s="185"/>
      <c r="D3493" s="30" t="s">
        <v>1993</v>
      </c>
      <c r="E3493" s="30" t="str">
        <f>VLOOKUP(B3493, 'All Menu'!B:M, 2, 0)</f>
        <v>قسم الملحمة</v>
      </c>
      <c r="F3493" s="103" t="str">
        <f>VLOOKUP(B3493, 'All Menu'!B:M, 3, 0)</f>
        <v>العقائق</v>
      </c>
      <c r="G3493" s="90" t="s">
        <v>3058</v>
      </c>
      <c r="H3493" s="219">
        <v>0</v>
      </c>
      <c r="I3493" s="110"/>
      <c r="J3493" s="184"/>
      <c r="L3493" s="13"/>
      <c r="M3493" s="15"/>
      <c r="N3493" s="21" t="s">
        <v>825</v>
      </c>
      <c r="O3493" s="4">
        <f>VLOOKUP(B3493, 'All Menu'!B:L, 6, 0)</f>
        <v>7</v>
      </c>
      <c r="P3493" s="6">
        <f>VLOOKUP(B3493, 'All Menu'!B:L, 9, 0)</f>
        <v>0</v>
      </c>
      <c r="Q3493" s="14">
        <f>VLOOKUP(B3493, 'All Menu'!B:M, 12, 0)</f>
        <v>1</v>
      </c>
      <c r="R3493" s="173">
        <f t="shared" si="182"/>
        <v>0</v>
      </c>
    </row>
    <row r="3494" spans="1:18" ht="14" hidden="1">
      <c r="A3494" s="78" t="s">
        <v>3167</v>
      </c>
      <c r="B3494" s="220" t="s">
        <v>2165</v>
      </c>
      <c r="C3494" s="185"/>
      <c r="D3494" s="30" t="s">
        <v>1994</v>
      </c>
      <c r="E3494" s="30" t="str">
        <f>VLOOKUP(B3494, 'All Menu'!B:M, 2, 0)</f>
        <v>قسم الملحمة</v>
      </c>
      <c r="F3494" s="103" t="str">
        <f>VLOOKUP(B3494, 'All Menu'!B:M, 3, 0)</f>
        <v>العقائق</v>
      </c>
      <c r="G3494" s="90" t="s">
        <v>3058</v>
      </c>
      <c r="H3494" s="219">
        <v>0</v>
      </c>
      <c r="I3494" s="110"/>
      <c r="J3494" s="184"/>
      <c r="L3494" s="13"/>
      <c r="M3494" s="15"/>
      <c r="N3494" s="21" t="s">
        <v>825</v>
      </c>
      <c r="O3494" s="4">
        <f>VLOOKUP(B3494, 'All Menu'!B:L, 6, 0)</f>
        <v>255</v>
      </c>
      <c r="P3494" s="6">
        <f>VLOOKUP(B3494, 'All Menu'!B:L, 9, 0)</f>
        <v>0</v>
      </c>
      <c r="Q3494" s="14">
        <f>VLOOKUP(B3494, 'All Menu'!B:M, 12, 0)</f>
        <v>1</v>
      </c>
      <c r="R3494" s="173">
        <f t="shared" si="182"/>
        <v>0</v>
      </c>
    </row>
    <row r="3495" spans="1:18" ht="14" hidden="1">
      <c r="A3495" s="78" t="s">
        <v>3168</v>
      </c>
      <c r="B3495" s="220" t="s">
        <v>2166</v>
      </c>
      <c r="C3495" s="185"/>
      <c r="D3495" s="30" t="s">
        <v>1995</v>
      </c>
      <c r="E3495" s="30" t="str">
        <f>VLOOKUP(B3495, 'All Menu'!B:M, 2, 0)</f>
        <v>قسم الملحمة</v>
      </c>
      <c r="F3495" s="103" t="str">
        <f>VLOOKUP(B3495, 'All Menu'!B:M, 3, 0)</f>
        <v>العقائق</v>
      </c>
      <c r="G3495" s="90" t="s">
        <v>3058</v>
      </c>
      <c r="H3495" s="219">
        <v>0</v>
      </c>
      <c r="I3495" s="110"/>
      <c r="J3495" s="184"/>
      <c r="L3495" s="13"/>
      <c r="M3495" s="15"/>
      <c r="N3495" s="21" t="s">
        <v>825</v>
      </c>
      <c r="O3495" s="4">
        <f>VLOOKUP(B3495, 'All Menu'!B:L, 6, 0)</f>
        <v>285</v>
      </c>
      <c r="P3495" s="6">
        <f>VLOOKUP(B3495, 'All Menu'!B:L, 9, 0)</f>
        <v>0</v>
      </c>
      <c r="Q3495" s="14">
        <f>VLOOKUP(B3495, 'All Menu'!B:M, 12, 0)</f>
        <v>1</v>
      </c>
      <c r="R3495" s="173">
        <f t="shared" si="182"/>
        <v>0</v>
      </c>
    </row>
    <row r="3496" spans="1:18" ht="14" hidden="1">
      <c r="A3496" s="78" t="s">
        <v>3169</v>
      </c>
      <c r="B3496" s="220" t="s">
        <v>2167</v>
      </c>
      <c r="C3496" s="185"/>
      <c r="D3496" s="30" t="s">
        <v>1996</v>
      </c>
      <c r="E3496" s="30" t="str">
        <f>VLOOKUP(B3496, 'All Menu'!B:M, 2, 0)</f>
        <v>قسم الملحمة</v>
      </c>
      <c r="F3496" s="103" t="str">
        <f>VLOOKUP(B3496, 'All Menu'!B:M, 3, 0)</f>
        <v>العقائق</v>
      </c>
      <c r="G3496" s="90" t="s">
        <v>3058</v>
      </c>
      <c r="H3496" s="219">
        <v>0</v>
      </c>
      <c r="I3496" s="110"/>
      <c r="J3496" s="184"/>
      <c r="L3496" s="13"/>
      <c r="M3496" s="15"/>
      <c r="N3496" s="21" t="s">
        <v>825</v>
      </c>
      <c r="O3496" s="4">
        <f>VLOOKUP(B3496, 'All Menu'!B:L, 6, 0)</f>
        <v>7</v>
      </c>
      <c r="P3496" s="6">
        <f>VLOOKUP(B3496, 'All Menu'!B:L, 9, 0)</f>
        <v>0</v>
      </c>
      <c r="Q3496" s="14">
        <f>VLOOKUP(B3496, 'All Menu'!B:M, 12, 0)</f>
        <v>1</v>
      </c>
      <c r="R3496" s="173">
        <f t="shared" si="182"/>
        <v>0</v>
      </c>
    </row>
    <row r="3497" spans="1:18" ht="14" hidden="1">
      <c r="A3497" s="78" t="s">
        <v>3170</v>
      </c>
      <c r="B3497" s="220" t="s">
        <v>2168</v>
      </c>
      <c r="C3497" s="185"/>
      <c r="D3497" s="30" t="s">
        <v>1998</v>
      </c>
      <c r="E3497" s="30" t="str">
        <f>VLOOKUP(B3497, 'All Menu'!B:M, 2, 0)</f>
        <v>قسم الملحمة</v>
      </c>
      <c r="F3497" s="103" t="str">
        <f>VLOOKUP(B3497, 'All Menu'!B:M, 3, 0)</f>
        <v>العقائق</v>
      </c>
      <c r="G3497" s="90" t="s">
        <v>3058</v>
      </c>
      <c r="H3497" s="219">
        <v>0</v>
      </c>
      <c r="I3497" s="110"/>
      <c r="J3497" s="184"/>
      <c r="L3497" s="13"/>
      <c r="M3497" s="15"/>
      <c r="N3497" s="21" t="s">
        <v>825</v>
      </c>
      <c r="O3497" s="4">
        <f>VLOOKUP(B3497, 'All Menu'!B:L, 6, 0)</f>
        <v>4.5</v>
      </c>
      <c r="P3497" s="6">
        <f>VLOOKUP(B3497, 'All Menu'!B:L, 9, 0)</f>
        <v>0</v>
      </c>
      <c r="Q3497" s="14">
        <f>VLOOKUP(B3497, 'All Menu'!B:M, 12, 0)</f>
        <v>1</v>
      </c>
      <c r="R3497" s="173">
        <f t="shared" si="182"/>
        <v>0</v>
      </c>
    </row>
    <row r="3498" spans="1:18" ht="14" hidden="1">
      <c r="A3498" s="78" t="s">
        <v>3178</v>
      </c>
      <c r="B3498" s="220">
        <v>5285</v>
      </c>
      <c r="C3498" s="185"/>
      <c r="D3498" s="30" t="s">
        <v>328</v>
      </c>
      <c r="E3498" s="30" t="str">
        <f>VLOOKUP(B3498, 'All Menu'!B:M, 2, 0)</f>
        <v>قسم الملحمة</v>
      </c>
      <c r="F3498" s="103" t="str">
        <f>VLOOKUP(B3498, 'All Menu'!B:M, 3, 0)</f>
        <v>دواجن</v>
      </c>
      <c r="G3498" s="90" t="s">
        <v>2312</v>
      </c>
      <c r="H3498" s="219">
        <v>5285</v>
      </c>
      <c r="I3498" s="110" t="str">
        <f>VLOOKUP(H3498, 'RM &amp; SF'!B:H, 2, 0)</f>
        <v>دجاج المركزية الكامل</v>
      </c>
      <c r="J3498" s="184" t="str">
        <f>VLOOKUP(H3498, 'RM &amp; SF'!B:E, 4, 0)</f>
        <v>غم</v>
      </c>
      <c r="K3498" s="78">
        <v>1000</v>
      </c>
      <c r="L3498" s="13">
        <f>VLOOKUP(H3498, 'RM &amp; SF'!B:H, 7, 0)</f>
        <v>1.75E-3</v>
      </c>
      <c r="M3498" s="15">
        <f t="shared" ref="M3498" si="185">L3498*K3498</f>
        <v>1.75</v>
      </c>
      <c r="N3498" s="21" t="s">
        <v>825</v>
      </c>
      <c r="O3498" s="4">
        <f>VLOOKUP(B3498, 'All Menu'!B:L, 6, 0)</f>
        <v>2.5</v>
      </c>
      <c r="P3498" s="6">
        <f>VLOOKUP(B3498, 'All Menu'!B:L, 9, 0)</f>
        <v>1.75</v>
      </c>
      <c r="Q3498" s="14">
        <f>VLOOKUP(B3498, 'All Menu'!B:M, 12, 0)</f>
        <v>0.3</v>
      </c>
    </row>
    <row r="3499" spans="1:18" ht="14" hidden="1">
      <c r="A3499" s="78" t="s">
        <v>3179</v>
      </c>
      <c r="B3499" s="220">
        <v>60020</v>
      </c>
      <c r="C3499" s="185"/>
      <c r="D3499" s="30" t="s">
        <v>3011</v>
      </c>
      <c r="E3499" s="30" t="str">
        <f>VLOOKUP(B3499, 'All Menu'!B:M, 2, 0)</f>
        <v>قسم الملحمة</v>
      </c>
      <c r="F3499" s="103" t="str">
        <f>VLOOKUP(B3499, 'All Menu'!B:M, 3, 0)</f>
        <v>لحوم مستوردة</v>
      </c>
      <c r="G3499" s="90" t="s">
        <v>3058</v>
      </c>
      <c r="H3499" s="219">
        <v>5401</v>
      </c>
      <c r="I3499" s="110" t="str">
        <f>VLOOKUP(H3499, 'RM &amp; SF'!B:H, 2, 0)</f>
        <v xml:space="preserve">روز بيف  </v>
      </c>
      <c r="J3499" s="184" t="str">
        <f>VLOOKUP(H3499, 'RM &amp; SF'!B:E, 4, 0)</f>
        <v>غم</v>
      </c>
      <c r="K3499" s="78">
        <v>1000</v>
      </c>
      <c r="L3499" s="13">
        <f>VLOOKUP(H3499, 'RM &amp; SF'!B:H, 7, 0)</f>
        <v>1.2580000000000001E-2</v>
      </c>
      <c r="M3499" s="15">
        <f t="shared" ref="M3499" si="186">L3499*K3499</f>
        <v>12.58</v>
      </c>
      <c r="N3499" s="21" t="s">
        <v>825</v>
      </c>
      <c r="O3499" s="4">
        <f>VLOOKUP(B3499, 'All Menu'!B:L, 6, 0)</f>
        <v>18</v>
      </c>
      <c r="P3499" s="6">
        <f>VLOOKUP(B3499, 'All Menu'!B:L, 9, 0)</f>
        <v>12.58</v>
      </c>
      <c r="Q3499" s="14">
        <f>VLOOKUP(B3499, 'All Menu'!B:M, 12, 0)</f>
        <v>0.30111111111111111</v>
      </c>
    </row>
    <row r="3500" spans="1:18" ht="14" hidden="1">
      <c r="A3500" s="78" t="s">
        <v>3062</v>
      </c>
      <c r="B3500" s="220">
        <v>60077</v>
      </c>
      <c r="C3500" s="185"/>
      <c r="D3500" s="30" t="s">
        <v>3012</v>
      </c>
      <c r="E3500" s="30" t="str">
        <f>VLOOKUP(B3500, 'All Menu'!B:M, 2, 0)</f>
        <v>قسم الملحمة</v>
      </c>
      <c r="F3500" s="103" t="str">
        <f>VLOOKUP(B3500, 'All Menu'!B:M, 3, 0)</f>
        <v>لحوم مشكوكة</v>
      </c>
      <c r="G3500" s="90" t="s">
        <v>3058</v>
      </c>
      <c r="H3500" s="219">
        <v>5403</v>
      </c>
      <c r="I3500" s="110" t="str">
        <f>VLOOKUP(H3500, 'RM &amp; SF'!B:H, 2, 0)</f>
        <v>طاجن (من تفصيلة الخروف)</v>
      </c>
      <c r="J3500" s="184" t="str">
        <f>VLOOKUP(H3500, 'RM &amp; SF'!B:E, 4, 0)</f>
        <v>غم</v>
      </c>
      <c r="K3500" s="78">
        <v>800</v>
      </c>
      <c r="L3500" s="13">
        <f>VLOOKUP(H3500, 'RM &amp; SF'!B:H, 7, 0)</f>
        <v>9.4999999999999998E-3</v>
      </c>
      <c r="M3500" s="15">
        <f t="shared" ref="M3500:M3509" si="187">L3500*K3500</f>
        <v>7.6</v>
      </c>
      <c r="N3500" s="21" t="s">
        <v>825</v>
      </c>
      <c r="O3500" s="4">
        <f>VLOOKUP(B3500, 'All Menu'!B:L, 6, 0)</f>
        <v>22</v>
      </c>
      <c r="P3500" s="6">
        <f>VLOOKUP(B3500, 'All Menu'!B:L, 9, 0)</f>
        <v>8.5247717241379295</v>
      </c>
      <c r="Q3500" s="14">
        <f>VLOOKUP(B3500, 'All Menu'!B:M, 12, 0)</f>
        <v>0.61251037617554871</v>
      </c>
    </row>
    <row r="3501" spans="1:18" ht="14" hidden="1">
      <c r="A3501" s="78" t="s">
        <v>3062</v>
      </c>
      <c r="B3501" s="220">
        <v>60077</v>
      </c>
      <c r="C3501" s="185"/>
      <c r="D3501" s="30" t="s">
        <v>3012</v>
      </c>
      <c r="E3501" s="30" t="str">
        <f>VLOOKUP(B3501, 'All Menu'!B:M, 2, 0)</f>
        <v>قسم الملحمة</v>
      </c>
      <c r="F3501" s="103" t="str">
        <f>VLOOKUP(B3501, 'All Menu'!B:M, 3, 0)</f>
        <v>لحوم مشكوكة</v>
      </c>
      <c r="G3501" s="90" t="s">
        <v>2234</v>
      </c>
      <c r="H3501" s="219">
        <v>4503</v>
      </c>
      <c r="I3501" s="110" t="str">
        <f>VLOOKUP(H3501, 'RM &amp; SF'!B:H, 2, 0)</f>
        <v>بصل ناشف دفش*****</v>
      </c>
      <c r="J3501" s="184" t="str">
        <f>VLOOKUP(H3501, 'RM &amp; SF'!B:E, 4, 0)</f>
        <v>غم</v>
      </c>
      <c r="K3501" s="78">
        <v>200</v>
      </c>
      <c r="L3501" s="13">
        <f>VLOOKUP(H3501, 'RM &amp; SF'!B:H, 7, 0)</f>
        <v>2.5000000000000001E-4</v>
      </c>
      <c r="M3501" s="15">
        <f t="shared" si="187"/>
        <v>0.05</v>
      </c>
      <c r="N3501" s="21" t="s">
        <v>825</v>
      </c>
      <c r="O3501" s="4">
        <f>VLOOKUP(B3501, 'All Menu'!B:L, 6, 0)</f>
        <v>22</v>
      </c>
      <c r="P3501" s="6">
        <f>VLOOKUP(B3501, 'All Menu'!B:L, 9, 0)</f>
        <v>8.5247717241379295</v>
      </c>
      <c r="Q3501" s="14">
        <f>VLOOKUP(B3501, 'All Menu'!B:M, 12, 0)</f>
        <v>0.61251037617554871</v>
      </c>
    </row>
    <row r="3502" spans="1:18" ht="14" hidden="1">
      <c r="A3502" s="78" t="s">
        <v>3062</v>
      </c>
      <c r="B3502" s="220">
        <v>60077</v>
      </c>
      <c r="C3502" s="185"/>
      <c r="D3502" s="30" t="s">
        <v>3012</v>
      </c>
      <c r="E3502" s="30" t="str">
        <f>VLOOKUP(B3502, 'All Menu'!B:M, 2, 0)</f>
        <v>قسم الملحمة</v>
      </c>
      <c r="F3502" s="103" t="str">
        <f>VLOOKUP(B3502, 'All Menu'!B:M, 3, 0)</f>
        <v>لحوم مشكوكة</v>
      </c>
      <c r="G3502" s="90" t="s">
        <v>2321</v>
      </c>
      <c r="H3502" s="219">
        <v>5292</v>
      </c>
      <c r="I3502" s="110" t="str">
        <f>VLOOKUP(H3502, 'RM &amp; SF'!B:H, 2, 0)</f>
        <v>ثوم مقشر*****</v>
      </c>
      <c r="J3502" s="184" t="str">
        <f>VLOOKUP(H3502, 'RM &amp; SF'!B:E, 4, 0)</f>
        <v>غم</v>
      </c>
      <c r="K3502" s="78">
        <v>20</v>
      </c>
      <c r="L3502" s="13">
        <f>VLOOKUP(H3502, 'RM &amp; SF'!B:H, 7, 0)</f>
        <v>4.4999999999999997E-3</v>
      </c>
      <c r="M3502" s="15">
        <f t="shared" si="187"/>
        <v>0.09</v>
      </c>
      <c r="N3502" s="21" t="s">
        <v>825</v>
      </c>
      <c r="O3502" s="4">
        <f>VLOOKUP(B3502, 'All Menu'!B:L, 6, 0)</f>
        <v>22</v>
      </c>
      <c r="P3502" s="6">
        <f>VLOOKUP(B3502, 'All Menu'!B:L, 9, 0)</f>
        <v>8.5247717241379295</v>
      </c>
      <c r="Q3502" s="14">
        <f>VLOOKUP(B3502, 'All Menu'!B:M, 12, 0)</f>
        <v>0.61251037617554871</v>
      </c>
    </row>
    <row r="3503" spans="1:18" ht="14" hidden="1">
      <c r="A3503" s="78" t="s">
        <v>3062</v>
      </c>
      <c r="B3503" s="220">
        <v>60077</v>
      </c>
      <c r="C3503" s="185"/>
      <c r="D3503" s="30" t="s">
        <v>3012</v>
      </c>
      <c r="E3503" s="30" t="str">
        <f>VLOOKUP(B3503, 'All Menu'!B:M, 2, 0)</f>
        <v>قسم الملحمة</v>
      </c>
      <c r="F3503" s="103" t="str">
        <f>VLOOKUP(B3503, 'All Menu'!B:M, 3, 0)</f>
        <v>لحوم مشكوكة</v>
      </c>
      <c r="G3503" s="90" t="s">
        <v>2231</v>
      </c>
      <c r="H3503" s="219">
        <v>4499</v>
      </c>
      <c r="I3503" s="110" t="str">
        <f>VLOOKUP(H3503, 'RM &amp; SF'!B:H, 2, 0)</f>
        <v>فلفل حار اخضر*****</v>
      </c>
      <c r="J3503" s="184" t="str">
        <f>VLOOKUP(H3503, 'RM &amp; SF'!B:E, 4, 0)</f>
        <v>غم</v>
      </c>
      <c r="K3503" s="78">
        <v>40</v>
      </c>
      <c r="L3503" s="13">
        <f>VLOOKUP(H3503, 'RM &amp; SF'!B:H, 7, 0)</f>
        <v>5.0000000000000001E-4</v>
      </c>
      <c r="M3503" s="15">
        <f t="shared" si="187"/>
        <v>0.02</v>
      </c>
      <c r="N3503" s="21" t="s">
        <v>825</v>
      </c>
      <c r="O3503" s="4">
        <f>VLOOKUP(B3503, 'All Menu'!B:L, 6, 0)</f>
        <v>22</v>
      </c>
      <c r="P3503" s="6">
        <f>VLOOKUP(B3503, 'All Menu'!B:L, 9, 0)</f>
        <v>8.5247717241379295</v>
      </c>
      <c r="Q3503" s="14">
        <f>VLOOKUP(B3503, 'All Menu'!B:M, 12, 0)</f>
        <v>0.61251037617554871</v>
      </c>
    </row>
    <row r="3504" spans="1:18" ht="14" hidden="1">
      <c r="A3504" s="78" t="s">
        <v>3062</v>
      </c>
      <c r="B3504" s="220">
        <v>60077</v>
      </c>
      <c r="C3504" s="185"/>
      <c r="D3504" s="30" t="s">
        <v>3012</v>
      </c>
      <c r="E3504" s="30" t="str">
        <f>VLOOKUP(B3504, 'All Menu'!B:M, 2, 0)</f>
        <v>قسم الملحمة</v>
      </c>
      <c r="F3504" s="103" t="str">
        <f>VLOOKUP(B3504, 'All Menu'!B:M, 3, 0)</f>
        <v>لحوم مشكوكة</v>
      </c>
      <c r="G3504" s="90" t="s">
        <v>2203</v>
      </c>
      <c r="H3504" s="219">
        <v>4152</v>
      </c>
      <c r="I3504" s="110" t="str">
        <f>VLOOKUP(H3504, 'RM &amp; SF'!B:H, 2, 0)</f>
        <v>ملح طعام 750غم*****</v>
      </c>
      <c r="J3504" s="184" t="str">
        <f>VLOOKUP(H3504, 'RM &amp; SF'!B:E, 4, 0)</f>
        <v>غم</v>
      </c>
      <c r="K3504" s="78">
        <v>20</v>
      </c>
      <c r="L3504" s="13">
        <f>VLOOKUP(H3504, 'RM &amp; SF'!B:H, 7, 0)</f>
        <v>1.7066666666666665E-4</v>
      </c>
      <c r="M3504" s="15">
        <f t="shared" si="187"/>
        <v>3.4133333333333329E-3</v>
      </c>
      <c r="N3504" s="21" t="s">
        <v>825</v>
      </c>
      <c r="O3504" s="4">
        <f>VLOOKUP(B3504, 'All Menu'!B:L, 6, 0)</f>
        <v>22</v>
      </c>
      <c r="P3504" s="6">
        <f>VLOOKUP(B3504, 'All Menu'!B:L, 9, 0)</f>
        <v>8.5247717241379295</v>
      </c>
      <c r="Q3504" s="14">
        <f>VLOOKUP(B3504, 'All Menu'!B:M, 12, 0)</f>
        <v>0.61251037617554871</v>
      </c>
    </row>
    <row r="3505" spans="1:17" ht="14" hidden="1">
      <c r="A3505" s="78" t="s">
        <v>3062</v>
      </c>
      <c r="B3505" s="220">
        <v>60077</v>
      </c>
      <c r="C3505" s="185"/>
      <c r="D3505" s="30" t="s">
        <v>3012</v>
      </c>
      <c r="E3505" s="30" t="str">
        <f>VLOOKUP(B3505, 'All Menu'!B:M, 2, 0)</f>
        <v>قسم الملحمة</v>
      </c>
      <c r="F3505" s="103" t="str">
        <f>VLOOKUP(B3505, 'All Menu'!B:M, 3, 0)</f>
        <v>لحوم مشكوكة</v>
      </c>
      <c r="G3505" s="90" t="s">
        <v>2206</v>
      </c>
      <c r="H3505" s="219">
        <v>4204</v>
      </c>
      <c r="I3505" s="110" t="str">
        <f>VLOOKUP(H3505, 'RM &amp; SF'!B:H, 2, 0)</f>
        <v>فلفل اسود ناعم*****</v>
      </c>
      <c r="J3505" s="184" t="str">
        <f>VLOOKUP(H3505, 'RM &amp; SF'!B:E, 4, 0)</f>
        <v>غم</v>
      </c>
      <c r="K3505" s="78">
        <v>20</v>
      </c>
      <c r="L3505" s="13">
        <f>VLOOKUP(H3505, 'RM &amp; SF'!B:H, 7, 0)</f>
        <v>6.8970000000000004E-3</v>
      </c>
      <c r="M3505" s="15">
        <f t="shared" si="187"/>
        <v>0.13794000000000001</v>
      </c>
      <c r="N3505" s="21" t="s">
        <v>825</v>
      </c>
      <c r="O3505" s="4">
        <f>VLOOKUP(B3505, 'All Menu'!B:L, 6, 0)</f>
        <v>22</v>
      </c>
      <c r="P3505" s="6">
        <f>VLOOKUP(B3505, 'All Menu'!B:L, 9, 0)</f>
        <v>8.5247717241379295</v>
      </c>
      <c r="Q3505" s="14">
        <f>VLOOKUP(B3505, 'All Menu'!B:M, 12, 0)</f>
        <v>0.61251037617554871</v>
      </c>
    </row>
    <row r="3506" spans="1:17" ht="14" hidden="1">
      <c r="A3506" s="78" t="s">
        <v>3062</v>
      </c>
      <c r="B3506" s="220">
        <v>60077</v>
      </c>
      <c r="C3506" s="185"/>
      <c r="D3506" s="30" t="s">
        <v>3012</v>
      </c>
      <c r="E3506" s="30" t="str">
        <f>VLOOKUP(B3506, 'All Menu'!B:M, 2, 0)</f>
        <v>قسم الملحمة</v>
      </c>
      <c r="F3506" s="103" t="str">
        <f>VLOOKUP(B3506, 'All Menu'!B:M, 3, 0)</f>
        <v>لحوم مشكوكة</v>
      </c>
      <c r="G3506" s="90" t="s">
        <v>2260</v>
      </c>
      <c r="H3506" s="219">
        <v>4160</v>
      </c>
      <c r="I3506" s="110" t="str">
        <f>VLOOKUP(H3506, 'RM &amp; SF'!B:H, 2, 0)</f>
        <v>زيت صويا 18 لتر*****</v>
      </c>
      <c r="J3506" s="184" t="str">
        <f>VLOOKUP(H3506, 'RM &amp; SF'!B:E, 4, 0)</f>
        <v>مل</v>
      </c>
      <c r="K3506" s="78">
        <v>120</v>
      </c>
      <c r="L3506" s="13">
        <f>VLOOKUP(H3506, 'RM &amp; SF'!B:H, 7, 0)</f>
        <v>1.335E-3</v>
      </c>
      <c r="M3506" s="15">
        <f t="shared" si="187"/>
        <v>0.16020000000000001</v>
      </c>
      <c r="N3506" s="21" t="s">
        <v>825</v>
      </c>
      <c r="O3506" s="4">
        <f>VLOOKUP(B3506, 'All Menu'!B:L, 6, 0)</f>
        <v>22</v>
      </c>
      <c r="P3506" s="6">
        <f>VLOOKUP(B3506, 'All Menu'!B:L, 9, 0)</f>
        <v>8.5247717241379295</v>
      </c>
      <c r="Q3506" s="14">
        <f>VLOOKUP(B3506, 'All Menu'!B:M, 12, 0)</f>
        <v>0.61251037617554871</v>
      </c>
    </row>
    <row r="3507" spans="1:17" ht="14" hidden="1">
      <c r="A3507" s="78" t="s">
        <v>3062</v>
      </c>
      <c r="B3507" s="220">
        <v>60077</v>
      </c>
      <c r="C3507" s="185"/>
      <c r="D3507" s="30" t="s">
        <v>3012</v>
      </c>
      <c r="E3507" s="30" t="str">
        <f>VLOOKUP(B3507, 'All Menu'!B:M, 2, 0)</f>
        <v>قسم الملحمة</v>
      </c>
      <c r="F3507" s="103" t="str">
        <f>VLOOKUP(B3507, 'All Menu'!B:M, 3, 0)</f>
        <v>لحوم مشكوكة</v>
      </c>
      <c r="G3507" s="90" t="s">
        <v>3058</v>
      </c>
      <c r="H3507" s="219">
        <v>5424</v>
      </c>
      <c r="I3507" s="110" t="str">
        <f>VLOOKUP(H3507, 'RM &amp; SF'!B:H, 2, 0)</f>
        <v>علب قصدير مدور 1/2 كغ RZ 25*****</v>
      </c>
      <c r="J3507" s="184" t="str">
        <f>VLOOKUP(H3507, 'RM &amp; SF'!B:E, 4, 0)</f>
        <v>قطعة</v>
      </c>
      <c r="K3507" s="78">
        <v>1</v>
      </c>
      <c r="L3507" s="13">
        <f>VLOOKUP(H3507, 'RM &amp; SF'!B:H, 7, 0)</f>
        <v>0.1149425287356322</v>
      </c>
      <c r="M3507" s="15">
        <f t="shared" si="187"/>
        <v>0.1149425287356322</v>
      </c>
      <c r="N3507" s="21" t="s">
        <v>825</v>
      </c>
      <c r="O3507" s="4">
        <f>VLOOKUP(B3507, 'All Menu'!B:L, 6, 0)</f>
        <v>22</v>
      </c>
      <c r="P3507" s="6">
        <f>VLOOKUP(B3507, 'All Menu'!B:L, 9, 0)</f>
        <v>8.5247717241379295</v>
      </c>
      <c r="Q3507" s="14">
        <f>VLOOKUP(B3507, 'All Menu'!B:M, 12, 0)</f>
        <v>0.61251037617554871</v>
      </c>
    </row>
    <row r="3508" spans="1:17" ht="14" hidden="1">
      <c r="A3508" s="78" t="s">
        <v>3062</v>
      </c>
      <c r="B3508" s="220">
        <v>60077</v>
      </c>
      <c r="C3508" s="185"/>
      <c r="D3508" s="30" t="s">
        <v>3012</v>
      </c>
      <c r="E3508" s="30" t="str">
        <f>VLOOKUP(B3508, 'All Menu'!B:M, 2, 0)</f>
        <v>قسم الملحمة</v>
      </c>
      <c r="F3508" s="103" t="str">
        <f>VLOOKUP(B3508, 'All Menu'!B:M, 3, 0)</f>
        <v>لحوم مشكوكة</v>
      </c>
      <c r="G3508" s="90" t="s">
        <v>3058</v>
      </c>
      <c r="H3508" s="219">
        <v>4275</v>
      </c>
      <c r="I3508" s="110" t="str">
        <f>VLOOKUP(H3508, 'RM &amp; SF'!B:H, 2, 0)</f>
        <v>علب المركزية مطبوع + قاطع رقم 2 1*100 حبة*****</v>
      </c>
      <c r="J3508" s="184" t="str">
        <f>VLOOKUP(H3508, 'RM &amp; SF'!B:E, 4, 0)</f>
        <v>قطعة</v>
      </c>
      <c r="K3508" s="78">
        <v>1</v>
      </c>
      <c r="L3508" s="13">
        <f>VLOOKUP(H3508, 'RM &amp; SF'!B:H, 7, 0)</f>
        <v>0.2931034482758621</v>
      </c>
      <c r="M3508" s="15">
        <f t="shared" si="187"/>
        <v>0.2931034482758621</v>
      </c>
      <c r="N3508" s="21" t="s">
        <v>825</v>
      </c>
      <c r="O3508" s="4">
        <f>VLOOKUP(B3508, 'All Menu'!B:L, 6, 0)</f>
        <v>22</v>
      </c>
      <c r="P3508" s="6">
        <f>VLOOKUP(B3508, 'All Menu'!B:L, 9, 0)</f>
        <v>8.5247717241379295</v>
      </c>
      <c r="Q3508" s="14">
        <f>VLOOKUP(B3508, 'All Menu'!B:M, 12, 0)</f>
        <v>0.61251037617554871</v>
      </c>
    </row>
    <row r="3509" spans="1:17" ht="14" hidden="1">
      <c r="A3509" s="78" t="s">
        <v>3062</v>
      </c>
      <c r="B3509" s="220">
        <v>60077</v>
      </c>
      <c r="C3509" s="185"/>
      <c r="D3509" s="30" t="s">
        <v>3012</v>
      </c>
      <c r="E3509" s="30" t="str">
        <f>VLOOKUP(B3509, 'All Menu'!B:M, 2, 0)</f>
        <v>قسم الملحمة</v>
      </c>
      <c r="F3509" s="103" t="str">
        <f>VLOOKUP(B3509, 'All Menu'!B:M, 3, 0)</f>
        <v>لحوم مشكوكة</v>
      </c>
      <c r="G3509" s="90" t="s">
        <v>2193</v>
      </c>
      <c r="H3509" s="219">
        <v>4309</v>
      </c>
      <c r="I3509" s="110" t="str">
        <f>VLOOKUP(H3509, 'RM &amp; SF'!B:H, 2, 0)</f>
        <v>اكياس بلاستيك مطبوع 55 سم*****</v>
      </c>
      <c r="J3509" s="184" t="str">
        <f>VLOOKUP(H3509, 'RM &amp; SF'!B:E, 4, 0)</f>
        <v>قطعة</v>
      </c>
      <c r="K3509" s="78">
        <v>1</v>
      </c>
      <c r="L3509" s="13">
        <f>VLOOKUP(H3509, 'RM &amp; SF'!B:H, 7, 0)</f>
        <v>5.5172413793103454E-2</v>
      </c>
      <c r="M3509" s="15">
        <f t="shared" si="187"/>
        <v>5.5172413793103454E-2</v>
      </c>
      <c r="N3509" s="21" t="s">
        <v>825</v>
      </c>
      <c r="O3509" s="4">
        <f>VLOOKUP(B3509, 'All Menu'!B:L, 6, 0)</f>
        <v>22</v>
      </c>
      <c r="P3509" s="6">
        <f>VLOOKUP(B3509, 'All Menu'!B:L, 9, 0)</f>
        <v>8.5247717241379295</v>
      </c>
      <c r="Q3509" s="14">
        <f>VLOOKUP(B3509, 'All Menu'!B:M, 12, 0)</f>
        <v>0.61251037617554871</v>
      </c>
    </row>
    <row r="3510" spans="1:17" ht="14" hidden="1">
      <c r="A3510" s="78" t="s">
        <v>3108</v>
      </c>
      <c r="B3510" s="220" t="s">
        <v>3033</v>
      </c>
      <c r="C3510" s="185"/>
      <c r="D3510" s="30" t="s">
        <v>3053</v>
      </c>
      <c r="E3510" s="30" t="str">
        <f>VLOOKUP(B3510, 'All Menu'!B:M, 2, 0)</f>
        <v>قسم المشاوي</v>
      </c>
      <c r="F3510" s="103" t="str">
        <f>VLOOKUP(B3510, 'All Menu'!B:M, 3, 0)</f>
        <v>المشاوي سفري2</v>
      </c>
      <c r="G3510" s="90" t="s">
        <v>2429</v>
      </c>
      <c r="H3510" s="219" t="s">
        <v>610</v>
      </c>
      <c r="I3510" s="110" t="str">
        <f>VLOOKUP(H3510, 'RM &amp; SF'!B:H, 2, 0)</f>
        <v>كباب الساندويش</v>
      </c>
      <c r="J3510" s="184" t="str">
        <f>VLOOKUP(H3510, 'RM &amp; SF'!B:E, 4, 0)</f>
        <v>غم</v>
      </c>
      <c r="K3510" s="78">
        <v>100</v>
      </c>
      <c r="L3510" s="13">
        <f>VLOOKUP(H3510, 'RM &amp; SF'!B:H, 7, 0)</f>
        <v>6.0066783033033031E-3</v>
      </c>
      <c r="M3510" s="15">
        <f t="shared" ref="M3510:M3520" si="188">L3510*K3510</f>
        <v>0.60066783033033033</v>
      </c>
      <c r="N3510" s="21" t="s">
        <v>825</v>
      </c>
      <c r="O3510" s="4">
        <f>VLOOKUP(B3510, 'All Menu'!B:L, 6, 0)</f>
        <v>3.6637931034482762</v>
      </c>
      <c r="P3510" s="6">
        <f>VLOOKUP(B3510, 'All Menu'!B:L, 9, 0)</f>
        <v>1.5860798953548008</v>
      </c>
      <c r="Q3510" s="14">
        <f>VLOOKUP(B3510, 'All Menu'!B:M, 12, 0)</f>
        <v>0.56709348738551324</v>
      </c>
    </row>
    <row r="3511" spans="1:17" ht="14" hidden="1">
      <c r="A3511" s="78" t="s">
        <v>3108</v>
      </c>
      <c r="B3511" s="220" t="s">
        <v>3033</v>
      </c>
      <c r="C3511" s="185"/>
      <c r="D3511" s="30" t="s">
        <v>3053</v>
      </c>
      <c r="E3511" s="30" t="str">
        <f>VLOOKUP(B3511, 'All Menu'!B:M, 2, 0)</f>
        <v>قسم المشاوي</v>
      </c>
      <c r="F3511" s="103" t="str">
        <f>VLOOKUP(B3511, 'All Menu'!B:M, 3, 0)</f>
        <v>المشاوي سفري2</v>
      </c>
      <c r="G3511" s="90" t="s">
        <v>2397</v>
      </c>
      <c r="H3511" s="219" t="s">
        <v>580</v>
      </c>
      <c r="I3511" s="110" t="str">
        <f>VLOOKUP(H3511, 'RM &amp; SF'!B:H, 2, 0)</f>
        <v>طحينة مشاوي</v>
      </c>
      <c r="J3511" s="184" t="str">
        <f>VLOOKUP(H3511, 'RM &amp; SF'!B:E, 4, 0)</f>
        <v>غم</v>
      </c>
      <c r="K3511" s="78">
        <v>30</v>
      </c>
      <c r="L3511" s="13">
        <f>VLOOKUP(H3511, 'RM &amp; SF'!B:H, 7, 0)</f>
        <v>1.0841676434676436E-3</v>
      </c>
      <c r="M3511" s="15">
        <f t="shared" si="188"/>
        <v>3.2525029304029306E-2</v>
      </c>
      <c r="N3511" s="21" t="s">
        <v>825</v>
      </c>
      <c r="O3511" s="4">
        <f>VLOOKUP(B3511, 'All Menu'!B:L, 6, 0)</f>
        <v>3.6637931034482762</v>
      </c>
      <c r="P3511" s="6">
        <f>VLOOKUP(B3511, 'All Menu'!B:L, 9, 0)</f>
        <v>1.5860798953548008</v>
      </c>
      <c r="Q3511" s="14">
        <f>VLOOKUP(B3511, 'All Menu'!B:M, 12, 0)</f>
        <v>0.56709348738551324</v>
      </c>
    </row>
    <row r="3512" spans="1:17" ht="14" hidden="1">
      <c r="A3512" s="78" t="s">
        <v>3108</v>
      </c>
      <c r="B3512" s="220" t="s">
        <v>3033</v>
      </c>
      <c r="C3512" s="185"/>
      <c r="D3512" s="30" t="s">
        <v>3053</v>
      </c>
      <c r="E3512" s="30" t="str">
        <f>VLOOKUP(B3512, 'All Menu'!B:M, 2, 0)</f>
        <v>قسم المشاوي</v>
      </c>
      <c r="F3512" s="103" t="str">
        <f>VLOOKUP(B3512, 'All Menu'!B:M, 3, 0)</f>
        <v>المشاوي سفري2</v>
      </c>
      <c r="G3512" s="90" t="s">
        <v>2396</v>
      </c>
      <c r="H3512" s="219" t="s">
        <v>582</v>
      </c>
      <c r="I3512" s="110" t="str">
        <f>VLOOKUP(H3512, 'RM &amp; SF'!B:H, 2, 0)</f>
        <v>بيواز</v>
      </c>
      <c r="J3512" s="184" t="str">
        <f>VLOOKUP(H3512, 'RM &amp; SF'!B:E, 4, 0)</f>
        <v>غم</v>
      </c>
      <c r="K3512" s="78">
        <v>30</v>
      </c>
      <c r="L3512" s="13">
        <f>VLOOKUP(H3512, 'RM &amp; SF'!B:H, 7, 0)</f>
        <v>2.0666065869244635E-4</v>
      </c>
      <c r="M3512" s="15">
        <f t="shared" si="188"/>
        <v>6.1998197607733901E-3</v>
      </c>
      <c r="N3512" s="21" t="s">
        <v>825</v>
      </c>
      <c r="O3512" s="4">
        <f>VLOOKUP(B3512, 'All Menu'!B:L, 6, 0)</f>
        <v>3.6637931034482762</v>
      </c>
      <c r="P3512" s="6">
        <f>VLOOKUP(B3512, 'All Menu'!B:L, 9, 0)</f>
        <v>1.5860798953548008</v>
      </c>
      <c r="Q3512" s="14">
        <f>VLOOKUP(B3512, 'All Menu'!B:M, 12, 0)</f>
        <v>0.56709348738551324</v>
      </c>
    </row>
    <row r="3513" spans="1:17" ht="14" hidden="1">
      <c r="A3513" s="78" t="s">
        <v>3108</v>
      </c>
      <c r="B3513" s="220" t="s">
        <v>3033</v>
      </c>
      <c r="C3513" s="185"/>
      <c r="D3513" s="30" t="s">
        <v>3053</v>
      </c>
      <c r="E3513" s="30" t="str">
        <f>VLOOKUP(B3513, 'All Menu'!B:M, 2, 0)</f>
        <v>قسم المشاوي</v>
      </c>
      <c r="F3513" s="103" t="str">
        <f>VLOOKUP(B3513, 'All Menu'!B:M, 3, 0)</f>
        <v>المشاوي سفري2</v>
      </c>
      <c r="G3513" s="90" t="s">
        <v>2257</v>
      </c>
      <c r="H3513" s="219">
        <v>5281</v>
      </c>
      <c r="I3513" s="110" t="str">
        <f>VLOOKUP(H3513, 'RM &amp; SF'!B:H, 2, 0)</f>
        <v>بندوره مشاوي</v>
      </c>
      <c r="J3513" s="184" t="str">
        <f>VLOOKUP(H3513, 'RM &amp; SF'!B:E, 4, 0)</f>
        <v>غم</v>
      </c>
      <c r="K3513" s="78">
        <v>20</v>
      </c>
      <c r="L3513" s="13">
        <f>VLOOKUP(H3513, 'RM &amp; SF'!B:H, 7, 0)</f>
        <v>4.0000000000000002E-4</v>
      </c>
      <c r="M3513" s="15">
        <f t="shared" si="188"/>
        <v>8.0000000000000002E-3</v>
      </c>
      <c r="N3513" s="21" t="s">
        <v>825</v>
      </c>
      <c r="O3513" s="4">
        <f>VLOOKUP(B3513, 'All Menu'!B:L, 6, 0)</f>
        <v>3.6637931034482762</v>
      </c>
      <c r="P3513" s="6">
        <f>VLOOKUP(B3513, 'All Menu'!B:L, 9, 0)</f>
        <v>1.5860798953548008</v>
      </c>
      <c r="Q3513" s="14">
        <f>VLOOKUP(B3513, 'All Menu'!B:M, 12, 0)</f>
        <v>0.56709348738551324</v>
      </c>
    </row>
    <row r="3514" spans="1:17" ht="14" hidden="1">
      <c r="A3514" s="78" t="s">
        <v>3108</v>
      </c>
      <c r="B3514" s="220" t="s">
        <v>3033</v>
      </c>
      <c r="C3514" s="185"/>
      <c r="D3514" s="30" t="s">
        <v>3053</v>
      </c>
      <c r="E3514" s="30" t="str">
        <f>VLOOKUP(B3514, 'All Menu'!B:M, 2, 0)</f>
        <v>قسم المشاوي</v>
      </c>
      <c r="F3514" s="103" t="str">
        <f>VLOOKUP(B3514, 'All Menu'!B:M, 3, 0)</f>
        <v>المشاوي سفري2</v>
      </c>
      <c r="G3514" s="90" t="s">
        <v>2331</v>
      </c>
      <c r="H3514" s="219" t="s">
        <v>530</v>
      </c>
      <c r="I3514" s="110" t="str">
        <f>VLOOKUP(H3514, 'RM &amp; SF'!B:H, 2, 0)</f>
        <v>خبز صاج</v>
      </c>
      <c r="J3514" s="184" t="str">
        <f>VLOOKUP(H3514, 'RM &amp; SF'!B:E, 4, 0)</f>
        <v>غم</v>
      </c>
      <c r="K3514" s="78">
        <v>100</v>
      </c>
      <c r="L3514" s="13">
        <f>VLOOKUP(H3514, 'RM &amp; SF'!B:H, 7, 0)</f>
        <v>1.8806451612903227E-4</v>
      </c>
      <c r="M3514" s="15">
        <f t="shared" si="188"/>
        <v>1.8806451612903227E-2</v>
      </c>
      <c r="N3514" s="21" t="s">
        <v>825</v>
      </c>
      <c r="O3514" s="4">
        <f>VLOOKUP(B3514, 'All Menu'!B:L, 6, 0)</f>
        <v>3.6637931034482762</v>
      </c>
      <c r="P3514" s="6">
        <f>VLOOKUP(B3514, 'All Menu'!B:L, 9, 0)</f>
        <v>1.5860798953548008</v>
      </c>
      <c r="Q3514" s="14">
        <f>VLOOKUP(B3514, 'All Menu'!B:M, 12, 0)</f>
        <v>0.56709348738551324</v>
      </c>
    </row>
    <row r="3515" spans="1:17" ht="14" hidden="1">
      <c r="A3515" s="78" t="s">
        <v>3108</v>
      </c>
      <c r="B3515" s="220" t="s">
        <v>3033</v>
      </c>
      <c r="C3515" s="185"/>
      <c r="D3515" s="30" t="s">
        <v>3053</v>
      </c>
      <c r="E3515" s="30" t="str">
        <f>VLOOKUP(B3515, 'All Menu'!B:M, 2, 0)</f>
        <v>قسم المشاوي</v>
      </c>
      <c r="F3515" s="103" t="str">
        <f>VLOOKUP(B3515, 'All Menu'!B:M, 3, 0)</f>
        <v>المشاوي سفري2</v>
      </c>
      <c r="G3515" s="90" t="s">
        <v>2385</v>
      </c>
      <c r="H3515" s="219" t="s">
        <v>540</v>
      </c>
      <c r="I3515" s="110" t="str">
        <f>VLOOKUP(H3515, 'RM &amp; SF'!B:H, 2, 0)</f>
        <v xml:space="preserve">بطاطا مقلية </v>
      </c>
      <c r="J3515" s="184" t="str">
        <f>VLOOKUP(H3515, 'RM &amp; SF'!B:E, 4, 0)</f>
        <v>غم</v>
      </c>
      <c r="K3515" s="78">
        <v>150</v>
      </c>
      <c r="L3515" s="13">
        <f>VLOOKUP(H3515, 'RM &amp; SF'!B:H, 7, 0)</f>
        <v>7.9700000000000007E-4</v>
      </c>
      <c r="M3515" s="15">
        <f t="shared" si="188"/>
        <v>0.11955000000000002</v>
      </c>
      <c r="N3515" s="21" t="s">
        <v>825</v>
      </c>
      <c r="O3515" s="4">
        <f>VLOOKUP(B3515, 'All Menu'!B:L, 6, 0)</f>
        <v>3.6637931034482762</v>
      </c>
      <c r="P3515" s="6">
        <f>VLOOKUP(B3515, 'All Menu'!B:L, 9, 0)</f>
        <v>1.5860798953548008</v>
      </c>
      <c r="Q3515" s="14">
        <f>VLOOKUP(B3515, 'All Menu'!B:M, 12, 0)</f>
        <v>0.56709348738551324</v>
      </c>
    </row>
    <row r="3516" spans="1:17" ht="14" hidden="1">
      <c r="A3516" s="78" t="s">
        <v>3108</v>
      </c>
      <c r="B3516" s="220" t="s">
        <v>3033</v>
      </c>
      <c r="C3516" s="185"/>
      <c r="D3516" s="30" t="s">
        <v>3053</v>
      </c>
      <c r="E3516" s="30" t="str">
        <f>VLOOKUP(B3516, 'All Menu'!B:M, 2, 0)</f>
        <v>قسم المشاوي</v>
      </c>
      <c r="F3516" s="103" t="str">
        <f>VLOOKUP(B3516, 'All Menu'!B:M, 3, 0)</f>
        <v>المشاوي سفري2</v>
      </c>
      <c r="G3516" s="90" t="s">
        <v>2409</v>
      </c>
      <c r="H3516" s="219" t="s">
        <v>1179</v>
      </c>
      <c r="I3516" s="110" t="str">
        <f>VLOOKUP(H3516, 'RM &amp; SF'!B:H, 2, 0)</f>
        <v>علبة مخلل</v>
      </c>
      <c r="J3516" s="184" t="str">
        <f>VLOOKUP(H3516, 'RM &amp; SF'!B:E, 4, 0)</f>
        <v>قطعة</v>
      </c>
      <c r="K3516" s="78">
        <v>1</v>
      </c>
      <c r="L3516" s="13">
        <f>VLOOKUP(H3516, 'RM &amp; SF'!B:H, 7, 0)</f>
        <v>6.0440000000000001E-2</v>
      </c>
      <c r="M3516" s="15">
        <f t="shared" si="188"/>
        <v>6.0440000000000001E-2</v>
      </c>
      <c r="N3516" s="21" t="s">
        <v>825</v>
      </c>
      <c r="O3516" s="4">
        <f>VLOOKUP(B3516, 'All Menu'!B:L, 6, 0)</f>
        <v>3.6637931034482762</v>
      </c>
      <c r="P3516" s="6">
        <f>VLOOKUP(B3516, 'All Menu'!B:L, 9, 0)</f>
        <v>1.5860798953548008</v>
      </c>
      <c r="Q3516" s="14">
        <f>VLOOKUP(B3516, 'All Menu'!B:M, 12, 0)</f>
        <v>0.56709348738551324</v>
      </c>
    </row>
    <row r="3517" spans="1:17" ht="14" hidden="1">
      <c r="A3517" s="78" t="s">
        <v>3108</v>
      </c>
      <c r="B3517" s="220" t="s">
        <v>3033</v>
      </c>
      <c r="C3517" s="185"/>
      <c r="D3517" s="30" t="s">
        <v>3053</v>
      </c>
      <c r="E3517" s="30" t="str">
        <f>VLOOKUP(B3517, 'All Menu'!B:M, 2, 0)</f>
        <v>قسم المشاوي</v>
      </c>
      <c r="F3517" s="103" t="str">
        <f>VLOOKUP(B3517, 'All Menu'!B:M, 3, 0)</f>
        <v>المشاوي سفري2</v>
      </c>
      <c r="G3517" s="90" t="s">
        <v>2813</v>
      </c>
      <c r="H3517" s="219" t="s">
        <v>1047</v>
      </c>
      <c r="I3517" s="110" t="str">
        <f>VLOOKUP(H3517, 'RM &amp; SF'!B:H, 2, 0)</f>
        <v>علبة طحينية صغيرة</v>
      </c>
      <c r="J3517" s="184" t="str">
        <f>VLOOKUP(H3517, 'RM &amp; SF'!B:E, 4, 0)</f>
        <v>قطعة</v>
      </c>
      <c r="K3517" s="78">
        <v>2</v>
      </c>
      <c r="L3517" s="13">
        <f>VLOOKUP(H3517, 'RM &amp; SF'!B:H, 7, 0)</f>
        <v>6.620838217338218E-2</v>
      </c>
      <c r="M3517" s="15">
        <f t="shared" si="188"/>
        <v>0.13241676434676436</v>
      </c>
      <c r="N3517" s="21" t="s">
        <v>825</v>
      </c>
      <c r="O3517" s="4">
        <f>VLOOKUP(B3517, 'All Menu'!B:L, 6, 0)</f>
        <v>3.6637931034482762</v>
      </c>
      <c r="P3517" s="6">
        <f>VLOOKUP(B3517, 'All Menu'!B:L, 9, 0)</f>
        <v>1.5860798953548008</v>
      </c>
      <c r="Q3517" s="14">
        <f>VLOOKUP(B3517, 'All Menu'!B:M, 12, 0)</f>
        <v>0.56709348738551324</v>
      </c>
    </row>
    <row r="3518" spans="1:17" ht="14" hidden="1">
      <c r="A3518" s="78" t="s">
        <v>3108</v>
      </c>
      <c r="B3518" s="220" t="s">
        <v>3033</v>
      </c>
      <c r="C3518" s="185"/>
      <c r="D3518" s="30" t="s">
        <v>3053</v>
      </c>
      <c r="E3518" s="30" t="str">
        <f>VLOOKUP(B3518, 'All Menu'!B:M, 2, 0)</f>
        <v>قسم المشاوي</v>
      </c>
      <c r="F3518" s="103" t="str">
        <f>VLOOKUP(B3518, 'All Menu'!B:M, 3, 0)</f>
        <v>المشاوي سفري2</v>
      </c>
      <c r="G3518" s="90" t="s">
        <v>3058</v>
      </c>
      <c r="H3518" s="219">
        <v>5306</v>
      </c>
      <c r="I3518" s="110" t="str">
        <f>VLOOKUP(H3518, 'RM &amp; SF'!B:H, 2, 0)</f>
        <v>مشروب غازي ماتركس اب 250مل*****</v>
      </c>
      <c r="J3518" s="184" t="str">
        <f>VLOOKUP(H3518, 'RM &amp; SF'!B:E, 4, 0)</f>
        <v>قطعة</v>
      </c>
      <c r="K3518" s="78">
        <v>1</v>
      </c>
      <c r="L3518" s="13">
        <f>VLOOKUP(H3518, 'RM &amp; SF'!B:H, 7, 0)</f>
        <v>0.13700000000000001</v>
      </c>
      <c r="M3518" s="15">
        <f t="shared" si="188"/>
        <v>0.13700000000000001</v>
      </c>
      <c r="N3518" s="21" t="s">
        <v>825</v>
      </c>
      <c r="O3518" s="4">
        <f>VLOOKUP(B3518, 'All Menu'!B:L, 6, 0)</f>
        <v>3.6637931034482762</v>
      </c>
      <c r="P3518" s="6">
        <f>VLOOKUP(B3518, 'All Menu'!B:L, 9, 0)</f>
        <v>1.5860798953548008</v>
      </c>
      <c r="Q3518" s="14">
        <f>VLOOKUP(B3518, 'All Menu'!B:M, 12, 0)</f>
        <v>0.56709348738551324</v>
      </c>
    </row>
    <row r="3519" spans="1:17" ht="14" hidden="1">
      <c r="A3519" s="78" t="s">
        <v>3108</v>
      </c>
      <c r="B3519" s="220" t="s">
        <v>3033</v>
      </c>
      <c r="C3519" s="185"/>
      <c r="D3519" s="30" t="s">
        <v>3053</v>
      </c>
      <c r="E3519" s="30" t="str">
        <f>VLOOKUP(B3519, 'All Menu'!B:M, 2, 0)</f>
        <v>قسم المشاوي</v>
      </c>
      <c r="F3519" s="103" t="str">
        <f>VLOOKUP(B3519, 'All Menu'!B:M, 3, 0)</f>
        <v>المشاوي سفري2</v>
      </c>
      <c r="G3519" s="90" t="s">
        <v>2195</v>
      </c>
      <c r="H3519" s="219">
        <v>4329</v>
      </c>
      <c r="I3519" s="110" t="str">
        <f>VLOOKUP(H3519, 'RM &amp; SF'!B:H, 2, 0)</f>
        <v>ملاعق بلاستيك مع معقم مطبوع 1*500 حبة*****</v>
      </c>
      <c r="J3519" s="184" t="str">
        <f>VLOOKUP(H3519, 'RM &amp; SF'!B:E, 4, 0)</f>
        <v>قطعة</v>
      </c>
      <c r="K3519" s="78">
        <v>1</v>
      </c>
      <c r="L3519" s="13">
        <f>VLOOKUP(H3519, 'RM &amp; SF'!B:H, 7, 0)</f>
        <v>4.7399999999999997E-4</v>
      </c>
      <c r="M3519" s="15">
        <f t="shared" si="188"/>
        <v>4.7399999999999997E-4</v>
      </c>
      <c r="N3519" s="21" t="s">
        <v>825</v>
      </c>
      <c r="O3519" s="4">
        <f>VLOOKUP(B3519, 'All Menu'!B:L, 6, 0)</f>
        <v>3.6637931034482762</v>
      </c>
      <c r="P3519" s="6">
        <f>VLOOKUP(B3519, 'All Menu'!B:L, 9, 0)</f>
        <v>1.5860798953548008</v>
      </c>
      <c r="Q3519" s="14">
        <f>VLOOKUP(B3519, 'All Menu'!B:M, 12, 0)</f>
        <v>0.56709348738551324</v>
      </c>
    </row>
    <row r="3520" spans="1:17" ht="14" hidden="1">
      <c r="A3520" s="78" t="s">
        <v>3108</v>
      </c>
      <c r="B3520" s="220" t="s">
        <v>3033</v>
      </c>
      <c r="C3520" s="185"/>
      <c r="D3520" s="30" t="s">
        <v>3053</v>
      </c>
      <c r="E3520" s="30" t="str">
        <f>VLOOKUP(B3520, 'All Menu'!B:M, 2, 0)</f>
        <v>قسم المشاوي</v>
      </c>
      <c r="F3520" s="103" t="str">
        <f>VLOOKUP(B3520, 'All Menu'!B:M, 3, 0)</f>
        <v>المشاوي سفري2</v>
      </c>
      <c r="G3520" s="90" t="s">
        <v>3058</v>
      </c>
      <c r="H3520" s="219">
        <v>1111</v>
      </c>
      <c r="I3520" s="110" t="str">
        <f>VLOOKUP(H3520, 'RM &amp; SF'!B:H, 2, 0)</f>
        <v>بوكس كباب عربي</v>
      </c>
      <c r="J3520" s="184" t="str">
        <f>VLOOKUP(H3520, 'RM &amp; SF'!B:E, 4, 0)</f>
        <v>قطعة</v>
      </c>
      <c r="K3520" s="78">
        <v>1</v>
      </c>
      <c r="L3520" s="13">
        <f>VLOOKUP(H3520, 'RM &amp; SF'!B:H, 7, 0)</f>
        <v>0.47</v>
      </c>
      <c r="M3520" s="15">
        <f t="shared" si="188"/>
        <v>0.47</v>
      </c>
      <c r="N3520" s="21" t="s">
        <v>825</v>
      </c>
      <c r="O3520" s="4">
        <f>VLOOKUP(B3520, 'All Menu'!B:L, 6, 0)</f>
        <v>3.6637931034482762</v>
      </c>
      <c r="P3520" s="6">
        <f>VLOOKUP(B3520, 'All Menu'!B:L, 9, 0)</f>
        <v>1.5860798953548008</v>
      </c>
      <c r="Q3520" s="14">
        <f>VLOOKUP(B3520, 'All Menu'!B:M, 12, 0)</f>
        <v>0.56709348738551324</v>
      </c>
    </row>
    <row r="3521" spans="1:17" ht="14" hidden="1">
      <c r="A3521" s="78" t="s">
        <v>3109</v>
      </c>
      <c r="B3521" s="220" t="s">
        <v>3034</v>
      </c>
      <c r="C3521" s="185"/>
      <c r="D3521" s="30" t="s">
        <v>3052</v>
      </c>
      <c r="E3521" s="30" t="str">
        <f>VLOOKUP(B3521, 'All Menu'!B:M, 2, 0)</f>
        <v>قسم المشاوي</v>
      </c>
      <c r="F3521" s="103" t="str">
        <f>VLOOKUP(B3521, 'All Menu'!B:M, 3, 0)</f>
        <v>المشاوي سفري2</v>
      </c>
      <c r="G3521" s="90" t="s">
        <v>2429</v>
      </c>
      <c r="H3521" s="219" t="s">
        <v>610</v>
      </c>
      <c r="I3521" s="110" t="str">
        <f>VLOOKUP(H3521, 'RM &amp; SF'!B:H, 2, 0)</f>
        <v>كباب الساندويش</v>
      </c>
      <c r="J3521" s="184" t="str">
        <f>VLOOKUP(H3521, 'RM &amp; SF'!B:E, 4, 0)</f>
        <v>غم</v>
      </c>
      <c r="K3521" s="78">
        <v>200</v>
      </c>
      <c r="L3521" s="13">
        <f>VLOOKUP(H3521, 'RM &amp; SF'!B:H, 7, 0)</f>
        <v>6.0066783033033031E-3</v>
      </c>
      <c r="M3521" s="15">
        <f t="shared" ref="M3521:M3531" si="189">L3521*K3521</f>
        <v>1.2013356606606607</v>
      </c>
      <c r="N3521" s="21" t="s">
        <v>825</v>
      </c>
      <c r="O3521" s="4">
        <f>VLOOKUP(B3521, 'All Menu'!B:L, 6, 0)</f>
        <v>4.9568965517241379</v>
      </c>
      <c r="P3521" s="6">
        <f>VLOOKUP(B3521, 'All Menu'!B:L, 9, 0)</f>
        <v>2.2522790263628369</v>
      </c>
      <c r="Q3521" s="14">
        <f>VLOOKUP(B3521, 'All Menu'!B:M, 12, 0)</f>
        <v>0.54562718772506247</v>
      </c>
    </row>
    <row r="3522" spans="1:17" ht="14" hidden="1">
      <c r="A3522" s="78" t="s">
        <v>3109</v>
      </c>
      <c r="B3522" s="220" t="s">
        <v>3034</v>
      </c>
      <c r="C3522" s="185"/>
      <c r="D3522" s="30" t="s">
        <v>3052</v>
      </c>
      <c r="E3522" s="30" t="str">
        <f>VLOOKUP(B3522, 'All Menu'!B:M, 2, 0)</f>
        <v>قسم المشاوي</v>
      </c>
      <c r="F3522" s="103" t="str">
        <f>VLOOKUP(B3522, 'All Menu'!B:M, 3, 0)</f>
        <v>المشاوي سفري2</v>
      </c>
      <c r="G3522" s="90" t="s">
        <v>2397</v>
      </c>
      <c r="H3522" s="219" t="s">
        <v>580</v>
      </c>
      <c r="I3522" s="110" t="str">
        <f>VLOOKUP(H3522, 'RM &amp; SF'!B:H, 2, 0)</f>
        <v>طحينة مشاوي</v>
      </c>
      <c r="J3522" s="184" t="str">
        <f>VLOOKUP(H3522, 'RM &amp; SF'!B:E, 4, 0)</f>
        <v>غم</v>
      </c>
      <c r="K3522" s="78">
        <v>60</v>
      </c>
      <c r="L3522" s="13">
        <f>VLOOKUP(H3522, 'RM &amp; SF'!B:H, 7, 0)</f>
        <v>1.0841676434676436E-3</v>
      </c>
      <c r="M3522" s="15">
        <f t="shared" si="189"/>
        <v>6.5050058608058611E-2</v>
      </c>
      <c r="N3522" s="21" t="s">
        <v>825</v>
      </c>
      <c r="O3522" s="4">
        <f>VLOOKUP(B3522, 'All Menu'!B:L, 6, 0)</f>
        <v>4.9568965517241379</v>
      </c>
      <c r="P3522" s="6">
        <f>VLOOKUP(B3522, 'All Menu'!B:L, 9, 0)</f>
        <v>2.2522790263628369</v>
      </c>
      <c r="Q3522" s="14">
        <f>VLOOKUP(B3522, 'All Menu'!B:M, 12, 0)</f>
        <v>0.54562718772506247</v>
      </c>
    </row>
    <row r="3523" spans="1:17" ht="14" hidden="1">
      <c r="A3523" s="78" t="s">
        <v>3109</v>
      </c>
      <c r="B3523" s="220" t="s">
        <v>3034</v>
      </c>
      <c r="C3523" s="185"/>
      <c r="D3523" s="30" t="s">
        <v>3052</v>
      </c>
      <c r="E3523" s="30" t="str">
        <f>VLOOKUP(B3523, 'All Menu'!B:M, 2, 0)</f>
        <v>قسم المشاوي</v>
      </c>
      <c r="F3523" s="103" t="str">
        <f>VLOOKUP(B3523, 'All Menu'!B:M, 3, 0)</f>
        <v>المشاوي سفري2</v>
      </c>
      <c r="G3523" s="90" t="s">
        <v>2396</v>
      </c>
      <c r="H3523" s="219" t="s">
        <v>582</v>
      </c>
      <c r="I3523" s="110" t="str">
        <f>VLOOKUP(H3523, 'RM &amp; SF'!B:H, 2, 0)</f>
        <v>بيواز</v>
      </c>
      <c r="J3523" s="184" t="str">
        <f>VLOOKUP(H3523, 'RM &amp; SF'!B:E, 4, 0)</f>
        <v>غم</v>
      </c>
      <c r="K3523" s="78">
        <v>60</v>
      </c>
      <c r="L3523" s="13">
        <f>VLOOKUP(H3523, 'RM &amp; SF'!B:H, 7, 0)</f>
        <v>2.0666065869244635E-4</v>
      </c>
      <c r="M3523" s="15">
        <f t="shared" si="189"/>
        <v>1.239963952154678E-2</v>
      </c>
      <c r="N3523" s="21" t="s">
        <v>825</v>
      </c>
      <c r="O3523" s="4">
        <f>VLOOKUP(B3523, 'All Menu'!B:L, 6, 0)</f>
        <v>4.9568965517241379</v>
      </c>
      <c r="P3523" s="6">
        <f>VLOOKUP(B3523, 'All Menu'!B:L, 9, 0)</f>
        <v>2.2522790263628369</v>
      </c>
      <c r="Q3523" s="14">
        <f>VLOOKUP(B3523, 'All Menu'!B:M, 12, 0)</f>
        <v>0.54562718772506247</v>
      </c>
    </row>
    <row r="3524" spans="1:17" ht="14" hidden="1">
      <c r="A3524" s="78" t="s">
        <v>3109</v>
      </c>
      <c r="B3524" s="220" t="s">
        <v>3034</v>
      </c>
      <c r="C3524" s="185"/>
      <c r="D3524" s="30" t="s">
        <v>3052</v>
      </c>
      <c r="E3524" s="30" t="str">
        <f>VLOOKUP(B3524, 'All Menu'!B:M, 2, 0)</f>
        <v>قسم المشاوي</v>
      </c>
      <c r="F3524" s="103" t="str">
        <f>VLOOKUP(B3524, 'All Menu'!B:M, 3, 0)</f>
        <v>المشاوي سفري2</v>
      </c>
      <c r="G3524" s="90" t="s">
        <v>2257</v>
      </c>
      <c r="H3524" s="219">
        <v>5281</v>
      </c>
      <c r="I3524" s="110" t="str">
        <f>VLOOKUP(H3524, 'RM &amp; SF'!B:H, 2, 0)</f>
        <v>بندوره مشاوي</v>
      </c>
      <c r="J3524" s="184" t="str">
        <f>VLOOKUP(H3524, 'RM &amp; SF'!B:E, 4, 0)</f>
        <v>غم</v>
      </c>
      <c r="K3524" s="78">
        <v>40</v>
      </c>
      <c r="L3524" s="13">
        <f>VLOOKUP(H3524, 'RM &amp; SF'!B:H, 7, 0)</f>
        <v>4.0000000000000002E-4</v>
      </c>
      <c r="M3524" s="15">
        <f t="shared" si="189"/>
        <v>1.6E-2</v>
      </c>
      <c r="N3524" s="21" t="s">
        <v>825</v>
      </c>
      <c r="O3524" s="4">
        <f>VLOOKUP(B3524, 'All Menu'!B:L, 6, 0)</f>
        <v>4.9568965517241379</v>
      </c>
      <c r="P3524" s="6">
        <f>VLOOKUP(B3524, 'All Menu'!B:L, 9, 0)</f>
        <v>2.2522790263628369</v>
      </c>
      <c r="Q3524" s="14">
        <f>VLOOKUP(B3524, 'All Menu'!B:M, 12, 0)</f>
        <v>0.54562718772506247</v>
      </c>
    </row>
    <row r="3525" spans="1:17" ht="14" hidden="1">
      <c r="A3525" s="78" t="s">
        <v>3109</v>
      </c>
      <c r="B3525" s="220" t="s">
        <v>3034</v>
      </c>
      <c r="C3525" s="185"/>
      <c r="D3525" s="30" t="s">
        <v>3052</v>
      </c>
      <c r="E3525" s="30" t="str">
        <f>VLOOKUP(B3525, 'All Menu'!B:M, 2, 0)</f>
        <v>قسم المشاوي</v>
      </c>
      <c r="F3525" s="103" t="str">
        <f>VLOOKUP(B3525, 'All Menu'!B:M, 3, 0)</f>
        <v>المشاوي سفري2</v>
      </c>
      <c r="G3525" s="90" t="s">
        <v>2331</v>
      </c>
      <c r="H3525" s="219" t="s">
        <v>530</v>
      </c>
      <c r="I3525" s="110" t="str">
        <f>VLOOKUP(H3525, 'RM &amp; SF'!B:H, 2, 0)</f>
        <v>خبز صاج</v>
      </c>
      <c r="J3525" s="184" t="str">
        <f>VLOOKUP(H3525, 'RM &amp; SF'!B:E, 4, 0)</f>
        <v>غم</v>
      </c>
      <c r="K3525" s="78">
        <v>200</v>
      </c>
      <c r="L3525" s="13">
        <f>VLOOKUP(H3525, 'RM &amp; SF'!B:H, 7, 0)</f>
        <v>1.8806451612903227E-4</v>
      </c>
      <c r="M3525" s="15">
        <f t="shared" si="189"/>
        <v>3.7612903225806453E-2</v>
      </c>
      <c r="N3525" s="21" t="s">
        <v>825</v>
      </c>
      <c r="O3525" s="4">
        <f>VLOOKUP(B3525, 'All Menu'!B:L, 6, 0)</f>
        <v>4.9568965517241379</v>
      </c>
      <c r="P3525" s="6">
        <f>VLOOKUP(B3525, 'All Menu'!B:L, 9, 0)</f>
        <v>2.2522790263628369</v>
      </c>
      <c r="Q3525" s="14">
        <f>VLOOKUP(B3525, 'All Menu'!B:M, 12, 0)</f>
        <v>0.54562718772506247</v>
      </c>
    </row>
    <row r="3526" spans="1:17" ht="14" hidden="1">
      <c r="A3526" s="78" t="s">
        <v>3109</v>
      </c>
      <c r="B3526" s="220" t="s">
        <v>3034</v>
      </c>
      <c r="C3526" s="185"/>
      <c r="D3526" s="30" t="s">
        <v>3052</v>
      </c>
      <c r="E3526" s="30" t="str">
        <f>VLOOKUP(B3526, 'All Menu'!B:M, 2, 0)</f>
        <v>قسم المشاوي</v>
      </c>
      <c r="F3526" s="103" t="str">
        <f>VLOOKUP(B3526, 'All Menu'!B:M, 3, 0)</f>
        <v>المشاوي سفري2</v>
      </c>
      <c r="G3526" s="90" t="s">
        <v>2385</v>
      </c>
      <c r="H3526" s="219" t="s">
        <v>540</v>
      </c>
      <c r="I3526" s="110" t="str">
        <f>VLOOKUP(H3526, 'RM &amp; SF'!B:H, 2, 0)</f>
        <v xml:space="preserve">بطاطا مقلية </v>
      </c>
      <c r="J3526" s="184" t="str">
        <f>VLOOKUP(H3526, 'RM &amp; SF'!B:E, 4, 0)</f>
        <v>غم</v>
      </c>
      <c r="K3526" s="78">
        <v>150</v>
      </c>
      <c r="L3526" s="13">
        <f>VLOOKUP(H3526, 'RM &amp; SF'!B:H, 7, 0)</f>
        <v>7.9700000000000007E-4</v>
      </c>
      <c r="M3526" s="15">
        <f t="shared" si="189"/>
        <v>0.11955000000000002</v>
      </c>
      <c r="N3526" s="21" t="s">
        <v>825</v>
      </c>
      <c r="O3526" s="4">
        <f>VLOOKUP(B3526, 'All Menu'!B:L, 6, 0)</f>
        <v>4.9568965517241379</v>
      </c>
      <c r="P3526" s="6">
        <f>VLOOKUP(B3526, 'All Menu'!B:L, 9, 0)</f>
        <v>2.2522790263628369</v>
      </c>
      <c r="Q3526" s="14">
        <f>VLOOKUP(B3526, 'All Menu'!B:M, 12, 0)</f>
        <v>0.54562718772506247</v>
      </c>
    </row>
    <row r="3527" spans="1:17" ht="14" hidden="1">
      <c r="A3527" s="78" t="s">
        <v>3109</v>
      </c>
      <c r="B3527" s="220" t="s">
        <v>3034</v>
      </c>
      <c r="C3527" s="185"/>
      <c r="D3527" s="30" t="s">
        <v>3052</v>
      </c>
      <c r="E3527" s="30" t="str">
        <f>VLOOKUP(B3527, 'All Menu'!B:M, 2, 0)</f>
        <v>قسم المشاوي</v>
      </c>
      <c r="F3527" s="103" t="str">
        <f>VLOOKUP(B3527, 'All Menu'!B:M, 3, 0)</f>
        <v>المشاوي سفري2</v>
      </c>
      <c r="G3527" s="90" t="s">
        <v>2409</v>
      </c>
      <c r="H3527" s="219" t="s">
        <v>1179</v>
      </c>
      <c r="I3527" s="110" t="str">
        <f>VLOOKUP(H3527, 'RM &amp; SF'!B:H, 2, 0)</f>
        <v>علبة مخلل</v>
      </c>
      <c r="J3527" s="184" t="str">
        <f>VLOOKUP(H3527, 'RM &amp; SF'!B:E, 4, 0)</f>
        <v>قطعة</v>
      </c>
      <c r="K3527" s="78">
        <v>1</v>
      </c>
      <c r="L3527" s="13">
        <f>VLOOKUP(H3527, 'RM &amp; SF'!B:H, 7, 0)</f>
        <v>6.0440000000000001E-2</v>
      </c>
      <c r="M3527" s="15">
        <f t="shared" si="189"/>
        <v>6.0440000000000001E-2</v>
      </c>
      <c r="N3527" s="21" t="s">
        <v>825</v>
      </c>
      <c r="O3527" s="4">
        <f>VLOOKUP(B3527, 'All Menu'!B:L, 6, 0)</f>
        <v>4.9568965517241379</v>
      </c>
      <c r="P3527" s="6">
        <f>VLOOKUP(B3527, 'All Menu'!B:L, 9, 0)</f>
        <v>2.2522790263628369</v>
      </c>
      <c r="Q3527" s="14">
        <f>VLOOKUP(B3527, 'All Menu'!B:M, 12, 0)</f>
        <v>0.54562718772506247</v>
      </c>
    </row>
    <row r="3528" spans="1:17" ht="14" hidden="1">
      <c r="A3528" s="78" t="s">
        <v>3109</v>
      </c>
      <c r="B3528" s="220" t="s">
        <v>3034</v>
      </c>
      <c r="C3528" s="185"/>
      <c r="D3528" s="30" t="s">
        <v>3052</v>
      </c>
      <c r="E3528" s="30" t="str">
        <f>VLOOKUP(B3528, 'All Menu'!B:M, 2, 0)</f>
        <v>قسم المشاوي</v>
      </c>
      <c r="F3528" s="103" t="str">
        <f>VLOOKUP(B3528, 'All Menu'!B:M, 3, 0)</f>
        <v>المشاوي سفري2</v>
      </c>
      <c r="G3528" s="90" t="s">
        <v>2813</v>
      </c>
      <c r="H3528" s="219" t="s">
        <v>1047</v>
      </c>
      <c r="I3528" s="110" t="str">
        <f>VLOOKUP(H3528, 'RM &amp; SF'!B:H, 2, 0)</f>
        <v>علبة طحينية صغيرة</v>
      </c>
      <c r="J3528" s="184" t="str">
        <f>VLOOKUP(H3528, 'RM &amp; SF'!B:E, 4, 0)</f>
        <v>قطعة</v>
      </c>
      <c r="K3528" s="78">
        <v>2</v>
      </c>
      <c r="L3528" s="13">
        <f>VLOOKUP(H3528, 'RM &amp; SF'!B:H, 7, 0)</f>
        <v>6.620838217338218E-2</v>
      </c>
      <c r="M3528" s="15">
        <f t="shared" si="189"/>
        <v>0.13241676434676436</v>
      </c>
      <c r="N3528" s="21" t="s">
        <v>825</v>
      </c>
      <c r="O3528" s="4">
        <f>VLOOKUP(B3528, 'All Menu'!B:L, 6, 0)</f>
        <v>4.9568965517241379</v>
      </c>
      <c r="P3528" s="6">
        <f>VLOOKUP(B3528, 'All Menu'!B:L, 9, 0)</f>
        <v>2.2522790263628369</v>
      </c>
      <c r="Q3528" s="14">
        <f>VLOOKUP(B3528, 'All Menu'!B:M, 12, 0)</f>
        <v>0.54562718772506247</v>
      </c>
    </row>
    <row r="3529" spans="1:17" ht="14" hidden="1">
      <c r="A3529" s="78" t="s">
        <v>3109</v>
      </c>
      <c r="B3529" s="220" t="s">
        <v>3034</v>
      </c>
      <c r="C3529" s="185"/>
      <c r="D3529" s="30" t="s">
        <v>3052</v>
      </c>
      <c r="E3529" s="30" t="str">
        <f>VLOOKUP(B3529, 'All Menu'!B:M, 2, 0)</f>
        <v>قسم المشاوي</v>
      </c>
      <c r="F3529" s="103" t="str">
        <f>VLOOKUP(B3529, 'All Menu'!B:M, 3, 0)</f>
        <v>المشاوي سفري2</v>
      </c>
      <c r="G3529" s="90" t="s">
        <v>3058</v>
      </c>
      <c r="H3529" s="219">
        <v>5306</v>
      </c>
      <c r="I3529" s="110" t="str">
        <f>VLOOKUP(H3529, 'RM &amp; SF'!B:H, 2, 0)</f>
        <v>مشروب غازي ماتركس اب 250مل*****</v>
      </c>
      <c r="J3529" s="184" t="str">
        <f>VLOOKUP(H3529, 'RM &amp; SF'!B:E, 4, 0)</f>
        <v>قطعة</v>
      </c>
      <c r="K3529" s="78">
        <v>1</v>
      </c>
      <c r="L3529" s="13">
        <f>VLOOKUP(H3529, 'RM &amp; SF'!B:H, 7, 0)</f>
        <v>0.13700000000000001</v>
      </c>
      <c r="M3529" s="15">
        <f t="shared" si="189"/>
        <v>0.13700000000000001</v>
      </c>
      <c r="N3529" s="21" t="s">
        <v>825</v>
      </c>
      <c r="O3529" s="4">
        <f>VLOOKUP(B3529, 'All Menu'!B:L, 6, 0)</f>
        <v>4.9568965517241379</v>
      </c>
      <c r="P3529" s="6">
        <f>VLOOKUP(B3529, 'All Menu'!B:L, 9, 0)</f>
        <v>2.2522790263628369</v>
      </c>
      <c r="Q3529" s="14">
        <f>VLOOKUP(B3529, 'All Menu'!B:M, 12, 0)</f>
        <v>0.54562718772506247</v>
      </c>
    </row>
    <row r="3530" spans="1:17" ht="14" hidden="1">
      <c r="A3530" s="78" t="s">
        <v>3109</v>
      </c>
      <c r="B3530" s="220" t="s">
        <v>3034</v>
      </c>
      <c r="C3530" s="185"/>
      <c r="D3530" s="30" t="s">
        <v>3052</v>
      </c>
      <c r="E3530" s="30" t="str">
        <f>VLOOKUP(B3530, 'All Menu'!B:M, 2, 0)</f>
        <v>قسم المشاوي</v>
      </c>
      <c r="F3530" s="103" t="str">
        <f>VLOOKUP(B3530, 'All Menu'!B:M, 3, 0)</f>
        <v>المشاوي سفري2</v>
      </c>
      <c r="G3530" s="90" t="s">
        <v>2195</v>
      </c>
      <c r="H3530" s="219">
        <v>4329</v>
      </c>
      <c r="I3530" s="110" t="str">
        <f>VLOOKUP(H3530, 'RM &amp; SF'!B:H, 2, 0)</f>
        <v>ملاعق بلاستيك مع معقم مطبوع 1*500 حبة*****</v>
      </c>
      <c r="J3530" s="184" t="str">
        <f>VLOOKUP(H3530, 'RM &amp; SF'!B:E, 4, 0)</f>
        <v>قطعة</v>
      </c>
      <c r="K3530" s="78">
        <v>1</v>
      </c>
      <c r="L3530" s="13">
        <f>VLOOKUP(H3530, 'RM &amp; SF'!B:H, 7, 0)</f>
        <v>4.7399999999999997E-4</v>
      </c>
      <c r="M3530" s="15">
        <f t="shared" si="189"/>
        <v>4.7399999999999997E-4</v>
      </c>
      <c r="N3530" s="21" t="s">
        <v>825</v>
      </c>
      <c r="O3530" s="4">
        <f>VLOOKUP(B3530, 'All Menu'!B:L, 6, 0)</f>
        <v>4.9568965517241379</v>
      </c>
      <c r="P3530" s="6">
        <f>VLOOKUP(B3530, 'All Menu'!B:L, 9, 0)</f>
        <v>2.2522790263628369</v>
      </c>
      <c r="Q3530" s="14">
        <f>VLOOKUP(B3530, 'All Menu'!B:M, 12, 0)</f>
        <v>0.54562718772506247</v>
      </c>
    </row>
    <row r="3531" spans="1:17" ht="14" hidden="1">
      <c r="A3531" s="78" t="s">
        <v>3109</v>
      </c>
      <c r="B3531" s="220" t="s">
        <v>3034</v>
      </c>
      <c r="C3531" s="185"/>
      <c r="D3531" s="30" t="s">
        <v>3052</v>
      </c>
      <c r="E3531" s="30" t="str">
        <f>VLOOKUP(B3531, 'All Menu'!B:M, 2, 0)</f>
        <v>قسم المشاوي</v>
      </c>
      <c r="F3531" s="103" t="str">
        <f>VLOOKUP(B3531, 'All Menu'!B:M, 3, 0)</f>
        <v>المشاوي سفري2</v>
      </c>
      <c r="G3531" s="90" t="s">
        <v>3058</v>
      </c>
      <c r="H3531" s="219">
        <v>1111</v>
      </c>
      <c r="I3531" s="110" t="str">
        <f>VLOOKUP(H3531, 'RM &amp; SF'!B:H, 2, 0)</f>
        <v>بوكس كباب عربي</v>
      </c>
      <c r="J3531" s="184" t="str">
        <f>VLOOKUP(H3531, 'RM &amp; SF'!B:E, 4, 0)</f>
        <v>قطعة</v>
      </c>
      <c r="K3531" s="78">
        <v>1</v>
      </c>
      <c r="L3531" s="13">
        <f>VLOOKUP(H3531, 'RM &amp; SF'!B:H, 7, 0)</f>
        <v>0.47</v>
      </c>
      <c r="M3531" s="15">
        <f t="shared" si="189"/>
        <v>0.47</v>
      </c>
      <c r="N3531" s="21" t="s">
        <v>825</v>
      </c>
      <c r="O3531" s="4">
        <f>VLOOKUP(B3531, 'All Menu'!B:L, 6, 0)</f>
        <v>4.9568965517241379</v>
      </c>
      <c r="P3531" s="6">
        <f>VLOOKUP(B3531, 'All Menu'!B:L, 9, 0)</f>
        <v>2.2522790263628369</v>
      </c>
      <c r="Q3531" s="14">
        <f>VLOOKUP(B3531, 'All Menu'!B:M, 12, 0)</f>
        <v>0.54562718772506247</v>
      </c>
    </row>
    <row r="3532" spans="1:17" ht="14" hidden="1">
      <c r="A3532" s="78" t="s">
        <v>3110</v>
      </c>
      <c r="B3532" s="220" t="s">
        <v>3050</v>
      </c>
      <c r="C3532" s="185"/>
      <c r="D3532" s="30" t="s">
        <v>3051</v>
      </c>
      <c r="E3532" s="30" t="str">
        <f>VLOOKUP(B3532, 'All Menu'!B:M, 2, 0)</f>
        <v>قسم المشاوي</v>
      </c>
      <c r="F3532" s="103" t="str">
        <f>VLOOKUP(B3532, 'All Menu'!B:M, 3, 0)</f>
        <v>المشاوي سفري2</v>
      </c>
      <c r="G3532" s="90" t="s">
        <v>2456</v>
      </c>
      <c r="H3532" s="219" t="s">
        <v>506</v>
      </c>
      <c r="I3532" s="110" t="str">
        <f>VLOOKUP(H3532, 'RM &amp; SF'!B:H, 2, 0)</f>
        <v>شيش</v>
      </c>
      <c r="J3532" s="184" t="str">
        <f>VLOOKUP(H3532, 'RM &amp; SF'!B:E, 4, 0)</f>
        <v>غم</v>
      </c>
      <c r="K3532" s="78">
        <v>100</v>
      </c>
      <c r="L3532" s="13">
        <f>VLOOKUP(H3532, 'RM &amp; SF'!B:H, 7, 0)</f>
        <v>4.6721213030918281E-3</v>
      </c>
      <c r="M3532" s="15">
        <f t="shared" ref="M3532:M3543" si="190">L3532*K3532</f>
        <v>0.46721213030918279</v>
      </c>
      <c r="N3532" s="21" t="s">
        <v>825</v>
      </c>
      <c r="O3532" s="4">
        <f>VLOOKUP(B3532, 'All Menu'!B:L, 6, 0)</f>
        <v>3.6637931034482762</v>
      </c>
      <c r="P3532" s="6">
        <f>VLOOKUP(B3532, 'All Menu'!B:L, 9, 0)</f>
        <v>1.5575627504529008</v>
      </c>
      <c r="Q3532" s="14">
        <f>VLOOKUP(B3532, 'All Menu'!B:M, 12, 0)</f>
        <v>0.57487699046462004</v>
      </c>
    </row>
    <row r="3533" spans="1:17" ht="14" hidden="1">
      <c r="A3533" s="78" t="s">
        <v>3110</v>
      </c>
      <c r="B3533" s="220" t="s">
        <v>3050</v>
      </c>
      <c r="C3533" s="185"/>
      <c r="D3533" s="30" t="s">
        <v>3051</v>
      </c>
      <c r="E3533" s="30" t="str">
        <f>VLOOKUP(B3533, 'All Menu'!B:M, 2, 0)</f>
        <v>قسم المشاوي</v>
      </c>
      <c r="F3533" s="103" t="str">
        <f>VLOOKUP(B3533, 'All Menu'!B:M, 3, 0)</f>
        <v>المشاوي سفري2</v>
      </c>
      <c r="G3533" s="90" t="s">
        <v>2325</v>
      </c>
      <c r="H3533" s="219" t="s">
        <v>534</v>
      </c>
      <c r="I3533" s="110" t="str">
        <f>VLOOKUP(H3533, 'RM &amp; SF'!B:H, 2, 0)</f>
        <v>مثومه</v>
      </c>
      <c r="J3533" s="184" t="str">
        <f>VLOOKUP(H3533, 'RM &amp; SF'!B:E, 4, 0)</f>
        <v>غم</v>
      </c>
      <c r="K3533" s="78">
        <v>50</v>
      </c>
      <c r="L3533" s="13">
        <f>VLOOKUP(H3533, 'RM &amp; SF'!B:H, 7, 0)</f>
        <v>6.6564092227821051E-4</v>
      </c>
      <c r="M3533" s="15">
        <f t="shared" si="190"/>
        <v>3.3282046113910523E-2</v>
      </c>
      <c r="N3533" s="21" t="s">
        <v>825</v>
      </c>
      <c r="O3533" s="4">
        <f>VLOOKUP(B3533, 'All Menu'!B:L, 6, 0)</f>
        <v>3.6637931034482762</v>
      </c>
      <c r="P3533" s="6">
        <f>VLOOKUP(B3533, 'All Menu'!B:L, 9, 0)</f>
        <v>1.5575627504529008</v>
      </c>
      <c r="Q3533" s="14">
        <f>VLOOKUP(B3533, 'All Menu'!B:M, 12, 0)</f>
        <v>0.57487699046462004</v>
      </c>
    </row>
    <row r="3534" spans="1:17" ht="14" hidden="1">
      <c r="A3534" s="78" t="s">
        <v>3110</v>
      </c>
      <c r="B3534" s="220" t="s">
        <v>3050</v>
      </c>
      <c r="C3534" s="185"/>
      <c r="D3534" s="30" t="s">
        <v>3051</v>
      </c>
      <c r="E3534" s="30" t="str">
        <f>VLOOKUP(B3534, 'All Menu'!B:M, 2, 0)</f>
        <v>قسم المشاوي</v>
      </c>
      <c r="F3534" s="103" t="str">
        <f>VLOOKUP(B3534, 'All Menu'!B:M, 3, 0)</f>
        <v>المشاوي سفري2</v>
      </c>
      <c r="G3534" s="90" t="s">
        <v>3058</v>
      </c>
      <c r="H3534" s="219">
        <v>4517</v>
      </c>
      <c r="I3534" s="110" t="str">
        <f>VLOOKUP(H3534, 'RM &amp; SF'!B:H, 2, 0)</f>
        <v>خس بلدي*****</v>
      </c>
      <c r="J3534" s="184" t="str">
        <f>VLOOKUP(H3534, 'RM &amp; SF'!B:E, 4, 0)</f>
        <v>غم</v>
      </c>
      <c r="K3534" s="78">
        <v>25</v>
      </c>
      <c r="L3534" s="13">
        <f>VLOOKUP(H3534, 'RM &amp; SF'!B:H, 7, 0)</f>
        <v>5.0000000000000001E-4</v>
      </c>
      <c r="M3534" s="15">
        <f t="shared" si="190"/>
        <v>1.2500000000000001E-2</v>
      </c>
      <c r="N3534" s="21" t="s">
        <v>825</v>
      </c>
      <c r="O3534" s="4">
        <f>VLOOKUP(B3534, 'All Menu'!B:L, 6, 0)</f>
        <v>3.6637931034482762</v>
      </c>
      <c r="P3534" s="6">
        <f>VLOOKUP(B3534, 'All Menu'!B:L, 9, 0)</f>
        <v>1.5575627504529008</v>
      </c>
      <c r="Q3534" s="14">
        <f>VLOOKUP(B3534, 'All Menu'!B:M, 12, 0)</f>
        <v>0.57487699046462004</v>
      </c>
    </row>
    <row r="3535" spans="1:17" ht="14" hidden="1">
      <c r="A3535" s="78" t="s">
        <v>3110</v>
      </c>
      <c r="B3535" s="220" t="s">
        <v>3050</v>
      </c>
      <c r="C3535" s="185"/>
      <c r="D3535" s="30" t="s">
        <v>3051</v>
      </c>
      <c r="E3535" s="30" t="str">
        <f>VLOOKUP(B3535, 'All Menu'!B:M, 2, 0)</f>
        <v>قسم المشاوي</v>
      </c>
      <c r="F3535" s="103" t="str">
        <f>VLOOKUP(B3535, 'All Menu'!B:M, 3, 0)</f>
        <v>المشاوي سفري2</v>
      </c>
      <c r="G3535" s="90" t="s">
        <v>2296</v>
      </c>
      <c r="H3535" s="219">
        <v>4866</v>
      </c>
      <c r="I3535" s="110" t="str">
        <f>VLOOKUP(H3535, 'RM &amp; SF'!B:H, 2, 0)</f>
        <v>*****مخلل خيار شرائح 10 كغ</v>
      </c>
      <c r="J3535" s="184" t="str">
        <f>VLOOKUP(H3535, 'RM &amp; SF'!B:E, 4, 0)</f>
        <v>غم</v>
      </c>
      <c r="K3535" s="78">
        <v>20</v>
      </c>
      <c r="L3535" s="13">
        <f>VLOOKUP(H3535, 'RM &amp; SF'!B:H, 7, 0)</f>
        <v>1E-3</v>
      </c>
      <c r="M3535" s="15">
        <f t="shared" si="190"/>
        <v>0.02</v>
      </c>
      <c r="N3535" s="21" t="s">
        <v>825</v>
      </c>
      <c r="O3535" s="4">
        <f>VLOOKUP(B3535, 'All Menu'!B:L, 6, 0)</f>
        <v>3.6637931034482762</v>
      </c>
      <c r="P3535" s="6">
        <f>VLOOKUP(B3535, 'All Menu'!B:L, 9, 0)</f>
        <v>1.5575627504529008</v>
      </c>
      <c r="Q3535" s="14">
        <f>VLOOKUP(B3535, 'All Menu'!B:M, 12, 0)</f>
        <v>0.57487699046462004</v>
      </c>
    </row>
    <row r="3536" spans="1:17" ht="14" hidden="1">
      <c r="A3536" s="78" t="s">
        <v>3110</v>
      </c>
      <c r="B3536" s="220" t="s">
        <v>3050</v>
      </c>
      <c r="C3536" s="185"/>
      <c r="D3536" s="30" t="s">
        <v>3051</v>
      </c>
      <c r="E3536" s="30" t="str">
        <f>VLOOKUP(B3536, 'All Menu'!B:M, 2, 0)</f>
        <v>قسم المشاوي</v>
      </c>
      <c r="F3536" s="103" t="str">
        <f>VLOOKUP(B3536, 'All Menu'!B:M, 3, 0)</f>
        <v>المشاوي سفري2</v>
      </c>
      <c r="G3536" s="90" t="s">
        <v>3058</v>
      </c>
      <c r="H3536" s="219" t="s">
        <v>3057</v>
      </c>
      <c r="I3536" s="110" t="str">
        <f>VLOOKUP(H3536, 'RM &amp; SF'!B:H, 2, 0)</f>
        <v>صوص ساندويش</v>
      </c>
      <c r="J3536" s="184" t="str">
        <f>VLOOKUP(H3536, 'RM &amp; SF'!B:E, 4, 0)</f>
        <v>غم</v>
      </c>
      <c r="K3536" s="78">
        <v>20</v>
      </c>
      <c r="L3536" s="13">
        <f>VLOOKUP(H3536, 'RM &amp; SF'!B:H, 7, 0)</f>
        <v>2.2283059346557385E-3</v>
      </c>
      <c r="M3536" s="15">
        <f t="shared" si="190"/>
        <v>4.4566118693114769E-2</v>
      </c>
      <c r="N3536" s="21" t="s">
        <v>825</v>
      </c>
      <c r="O3536" s="4">
        <f>VLOOKUP(B3536, 'All Menu'!B:L, 6, 0)</f>
        <v>3.6637931034482762</v>
      </c>
      <c r="P3536" s="6">
        <f>VLOOKUP(B3536, 'All Menu'!B:L, 9, 0)</f>
        <v>1.5575627504529008</v>
      </c>
      <c r="Q3536" s="14">
        <f>VLOOKUP(B3536, 'All Menu'!B:M, 12, 0)</f>
        <v>0.57487699046462004</v>
      </c>
    </row>
    <row r="3537" spans="1:17" ht="14" hidden="1">
      <c r="A3537" s="78" t="s">
        <v>3110</v>
      </c>
      <c r="B3537" s="220" t="s">
        <v>3050</v>
      </c>
      <c r="C3537" s="185"/>
      <c r="D3537" s="30" t="s">
        <v>3051</v>
      </c>
      <c r="E3537" s="30" t="str">
        <f>VLOOKUP(B3537, 'All Menu'!B:M, 2, 0)</f>
        <v>قسم المشاوي</v>
      </c>
      <c r="F3537" s="103" t="str">
        <f>VLOOKUP(B3537, 'All Menu'!B:M, 3, 0)</f>
        <v>المشاوي سفري2</v>
      </c>
      <c r="G3537" s="90" t="s">
        <v>2225</v>
      </c>
      <c r="H3537" s="219">
        <v>4991</v>
      </c>
      <c r="I3537" s="110" t="str">
        <f>VLOOKUP(H3537, 'RM &amp; SF'!B:H, 2, 0)</f>
        <v>خبز عربي (خبز لبناني) صغير*****</v>
      </c>
      <c r="J3537" s="184" t="str">
        <f>VLOOKUP(H3537, 'RM &amp; SF'!B:E, 4, 0)</f>
        <v>غم</v>
      </c>
      <c r="K3537" s="78">
        <v>100</v>
      </c>
      <c r="L3537" s="13">
        <f>VLOOKUP(H3537, 'RM &amp; SF'!B:H, 7, 0)</f>
        <v>3.2000000000000003E-4</v>
      </c>
      <c r="M3537" s="15">
        <f t="shared" si="190"/>
        <v>3.2000000000000001E-2</v>
      </c>
      <c r="N3537" s="21" t="s">
        <v>825</v>
      </c>
      <c r="O3537" s="4">
        <f>VLOOKUP(B3537, 'All Menu'!B:L, 6, 0)</f>
        <v>3.6637931034482762</v>
      </c>
      <c r="P3537" s="6">
        <f>VLOOKUP(B3537, 'All Menu'!B:L, 9, 0)</f>
        <v>1.5575627504529008</v>
      </c>
      <c r="Q3537" s="14">
        <f>VLOOKUP(B3537, 'All Menu'!B:M, 12, 0)</f>
        <v>0.57487699046462004</v>
      </c>
    </row>
    <row r="3538" spans="1:17" ht="14" hidden="1">
      <c r="A3538" s="78" t="s">
        <v>3110</v>
      </c>
      <c r="B3538" s="220" t="s">
        <v>3050</v>
      </c>
      <c r="C3538" s="185"/>
      <c r="D3538" s="30" t="s">
        <v>3051</v>
      </c>
      <c r="E3538" s="30" t="str">
        <f>VLOOKUP(B3538, 'All Menu'!B:M, 2, 0)</f>
        <v>قسم المشاوي</v>
      </c>
      <c r="F3538" s="103" t="str">
        <f>VLOOKUP(B3538, 'All Menu'!B:M, 3, 0)</f>
        <v>المشاوي سفري2</v>
      </c>
      <c r="G3538" s="90" t="s">
        <v>2385</v>
      </c>
      <c r="H3538" s="219" t="s">
        <v>540</v>
      </c>
      <c r="I3538" s="110" t="str">
        <f>VLOOKUP(H3538, 'RM &amp; SF'!B:H, 2, 0)</f>
        <v xml:space="preserve">بطاطا مقلية </v>
      </c>
      <c r="J3538" s="184" t="str">
        <f>VLOOKUP(H3538, 'RM &amp; SF'!B:E, 4, 0)</f>
        <v>غم</v>
      </c>
      <c r="K3538" s="78">
        <v>150</v>
      </c>
      <c r="L3538" s="13">
        <f>VLOOKUP(H3538, 'RM &amp; SF'!B:H, 7, 0)</f>
        <v>7.9700000000000007E-4</v>
      </c>
      <c r="M3538" s="15">
        <f t="shared" si="190"/>
        <v>0.11955000000000002</v>
      </c>
      <c r="N3538" s="21" t="s">
        <v>825</v>
      </c>
      <c r="O3538" s="4">
        <f>VLOOKUP(B3538, 'All Menu'!B:L, 6, 0)</f>
        <v>3.6637931034482762</v>
      </c>
      <c r="P3538" s="6">
        <f>VLOOKUP(B3538, 'All Menu'!B:L, 9, 0)</f>
        <v>1.5575627504529008</v>
      </c>
      <c r="Q3538" s="14">
        <f>VLOOKUP(B3538, 'All Menu'!B:M, 12, 0)</f>
        <v>0.57487699046462004</v>
      </c>
    </row>
    <row r="3539" spans="1:17" ht="14" hidden="1">
      <c r="A3539" s="78" t="s">
        <v>3110</v>
      </c>
      <c r="B3539" s="220" t="s">
        <v>3050</v>
      </c>
      <c r="C3539" s="185"/>
      <c r="D3539" s="30" t="s">
        <v>3051</v>
      </c>
      <c r="E3539" s="30" t="str">
        <f>VLOOKUP(B3539, 'All Menu'!B:M, 2, 0)</f>
        <v>قسم المشاوي</v>
      </c>
      <c r="F3539" s="103" t="str">
        <f>VLOOKUP(B3539, 'All Menu'!B:M, 3, 0)</f>
        <v>المشاوي سفري2</v>
      </c>
      <c r="G3539" s="90" t="s">
        <v>2409</v>
      </c>
      <c r="H3539" s="219" t="s">
        <v>1179</v>
      </c>
      <c r="I3539" s="110" t="str">
        <f>VLOOKUP(H3539, 'RM &amp; SF'!B:H, 2, 0)</f>
        <v>علبة مخلل</v>
      </c>
      <c r="J3539" s="184" t="str">
        <f>VLOOKUP(H3539, 'RM &amp; SF'!B:E, 4, 0)</f>
        <v>قطعة</v>
      </c>
      <c r="K3539" s="78">
        <v>1</v>
      </c>
      <c r="L3539" s="13">
        <f>VLOOKUP(H3539, 'RM &amp; SF'!B:H, 7, 0)</f>
        <v>6.0440000000000001E-2</v>
      </c>
      <c r="M3539" s="15">
        <f t="shared" si="190"/>
        <v>6.0440000000000001E-2</v>
      </c>
      <c r="N3539" s="21" t="s">
        <v>825</v>
      </c>
      <c r="O3539" s="4">
        <f>VLOOKUP(B3539, 'All Menu'!B:L, 6, 0)</f>
        <v>3.6637931034482762</v>
      </c>
      <c r="P3539" s="6">
        <f>VLOOKUP(B3539, 'All Menu'!B:L, 9, 0)</f>
        <v>1.5575627504529008</v>
      </c>
      <c r="Q3539" s="14">
        <f>VLOOKUP(B3539, 'All Menu'!B:M, 12, 0)</f>
        <v>0.57487699046462004</v>
      </c>
    </row>
    <row r="3540" spans="1:17" ht="14" hidden="1">
      <c r="A3540" s="78" t="s">
        <v>3110</v>
      </c>
      <c r="B3540" s="220" t="s">
        <v>3050</v>
      </c>
      <c r="C3540" s="185"/>
      <c r="D3540" s="30" t="s">
        <v>3051</v>
      </c>
      <c r="E3540" s="30" t="str">
        <f>VLOOKUP(B3540, 'All Menu'!B:M, 2, 0)</f>
        <v>قسم المشاوي</v>
      </c>
      <c r="F3540" s="103" t="str">
        <f>VLOOKUP(B3540, 'All Menu'!B:M, 3, 0)</f>
        <v>المشاوي سفري2</v>
      </c>
      <c r="G3540" s="90" t="s">
        <v>2815</v>
      </c>
      <c r="H3540" s="219" t="s">
        <v>1180</v>
      </c>
      <c r="I3540" s="110" t="str">
        <f>VLOOKUP(H3540, 'RM &amp; SF'!B:H, 2, 0)</f>
        <v>علبة مثومة صغيرة</v>
      </c>
      <c r="J3540" s="184" t="str">
        <f>VLOOKUP(H3540, 'RM &amp; SF'!B:E, 4, 0)</f>
        <v>غم</v>
      </c>
      <c r="K3540" s="78">
        <v>2</v>
      </c>
      <c r="L3540" s="13">
        <f>VLOOKUP(H3540, 'RM &amp; SF'!B:H, 7, 0)</f>
        <v>8.0269227668346321E-2</v>
      </c>
      <c r="M3540" s="15">
        <f t="shared" si="190"/>
        <v>0.16053845533669264</v>
      </c>
      <c r="N3540" s="21" t="s">
        <v>825</v>
      </c>
      <c r="O3540" s="4">
        <f>VLOOKUP(B3540, 'All Menu'!B:L, 6, 0)</f>
        <v>3.6637931034482762</v>
      </c>
      <c r="P3540" s="6">
        <f>VLOOKUP(B3540, 'All Menu'!B:L, 9, 0)</f>
        <v>1.5575627504529008</v>
      </c>
      <c r="Q3540" s="14">
        <f>VLOOKUP(B3540, 'All Menu'!B:M, 12, 0)</f>
        <v>0.57487699046462004</v>
      </c>
    </row>
    <row r="3541" spans="1:17" ht="14" hidden="1">
      <c r="A3541" s="78" t="s">
        <v>3110</v>
      </c>
      <c r="B3541" s="220" t="s">
        <v>3050</v>
      </c>
      <c r="C3541" s="185"/>
      <c r="D3541" s="30" t="s">
        <v>3051</v>
      </c>
      <c r="E3541" s="30" t="str">
        <f>VLOOKUP(B3541, 'All Menu'!B:M, 2, 0)</f>
        <v>قسم المشاوي</v>
      </c>
      <c r="F3541" s="103" t="str">
        <f>VLOOKUP(B3541, 'All Menu'!B:M, 3, 0)</f>
        <v>المشاوي سفري2</v>
      </c>
      <c r="G3541" s="90" t="s">
        <v>3058</v>
      </c>
      <c r="H3541" s="219">
        <v>5306</v>
      </c>
      <c r="I3541" s="110" t="str">
        <f>VLOOKUP(H3541, 'RM &amp; SF'!B:H, 2, 0)</f>
        <v>مشروب غازي ماتركس اب 250مل*****</v>
      </c>
      <c r="J3541" s="184" t="str">
        <f>VLOOKUP(H3541, 'RM &amp; SF'!B:E, 4, 0)</f>
        <v>قطعة</v>
      </c>
      <c r="K3541" s="78">
        <v>1</v>
      </c>
      <c r="L3541" s="13">
        <f>VLOOKUP(H3541, 'RM &amp; SF'!B:H, 7, 0)</f>
        <v>0.13700000000000001</v>
      </c>
      <c r="M3541" s="15">
        <f t="shared" si="190"/>
        <v>0.13700000000000001</v>
      </c>
      <c r="N3541" s="21" t="s">
        <v>825</v>
      </c>
      <c r="O3541" s="4">
        <f>VLOOKUP(B3541, 'All Menu'!B:L, 6, 0)</f>
        <v>3.6637931034482762</v>
      </c>
      <c r="P3541" s="6">
        <f>VLOOKUP(B3541, 'All Menu'!B:L, 9, 0)</f>
        <v>1.5575627504529008</v>
      </c>
      <c r="Q3541" s="14">
        <f>VLOOKUP(B3541, 'All Menu'!B:M, 12, 0)</f>
        <v>0.57487699046462004</v>
      </c>
    </row>
    <row r="3542" spans="1:17" ht="14" hidden="1">
      <c r="A3542" s="78" t="s">
        <v>3110</v>
      </c>
      <c r="B3542" s="220" t="s">
        <v>3050</v>
      </c>
      <c r="C3542" s="185"/>
      <c r="D3542" s="30" t="s">
        <v>3051</v>
      </c>
      <c r="E3542" s="30" t="str">
        <f>VLOOKUP(B3542, 'All Menu'!B:M, 2, 0)</f>
        <v>قسم المشاوي</v>
      </c>
      <c r="F3542" s="103" t="str">
        <f>VLOOKUP(B3542, 'All Menu'!B:M, 3, 0)</f>
        <v>المشاوي سفري2</v>
      </c>
      <c r="G3542" s="90" t="s">
        <v>2195</v>
      </c>
      <c r="H3542" s="219">
        <v>4329</v>
      </c>
      <c r="I3542" s="110" t="str">
        <f>VLOOKUP(H3542, 'RM &amp; SF'!B:H, 2, 0)</f>
        <v>ملاعق بلاستيك مع معقم مطبوع 1*500 حبة*****</v>
      </c>
      <c r="J3542" s="184" t="str">
        <f>VLOOKUP(H3542, 'RM &amp; SF'!B:E, 4, 0)</f>
        <v>قطعة</v>
      </c>
      <c r="K3542" s="78">
        <v>1</v>
      </c>
      <c r="L3542" s="13">
        <f>VLOOKUP(H3542, 'RM &amp; SF'!B:H, 7, 0)</f>
        <v>4.7399999999999997E-4</v>
      </c>
      <c r="M3542" s="15">
        <f t="shared" si="190"/>
        <v>4.7399999999999997E-4</v>
      </c>
      <c r="N3542" s="21" t="s">
        <v>825</v>
      </c>
      <c r="O3542" s="4">
        <f>VLOOKUP(B3542, 'All Menu'!B:L, 6, 0)</f>
        <v>3.6637931034482762</v>
      </c>
      <c r="P3542" s="6">
        <f>VLOOKUP(B3542, 'All Menu'!B:L, 9, 0)</f>
        <v>1.5575627504529008</v>
      </c>
      <c r="Q3542" s="14">
        <f>VLOOKUP(B3542, 'All Menu'!B:M, 12, 0)</f>
        <v>0.57487699046462004</v>
      </c>
    </row>
    <row r="3543" spans="1:17" ht="14" hidden="1">
      <c r="A3543" s="78" t="s">
        <v>3110</v>
      </c>
      <c r="B3543" s="220" t="s">
        <v>3050</v>
      </c>
      <c r="C3543" s="185"/>
      <c r="D3543" s="30" t="s">
        <v>3051</v>
      </c>
      <c r="E3543" s="30" t="str">
        <f>VLOOKUP(B3543, 'All Menu'!B:M, 2, 0)</f>
        <v>قسم المشاوي</v>
      </c>
      <c r="F3543" s="103" t="str">
        <f>VLOOKUP(B3543, 'All Menu'!B:M, 3, 0)</f>
        <v>المشاوي سفري2</v>
      </c>
      <c r="G3543" s="90" t="s">
        <v>3058</v>
      </c>
      <c r="H3543" s="219">
        <v>1111</v>
      </c>
      <c r="I3543" s="110" t="str">
        <f>VLOOKUP(H3543, 'RM &amp; SF'!B:H, 2, 0)</f>
        <v>بوكس كباب عربي</v>
      </c>
      <c r="J3543" s="184" t="str">
        <f>VLOOKUP(H3543, 'RM &amp; SF'!B:E, 4, 0)</f>
        <v>قطعة</v>
      </c>
      <c r="K3543" s="78">
        <v>1</v>
      </c>
      <c r="L3543" s="13">
        <f>VLOOKUP(H3543, 'RM &amp; SF'!B:H, 7, 0)</f>
        <v>0.47</v>
      </c>
      <c r="M3543" s="15">
        <f t="shared" si="190"/>
        <v>0.47</v>
      </c>
      <c r="N3543" s="21" t="s">
        <v>825</v>
      </c>
      <c r="O3543" s="4">
        <f>VLOOKUP(B3543, 'All Menu'!B:L, 6, 0)</f>
        <v>3.6637931034482762</v>
      </c>
      <c r="P3543" s="6">
        <f>VLOOKUP(B3543, 'All Menu'!B:L, 9, 0)</f>
        <v>1.5575627504529008</v>
      </c>
      <c r="Q3543" s="14">
        <f>VLOOKUP(B3543, 'All Menu'!B:M, 12, 0)</f>
        <v>0.57487699046462004</v>
      </c>
    </row>
    <row r="3544" spans="1:17" ht="14" hidden="1">
      <c r="A3544" s="78" t="s">
        <v>3111</v>
      </c>
      <c r="B3544" s="220" t="s">
        <v>3054</v>
      </c>
      <c r="C3544" s="185"/>
      <c r="D3544" s="30" t="s">
        <v>3056</v>
      </c>
      <c r="E3544" s="30" t="str">
        <f>VLOOKUP(B3544, 'All Menu'!B:M, 2, 0)</f>
        <v>قسم المشاوي</v>
      </c>
      <c r="F3544" s="103" t="str">
        <f>VLOOKUP(B3544, 'All Menu'!B:M, 3, 0)</f>
        <v>المشاوي سفري2</v>
      </c>
      <c r="G3544" s="90" t="s">
        <v>2456</v>
      </c>
      <c r="H3544" s="219" t="s">
        <v>506</v>
      </c>
      <c r="I3544" s="110" t="str">
        <f>VLOOKUP(H3544, 'RM &amp; SF'!B:H, 2, 0)</f>
        <v>شيش</v>
      </c>
      <c r="J3544" s="184" t="str">
        <f>VLOOKUP(H3544, 'RM &amp; SF'!B:E, 4, 0)</f>
        <v>غم</v>
      </c>
      <c r="K3544" s="78">
        <v>200</v>
      </c>
      <c r="L3544" s="13">
        <f>VLOOKUP(H3544, 'RM &amp; SF'!B:H, 7, 0)</f>
        <v>4.6721213030918281E-3</v>
      </c>
      <c r="M3544" s="15">
        <f t="shared" ref="M3544:M3555" si="191">L3544*K3544</f>
        <v>0.93442426061836559</v>
      </c>
      <c r="N3544" s="21" t="s">
        <v>825</v>
      </c>
      <c r="O3544" s="4">
        <f>VLOOKUP(B3544, 'All Menu'!B:L, 6, 0)</f>
        <v>4.9568965517241379</v>
      </c>
      <c r="P3544" s="6">
        <f>VLOOKUP(B3544, 'All Menu'!B:L, 9, 0)</f>
        <v>2.1336984565492729</v>
      </c>
      <c r="Q3544" s="14">
        <f>VLOOKUP(B3544, 'All Menu'!B:M, 12, 0)</f>
        <v>0.56954952876571185</v>
      </c>
    </row>
    <row r="3545" spans="1:17" ht="14" hidden="1">
      <c r="A3545" s="78" t="s">
        <v>3111</v>
      </c>
      <c r="B3545" s="220" t="s">
        <v>3054</v>
      </c>
      <c r="C3545" s="185"/>
      <c r="D3545" s="30" t="s">
        <v>3056</v>
      </c>
      <c r="E3545" s="30" t="str">
        <f>VLOOKUP(B3545, 'All Menu'!B:M, 2, 0)</f>
        <v>قسم المشاوي</v>
      </c>
      <c r="F3545" s="103" t="str">
        <f>VLOOKUP(B3545, 'All Menu'!B:M, 3, 0)</f>
        <v>المشاوي سفري2</v>
      </c>
      <c r="G3545" s="90" t="s">
        <v>2325</v>
      </c>
      <c r="H3545" s="219" t="s">
        <v>534</v>
      </c>
      <c r="I3545" s="110" t="str">
        <f>VLOOKUP(H3545, 'RM &amp; SF'!B:H, 2, 0)</f>
        <v>مثومه</v>
      </c>
      <c r="J3545" s="184" t="str">
        <f>VLOOKUP(H3545, 'RM &amp; SF'!B:E, 4, 0)</f>
        <v>غم</v>
      </c>
      <c r="K3545" s="78">
        <v>100</v>
      </c>
      <c r="L3545" s="13">
        <f>VLOOKUP(H3545, 'RM &amp; SF'!B:H, 7, 0)</f>
        <v>6.6564092227821051E-4</v>
      </c>
      <c r="M3545" s="15">
        <f t="shared" si="191"/>
        <v>6.6564092227821045E-2</v>
      </c>
      <c r="N3545" s="21" t="s">
        <v>825</v>
      </c>
      <c r="O3545" s="4">
        <f>VLOOKUP(B3545, 'All Menu'!B:L, 6, 0)</f>
        <v>4.9568965517241379</v>
      </c>
      <c r="P3545" s="6">
        <f>VLOOKUP(B3545, 'All Menu'!B:L, 9, 0)</f>
        <v>2.1336984565492729</v>
      </c>
      <c r="Q3545" s="14">
        <f>VLOOKUP(B3545, 'All Menu'!B:M, 12, 0)</f>
        <v>0.56954952876571185</v>
      </c>
    </row>
    <row r="3546" spans="1:17" ht="14" hidden="1">
      <c r="A3546" s="78" t="s">
        <v>3111</v>
      </c>
      <c r="B3546" s="220" t="s">
        <v>3054</v>
      </c>
      <c r="C3546" s="185"/>
      <c r="D3546" s="30" t="s">
        <v>3056</v>
      </c>
      <c r="E3546" s="30" t="str">
        <f>VLOOKUP(B3546, 'All Menu'!B:M, 2, 0)</f>
        <v>قسم المشاوي</v>
      </c>
      <c r="F3546" s="103" t="str">
        <f>VLOOKUP(B3546, 'All Menu'!B:M, 3, 0)</f>
        <v>المشاوي سفري2</v>
      </c>
      <c r="G3546" s="90" t="s">
        <v>3058</v>
      </c>
      <c r="H3546" s="219">
        <v>4517</v>
      </c>
      <c r="I3546" s="110" t="str">
        <f>VLOOKUP(H3546, 'RM &amp; SF'!B:H, 2, 0)</f>
        <v>خس بلدي*****</v>
      </c>
      <c r="J3546" s="184" t="str">
        <f>VLOOKUP(H3546, 'RM &amp; SF'!B:E, 4, 0)</f>
        <v>غم</v>
      </c>
      <c r="K3546" s="78">
        <v>50</v>
      </c>
      <c r="L3546" s="13">
        <f>VLOOKUP(H3546, 'RM &amp; SF'!B:H, 7, 0)</f>
        <v>5.0000000000000001E-4</v>
      </c>
      <c r="M3546" s="15">
        <f t="shared" si="191"/>
        <v>2.5000000000000001E-2</v>
      </c>
      <c r="N3546" s="21" t="s">
        <v>825</v>
      </c>
      <c r="O3546" s="4">
        <f>VLOOKUP(B3546, 'All Menu'!B:L, 6, 0)</f>
        <v>4.9568965517241379</v>
      </c>
      <c r="P3546" s="6">
        <f>VLOOKUP(B3546, 'All Menu'!B:L, 9, 0)</f>
        <v>2.1336984565492729</v>
      </c>
      <c r="Q3546" s="14">
        <f>VLOOKUP(B3546, 'All Menu'!B:M, 12, 0)</f>
        <v>0.56954952876571185</v>
      </c>
    </row>
    <row r="3547" spans="1:17" ht="14" hidden="1">
      <c r="A3547" s="78" t="s">
        <v>3111</v>
      </c>
      <c r="B3547" s="220" t="s">
        <v>3054</v>
      </c>
      <c r="C3547" s="185"/>
      <c r="D3547" s="30" t="s">
        <v>3056</v>
      </c>
      <c r="E3547" s="30" t="str">
        <f>VLOOKUP(B3547, 'All Menu'!B:M, 2, 0)</f>
        <v>قسم المشاوي</v>
      </c>
      <c r="F3547" s="103" t="str">
        <f>VLOOKUP(B3547, 'All Menu'!B:M, 3, 0)</f>
        <v>المشاوي سفري2</v>
      </c>
      <c r="G3547" s="90" t="s">
        <v>2296</v>
      </c>
      <c r="H3547" s="219">
        <v>4866</v>
      </c>
      <c r="I3547" s="110" t="str">
        <f>VLOOKUP(H3547, 'RM &amp; SF'!B:H, 2, 0)</f>
        <v>*****مخلل خيار شرائح 10 كغ</v>
      </c>
      <c r="J3547" s="184" t="str">
        <f>VLOOKUP(H3547, 'RM &amp; SF'!B:E, 4, 0)</f>
        <v>غم</v>
      </c>
      <c r="K3547" s="78">
        <v>40</v>
      </c>
      <c r="L3547" s="13">
        <f>VLOOKUP(H3547, 'RM &amp; SF'!B:H, 7, 0)</f>
        <v>1E-3</v>
      </c>
      <c r="M3547" s="15">
        <f t="shared" si="191"/>
        <v>0.04</v>
      </c>
      <c r="N3547" s="21" t="s">
        <v>825</v>
      </c>
      <c r="O3547" s="4">
        <f>VLOOKUP(B3547, 'All Menu'!B:L, 6, 0)</f>
        <v>4.9568965517241379</v>
      </c>
      <c r="P3547" s="6">
        <f>VLOOKUP(B3547, 'All Menu'!B:L, 9, 0)</f>
        <v>2.1336984565492729</v>
      </c>
      <c r="Q3547" s="14">
        <f>VLOOKUP(B3547, 'All Menu'!B:M, 12, 0)</f>
        <v>0.56954952876571185</v>
      </c>
    </row>
    <row r="3548" spans="1:17" ht="14" hidden="1">
      <c r="A3548" s="78" t="s">
        <v>3111</v>
      </c>
      <c r="B3548" s="220" t="s">
        <v>3054</v>
      </c>
      <c r="C3548" s="185"/>
      <c r="D3548" s="30" t="s">
        <v>3056</v>
      </c>
      <c r="E3548" s="30" t="str">
        <f>VLOOKUP(B3548, 'All Menu'!B:M, 2, 0)</f>
        <v>قسم المشاوي</v>
      </c>
      <c r="F3548" s="103" t="str">
        <f>VLOOKUP(B3548, 'All Menu'!B:M, 3, 0)</f>
        <v>المشاوي سفري2</v>
      </c>
      <c r="G3548" s="90" t="s">
        <v>3058</v>
      </c>
      <c r="H3548" s="219" t="s">
        <v>3057</v>
      </c>
      <c r="I3548" s="110" t="str">
        <f>VLOOKUP(H3548, 'RM &amp; SF'!B:H, 2, 0)</f>
        <v>صوص ساندويش</v>
      </c>
      <c r="J3548" s="184" t="str">
        <f>VLOOKUP(H3548, 'RM &amp; SF'!B:E, 4, 0)</f>
        <v>غم</v>
      </c>
      <c r="K3548" s="78">
        <v>25</v>
      </c>
      <c r="L3548" s="13">
        <f>VLOOKUP(H3548, 'RM &amp; SF'!B:H, 7, 0)</f>
        <v>2.2283059346557385E-3</v>
      </c>
      <c r="M3548" s="15">
        <f t="shared" si="191"/>
        <v>5.5707648366393463E-2</v>
      </c>
      <c r="N3548" s="21" t="s">
        <v>825</v>
      </c>
      <c r="O3548" s="4">
        <f>VLOOKUP(B3548, 'All Menu'!B:L, 6, 0)</f>
        <v>4.9568965517241379</v>
      </c>
      <c r="P3548" s="6">
        <f>VLOOKUP(B3548, 'All Menu'!B:L, 9, 0)</f>
        <v>2.1336984565492729</v>
      </c>
      <c r="Q3548" s="14">
        <f>VLOOKUP(B3548, 'All Menu'!B:M, 12, 0)</f>
        <v>0.56954952876571185</v>
      </c>
    </row>
    <row r="3549" spans="1:17" ht="14" hidden="1">
      <c r="A3549" s="78" t="s">
        <v>3111</v>
      </c>
      <c r="B3549" s="220" t="s">
        <v>3054</v>
      </c>
      <c r="C3549" s="185"/>
      <c r="D3549" s="30" t="s">
        <v>3056</v>
      </c>
      <c r="E3549" s="30" t="str">
        <f>VLOOKUP(B3549, 'All Menu'!B:M, 2, 0)</f>
        <v>قسم المشاوي</v>
      </c>
      <c r="F3549" s="103" t="str">
        <f>VLOOKUP(B3549, 'All Menu'!B:M, 3, 0)</f>
        <v>المشاوي سفري2</v>
      </c>
      <c r="G3549" s="90" t="s">
        <v>2225</v>
      </c>
      <c r="H3549" s="219">
        <v>4991</v>
      </c>
      <c r="I3549" s="110" t="str">
        <f>VLOOKUP(H3549, 'RM &amp; SF'!B:H, 2, 0)</f>
        <v>خبز عربي (خبز لبناني) صغير*****</v>
      </c>
      <c r="J3549" s="184" t="str">
        <f>VLOOKUP(H3549, 'RM &amp; SF'!B:E, 4, 0)</f>
        <v>غم</v>
      </c>
      <c r="K3549" s="78">
        <v>200</v>
      </c>
      <c r="L3549" s="13">
        <f>VLOOKUP(H3549, 'RM &amp; SF'!B:H, 7, 0)</f>
        <v>3.2000000000000003E-4</v>
      </c>
      <c r="M3549" s="15">
        <f t="shared" si="191"/>
        <v>6.4000000000000001E-2</v>
      </c>
      <c r="N3549" s="21" t="s">
        <v>825</v>
      </c>
      <c r="O3549" s="4">
        <f>VLOOKUP(B3549, 'All Menu'!B:L, 6, 0)</f>
        <v>4.9568965517241379</v>
      </c>
      <c r="P3549" s="6">
        <f>VLOOKUP(B3549, 'All Menu'!B:L, 9, 0)</f>
        <v>2.1336984565492729</v>
      </c>
      <c r="Q3549" s="14">
        <f>VLOOKUP(B3549, 'All Menu'!B:M, 12, 0)</f>
        <v>0.56954952876571185</v>
      </c>
    </row>
    <row r="3550" spans="1:17" ht="14" hidden="1">
      <c r="A3550" s="78" t="s">
        <v>3111</v>
      </c>
      <c r="B3550" s="220" t="s">
        <v>3054</v>
      </c>
      <c r="C3550" s="185"/>
      <c r="D3550" s="30" t="s">
        <v>3056</v>
      </c>
      <c r="E3550" s="30" t="str">
        <f>VLOOKUP(B3550, 'All Menu'!B:M, 2, 0)</f>
        <v>قسم المشاوي</v>
      </c>
      <c r="F3550" s="103" t="str">
        <f>VLOOKUP(B3550, 'All Menu'!B:M, 3, 0)</f>
        <v>المشاوي سفري2</v>
      </c>
      <c r="G3550" s="90" t="s">
        <v>2385</v>
      </c>
      <c r="H3550" s="219" t="s">
        <v>540</v>
      </c>
      <c r="I3550" s="110" t="str">
        <f>VLOOKUP(H3550, 'RM &amp; SF'!B:H, 2, 0)</f>
        <v xml:space="preserve">بطاطا مقلية </v>
      </c>
      <c r="J3550" s="184" t="str">
        <f>VLOOKUP(H3550, 'RM &amp; SF'!B:E, 4, 0)</f>
        <v>غم</v>
      </c>
      <c r="K3550" s="78">
        <v>150</v>
      </c>
      <c r="L3550" s="13">
        <f>VLOOKUP(H3550, 'RM &amp; SF'!B:H, 7, 0)</f>
        <v>7.9700000000000007E-4</v>
      </c>
      <c r="M3550" s="15">
        <f t="shared" si="191"/>
        <v>0.11955000000000002</v>
      </c>
      <c r="N3550" s="21" t="s">
        <v>825</v>
      </c>
      <c r="O3550" s="4">
        <f>VLOOKUP(B3550, 'All Menu'!B:L, 6, 0)</f>
        <v>4.9568965517241379</v>
      </c>
      <c r="P3550" s="6">
        <f>VLOOKUP(B3550, 'All Menu'!B:L, 9, 0)</f>
        <v>2.1336984565492729</v>
      </c>
      <c r="Q3550" s="14">
        <f>VLOOKUP(B3550, 'All Menu'!B:M, 12, 0)</f>
        <v>0.56954952876571185</v>
      </c>
    </row>
    <row r="3551" spans="1:17" ht="14" hidden="1">
      <c r="A3551" s="78" t="s">
        <v>3111</v>
      </c>
      <c r="B3551" s="220" t="s">
        <v>3054</v>
      </c>
      <c r="C3551" s="185"/>
      <c r="D3551" s="30" t="s">
        <v>3056</v>
      </c>
      <c r="E3551" s="30" t="str">
        <f>VLOOKUP(B3551, 'All Menu'!B:M, 2, 0)</f>
        <v>قسم المشاوي</v>
      </c>
      <c r="F3551" s="103" t="str">
        <f>VLOOKUP(B3551, 'All Menu'!B:M, 3, 0)</f>
        <v>المشاوي سفري2</v>
      </c>
      <c r="G3551" s="90" t="s">
        <v>2409</v>
      </c>
      <c r="H3551" s="219" t="s">
        <v>1179</v>
      </c>
      <c r="I3551" s="110" t="str">
        <f>VLOOKUP(H3551, 'RM &amp; SF'!B:H, 2, 0)</f>
        <v>علبة مخلل</v>
      </c>
      <c r="J3551" s="184" t="str">
        <f>VLOOKUP(H3551, 'RM &amp; SF'!B:E, 4, 0)</f>
        <v>قطعة</v>
      </c>
      <c r="K3551" s="78">
        <v>1</v>
      </c>
      <c r="L3551" s="13">
        <f>VLOOKUP(H3551, 'RM &amp; SF'!B:H, 7, 0)</f>
        <v>6.0440000000000001E-2</v>
      </c>
      <c r="M3551" s="15">
        <f t="shared" si="191"/>
        <v>6.0440000000000001E-2</v>
      </c>
      <c r="N3551" s="21" t="s">
        <v>825</v>
      </c>
      <c r="O3551" s="4">
        <f>VLOOKUP(B3551, 'All Menu'!B:L, 6, 0)</f>
        <v>4.9568965517241379</v>
      </c>
      <c r="P3551" s="6">
        <f>VLOOKUP(B3551, 'All Menu'!B:L, 9, 0)</f>
        <v>2.1336984565492729</v>
      </c>
      <c r="Q3551" s="14">
        <f>VLOOKUP(B3551, 'All Menu'!B:M, 12, 0)</f>
        <v>0.56954952876571185</v>
      </c>
    </row>
    <row r="3552" spans="1:17" ht="14" hidden="1">
      <c r="A3552" s="78" t="s">
        <v>3111</v>
      </c>
      <c r="B3552" s="220" t="s">
        <v>3054</v>
      </c>
      <c r="C3552" s="185"/>
      <c r="D3552" s="30" t="s">
        <v>3056</v>
      </c>
      <c r="E3552" s="30" t="str">
        <f>VLOOKUP(B3552, 'All Menu'!B:M, 2, 0)</f>
        <v>قسم المشاوي</v>
      </c>
      <c r="F3552" s="103" t="str">
        <f>VLOOKUP(B3552, 'All Menu'!B:M, 3, 0)</f>
        <v>المشاوي سفري2</v>
      </c>
      <c r="G3552" s="90" t="s">
        <v>2815</v>
      </c>
      <c r="H3552" s="219" t="s">
        <v>1180</v>
      </c>
      <c r="I3552" s="110" t="str">
        <f>VLOOKUP(H3552, 'RM &amp; SF'!B:H, 2, 0)</f>
        <v>علبة مثومة صغيرة</v>
      </c>
      <c r="J3552" s="184" t="str">
        <f>VLOOKUP(H3552, 'RM &amp; SF'!B:E, 4, 0)</f>
        <v>غم</v>
      </c>
      <c r="K3552" s="78">
        <v>2</v>
      </c>
      <c r="L3552" s="13">
        <f>VLOOKUP(H3552, 'RM &amp; SF'!B:H, 7, 0)</f>
        <v>8.0269227668346321E-2</v>
      </c>
      <c r="M3552" s="15">
        <f t="shared" si="191"/>
        <v>0.16053845533669264</v>
      </c>
      <c r="N3552" s="21" t="s">
        <v>825</v>
      </c>
      <c r="O3552" s="4">
        <f>VLOOKUP(B3552, 'All Menu'!B:L, 6, 0)</f>
        <v>4.9568965517241379</v>
      </c>
      <c r="P3552" s="6">
        <f>VLOOKUP(B3552, 'All Menu'!B:L, 9, 0)</f>
        <v>2.1336984565492729</v>
      </c>
      <c r="Q3552" s="14">
        <f>VLOOKUP(B3552, 'All Menu'!B:M, 12, 0)</f>
        <v>0.56954952876571185</v>
      </c>
    </row>
    <row r="3553" spans="1:17" ht="14" hidden="1">
      <c r="A3553" s="78" t="s">
        <v>3111</v>
      </c>
      <c r="B3553" s="220" t="s">
        <v>3054</v>
      </c>
      <c r="C3553" s="185"/>
      <c r="D3553" s="30" t="s">
        <v>3056</v>
      </c>
      <c r="E3553" s="30" t="str">
        <f>VLOOKUP(B3553, 'All Menu'!B:M, 2, 0)</f>
        <v>قسم المشاوي</v>
      </c>
      <c r="F3553" s="103" t="str">
        <f>VLOOKUP(B3553, 'All Menu'!B:M, 3, 0)</f>
        <v>المشاوي سفري2</v>
      </c>
      <c r="G3553" s="90" t="s">
        <v>3058</v>
      </c>
      <c r="H3553" s="219">
        <v>5306</v>
      </c>
      <c r="I3553" s="110" t="str">
        <f>VLOOKUP(H3553, 'RM &amp; SF'!B:H, 2, 0)</f>
        <v>مشروب غازي ماتركس اب 250مل*****</v>
      </c>
      <c r="J3553" s="184" t="str">
        <f>VLOOKUP(H3553, 'RM &amp; SF'!B:E, 4, 0)</f>
        <v>قطعة</v>
      </c>
      <c r="K3553" s="78">
        <v>1</v>
      </c>
      <c r="L3553" s="13">
        <f>VLOOKUP(H3553, 'RM &amp; SF'!B:H, 7, 0)</f>
        <v>0.13700000000000001</v>
      </c>
      <c r="M3553" s="15">
        <f t="shared" si="191"/>
        <v>0.13700000000000001</v>
      </c>
      <c r="N3553" s="21" t="s">
        <v>825</v>
      </c>
      <c r="O3553" s="4">
        <f>VLOOKUP(B3553, 'All Menu'!B:L, 6, 0)</f>
        <v>4.9568965517241379</v>
      </c>
      <c r="P3553" s="6">
        <f>VLOOKUP(B3553, 'All Menu'!B:L, 9, 0)</f>
        <v>2.1336984565492729</v>
      </c>
      <c r="Q3553" s="14">
        <f>VLOOKUP(B3553, 'All Menu'!B:M, 12, 0)</f>
        <v>0.56954952876571185</v>
      </c>
    </row>
    <row r="3554" spans="1:17" ht="14" hidden="1">
      <c r="A3554" s="78" t="s">
        <v>3111</v>
      </c>
      <c r="B3554" s="220" t="s">
        <v>3054</v>
      </c>
      <c r="C3554" s="185"/>
      <c r="D3554" s="30" t="s">
        <v>3056</v>
      </c>
      <c r="E3554" s="30" t="str">
        <f>VLOOKUP(B3554, 'All Menu'!B:M, 2, 0)</f>
        <v>قسم المشاوي</v>
      </c>
      <c r="F3554" s="103" t="str">
        <f>VLOOKUP(B3554, 'All Menu'!B:M, 3, 0)</f>
        <v>المشاوي سفري2</v>
      </c>
      <c r="G3554" s="90" t="s">
        <v>2195</v>
      </c>
      <c r="H3554" s="219">
        <v>4329</v>
      </c>
      <c r="I3554" s="110" t="str">
        <f>VLOOKUP(H3554, 'RM &amp; SF'!B:H, 2, 0)</f>
        <v>ملاعق بلاستيك مع معقم مطبوع 1*500 حبة*****</v>
      </c>
      <c r="J3554" s="184" t="str">
        <f>VLOOKUP(H3554, 'RM &amp; SF'!B:E, 4, 0)</f>
        <v>قطعة</v>
      </c>
      <c r="K3554" s="78">
        <v>1</v>
      </c>
      <c r="L3554" s="13">
        <f>VLOOKUP(H3554, 'RM &amp; SF'!B:H, 7, 0)</f>
        <v>4.7399999999999997E-4</v>
      </c>
      <c r="M3554" s="15">
        <f t="shared" si="191"/>
        <v>4.7399999999999997E-4</v>
      </c>
      <c r="N3554" s="21" t="s">
        <v>825</v>
      </c>
      <c r="O3554" s="4">
        <f>VLOOKUP(B3554, 'All Menu'!B:L, 6, 0)</f>
        <v>4.9568965517241379</v>
      </c>
      <c r="P3554" s="6">
        <f>VLOOKUP(B3554, 'All Menu'!B:L, 9, 0)</f>
        <v>2.1336984565492729</v>
      </c>
      <c r="Q3554" s="14">
        <f>VLOOKUP(B3554, 'All Menu'!B:M, 12, 0)</f>
        <v>0.56954952876571185</v>
      </c>
    </row>
    <row r="3555" spans="1:17" ht="14" hidden="1">
      <c r="A3555" s="78" t="s">
        <v>3111</v>
      </c>
      <c r="B3555" s="220" t="s">
        <v>3054</v>
      </c>
      <c r="C3555" s="185"/>
      <c r="D3555" s="30" t="s">
        <v>3056</v>
      </c>
      <c r="E3555" s="30" t="str">
        <f>VLOOKUP(B3555, 'All Menu'!B:M, 2, 0)</f>
        <v>قسم المشاوي</v>
      </c>
      <c r="F3555" s="103" t="str">
        <f>VLOOKUP(B3555, 'All Menu'!B:M, 3, 0)</f>
        <v>المشاوي سفري2</v>
      </c>
      <c r="G3555" s="90" t="s">
        <v>3058</v>
      </c>
      <c r="H3555" s="219">
        <v>1111</v>
      </c>
      <c r="I3555" s="110" t="str">
        <f>VLOOKUP(H3555, 'RM &amp; SF'!B:H, 2, 0)</f>
        <v>بوكس كباب عربي</v>
      </c>
      <c r="J3555" s="184" t="str">
        <f>VLOOKUP(H3555, 'RM &amp; SF'!B:E, 4, 0)</f>
        <v>قطعة</v>
      </c>
      <c r="K3555" s="78">
        <v>1</v>
      </c>
      <c r="L3555" s="13">
        <f>VLOOKUP(H3555, 'RM &amp; SF'!B:H, 7, 0)</f>
        <v>0.47</v>
      </c>
      <c r="M3555" s="15">
        <f t="shared" si="191"/>
        <v>0.47</v>
      </c>
      <c r="N3555" s="21" t="s">
        <v>825</v>
      </c>
      <c r="O3555" s="4">
        <f>VLOOKUP(B3555, 'All Menu'!B:L, 6, 0)</f>
        <v>4.9568965517241379</v>
      </c>
      <c r="P3555" s="6">
        <f>VLOOKUP(B3555, 'All Menu'!B:L, 9, 0)</f>
        <v>2.1336984565492729</v>
      </c>
      <c r="Q3555" s="14">
        <f>VLOOKUP(B3555, 'All Menu'!B:M, 12, 0)</f>
        <v>0.56954952876571185</v>
      </c>
    </row>
    <row r="3556" spans="1:17" ht="14" hidden="1">
      <c r="B3556" s="305" t="s">
        <v>3204</v>
      </c>
      <c r="D3556" s="305" t="s">
        <v>3205</v>
      </c>
      <c r="E3556" s="305" t="s">
        <v>3204</v>
      </c>
      <c r="F3556" s="305" t="s">
        <v>3204</v>
      </c>
      <c r="G3556" s="305" t="s">
        <v>3204</v>
      </c>
      <c r="H3556" s="78">
        <v>4011</v>
      </c>
      <c r="I3556" s="78" t="s">
        <v>115</v>
      </c>
      <c r="J3556" s="184" t="str">
        <f>VLOOKUP(H3556, 'RM &amp; SF'!B:E, 4, 0)</f>
        <v>غم</v>
      </c>
      <c r="K3556" s="78">
        <v>35</v>
      </c>
      <c r="L3556" s="13">
        <f>VLOOKUP(H3556, 'RM &amp; SF'!B:H, 7, 0)</f>
        <v>6.8959999999999996E-4</v>
      </c>
      <c r="M3556" s="15">
        <f t="shared" ref="M3556:M3559" si="192">L3556*K3556</f>
        <v>2.4135999999999998E-2</v>
      </c>
      <c r="N3556" s="21" t="s">
        <v>825</v>
      </c>
      <c r="O3556" s="4">
        <f>VLOOKUP(B3556, 'All Menu'!B:L, 6, 0)</f>
        <v>0</v>
      </c>
      <c r="P3556" s="6">
        <f>VLOOKUP(B3556, 'All Menu'!B:L, 9, 0)</f>
        <v>0.67956562962962963</v>
      </c>
      <c r="Q3556" s="14" t="e">
        <f>VLOOKUP(B3556, 'All Menu'!B:M, 12, 0)</f>
        <v>#DIV/0!</v>
      </c>
    </row>
    <row r="3557" spans="1:17" ht="14" hidden="1">
      <c r="B3557" s="305" t="s">
        <v>3204</v>
      </c>
      <c r="D3557" s="305" t="s">
        <v>3205</v>
      </c>
      <c r="E3557" s="305" t="s">
        <v>3204</v>
      </c>
      <c r="F3557" s="305" t="s">
        <v>3204</v>
      </c>
      <c r="G3557" s="305" t="s">
        <v>3204</v>
      </c>
      <c r="H3557" s="78">
        <v>4880</v>
      </c>
      <c r="I3557" s="78" t="s">
        <v>266</v>
      </c>
      <c r="J3557" s="184" t="str">
        <f>VLOOKUP(H3557, 'RM &amp; SF'!B:E, 4, 0)</f>
        <v>مل</v>
      </c>
      <c r="K3557" s="78">
        <v>35</v>
      </c>
      <c r="L3557" s="13">
        <f>VLOOKUP(H3557, 'RM &amp; SF'!B:H, 7, 0)</f>
        <v>1.5965608465608465E-3</v>
      </c>
      <c r="M3557" s="15">
        <f t="shared" si="192"/>
        <v>5.5879629629629626E-2</v>
      </c>
      <c r="N3557" s="21" t="s">
        <v>825</v>
      </c>
      <c r="O3557" s="4">
        <f>VLOOKUP(B3557, 'All Menu'!B:L, 6, 0)</f>
        <v>0</v>
      </c>
      <c r="P3557" s="6">
        <f>VLOOKUP(B3557, 'All Menu'!B:L, 9, 0)</f>
        <v>0.67956562962962963</v>
      </c>
      <c r="Q3557" s="14" t="e">
        <f>VLOOKUP(B3557, 'All Menu'!B:M, 12, 0)</f>
        <v>#DIV/0!</v>
      </c>
    </row>
    <row r="3558" spans="1:17" ht="14" hidden="1">
      <c r="B3558" s="305" t="s">
        <v>3204</v>
      </c>
      <c r="D3558" s="305" t="s">
        <v>3205</v>
      </c>
      <c r="E3558" s="305" t="s">
        <v>3204</v>
      </c>
      <c r="F3558" s="305" t="s">
        <v>3204</v>
      </c>
      <c r="G3558" s="305" t="s">
        <v>3204</v>
      </c>
      <c r="H3558" s="78">
        <v>5327</v>
      </c>
      <c r="I3558" s="78" t="s">
        <v>449</v>
      </c>
      <c r="J3558" s="184" t="str">
        <f>VLOOKUP(H3558, 'RM &amp; SF'!B:E, 4, 0)</f>
        <v>غم</v>
      </c>
      <c r="K3558" s="78">
        <v>120</v>
      </c>
      <c r="L3558" s="13">
        <f>VLOOKUP(H3558, 'RM &amp; SF'!B:H, 7, 0)</f>
        <v>4.0000000000000001E-3</v>
      </c>
      <c r="M3558" s="15">
        <f t="shared" si="192"/>
        <v>0.48</v>
      </c>
      <c r="N3558" s="21" t="s">
        <v>825</v>
      </c>
      <c r="O3558" s="4">
        <f>VLOOKUP(B3558, 'All Menu'!B:L, 6, 0)</f>
        <v>0</v>
      </c>
      <c r="P3558" s="6">
        <f>VLOOKUP(B3558, 'All Menu'!B:L, 9, 0)</f>
        <v>0.67956562962962963</v>
      </c>
      <c r="Q3558" s="14" t="e">
        <f>VLOOKUP(B3558, 'All Menu'!B:M, 12, 0)</f>
        <v>#DIV/0!</v>
      </c>
    </row>
    <row r="3559" spans="1:17" ht="14" hidden="1">
      <c r="B3559" s="305" t="s">
        <v>3204</v>
      </c>
      <c r="D3559" s="305" t="s">
        <v>3205</v>
      </c>
      <c r="E3559" s="305" t="s">
        <v>3204</v>
      </c>
      <c r="F3559" s="305" t="s">
        <v>3204</v>
      </c>
      <c r="G3559" s="305" t="s">
        <v>3204</v>
      </c>
      <c r="H3559" s="78" t="s">
        <v>540</v>
      </c>
      <c r="I3559" s="78" t="s">
        <v>541</v>
      </c>
      <c r="J3559" s="184" t="str">
        <f>VLOOKUP(H3559, 'RM &amp; SF'!B:E, 4, 0)</f>
        <v>غم</v>
      </c>
      <c r="K3559" s="78">
        <v>150</v>
      </c>
      <c r="L3559" s="13">
        <f>VLOOKUP(H3559, 'RM &amp; SF'!B:H, 7, 0)</f>
        <v>7.9700000000000007E-4</v>
      </c>
      <c r="M3559" s="15">
        <f t="shared" si="192"/>
        <v>0.11955000000000002</v>
      </c>
      <c r="N3559" s="21" t="s">
        <v>825</v>
      </c>
      <c r="O3559" s="4">
        <f>VLOOKUP(B3559, 'All Menu'!B:L, 6, 0)</f>
        <v>0</v>
      </c>
      <c r="P3559" s="6">
        <f>VLOOKUP(B3559, 'All Menu'!B:L, 9, 0)</f>
        <v>0.67956562962962963</v>
      </c>
      <c r="Q3559" s="14" t="e">
        <f>VLOOKUP(B3559, 'All Menu'!B:M, 12, 0)</f>
        <v>#DIV/0!</v>
      </c>
    </row>
  </sheetData>
  <autoFilter ref="A1:R3559" xr:uid="{00000000-0001-0000-0900-000000000000}">
    <filterColumn colId="8">
      <filters>
        <filter val="ارز منسف"/>
      </filters>
    </filterColumn>
  </autoFilter>
  <phoneticPr fontId="17" type="noConversion"/>
  <conditionalFormatting sqref="B2841:B2845 B2825">
    <cfRule type="duplicateValues" dxfId="219" priority="335"/>
  </conditionalFormatting>
  <conditionalFormatting sqref="H46">
    <cfRule type="duplicateValues" dxfId="218" priority="150"/>
    <cfRule type="duplicateValues" dxfId="217" priority="151"/>
    <cfRule type="duplicateValues" dxfId="216" priority="152"/>
  </conditionalFormatting>
  <conditionalFormatting sqref="H147">
    <cfRule type="duplicateValues" dxfId="215" priority="289"/>
  </conditionalFormatting>
  <conditionalFormatting sqref="H149:H153">
    <cfRule type="duplicateValues" dxfId="214" priority="322"/>
  </conditionalFormatting>
  <conditionalFormatting sqref="H154">
    <cfRule type="duplicateValues" dxfId="213" priority="286"/>
    <cfRule type="duplicateValues" dxfId="212" priority="285"/>
  </conditionalFormatting>
  <conditionalFormatting sqref="H155">
    <cfRule type="duplicateValues" dxfId="211" priority="288"/>
    <cfRule type="duplicateValues" dxfId="210" priority="287"/>
  </conditionalFormatting>
  <conditionalFormatting sqref="H209">
    <cfRule type="duplicateValues" dxfId="209" priority="262"/>
    <cfRule type="duplicateValues" dxfId="208" priority="263"/>
  </conditionalFormatting>
  <conditionalFormatting sqref="H214">
    <cfRule type="duplicateValues" dxfId="207" priority="267"/>
    <cfRule type="duplicateValues" dxfId="206" priority="266"/>
  </conditionalFormatting>
  <conditionalFormatting sqref="H292">
    <cfRule type="duplicateValues" dxfId="205" priority="93"/>
    <cfRule type="duplicateValues" dxfId="204" priority="92"/>
    <cfRule type="duplicateValues" dxfId="203" priority="91"/>
  </conditionalFormatting>
  <conditionalFormatting sqref="H323">
    <cfRule type="duplicateValues" dxfId="202" priority="90"/>
    <cfRule type="duplicateValues" dxfId="201" priority="89"/>
    <cfRule type="duplicateValues" dxfId="200" priority="88"/>
  </conditionalFormatting>
  <conditionalFormatting sqref="H330">
    <cfRule type="duplicateValues" dxfId="199" priority="85"/>
    <cfRule type="duplicateValues" dxfId="198" priority="87"/>
    <cfRule type="duplicateValues" dxfId="197" priority="86"/>
  </conditionalFormatting>
  <conditionalFormatting sqref="H363">
    <cfRule type="duplicateValues" dxfId="196" priority="83"/>
    <cfRule type="duplicateValues" dxfId="195" priority="82"/>
    <cfRule type="duplicateValues" dxfId="194" priority="84"/>
  </conditionalFormatting>
  <conditionalFormatting sqref="H669">
    <cfRule type="duplicateValues" dxfId="193" priority="313"/>
  </conditionalFormatting>
  <conditionalFormatting sqref="H670">
    <cfRule type="duplicateValues" dxfId="192" priority="311"/>
  </conditionalFormatting>
  <conditionalFormatting sqref="H671">
    <cfRule type="duplicateValues" dxfId="191" priority="310"/>
  </conditionalFormatting>
  <conditionalFormatting sqref="H672">
    <cfRule type="duplicateValues" dxfId="190" priority="309"/>
  </conditionalFormatting>
  <conditionalFormatting sqref="H673">
    <cfRule type="duplicateValues" dxfId="189" priority="308"/>
  </conditionalFormatting>
  <conditionalFormatting sqref="H674">
    <cfRule type="duplicateValues" dxfId="188" priority="307"/>
  </conditionalFormatting>
  <conditionalFormatting sqref="H675">
    <cfRule type="duplicateValues" dxfId="187" priority="306"/>
  </conditionalFormatting>
  <conditionalFormatting sqref="H676">
    <cfRule type="duplicateValues" dxfId="186" priority="305"/>
  </conditionalFormatting>
  <conditionalFormatting sqref="H677">
    <cfRule type="duplicateValues" dxfId="185" priority="302"/>
  </conditionalFormatting>
  <conditionalFormatting sqref="H834">
    <cfRule type="duplicateValues" dxfId="184" priority="81"/>
    <cfRule type="duplicateValues" dxfId="183" priority="80"/>
    <cfRule type="duplicateValues" dxfId="182" priority="79"/>
  </conditionalFormatting>
  <conditionalFormatting sqref="H849">
    <cfRule type="duplicateValues" dxfId="181" priority="76"/>
    <cfRule type="duplicateValues" dxfId="180" priority="78"/>
    <cfRule type="duplicateValues" dxfId="179" priority="77"/>
  </conditionalFormatting>
  <conditionalFormatting sqref="H889">
    <cfRule type="duplicateValues" dxfId="178" priority="75"/>
    <cfRule type="duplicateValues" dxfId="177" priority="73"/>
    <cfRule type="duplicateValues" dxfId="176" priority="74"/>
  </conditionalFormatting>
  <conditionalFormatting sqref="H908">
    <cfRule type="duplicateValues" dxfId="175" priority="315"/>
  </conditionalFormatting>
  <conditionalFormatting sqref="H914">
    <cfRule type="duplicateValues" dxfId="174" priority="197"/>
    <cfRule type="duplicateValues" dxfId="173" priority="196"/>
    <cfRule type="duplicateValues" dxfId="172" priority="198"/>
  </conditionalFormatting>
  <conditionalFormatting sqref="H920">
    <cfRule type="duplicateValues" dxfId="171" priority="195"/>
    <cfRule type="duplicateValues" dxfId="170" priority="194"/>
    <cfRule type="duplicateValues" dxfId="169" priority="193"/>
  </conditionalFormatting>
  <conditionalFormatting sqref="H942">
    <cfRule type="duplicateValues" dxfId="168" priority="71"/>
    <cfRule type="duplicateValues" dxfId="167" priority="72"/>
    <cfRule type="duplicateValues" dxfId="166" priority="70"/>
  </conditionalFormatting>
  <conditionalFormatting sqref="H986">
    <cfRule type="duplicateValues" dxfId="165" priority="68"/>
    <cfRule type="duplicateValues" dxfId="164" priority="69"/>
    <cfRule type="duplicateValues" dxfId="163" priority="67"/>
  </conditionalFormatting>
  <conditionalFormatting sqref="H1027">
    <cfRule type="duplicateValues" dxfId="162" priority="189"/>
    <cfRule type="duplicateValues" dxfId="161" priority="187"/>
    <cfRule type="duplicateValues" dxfId="160" priority="188"/>
  </conditionalFormatting>
  <conditionalFormatting sqref="H1031">
    <cfRule type="duplicateValues" dxfId="159" priority="131"/>
    <cfRule type="duplicateValues" dxfId="158" priority="130"/>
    <cfRule type="duplicateValues" dxfId="157" priority="129"/>
  </conditionalFormatting>
  <conditionalFormatting sqref="H1051">
    <cfRule type="duplicateValues" dxfId="156" priority="16"/>
    <cfRule type="duplicateValues" dxfId="155" priority="17"/>
    <cfRule type="duplicateValues" dxfId="154" priority="18"/>
  </conditionalFormatting>
  <conditionalFormatting sqref="H1075">
    <cfRule type="duplicateValues" dxfId="153" priority="186"/>
    <cfRule type="duplicateValues" dxfId="152" priority="184"/>
    <cfRule type="duplicateValues" dxfId="151" priority="185"/>
  </conditionalFormatting>
  <conditionalFormatting sqref="H1098">
    <cfRule type="duplicateValues" dxfId="150" priority="15"/>
    <cfRule type="duplicateValues" dxfId="149" priority="14"/>
    <cfRule type="duplicateValues" dxfId="148" priority="13"/>
  </conditionalFormatting>
  <conditionalFormatting sqref="H1128">
    <cfRule type="duplicateValues" dxfId="147" priority="10"/>
    <cfRule type="duplicateValues" dxfId="146" priority="11"/>
    <cfRule type="duplicateValues" dxfId="145" priority="12"/>
  </conditionalFormatting>
  <conditionalFormatting sqref="H1139">
    <cfRule type="duplicateValues" dxfId="144" priority="7"/>
    <cfRule type="duplicateValues" dxfId="143" priority="9"/>
    <cfRule type="duplicateValues" dxfId="142" priority="8"/>
  </conditionalFormatting>
  <conditionalFormatting sqref="H1150">
    <cfRule type="duplicateValues" dxfId="141" priority="4"/>
    <cfRule type="duplicateValues" dxfId="140" priority="5"/>
    <cfRule type="duplicateValues" dxfId="139" priority="6"/>
  </conditionalFormatting>
  <conditionalFormatting sqref="H1219">
    <cfRule type="duplicateValues" dxfId="138" priority="2"/>
    <cfRule type="duplicateValues" dxfId="137" priority="3"/>
    <cfRule type="duplicateValues" dxfId="136" priority="1"/>
  </conditionalFormatting>
  <conditionalFormatting sqref="H1232">
    <cfRule type="duplicateValues" dxfId="135" priority="21"/>
    <cfRule type="duplicateValues" dxfId="134" priority="20"/>
    <cfRule type="duplicateValues" dxfId="133" priority="19"/>
  </conditionalFormatting>
  <conditionalFormatting sqref="H1281">
    <cfRule type="duplicateValues" dxfId="132" priority="24"/>
    <cfRule type="duplicateValues" dxfId="131" priority="23"/>
    <cfRule type="duplicateValues" dxfId="130" priority="22"/>
  </conditionalFormatting>
  <conditionalFormatting sqref="H1290">
    <cfRule type="duplicateValues" dxfId="129" priority="27"/>
    <cfRule type="duplicateValues" dxfId="128" priority="26"/>
    <cfRule type="duplicateValues" dxfId="127" priority="25"/>
  </conditionalFormatting>
  <conditionalFormatting sqref="H1541">
    <cfRule type="duplicateValues" dxfId="126" priority="258"/>
    <cfRule type="duplicateValues" dxfId="125" priority="259"/>
  </conditionalFormatting>
  <conditionalFormatting sqref="H1542">
    <cfRule type="duplicateValues" dxfId="124" priority="257"/>
    <cfRule type="duplicateValues" dxfId="123" priority="256"/>
  </conditionalFormatting>
  <conditionalFormatting sqref="H1660">
    <cfRule type="duplicateValues" dxfId="122" priority="161"/>
    <cfRule type="duplicateValues" dxfId="121" priority="162"/>
  </conditionalFormatting>
  <conditionalFormatting sqref="H1695">
    <cfRule type="duplicateValues" dxfId="120" priority="178"/>
    <cfRule type="duplicateValues" dxfId="119" priority="180"/>
    <cfRule type="duplicateValues" dxfId="118" priority="179"/>
  </conditionalFormatting>
  <conditionalFormatting sqref="H1707">
    <cfRule type="duplicateValues" dxfId="117" priority="132"/>
    <cfRule type="duplicateValues" dxfId="116" priority="133"/>
    <cfRule type="duplicateValues" dxfId="115" priority="134"/>
  </conditionalFormatting>
  <conditionalFormatting sqref="H2312">
    <cfRule type="duplicateValues" dxfId="114" priority="138"/>
    <cfRule type="duplicateValues" dxfId="113" priority="139"/>
    <cfRule type="duplicateValues" dxfId="112" priority="140"/>
  </conditionalFormatting>
  <conditionalFormatting sqref="H2428">
    <cfRule type="duplicateValues" dxfId="111" priority="177"/>
    <cfRule type="duplicateValues" dxfId="110" priority="176"/>
    <cfRule type="duplicateValues" dxfId="109" priority="175"/>
  </conditionalFormatting>
  <conditionalFormatting sqref="H2438">
    <cfRule type="duplicateValues" dxfId="108" priority="174"/>
    <cfRule type="duplicateValues" dxfId="107" priority="173"/>
    <cfRule type="duplicateValues" dxfId="106" priority="172"/>
  </conditionalFormatting>
  <conditionalFormatting sqref="H2447">
    <cfRule type="duplicateValues" dxfId="105" priority="166"/>
    <cfRule type="duplicateValues" dxfId="104" priority="167"/>
    <cfRule type="duplicateValues" dxfId="103" priority="168"/>
  </conditionalFormatting>
  <conditionalFormatting sqref="H2454">
    <cfRule type="duplicateValues" dxfId="102" priority="125"/>
    <cfRule type="duplicateValues" dxfId="101" priority="126"/>
    <cfRule type="duplicateValues" dxfId="100" priority="127"/>
  </conditionalFormatting>
  <conditionalFormatting sqref="H2461">
    <cfRule type="duplicateValues" dxfId="99" priority="124"/>
    <cfRule type="duplicateValues" dxfId="98" priority="122"/>
    <cfRule type="duplicateValues" dxfId="97" priority="123"/>
  </conditionalFormatting>
  <conditionalFormatting sqref="H2470">
    <cfRule type="duplicateValues" dxfId="96" priority="119"/>
    <cfRule type="duplicateValues" dxfId="95" priority="120"/>
    <cfRule type="duplicateValues" dxfId="94" priority="121"/>
  </conditionalFormatting>
  <conditionalFormatting sqref="H2476">
    <cfRule type="duplicateValues" dxfId="93" priority="29"/>
    <cfRule type="duplicateValues" dxfId="92" priority="30"/>
    <cfRule type="duplicateValues" dxfId="91" priority="28"/>
  </conditionalFormatting>
  <conditionalFormatting sqref="H2486">
    <cfRule type="duplicateValues" dxfId="90" priority="31"/>
    <cfRule type="duplicateValues" dxfId="89" priority="32"/>
    <cfRule type="duplicateValues" dxfId="88" priority="33"/>
  </conditionalFormatting>
  <conditionalFormatting sqref="H2495">
    <cfRule type="duplicateValues" dxfId="87" priority="35"/>
    <cfRule type="duplicateValues" dxfId="86" priority="36"/>
    <cfRule type="duplicateValues" dxfId="85" priority="34"/>
  </conditionalFormatting>
  <conditionalFormatting sqref="H2505">
    <cfRule type="duplicateValues" dxfId="84" priority="37"/>
    <cfRule type="duplicateValues" dxfId="83" priority="38"/>
    <cfRule type="duplicateValues" dxfId="82" priority="39"/>
  </conditionalFormatting>
  <conditionalFormatting sqref="H2542">
    <cfRule type="duplicateValues" dxfId="81" priority="118"/>
    <cfRule type="duplicateValues" dxfId="80" priority="116"/>
    <cfRule type="duplicateValues" dxfId="79" priority="117"/>
  </conditionalFormatting>
  <conditionalFormatting sqref="H2547 H2549">
    <cfRule type="duplicateValues" dxfId="78" priority="154"/>
  </conditionalFormatting>
  <conditionalFormatting sqref="H2549">
    <cfRule type="duplicateValues" dxfId="77" priority="155"/>
    <cfRule type="duplicateValues" dxfId="76" priority="153"/>
  </conditionalFormatting>
  <conditionalFormatting sqref="H2586">
    <cfRule type="duplicateValues" dxfId="75" priority="113"/>
    <cfRule type="duplicateValues" dxfId="74" priority="114"/>
    <cfRule type="duplicateValues" dxfId="73" priority="115"/>
  </conditionalFormatting>
  <conditionalFormatting sqref="H2628">
    <cfRule type="duplicateValues" dxfId="72" priority="111"/>
    <cfRule type="duplicateValues" dxfId="71" priority="110"/>
    <cfRule type="duplicateValues" dxfId="70" priority="112"/>
  </conditionalFormatting>
  <conditionalFormatting sqref="H2635">
    <cfRule type="duplicateValues" dxfId="69" priority="109"/>
    <cfRule type="duplicateValues" dxfId="68" priority="107"/>
    <cfRule type="duplicateValues" dxfId="67" priority="108"/>
  </conditionalFormatting>
  <conditionalFormatting sqref="H2638">
    <cfRule type="duplicateValues" dxfId="66" priority="105"/>
    <cfRule type="duplicateValues" dxfId="65" priority="106"/>
    <cfRule type="duplicateValues" dxfId="64" priority="104"/>
  </conditionalFormatting>
  <conditionalFormatting sqref="H2741">
    <cfRule type="duplicateValues" dxfId="63" priority="318"/>
  </conditionalFormatting>
  <conditionalFormatting sqref="H2744">
    <cfRule type="duplicateValues" dxfId="62" priority="317"/>
  </conditionalFormatting>
  <conditionalFormatting sqref="H2748">
    <cfRule type="duplicateValues" dxfId="61" priority="316"/>
  </conditionalFormatting>
  <conditionalFormatting sqref="H2820">
    <cfRule type="duplicateValues" dxfId="60" priority="103"/>
    <cfRule type="duplicateValues" dxfId="59" priority="101"/>
    <cfRule type="duplicateValues" dxfId="58" priority="102"/>
  </conditionalFormatting>
  <conditionalFormatting sqref="H2827">
    <cfRule type="duplicateValues" dxfId="57" priority="98"/>
    <cfRule type="duplicateValues" dxfId="56" priority="100"/>
    <cfRule type="duplicateValues" dxfId="55" priority="99"/>
  </conditionalFormatting>
  <conditionalFormatting sqref="H2835">
    <cfRule type="duplicateValues" dxfId="54" priority="95"/>
    <cfRule type="duplicateValues" dxfId="53" priority="96"/>
    <cfRule type="duplicateValues" dxfId="52" priority="97"/>
  </conditionalFormatting>
  <conditionalFormatting sqref="H2869">
    <cfRule type="duplicateValues" dxfId="51" priority="42"/>
    <cfRule type="duplicateValues" dxfId="50" priority="40"/>
    <cfRule type="duplicateValues" dxfId="49" priority="41"/>
  </conditionalFormatting>
  <conditionalFormatting sqref="H2882">
    <cfRule type="duplicateValues" dxfId="48" priority="44"/>
    <cfRule type="duplicateValues" dxfId="47" priority="43"/>
    <cfRule type="duplicateValues" dxfId="46" priority="45"/>
  </conditionalFormatting>
  <conditionalFormatting sqref="H2923">
    <cfRule type="duplicateValues" dxfId="45" priority="47"/>
    <cfRule type="duplicateValues" dxfId="44" priority="46"/>
    <cfRule type="duplicateValues" dxfId="43" priority="48"/>
  </conditionalFormatting>
  <conditionalFormatting sqref="H3027">
    <cfRule type="duplicateValues" dxfId="42" priority="51"/>
    <cfRule type="duplicateValues" dxfId="41" priority="49"/>
    <cfRule type="duplicateValues" dxfId="40" priority="50"/>
  </conditionalFormatting>
  <conditionalFormatting sqref="H3212">
    <cfRule type="duplicateValues" dxfId="39" priority="53"/>
    <cfRule type="duplicateValues" dxfId="38" priority="52"/>
    <cfRule type="duplicateValues" dxfId="37" priority="54"/>
  </conditionalFormatting>
  <conditionalFormatting sqref="H3224">
    <cfRule type="duplicateValues" dxfId="36" priority="55"/>
    <cfRule type="duplicateValues" dxfId="35" priority="56"/>
    <cfRule type="duplicateValues" dxfId="34" priority="57"/>
  </conditionalFormatting>
  <conditionalFormatting sqref="H3236">
    <cfRule type="duplicateValues" dxfId="33" priority="59"/>
    <cfRule type="duplicateValues" dxfId="32" priority="58"/>
    <cfRule type="duplicateValues" dxfId="31" priority="60"/>
  </conditionalFormatting>
  <conditionalFormatting sqref="H3440">
    <cfRule type="duplicateValues" dxfId="30" priority="63"/>
    <cfRule type="duplicateValues" dxfId="29" priority="61"/>
    <cfRule type="duplicateValues" dxfId="28" priority="62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931D3-912A-4DDA-90E4-A6132F9F18D6}">
  <dimension ref="A1:F7"/>
  <sheetViews>
    <sheetView zoomScale="115" zoomScaleNormal="115" workbookViewId="0">
      <selection activeCell="A6" sqref="A6:E7"/>
    </sheetView>
  </sheetViews>
  <sheetFormatPr defaultRowHeight="12.5"/>
  <cols>
    <col min="1" max="1" width="7.453125" bestFit="1" customWidth="1"/>
    <col min="2" max="2" width="26.54296875" bestFit="1" customWidth="1"/>
    <col min="3" max="3" width="5" bestFit="1" customWidth="1"/>
    <col min="4" max="4" width="4.7265625" bestFit="1" customWidth="1"/>
    <col min="5" max="5" width="14.54296875" bestFit="1" customWidth="1"/>
    <col min="6" max="6" width="9.1796875" bestFit="1" customWidth="1"/>
  </cols>
  <sheetData>
    <row r="1" spans="1:6" ht="13">
      <c r="A1" s="219" t="s">
        <v>3207</v>
      </c>
      <c r="B1" s="219" t="s">
        <v>3208</v>
      </c>
      <c r="C1" s="219" t="s">
        <v>3209</v>
      </c>
      <c r="D1" s="219" t="s">
        <v>3210</v>
      </c>
      <c r="E1" s="219" t="s">
        <v>3044</v>
      </c>
      <c r="F1" s="219" t="s">
        <v>3206</v>
      </c>
    </row>
    <row r="2" spans="1:6" ht="14">
      <c r="A2" s="219">
        <v>4011</v>
      </c>
      <c r="B2" s="219" t="s">
        <v>115</v>
      </c>
      <c r="C2" s="188" t="s">
        <v>8</v>
      </c>
      <c r="D2" s="219">
        <v>35</v>
      </c>
      <c r="E2" s="308">
        <v>6.8959999999999996E-4</v>
      </c>
      <c r="F2" s="307">
        <v>2.4135999999999998E-2</v>
      </c>
    </row>
    <row r="3" spans="1:6" ht="14">
      <c r="A3" s="219">
        <v>4880</v>
      </c>
      <c r="B3" s="219" t="s">
        <v>266</v>
      </c>
      <c r="C3" s="188" t="s">
        <v>15</v>
      </c>
      <c r="D3" s="219">
        <v>35</v>
      </c>
      <c r="E3" s="308">
        <v>1.5965608465608465E-3</v>
      </c>
      <c r="F3" s="307">
        <v>5.5879629629629626E-2</v>
      </c>
    </row>
    <row r="4" spans="1:6" ht="14">
      <c r="A4" s="219">
        <v>5327</v>
      </c>
      <c r="B4" s="219" t="s">
        <v>449</v>
      </c>
      <c r="C4" s="188" t="s">
        <v>8</v>
      </c>
      <c r="D4" s="219">
        <v>120</v>
      </c>
      <c r="E4" s="308">
        <v>4.0000000000000001E-3</v>
      </c>
      <c r="F4" s="307">
        <v>0.48</v>
      </c>
    </row>
    <row r="5" spans="1:6" ht="14">
      <c r="A5" s="219" t="s">
        <v>540</v>
      </c>
      <c r="B5" s="219" t="s">
        <v>541</v>
      </c>
      <c r="C5" s="188" t="s">
        <v>8</v>
      </c>
      <c r="D5" s="219">
        <v>150</v>
      </c>
      <c r="E5" s="308">
        <v>7.9700000000000007E-4</v>
      </c>
      <c r="F5" s="307">
        <v>0.11955000000000002</v>
      </c>
    </row>
    <row r="6" spans="1:6">
      <c r="A6" s="362" t="s">
        <v>3206</v>
      </c>
      <c r="B6" s="362"/>
      <c r="C6" s="362"/>
      <c r="D6" s="362"/>
      <c r="E6" s="362"/>
      <c r="F6" s="363">
        <f>SUM(F2:F5)</f>
        <v>0.67956562962962963</v>
      </c>
    </row>
    <row r="7" spans="1:6">
      <c r="A7" s="362"/>
      <c r="B7" s="362"/>
      <c r="C7" s="362"/>
      <c r="D7" s="362"/>
      <c r="E7" s="362"/>
      <c r="F7" s="363"/>
    </row>
  </sheetData>
  <mergeCells count="2">
    <mergeCell ref="A6:E7"/>
    <mergeCell ref="F6:F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F8A5-908D-4580-8738-41E4950CF04C}">
  <sheetPr codeName="Sheet18"/>
  <dimension ref="A1:F15"/>
  <sheetViews>
    <sheetView workbookViewId="0">
      <selection activeCell="H8" sqref="H8"/>
    </sheetView>
  </sheetViews>
  <sheetFormatPr defaultRowHeight="12.5"/>
  <cols>
    <col min="1" max="1" width="8.1796875" bestFit="1" customWidth="1"/>
    <col min="2" max="2" width="31.54296875" bestFit="1" customWidth="1"/>
    <col min="3" max="3" width="12" bestFit="1" customWidth="1"/>
  </cols>
  <sheetData>
    <row r="1" spans="1:6" ht="14">
      <c r="A1" s="229" t="s">
        <v>2146</v>
      </c>
      <c r="B1" s="110" t="s">
        <v>2093</v>
      </c>
      <c r="C1">
        <v>11.039193820514564</v>
      </c>
      <c r="F1">
        <v>10.626610562971562</v>
      </c>
    </row>
    <row r="2" spans="1:6" ht="14">
      <c r="A2" s="188" t="s">
        <v>2147</v>
      </c>
      <c r="B2" s="110" t="s">
        <v>375</v>
      </c>
      <c r="C2">
        <v>11.039193820514564</v>
      </c>
      <c r="F2">
        <v>11.423751299826689</v>
      </c>
    </row>
    <row r="3" spans="1:6" ht="14">
      <c r="A3" s="188" t="s">
        <v>2148</v>
      </c>
      <c r="B3" s="110" t="s">
        <v>351</v>
      </c>
      <c r="C3">
        <v>11.039193820514564</v>
      </c>
      <c r="F3">
        <v>10.675723567631424</v>
      </c>
    </row>
    <row r="4" spans="1:6">
      <c r="A4">
        <v>5430</v>
      </c>
      <c r="B4" t="s">
        <v>1735</v>
      </c>
      <c r="C4">
        <v>1</v>
      </c>
      <c r="F4">
        <v>11.035997937080968</v>
      </c>
    </row>
    <row r="5" spans="1:6">
      <c r="A5" t="s">
        <v>2149</v>
      </c>
      <c r="B5" t="s">
        <v>2150</v>
      </c>
      <c r="C5">
        <v>5</v>
      </c>
      <c r="F5">
        <v>10.954783141762453</v>
      </c>
    </row>
    <row r="6" spans="1:6">
      <c r="A6" t="s">
        <v>2025</v>
      </c>
      <c r="B6" t="s">
        <v>2024</v>
      </c>
      <c r="C6">
        <v>1</v>
      </c>
      <c r="F6">
        <v>11.167599696739952</v>
      </c>
    </row>
    <row r="7" spans="1:6">
      <c r="A7" t="s">
        <v>2158</v>
      </c>
      <c r="B7" t="s">
        <v>2159</v>
      </c>
      <c r="C7">
        <v>11.039193820514564</v>
      </c>
      <c r="F7">
        <v>11.275953884711781</v>
      </c>
    </row>
    <row r="8" spans="1:6">
      <c r="F8">
        <v>10.950688034188035</v>
      </c>
    </row>
    <row r="9" spans="1:6">
      <c r="F9">
        <v>10.959002087682672</v>
      </c>
    </row>
    <row r="10" spans="1:6">
      <c r="F10">
        <v>10.949840920460229</v>
      </c>
    </row>
    <row r="11" spans="1:6">
      <c r="F11">
        <v>11.095764705882354</v>
      </c>
    </row>
    <row r="12" spans="1:6">
      <c r="F12">
        <v>11.089856459330143</v>
      </c>
    </row>
    <row r="13" spans="1:6">
      <c r="F13">
        <v>11.303947368421051</v>
      </c>
    </row>
    <row r="14" spans="1:6">
      <c r="F14">
        <f>SUM(F1:F13)</f>
        <v>143.50951966668933</v>
      </c>
    </row>
    <row r="15" spans="1:6">
      <c r="F15">
        <f>F14/13</f>
        <v>11.039193820514564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4EA9-CD61-48F7-9031-B61FEDF57AF3}">
  <sheetPr codeName="Sheet11">
    <tabColor rgb="FF00B050"/>
  </sheetPr>
  <dimension ref="A1:N67"/>
  <sheetViews>
    <sheetView topLeftCell="A44" workbookViewId="0">
      <selection activeCell="G51" sqref="G51"/>
    </sheetView>
  </sheetViews>
  <sheetFormatPr defaultRowHeight="12.5"/>
  <cols>
    <col min="1" max="1" width="17.453125" bestFit="1" customWidth="1"/>
    <col min="2" max="2" width="9.54296875" bestFit="1" customWidth="1"/>
    <col min="3" max="3" width="31.54296875" bestFit="1" customWidth="1"/>
    <col min="4" max="4" width="6.54296875" bestFit="1" customWidth="1"/>
    <col min="5" max="5" width="8" bestFit="1" customWidth="1"/>
  </cols>
  <sheetData>
    <row r="1" spans="1:12">
      <c r="B1" t="s">
        <v>2072</v>
      </c>
      <c r="C1" t="s">
        <v>2073</v>
      </c>
      <c r="D1" t="s">
        <v>2074</v>
      </c>
      <c r="E1" t="s">
        <v>2075</v>
      </c>
    </row>
    <row r="2" spans="1:12">
      <c r="A2" t="s">
        <v>3018</v>
      </c>
      <c r="B2">
        <v>4608</v>
      </c>
      <c r="C2" t="s">
        <v>2032</v>
      </c>
      <c r="D2">
        <v>11.615493158849016</v>
      </c>
      <c r="E2">
        <f t="shared" ref="E2:E23" si="0">D2/1000</f>
        <v>1.1615493158849017E-2</v>
      </c>
    </row>
    <row r="3" spans="1:12">
      <c r="A3" t="s">
        <v>3018</v>
      </c>
      <c r="B3">
        <v>4605</v>
      </c>
      <c r="C3" t="s">
        <v>2032</v>
      </c>
      <c r="D3">
        <v>11.615493158849016</v>
      </c>
      <c r="E3">
        <f t="shared" si="0"/>
        <v>1.1615493158849017E-2</v>
      </c>
    </row>
    <row r="4" spans="1:12">
      <c r="A4" t="s">
        <v>3018</v>
      </c>
      <c r="B4">
        <v>5393</v>
      </c>
      <c r="C4" t="s">
        <v>2032</v>
      </c>
      <c r="D4">
        <v>11.615493158849016</v>
      </c>
      <c r="E4">
        <f t="shared" si="0"/>
        <v>1.1615493158849017E-2</v>
      </c>
      <c r="J4">
        <v>11.545283018867925</v>
      </c>
      <c r="L4">
        <v>13.76526162790698</v>
      </c>
    </row>
    <row r="5" spans="1:12">
      <c r="A5" t="s">
        <v>3018</v>
      </c>
      <c r="B5">
        <v>979</v>
      </c>
      <c r="C5" t="s">
        <v>2033</v>
      </c>
      <c r="D5">
        <v>20</v>
      </c>
      <c r="E5">
        <f t="shared" si="0"/>
        <v>0.02</v>
      </c>
      <c r="J5">
        <v>13.37062937062937</v>
      </c>
      <c r="L5">
        <v>11.258108108108107</v>
      </c>
    </row>
    <row r="6" spans="1:12">
      <c r="A6" t="s">
        <v>3018</v>
      </c>
      <c r="B6">
        <v>4598</v>
      </c>
      <c r="C6" t="s">
        <v>1872</v>
      </c>
      <c r="D6">
        <v>5</v>
      </c>
      <c r="E6">
        <f t="shared" si="0"/>
        <v>5.0000000000000001E-3</v>
      </c>
      <c r="J6">
        <v>13.28595890410959</v>
      </c>
      <c r="L6">
        <v>12.620129870129871</v>
      </c>
    </row>
    <row r="7" spans="1:12">
      <c r="A7" t="s">
        <v>3018</v>
      </c>
      <c r="B7">
        <v>4614</v>
      </c>
      <c r="C7" t="s">
        <v>1710</v>
      </c>
      <c r="D7">
        <v>14</v>
      </c>
      <c r="E7">
        <f t="shared" si="0"/>
        <v>1.4E-2</v>
      </c>
      <c r="J7">
        <v>13.344140624999998</v>
      </c>
      <c r="L7">
        <v>12.144905660377358</v>
      </c>
    </row>
    <row r="8" spans="1:12">
      <c r="A8" t="s">
        <v>3018</v>
      </c>
      <c r="B8">
        <v>5392</v>
      </c>
      <c r="C8" t="s">
        <v>1710</v>
      </c>
      <c r="D8">
        <v>14</v>
      </c>
      <c r="E8">
        <f t="shared" si="0"/>
        <v>1.4E-2</v>
      </c>
      <c r="J8">
        <v>13.537152777777779</v>
      </c>
      <c r="L8">
        <v>11.925714285714282</v>
      </c>
    </row>
    <row r="9" spans="1:12">
      <c r="A9" t="s">
        <v>3018</v>
      </c>
      <c r="B9">
        <v>4601</v>
      </c>
      <c r="C9" t="s">
        <v>1735</v>
      </c>
      <c r="D9">
        <v>3</v>
      </c>
      <c r="E9">
        <f t="shared" si="0"/>
        <v>3.0000000000000001E-3</v>
      </c>
      <c r="J9">
        <v>12.578205128205127</v>
      </c>
      <c r="L9">
        <v>10.716216216216218</v>
      </c>
    </row>
    <row r="10" spans="1:12">
      <c r="A10" t="s">
        <v>3018</v>
      </c>
      <c r="B10">
        <v>4762</v>
      </c>
      <c r="C10" t="s">
        <v>2035</v>
      </c>
      <c r="D10">
        <v>5</v>
      </c>
      <c r="E10">
        <f t="shared" si="0"/>
        <v>5.0000000000000001E-3</v>
      </c>
      <c r="J10">
        <v>12.848958333333334</v>
      </c>
      <c r="L10">
        <v>8.8781163434903068</v>
      </c>
    </row>
    <row r="11" spans="1:12">
      <c r="A11" t="s">
        <v>3018</v>
      </c>
      <c r="B11">
        <v>4764</v>
      </c>
      <c r="C11" t="s">
        <v>2036</v>
      </c>
      <c r="D11">
        <v>5</v>
      </c>
      <c r="E11">
        <f t="shared" si="0"/>
        <v>5.0000000000000001E-3</v>
      </c>
      <c r="J11">
        <f>SUM(J4:J10)</f>
        <v>90.510328157923112</v>
      </c>
      <c r="L11">
        <f>SUM(L4:L10)</f>
        <v>81.308452111943112</v>
      </c>
    </row>
    <row r="12" spans="1:12">
      <c r="A12" t="s">
        <v>3018</v>
      </c>
      <c r="B12">
        <v>5436</v>
      </c>
      <c r="C12" t="s">
        <v>2037</v>
      </c>
      <c r="D12">
        <v>21</v>
      </c>
      <c r="E12">
        <f t="shared" si="0"/>
        <v>2.1000000000000001E-2</v>
      </c>
      <c r="J12">
        <f>J11/7</f>
        <v>12.930046879703301</v>
      </c>
      <c r="L12">
        <f>L11/7</f>
        <v>11.615493158849016</v>
      </c>
    </row>
    <row r="13" spans="1:12">
      <c r="A13" t="s">
        <v>3018</v>
      </c>
      <c r="B13">
        <v>4606</v>
      </c>
      <c r="C13" t="s">
        <v>386</v>
      </c>
      <c r="D13">
        <v>10.5</v>
      </c>
      <c r="E13">
        <f t="shared" si="0"/>
        <v>1.0500000000000001E-2</v>
      </c>
    </row>
    <row r="14" spans="1:12">
      <c r="A14" t="s">
        <v>3018</v>
      </c>
      <c r="B14">
        <v>4943</v>
      </c>
      <c r="C14" t="s">
        <v>351</v>
      </c>
      <c r="D14">
        <v>10.5</v>
      </c>
      <c r="E14">
        <f t="shared" si="0"/>
        <v>1.0500000000000001E-2</v>
      </c>
    </row>
    <row r="15" spans="1:12">
      <c r="A15" t="s">
        <v>3018</v>
      </c>
      <c r="B15">
        <v>5446</v>
      </c>
      <c r="C15" t="s">
        <v>1938</v>
      </c>
      <c r="D15">
        <v>11.615493158849016</v>
      </c>
      <c r="E15">
        <f t="shared" si="0"/>
        <v>1.1615493158849017E-2</v>
      </c>
    </row>
    <row r="16" spans="1:12">
      <c r="A16" t="s">
        <v>3018</v>
      </c>
      <c r="B16">
        <v>5394</v>
      </c>
      <c r="C16" t="s">
        <v>288</v>
      </c>
      <c r="D16">
        <v>11.615493158849016</v>
      </c>
      <c r="E16">
        <f t="shared" si="0"/>
        <v>1.1615493158849017E-2</v>
      </c>
    </row>
    <row r="17" spans="1:6">
      <c r="A17" t="s">
        <v>3018</v>
      </c>
      <c r="B17">
        <v>5431</v>
      </c>
      <c r="C17" t="s">
        <v>372</v>
      </c>
      <c r="D17">
        <v>12</v>
      </c>
      <c r="E17">
        <f t="shared" si="0"/>
        <v>1.2E-2</v>
      </c>
    </row>
    <row r="18" spans="1:6">
      <c r="A18" t="s">
        <v>3018</v>
      </c>
      <c r="B18" s="268">
        <v>5435</v>
      </c>
      <c r="C18" s="268" t="s">
        <v>379</v>
      </c>
      <c r="D18">
        <v>12</v>
      </c>
      <c r="E18">
        <f t="shared" si="0"/>
        <v>1.2E-2</v>
      </c>
    </row>
    <row r="19" spans="1:6">
      <c r="A19" t="s">
        <v>3018</v>
      </c>
      <c r="B19" s="268">
        <v>5440</v>
      </c>
      <c r="C19" s="268" t="s">
        <v>387</v>
      </c>
      <c r="D19">
        <v>3</v>
      </c>
      <c r="E19">
        <f t="shared" si="0"/>
        <v>3.0000000000000001E-3</v>
      </c>
    </row>
    <row r="20" spans="1:6">
      <c r="A20" t="s">
        <v>3018</v>
      </c>
      <c r="B20" s="268">
        <v>5442</v>
      </c>
      <c r="C20" s="268" t="s">
        <v>389</v>
      </c>
      <c r="D20">
        <v>12</v>
      </c>
      <c r="E20">
        <f t="shared" si="0"/>
        <v>1.2E-2</v>
      </c>
    </row>
    <row r="21" spans="1:6">
      <c r="A21" t="s">
        <v>3018</v>
      </c>
      <c r="B21" s="268">
        <v>5443</v>
      </c>
      <c r="C21" s="268" t="s">
        <v>390</v>
      </c>
      <c r="D21">
        <v>0</v>
      </c>
      <c r="E21">
        <f t="shared" si="0"/>
        <v>0</v>
      </c>
    </row>
    <row r="22" spans="1:6">
      <c r="A22" t="s">
        <v>3018</v>
      </c>
      <c r="B22" t="s">
        <v>325</v>
      </c>
      <c r="C22" t="s">
        <v>326</v>
      </c>
      <c r="D22">
        <v>11.615493158849016</v>
      </c>
      <c r="E22">
        <f t="shared" si="0"/>
        <v>1.1615493158849017E-2</v>
      </c>
    </row>
    <row r="23" spans="1:6">
      <c r="A23" t="s">
        <v>3018</v>
      </c>
      <c r="B23">
        <v>5334</v>
      </c>
      <c r="C23" t="s">
        <v>454</v>
      </c>
      <c r="D23">
        <v>11.615493158849016</v>
      </c>
      <c r="E23">
        <f t="shared" si="0"/>
        <v>1.1615493158849017E-2</v>
      </c>
    </row>
    <row r="24" spans="1:6">
      <c r="A24" t="s">
        <v>3018</v>
      </c>
      <c r="B24" s="268">
        <v>5361</v>
      </c>
      <c r="C24" s="268" t="s">
        <v>470</v>
      </c>
    </row>
    <row r="25" spans="1:6">
      <c r="B25" s="268">
        <v>5287</v>
      </c>
      <c r="C25" s="268" t="s">
        <v>427</v>
      </c>
    </row>
    <row r="32" spans="1:6">
      <c r="A32" t="s">
        <v>3016</v>
      </c>
      <c r="B32">
        <v>4594</v>
      </c>
      <c r="C32" t="s">
        <v>360</v>
      </c>
      <c r="D32">
        <v>9.01</v>
      </c>
      <c r="E32">
        <f t="shared" ref="E32:E53" si="1">D32/1000</f>
        <v>9.0100000000000006E-3</v>
      </c>
      <c r="F32">
        <v>25</v>
      </c>
    </row>
    <row r="33" spans="1:5">
      <c r="A33" t="s">
        <v>3016</v>
      </c>
      <c r="B33">
        <v>5375</v>
      </c>
      <c r="C33" t="s">
        <v>329</v>
      </c>
      <c r="D33">
        <v>9.01</v>
      </c>
      <c r="E33">
        <f t="shared" si="1"/>
        <v>9.0100000000000006E-3</v>
      </c>
    </row>
    <row r="34" spans="1:5">
      <c r="A34" t="s">
        <v>3016</v>
      </c>
      <c r="B34">
        <v>5395</v>
      </c>
      <c r="C34" t="s">
        <v>296</v>
      </c>
      <c r="D34">
        <v>9.01</v>
      </c>
      <c r="E34">
        <f t="shared" si="1"/>
        <v>9.0100000000000006E-3</v>
      </c>
    </row>
    <row r="35" spans="1:5">
      <c r="A35" t="s">
        <v>3016</v>
      </c>
      <c r="B35">
        <v>5400</v>
      </c>
      <c r="C35" t="s">
        <v>301</v>
      </c>
      <c r="D35">
        <v>9.01</v>
      </c>
      <c r="E35">
        <f t="shared" si="1"/>
        <v>9.0100000000000006E-3</v>
      </c>
    </row>
    <row r="36" spans="1:5">
      <c r="A36" t="s">
        <v>3016</v>
      </c>
      <c r="B36">
        <v>5320</v>
      </c>
      <c r="C36" t="s">
        <v>447</v>
      </c>
      <c r="D36">
        <v>9.01</v>
      </c>
      <c r="E36">
        <f t="shared" si="1"/>
        <v>9.0100000000000006E-3</v>
      </c>
    </row>
    <row r="37" spans="1:5">
      <c r="A37" t="s">
        <v>3016</v>
      </c>
      <c r="B37">
        <v>5321</v>
      </c>
      <c r="C37" t="s">
        <v>448</v>
      </c>
      <c r="D37">
        <v>9.01</v>
      </c>
      <c r="E37">
        <f t="shared" si="1"/>
        <v>9.0100000000000006E-3</v>
      </c>
    </row>
    <row r="38" spans="1:5">
      <c r="A38" t="s">
        <v>3016</v>
      </c>
      <c r="B38">
        <v>5332</v>
      </c>
      <c r="C38" t="s">
        <v>1972</v>
      </c>
      <c r="D38">
        <v>9.01</v>
      </c>
      <c r="E38">
        <f t="shared" si="1"/>
        <v>9.0100000000000006E-3</v>
      </c>
    </row>
    <row r="39" spans="1:5">
      <c r="A39" t="s">
        <v>3016</v>
      </c>
      <c r="B39">
        <v>5337</v>
      </c>
      <c r="C39" t="s">
        <v>1973</v>
      </c>
      <c r="D39">
        <v>9.01</v>
      </c>
      <c r="E39">
        <f t="shared" si="1"/>
        <v>9.0100000000000006E-3</v>
      </c>
    </row>
    <row r="40" spans="1:5">
      <c r="A40" t="s">
        <v>3016</v>
      </c>
      <c r="B40">
        <v>5351</v>
      </c>
      <c r="C40" t="s">
        <v>464</v>
      </c>
      <c r="D40">
        <v>9.01</v>
      </c>
      <c r="E40">
        <f t="shared" si="1"/>
        <v>9.0100000000000006E-3</v>
      </c>
    </row>
    <row r="41" spans="1:5">
      <c r="A41" t="s">
        <v>3016</v>
      </c>
      <c r="B41">
        <v>5360</v>
      </c>
      <c r="C41" t="s">
        <v>469</v>
      </c>
      <c r="D41">
        <v>9.01</v>
      </c>
      <c r="E41">
        <f t="shared" si="1"/>
        <v>9.0100000000000006E-3</v>
      </c>
    </row>
    <row r="42" spans="1:5">
      <c r="A42" t="s">
        <v>3016</v>
      </c>
      <c r="B42">
        <v>5362</v>
      </c>
      <c r="C42" t="s">
        <v>471</v>
      </c>
      <c r="D42">
        <v>9.01</v>
      </c>
      <c r="E42">
        <f t="shared" si="1"/>
        <v>9.0100000000000006E-3</v>
      </c>
    </row>
    <row r="43" spans="1:5">
      <c r="A43" t="s">
        <v>3016</v>
      </c>
      <c r="B43">
        <v>4585</v>
      </c>
      <c r="C43" t="s">
        <v>356</v>
      </c>
      <c r="D43">
        <v>12.9</v>
      </c>
      <c r="E43">
        <f t="shared" si="1"/>
        <v>1.29E-2</v>
      </c>
    </row>
    <row r="44" spans="1:5">
      <c r="A44" t="s">
        <v>3016</v>
      </c>
      <c r="B44">
        <v>5346</v>
      </c>
      <c r="C44" t="s">
        <v>295</v>
      </c>
      <c r="D44">
        <v>12.9</v>
      </c>
      <c r="E44">
        <f t="shared" si="1"/>
        <v>1.29E-2</v>
      </c>
    </row>
    <row r="45" spans="1:5">
      <c r="A45" t="s">
        <v>3016</v>
      </c>
      <c r="B45">
        <v>5347</v>
      </c>
      <c r="C45" t="s">
        <v>294</v>
      </c>
      <c r="D45">
        <v>12.9</v>
      </c>
      <c r="E45">
        <f t="shared" si="1"/>
        <v>1.29E-2</v>
      </c>
    </row>
    <row r="46" spans="1:5">
      <c r="A46" t="s">
        <v>3016</v>
      </c>
      <c r="B46">
        <v>5396</v>
      </c>
      <c r="C46" t="s">
        <v>297</v>
      </c>
      <c r="D46">
        <v>12.9</v>
      </c>
      <c r="E46">
        <f t="shared" si="1"/>
        <v>1.29E-2</v>
      </c>
    </row>
    <row r="47" spans="1:5">
      <c r="A47" t="s">
        <v>3016</v>
      </c>
      <c r="B47">
        <v>5397</v>
      </c>
      <c r="C47" t="s">
        <v>298</v>
      </c>
      <c r="D47">
        <v>12.9</v>
      </c>
      <c r="E47">
        <f t="shared" si="1"/>
        <v>1.29E-2</v>
      </c>
    </row>
    <row r="48" spans="1:5">
      <c r="A48" t="s">
        <v>3016</v>
      </c>
      <c r="B48">
        <v>5399</v>
      </c>
      <c r="C48" t="s">
        <v>300</v>
      </c>
      <c r="D48">
        <v>12.9</v>
      </c>
      <c r="E48">
        <f t="shared" si="1"/>
        <v>1.29E-2</v>
      </c>
    </row>
    <row r="49" spans="1:14">
      <c r="A49" t="s">
        <v>3016</v>
      </c>
      <c r="B49">
        <v>4586</v>
      </c>
      <c r="C49" t="s">
        <v>358</v>
      </c>
      <c r="D49">
        <v>14.5</v>
      </c>
      <c r="E49">
        <f t="shared" si="1"/>
        <v>1.4500000000000001E-2</v>
      </c>
    </row>
    <row r="50" spans="1:14">
      <c r="A50" t="s">
        <v>3016</v>
      </c>
      <c r="B50">
        <v>4587</v>
      </c>
      <c r="C50" t="s">
        <v>359</v>
      </c>
      <c r="D50">
        <v>14.5</v>
      </c>
      <c r="E50">
        <f t="shared" si="1"/>
        <v>1.4500000000000001E-2</v>
      </c>
    </row>
    <row r="51" spans="1:14">
      <c r="A51" t="s">
        <v>3016</v>
      </c>
      <c r="B51">
        <v>5441</v>
      </c>
      <c r="C51" t="s">
        <v>388</v>
      </c>
      <c r="D51">
        <v>14.5</v>
      </c>
      <c r="E51">
        <f t="shared" si="1"/>
        <v>1.4500000000000001E-2</v>
      </c>
    </row>
    <row r="52" spans="1:14">
      <c r="A52" t="s">
        <v>3016</v>
      </c>
      <c r="B52">
        <v>5348</v>
      </c>
      <c r="C52" t="s">
        <v>461</v>
      </c>
      <c r="D52">
        <v>14.5</v>
      </c>
      <c r="E52">
        <f t="shared" si="1"/>
        <v>1.4500000000000001E-2</v>
      </c>
    </row>
    <row r="53" spans="1:14">
      <c r="A53" t="s">
        <v>3016</v>
      </c>
      <c r="B53">
        <v>5349</v>
      </c>
      <c r="C53" t="s">
        <v>462</v>
      </c>
      <c r="D53">
        <v>14.5</v>
      </c>
      <c r="E53">
        <f t="shared" si="1"/>
        <v>1.4500000000000001E-2</v>
      </c>
    </row>
    <row r="56" spans="1:14">
      <c r="B56">
        <v>5373</v>
      </c>
      <c r="C56" t="s">
        <v>1974</v>
      </c>
      <c r="D56">
        <v>9.01</v>
      </c>
      <c r="E56">
        <v>9.25</v>
      </c>
      <c r="F56">
        <v>8.25</v>
      </c>
      <c r="G56">
        <v>9.25</v>
      </c>
      <c r="H56">
        <v>9.25</v>
      </c>
      <c r="I56">
        <v>9.25</v>
      </c>
      <c r="J56">
        <v>8.1</v>
      </c>
      <c r="K56">
        <v>8.5</v>
      </c>
      <c r="L56">
        <v>8.9</v>
      </c>
      <c r="M56">
        <f>SUM(E56:L56)</f>
        <v>70.75</v>
      </c>
      <c r="N56">
        <f>M56/8</f>
        <v>8.84375</v>
      </c>
    </row>
    <row r="57" spans="1:14">
      <c r="B57">
        <v>5401</v>
      </c>
      <c r="C57" t="s">
        <v>1943</v>
      </c>
      <c r="D57">
        <v>12.58</v>
      </c>
      <c r="E57">
        <v>13</v>
      </c>
      <c r="F57">
        <v>12.5</v>
      </c>
      <c r="G57">
        <v>12.5</v>
      </c>
      <c r="H57">
        <v>12.9</v>
      </c>
      <c r="I57">
        <v>12</v>
      </c>
      <c r="M57">
        <f>SUM(E57:L57)</f>
        <v>62.9</v>
      </c>
      <c r="N57">
        <f>M57/5</f>
        <v>12.58</v>
      </c>
    </row>
    <row r="58" spans="1:14">
      <c r="B58">
        <v>5398</v>
      </c>
      <c r="C58" t="s">
        <v>2071</v>
      </c>
      <c r="D58">
        <v>21.5</v>
      </c>
      <c r="E58">
        <v>21.5</v>
      </c>
      <c r="M58">
        <f>SUM(E58:L58)</f>
        <v>21.5</v>
      </c>
    </row>
    <row r="60" spans="1:14">
      <c r="B60">
        <v>4579</v>
      </c>
      <c r="C60" t="s">
        <v>367</v>
      </c>
    </row>
    <row r="61" spans="1:14">
      <c r="B61">
        <v>4577</v>
      </c>
      <c r="C61" t="s">
        <v>368</v>
      </c>
    </row>
    <row r="62" spans="1:14">
      <c r="B62">
        <v>50005</v>
      </c>
      <c r="C62" t="s">
        <v>303</v>
      </c>
    </row>
    <row r="63" spans="1:14">
      <c r="B63">
        <v>5288</v>
      </c>
      <c r="C63" t="s">
        <v>428</v>
      </c>
      <c r="D63">
        <v>1.9</v>
      </c>
    </row>
    <row r="64" spans="1:14">
      <c r="B64">
        <v>5285</v>
      </c>
      <c r="C64" t="s">
        <v>328</v>
      </c>
    </row>
    <row r="65" spans="2:4">
      <c r="B65">
        <v>5416</v>
      </c>
      <c r="C65" t="s">
        <v>1906</v>
      </c>
      <c r="D65">
        <v>1.75</v>
      </c>
    </row>
    <row r="66" spans="2:4">
      <c r="B66">
        <v>5386</v>
      </c>
      <c r="C66" t="s">
        <v>291</v>
      </c>
      <c r="D66">
        <v>4.2</v>
      </c>
    </row>
    <row r="67" spans="2:4">
      <c r="B67">
        <v>5326</v>
      </c>
      <c r="C67" t="s">
        <v>283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 filterMode="1">
    <outlinePr summaryBelow="0" summaryRight="0"/>
    <pageSetUpPr fitToPage="1"/>
  </sheetPr>
  <dimension ref="A1:S539"/>
  <sheetViews>
    <sheetView zoomScale="85" zoomScaleNormal="85" workbookViewId="0">
      <pane ySplit="1" topLeftCell="A290" activePane="bottomLeft" state="frozen"/>
      <selection pane="bottomLeft" activeCell="D290" sqref="D290"/>
    </sheetView>
  </sheetViews>
  <sheetFormatPr defaultColWidth="12.54296875" defaultRowHeight="15.75" customHeight="1"/>
  <cols>
    <col min="1" max="1" width="12.54296875" style="36"/>
    <col min="2" max="2" width="29.453125" style="36" bestFit="1" customWidth="1"/>
    <col min="3" max="3" width="43.1796875" style="36" customWidth="1"/>
    <col min="4" max="4" width="24.453125" style="36" customWidth="1"/>
    <col min="5" max="5" width="22.54296875" style="36" customWidth="1"/>
    <col min="6" max="6" width="13.453125" style="36" customWidth="1"/>
    <col min="7" max="7" width="23.453125" style="83" customWidth="1"/>
    <col min="8" max="8" width="24" style="36" customWidth="1"/>
    <col min="9" max="9" width="29" style="36" hidden="1" customWidth="1"/>
    <col min="10" max="10" width="19" style="36" hidden="1" customWidth="1"/>
    <col min="11" max="11" width="9.54296875" style="36" hidden="1" customWidth="1"/>
    <col min="12" max="12" width="12.7265625" style="36" hidden="1" customWidth="1"/>
    <col min="13" max="13" width="0.7265625" style="36" customWidth="1"/>
    <col min="14" max="14" width="17.81640625" style="36" bestFit="1" customWidth="1"/>
    <col min="15" max="16384" width="12.54296875" style="36"/>
  </cols>
  <sheetData>
    <row r="1" spans="1:19" ht="15.75" customHeight="1">
      <c r="A1" s="36" t="s">
        <v>2169</v>
      </c>
      <c r="B1" s="31" t="s">
        <v>0</v>
      </c>
      <c r="C1" s="32" t="s">
        <v>1</v>
      </c>
      <c r="D1" s="32" t="s">
        <v>2</v>
      </c>
      <c r="E1" s="2" t="s">
        <v>3</v>
      </c>
      <c r="F1" s="33" t="s">
        <v>4</v>
      </c>
      <c r="G1" s="81" t="s">
        <v>5</v>
      </c>
      <c r="H1" s="34" t="s">
        <v>6</v>
      </c>
      <c r="I1" s="3"/>
      <c r="J1" s="3"/>
      <c r="K1" s="3"/>
      <c r="L1" s="3"/>
      <c r="M1" s="35"/>
      <c r="N1" s="35"/>
    </row>
    <row r="2" spans="1:19" ht="14" hidden="1">
      <c r="A2" s="36" t="s">
        <v>2185</v>
      </c>
      <c r="B2" s="37">
        <v>4550</v>
      </c>
      <c r="C2" s="37" t="s">
        <v>206</v>
      </c>
      <c r="D2" s="37">
        <v>0.16</v>
      </c>
      <c r="E2" s="37" t="s">
        <v>11</v>
      </c>
      <c r="F2" s="38" t="s">
        <v>13</v>
      </c>
      <c r="G2" s="42">
        <v>1</v>
      </c>
      <c r="H2" s="40">
        <f t="shared" ref="H2:H33" si="0">D2/G2</f>
        <v>0.16</v>
      </c>
      <c r="I2" s="35"/>
      <c r="J2" s="35"/>
      <c r="K2" s="35">
        <v>0.16</v>
      </c>
      <c r="L2" s="35" t="s">
        <v>2121</v>
      </c>
      <c r="N2" s="35" t="s">
        <v>2155</v>
      </c>
      <c r="S2" s="36" t="e">
        <f>VLOOKUP(B2,'تسعير تفصيل الخروف مشغل'!B60:C67,2,0)</f>
        <v>#N/A</v>
      </c>
    </row>
    <row r="3" spans="1:19" ht="14" hidden="1">
      <c r="B3" s="37">
        <v>1111</v>
      </c>
      <c r="C3" s="37" t="s">
        <v>3039</v>
      </c>
      <c r="D3" s="37">
        <v>0.47</v>
      </c>
      <c r="E3" s="37" t="s">
        <v>11</v>
      </c>
      <c r="F3" s="293" t="s">
        <v>3040</v>
      </c>
      <c r="G3" s="42">
        <v>1</v>
      </c>
      <c r="H3" s="40">
        <f t="shared" si="0"/>
        <v>0.47</v>
      </c>
      <c r="I3" s="35"/>
      <c r="J3" s="35"/>
      <c r="K3" s="35"/>
      <c r="L3" s="35"/>
      <c r="N3" s="35" t="s">
        <v>2155</v>
      </c>
    </row>
    <row r="4" spans="1:19" ht="14" hidden="1">
      <c r="A4" s="36" t="s">
        <v>2170</v>
      </c>
      <c r="B4" s="37">
        <v>4552</v>
      </c>
      <c r="C4" s="37" t="s">
        <v>27</v>
      </c>
      <c r="D4" s="37">
        <f>K4</f>
        <v>0.8</v>
      </c>
      <c r="E4" s="37" t="s">
        <v>8</v>
      </c>
      <c r="F4" s="38" t="s">
        <v>13</v>
      </c>
      <c r="G4" s="42">
        <v>1000</v>
      </c>
      <c r="H4" s="40">
        <f t="shared" si="0"/>
        <v>8.0000000000000004E-4</v>
      </c>
      <c r="I4" s="35"/>
      <c r="J4" s="35"/>
      <c r="K4" s="35">
        <v>0.8</v>
      </c>
      <c r="L4" s="35" t="s">
        <v>2122</v>
      </c>
      <c r="M4" s="35"/>
      <c r="N4" s="35" t="s">
        <v>2155</v>
      </c>
    </row>
    <row r="5" spans="1:19" ht="14" hidden="1">
      <c r="A5" s="36" t="s">
        <v>2171</v>
      </c>
      <c r="B5" s="37">
        <v>4553</v>
      </c>
      <c r="C5" s="37" t="s">
        <v>199</v>
      </c>
      <c r="D5" s="37">
        <v>0.42</v>
      </c>
      <c r="E5" s="37" t="s">
        <v>15</v>
      </c>
      <c r="F5" s="38" t="s">
        <v>13</v>
      </c>
      <c r="G5" s="42">
        <v>1000</v>
      </c>
      <c r="H5" s="40">
        <f t="shared" si="0"/>
        <v>4.1999999999999996E-4</v>
      </c>
      <c r="I5" s="35"/>
      <c r="J5" s="35"/>
      <c r="K5" s="35">
        <v>0.42</v>
      </c>
      <c r="L5" s="35" t="s">
        <v>2123</v>
      </c>
      <c r="M5" s="35"/>
      <c r="N5" s="35" t="s">
        <v>2155</v>
      </c>
    </row>
    <row r="6" spans="1:19" ht="14" hidden="1">
      <c r="A6" s="36" t="s">
        <v>2172</v>
      </c>
      <c r="B6" s="37">
        <v>4559</v>
      </c>
      <c r="C6" s="37" t="s">
        <v>69</v>
      </c>
      <c r="D6" s="37">
        <f>K6</f>
        <v>4.7619999999999996</v>
      </c>
      <c r="E6" s="37" t="s">
        <v>8</v>
      </c>
      <c r="F6" s="38" t="s">
        <v>13</v>
      </c>
      <c r="G6" s="42">
        <v>1000</v>
      </c>
      <c r="H6" s="40">
        <f t="shared" si="0"/>
        <v>4.7619999999999997E-3</v>
      </c>
      <c r="I6" s="35"/>
      <c r="J6" s="35"/>
      <c r="K6" s="35">
        <v>4.7619999999999996</v>
      </c>
      <c r="L6" s="35" t="s">
        <v>2124</v>
      </c>
      <c r="M6" s="35"/>
      <c r="N6" s="35" t="s">
        <v>2155</v>
      </c>
    </row>
    <row r="7" spans="1:19" ht="14" hidden="1">
      <c r="A7" s="36" t="s">
        <v>2179</v>
      </c>
      <c r="B7" s="37">
        <v>4560</v>
      </c>
      <c r="C7" s="37" t="s">
        <v>109</v>
      </c>
      <c r="D7" s="37">
        <f>K7</f>
        <v>6.51</v>
      </c>
      <c r="E7" s="37" t="s">
        <v>8</v>
      </c>
      <c r="F7" s="38" t="s">
        <v>13</v>
      </c>
      <c r="G7" s="42">
        <v>1000</v>
      </c>
      <c r="H7" s="40">
        <f t="shared" si="0"/>
        <v>6.5100000000000002E-3</v>
      </c>
      <c r="I7" s="35"/>
      <c r="J7" s="35"/>
      <c r="K7" s="35">
        <v>6.51</v>
      </c>
      <c r="L7" s="35" t="s">
        <v>2124</v>
      </c>
      <c r="M7" s="35"/>
      <c r="N7" s="35" t="s">
        <v>2155</v>
      </c>
    </row>
    <row r="8" spans="1:19" ht="14" hidden="1">
      <c r="A8" s="36" t="s">
        <v>2174</v>
      </c>
      <c r="B8" s="37">
        <v>4561</v>
      </c>
      <c r="C8" s="37" t="s">
        <v>183</v>
      </c>
      <c r="D8" s="37">
        <v>4</v>
      </c>
      <c r="E8" s="37" t="s">
        <v>8</v>
      </c>
      <c r="F8" s="38" t="s">
        <v>13</v>
      </c>
      <c r="G8" s="42">
        <v>1500</v>
      </c>
      <c r="H8" s="40">
        <f t="shared" si="0"/>
        <v>2.6666666666666666E-3</v>
      </c>
      <c r="I8" s="35"/>
      <c r="J8" s="35"/>
      <c r="K8" s="35">
        <v>0</v>
      </c>
      <c r="L8" s="35">
        <v>0</v>
      </c>
      <c r="M8" s="35"/>
      <c r="N8" s="35" t="s">
        <v>2155</v>
      </c>
    </row>
    <row r="9" spans="1:19" ht="14" hidden="1">
      <c r="A9" s="36" t="s">
        <v>2175</v>
      </c>
      <c r="B9" s="37">
        <v>4562</v>
      </c>
      <c r="C9" s="37" t="s">
        <v>255</v>
      </c>
      <c r="D9" s="37">
        <f>K9</f>
        <v>1.8560000000000001</v>
      </c>
      <c r="E9" s="37" t="s">
        <v>11</v>
      </c>
      <c r="F9" s="38" t="s">
        <v>13</v>
      </c>
      <c r="G9" s="42">
        <v>10</v>
      </c>
      <c r="H9" s="40">
        <f t="shared" si="0"/>
        <v>0.18560000000000001</v>
      </c>
      <c r="I9" s="35"/>
      <c r="J9" s="35"/>
      <c r="K9" s="35">
        <v>1.8560000000000001</v>
      </c>
      <c r="L9" s="35" t="s">
        <v>2125</v>
      </c>
      <c r="M9" s="35">
        <f>K9/10</f>
        <v>0.18560000000000001</v>
      </c>
      <c r="N9" s="35" t="s">
        <v>2155</v>
      </c>
    </row>
    <row r="10" spans="1:19" ht="14" hidden="1">
      <c r="A10" s="36" t="s">
        <v>2176</v>
      </c>
      <c r="B10" s="37">
        <v>4564</v>
      </c>
      <c r="C10" s="37" t="s">
        <v>211</v>
      </c>
      <c r="D10" s="37">
        <f>K10</f>
        <v>8.8889999999999993</v>
      </c>
      <c r="E10" s="37" t="s">
        <v>8</v>
      </c>
      <c r="F10" s="38" t="s">
        <v>13</v>
      </c>
      <c r="G10" s="42">
        <v>1000</v>
      </c>
      <c r="H10" s="40">
        <f t="shared" si="0"/>
        <v>8.8889999999999993E-3</v>
      </c>
      <c r="I10" s="35"/>
      <c r="J10" s="35"/>
      <c r="K10" s="35">
        <v>8.8889999999999993</v>
      </c>
      <c r="L10" s="35" t="s">
        <v>2124</v>
      </c>
      <c r="M10" s="35"/>
      <c r="N10" s="35" t="s">
        <v>2155</v>
      </c>
    </row>
    <row r="11" spans="1:19" ht="14" hidden="1">
      <c r="A11" s="36" t="s">
        <v>2177</v>
      </c>
      <c r="B11" s="37">
        <v>4566</v>
      </c>
      <c r="C11" s="37" t="s">
        <v>210</v>
      </c>
      <c r="D11" s="37">
        <v>2</v>
      </c>
      <c r="E11" s="37" t="s">
        <v>8</v>
      </c>
      <c r="F11" s="38" t="s">
        <v>13</v>
      </c>
      <c r="G11" s="42">
        <v>1000</v>
      </c>
      <c r="H11" s="40">
        <f t="shared" si="0"/>
        <v>2E-3</v>
      </c>
      <c r="I11" s="35"/>
      <c r="J11" s="35"/>
      <c r="K11" s="35">
        <v>2</v>
      </c>
      <c r="L11" s="35" t="s">
        <v>2124</v>
      </c>
      <c r="M11" s="35"/>
      <c r="N11" s="35" t="s">
        <v>2155</v>
      </c>
    </row>
    <row r="12" spans="1:19" ht="14" hidden="1">
      <c r="A12" s="36" t="s">
        <v>2178</v>
      </c>
      <c r="B12" s="37">
        <v>4623</v>
      </c>
      <c r="C12" s="37" t="s">
        <v>12</v>
      </c>
      <c r="D12" s="37">
        <f>K12</f>
        <v>2.8839999999999999</v>
      </c>
      <c r="E12" s="37" t="s">
        <v>8</v>
      </c>
      <c r="F12" s="38" t="s">
        <v>13</v>
      </c>
      <c r="G12" s="42">
        <v>1000</v>
      </c>
      <c r="H12" s="40">
        <f t="shared" si="0"/>
        <v>2.8839999999999998E-3</v>
      </c>
      <c r="I12" s="35"/>
      <c r="J12" s="35"/>
      <c r="K12" s="35">
        <v>2.8839999999999999</v>
      </c>
      <c r="L12" s="35" t="s">
        <v>2124</v>
      </c>
      <c r="M12" s="35"/>
      <c r="N12" s="35" t="s">
        <v>2155</v>
      </c>
    </row>
    <row r="13" spans="1:19" ht="14" hidden="1">
      <c r="A13" s="36" t="s">
        <v>2173</v>
      </c>
      <c r="B13" s="37">
        <v>4624</v>
      </c>
      <c r="C13" s="37" t="s">
        <v>57</v>
      </c>
      <c r="D13" s="37">
        <f>K13</f>
        <v>5.1749999999999998</v>
      </c>
      <c r="E13" s="37" t="s">
        <v>8</v>
      </c>
      <c r="F13" s="38" t="s">
        <v>13</v>
      </c>
      <c r="G13" s="42">
        <v>1000</v>
      </c>
      <c r="H13" s="40">
        <f t="shared" si="0"/>
        <v>5.1749999999999999E-3</v>
      </c>
      <c r="I13" s="35"/>
      <c r="J13" s="35"/>
      <c r="K13" s="35">
        <v>5.1749999999999998</v>
      </c>
      <c r="L13" s="35" t="s">
        <v>2124</v>
      </c>
      <c r="M13" s="35"/>
      <c r="N13" s="35" t="s">
        <v>2155</v>
      </c>
    </row>
    <row r="14" spans="1:19" ht="14" hidden="1">
      <c r="A14" s="36" t="s">
        <v>2186</v>
      </c>
      <c r="B14" s="37">
        <v>50061</v>
      </c>
      <c r="C14" s="37" t="s">
        <v>2151</v>
      </c>
      <c r="D14" s="37">
        <v>7</v>
      </c>
      <c r="E14" s="37" t="s">
        <v>8</v>
      </c>
      <c r="F14" s="38"/>
      <c r="G14" s="42">
        <v>1000</v>
      </c>
      <c r="H14" s="40">
        <f t="shared" si="0"/>
        <v>7.0000000000000001E-3</v>
      </c>
      <c r="I14" s="35"/>
      <c r="J14" s="35"/>
      <c r="K14" s="35"/>
      <c r="L14" s="35"/>
      <c r="M14" s="35"/>
      <c r="N14" s="35" t="s">
        <v>2155</v>
      </c>
    </row>
    <row r="15" spans="1:19" ht="14" hidden="1">
      <c r="A15" s="36" t="s">
        <v>2187</v>
      </c>
      <c r="B15" s="37">
        <v>50062</v>
      </c>
      <c r="C15" s="37" t="s">
        <v>2152</v>
      </c>
      <c r="D15" s="37">
        <v>1.5</v>
      </c>
      <c r="E15" s="37" t="s">
        <v>8</v>
      </c>
      <c r="F15" s="38"/>
      <c r="G15" s="42">
        <v>1000</v>
      </c>
      <c r="H15" s="40">
        <f t="shared" si="0"/>
        <v>1.5E-3</v>
      </c>
      <c r="I15" s="35"/>
      <c r="J15" s="35"/>
      <c r="K15" s="35"/>
      <c r="L15" s="35"/>
      <c r="M15" s="35"/>
      <c r="N15" s="35" t="s">
        <v>2155</v>
      </c>
    </row>
    <row r="16" spans="1:19" ht="14" hidden="1">
      <c r="A16" s="36" t="s">
        <v>2188</v>
      </c>
      <c r="B16" s="37">
        <v>50063</v>
      </c>
      <c r="C16" s="37" t="s">
        <v>2153</v>
      </c>
      <c r="D16" s="37">
        <v>1.5</v>
      </c>
      <c r="E16" s="37" t="s">
        <v>8</v>
      </c>
      <c r="F16" s="38"/>
      <c r="G16" s="42">
        <v>1000</v>
      </c>
      <c r="H16" s="40">
        <f t="shared" si="0"/>
        <v>1.5E-3</v>
      </c>
      <c r="I16" s="35"/>
      <c r="J16" s="35"/>
      <c r="K16" s="35"/>
      <c r="L16" s="35"/>
      <c r="M16" s="35"/>
      <c r="N16" s="35" t="s">
        <v>2155</v>
      </c>
    </row>
    <row r="17" spans="1:14" ht="14" hidden="1">
      <c r="A17" s="36" t="s">
        <v>2180</v>
      </c>
      <c r="B17" s="37">
        <v>4791</v>
      </c>
      <c r="C17" s="37" t="s">
        <v>32</v>
      </c>
      <c r="D17" s="37">
        <v>8.3330000000000002</v>
      </c>
      <c r="E17" s="37" t="s">
        <v>8</v>
      </c>
      <c r="F17" s="38" t="s">
        <v>13</v>
      </c>
      <c r="G17" s="42">
        <v>1000</v>
      </c>
      <c r="H17" s="40">
        <f t="shared" si="0"/>
        <v>8.3330000000000001E-3</v>
      </c>
      <c r="I17" s="35"/>
      <c r="J17" s="35"/>
      <c r="K17" s="35">
        <v>8.3330000000000002</v>
      </c>
      <c r="L17" s="35" t="s">
        <v>2124</v>
      </c>
      <c r="M17" s="35"/>
      <c r="N17" s="35" t="s">
        <v>2155</v>
      </c>
    </row>
    <row r="18" spans="1:14" ht="14" hidden="1">
      <c r="A18" s="36" t="s">
        <v>2181</v>
      </c>
      <c r="B18" s="37">
        <v>4935</v>
      </c>
      <c r="C18" s="37" t="s">
        <v>61</v>
      </c>
      <c r="D18" s="37">
        <v>2.75</v>
      </c>
      <c r="E18" s="37" t="s">
        <v>8</v>
      </c>
      <c r="F18" s="38" t="s">
        <v>13</v>
      </c>
      <c r="G18" s="42">
        <v>1000</v>
      </c>
      <c r="H18" s="40">
        <f t="shared" si="0"/>
        <v>2.7499999999999998E-3</v>
      </c>
      <c r="I18" s="35"/>
      <c r="J18" s="35"/>
      <c r="K18" s="35">
        <v>0</v>
      </c>
      <c r="L18" s="35">
        <v>0</v>
      </c>
      <c r="M18" s="35"/>
      <c r="N18" s="35" t="s">
        <v>2155</v>
      </c>
    </row>
    <row r="19" spans="1:14" ht="14" hidden="1">
      <c r="A19" s="36" t="s">
        <v>2182</v>
      </c>
      <c r="B19" s="37">
        <v>4388</v>
      </c>
      <c r="C19" s="37" t="s">
        <v>273</v>
      </c>
      <c r="D19" s="37">
        <v>7.3280000000000003</v>
      </c>
      <c r="E19" s="37" t="s">
        <v>8</v>
      </c>
      <c r="F19" s="38" t="s">
        <v>274</v>
      </c>
      <c r="G19" s="42">
        <v>10000</v>
      </c>
      <c r="H19" s="40">
        <f t="shared" si="0"/>
        <v>7.3280000000000003E-4</v>
      </c>
      <c r="I19" s="35"/>
      <c r="J19" s="35"/>
      <c r="K19" s="35">
        <v>0</v>
      </c>
      <c r="L19" s="35">
        <v>0</v>
      </c>
      <c r="M19" s="35"/>
      <c r="N19" s="35" t="s">
        <v>2155</v>
      </c>
    </row>
    <row r="20" spans="1:14" ht="14" hidden="1">
      <c r="A20" s="36" t="s">
        <v>2183</v>
      </c>
      <c r="B20" s="37">
        <v>5388</v>
      </c>
      <c r="C20" s="37" t="s">
        <v>319</v>
      </c>
      <c r="D20" s="37">
        <v>2.7160000000000002</v>
      </c>
      <c r="E20" s="37" t="s">
        <v>11</v>
      </c>
      <c r="F20" s="38" t="s">
        <v>274</v>
      </c>
      <c r="G20" s="42">
        <v>1</v>
      </c>
      <c r="H20" s="40">
        <f t="shared" si="0"/>
        <v>2.7160000000000002</v>
      </c>
      <c r="I20" s="35"/>
      <c r="J20" s="35"/>
      <c r="K20" s="35">
        <v>0.90500000000000003</v>
      </c>
      <c r="L20" s="35" t="s">
        <v>2124</v>
      </c>
      <c r="M20" s="35"/>
      <c r="N20" s="35" t="s">
        <v>2155</v>
      </c>
    </row>
    <row r="21" spans="1:14" ht="14" hidden="1">
      <c r="A21" s="36" t="e">
        <v>#N/A</v>
      </c>
      <c r="B21" s="37">
        <v>4264</v>
      </c>
      <c r="C21" s="37" t="s">
        <v>193</v>
      </c>
      <c r="D21" s="37">
        <f>K21</f>
        <v>0.1724</v>
      </c>
      <c r="E21" s="37" t="s">
        <v>11</v>
      </c>
      <c r="F21" s="38" t="s">
        <v>168</v>
      </c>
      <c r="G21" s="42">
        <v>1</v>
      </c>
      <c r="H21" s="40">
        <f t="shared" si="0"/>
        <v>0.1724</v>
      </c>
      <c r="I21" s="35"/>
      <c r="J21" s="35"/>
      <c r="K21" s="35">
        <v>0.1724</v>
      </c>
      <c r="L21" s="35" t="s">
        <v>2121</v>
      </c>
      <c r="M21" s="35"/>
      <c r="N21" s="35" t="s">
        <v>2155</v>
      </c>
    </row>
    <row r="22" spans="1:14" ht="14" hidden="1">
      <c r="A22" s="36" t="s">
        <v>2184</v>
      </c>
      <c r="B22" s="37">
        <v>4265</v>
      </c>
      <c r="C22" s="37" t="s">
        <v>172</v>
      </c>
      <c r="D22" s="37">
        <f>K22</f>
        <v>6.0299999999999999E-2</v>
      </c>
      <c r="E22" s="37" t="s">
        <v>11</v>
      </c>
      <c r="F22" s="38" t="s">
        <v>168</v>
      </c>
      <c r="G22" s="42">
        <v>1</v>
      </c>
      <c r="H22" s="40">
        <f t="shared" si="0"/>
        <v>6.0299999999999999E-2</v>
      </c>
      <c r="I22" s="35"/>
      <c r="J22" s="35"/>
      <c r="K22" s="35">
        <v>6.0299999999999999E-2</v>
      </c>
      <c r="L22" s="35" t="s">
        <v>1876</v>
      </c>
      <c r="M22" s="35"/>
      <c r="N22" s="35" t="s">
        <v>2155</v>
      </c>
    </row>
    <row r="23" spans="1:14" ht="14" hidden="1">
      <c r="A23" s="36" t="e">
        <v>#N/A</v>
      </c>
      <c r="B23" s="37">
        <v>4266</v>
      </c>
      <c r="C23" s="37" t="s">
        <v>196</v>
      </c>
      <c r="D23" s="37">
        <v>6.3224137931034485E-2</v>
      </c>
      <c r="E23" s="37" t="s">
        <v>11</v>
      </c>
      <c r="F23" s="38" t="s">
        <v>168</v>
      </c>
      <c r="G23" s="42">
        <v>1</v>
      </c>
      <c r="H23" s="40">
        <f t="shared" si="0"/>
        <v>6.3224137931034485E-2</v>
      </c>
      <c r="I23" s="35"/>
      <c r="J23" s="35"/>
      <c r="K23" s="35">
        <v>0</v>
      </c>
      <c r="L23" s="35">
        <v>0</v>
      </c>
      <c r="M23" s="35"/>
      <c r="N23" s="35" t="s">
        <v>2155</v>
      </c>
    </row>
    <row r="24" spans="1:14" ht="14" hidden="1">
      <c r="A24" s="36" t="e">
        <v>#N/A</v>
      </c>
      <c r="B24" s="37">
        <v>4267</v>
      </c>
      <c r="C24" s="37" t="s">
        <v>176</v>
      </c>
      <c r="D24" s="37">
        <v>14.224137931034484</v>
      </c>
      <c r="E24" s="37" t="s">
        <v>11</v>
      </c>
      <c r="F24" s="38" t="s">
        <v>168</v>
      </c>
      <c r="G24" s="42">
        <v>50</v>
      </c>
      <c r="H24" s="40">
        <f t="shared" si="0"/>
        <v>0.28448275862068967</v>
      </c>
      <c r="I24" s="35"/>
      <c r="J24" s="35"/>
      <c r="K24" s="35">
        <v>0</v>
      </c>
      <c r="L24" s="35">
        <v>0</v>
      </c>
      <c r="M24" s="35"/>
      <c r="N24" s="35" t="s">
        <v>2155</v>
      </c>
    </row>
    <row r="25" spans="1:14" ht="14" hidden="1">
      <c r="A25" s="36" t="e">
        <v>#N/A</v>
      </c>
      <c r="B25" s="37">
        <v>4268</v>
      </c>
      <c r="C25" s="37" t="s">
        <v>177</v>
      </c>
      <c r="D25" s="37">
        <v>16.810344827586206</v>
      </c>
      <c r="E25" s="37" t="s">
        <v>11</v>
      </c>
      <c r="F25" s="38" t="s">
        <v>168</v>
      </c>
      <c r="G25" s="42">
        <v>50</v>
      </c>
      <c r="H25" s="40">
        <f t="shared" si="0"/>
        <v>0.33620689655172414</v>
      </c>
      <c r="I25" s="35"/>
      <c r="J25" s="35"/>
      <c r="K25" s="35">
        <v>0</v>
      </c>
      <c r="L25" s="35">
        <v>0</v>
      </c>
      <c r="M25" s="35"/>
      <c r="N25" s="35" t="s">
        <v>2155</v>
      </c>
    </row>
    <row r="26" spans="1:14" ht="14" hidden="1">
      <c r="A26" s="36" t="e">
        <v>#N/A</v>
      </c>
      <c r="B26" s="37">
        <v>4269</v>
      </c>
      <c r="C26" s="37" t="s">
        <v>178</v>
      </c>
      <c r="D26" s="37">
        <v>18.53448275862069</v>
      </c>
      <c r="E26" s="37" t="s">
        <v>11</v>
      </c>
      <c r="F26" s="38" t="s">
        <v>168</v>
      </c>
      <c r="G26" s="42">
        <v>50</v>
      </c>
      <c r="H26" s="40">
        <f t="shared" si="0"/>
        <v>0.37068965517241381</v>
      </c>
      <c r="I26" s="35"/>
      <c r="J26" s="35"/>
      <c r="K26" s="35">
        <v>0</v>
      </c>
      <c r="L26" s="35">
        <v>0</v>
      </c>
      <c r="M26" s="35"/>
      <c r="N26" s="35" t="s">
        <v>2155</v>
      </c>
    </row>
    <row r="27" spans="1:14" ht="14" hidden="1">
      <c r="A27" s="36" t="e">
        <v>#N/A</v>
      </c>
      <c r="B27" s="37">
        <v>4274</v>
      </c>
      <c r="C27" s="37" t="s">
        <v>208</v>
      </c>
      <c r="D27" s="37">
        <v>25</v>
      </c>
      <c r="E27" s="37" t="s">
        <v>11</v>
      </c>
      <c r="F27" s="38" t="s">
        <v>168</v>
      </c>
      <c r="G27" s="42">
        <v>100</v>
      </c>
      <c r="H27" s="40">
        <f t="shared" si="0"/>
        <v>0.25</v>
      </c>
      <c r="I27" s="35"/>
      <c r="J27" s="35"/>
      <c r="K27" s="35">
        <v>0</v>
      </c>
      <c r="L27" s="35">
        <v>0</v>
      </c>
      <c r="M27" s="35"/>
      <c r="N27" s="35" t="s">
        <v>2155</v>
      </c>
    </row>
    <row r="28" spans="1:14" ht="14" hidden="1">
      <c r="A28" s="36" t="e">
        <v>#N/A</v>
      </c>
      <c r="B28" s="37">
        <v>4275</v>
      </c>
      <c r="C28" s="37" t="s">
        <v>209</v>
      </c>
      <c r="D28" s="37">
        <v>29.31034482758621</v>
      </c>
      <c r="E28" s="37" t="s">
        <v>11</v>
      </c>
      <c r="F28" s="38" t="s">
        <v>168</v>
      </c>
      <c r="G28" s="42">
        <v>100</v>
      </c>
      <c r="H28" s="40">
        <f t="shared" si="0"/>
        <v>0.2931034482758621</v>
      </c>
      <c r="I28" s="35"/>
      <c r="J28" s="35"/>
      <c r="K28" s="35">
        <v>0</v>
      </c>
      <c r="L28" s="35">
        <v>0</v>
      </c>
      <c r="M28" s="35"/>
      <c r="N28" s="35" t="s">
        <v>2155</v>
      </c>
    </row>
    <row r="29" spans="1:14" ht="14" hidden="1">
      <c r="A29" s="36" t="s">
        <v>2189</v>
      </c>
      <c r="B29" s="37">
        <v>4277</v>
      </c>
      <c r="C29" s="37" t="s">
        <v>184</v>
      </c>
      <c r="D29" s="37">
        <f>K29</f>
        <v>0.12</v>
      </c>
      <c r="E29" s="37" t="s">
        <v>11</v>
      </c>
      <c r="F29" s="38" t="s">
        <v>168</v>
      </c>
      <c r="G29" s="42">
        <v>1</v>
      </c>
      <c r="H29" s="40">
        <f t="shared" si="0"/>
        <v>0.12</v>
      </c>
      <c r="I29" s="35"/>
      <c r="J29" s="35"/>
      <c r="K29" s="35">
        <v>0.12</v>
      </c>
      <c r="L29" s="35" t="s">
        <v>1876</v>
      </c>
      <c r="M29" s="35"/>
      <c r="N29" s="35" t="s">
        <v>2155</v>
      </c>
    </row>
    <row r="30" spans="1:14" ht="14" hidden="1">
      <c r="A30" s="36" t="s">
        <v>2190</v>
      </c>
      <c r="B30" s="37">
        <v>4279</v>
      </c>
      <c r="C30" s="37" t="s">
        <v>195</v>
      </c>
      <c r="D30" s="37">
        <f>K30</f>
        <v>9.4799999999999995E-2</v>
      </c>
      <c r="E30" s="37" t="s">
        <v>11</v>
      </c>
      <c r="F30" s="38" t="s">
        <v>168</v>
      </c>
      <c r="G30" s="42">
        <v>1</v>
      </c>
      <c r="H30" s="40">
        <f t="shared" si="0"/>
        <v>9.4799999999999995E-2</v>
      </c>
      <c r="I30" s="35"/>
      <c r="J30" s="35"/>
      <c r="K30" s="35">
        <v>9.4799999999999995E-2</v>
      </c>
      <c r="L30" s="35" t="s">
        <v>1876</v>
      </c>
      <c r="M30" s="35"/>
      <c r="N30" s="35" t="s">
        <v>2155</v>
      </c>
    </row>
    <row r="31" spans="1:14" ht="14" hidden="1">
      <c r="A31" s="36" t="e">
        <v>#N/A</v>
      </c>
      <c r="B31" s="37">
        <v>4280</v>
      </c>
      <c r="C31" s="37" t="s">
        <v>171</v>
      </c>
      <c r="D31" s="37">
        <f>K31</f>
        <v>0.125</v>
      </c>
      <c r="E31" s="37" t="s">
        <v>11</v>
      </c>
      <c r="F31" s="38" t="s">
        <v>168</v>
      </c>
      <c r="G31" s="42">
        <v>1</v>
      </c>
      <c r="H31" s="40">
        <f t="shared" si="0"/>
        <v>0.125</v>
      </c>
      <c r="I31" s="35"/>
      <c r="J31" s="35"/>
      <c r="K31" s="35">
        <v>0.125</v>
      </c>
      <c r="L31" s="35" t="s">
        <v>2121</v>
      </c>
      <c r="M31" s="35"/>
      <c r="N31" s="35" t="s">
        <v>2155</v>
      </c>
    </row>
    <row r="32" spans="1:14" ht="14" hidden="1">
      <c r="A32" s="36" t="s">
        <v>2191</v>
      </c>
      <c r="B32" s="37">
        <v>4282</v>
      </c>
      <c r="C32" s="37" t="s">
        <v>207</v>
      </c>
      <c r="D32" s="37">
        <f>K32</f>
        <v>8.6199999999999999E-2</v>
      </c>
      <c r="E32" s="37" t="s">
        <v>11</v>
      </c>
      <c r="F32" s="38" t="s">
        <v>168</v>
      </c>
      <c r="G32" s="42">
        <v>1</v>
      </c>
      <c r="H32" s="40">
        <f t="shared" si="0"/>
        <v>8.6199999999999999E-2</v>
      </c>
      <c r="I32" s="35"/>
      <c r="J32" s="35"/>
      <c r="K32" s="35">
        <v>8.6199999999999999E-2</v>
      </c>
      <c r="L32" s="35" t="s">
        <v>1876</v>
      </c>
      <c r="M32" s="35"/>
      <c r="N32" s="35" t="s">
        <v>2155</v>
      </c>
    </row>
    <row r="33" spans="1:15" ht="14" hidden="1">
      <c r="A33" s="36" t="e">
        <v>#N/A</v>
      </c>
      <c r="B33" s="37">
        <v>4285</v>
      </c>
      <c r="C33" s="37" t="s">
        <v>169</v>
      </c>
      <c r="D33" s="37">
        <f>K33</f>
        <v>1.494E-2</v>
      </c>
      <c r="E33" s="37" t="s">
        <v>11</v>
      </c>
      <c r="F33" s="38" t="s">
        <v>168</v>
      </c>
      <c r="G33" s="42">
        <v>1</v>
      </c>
      <c r="H33" s="40">
        <f t="shared" si="0"/>
        <v>1.494E-2</v>
      </c>
      <c r="I33" s="35"/>
      <c r="J33" s="35"/>
      <c r="K33" s="35">
        <v>1.494E-2</v>
      </c>
      <c r="L33" s="35" t="s">
        <v>2121</v>
      </c>
      <c r="M33" s="35"/>
      <c r="N33" s="35" t="s">
        <v>2155</v>
      </c>
    </row>
    <row r="34" spans="1:15" ht="14" hidden="1">
      <c r="A34" s="36" t="e">
        <v>#N/A</v>
      </c>
      <c r="B34" s="37" t="s">
        <v>2149</v>
      </c>
      <c r="C34" s="37" t="s">
        <v>2150</v>
      </c>
      <c r="D34" s="37">
        <f>VLOOKUP(B34,'تسعير تفصيل الخروف ملحمه'!A:C,3,0)</f>
        <v>5</v>
      </c>
      <c r="E34" s="37" t="s">
        <v>8</v>
      </c>
      <c r="F34" s="38"/>
      <c r="G34" s="42">
        <v>1000</v>
      </c>
      <c r="H34" s="40">
        <f t="shared" ref="H34:H60" si="1">D34/G34</f>
        <v>5.0000000000000001E-3</v>
      </c>
      <c r="I34" s="35"/>
      <c r="J34" s="35"/>
      <c r="K34" s="35"/>
      <c r="L34" s="35"/>
      <c r="M34" s="35"/>
      <c r="N34" s="35" t="s">
        <v>2155</v>
      </c>
    </row>
    <row r="35" spans="1:15" ht="14" hidden="1">
      <c r="A35" s="36" t="e">
        <v>#N/A</v>
      </c>
      <c r="B35" s="37">
        <v>4289</v>
      </c>
      <c r="C35" s="37" t="s">
        <v>219</v>
      </c>
      <c r="D35" s="37">
        <f>K35</f>
        <v>1.2E-2</v>
      </c>
      <c r="E35" s="37" t="s">
        <v>11</v>
      </c>
      <c r="F35" s="38" t="s">
        <v>168</v>
      </c>
      <c r="G35" s="42">
        <v>1</v>
      </c>
      <c r="H35" s="40">
        <f t="shared" si="1"/>
        <v>1.2E-2</v>
      </c>
      <c r="I35" s="35"/>
      <c r="J35" s="35"/>
      <c r="K35" s="35">
        <v>1.2E-2</v>
      </c>
      <c r="L35" s="35" t="s">
        <v>2121</v>
      </c>
      <c r="M35" s="35"/>
      <c r="N35" s="303" t="s">
        <v>2155</v>
      </c>
      <c r="O35" s="304">
        <v>1</v>
      </c>
    </row>
    <row r="36" spans="1:15" ht="14" hidden="1">
      <c r="A36" s="36" t="e">
        <v>#N/A</v>
      </c>
      <c r="B36" s="37">
        <v>4290</v>
      </c>
      <c r="C36" s="37" t="s">
        <v>174</v>
      </c>
      <c r="D36" s="37">
        <v>30.172413793103452</v>
      </c>
      <c r="E36" s="37" t="s">
        <v>11</v>
      </c>
      <c r="F36" s="38" t="s">
        <v>168</v>
      </c>
      <c r="G36" s="42">
        <v>500</v>
      </c>
      <c r="H36" s="40">
        <f t="shared" si="1"/>
        <v>6.0344827586206906E-2</v>
      </c>
      <c r="I36" s="35"/>
      <c r="J36" s="35"/>
      <c r="K36" s="35">
        <v>0</v>
      </c>
      <c r="L36" s="35">
        <v>0</v>
      </c>
      <c r="M36" s="35"/>
      <c r="N36" s="35" t="s">
        <v>2155</v>
      </c>
    </row>
    <row r="37" spans="1:15" ht="14" hidden="1">
      <c r="A37" s="36" t="s">
        <v>2192</v>
      </c>
      <c r="B37" s="37">
        <v>4298</v>
      </c>
      <c r="C37" s="37" t="s">
        <v>180</v>
      </c>
      <c r="D37" s="37">
        <f>K37</f>
        <v>2.3699999999999999E-2</v>
      </c>
      <c r="E37" s="37" t="s">
        <v>11</v>
      </c>
      <c r="F37" s="38" t="s">
        <v>168</v>
      </c>
      <c r="G37" s="42">
        <v>1</v>
      </c>
      <c r="H37" s="40">
        <f t="shared" si="1"/>
        <v>2.3699999999999999E-2</v>
      </c>
      <c r="I37" s="35"/>
      <c r="J37" s="35"/>
      <c r="K37" s="35">
        <v>2.3699999999999999E-2</v>
      </c>
      <c r="L37" s="35" t="s">
        <v>1876</v>
      </c>
      <c r="M37" s="35"/>
      <c r="N37" s="35" t="s">
        <v>2155</v>
      </c>
    </row>
    <row r="38" spans="1:15" ht="14" hidden="1">
      <c r="A38" s="36" t="s">
        <v>2193</v>
      </c>
      <c r="B38" s="37">
        <v>4309</v>
      </c>
      <c r="C38" s="37" t="s">
        <v>192</v>
      </c>
      <c r="D38" s="37">
        <v>1.3793103448275863</v>
      </c>
      <c r="E38" s="37" t="s">
        <v>11</v>
      </c>
      <c r="F38" s="38" t="s">
        <v>168</v>
      </c>
      <c r="G38" s="42">
        <v>25</v>
      </c>
      <c r="H38" s="40">
        <f t="shared" si="1"/>
        <v>5.5172413793103454E-2</v>
      </c>
      <c r="I38" s="35"/>
      <c r="J38" s="35"/>
      <c r="K38" s="35">
        <v>0</v>
      </c>
      <c r="L38" s="35">
        <v>0</v>
      </c>
      <c r="M38" s="35"/>
      <c r="N38" s="35" t="s">
        <v>2155</v>
      </c>
    </row>
    <row r="39" spans="1:15" ht="14" hidden="1">
      <c r="A39" s="36" t="s">
        <v>2194</v>
      </c>
      <c r="B39" s="37">
        <v>4323</v>
      </c>
      <c r="C39" s="37" t="s">
        <v>188</v>
      </c>
      <c r="D39" s="37">
        <f t="shared" ref="D39:D50" si="2">K39</f>
        <v>3.448</v>
      </c>
      <c r="E39" s="37" t="s">
        <v>8</v>
      </c>
      <c r="F39" s="38" t="s">
        <v>168</v>
      </c>
      <c r="G39" s="42">
        <v>2000</v>
      </c>
      <c r="H39" s="40">
        <f t="shared" si="1"/>
        <v>1.7240000000000001E-3</v>
      </c>
      <c r="I39" s="35"/>
      <c r="J39" s="35"/>
      <c r="K39" s="35">
        <v>3.448</v>
      </c>
      <c r="L39" s="35" t="s">
        <v>2126</v>
      </c>
      <c r="M39" s="35"/>
      <c r="N39" s="35" t="s">
        <v>2155</v>
      </c>
    </row>
    <row r="40" spans="1:15" ht="14" hidden="1">
      <c r="A40" s="36" t="s">
        <v>2195</v>
      </c>
      <c r="B40" s="37">
        <v>4329</v>
      </c>
      <c r="C40" s="37" t="s">
        <v>197</v>
      </c>
      <c r="D40" s="37">
        <v>0.23699999999999999</v>
      </c>
      <c r="E40" s="37" t="s">
        <v>11</v>
      </c>
      <c r="F40" s="38" t="s">
        <v>168</v>
      </c>
      <c r="G40" s="42">
        <v>500</v>
      </c>
      <c r="H40" s="40">
        <f>D40/G40</f>
        <v>4.7399999999999997E-4</v>
      </c>
      <c r="I40" s="35"/>
      <c r="J40" s="35"/>
      <c r="K40" s="35">
        <v>0.23699999999999999</v>
      </c>
      <c r="L40" s="35" t="s">
        <v>1876</v>
      </c>
      <c r="M40" s="35"/>
      <c r="N40" s="35" t="s">
        <v>2155</v>
      </c>
    </row>
    <row r="41" spans="1:15" ht="14" hidden="1">
      <c r="A41" s="36" t="s">
        <v>2196</v>
      </c>
      <c r="B41" s="37">
        <v>4346</v>
      </c>
      <c r="C41" s="37" t="s">
        <v>189</v>
      </c>
      <c r="D41" s="37">
        <f t="shared" si="2"/>
        <v>7.4700000000000003E-2</v>
      </c>
      <c r="E41" s="37" t="s">
        <v>11</v>
      </c>
      <c r="F41" s="38" t="s">
        <v>168</v>
      </c>
      <c r="G41" s="42">
        <v>1</v>
      </c>
      <c r="H41" s="40">
        <f t="shared" si="1"/>
        <v>7.4700000000000003E-2</v>
      </c>
      <c r="I41" s="35"/>
      <c r="J41" s="35"/>
      <c r="K41" s="35">
        <v>7.4700000000000003E-2</v>
      </c>
      <c r="L41" s="35" t="s">
        <v>1876</v>
      </c>
      <c r="M41" s="35"/>
      <c r="N41" s="35" t="s">
        <v>2155</v>
      </c>
    </row>
    <row r="42" spans="1:15" ht="14" hidden="1">
      <c r="A42" s="36" t="s">
        <v>2197</v>
      </c>
      <c r="B42" s="37">
        <v>4347</v>
      </c>
      <c r="C42" s="37" t="s">
        <v>190</v>
      </c>
      <c r="D42" s="37">
        <f t="shared" si="2"/>
        <v>0.22409999999999999</v>
      </c>
      <c r="E42" s="37" t="s">
        <v>11</v>
      </c>
      <c r="F42" s="38" t="s">
        <v>168</v>
      </c>
      <c r="G42" s="42">
        <v>1</v>
      </c>
      <c r="H42" s="40">
        <f t="shared" si="1"/>
        <v>0.22409999999999999</v>
      </c>
      <c r="I42" s="35"/>
      <c r="J42" s="35"/>
      <c r="K42" s="35">
        <v>0.22409999999999999</v>
      </c>
      <c r="L42" s="35" t="s">
        <v>1876</v>
      </c>
      <c r="M42" s="35"/>
      <c r="N42" s="35" t="s">
        <v>2155</v>
      </c>
    </row>
    <row r="43" spans="1:15" ht="14" hidden="1">
      <c r="A43" s="36" t="s">
        <v>2198</v>
      </c>
      <c r="B43" s="37">
        <v>4348</v>
      </c>
      <c r="C43" s="37" t="s">
        <v>191</v>
      </c>
      <c r="D43" s="37">
        <f t="shared" si="2"/>
        <v>0.29299999999999998</v>
      </c>
      <c r="E43" s="37" t="s">
        <v>11</v>
      </c>
      <c r="F43" s="38" t="s">
        <v>168</v>
      </c>
      <c r="G43" s="42">
        <v>1</v>
      </c>
      <c r="H43" s="40">
        <f t="shared" si="1"/>
        <v>0.29299999999999998</v>
      </c>
      <c r="I43" s="35"/>
      <c r="J43" s="35"/>
      <c r="K43" s="35">
        <v>0.29299999999999998</v>
      </c>
      <c r="L43" s="35" t="s">
        <v>1876</v>
      </c>
      <c r="M43" s="35"/>
      <c r="N43" s="35" t="s">
        <v>2155</v>
      </c>
    </row>
    <row r="44" spans="1:15" ht="14" hidden="1">
      <c r="A44" s="36" t="s">
        <v>2199</v>
      </c>
      <c r="B44" s="37">
        <v>4350</v>
      </c>
      <c r="C44" s="37" t="s">
        <v>179</v>
      </c>
      <c r="D44" s="37">
        <f t="shared" si="2"/>
        <v>3.0169999999999999E-2</v>
      </c>
      <c r="E44" s="37" t="s">
        <v>11</v>
      </c>
      <c r="F44" s="38" t="s">
        <v>168</v>
      </c>
      <c r="G44" s="42">
        <v>1</v>
      </c>
      <c r="H44" s="40">
        <f t="shared" si="1"/>
        <v>3.0169999999999999E-2</v>
      </c>
      <c r="I44" s="35"/>
      <c r="J44" s="35"/>
      <c r="K44" s="35">
        <v>3.0169999999999999E-2</v>
      </c>
      <c r="L44" s="35" t="s">
        <v>1876</v>
      </c>
      <c r="M44" s="35"/>
      <c r="N44" s="35" t="s">
        <v>2155</v>
      </c>
    </row>
    <row r="45" spans="1:15" ht="14" hidden="1">
      <c r="A45" s="36" t="s">
        <v>2200</v>
      </c>
      <c r="B45" s="37">
        <v>4351</v>
      </c>
      <c r="C45" s="37" t="s">
        <v>186</v>
      </c>
      <c r="D45" s="37">
        <f t="shared" si="2"/>
        <v>3.8699999999999998E-2</v>
      </c>
      <c r="E45" s="37" t="s">
        <v>11</v>
      </c>
      <c r="F45" s="38" t="s">
        <v>168</v>
      </c>
      <c r="G45" s="42">
        <v>1</v>
      </c>
      <c r="H45" s="40">
        <f t="shared" si="1"/>
        <v>3.8699999999999998E-2</v>
      </c>
      <c r="I45" s="35"/>
      <c r="J45" s="35"/>
      <c r="K45" s="35">
        <v>3.8699999999999998E-2</v>
      </c>
      <c r="L45" s="35" t="s">
        <v>1876</v>
      </c>
      <c r="M45" s="35"/>
      <c r="N45" s="35" t="s">
        <v>2155</v>
      </c>
    </row>
    <row r="46" spans="1:15" ht="14" hidden="1">
      <c r="A46" s="36" t="e">
        <v>#N/A</v>
      </c>
      <c r="B46" s="37">
        <v>4354</v>
      </c>
      <c r="C46" s="37" t="s">
        <v>200</v>
      </c>
      <c r="D46" s="37">
        <f t="shared" si="2"/>
        <v>0.28016999999999997</v>
      </c>
      <c r="E46" s="37" t="s">
        <v>11</v>
      </c>
      <c r="F46" s="38" t="s">
        <v>168</v>
      </c>
      <c r="G46" s="42">
        <v>1</v>
      </c>
      <c r="H46" s="40">
        <f t="shared" si="1"/>
        <v>0.28016999999999997</v>
      </c>
      <c r="I46" s="35"/>
      <c r="J46" s="35"/>
      <c r="K46" s="35">
        <v>0.28016999999999997</v>
      </c>
      <c r="L46" s="35" t="s">
        <v>1876</v>
      </c>
      <c r="M46" s="35"/>
      <c r="N46" s="35" t="s">
        <v>2155</v>
      </c>
    </row>
    <row r="47" spans="1:15" ht="14" hidden="1">
      <c r="A47" s="36" t="s">
        <v>2201</v>
      </c>
      <c r="B47" s="37">
        <v>4412</v>
      </c>
      <c r="C47" s="37" t="s">
        <v>264</v>
      </c>
      <c r="D47" s="37">
        <f t="shared" si="2"/>
        <v>6.8970000000000002</v>
      </c>
      <c r="E47" s="37" t="s">
        <v>11</v>
      </c>
      <c r="F47" s="38" t="s">
        <v>168</v>
      </c>
      <c r="G47" s="42">
        <v>100</v>
      </c>
      <c r="H47" s="40">
        <f t="shared" si="1"/>
        <v>6.8970000000000004E-2</v>
      </c>
      <c r="I47" s="35"/>
      <c r="J47" s="35"/>
      <c r="K47" s="35">
        <v>6.8970000000000002</v>
      </c>
      <c r="L47" s="35" t="s">
        <v>2127</v>
      </c>
      <c r="M47" s="35"/>
      <c r="N47" s="35" t="s">
        <v>2155</v>
      </c>
    </row>
    <row r="48" spans="1:15" ht="14" hidden="1">
      <c r="A48" s="36" t="e">
        <v>#N/A</v>
      </c>
      <c r="B48" s="37">
        <v>4425</v>
      </c>
      <c r="C48" s="37" t="s">
        <v>170</v>
      </c>
      <c r="D48" s="37">
        <f t="shared" si="2"/>
        <v>5.7000000000000002E-3</v>
      </c>
      <c r="E48" s="37" t="s">
        <v>11</v>
      </c>
      <c r="F48" s="38" t="s">
        <v>168</v>
      </c>
      <c r="G48" s="42">
        <v>1</v>
      </c>
      <c r="H48" s="40">
        <f t="shared" si="1"/>
        <v>5.7000000000000002E-3</v>
      </c>
      <c r="I48" s="35"/>
      <c r="J48" s="35"/>
      <c r="K48" s="35">
        <v>5.7000000000000002E-3</v>
      </c>
      <c r="L48" s="35" t="s">
        <v>1876</v>
      </c>
      <c r="M48" s="35"/>
      <c r="N48" s="35" t="s">
        <v>2155</v>
      </c>
    </row>
    <row r="49" spans="1:14" ht="14" hidden="1">
      <c r="A49" s="36" t="e">
        <v>#N/A</v>
      </c>
      <c r="B49" s="37">
        <v>4806</v>
      </c>
      <c r="C49" s="37" t="s">
        <v>263</v>
      </c>
      <c r="D49" s="37">
        <f t="shared" si="2"/>
        <v>0.218</v>
      </c>
      <c r="E49" s="37" t="s">
        <v>11</v>
      </c>
      <c r="F49" s="38" t="s">
        <v>168</v>
      </c>
      <c r="G49" s="42">
        <v>1</v>
      </c>
      <c r="H49" s="40">
        <f t="shared" si="1"/>
        <v>0.218</v>
      </c>
      <c r="I49" s="35"/>
      <c r="J49" s="35"/>
      <c r="K49" s="35">
        <v>0.218</v>
      </c>
      <c r="L49" s="35" t="s">
        <v>1876</v>
      </c>
      <c r="M49" s="35"/>
      <c r="N49" s="35" t="s">
        <v>2155</v>
      </c>
    </row>
    <row r="50" spans="1:14" ht="14" hidden="1">
      <c r="A50" s="36" t="s">
        <v>2202</v>
      </c>
      <c r="B50" s="37">
        <v>4930</v>
      </c>
      <c r="C50" s="37" t="s">
        <v>277</v>
      </c>
      <c r="D50" s="37">
        <f t="shared" si="2"/>
        <v>0.60299999999999998</v>
      </c>
      <c r="E50" s="37" t="s">
        <v>11</v>
      </c>
      <c r="F50" s="38" t="s">
        <v>168</v>
      </c>
      <c r="G50" s="42">
        <v>1</v>
      </c>
      <c r="H50" s="40">
        <f t="shared" si="1"/>
        <v>0.60299999999999998</v>
      </c>
      <c r="I50" s="35"/>
      <c r="J50" s="35"/>
      <c r="K50" s="35">
        <v>0.60299999999999998</v>
      </c>
      <c r="L50" s="35" t="s">
        <v>1876</v>
      </c>
      <c r="M50" s="35"/>
      <c r="N50" s="35" t="s">
        <v>2155</v>
      </c>
    </row>
    <row r="51" spans="1:14" ht="14" hidden="1">
      <c r="A51" s="36" t="e">
        <v>#N/A</v>
      </c>
      <c r="B51" s="37">
        <v>5265</v>
      </c>
      <c r="C51" s="37" t="s">
        <v>393</v>
      </c>
      <c r="D51" s="37">
        <v>7.3275862068965525</v>
      </c>
      <c r="E51" s="37" t="s">
        <v>11</v>
      </c>
      <c r="F51" s="38" t="s">
        <v>168</v>
      </c>
      <c r="G51" s="42">
        <v>90</v>
      </c>
      <c r="H51" s="40">
        <f t="shared" si="1"/>
        <v>8.1417624521072804E-2</v>
      </c>
      <c r="I51" s="35"/>
      <c r="J51" s="35"/>
      <c r="K51" s="35">
        <v>0</v>
      </c>
      <c r="L51" s="35">
        <v>0</v>
      </c>
      <c r="M51" s="35"/>
      <c r="N51" s="35" t="s">
        <v>2155</v>
      </c>
    </row>
    <row r="52" spans="1:14" ht="14" hidden="1">
      <c r="A52" s="36" t="e">
        <v>#N/A</v>
      </c>
      <c r="B52" s="37">
        <v>5266</v>
      </c>
      <c r="C52" s="37" t="s">
        <v>342</v>
      </c>
      <c r="D52" s="37">
        <v>51.724137931034484</v>
      </c>
      <c r="E52" s="37" t="s">
        <v>11</v>
      </c>
      <c r="F52" s="38" t="s">
        <v>168</v>
      </c>
      <c r="G52" s="42">
        <v>94</v>
      </c>
      <c r="H52" s="40">
        <f t="shared" si="1"/>
        <v>0.5502567865003668</v>
      </c>
      <c r="I52" s="35"/>
      <c r="J52" s="35"/>
      <c r="K52" s="35">
        <v>0</v>
      </c>
      <c r="L52" s="35">
        <v>0</v>
      </c>
      <c r="M52" s="35"/>
      <c r="N52" s="35" t="s">
        <v>2155</v>
      </c>
    </row>
    <row r="53" spans="1:14" ht="14" hidden="1">
      <c r="A53" s="36" t="e">
        <v>#N/A</v>
      </c>
      <c r="B53" s="37">
        <v>5268</v>
      </c>
      <c r="C53" s="37" t="s">
        <v>323</v>
      </c>
      <c r="D53" s="37">
        <v>8.1896551724137936</v>
      </c>
      <c r="E53" s="37" t="s">
        <v>11</v>
      </c>
      <c r="F53" s="38" t="s">
        <v>168</v>
      </c>
      <c r="G53" s="42">
        <v>200</v>
      </c>
      <c r="H53" s="40">
        <f t="shared" si="1"/>
        <v>4.0948275862068971E-2</v>
      </c>
      <c r="I53" s="35"/>
      <c r="J53" s="35"/>
      <c r="K53" s="35">
        <v>0</v>
      </c>
      <c r="L53" s="35">
        <v>0</v>
      </c>
      <c r="M53" s="35"/>
      <c r="N53" s="35" t="s">
        <v>2155</v>
      </c>
    </row>
    <row r="54" spans="1:14" ht="14" hidden="1">
      <c r="A54" s="36" t="e">
        <v>#N/A</v>
      </c>
      <c r="B54" s="37">
        <v>5300</v>
      </c>
      <c r="C54" s="37" t="s">
        <v>396</v>
      </c>
      <c r="D54" s="37">
        <f>K54</f>
        <v>4.3099999999999999E-2</v>
      </c>
      <c r="E54" s="37" t="s">
        <v>11</v>
      </c>
      <c r="F54" s="38" t="s">
        <v>168</v>
      </c>
      <c r="G54" s="42">
        <v>1</v>
      </c>
      <c r="H54" s="40">
        <f t="shared" si="1"/>
        <v>4.3099999999999999E-2</v>
      </c>
      <c r="I54" s="35"/>
      <c r="J54" s="35"/>
      <c r="K54" s="35">
        <v>4.3099999999999999E-2</v>
      </c>
      <c r="L54" s="35" t="s">
        <v>1876</v>
      </c>
      <c r="M54" s="35"/>
      <c r="N54" s="35" t="s">
        <v>2155</v>
      </c>
    </row>
    <row r="55" spans="1:14" ht="14" hidden="1">
      <c r="A55" s="36" t="e">
        <v>#N/A</v>
      </c>
      <c r="B55" s="37">
        <v>5382</v>
      </c>
      <c r="C55" s="37" t="s">
        <v>337</v>
      </c>
      <c r="D55" s="37">
        <v>5.6034482758620694</v>
      </c>
      <c r="E55" s="37" t="s">
        <v>8</v>
      </c>
      <c r="F55" s="38" t="s">
        <v>168</v>
      </c>
      <c r="G55" s="42">
        <v>1700</v>
      </c>
      <c r="H55" s="40">
        <f t="shared" si="1"/>
        <v>3.2961460446247468E-3</v>
      </c>
      <c r="I55" s="35"/>
      <c r="J55" s="35"/>
      <c r="K55" s="35">
        <v>0</v>
      </c>
      <c r="L55" s="35">
        <v>0</v>
      </c>
      <c r="M55" s="35"/>
      <c r="N55" s="35" t="s">
        <v>2155</v>
      </c>
    </row>
    <row r="56" spans="1:14" ht="14" hidden="1">
      <c r="A56" s="36" t="e">
        <v>#N/A</v>
      </c>
      <c r="B56" s="37">
        <v>5383</v>
      </c>
      <c r="C56" s="37" t="s">
        <v>339</v>
      </c>
      <c r="D56" s="37">
        <f>K56</f>
        <v>1.0775E-2</v>
      </c>
      <c r="E56" s="37" t="s">
        <v>11</v>
      </c>
      <c r="F56" s="38" t="s">
        <v>168</v>
      </c>
      <c r="G56" s="42">
        <v>1</v>
      </c>
      <c r="H56" s="40">
        <f t="shared" si="1"/>
        <v>1.0775E-2</v>
      </c>
      <c r="I56" s="35"/>
      <c r="J56" s="35"/>
      <c r="K56" s="35">
        <v>1.0775E-2</v>
      </c>
      <c r="L56" s="35" t="s">
        <v>1876</v>
      </c>
      <c r="M56" s="35"/>
      <c r="N56" s="35" t="s">
        <v>2155</v>
      </c>
    </row>
    <row r="57" spans="1:14" ht="14" hidden="1">
      <c r="A57" s="36" t="e">
        <v>#N/A</v>
      </c>
      <c r="B57" s="37">
        <v>5391</v>
      </c>
      <c r="C57" s="37" t="s">
        <v>322</v>
      </c>
      <c r="D57" s="37">
        <v>1.167</v>
      </c>
      <c r="E57" s="37" t="s">
        <v>11</v>
      </c>
      <c r="F57" s="38" t="s">
        <v>168</v>
      </c>
      <c r="G57" s="42">
        <v>1</v>
      </c>
      <c r="H57" s="40">
        <f t="shared" si="1"/>
        <v>1.167</v>
      </c>
      <c r="I57" s="35"/>
      <c r="J57" s="35"/>
      <c r="K57" s="35">
        <v>0</v>
      </c>
      <c r="L57" s="35">
        <v>0</v>
      </c>
      <c r="M57" s="35"/>
      <c r="N57" s="35" t="s">
        <v>2155</v>
      </c>
    </row>
    <row r="58" spans="1:14" ht="14" hidden="1">
      <c r="A58" s="36" t="e">
        <v>#N/A</v>
      </c>
      <c r="B58" s="37">
        <v>5404</v>
      </c>
      <c r="C58" s="37" t="s">
        <v>335</v>
      </c>
      <c r="D58" s="37">
        <v>18.53448275862069</v>
      </c>
      <c r="E58" s="37" t="s">
        <v>11</v>
      </c>
      <c r="F58" s="38" t="s">
        <v>168</v>
      </c>
      <c r="G58" s="42">
        <v>50</v>
      </c>
      <c r="H58" s="40">
        <f t="shared" si="1"/>
        <v>0.37068965517241381</v>
      </c>
      <c r="I58" s="35"/>
      <c r="J58" s="35"/>
      <c r="K58" s="35">
        <v>0</v>
      </c>
      <c r="L58" s="35">
        <v>0</v>
      </c>
      <c r="M58" s="35"/>
      <c r="N58" s="35" t="s">
        <v>2155</v>
      </c>
    </row>
    <row r="59" spans="1:14" ht="14" hidden="1">
      <c r="A59" s="36" t="e">
        <v>#N/A</v>
      </c>
      <c r="B59" s="37">
        <v>5424</v>
      </c>
      <c r="C59" s="37" t="s">
        <v>175</v>
      </c>
      <c r="D59" s="37">
        <v>34.482758620689658</v>
      </c>
      <c r="E59" s="37" t="s">
        <v>11</v>
      </c>
      <c r="F59" s="38" t="s">
        <v>168</v>
      </c>
      <c r="G59" s="42">
        <v>300</v>
      </c>
      <c r="H59" s="40">
        <f t="shared" si="1"/>
        <v>0.1149425287356322</v>
      </c>
      <c r="I59" s="35"/>
      <c r="J59" s="35"/>
      <c r="K59" s="35">
        <v>0</v>
      </c>
      <c r="L59" s="35">
        <v>0</v>
      </c>
      <c r="M59" s="35"/>
      <c r="N59" s="35" t="s">
        <v>2155</v>
      </c>
    </row>
    <row r="60" spans="1:14" ht="14" hidden="1">
      <c r="A60" s="36" t="e">
        <v>#N/A</v>
      </c>
      <c r="B60" s="37">
        <v>5427</v>
      </c>
      <c r="C60" s="37" t="s">
        <v>394</v>
      </c>
      <c r="D60" s="37">
        <v>16.379310344827587</v>
      </c>
      <c r="E60" s="37" t="s">
        <v>8</v>
      </c>
      <c r="F60" s="38" t="s">
        <v>168</v>
      </c>
      <c r="G60" s="42">
        <v>12000</v>
      </c>
      <c r="H60" s="40">
        <f t="shared" si="1"/>
        <v>1.3649425287356322E-3</v>
      </c>
      <c r="I60" s="35"/>
      <c r="J60" s="35"/>
      <c r="K60" s="35">
        <v>0</v>
      </c>
      <c r="L60" s="35">
        <v>0</v>
      </c>
      <c r="M60" s="35"/>
      <c r="N60" s="35" t="s">
        <v>2155</v>
      </c>
    </row>
    <row r="61" spans="1:14" ht="14" hidden="1">
      <c r="A61" s="36" t="e">
        <v>#N/A</v>
      </c>
      <c r="B61" s="37">
        <v>4021</v>
      </c>
      <c r="C61" s="37" t="s">
        <v>147</v>
      </c>
      <c r="D61" s="37">
        <v>1.85</v>
      </c>
      <c r="E61" s="253" t="s">
        <v>8</v>
      </c>
      <c r="F61" s="38" t="s">
        <v>17</v>
      </c>
      <c r="G61" s="42">
        <v>480</v>
      </c>
      <c r="H61" s="40">
        <v>3.8541666666666668E-3</v>
      </c>
      <c r="I61" s="35"/>
      <c r="J61" s="35"/>
      <c r="K61" s="35">
        <v>1.58</v>
      </c>
      <c r="L61" s="35" t="s">
        <v>2128</v>
      </c>
      <c r="M61" s="35"/>
      <c r="N61" s="35" t="s">
        <v>2155</v>
      </c>
    </row>
    <row r="62" spans="1:14" ht="14" hidden="1">
      <c r="A62" s="36" t="e">
        <v>#N/A</v>
      </c>
      <c r="B62" s="37">
        <v>4022</v>
      </c>
      <c r="C62" s="37" t="s">
        <v>19</v>
      </c>
      <c r="D62" s="37">
        <v>28.232758620689658</v>
      </c>
      <c r="E62" s="37" t="s">
        <v>8</v>
      </c>
      <c r="F62" s="38" t="s">
        <v>17</v>
      </c>
      <c r="G62" s="42">
        <v>6000</v>
      </c>
      <c r="H62" s="40">
        <f t="shared" ref="H62:H123" si="3">D62/G62</f>
        <v>4.7054597701149427E-3</v>
      </c>
      <c r="I62" s="35"/>
      <c r="J62" s="35"/>
      <c r="K62" s="35">
        <v>0</v>
      </c>
      <c r="L62" s="35">
        <v>0</v>
      </c>
      <c r="M62" s="35"/>
      <c r="N62" s="35" t="s">
        <v>2155</v>
      </c>
    </row>
    <row r="63" spans="1:14" ht="14" hidden="1">
      <c r="A63" s="36" t="s">
        <v>2203</v>
      </c>
      <c r="B63" s="37">
        <v>4152</v>
      </c>
      <c r="C63" s="37" t="s">
        <v>16</v>
      </c>
      <c r="D63" s="37">
        <v>2.3039999999999998</v>
      </c>
      <c r="E63" s="37" t="s">
        <v>8</v>
      </c>
      <c r="F63" s="38" t="s">
        <v>17</v>
      </c>
      <c r="G63" s="42">
        <v>13500</v>
      </c>
      <c r="H63" s="40">
        <f t="shared" si="3"/>
        <v>1.7066666666666665E-4</v>
      </c>
      <c r="I63" s="35">
        <f>D63/750</f>
        <v>3.0719999999999996E-3</v>
      </c>
      <c r="J63" s="35">
        <f>I63*1000</f>
        <v>3.0719999999999996</v>
      </c>
      <c r="K63" s="35">
        <v>0.128</v>
      </c>
      <c r="L63" s="35" t="s">
        <v>2129</v>
      </c>
      <c r="M63" s="35"/>
      <c r="N63" s="35" t="s">
        <v>2155</v>
      </c>
    </row>
    <row r="64" spans="1:14" ht="14" hidden="1">
      <c r="A64" s="36" t="s">
        <v>2204</v>
      </c>
      <c r="B64" s="37">
        <v>4189</v>
      </c>
      <c r="C64" s="37" t="s">
        <v>153</v>
      </c>
      <c r="D64" s="37">
        <v>1.94</v>
      </c>
      <c r="E64" s="37" t="s">
        <v>8</v>
      </c>
      <c r="F64" s="38" t="s">
        <v>17</v>
      </c>
      <c r="G64" s="42">
        <v>1000</v>
      </c>
      <c r="H64" s="40">
        <f t="shared" si="3"/>
        <v>1.9399999999999999E-3</v>
      </c>
      <c r="I64" s="35"/>
      <c r="J64" s="35"/>
      <c r="K64" s="35">
        <v>1.94</v>
      </c>
      <c r="L64" s="35" t="s">
        <v>2124</v>
      </c>
      <c r="M64" s="35"/>
      <c r="N64" s="35" t="s">
        <v>2155</v>
      </c>
    </row>
    <row r="65" spans="1:14" ht="14" hidden="1">
      <c r="A65" s="36" t="e">
        <v>#N/A</v>
      </c>
      <c r="B65" s="37">
        <v>4191</v>
      </c>
      <c r="C65" s="37" t="s">
        <v>155</v>
      </c>
      <c r="D65" s="37">
        <v>6.0339999999999998</v>
      </c>
      <c r="E65" s="37" t="s">
        <v>8</v>
      </c>
      <c r="F65" s="38" t="s">
        <v>17</v>
      </c>
      <c r="G65" s="42">
        <v>1000</v>
      </c>
      <c r="H65" s="40">
        <f t="shared" si="3"/>
        <v>6.0339999999999994E-3</v>
      </c>
      <c r="I65" s="35"/>
      <c r="J65" s="35"/>
      <c r="K65" s="35">
        <v>0</v>
      </c>
      <c r="L65" s="35">
        <v>0</v>
      </c>
      <c r="M65" s="35"/>
      <c r="N65" s="35" t="s">
        <v>2155</v>
      </c>
    </row>
    <row r="66" spans="1:14" ht="14" hidden="1">
      <c r="A66" s="36" t="s">
        <v>2205</v>
      </c>
      <c r="B66" s="37">
        <v>4193</v>
      </c>
      <c r="C66" s="37" t="s">
        <v>158</v>
      </c>
      <c r="D66" s="37">
        <v>3.2330000000000001</v>
      </c>
      <c r="E66" s="37" t="s">
        <v>8</v>
      </c>
      <c r="F66" s="38" t="s">
        <v>17</v>
      </c>
      <c r="G66" s="42">
        <v>1000</v>
      </c>
      <c r="H66" s="40">
        <f t="shared" si="3"/>
        <v>3.2330000000000002E-3</v>
      </c>
      <c r="I66" s="35"/>
      <c r="J66" s="35"/>
      <c r="K66" s="35">
        <v>3.2330000000000001</v>
      </c>
      <c r="L66" s="35" t="s">
        <v>2124</v>
      </c>
      <c r="M66" s="35"/>
      <c r="N66" s="35" t="s">
        <v>2155</v>
      </c>
    </row>
    <row r="67" spans="1:14" ht="14" hidden="1">
      <c r="A67" s="36" t="e">
        <v>#N/A</v>
      </c>
      <c r="B67" s="37">
        <v>4198</v>
      </c>
      <c r="C67" s="37" t="s">
        <v>163</v>
      </c>
      <c r="D67" s="37">
        <v>3.0169999999999999</v>
      </c>
      <c r="E67" s="37" t="s">
        <v>8</v>
      </c>
      <c r="F67" s="38" t="s">
        <v>17</v>
      </c>
      <c r="G67" s="42">
        <v>1000</v>
      </c>
      <c r="H67" s="40">
        <f t="shared" si="3"/>
        <v>3.0169999999999997E-3</v>
      </c>
      <c r="I67" s="35"/>
      <c r="J67" s="35"/>
      <c r="K67" s="35">
        <v>0</v>
      </c>
      <c r="L67" s="35">
        <v>0</v>
      </c>
      <c r="M67" s="35"/>
      <c r="N67" s="35" t="s">
        <v>2155</v>
      </c>
    </row>
    <row r="68" spans="1:14" ht="14" hidden="1">
      <c r="A68" s="36" t="s">
        <v>2206</v>
      </c>
      <c r="B68" s="37">
        <v>4204</v>
      </c>
      <c r="C68" s="37" t="s">
        <v>18</v>
      </c>
      <c r="D68" s="37">
        <v>6.8970000000000002</v>
      </c>
      <c r="E68" s="37" t="s">
        <v>8</v>
      </c>
      <c r="F68" s="38" t="s">
        <v>17</v>
      </c>
      <c r="G68" s="42">
        <v>1000</v>
      </c>
      <c r="H68" s="40">
        <f t="shared" si="3"/>
        <v>6.8970000000000004E-3</v>
      </c>
      <c r="I68" s="35"/>
      <c r="J68" s="35"/>
      <c r="K68" s="35">
        <v>6.8970000000000002</v>
      </c>
      <c r="L68" s="35" t="s">
        <v>2124</v>
      </c>
      <c r="M68" s="35"/>
      <c r="N68" s="35" t="s">
        <v>2155</v>
      </c>
    </row>
    <row r="69" spans="1:14" ht="14" hidden="1">
      <c r="A69" s="36" t="s">
        <v>2207</v>
      </c>
      <c r="B69" s="37">
        <v>4205</v>
      </c>
      <c r="C69" s="37" t="s">
        <v>150</v>
      </c>
      <c r="D69" s="37">
        <v>6.4660000000000002</v>
      </c>
      <c r="E69" s="37" t="s">
        <v>8</v>
      </c>
      <c r="F69" s="38" t="s">
        <v>17</v>
      </c>
      <c r="G69" s="42">
        <v>1000</v>
      </c>
      <c r="H69" s="40">
        <f t="shared" si="3"/>
        <v>6.4660000000000004E-3</v>
      </c>
      <c r="I69" s="35"/>
      <c r="J69" s="35"/>
      <c r="K69" s="35">
        <v>0</v>
      </c>
      <c r="L69" s="35">
        <v>0</v>
      </c>
      <c r="M69" s="35"/>
      <c r="N69" s="35" t="s">
        <v>2155</v>
      </c>
    </row>
    <row r="70" spans="1:14" ht="14" hidden="1">
      <c r="A70" s="36" t="s">
        <v>2208</v>
      </c>
      <c r="B70" s="37">
        <v>4211</v>
      </c>
      <c r="C70" s="37" t="s">
        <v>66</v>
      </c>
      <c r="D70" s="37">
        <v>1.5089999999999999</v>
      </c>
      <c r="E70" s="37" t="s">
        <v>8</v>
      </c>
      <c r="F70" s="38" t="s">
        <v>17</v>
      </c>
      <c r="G70" s="42">
        <v>1000</v>
      </c>
      <c r="H70" s="40">
        <f t="shared" si="3"/>
        <v>1.5089999999999999E-3</v>
      </c>
      <c r="I70" s="35"/>
      <c r="J70" s="35"/>
      <c r="K70" s="35">
        <v>1.5089999999999999</v>
      </c>
      <c r="L70" s="35" t="s">
        <v>2124</v>
      </c>
      <c r="M70" s="35"/>
      <c r="N70" s="35" t="s">
        <v>2155</v>
      </c>
    </row>
    <row r="71" spans="1:14" ht="14" hidden="1">
      <c r="A71" s="36" t="s">
        <v>2209</v>
      </c>
      <c r="B71" s="37">
        <v>4212</v>
      </c>
      <c r="C71" s="37" t="s">
        <v>159</v>
      </c>
      <c r="D71" s="37">
        <v>1.5089999999999999</v>
      </c>
      <c r="E71" s="37" t="s">
        <v>8</v>
      </c>
      <c r="F71" s="38" t="s">
        <v>17</v>
      </c>
      <c r="G71" s="42">
        <v>1000</v>
      </c>
      <c r="H71" s="40">
        <f t="shared" si="3"/>
        <v>1.5089999999999999E-3</v>
      </c>
      <c r="I71" s="35"/>
      <c r="J71" s="35"/>
      <c r="K71" s="35">
        <v>0</v>
      </c>
      <c r="L71" s="35">
        <v>0</v>
      </c>
      <c r="M71" s="35"/>
      <c r="N71" s="35" t="s">
        <v>2155</v>
      </c>
    </row>
    <row r="72" spans="1:14" ht="14" hidden="1">
      <c r="A72" s="36" t="s">
        <v>2210</v>
      </c>
      <c r="B72" s="37">
        <v>4213</v>
      </c>
      <c r="C72" s="37" t="s">
        <v>154</v>
      </c>
      <c r="D72" s="37">
        <v>2.069</v>
      </c>
      <c r="E72" s="37" t="s">
        <v>8</v>
      </c>
      <c r="F72" s="38" t="s">
        <v>17</v>
      </c>
      <c r="G72" s="42">
        <v>1000</v>
      </c>
      <c r="H72" s="40">
        <f t="shared" si="3"/>
        <v>2.0690000000000001E-3</v>
      </c>
      <c r="I72" s="35"/>
      <c r="J72" s="35"/>
      <c r="K72" s="35">
        <v>2.069</v>
      </c>
      <c r="L72" s="35" t="s">
        <v>2124</v>
      </c>
      <c r="M72" s="35"/>
      <c r="N72" s="35" t="s">
        <v>2155</v>
      </c>
    </row>
    <row r="73" spans="1:14" ht="14" hidden="1">
      <c r="A73" s="36" t="s">
        <v>2211</v>
      </c>
      <c r="B73" s="37">
        <v>4214</v>
      </c>
      <c r="C73" s="37" t="s">
        <v>52</v>
      </c>
      <c r="D73" s="37">
        <v>2.802</v>
      </c>
      <c r="E73" s="37" t="s">
        <v>8</v>
      </c>
      <c r="F73" s="38" t="s">
        <v>17</v>
      </c>
      <c r="G73" s="42">
        <v>1000</v>
      </c>
      <c r="H73" s="40">
        <f t="shared" si="3"/>
        <v>2.8020000000000002E-3</v>
      </c>
      <c r="I73" s="35"/>
      <c r="J73" s="35"/>
      <c r="K73" s="35">
        <v>2.802</v>
      </c>
      <c r="L73" s="35" t="s">
        <v>2124</v>
      </c>
      <c r="M73" s="35"/>
      <c r="N73" s="35" t="s">
        <v>2155</v>
      </c>
    </row>
    <row r="74" spans="1:14" ht="14" hidden="1">
      <c r="A74" s="36" t="s">
        <v>2212</v>
      </c>
      <c r="B74" s="37">
        <v>4215</v>
      </c>
      <c r="C74" s="37" t="s">
        <v>137</v>
      </c>
      <c r="D74" s="37">
        <f>K74</f>
        <v>1.724</v>
      </c>
      <c r="E74" s="37" t="s">
        <v>8</v>
      </c>
      <c r="F74" s="38" t="s">
        <v>17</v>
      </c>
      <c r="G74" s="42">
        <v>1000</v>
      </c>
      <c r="H74" s="40">
        <f t="shared" si="3"/>
        <v>1.7240000000000001E-3</v>
      </c>
      <c r="I74" s="35"/>
      <c r="J74" s="35"/>
      <c r="K74" s="35">
        <v>1.724</v>
      </c>
      <c r="L74" s="35" t="s">
        <v>2124</v>
      </c>
      <c r="M74" s="35"/>
      <c r="N74" s="35" t="s">
        <v>2155</v>
      </c>
    </row>
    <row r="75" spans="1:14" ht="14" hidden="1">
      <c r="A75" s="36" t="s">
        <v>2213</v>
      </c>
      <c r="B75" s="37">
        <v>4218</v>
      </c>
      <c r="C75" s="37" t="s">
        <v>51</v>
      </c>
      <c r="D75" s="37">
        <v>3.0169999999999999</v>
      </c>
      <c r="E75" s="37" t="s">
        <v>8</v>
      </c>
      <c r="F75" s="38" t="s">
        <v>17</v>
      </c>
      <c r="G75" s="42">
        <v>1000</v>
      </c>
      <c r="H75" s="40">
        <f t="shared" si="3"/>
        <v>3.0169999999999997E-3</v>
      </c>
      <c r="I75" s="35"/>
      <c r="J75" s="35"/>
      <c r="K75" s="35">
        <v>3.0169999999999999</v>
      </c>
      <c r="L75" s="35" t="s">
        <v>2124</v>
      </c>
      <c r="M75" s="35"/>
      <c r="N75" s="35" t="s">
        <v>2155</v>
      </c>
    </row>
    <row r="76" spans="1:14" ht="14" hidden="1">
      <c r="A76" s="36" t="e">
        <v>#N/A</v>
      </c>
      <c r="B76" s="37">
        <v>4221</v>
      </c>
      <c r="C76" s="37" t="s">
        <v>162</v>
      </c>
      <c r="D76" s="37">
        <v>5.6029999999999998</v>
      </c>
      <c r="E76" s="37" t="s">
        <v>8</v>
      </c>
      <c r="F76" s="38" t="s">
        <v>17</v>
      </c>
      <c r="G76" s="42">
        <v>1000</v>
      </c>
      <c r="H76" s="40">
        <f t="shared" si="3"/>
        <v>5.6029999999999995E-3</v>
      </c>
      <c r="I76" s="35"/>
      <c r="J76" s="35"/>
      <c r="K76" s="35">
        <v>0</v>
      </c>
      <c r="L76" s="35">
        <v>0</v>
      </c>
      <c r="M76" s="35"/>
      <c r="N76" s="35" t="s">
        <v>2155</v>
      </c>
    </row>
    <row r="77" spans="1:14" ht="14" hidden="1">
      <c r="A77" s="36" t="e">
        <v>#N/A</v>
      </c>
      <c r="B77" s="37">
        <v>4222</v>
      </c>
      <c r="C77" s="37" t="s">
        <v>90</v>
      </c>
      <c r="D77" s="37">
        <v>3.2330000000000001</v>
      </c>
      <c r="E77" s="37" t="s">
        <v>8</v>
      </c>
      <c r="F77" s="38" t="s">
        <v>17</v>
      </c>
      <c r="G77" s="42">
        <v>1000</v>
      </c>
      <c r="H77" s="40">
        <f t="shared" si="3"/>
        <v>3.2330000000000002E-3</v>
      </c>
      <c r="I77" s="35"/>
      <c r="J77" s="35"/>
      <c r="K77" s="35">
        <v>0</v>
      </c>
      <c r="L77" s="35">
        <v>0</v>
      </c>
      <c r="M77" s="35"/>
      <c r="N77" s="35" t="s">
        <v>2155</v>
      </c>
    </row>
    <row r="78" spans="1:14" ht="14" hidden="1">
      <c r="A78" s="36" t="s">
        <v>2214</v>
      </c>
      <c r="B78" s="37">
        <v>4223</v>
      </c>
      <c r="C78" s="37" t="s">
        <v>138</v>
      </c>
      <c r="D78" s="37">
        <v>2.2410000000000001</v>
      </c>
      <c r="E78" s="37" t="s">
        <v>8</v>
      </c>
      <c r="F78" s="38" t="s">
        <v>17</v>
      </c>
      <c r="G78" s="42">
        <v>1000</v>
      </c>
      <c r="H78" s="40">
        <f t="shared" si="3"/>
        <v>2.2409999999999999E-3</v>
      </c>
      <c r="I78" s="35"/>
      <c r="J78" s="35"/>
      <c r="K78" s="35">
        <v>2.2410000000000001</v>
      </c>
      <c r="L78" s="35" t="s">
        <v>2124</v>
      </c>
      <c r="M78" s="35"/>
      <c r="N78" s="35" t="s">
        <v>2155</v>
      </c>
    </row>
    <row r="79" spans="1:14" ht="14" hidden="1">
      <c r="A79" s="36" t="s">
        <v>2215</v>
      </c>
      <c r="B79" s="37">
        <v>4224</v>
      </c>
      <c r="C79" s="37" t="s">
        <v>94</v>
      </c>
      <c r="D79" s="37">
        <v>4.3099999999999996</v>
      </c>
      <c r="E79" s="37" t="s">
        <v>8</v>
      </c>
      <c r="F79" s="38" t="s">
        <v>17</v>
      </c>
      <c r="G79" s="42">
        <v>1000</v>
      </c>
      <c r="H79" s="40">
        <f t="shared" si="3"/>
        <v>4.3099999999999996E-3</v>
      </c>
      <c r="I79" s="35"/>
      <c r="J79" s="35"/>
      <c r="K79" s="35">
        <v>4.3099999999999996</v>
      </c>
      <c r="L79" s="35" t="s">
        <v>2124</v>
      </c>
      <c r="M79" s="35"/>
      <c r="N79" s="35" t="s">
        <v>2155</v>
      </c>
    </row>
    <row r="80" spans="1:14" ht="14" hidden="1">
      <c r="A80" s="36" t="s">
        <v>2216</v>
      </c>
      <c r="B80" s="37">
        <v>4230</v>
      </c>
      <c r="C80" s="37" t="s">
        <v>85</v>
      </c>
      <c r="D80" s="37">
        <f>K80</f>
        <v>1.0780000000000001</v>
      </c>
      <c r="E80" s="37" t="s">
        <v>8</v>
      </c>
      <c r="F80" s="38" t="s">
        <v>17</v>
      </c>
      <c r="G80" s="42">
        <v>1000</v>
      </c>
      <c r="H80" s="40">
        <f t="shared" si="3"/>
        <v>1.078E-3</v>
      </c>
      <c r="I80" s="35"/>
      <c r="J80" s="35"/>
      <c r="K80" s="35">
        <v>1.0780000000000001</v>
      </c>
      <c r="L80" s="35" t="s">
        <v>2124</v>
      </c>
      <c r="M80" s="35"/>
      <c r="N80" s="35" t="s">
        <v>2155</v>
      </c>
    </row>
    <row r="81" spans="1:15" ht="14" hidden="1">
      <c r="A81" s="36" t="s">
        <v>2217</v>
      </c>
      <c r="B81" s="37">
        <v>4231</v>
      </c>
      <c r="C81" s="37" t="s">
        <v>151</v>
      </c>
      <c r="D81" s="37">
        <f>K81</f>
        <v>7.3280000000000003</v>
      </c>
      <c r="E81" s="37" t="s">
        <v>8</v>
      </c>
      <c r="F81" s="38" t="s">
        <v>17</v>
      </c>
      <c r="G81" s="42">
        <v>1000</v>
      </c>
      <c r="H81" s="40">
        <f t="shared" si="3"/>
        <v>7.3280000000000003E-3</v>
      </c>
      <c r="I81" s="35"/>
      <c r="J81" s="35"/>
      <c r="K81" s="35">
        <v>7.3280000000000003</v>
      </c>
      <c r="L81" s="35" t="s">
        <v>2124</v>
      </c>
      <c r="M81" s="35"/>
      <c r="N81" s="35" t="s">
        <v>2155</v>
      </c>
    </row>
    <row r="82" spans="1:15" ht="14" hidden="1">
      <c r="A82" s="36" t="e">
        <v>#N/A</v>
      </c>
      <c r="B82" s="37">
        <v>4232</v>
      </c>
      <c r="C82" s="37" t="s">
        <v>156</v>
      </c>
      <c r="D82" s="37">
        <v>10.345000000000001</v>
      </c>
      <c r="E82" s="37" t="s">
        <v>8</v>
      </c>
      <c r="F82" s="38" t="s">
        <v>17</v>
      </c>
      <c r="G82" s="42">
        <v>1000</v>
      </c>
      <c r="H82" s="40">
        <f t="shared" si="3"/>
        <v>1.0345E-2</v>
      </c>
      <c r="I82" s="35"/>
      <c r="J82" s="35"/>
      <c r="K82" s="35">
        <v>0</v>
      </c>
      <c r="L82" s="35">
        <v>0</v>
      </c>
      <c r="M82" s="35"/>
      <c r="N82" s="35" t="s">
        <v>2155</v>
      </c>
    </row>
    <row r="83" spans="1:15" ht="14" hidden="1">
      <c r="A83" s="36" t="s">
        <v>2218</v>
      </c>
      <c r="B83" s="37">
        <v>4233</v>
      </c>
      <c r="C83" s="37" t="s">
        <v>53</v>
      </c>
      <c r="D83" s="37">
        <f>K83</f>
        <v>23</v>
      </c>
      <c r="E83" s="37" t="s">
        <v>8</v>
      </c>
      <c r="F83" s="38" t="s">
        <v>17</v>
      </c>
      <c r="G83" s="42">
        <v>1000</v>
      </c>
      <c r="H83" s="40">
        <f t="shared" si="3"/>
        <v>2.3E-2</v>
      </c>
      <c r="I83" s="35"/>
      <c r="J83" s="35"/>
      <c r="K83" s="35">
        <v>23</v>
      </c>
      <c r="L83" s="35" t="s">
        <v>2124</v>
      </c>
      <c r="M83" s="35"/>
      <c r="N83" s="35" t="s">
        <v>2155</v>
      </c>
    </row>
    <row r="84" spans="1:15" ht="14" hidden="1">
      <c r="A84" s="36" t="e">
        <v>#N/A</v>
      </c>
      <c r="B84" s="37">
        <v>4234</v>
      </c>
      <c r="C84" s="37" t="s">
        <v>160</v>
      </c>
      <c r="D84" s="37">
        <v>19.827586206896552</v>
      </c>
      <c r="E84" s="37" t="s">
        <v>8</v>
      </c>
      <c r="F84" s="38" t="s">
        <v>17</v>
      </c>
      <c r="G84" s="42">
        <v>1000</v>
      </c>
      <c r="H84" s="40">
        <f t="shared" si="3"/>
        <v>1.9827586206896553E-2</v>
      </c>
      <c r="I84" s="35"/>
      <c r="J84" s="35"/>
      <c r="K84" s="35">
        <v>0</v>
      </c>
      <c r="L84" s="35">
        <v>0</v>
      </c>
      <c r="M84" s="35"/>
      <c r="N84" s="35" t="s">
        <v>2155</v>
      </c>
    </row>
    <row r="85" spans="1:15" ht="14" hidden="1">
      <c r="A85" s="36" t="s">
        <v>2219</v>
      </c>
      <c r="B85" s="37">
        <v>4235</v>
      </c>
      <c r="C85" s="37" t="s">
        <v>152</v>
      </c>
      <c r="D85" s="37">
        <v>2.802</v>
      </c>
      <c r="E85" s="37" t="s">
        <v>8</v>
      </c>
      <c r="F85" s="38" t="s">
        <v>17</v>
      </c>
      <c r="G85" s="42">
        <v>1000</v>
      </c>
      <c r="H85" s="40">
        <f t="shared" si="3"/>
        <v>2.8020000000000002E-3</v>
      </c>
      <c r="I85" s="35"/>
      <c r="J85" s="35"/>
      <c r="K85" s="35">
        <v>0</v>
      </c>
      <c r="L85" s="35">
        <v>0</v>
      </c>
      <c r="M85" s="35"/>
      <c r="N85" s="35" t="s">
        <v>2155</v>
      </c>
    </row>
    <row r="86" spans="1:15" ht="14" hidden="1">
      <c r="A86" s="36" t="s">
        <v>2220</v>
      </c>
      <c r="B86" s="37">
        <v>4236</v>
      </c>
      <c r="C86" s="37" t="s">
        <v>127</v>
      </c>
      <c r="D86" s="37">
        <f>K86</f>
        <v>2.371</v>
      </c>
      <c r="E86" s="37" t="s">
        <v>8</v>
      </c>
      <c r="F86" s="38" t="s">
        <v>17</v>
      </c>
      <c r="G86" s="42">
        <v>1000</v>
      </c>
      <c r="H86" s="40">
        <f t="shared" si="3"/>
        <v>2.3709999999999998E-3</v>
      </c>
      <c r="I86" s="35"/>
      <c r="J86" s="35"/>
      <c r="K86" s="35">
        <v>2.371</v>
      </c>
      <c r="L86" s="35" t="s">
        <v>2124</v>
      </c>
      <c r="M86" s="35"/>
      <c r="N86" s="35" t="s">
        <v>2155</v>
      </c>
    </row>
    <row r="87" spans="1:15" ht="14" hidden="1">
      <c r="A87" s="36" t="s">
        <v>2221</v>
      </c>
      <c r="B87" s="37">
        <v>4237</v>
      </c>
      <c r="C87" s="37" t="s">
        <v>91</v>
      </c>
      <c r="D87" s="37">
        <f>K87</f>
        <v>2.371</v>
      </c>
      <c r="E87" s="37" t="s">
        <v>8</v>
      </c>
      <c r="F87" s="38" t="s">
        <v>17</v>
      </c>
      <c r="G87" s="42">
        <v>1000</v>
      </c>
      <c r="H87" s="40">
        <f t="shared" si="3"/>
        <v>2.3709999999999998E-3</v>
      </c>
      <c r="I87" s="35"/>
      <c r="J87" s="35"/>
      <c r="K87" s="35">
        <v>2.371</v>
      </c>
      <c r="L87" s="35" t="s">
        <v>2124</v>
      </c>
      <c r="M87" s="35"/>
      <c r="N87" s="35" t="s">
        <v>2155</v>
      </c>
    </row>
    <row r="88" spans="1:15" ht="14" hidden="1">
      <c r="A88" s="36" t="s">
        <v>2222</v>
      </c>
      <c r="B88" s="37">
        <v>4240</v>
      </c>
      <c r="C88" s="37" t="s">
        <v>136</v>
      </c>
      <c r="D88" s="37">
        <v>1.94</v>
      </c>
      <c r="E88" s="37" t="s">
        <v>8</v>
      </c>
      <c r="F88" s="38" t="s">
        <v>17</v>
      </c>
      <c r="G88" s="42">
        <v>1000</v>
      </c>
      <c r="H88" s="40">
        <f t="shared" si="3"/>
        <v>1.9399999999999999E-3</v>
      </c>
      <c r="I88" s="35"/>
      <c r="J88" s="35"/>
      <c r="K88" s="35">
        <v>1.94</v>
      </c>
      <c r="L88" s="35" t="s">
        <v>2124</v>
      </c>
      <c r="M88" s="35"/>
      <c r="N88" s="35" t="s">
        <v>2155</v>
      </c>
    </row>
    <row r="89" spans="1:15" ht="14" hidden="1">
      <c r="A89" s="36" t="s">
        <v>2223</v>
      </c>
      <c r="B89" s="37">
        <v>4241</v>
      </c>
      <c r="C89" s="37" t="s">
        <v>59</v>
      </c>
      <c r="D89" s="37">
        <v>3.879</v>
      </c>
      <c r="E89" s="37" t="s">
        <v>8</v>
      </c>
      <c r="F89" s="38" t="s">
        <v>17</v>
      </c>
      <c r="G89" s="42">
        <v>1000</v>
      </c>
      <c r="H89" s="40">
        <f t="shared" si="3"/>
        <v>3.8790000000000001E-3</v>
      </c>
      <c r="I89" s="35"/>
      <c r="J89" s="35"/>
      <c r="K89" s="35">
        <v>3.879</v>
      </c>
      <c r="L89" s="35" t="s">
        <v>2124</v>
      </c>
      <c r="M89" s="35"/>
      <c r="N89" s="35" t="s">
        <v>2155</v>
      </c>
    </row>
    <row r="90" spans="1:15" ht="14" hidden="1">
      <c r="A90" s="36" t="e">
        <v>#N/A</v>
      </c>
      <c r="B90" s="37">
        <v>4245</v>
      </c>
      <c r="C90" s="37" t="s">
        <v>213</v>
      </c>
      <c r="D90" s="37">
        <v>6.8970000000000002</v>
      </c>
      <c r="E90" s="37" t="s">
        <v>8</v>
      </c>
      <c r="F90" s="38" t="s">
        <v>17</v>
      </c>
      <c r="G90" s="42">
        <v>1000</v>
      </c>
      <c r="H90" s="40">
        <f t="shared" si="3"/>
        <v>6.8970000000000004E-3</v>
      </c>
      <c r="I90" s="35"/>
      <c r="J90" s="35"/>
      <c r="K90" s="35">
        <v>0</v>
      </c>
      <c r="L90" s="35">
        <v>0</v>
      </c>
      <c r="M90" s="35"/>
      <c r="N90" s="35" t="s">
        <v>2155</v>
      </c>
    </row>
    <row r="91" spans="1:15" ht="14" hidden="1">
      <c r="A91" s="36" t="e">
        <v>#N/A</v>
      </c>
      <c r="B91" s="37">
        <v>4250</v>
      </c>
      <c r="C91" s="37" t="s">
        <v>245</v>
      </c>
      <c r="D91" s="37">
        <v>3.879</v>
      </c>
      <c r="E91" s="37" t="s">
        <v>8</v>
      </c>
      <c r="F91" s="38" t="s">
        <v>17</v>
      </c>
      <c r="G91" s="42">
        <v>1000</v>
      </c>
      <c r="H91" s="40">
        <f t="shared" si="3"/>
        <v>3.8790000000000001E-3</v>
      </c>
      <c r="I91" s="35"/>
      <c r="J91" s="35"/>
      <c r="K91" s="35">
        <v>3.879</v>
      </c>
      <c r="L91" s="35" t="s">
        <v>2124</v>
      </c>
      <c r="M91" s="35"/>
      <c r="N91" s="303" t="s">
        <v>2155</v>
      </c>
      <c r="O91" s="304">
        <v>90</v>
      </c>
    </row>
    <row r="92" spans="1:15" ht="14" hidden="1">
      <c r="A92" s="36" t="e">
        <v>#N/A</v>
      </c>
      <c r="B92" s="37">
        <v>4254</v>
      </c>
      <c r="C92" s="37" t="s">
        <v>54</v>
      </c>
      <c r="D92" s="37">
        <v>2.5859999999999999</v>
      </c>
      <c r="E92" s="37" t="s">
        <v>8</v>
      </c>
      <c r="F92" s="38" t="s">
        <v>17</v>
      </c>
      <c r="G92" s="42">
        <v>1000</v>
      </c>
      <c r="H92" s="40">
        <f t="shared" si="3"/>
        <v>2.5859999999999998E-3</v>
      </c>
      <c r="I92" s="35"/>
      <c r="J92" s="35"/>
      <c r="K92" s="35">
        <v>0</v>
      </c>
      <c r="L92" s="35">
        <v>0</v>
      </c>
      <c r="M92" s="35"/>
      <c r="N92" s="35" t="s">
        <v>2155</v>
      </c>
    </row>
    <row r="93" spans="1:15" ht="14" hidden="1">
      <c r="A93" s="36" t="e">
        <v>#N/A</v>
      </c>
      <c r="B93" s="37">
        <v>5037</v>
      </c>
      <c r="C93" s="37" t="s">
        <v>67</v>
      </c>
      <c r="D93" s="37">
        <v>17.241</v>
      </c>
      <c r="E93" s="37" t="s">
        <v>8</v>
      </c>
      <c r="F93" s="38" t="s">
        <v>17</v>
      </c>
      <c r="G93" s="42">
        <v>1000</v>
      </c>
      <c r="H93" s="40">
        <f t="shared" si="3"/>
        <v>1.7240999999999999E-2</v>
      </c>
      <c r="I93" s="35"/>
      <c r="J93" s="35"/>
      <c r="K93" s="35">
        <v>0</v>
      </c>
      <c r="L93" s="35">
        <v>0</v>
      </c>
      <c r="M93" s="35"/>
      <c r="N93" s="35" t="s">
        <v>2155</v>
      </c>
    </row>
    <row r="94" spans="1:15" ht="14" hidden="1">
      <c r="A94" s="36" t="e">
        <v>#N/A</v>
      </c>
      <c r="B94" s="37">
        <v>5374</v>
      </c>
      <c r="C94" s="37" t="s">
        <v>282</v>
      </c>
      <c r="D94" s="37">
        <v>5.1719999999999997</v>
      </c>
      <c r="E94" s="37" t="s">
        <v>8</v>
      </c>
      <c r="F94" s="38" t="s">
        <v>17</v>
      </c>
      <c r="G94" s="42">
        <v>1000</v>
      </c>
      <c r="H94" s="40">
        <f t="shared" si="3"/>
        <v>5.1719999999999995E-3</v>
      </c>
      <c r="I94" s="35"/>
      <c r="J94" s="35"/>
      <c r="K94" s="35">
        <v>5.1719999999999997</v>
      </c>
      <c r="L94" s="35" t="s">
        <v>2124</v>
      </c>
      <c r="M94" s="35"/>
      <c r="N94" s="35" t="s">
        <v>2155</v>
      </c>
    </row>
    <row r="95" spans="1:15" ht="14" hidden="1">
      <c r="A95" s="36" t="e">
        <v>#N/A</v>
      </c>
      <c r="B95" s="37">
        <v>5381</v>
      </c>
      <c r="C95" s="37" t="s">
        <v>336</v>
      </c>
      <c r="D95" s="37">
        <f>K95</f>
        <v>3.0880000000000001</v>
      </c>
      <c r="E95" s="37" t="s">
        <v>8</v>
      </c>
      <c r="F95" s="38" t="s">
        <v>17</v>
      </c>
      <c r="G95" s="42">
        <v>1000</v>
      </c>
      <c r="H95" s="40">
        <f t="shared" si="3"/>
        <v>3.088E-3</v>
      </c>
      <c r="I95" s="35"/>
      <c r="J95" s="35"/>
      <c r="K95" s="35">
        <v>3.0880000000000001</v>
      </c>
      <c r="L95" s="35" t="s">
        <v>2124</v>
      </c>
      <c r="M95" s="35"/>
      <c r="N95" s="35" t="s">
        <v>2155</v>
      </c>
    </row>
    <row r="96" spans="1:15" ht="14" hidden="1">
      <c r="A96" s="36" t="s">
        <v>2224</v>
      </c>
      <c r="B96" s="37">
        <v>4115</v>
      </c>
      <c r="C96" s="37" t="s">
        <v>187</v>
      </c>
      <c r="D96" s="37">
        <v>0.1</v>
      </c>
      <c r="E96" s="37" t="s">
        <v>11</v>
      </c>
      <c r="F96" s="38" t="s">
        <v>25</v>
      </c>
      <c r="G96" s="42">
        <v>1</v>
      </c>
      <c r="H96" s="40">
        <f t="shared" si="3"/>
        <v>0.1</v>
      </c>
      <c r="I96" s="35"/>
      <c r="J96" s="35"/>
      <c r="K96" s="35">
        <v>0.1</v>
      </c>
      <c r="L96" s="35" t="s">
        <v>1876</v>
      </c>
      <c r="M96" s="35"/>
      <c r="N96" s="35" t="s">
        <v>2155</v>
      </c>
    </row>
    <row r="97" spans="1:15" ht="14" hidden="1">
      <c r="A97" s="36" t="s">
        <v>2225</v>
      </c>
      <c r="B97" s="37">
        <v>4991</v>
      </c>
      <c r="C97" s="37" t="s">
        <v>24</v>
      </c>
      <c r="D97" s="37">
        <v>0.32</v>
      </c>
      <c r="E97" s="37" t="s">
        <v>8</v>
      </c>
      <c r="F97" s="38" t="s">
        <v>25</v>
      </c>
      <c r="G97" s="42">
        <v>1000</v>
      </c>
      <c r="H97" s="40">
        <f t="shared" si="3"/>
        <v>3.2000000000000003E-4</v>
      </c>
      <c r="I97" s="35"/>
      <c r="J97" s="35"/>
      <c r="K97" s="35">
        <v>0.06</v>
      </c>
      <c r="L97" s="35" t="s">
        <v>1876</v>
      </c>
      <c r="M97" s="35"/>
      <c r="N97" s="35" t="s">
        <v>2155</v>
      </c>
    </row>
    <row r="98" spans="1:15" ht="14" hidden="1">
      <c r="A98" s="36" t="s">
        <v>2226</v>
      </c>
      <c r="B98" s="37">
        <v>5045</v>
      </c>
      <c r="C98" s="37" t="s">
        <v>272</v>
      </c>
      <c r="D98" s="37">
        <f>K98</f>
        <v>0.17499999999999999</v>
      </c>
      <c r="E98" s="37" t="s">
        <v>11</v>
      </c>
      <c r="F98" s="38" t="s">
        <v>25</v>
      </c>
      <c r="G98" s="42">
        <v>1</v>
      </c>
      <c r="H98" s="40">
        <f t="shared" si="3"/>
        <v>0.17499999999999999</v>
      </c>
      <c r="I98" s="35"/>
      <c r="J98" s="35"/>
      <c r="K98" s="35">
        <v>0.17499999999999999</v>
      </c>
      <c r="L98" s="35" t="s">
        <v>1876</v>
      </c>
      <c r="M98" s="35"/>
      <c r="N98" s="35" t="s">
        <v>2155</v>
      </c>
    </row>
    <row r="99" spans="1:15" ht="14" hidden="1">
      <c r="A99" s="36" t="s">
        <v>2227</v>
      </c>
      <c r="B99" s="37">
        <v>4217</v>
      </c>
      <c r="C99" s="37" t="s">
        <v>182</v>
      </c>
      <c r="D99" s="37">
        <f>K99</f>
        <v>2.9409999999999998</v>
      </c>
      <c r="E99" s="37" t="s">
        <v>8</v>
      </c>
      <c r="F99" s="38" t="s">
        <v>9</v>
      </c>
      <c r="G99" s="42">
        <v>1000</v>
      </c>
      <c r="H99" s="40">
        <f t="shared" si="3"/>
        <v>2.941E-3</v>
      </c>
      <c r="I99" s="35"/>
      <c r="J99" s="35"/>
      <c r="K99" s="35">
        <v>2.9409999999999998</v>
      </c>
      <c r="L99" s="35" t="s">
        <v>2124</v>
      </c>
      <c r="M99" s="35"/>
      <c r="N99" s="35" t="s">
        <v>2155</v>
      </c>
    </row>
    <row r="100" spans="1:15" ht="14" hidden="1">
      <c r="A100" s="36" t="s">
        <v>2228</v>
      </c>
      <c r="B100" s="37">
        <v>4493</v>
      </c>
      <c r="C100" s="37" t="s">
        <v>98</v>
      </c>
      <c r="D100" s="37">
        <f>K100</f>
        <v>0.4</v>
      </c>
      <c r="E100" s="37" t="s">
        <v>8</v>
      </c>
      <c r="F100" s="38" t="s">
        <v>9</v>
      </c>
      <c r="G100" s="42">
        <v>1000</v>
      </c>
      <c r="H100" s="40">
        <f t="shared" si="3"/>
        <v>4.0000000000000002E-4</v>
      </c>
      <c r="I100" s="35"/>
      <c r="J100" s="35"/>
      <c r="K100" s="35">
        <v>0.4</v>
      </c>
      <c r="L100" s="35">
        <v>0</v>
      </c>
      <c r="M100" s="35"/>
      <c r="N100" s="35" t="s">
        <v>2155</v>
      </c>
    </row>
    <row r="101" spans="1:15" ht="14" hidden="1">
      <c r="A101" s="36" t="s">
        <v>2229</v>
      </c>
      <c r="B101" s="37">
        <v>4494</v>
      </c>
      <c r="C101" s="37" t="s">
        <v>60</v>
      </c>
      <c r="D101" s="37">
        <f>K101</f>
        <v>0.45</v>
      </c>
      <c r="E101" s="37" t="s">
        <v>8</v>
      </c>
      <c r="F101" s="38" t="s">
        <v>9</v>
      </c>
      <c r="G101" s="42">
        <v>1000</v>
      </c>
      <c r="H101" s="40">
        <f t="shared" si="3"/>
        <v>4.4999999999999999E-4</v>
      </c>
      <c r="I101" s="35"/>
      <c r="J101" s="35"/>
      <c r="K101" s="35">
        <v>0.45</v>
      </c>
      <c r="L101" s="35" t="s">
        <v>2124</v>
      </c>
      <c r="M101" s="35"/>
      <c r="N101" s="35" t="s">
        <v>2155</v>
      </c>
    </row>
    <row r="102" spans="1:15" ht="14" hidden="1">
      <c r="A102" s="36" t="e">
        <v>#N/A</v>
      </c>
      <c r="B102" s="37">
        <v>4496</v>
      </c>
      <c r="C102" s="37" t="s">
        <v>241</v>
      </c>
      <c r="D102" s="37">
        <v>1.25</v>
      </c>
      <c r="E102" s="37" t="s">
        <v>8</v>
      </c>
      <c r="F102" s="38" t="s">
        <v>9</v>
      </c>
      <c r="G102" s="42">
        <v>1000</v>
      </c>
      <c r="H102" s="40">
        <f t="shared" si="3"/>
        <v>1.25E-3</v>
      </c>
      <c r="I102" s="35"/>
      <c r="J102" s="35"/>
      <c r="K102" s="35">
        <v>0</v>
      </c>
      <c r="L102" s="35">
        <v>0</v>
      </c>
      <c r="M102" s="35"/>
      <c r="N102" s="35" t="s">
        <v>2155</v>
      </c>
      <c r="O102" s="36" t="s">
        <v>3024</v>
      </c>
    </row>
    <row r="103" spans="1:15" ht="14" hidden="1">
      <c r="A103" s="36" t="s">
        <v>2230</v>
      </c>
      <c r="B103" s="37">
        <v>4497</v>
      </c>
      <c r="C103" s="37" t="s">
        <v>45</v>
      </c>
      <c r="D103" s="37">
        <f>K103</f>
        <v>0.4</v>
      </c>
      <c r="E103" s="37" t="s">
        <v>8</v>
      </c>
      <c r="F103" s="38" t="s">
        <v>9</v>
      </c>
      <c r="G103" s="42">
        <v>1000</v>
      </c>
      <c r="H103" s="40">
        <f t="shared" si="3"/>
        <v>4.0000000000000002E-4</v>
      </c>
      <c r="I103" s="35"/>
      <c r="J103" s="35"/>
      <c r="K103" s="35">
        <v>0.4</v>
      </c>
      <c r="L103" s="35" t="s">
        <v>2124</v>
      </c>
      <c r="M103" s="35"/>
      <c r="N103" s="35" t="s">
        <v>2155</v>
      </c>
    </row>
    <row r="104" spans="1:15" ht="14" hidden="1">
      <c r="A104" s="36" t="s">
        <v>2231</v>
      </c>
      <c r="B104" s="37">
        <v>4499</v>
      </c>
      <c r="C104" s="37" t="s">
        <v>28</v>
      </c>
      <c r="D104" s="37">
        <f>K104</f>
        <v>0.5</v>
      </c>
      <c r="E104" s="37" t="s">
        <v>8</v>
      </c>
      <c r="F104" s="38" t="s">
        <v>9</v>
      </c>
      <c r="G104" s="42">
        <v>1000</v>
      </c>
      <c r="H104" s="40">
        <f t="shared" si="3"/>
        <v>5.0000000000000001E-4</v>
      </c>
      <c r="I104" s="35"/>
      <c r="J104" s="35"/>
      <c r="K104" s="35">
        <v>0.5</v>
      </c>
      <c r="L104" s="35" t="s">
        <v>2124</v>
      </c>
      <c r="M104" s="35"/>
      <c r="N104" s="35" t="s">
        <v>2155</v>
      </c>
    </row>
    <row r="105" spans="1:15" ht="14" hidden="1">
      <c r="A105" s="36" t="s">
        <v>2232</v>
      </c>
      <c r="B105" s="37">
        <v>4500</v>
      </c>
      <c r="C105" s="37" t="s">
        <v>68</v>
      </c>
      <c r="D105" s="37">
        <v>0.78</v>
      </c>
      <c r="E105" s="37" t="s">
        <v>8</v>
      </c>
      <c r="F105" s="38" t="s">
        <v>9</v>
      </c>
      <c r="G105" s="42">
        <v>1000</v>
      </c>
      <c r="H105" s="40">
        <f t="shared" si="3"/>
        <v>7.7999999999999999E-4</v>
      </c>
      <c r="I105" s="35"/>
      <c r="J105" s="35"/>
      <c r="K105" s="35">
        <v>0</v>
      </c>
      <c r="L105" s="35">
        <v>0</v>
      </c>
      <c r="M105" s="35"/>
      <c r="N105" s="35" t="s">
        <v>2155</v>
      </c>
    </row>
    <row r="106" spans="1:15" ht="14" hidden="1">
      <c r="A106" s="36" t="s">
        <v>2233</v>
      </c>
      <c r="B106" s="37">
        <v>4501</v>
      </c>
      <c r="C106" s="37" t="s">
        <v>58</v>
      </c>
      <c r="D106" s="37">
        <f t="shared" ref="D106:D112" si="4">K106</f>
        <v>0.75</v>
      </c>
      <c r="E106" s="37" t="s">
        <v>8</v>
      </c>
      <c r="F106" s="38" t="s">
        <v>9</v>
      </c>
      <c r="G106" s="42">
        <v>1000</v>
      </c>
      <c r="H106" s="40">
        <f t="shared" si="3"/>
        <v>7.5000000000000002E-4</v>
      </c>
      <c r="I106" s="35"/>
      <c r="J106" s="35"/>
      <c r="K106" s="35">
        <v>0.75</v>
      </c>
      <c r="L106" s="35" t="s">
        <v>2124</v>
      </c>
      <c r="M106" s="35"/>
      <c r="N106" s="35" t="s">
        <v>2155</v>
      </c>
    </row>
    <row r="107" spans="1:15" ht="14" hidden="1">
      <c r="A107" s="36" t="s">
        <v>2234</v>
      </c>
      <c r="B107" s="37">
        <v>4503</v>
      </c>
      <c r="C107" s="37" t="s">
        <v>34</v>
      </c>
      <c r="D107" s="37">
        <f t="shared" si="4"/>
        <v>0.25</v>
      </c>
      <c r="E107" s="37" t="s">
        <v>8</v>
      </c>
      <c r="F107" s="38" t="s">
        <v>9</v>
      </c>
      <c r="G107" s="42">
        <v>1000</v>
      </c>
      <c r="H107" s="40">
        <f t="shared" si="3"/>
        <v>2.5000000000000001E-4</v>
      </c>
      <c r="I107" s="35"/>
      <c r="J107" s="35"/>
      <c r="K107" s="35">
        <v>0.25</v>
      </c>
      <c r="L107" s="35" t="s">
        <v>2124</v>
      </c>
      <c r="M107" s="35"/>
      <c r="N107" s="35" t="s">
        <v>2155</v>
      </c>
    </row>
    <row r="108" spans="1:15" ht="14" hidden="1">
      <c r="A108" s="36" t="s">
        <v>2235</v>
      </c>
      <c r="B108" s="37">
        <v>4504</v>
      </c>
      <c r="C108" s="37" t="s">
        <v>135</v>
      </c>
      <c r="D108" s="37">
        <f t="shared" si="4"/>
        <v>0.35</v>
      </c>
      <c r="E108" s="37" t="s">
        <v>8</v>
      </c>
      <c r="F108" s="38" t="s">
        <v>9</v>
      </c>
      <c r="G108" s="42">
        <v>1000</v>
      </c>
      <c r="H108" s="40">
        <f t="shared" si="3"/>
        <v>3.5E-4</v>
      </c>
      <c r="I108" s="35"/>
      <c r="J108" s="35"/>
      <c r="K108" s="35">
        <v>0.35</v>
      </c>
      <c r="L108" s="35" t="s">
        <v>2124</v>
      </c>
      <c r="M108" s="35"/>
      <c r="N108" s="35" t="s">
        <v>2155</v>
      </c>
    </row>
    <row r="109" spans="1:15" ht="14" hidden="1">
      <c r="A109" s="36" t="s">
        <v>2236</v>
      </c>
      <c r="B109" s="37">
        <v>4505</v>
      </c>
      <c r="C109" s="37" t="s">
        <v>7</v>
      </c>
      <c r="D109" s="37">
        <f t="shared" si="4"/>
        <v>3.5</v>
      </c>
      <c r="E109" s="37" t="s">
        <v>8</v>
      </c>
      <c r="F109" s="38" t="s">
        <v>9</v>
      </c>
      <c r="G109" s="42">
        <v>1000</v>
      </c>
      <c r="H109" s="40">
        <f t="shared" si="3"/>
        <v>3.5000000000000001E-3</v>
      </c>
      <c r="I109" s="35"/>
      <c r="J109" s="35"/>
      <c r="K109" s="35">
        <v>3.5</v>
      </c>
      <c r="L109" s="35" t="s">
        <v>2124</v>
      </c>
      <c r="M109" s="35"/>
      <c r="N109" s="303" t="s">
        <v>2155</v>
      </c>
      <c r="O109" s="304">
        <v>150</v>
      </c>
    </row>
    <row r="110" spans="1:15" ht="14" hidden="1">
      <c r="A110" s="36" t="s">
        <v>2237</v>
      </c>
      <c r="B110" s="37">
        <v>4508</v>
      </c>
      <c r="C110" s="37" t="s">
        <v>102</v>
      </c>
      <c r="D110" s="37">
        <f t="shared" si="4"/>
        <v>0.3</v>
      </c>
      <c r="E110" s="37" t="s">
        <v>8</v>
      </c>
      <c r="F110" s="38" t="s">
        <v>9</v>
      </c>
      <c r="G110" s="42">
        <v>1000</v>
      </c>
      <c r="H110" s="40">
        <f t="shared" si="3"/>
        <v>2.9999999999999997E-4</v>
      </c>
      <c r="I110" s="35"/>
      <c r="J110" s="35"/>
      <c r="K110" s="35">
        <v>0.3</v>
      </c>
      <c r="L110" s="35" t="s">
        <v>2124</v>
      </c>
      <c r="M110" s="35"/>
      <c r="N110" s="35" t="s">
        <v>2155</v>
      </c>
    </row>
    <row r="111" spans="1:15" ht="14" hidden="1">
      <c r="A111" s="36" t="s">
        <v>2238</v>
      </c>
      <c r="B111" s="37">
        <v>4509</v>
      </c>
      <c r="C111" s="37" t="s">
        <v>104</v>
      </c>
      <c r="D111" s="37">
        <f t="shared" si="4"/>
        <v>0.55000000000000004</v>
      </c>
      <c r="E111" s="37" t="s">
        <v>8</v>
      </c>
      <c r="F111" s="38" t="s">
        <v>9</v>
      </c>
      <c r="G111" s="42">
        <v>1000</v>
      </c>
      <c r="H111" s="40">
        <f t="shared" si="3"/>
        <v>5.5000000000000003E-4</v>
      </c>
      <c r="I111" s="35"/>
      <c r="J111" s="35"/>
      <c r="K111" s="35">
        <v>0.55000000000000004</v>
      </c>
      <c r="L111" s="35" t="s">
        <v>2124</v>
      </c>
      <c r="M111" s="35"/>
      <c r="N111" s="35" t="s">
        <v>2155</v>
      </c>
    </row>
    <row r="112" spans="1:15" ht="14" hidden="1">
      <c r="A112" s="36" t="s">
        <v>2239</v>
      </c>
      <c r="B112" s="37">
        <v>4513</v>
      </c>
      <c r="C112" s="37" t="s">
        <v>50</v>
      </c>
      <c r="D112" s="37">
        <f t="shared" si="4"/>
        <v>1.75</v>
      </c>
      <c r="E112" s="37" t="s">
        <v>8</v>
      </c>
      <c r="F112" s="38" t="s">
        <v>9</v>
      </c>
      <c r="G112" s="42">
        <v>1000</v>
      </c>
      <c r="H112" s="40">
        <f t="shared" si="3"/>
        <v>1.75E-3</v>
      </c>
      <c r="I112" s="35"/>
      <c r="J112" s="35"/>
      <c r="K112" s="35">
        <v>1.75</v>
      </c>
      <c r="L112" s="35" t="s">
        <v>2124</v>
      </c>
      <c r="M112" s="35"/>
      <c r="N112" s="35" t="s">
        <v>2155</v>
      </c>
    </row>
    <row r="113" spans="1:14" ht="14" hidden="1">
      <c r="A113" s="36" t="s">
        <v>2240</v>
      </c>
      <c r="B113" s="37">
        <v>4515</v>
      </c>
      <c r="C113" s="37" t="s">
        <v>55</v>
      </c>
      <c r="D113" s="37">
        <v>5.9999999999999991</v>
      </c>
      <c r="E113" s="37" t="s">
        <v>8</v>
      </c>
      <c r="F113" s="38" t="s">
        <v>9</v>
      </c>
      <c r="G113" s="42">
        <v>1000</v>
      </c>
      <c r="H113" s="40">
        <f t="shared" si="3"/>
        <v>5.9999999999999993E-3</v>
      </c>
      <c r="I113" s="35"/>
      <c r="J113" s="35"/>
      <c r="K113" s="35">
        <v>0</v>
      </c>
      <c r="L113" s="35">
        <v>0</v>
      </c>
      <c r="M113" s="35"/>
      <c r="N113" s="35" t="s">
        <v>2155</v>
      </c>
    </row>
    <row r="114" spans="1:14" ht="14" hidden="1">
      <c r="A114" s="36" t="e">
        <v>#N/A</v>
      </c>
      <c r="B114" s="37">
        <v>4516</v>
      </c>
      <c r="C114" s="37" t="s">
        <v>41</v>
      </c>
      <c r="D114" s="37">
        <v>1.875</v>
      </c>
      <c r="E114" s="37" t="s">
        <v>8</v>
      </c>
      <c r="F114" s="38" t="s">
        <v>9</v>
      </c>
      <c r="G114" s="42">
        <v>1000</v>
      </c>
      <c r="H114" s="40">
        <f t="shared" si="3"/>
        <v>1.8749999999999999E-3</v>
      </c>
      <c r="I114" s="35"/>
      <c r="J114" s="35"/>
      <c r="K114" s="35">
        <v>0</v>
      </c>
      <c r="L114" s="35">
        <v>0</v>
      </c>
      <c r="M114" s="35"/>
      <c r="N114" s="35" t="s">
        <v>2155</v>
      </c>
    </row>
    <row r="115" spans="1:14" ht="14" hidden="1">
      <c r="A115" s="36" t="e">
        <v>#N/A</v>
      </c>
      <c r="B115" s="37">
        <v>4517</v>
      </c>
      <c r="C115" s="37" t="s">
        <v>95</v>
      </c>
      <c r="D115" s="37">
        <v>0.5</v>
      </c>
      <c r="E115" s="37" t="s">
        <v>8</v>
      </c>
      <c r="F115" s="38" t="s">
        <v>9</v>
      </c>
      <c r="G115" s="42">
        <v>1000</v>
      </c>
      <c r="H115" s="40">
        <f t="shared" si="3"/>
        <v>5.0000000000000001E-4</v>
      </c>
      <c r="I115" s="35"/>
      <c r="J115" s="35"/>
      <c r="K115" s="35">
        <v>0</v>
      </c>
      <c r="L115" s="35">
        <v>0</v>
      </c>
      <c r="M115" s="35"/>
      <c r="N115" s="35" t="s">
        <v>2155</v>
      </c>
    </row>
    <row r="116" spans="1:14" ht="14" hidden="1">
      <c r="A116" s="36" t="s">
        <v>2241</v>
      </c>
      <c r="B116" s="37">
        <v>4518</v>
      </c>
      <c r="C116" s="37" t="s">
        <v>107</v>
      </c>
      <c r="D116" s="37">
        <v>0.75</v>
      </c>
      <c r="E116" s="37" t="s">
        <v>8</v>
      </c>
      <c r="F116" s="38" t="s">
        <v>9</v>
      </c>
      <c r="G116" s="42">
        <v>1000</v>
      </c>
      <c r="H116" s="40">
        <f t="shared" si="3"/>
        <v>7.5000000000000002E-4</v>
      </c>
      <c r="I116" s="35"/>
      <c r="J116" s="35"/>
      <c r="K116" s="35">
        <v>3.5</v>
      </c>
      <c r="L116" s="35" t="s">
        <v>2124</v>
      </c>
      <c r="M116" s="35"/>
      <c r="N116" s="35" t="s">
        <v>2155</v>
      </c>
    </row>
    <row r="117" spans="1:14" ht="14" hidden="1">
      <c r="A117" s="36" t="s">
        <v>2242</v>
      </c>
      <c r="B117" s="37">
        <v>4520</v>
      </c>
      <c r="C117" s="37" t="s">
        <v>96</v>
      </c>
      <c r="D117" s="37">
        <f>K117</f>
        <v>0.75</v>
      </c>
      <c r="E117" s="37" t="s">
        <v>8</v>
      </c>
      <c r="F117" s="38" t="s">
        <v>9</v>
      </c>
      <c r="G117" s="42">
        <v>1000</v>
      </c>
      <c r="H117" s="40">
        <f t="shared" si="3"/>
        <v>7.5000000000000002E-4</v>
      </c>
      <c r="I117" s="35"/>
      <c r="J117" s="35"/>
      <c r="K117" s="35">
        <v>0.75</v>
      </c>
      <c r="L117" s="35" t="s">
        <v>2124</v>
      </c>
      <c r="M117" s="35"/>
      <c r="N117" s="35" t="s">
        <v>2155</v>
      </c>
    </row>
    <row r="118" spans="1:14" ht="14" hidden="1">
      <c r="A118" s="36" t="s">
        <v>2243</v>
      </c>
      <c r="B118" s="37">
        <v>4521</v>
      </c>
      <c r="C118" s="37" t="s">
        <v>251</v>
      </c>
      <c r="D118" s="37">
        <v>8</v>
      </c>
      <c r="E118" s="37" t="s">
        <v>8</v>
      </c>
      <c r="F118" s="38" t="s">
        <v>9</v>
      </c>
      <c r="G118" s="42">
        <v>1000</v>
      </c>
      <c r="H118" s="40">
        <f t="shared" si="3"/>
        <v>8.0000000000000002E-3</v>
      </c>
      <c r="I118" s="35"/>
      <c r="J118" s="35"/>
      <c r="K118" s="35">
        <v>0</v>
      </c>
      <c r="L118" s="35">
        <v>0</v>
      </c>
      <c r="M118" s="35"/>
      <c r="N118" s="35" t="s">
        <v>2155</v>
      </c>
    </row>
    <row r="119" spans="1:14" ht="14" hidden="1">
      <c r="A119" s="36" t="s">
        <v>2244</v>
      </c>
      <c r="B119" s="37">
        <v>4522</v>
      </c>
      <c r="C119" s="37" t="s">
        <v>86</v>
      </c>
      <c r="D119" s="37">
        <v>1.75</v>
      </c>
      <c r="E119" s="37" t="s">
        <v>8</v>
      </c>
      <c r="F119" s="38" t="s">
        <v>9</v>
      </c>
      <c r="G119" s="42">
        <v>1000</v>
      </c>
      <c r="H119" s="40">
        <f t="shared" si="3"/>
        <v>1.75E-3</v>
      </c>
      <c r="I119" s="35"/>
      <c r="J119" s="35"/>
      <c r="K119" s="35">
        <v>0</v>
      </c>
      <c r="L119" s="35">
        <v>0</v>
      </c>
      <c r="M119" s="35"/>
      <c r="N119" s="35" t="s">
        <v>2155</v>
      </c>
    </row>
    <row r="120" spans="1:14" ht="14" hidden="1">
      <c r="A120" s="36" t="s">
        <v>2245</v>
      </c>
      <c r="B120" s="37">
        <v>4523</v>
      </c>
      <c r="C120" s="37" t="s">
        <v>201</v>
      </c>
      <c r="D120" s="37">
        <v>3</v>
      </c>
      <c r="E120" s="37" t="s">
        <v>8</v>
      </c>
      <c r="F120" s="38" t="s">
        <v>9</v>
      </c>
      <c r="G120" s="42">
        <v>1000</v>
      </c>
      <c r="H120" s="40">
        <f t="shared" si="3"/>
        <v>3.0000000000000001E-3</v>
      </c>
      <c r="I120" s="35"/>
      <c r="J120" s="35"/>
      <c r="K120" s="35">
        <v>0</v>
      </c>
      <c r="L120" s="35">
        <v>0</v>
      </c>
      <c r="M120" s="35"/>
      <c r="N120" s="35" t="s">
        <v>2155</v>
      </c>
    </row>
    <row r="121" spans="1:14" ht="14" hidden="1">
      <c r="A121" s="36" t="s">
        <v>2246</v>
      </c>
      <c r="B121" s="37">
        <v>4524</v>
      </c>
      <c r="C121" s="37" t="s">
        <v>203</v>
      </c>
      <c r="D121" s="37">
        <f>K121</f>
        <v>0.65</v>
      </c>
      <c r="E121" s="37" t="s">
        <v>8</v>
      </c>
      <c r="F121" s="38" t="s">
        <v>9</v>
      </c>
      <c r="G121" s="42">
        <v>1000</v>
      </c>
      <c r="H121" s="40">
        <f t="shared" si="3"/>
        <v>6.4999999999999997E-4</v>
      </c>
      <c r="I121" s="35"/>
      <c r="J121" s="35"/>
      <c r="K121" s="35">
        <v>0.65</v>
      </c>
      <c r="L121" s="35" t="s">
        <v>2124</v>
      </c>
      <c r="M121" s="35"/>
      <c r="N121" s="35" t="s">
        <v>2155</v>
      </c>
    </row>
    <row r="122" spans="1:14" ht="14" hidden="1">
      <c r="A122" s="36" t="s">
        <v>2247</v>
      </c>
      <c r="B122" s="37">
        <v>4525</v>
      </c>
      <c r="C122" s="37" t="s">
        <v>218</v>
      </c>
      <c r="D122" s="37">
        <v>1</v>
      </c>
      <c r="E122" s="37" t="s">
        <v>8</v>
      </c>
      <c r="F122" s="38" t="s">
        <v>9</v>
      </c>
      <c r="G122" s="42">
        <v>1000</v>
      </c>
      <c r="H122" s="40">
        <f t="shared" si="3"/>
        <v>1E-3</v>
      </c>
      <c r="I122" s="35"/>
      <c r="J122" s="35"/>
      <c r="K122" s="35">
        <v>0</v>
      </c>
      <c r="L122" s="35">
        <v>0</v>
      </c>
      <c r="M122" s="35"/>
      <c r="N122" s="35" t="s">
        <v>2155</v>
      </c>
    </row>
    <row r="123" spans="1:14" ht="14" hidden="1">
      <c r="A123" s="36" t="s">
        <v>2249</v>
      </c>
      <c r="B123" s="37">
        <v>4530</v>
      </c>
      <c r="C123" s="37" t="s">
        <v>254</v>
      </c>
      <c r="D123" s="37">
        <f>K123</f>
        <v>3.5</v>
      </c>
      <c r="E123" s="37" t="s">
        <v>8</v>
      </c>
      <c r="F123" s="38" t="s">
        <v>9</v>
      </c>
      <c r="G123" s="42">
        <v>1000</v>
      </c>
      <c r="H123" s="40">
        <f t="shared" si="3"/>
        <v>3.5000000000000001E-3</v>
      </c>
      <c r="I123" s="35"/>
      <c r="J123" s="35"/>
      <c r="K123" s="35">
        <v>3.5</v>
      </c>
      <c r="L123" s="35" t="s">
        <v>2124</v>
      </c>
      <c r="M123" s="35"/>
      <c r="N123" s="35" t="s">
        <v>2155</v>
      </c>
    </row>
    <row r="124" spans="1:14" ht="14" hidden="1">
      <c r="A124" s="36" t="s">
        <v>2250</v>
      </c>
      <c r="B124" s="37">
        <v>4531</v>
      </c>
      <c r="C124" s="37" t="s">
        <v>120</v>
      </c>
      <c r="D124" s="37">
        <f>K124</f>
        <v>2.5</v>
      </c>
      <c r="E124" s="37" t="s">
        <v>8</v>
      </c>
      <c r="F124" s="38" t="s">
        <v>9</v>
      </c>
      <c r="G124" s="42">
        <v>1000</v>
      </c>
      <c r="H124" s="40">
        <f t="shared" ref="H124:H182" si="5">D124/G124</f>
        <v>2.5000000000000001E-3</v>
      </c>
      <c r="I124" s="35"/>
      <c r="J124" s="35"/>
      <c r="K124" s="35">
        <v>2.5</v>
      </c>
      <c r="L124" s="35" t="s">
        <v>2124</v>
      </c>
      <c r="M124" s="35"/>
      <c r="N124" s="35" t="s">
        <v>2155</v>
      </c>
    </row>
    <row r="125" spans="1:14" ht="14" hidden="1">
      <c r="A125" s="36" t="e">
        <v>#N/A</v>
      </c>
      <c r="B125" s="37">
        <v>4540</v>
      </c>
      <c r="C125" s="37" t="s">
        <v>143</v>
      </c>
      <c r="D125" s="37">
        <v>10</v>
      </c>
      <c r="E125" s="37" t="s">
        <v>8</v>
      </c>
      <c r="F125" s="38" t="s">
        <v>9</v>
      </c>
      <c r="G125" s="42">
        <v>1000</v>
      </c>
      <c r="H125" s="40">
        <f t="shared" si="5"/>
        <v>0.01</v>
      </c>
      <c r="I125" s="35"/>
      <c r="J125" s="35"/>
      <c r="K125" s="35">
        <v>0</v>
      </c>
      <c r="L125" s="35">
        <v>0</v>
      </c>
      <c r="M125" s="35"/>
      <c r="N125" s="35" t="s">
        <v>2155</v>
      </c>
    </row>
    <row r="126" spans="1:14" ht="14" hidden="1">
      <c r="A126" s="36" t="e">
        <v>#N/A</v>
      </c>
      <c r="B126" s="37">
        <v>4542</v>
      </c>
      <c r="C126" s="37" t="s">
        <v>119</v>
      </c>
      <c r="D126" s="37">
        <f>K126</f>
        <v>2.5</v>
      </c>
      <c r="E126" s="37" t="s">
        <v>8</v>
      </c>
      <c r="F126" s="38" t="s">
        <v>9</v>
      </c>
      <c r="G126" s="42">
        <v>1000</v>
      </c>
      <c r="H126" s="40">
        <f t="shared" si="5"/>
        <v>2.5000000000000001E-3</v>
      </c>
      <c r="I126" s="35"/>
      <c r="J126" s="35"/>
      <c r="K126" s="35">
        <v>2.5</v>
      </c>
      <c r="L126" s="35" t="s">
        <v>2124</v>
      </c>
      <c r="M126" s="35"/>
      <c r="N126" s="35" t="s">
        <v>2155</v>
      </c>
    </row>
    <row r="127" spans="1:14" ht="14" hidden="1">
      <c r="A127" s="36" t="s">
        <v>2251</v>
      </c>
      <c r="B127" s="37">
        <v>4544</v>
      </c>
      <c r="C127" s="37" t="s">
        <v>31</v>
      </c>
      <c r="D127" s="256">
        <f>K127</f>
        <v>0.75</v>
      </c>
      <c r="E127" s="37" t="s">
        <v>8</v>
      </c>
      <c r="F127" s="38" t="s">
        <v>9</v>
      </c>
      <c r="G127" s="42">
        <v>1000</v>
      </c>
      <c r="H127" s="40">
        <f t="shared" si="5"/>
        <v>7.5000000000000002E-4</v>
      </c>
      <c r="I127" s="35"/>
      <c r="J127" s="35"/>
      <c r="K127" s="35">
        <v>0.75</v>
      </c>
      <c r="L127" s="35" t="s">
        <v>2124</v>
      </c>
      <c r="M127" s="35"/>
      <c r="N127" s="35" t="s">
        <v>2155</v>
      </c>
    </row>
    <row r="128" spans="1:14" ht="14" hidden="1">
      <c r="A128" s="36" t="s">
        <v>2252</v>
      </c>
      <c r="B128" s="37">
        <v>4545</v>
      </c>
      <c r="C128" s="37" t="s">
        <v>97</v>
      </c>
      <c r="D128" s="256">
        <f>K128</f>
        <v>0.75</v>
      </c>
      <c r="E128" s="37" t="s">
        <v>8</v>
      </c>
      <c r="F128" s="38" t="s">
        <v>9</v>
      </c>
      <c r="G128" s="42">
        <v>1000</v>
      </c>
      <c r="H128" s="40">
        <f t="shared" si="5"/>
        <v>7.5000000000000002E-4</v>
      </c>
      <c r="I128" s="35"/>
      <c r="J128" s="35"/>
      <c r="K128" s="35">
        <v>0.75</v>
      </c>
      <c r="L128" s="35" t="s">
        <v>2124</v>
      </c>
      <c r="M128" s="35"/>
      <c r="N128" s="35" t="s">
        <v>2155</v>
      </c>
    </row>
    <row r="129" spans="1:15" ht="14" hidden="1">
      <c r="A129" s="36" t="s">
        <v>2209</v>
      </c>
      <c r="B129" s="37">
        <v>4546</v>
      </c>
      <c r="C129" s="37" t="s">
        <v>10</v>
      </c>
      <c r="D129" s="37">
        <v>1</v>
      </c>
      <c r="E129" s="37" t="s">
        <v>11</v>
      </c>
      <c r="F129" s="38" t="s">
        <v>9</v>
      </c>
      <c r="G129" s="42">
        <v>1000</v>
      </c>
      <c r="H129" s="40">
        <f t="shared" si="5"/>
        <v>1E-3</v>
      </c>
      <c r="I129" s="35"/>
      <c r="J129" s="35"/>
      <c r="K129" s="35">
        <v>0</v>
      </c>
      <c r="L129" s="35">
        <v>0</v>
      </c>
      <c r="M129" s="35"/>
      <c r="N129" s="35" t="s">
        <v>2155</v>
      </c>
    </row>
    <row r="130" spans="1:15" ht="14" hidden="1">
      <c r="A130" s="36" t="s">
        <v>2253</v>
      </c>
      <c r="B130" s="37">
        <v>4547</v>
      </c>
      <c r="C130" s="37" t="s">
        <v>33</v>
      </c>
      <c r="D130" s="256">
        <f>K130</f>
        <v>0.75</v>
      </c>
      <c r="E130" s="37" t="s">
        <v>8</v>
      </c>
      <c r="F130" s="38" t="s">
        <v>9</v>
      </c>
      <c r="G130" s="42">
        <v>1000</v>
      </c>
      <c r="H130" s="40">
        <f t="shared" si="5"/>
        <v>7.5000000000000002E-4</v>
      </c>
      <c r="I130" s="35"/>
      <c r="J130" s="35"/>
      <c r="K130" s="35">
        <v>0.75</v>
      </c>
      <c r="L130" s="35" t="s">
        <v>2124</v>
      </c>
      <c r="M130" s="35"/>
      <c r="N130" s="35" t="s">
        <v>2155</v>
      </c>
    </row>
    <row r="131" spans="1:15" ht="14" hidden="1">
      <c r="A131" s="36" t="s">
        <v>2254</v>
      </c>
      <c r="B131" s="37">
        <v>4548</v>
      </c>
      <c r="C131" s="37" t="s">
        <v>125</v>
      </c>
      <c r="D131" s="256">
        <f>K131</f>
        <v>0.75</v>
      </c>
      <c r="E131" s="37" t="s">
        <v>8</v>
      </c>
      <c r="F131" s="38" t="s">
        <v>9</v>
      </c>
      <c r="G131" s="42">
        <v>1000</v>
      </c>
      <c r="H131" s="40">
        <f t="shared" si="5"/>
        <v>7.5000000000000002E-4</v>
      </c>
      <c r="I131" s="35"/>
      <c r="J131" s="35"/>
      <c r="K131" s="35">
        <v>0.75</v>
      </c>
      <c r="L131" s="35" t="s">
        <v>2124</v>
      </c>
      <c r="M131" s="35"/>
      <c r="N131" s="35" t="s">
        <v>2155</v>
      </c>
    </row>
    <row r="132" spans="1:15" ht="14" hidden="1">
      <c r="A132" s="36" t="e">
        <v>#N/A</v>
      </c>
      <c r="B132" s="37">
        <v>4549</v>
      </c>
      <c r="C132" s="37" t="s">
        <v>132</v>
      </c>
      <c r="D132" s="37">
        <v>1</v>
      </c>
      <c r="E132" s="37" t="s">
        <v>8</v>
      </c>
      <c r="F132" s="38" t="s">
        <v>9</v>
      </c>
      <c r="G132" s="42">
        <v>1000</v>
      </c>
      <c r="H132" s="40">
        <f t="shared" si="5"/>
        <v>1E-3</v>
      </c>
      <c r="I132" s="35"/>
      <c r="J132" s="35"/>
      <c r="K132" s="35">
        <v>0</v>
      </c>
      <c r="L132" s="35">
        <v>0</v>
      </c>
      <c r="M132" s="35"/>
      <c r="N132" s="35" t="s">
        <v>2155</v>
      </c>
    </row>
    <row r="133" spans="1:15" ht="14" hidden="1">
      <c r="A133" s="36" t="s">
        <v>2255</v>
      </c>
      <c r="B133" s="37">
        <v>4573</v>
      </c>
      <c r="C133" s="37" t="s">
        <v>14</v>
      </c>
      <c r="D133" s="37">
        <f>K133</f>
        <v>2.6</v>
      </c>
      <c r="E133" s="37" t="s">
        <v>15</v>
      </c>
      <c r="F133" s="38" t="s">
        <v>9</v>
      </c>
      <c r="G133" s="42">
        <v>1000</v>
      </c>
      <c r="H133" s="40">
        <f t="shared" si="5"/>
        <v>2.5999999999999999E-3</v>
      </c>
      <c r="I133" s="35"/>
      <c r="J133" s="35"/>
      <c r="K133" s="35">
        <v>2.6</v>
      </c>
      <c r="L133" s="35" t="s">
        <v>2124</v>
      </c>
      <c r="M133" s="35"/>
      <c r="N133" s="35" t="s">
        <v>2155</v>
      </c>
      <c r="O133" s="36">
        <v>50</v>
      </c>
    </row>
    <row r="134" spans="1:15" ht="14" hidden="1">
      <c r="A134" s="36" t="s">
        <v>2256</v>
      </c>
      <c r="B134" s="37">
        <v>4574</v>
      </c>
      <c r="C134" s="37" t="s">
        <v>106</v>
      </c>
      <c r="D134" s="37">
        <f>K134</f>
        <v>2</v>
      </c>
      <c r="E134" s="37" t="s">
        <v>15</v>
      </c>
      <c r="F134" s="38" t="s">
        <v>9</v>
      </c>
      <c r="G134" s="42">
        <v>1000</v>
      </c>
      <c r="H134" s="40">
        <f t="shared" si="5"/>
        <v>2E-3</v>
      </c>
      <c r="I134" s="35"/>
      <c r="J134" s="35"/>
      <c r="K134" s="35">
        <v>2</v>
      </c>
      <c r="L134" s="35" t="s">
        <v>2123</v>
      </c>
      <c r="M134" s="35"/>
      <c r="N134" s="35" t="s">
        <v>2155</v>
      </c>
    </row>
    <row r="135" spans="1:15" ht="14" hidden="1">
      <c r="A135" s="36" t="e">
        <v>#N/A</v>
      </c>
      <c r="B135" s="37">
        <v>4890</v>
      </c>
      <c r="C135" s="37" t="s">
        <v>240</v>
      </c>
      <c r="D135" s="37">
        <v>1.25</v>
      </c>
      <c r="E135" s="37" t="s">
        <v>8</v>
      </c>
      <c r="F135" s="38" t="s">
        <v>9</v>
      </c>
      <c r="G135" s="42">
        <v>1000</v>
      </c>
      <c r="H135" s="40">
        <f t="shared" si="5"/>
        <v>1.25E-3</v>
      </c>
      <c r="I135" s="35"/>
      <c r="J135" s="35"/>
      <c r="K135" s="35">
        <v>0</v>
      </c>
      <c r="L135" s="35">
        <v>0</v>
      </c>
      <c r="M135" s="35"/>
      <c r="N135" s="35" t="s">
        <v>2155</v>
      </c>
    </row>
    <row r="136" spans="1:15" ht="14" hidden="1">
      <c r="A136" s="36" t="s">
        <v>2257</v>
      </c>
      <c r="B136" s="37">
        <v>5281</v>
      </c>
      <c r="C136" s="37" t="s">
        <v>44</v>
      </c>
      <c r="D136" s="37">
        <f>K136</f>
        <v>0.4</v>
      </c>
      <c r="E136" s="37" t="s">
        <v>8</v>
      </c>
      <c r="F136" s="38" t="s">
        <v>9</v>
      </c>
      <c r="G136" s="42">
        <v>1000</v>
      </c>
      <c r="H136" s="40">
        <f t="shared" si="5"/>
        <v>4.0000000000000002E-4</v>
      </c>
      <c r="I136" s="35"/>
      <c r="J136" s="35"/>
      <c r="K136" s="35">
        <v>0.4</v>
      </c>
      <c r="L136" s="35" t="s">
        <v>2124</v>
      </c>
      <c r="M136" s="35"/>
      <c r="N136" s="35" t="s">
        <v>2155</v>
      </c>
    </row>
    <row r="137" spans="1:15" ht="14" hidden="1">
      <c r="A137" s="36" t="s">
        <v>2258</v>
      </c>
      <c r="B137" s="37">
        <v>5290</v>
      </c>
      <c r="C137" s="37" t="s">
        <v>345</v>
      </c>
      <c r="D137" s="37">
        <v>1.5</v>
      </c>
      <c r="E137" s="37" t="s">
        <v>8</v>
      </c>
      <c r="F137" s="38" t="s">
        <v>9</v>
      </c>
      <c r="G137" s="42">
        <v>1000</v>
      </c>
      <c r="H137" s="40">
        <f t="shared" si="5"/>
        <v>1.5E-3</v>
      </c>
      <c r="I137" s="35"/>
      <c r="J137" s="35"/>
      <c r="K137" s="35">
        <v>0</v>
      </c>
      <c r="L137" s="35">
        <v>0</v>
      </c>
      <c r="M137" s="35"/>
      <c r="N137" s="35" t="s">
        <v>2155</v>
      </c>
    </row>
    <row r="138" spans="1:15" ht="14" hidden="1">
      <c r="A138" s="36" t="e">
        <v>#N/A</v>
      </c>
      <c r="B138" s="37">
        <v>4058</v>
      </c>
      <c r="C138" s="37" t="s">
        <v>204</v>
      </c>
      <c r="D138" s="37">
        <v>5.4809999999999999</v>
      </c>
      <c r="E138" s="37" t="s">
        <v>15</v>
      </c>
      <c r="F138" s="38" t="s">
        <v>36</v>
      </c>
      <c r="G138" s="42">
        <v>500</v>
      </c>
      <c r="H138" s="40">
        <f t="shared" si="5"/>
        <v>1.0962E-2</v>
      </c>
      <c r="I138" s="35"/>
      <c r="J138" s="35"/>
      <c r="K138" s="35">
        <v>0</v>
      </c>
      <c r="L138" s="35">
        <v>0</v>
      </c>
      <c r="M138" s="35"/>
      <c r="N138" s="35" t="s">
        <v>2155</v>
      </c>
    </row>
    <row r="139" spans="1:15" ht="14" hidden="1">
      <c r="A139" s="36" t="s">
        <v>2259</v>
      </c>
      <c r="B139" s="37">
        <v>4159</v>
      </c>
      <c r="C139" s="37" t="s">
        <v>37</v>
      </c>
      <c r="D139" s="37">
        <f>K139</f>
        <v>7.5</v>
      </c>
      <c r="E139" s="37" t="s">
        <v>8</v>
      </c>
      <c r="F139" s="38" t="s">
        <v>36</v>
      </c>
      <c r="G139" s="42">
        <v>1000</v>
      </c>
      <c r="H139" s="40">
        <f t="shared" si="5"/>
        <v>7.4999999999999997E-3</v>
      </c>
      <c r="I139" s="35"/>
      <c r="J139" s="35"/>
      <c r="K139" s="35">
        <v>7.5</v>
      </c>
      <c r="L139" s="35" t="s">
        <v>2123</v>
      </c>
      <c r="M139" s="35"/>
      <c r="N139" s="35" t="s">
        <v>2155</v>
      </c>
    </row>
    <row r="140" spans="1:15" ht="14" hidden="1">
      <c r="A140" s="36" t="s">
        <v>2260</v>
      </c>
      <c r="B140" s="37">
        <v>4160</v>
      </c>
      <c r="C140" s="37" t="s">
        <v>35</v>
      </c>
      <c r="D140" s="37">
        <f>K140</f>
        <v>1.335</v>
      </c>
      <c r="E140" s="37" t="s">
        <v>15</v>
      </c>
      <c r="F140" s="38" t="s">
        <v>36</v>
      </c>
      <c r="G140" s="42">
        <v>1000</v>
      </c>
      <c r="H140" s="40">
        <f t="shared" si="5"/>
        <v>1.335E-3</v>
      </c>
      <c r="I140" s="35"/>
      <c r="J140" s="35"/>
      <c r="K140" s="35">
        <v>1.335</v>
      </c>
      <c r="L140" s="35" t="s">
        <v>2123</v>
      </c>
      <c r="M140" s="35"/>
      <c r="N140" s="35" t="s">
        <v>2155</v>
      </c>
      <c r="O140" s="36">
        <v>1200</v>
      </c>
    </row>
    <row r="141" spans="1:15" ht="14" hidden="1">
      <c r="A141" s="36" t="s">
        <v>2261</v>
      </c>
      <c r="B141" s="37">
        <v>4163</v>
      </c>
      <c r="C141" s="37" t="s">
        <v>146</v>
      </c>
      <c r="D141" s="37">
        <f>K141</f>
        <v>2.0512000000000001</v>
      </c>
      <c r="E141" s="37" t="s">
        <v>8</v>
      </c>
      <c r="F141" s="38" t="s">
        <v>36</v>
      </c>
      <c r="G141" s="42">
        <v>1000</v>
      </c>
      <c r="H141" s="40">
        <f t="shared" si="5"/>
        <v>2.0512E-3</v>
      </c>
      <c r="I141" s="35"/>
      <c r="J141" s="35"/>
      <c r="K141" s="35">
        <v>2.0512000000000001</v>
      </c>
      <c r="L141" s="35" t="s">
        <v>2124</v>
      </c>
      <c r="M141" s="35"/>
      <c r="N141" s="35" t="s">
        <v>2155</v>
      </c>
    </row>
    <row r="142" spans="1:15" ht="14" hidden="1">
      <c r="A142" s="36" t="e">
        <v>#N/A</v>
      </c>
      <c r="B142" s="37">
        <v>4023</v>
      </c>
      <c r="C142" s="37" t="s">
        <v>134</v>
      </c>
      <c r="D142" s="37">
        <f>K142</f>
        <v>31.302</v>
      </c>
      <c r="E142" s="37" t="s">
        <v>8</v>
      </c>
      <c r="F142" s="38" t="s">
        <v>21</v>
      </c>
      <c r="G142" s="42">
        <v>1000</v>
      </c>
      <c r="H142" s="40">
        <f t="shared" si="5"/>
        <v>3.1301999999999996E-2</v>
      </c>
      <c r="I142" s="35"/>
      <c r="J142" s="35"/>
      <c r="K142" s="35">
        <v>31.302</v>
      </c>
      <c r="L142" s="35" t="s">
        <v>2124</v>
      </c>
      <c r="M142" s="35"/>
      <c r="N142" s="35" t="s">
        <v>2155</v>
      </c>
    </row>
    <row r="143" spans="1:15" ht="14" hidden="1">
      <c r="A143" s="36" t="s">
        <v>2262</v>
      </c>
      <c r="B143" s="37">
        <v>4633</v>
      </c>
      <c r="C143" s="37" t="s">
        <v>72</v>
      </c>
      <c r="D143" s="37">
        <v>2.0673076923076921</v>
      </c>
      <c r="E143" s="37" t="s">
        <v>8</v>
      </c>
      <c r="F143" s="38" t="s">
        <v>21</v>
      </c>
      <c r="G143" s="42">
        <v>500</v>
      </c>
      <c r="H143" s="40">
        <f t="shared" si="5"/>
        <v>4.1346153846153842E-3</v>
      </c>
      <c r="I143" s="35"/>
      <c r="J143" s="35"/>
      <c r="K143" s="35">
        <v>2.0670000000000002</v>
      </c>
      <c r="L143" s="35" t="s">
        <v>2130</v>
      </c>
      <c r="M143" s="35"/>
      <c r="N143" s="35" t="s">
        <v>2155</v>
      </c>
    </row>
    <row r="144" spans="1:15" ht="14" hidden="1">
      <c r="A144" s="36" t="e">
        <v>#N/A</v>
      </c>
      <c r="B144" s="37">
        <v>4657</v>
      </c>
      <c r="C144" s="37" t="s">
        <v>363</v>
      </c>
      <c r="D144" s="37">
        <v>4</v>
      </c>
      <c r="E144" s="37" t="s">
        <v>8</v>
      </c>
      <c r="F144" s="38" t="s">
        <v>21</v>
      </c>
      <c r="G144" s="42">
        <v>1000</v>
      </c>
      <c r="H144" s="40">
        <f t="shared" si="5"/>
        <v>4.0000000000000001E-3</v>
      </c>
      <c r="I144" s="35"/>
      <c r="J144" s="35"/>
      <c r="K144" s="35">
        <v>0</v>
      </c>
      <c r="L144" s="35">
        <v>0</v>
      </c>
      <c r="M144" s="35"/>
      <c r="N144" s="35" t="s">
        <v>2155</v>
      </c>
    </row>
    <row r="145" spans="1:15" ht="14" hidden="1">
      <c r="A145" s="36" t="e">
        <v>#N/A</v>
      </c>
      <c r="B145" s="37">
        <v>4658</v>
      </c>
      <c r="C145" s="37" t="s">
        <v>362</v>
      </c>
      <c r="D145" s="37">
        <v>4.25</v>
      </c>
      <c r="E145" s="37" t="s">
        <v>8</v>
      </c>
      <c r="F145" s="38" t="s">
        <v>21</v>
      </c>
      <c r="G145" s="42">
        <v>1000</v>
      </c>
      <c r="H145" s="40">
        <f t="shared" si="5"/>
        <v>4.2500000000000003E-3</v>
      </c>
      <c r="I145" s="35"/>
      <c r="J145" s="35"/>
      <c r="K145" s="35">
        <v>0</v>
      </c>
      <c r="L145" s="35">
        <v>0</v>
      </c>
      <c r="M145" s="35"/>
      <c r="N145" s="35" t="s">
        <v>2155</v>
      </c>
    </row>
    <row r="146" spans="1:15" ht="14" hidden="1">
      <c r="A146" s="36" t="e">
        <v>#N/A</v>
      </c>
      <c r="B146" s="37">
        <v>5379</v>
      </c>
      <c r="C146" s="37" t="s">
        <v>338</v>
      </c>
      <c r="D146" s="37">
        <v>3</v>
      </c>
      <c r="E146" s="37" t="s">
        <v>8</v>
      </c>
      <c r="F146" s="38" t="s">
        <v>21</v>
      </c>
      <c r="G146" s="42">
        <v>1000</v>
      </c>
      <c r="H146" s="40">
        <f t="shared" si="5"/>
        <v>3.0000000000000001E-3</v>
      </c>
      <c r="I146" s="35"/>
      <c r="J146" s="35"/>
      <c r="K146" s="35">
        <v>0</v>
      </c>
      <c r="L146" s="35">
        <v>0</v>
      </c>
      <c r="M146" s="35"/>
      <c r="N146" s="35" t="s">
        <v>2155</v>
      </c>
    </row>
    <row r="147" spans="1:15" ht="14" hidden="1">
      <c r="A147" s="36" t="e">
        <v>#N/A</v>
      </c>
      <c r="B147" s="37">
        <v>5385</v>
      </c>
      <c r="C147" s="37" t="s">
        <v>341</v>
      </c>
      <c r="D147" s="37">
        <v>4.25</v>
      </c>
      <c r="E147" s="37" t="s">
        <v>8</v>
      </c>
      <c r="F147" s="38" t="s">
        <v>21</v>
      </c>
      <c r="G147" s="42">
        <v>1000</v>
      </c>
      <c r="H147" s="40">
        <f t="shared" si="5"/>
        <v>4.2500000000000003E-3</v>
      </c>
      <c r="I147" s="35"/>
      <c r="J147" s="35"/>
      <c r="K147" s="35">
        <v>0</v>
      </c>
      <c r="L147" s="35">
        <v>0</v>
      </c>
      <c r="M147" s="35"/>
      <c r="N147" s="35" t="s">
        <v>2155</v>
      </c>
    </row>
    <row r="148" spans="1:15" ht="14" hidden="1">
      <c r="A148" s="36" t="e">
        <v>#N/A</v>
      </c>
      <c r="B148" s="37">
        <v>4001</v>
      </c>
      <c r="C148" s="37" t="s">
        <v>101</v>
      </c>
      <c r="D148" s="37">
        <f>K148</f>
        <v>0.43099999999999999</v>
      </c>
      <c r="E148" s="37" t="s">
        <v>15</v>
      </c>
      <c r="F148" s="38" t="s">
        <v>23</v>
      </c>
      <c r="G148" s="42">
        <v>1000</v>
      </c>
      <c r="H148" s="40">
        <f t="shared" si="5"/>
        <v>4.3100000000000001E-4</v>
      </c>
      <c r="I148" s="35"/>
      <c r="J148" s="35"/>
      <c r="K148" s="35">
        <v>0.43099999999999999</v>
      </c>
      <c r="L148" s="35" t="s">
        <v>2123</v>
      </c>
      <c r="M148" s="35"/>
      <c r="N148" s="35" t="s">
        <v>2155</v>
      </c>
    </row>
    <row r="149" spans="1:15" ht="14" hidden="1">
      <c r="A149" s="36" t="e">
        <v>#N/A</v>
      </c>
      <c r="B149" s="37">
        <v>4002</v>
      </c>
      <c r="C149" s="37" t="s">
        <v>100</v>
      </c>
      <c r="D149" s="37">
        <v>4.3099999999999996</v>
      </c>
      <c r="E149" s="37" t="s">
        <v>15</v>
      </c>
      <c r="F149" s="38" t="s">
        <v>23</v>
      </c>
      <c r="G149" s="42">
        <v>14800</v>
      </c>
      <c r="H149" s="40">
        <f t="shared" si="5"/>
        <v>2.9121621621621617E-4</v>
      </c>
      <c r="I149" s="35"/>
      <c r="J149" s="35"/>
      <c r="K149" s="35">
        <v>0</v>
      </c>
      <c r="L149" s="35">
        <v>0</v>
      </c>
      <c r="M149" s="35"/>
      <c r="N149" s="35" t="s">
        <v>2155</v>
      </c>
    </row>
    <row r="150" spans="1:15" ht="14" hidden="1">
      <c r="A150" s="36" t="s">
        <v>2263</v>
      </c>
      <c r="B150" s="37">
        <v>4004</v>
      </c>
      <c r="C150" s="37" t="s">
        <v>105</v>
      </c>
      <c r="D150" s="37">
        <f t="shared" ref="D150:D156" si="6">K150</f>
        <v>2.4516</v>
      </c>
      <c r="E150" s="37" t="s">
        <v>8</v>
      </c>
      <c r="F150" s="38" t="s">
        <v>23</v>
      </c>
      <c r="G150" s="42">
        <v>1000</v>
      </c>
      <c r="H150" s="40">
        <f t="shared" si="5"/>
        <v>2.4516E-3</v>
      </c>
      <c r="I150" s="35"/>
      <c r="J150" s="35"/>
      <c r="K150" s="35">
        <v>2.4516</v>
      </c>
      <c r="L150" s="35" t="s">
        <v>2123</v>
      </c>
      <c r="M150" s="35"/>
      <c r="N150" s="303" t="s">
        <v>2155</v>
      </c>
      <c r="O150" s="304">
        <v>1250</v>
      </c>
    </row>
    <row r="151" spans="1:15" ht="14" hidden="1">
      <c r="A151" s="36" t="s">
        <v>2264</v>
      </c>
      <c r="B151" s="37">
        <v>4005</v>
      </c>
      <c r="C151" s="37" t="s">
        <v>122</v>
      </c>
      <c r="D151" s="37">
        <f t="shared" si="6"/>
        <v>2.169</v>
      </c>
      <c r="E151" s="37" t="s">
        <v>8</v>
      </c>
      <c r="F151" s="38" t="s">
        <v>23</v>
      </c>
      <c r="G151" s="42">
        <v>1000</v>
      </c>
      <c r="H151" s="40">
        <f t="shared" si="5"/>
        <v>2.1689999999999999E-3</v>
      </c>
      <c r="I151" s="35"/>
      <c r="J151" s="35"/>
      <c r="K151" s="35">
        <v>2.169</v>
      </c>
      <c r="L151" s="35" t="s">
        <v>2124</v>
      </c>
      <c r="M151" s="35"/>
      <c r="N151" s="303" t="s">
        <v>2155</v>
      </c>
      <c r="O151" s="304">
        <v>600</v>
      </c>
    </row>
    <row r="152" spans="1:15" ht="14" hidden="1">
      <c r="A152" s="36" t="s">
        <v>2265</v>
      </c>
      <c r="B152" s="37">
        <v>4006</v>
      </c>
      <c r="C152" s="37" t="s">
        <v>22</v>
      </c>
      <c r="D152" s="37">
        <f t="shared" si="6"/>
        <v>1.508</v>
      </c>
      <c r="E152" s="37" t="s">
        <v>8</v>
      </c>
      <c r="F152" s="38" t="s">
        <v>23</v>
      </c>
      <c r="G152" s="42">
        <v>1000</v>
      </c>
      <c r="H152" s="40">
        <f t="shared" si="5"/>
        <v>1.508E-3</v>
      </c>
      <c r="I152" s="35"/>
      <c r="J152" s="35"/>
      <c r="K152" s="35">
        <v>1.508</v>
      </c>
      <c r="L152" s="35" t="s">
        <v>2124</v>
      </c>
      <c r="M152" s="35"/>
      <c r="N152" s="35" t="s">
        <v>2155</v>
      </c>
    </row>
    <row r="153" spans="1:15" ht="14" hidden="1">
      <c r="A153" s="36" t="s">
        <v>2266</v>
      </c>
      <c r="B153" s="37">
        <v>4008</v>
      </c>
      <c r="C153" s="37" t="s">
        <v>38</v>
      </c>
      <c r="D153" s="37">
        <f t="shared" si="6"/>
        <v>3.07</v>
      </c>
      <c r="E153" s="37" t="s">
        <v>15</v>
      </c>
      <c r="F153" s="38" t="s">
        <v>23</v>
      </c>
      <c r="G153" s="42">
        <v>1000</v>
      </c>
      <c r="H153" s="40">
        <f t="shared" si="5"/>
        <v>3.0699999999999998E-3</v>
      </c>
      <c r="I153" s="35"/>
      <c r="J153" s="35"/>
      <c r="K153" s="35">
        <v>3.07</v>
      </c>
      <c r="L153" s="35" t="s">
        <v>2123</v>
      </c>
      <c r="M153" s="35"/>
      <c r="N153" s="35" t="s">
        <v>2155</v>
      </c>
    </row>
    <row r="154" spans="1:15" ht="14" hidden="1">
      <c r="A154" s="36" t="s">
        <v>2267</v>
      </c>
      <c r="B154" s="37">
        <v>4009</v>
      </c>
      <c r="C154" s="37" t="s">
        <v>74</v>
      </c>
      <c r="D154" s="37">
        <f t="shared" si="6"/>
        <v>3.4117999999999999</v>
      </c>
      <c r="E154" s="37" t="s">
        <v>8</v>
      </c>
      <c r="F154" s="38" t="s">
        <v>23</v>
      </c>
      <c r="G154" s="42">
        <v>1000</v>
      </c>
      <c r="H154" s="40">
        <f t="shared" si="5"/>
        <v>3.4118E-3</v>
      </c>
      <c r="I154" s="35"/>
      <c r="J154" s="35"/>
      <c r="K154" s="35">
        <v>3.4117999999999999</v>
      </c>
      <c r="L154" s="35" t="s">
        <v>2123</v>
      </c>
      <c r="M154" s="35"/>
      <c r="N154" s="303" t="s">
        <v>2155</v>
      </c>
      <c r="O154" s="304">
        <v>2000</v>
      </c>
    </row>
    <row r="155" spans="1:15" ht="14" hidden="1">
      <c r="A155" s="36" t="s">
        <v>2268</v>
      </c>
      <c r="B155" s="37">
        <v>4010</v>
      </c>
      <c r="C155" s="37" t="s">
        <v>173</v>
      </c>
      <c r="D155" s="37">
        <f t="shared" si="6"/>
        <v>3.2040000000000002</v>
      </c>
      <c r="E155" s="37" t="s">
        <v>8</v>
      </c>
      <c r="F155" s="38" t="s">
        <v>23</v>
      </c>
      <c r="G155" s="42">
        <v>1000</v>
      </c>
      <c r="H155" s="40">
        <f t="shared" si="5"/>
        <v>3.2040000000000003E-3</v>
      </c>
      <c r="I155" s="35"/>
      <c r="J155" s="35"/>
      <c r="K155" s="35">
        <v>3.2040000000000002</v>
      </c>
      <c r="L155" s="35" t="s">
        <v>2124</v>
      </c>
      <c r="M155" s="35"/>
      <c r="N155" s="35" t="s">
        <v>2155</v>
      </c>
    </row>
    <row r="156" spans="1:15" ht="14" hidden="1">
      <c r="A156" s="36" t="s">
        <v>2269</v>
      </c>
      <c r="B156" s="37">
        <v>4011</v>
      </c>
      <c r="C156" s="37" t="s">
        <v>115</v>
      </c>
      <c r="D156" s="37">
        <f t="shared" si="6"/>
        <v>0.68959999999999999</v>
      </c>
      <c r="E156" s="37" t="s">
        <v>8</v>
      </c>
      <c r="F156" s="38" t="s">
        <v>23</v>
      </c>
      <c r="G156" s="42">
        <v>1000</v>
      </c>
      <c r="H156" s="40">
        <f t="shared" si="5"/>
        <v>6.8959999999999996E-4</v>
      </c>
      <c r="I156" s="35"/>
      <c r="J156" s="35"/>
      <c r="K156" s="35">
        <v>0.68959999999999999</v>
      </c>
      <c r="L156" s="35" t="s">
        <v>2124</v>
      </c>
      <c r="M156" s="35"/>
      <c r="N156" s="303" t="s">
        <v>2155</v>
      </c>
      <c r="O156" s="306">
        <v>35</v>
      </c>
    </row>
    <row r="157" spans="1:15" ht="14" hidden="1">
      <c r="A157" s="36" t="e">
        <v>#N/A</v>
      </c>
      <c r="B157" s="37">
        <v>4014</v>
      </c>
      <c r="C157" s="37" t="s">
        <v>76</v>
      </c>
      <c r="D157" s="37">
        <v>9.048</v>
      </c>
      <c r="E157" s="37" t="s">
        <v>8</v>
      </c>
      <c r="F157" s="38" t="s">
        <v>23</v>
      </c>
      <c r="G157" s="42">
        <v>1800</v>
      </c>
      <c r="H157" s="40">
        <f t="shared" si="5"/>
        <v>5.0266666666666663E-3</v>
      </c>
      <c r="I157" s="35"/>
      <c r="J157" s="35"/>
      <c r="K157" s="35">
        <v>0</v>
      </c>
      <c r="L157" s="35">
        <v>0</v>
      </c>
      <c r="M157" s="35"/>
      <c r="N157" s="35" t="s">
        <v>2155</v>
      </c>
    </row>
    <row r="158" spans="1:15" ht="14" hidden="1">
      <c r="A158" s="36" t="e">
        <v>#N/A</v>
      </c>
      <c r="B158" s="37">
        <v>4019</v>
      </c>
      <c r="C158" s="37" t="s">
        <v>202</v>
      </c>
      <c r="D158" s="37">
        <v>4.7409999999999997</v>
      </c>
      <c r="E158" s="37" t="s">
        <v>8</v>
      </c>
      <c r="F158" s="38" t="s">
        <v>23</v>
      </c>
      <c r="G158" s="42">
        <v>1000</v>
      </c>
      <c r="H158" s="40">
        <f t="shared" si="5"/>
        <v>4.7409999999999996E-3</v>
      </c>
      <c r="I158" s="35"/>
      <c r="J158" s="35"/>
      <c r="K158" s="35">
        <v>0</v>
      </c>
      <c r="L158" s="35">
        <v>0</v>
      </c>
      <c r="M158" s="35"/>
      <c r="N158" s="35" t="s">
        <v>2155</v>
      </c>
    </row>
    <row r="159" spans="1:15" ht="14" hidden="1">
      <c r="A159" s="36" t="s">
        <v>2270</v>
      </c>
      <c r="B159" s="37">
        <v>4030</v>
      </c>
      <c r="C159" s="37" t="s">
        <v>75</v>
      </c>
      <c r="D159" s="37">
        <f>K159</f>
        <v>1.2</v>
      </c>
      <c r="E159" s="37" t="s">
        <v>8</v>
      </c>
      <c r="F159" s="38" t="s">
        <v>23</v>
      </c>
      <c r="G159" s="42">
        <v>400</v>
      </c>
      <c r="H159" s="40">
        <f t="shared" si="5"/>
        <v>3.0000000000000001E-3</v>
      </c>
      <c r="I159" s="35"/>
      <c r="J159" s="35"/>
      <c r="K159" s="35">
        <v>1.2</v>
      </c>
      <c r="L159" s="35" t="s">
        <v>2121</v>
      </c>
      <c r="M159" s="35"/>
      <c r="N159" s="35" t="s">
        <v>2155</v>
      </c>
    </row>
    <row r="160" spans="1:15" ht="14" hidden="1">
      <c r="A160" s="36" t="s">
        <v>2271</v>
      </c>
      <c r="B160" s="37">
        <v>4034</v>
      </c>
      <c r="C160" s="37" t="s">
        <v>103</v>
      </c>
      <c r="D160" s="37">
        <f>K160</f>
        <v>0.95099999999999996</v>
      </c>
      <c r="E160" s="37" t="s">
        <v>8</v>
      </c>
      <c r="F160" s="38" t="s">
        <v>23</v>
      </c>
      <c r="G160" s="42">
        <v>595</v>
      </c>
      <c r="H160" s="40">
        <f t="shared" si="5"/>
        <v>1.5983193277310924E-3</v>
      </c>
      <c r="I160" s="35"/>
      <c r="J160" s="35"/>
      <c r="K160" s="35">
        <v>0.95099999999999996</v>
      </c>
      <c r="L160" s="35" t="s">
        <v>2131</v>
      </c>
      <c r="M160" s="35"/>
      <c r="N160" s="35" t="s">
        <v>2155</v>
      </c>
    </row>
    <row r="161" spans="1:14" ht="14" hidden="1">
      <c r="A161" s="36" t="e">
        <v>#N/A</v>
      </c>
      <c r="B161" s="37">
        <v>4036</v>
      </c>
      <c r="C161" s="37" t="s">
        <v>116</v>
      </c>
      <c r="D161" s="37">
        <v>41.379310344827587</v>
      </c>
      <c r="E161" s="37" t="s">
        <v>15</v>
      </c>
      <c r="F161" s="38" t="s">
        <v>23</v>
      </c>
      <c r="G161" s="42">
        <v>8880</v>
      </c>
      <c r="H161" s="40">
        <f t="shared" si="5"/>
        <v>4.6598322460391431E-3</v>
      </c>
      <c r="I161" s="35"/>
      <c r="J161" s="35"/>
      <c r="K161" s="35">
        <v>0</v>
      </c>
      <c r="L161" s="35">
        <v>0</v>
      </c>
      <c r="M161" s="35"/>
      <c r="N161" s="35" t="s">
        <v>2155</v>
      </c>
    </row>
    <row r="162" spans="1:14" ht="14" hidden="1">
      <c r="A162" s="36" t="s">
        <v>2272</v>
      </c>
      <c r="B162" s="37">
        <v>4042</v>
      </c>
      <c r="C162" s="37" t="s">
        <v>124</v>
      </c>
      <c r="D162" s="37">
        <f>K162</f>
        <v>1.7749999999999999</v>
      </c>
      <c r="E162" s="37" t="s">
        <v>8</v>
      </c>
      <c r="F162" s="38" t="s">
        <v>23</v>
      </c>
      <c r="G162" s="42">
        <v>1000</v>
      </c>
      <c r="H162" s="40">
        <f t="shared" si="5"/>
        <v>1.7749999999999999E-3</v>
      </c>
      <c r="I162" s="35"/>
      <c r="J162" s="35"/>
      <c r="K162" s="35">
        <v>1.7749999999999999</v>
      </c>
      <c r="L162" s="35" t="s">
        <v>2124</v>
      </c>
      <c r="M162" s="35"/>
      <c r="N162" s="35" t="s">
        <v>2155</v>
      </c>
    </row>
    <row r="163" spans="1:14" ht="14" hidden="1">
      <c r="A163" s="36" t="e">
        <v>#N/A</v>
      </c>
      <c r="B163" s="37">
        <v>4044</v>
      </c>
      <c r="C163" s="37" t="s">
        <v>118</v>
      </c>
      <c r="D163" s="37">
        <v>2.802</v>
      </c>
      <c r="E163" s="37" t="s">
        <v>8</v>
      </c>
      <c r="F163" s="38" t="s">
        <v>23</v>
      </c>
      <c r="G163" s="42">
        <v>350</v>
      </c>
      <c r="H163" s="40">
        <f t="shared" si="5"/>
        <v>8.0057142857142861E-3</v>
      </c>
      <c r="I163" s="35"/>
      <c r="J163" s="35"/>
      <c r="K163" s="35">
        <v>0</v>
      </c>
      <c r="L163" s="35">
        <v>0</v>
      </c>
      <c r="M163" s="35"/>
      <c r="N163" s="35" t="s">
        <v>2155</v>
      </c>
    </row>
    <row r="164" spans="1:14" ht="14" hidden="1">
      <c r="A164" s="36" t="e">
        <v>#N/A</v>
      </c>
      <c r="B164" s="37">
        <v>4045</v>
      </c>
      <c r="C164" s="37" t="s">
        <v>40</v>
      </c>
      <c r="D164" s="37">
        <f>K164</f>
        <v>1.3666</v>
      </c>
      <c r="E164" s="37" t="s">
        <v>8</v>
      </c>
      <c r="F164" s="38" t="s">
        <v>23</v>
      </c>
      <c r="G164" s="42">
        <v>1000</v>
      </c>
      <c r="H164" s="40">
        <f t="shared" si="5"/>
        <v>1.3665999999999999E-3</v>
      </c>
      <c r="I164" s="35"/>
      <c r="J164" s="35"/>
      <c r="K164" s="35">
        <v>1.3666</v>
      </c>
      <c r="L164" s="35" t="s">
        <v>2124</v>
      </c>
      <c r="M164" s="35"/>
      <c r="N164" s="35" t="s">
        <v>2155</v>
      </c>
    </row>
    <row r="165" spans="1:14" ht="14" hidden="1">
      <c r="A165" s="36" t="s">
        <v>2273</v>
      </c>
      <c r="B165" s="37">
        <v>4054</v>
      </c>
      <c r="C165" s="37" t="s">
        <v>257</v>
      </c>
      <c r="D165" s="37">
        <f>K165</f>
        <v>5.0279999999999996</v>
      </c>
      <c r="E165" s="37" t="s">
        <v>8</v>
      </c>
      <c r="F165" s="38" t="s">
        <v>23</v>
      </c>
      <c r="G165" s="42">
        <v>1000</v>
      </c>
      <c r="H165" s="40">
        <f t="shared" si="5"/>
        <v>5.0279999999999995E-3</v>
      </c>
      <c r="I165" s="35"/>
      <c r="J165" s="35"/>
      <c r="K165" s="35">
        <v>5.0279999999999996</v>
      </c>
      <c r="L165" s="35" t="s">
        <v>2124</v>
      </c>
      <c r="M165" s="35"/>
      <c r="N165" s="35" t="s">
        <v>2155</v>
      </c>
    </row>
    <row r="166" spans="1:14" ht="14" hidden="1">
      <c r="A166" s="36" t="e">
        <v>#N/A</v>
      </c>
      <c r="B166" s="37">
        <v>4056</v>
      </c>
      <c r="C166" s="37" t="s">
        <v>43</v>
      </c>
      <c r="D166" s="37">
        <v>4.3099999999999996</v>
      </c>
      <c r="E166" s="37" t="s">
        <v>8</v>
      </c>
      <c r="F166" s="38" t="s">
        <v>23</v>
      </c>
      <c r="G166" s="42">
        <v>700</v>
      </c>
      <c r="H166" s="40">
        <f t="shared" si="5"/>
        <v>6.1571428571428567E-3</v>
      </c>
      <c r="I166" s="35"/>
      <c r="J166" s="35"/>
      <c r="K166" s="35">
        <v>0</v>
      </c>
      <c r="L166" s="35">
        <v>0</v>
      </c>
      <c r="M166" s="35"/>
      <c r="N166" s="35" t="s">
        <v>2155</v>
      </c>
    </row>
    <row r="167" spans="1:14" ht="14" hidden="1">
      <c r="A167" s="36" t="s">
        <v>2274</v>
      </c>
      <c r="B167" s="37">
        <v>4063</v>
      </c>
      <c r="C167" s="37" t="s">
        <v>123</v>
      </c>
      <c r="D167" s="37">
        <v>33.621000000000002</v>
      </c>
      <c r="E167" s="37" t="s">
        <v>15</v>
      </c>
      <c r="F167" s="38" t="s">
        <v>23</v>
      </c>
      <c r="G167" s="42">
        <v>6000</v>
      </c>
      <c r="H167" s="40">
        <f t="shared" si="5"/>
        <v>5.6035E-3</v>
      </c>
      <c r="I167" s="35"/>
      <c r="J167" s="35"/>
      <c r="K167" s="35">
        <v>0</v>
      </c>
      <c r="L167" s="35" t="s">
        <v>2123</v>
      </c>
      <c r="M167" s="35"/>
      <c r="N167" s="35" t="s">
        <v>2155</v>
      </c>
    </row>
    <row r="168" spans="1:14" ht="14" hidden="1">
      <c r="A168" s="36" t="e">
        <v>#N/A</v>
      </c>
      <c r="B168" s="37">
        <v>4065</v>
      </c>
      <c r="C168" s="37" t="s">
        <v>236</v>
      </c>
      <c r="D168" s="37">
        <v>1.9216</v>
      </c>
      <c r="E168" s="37" t="s">
        <v>15</v>
      </c>
      <c r="F168" s="38" t="s">
        <v>23</v>
      </c>
      <c r="G168" s="42">
        <v>600</v>
      </c>
      <c r="H168" s="40">
        <f t="shared" si="5"/>
        <v>3.2026666666666666E-3</v>
      </c>
      <c r="I168" s="35"/>
      <c r="J168" s="35"/>
      <c r="K168" s="35">
        <v>0</v>
      </c>
      <c r="L168" s="35">
        <v>0</v>
      </c>
      <c r="M168" s="35"/>
      <c r="N168" s="35" t="s">
        <v>2155</v>
      </c>
    </row>
    <row r="169" spans="1:14" ht="14" hidden="1">
      <c r="A169" s="36" t="s">
        <v>2275</v>
      </c>
      <c r="B169" s="37">
        <v>4071</v>
      </c>
      <c r="C169" s="37" t="s">
        <v>114</v>
      </c>
      <c r="D169" s="37">
        <f>K169</f>
        <v>1.6576</v>
      </c>
      <c r="E169" s="37" t="s">
        <v>8</v>
      </c>
      <c r="F169" s="38" t="s">
        <v>23</v>
      </c>
      <c r="G169" s="42">
        <v>1000</v>
      </c>
      <c r="H169" s="40">
        <f t="shared" si="5"/>
        <v>1.6576E-3</v>
      </c>
      <c r="I169" s="35"/>
      <c r="J169" s="35"/>
      <c r="K169" s="35">
        <v>1.6576</v>
      </c>
      <c r="L169" s="35" t="s">
        <v>2124</v>
      </c>
      <c r="M169" s="35"/>
      <c r="N169" s="35" t="s">
        <v>2155</v>
      </c>
    </row>
    <row r="170" spans="1:14" ht="14" hidden="1">
      <c r="A170" s="36" t="e">
        <v>#N/A</v>
      </c>
      <c r="B170" s="37">
        <v>4074</v>
      </c>
      <c r="C170" s="37" t="s">
        <v>112</v>
      </c>
      <c r="D170" s="37">
        <v>5.4761904761904763</v>
      </c>
      <c r="E170" s="37" t="s">
        <v>8</v>
      </c>
      <c r="F170" s="38" t="s">
        <v>23</v>
      </c>
      <c r="G170" s="42">
        <v>3600</v>
      </c>
      <c r="H170" s="40">
        <f t="shared" si="5"/>
        <v>1.5211640211640213E-3</v>
      </c>
      <c r="I170" s="35"/>
      <c r="J170" s="35"/>
      <c r="K170" s="35">
        <v>0</v>
      </c>
      <c r="L170" s="35">
        <v>0</v>
      </c>
      <c r="M170" s="35"/>
      <c r="N170" s="35" t="s">
        <v>2155</v>
      </c>
    </row>
    <row r="171" spans="1:14" ht="14" hidden="1">
      <c r="A171" s="36" t="s">
        <v>2276</v>
      </c>
      <c r="B171" s="37">
        <v>4077</v>
      </c>
      <c r="C171" s="37" t="s">
        <v>121</v>
      </c>
      <c r="D171" s="37">
        <f>K171</f>
        <v>1.5089999999999999</v>
      </c>
      <c r="E171" s="37" t="s">
        <v>8</v>
      </c>
      <c r="F171" s="38" t="s">
        <v>23</v>
      </c>
      <c r="G171" s="42">
        <v>425</v>
      </c>
      <c r="H171" s="40">
        <f t="shared" si="5"/>
        <v>3.5505882352941174E-3</v>
      </c>
      <c r="I171" s="35"/>
      <c r="J171" s="35"/>
      <c r="K171" s="35">
        <v>1.5089999999999999</v>
      </c>
      <c r="L171" s="35" t="s">
        <v>2132</v>
      </c>
      <c r="M171" s="35"/>
      <c r="N171" s="35" t="s">
        <v>2155</v>
      </c>
    </row>
    <row r="172" spans="1:14" ht="14" hidden="1">
      <c r="A172" s="36" t="e">
        <v>#N/A</v>
      </c>
      <c r="B172" s="37">
        <v>4081</v>
      </c>
      <c r="C172" s="37" t="s">
        <v>130</v>
      </c>
      <c r="D172" s="37">
        <f>K172</f>
        <v>2.6539999999999999</v>
      </c>
      <c r="E172" s="37" t="s">
        <v>8</v>
      </c>
      <c r="F172" s="38" t="s">
        <v>23</v>
      </c>
      <c r="G172" s="42">
        <v>908</v>
      </c>
      <c r="H172" s="40">
        <f t="shared" si="5"/>
        <v>2.922907488986784E-3</v>
      </c>
      <c r="I172" s="35"/>
      <c r="J172" s="35"/>
      <c r="K172" s="35">
        <v>2.6539999999999999</v>
      </c>
      <c r="L172" s="35" t="s">
        <v>2124</v>
      </c>
      <c r="M172" s="35"/>
      <c r="N172" s="35" t="s">
        <v>2155</v>
      </c>
    </row>
    <row r="173" spans="1:14" ht="14" hidden="1">
      <c r="A173" s="36" t="s">
        <v>2277</v>
      </c>
      <c r="B173" s="37">
        <v>4082</v>
      </c>
      <c r="C173" s="37" t="s">
        <v>141</v>
      </c>
      <c r="D173" s="37">
        <f>K173</f>
        <v>5.7</v>
      </c>
      <c r="E173" s="37" t="s">
        <v>8</v>
      </c>
      <c r="F173" s="38" t="s">
        <v>23</v>
      </c>
      <c r="G173" s="42">
        <v>1000</v>
      </c>
      <c r="H173" s="40">
        <f t="shared" si="5"/>
        <v>5.7000000000000002E-3</v>
      </c>
      <c r="I173" s="35"/>
      <c r="J173" s="35"/>
      <c r="K173" s="35">
        <v>5.7</v>
      </c>
      <c r="L173" s="35" t="s">
        <v>2124</v>
      </c>
      <c r="M173" s="35"/>
      <c r="N173" s="35" t="s">
        <v>2155</v>
      </c>
    </row>
    <row r="174" spans="1:14" ht="14" hidden="1">
      <c r="A174" s="36" t="s">
        <v>2278</v>
      </c>
      <c r="B174" s="37">
        <v>4088</v>
      </c>
      <c r="C174" s="37" t="s">
        <v>80</v>
      </c>
      <c r="D174" s="37">
        <f>K174</f>
        <v>1.948</v>
      </c>
      <c r="E174" s="37" t="s">
        <v>15</v>
      </c>
      <c r="F174" s="38" t="s">
        <v>23</v>
      </c>
      <c r="G174" s="42">
        <v>1000</v>
      </c>
      <c r="H174" s="40">
        <f t="shared" si="5"/>
        <v>1.9479999999999999E-3</v>
      </c>
      <c r="I174" s="35"/>
      <c r="J174" s="35"/>
      <c r="K174" s="35">
        <v>1.948</v>
      </c>
      <c r="L174" s="35" t="s">
        <v>2124</v>
      </c>
      <c r="M174" s="35"/>
      <c r="N174" s="80" t="s">
        <v>3029</v>
      </c>
    </row>
    <row r="175" spans="1:14" ht="14" hidden="1">
      <c r="A175" s="36" t="s">
        <v>2279</v>
      </c>
      <c r="B175" s="37">
        <v>4100</v>
      </c>
      <c r="C175" s="37" t="s">
        <v>149</v>
      </c>
      <c r="D175" s="37">
        <f>K175</f>
        <v>0.29759999999999998</v>
      </c>
      <c r="E175" s="37" t="s">
        <v>8</v>
      </c>
      <c r="F175" s="38" t="s">
        <v>23</v>
      </c>
      <c r="G175" s="42">
        <v>300</v>
      </c>
      <c r="H175" s="40">
        <f t="shared" si="5"/>
        <v>9.9199999999999983E-4</v>
      </c>
      <c r="I175" s="35"/>
      <c r="J175" s="35"/>
      <c r="K175" s="35">
        <v>0.29759999999999998</v>
      </c>
      <c r="L175" s="35" t="s">
        <v>2133</v>
      </c>
      <c r="M175" s="35"/>
      <c r="N175" s="35" t="s">
        <v>2155</v>
      </c>
    </row>
    <row r="176" spans="1:14" ht="14" hidden="1">
      <c r="A176" s="36" t="e">
        <v>#N/A</v>
      </c>
      <c r="B176" s="37">
        <v>4101</v>
      </c>
      <c r="C176" s="37" t="s">
        <v>113</v>
      </c>
      <c r="D176" s="37">
        <v>23.62</v>
      </c>
      <c r="E176" s="37" t="s">
        <v>8</v>
      </c>
      <c r="F176" s="38" t="s">
        <v>23</v>
      </c>
      <c r="G176" s="42">
        <v>10000</v>
      </c>
      <c r="H176" s="40">
        <f t="shared" si="5"/>
        <v>2.362E-3</v>
      </c>
      <c r="I176" s="35"/>
      <c r="J176" s="35"/>
      <c r="K176" s="35">
        <v>0</v>
      </c>
      <c r="L176" s="35">
        <v>0</v>
      </c>
      <c r="M176" s="35"/>
      <c r="N176" s="35" t="s">
        <v>2155</v>
      </c>
    </row>
    <row r="177" spans="1:14" ht="14" hidden="1">
      <c r="A177" s="36" t="e">
        <v>#N/A</v>
      </c>
      <c r="B177" s="37">
        <v>4102</v>
      </c>
      <c r="C177" s="37" t="s">
        <v>242</v>
      </c>
      <c r="D177" s="37">
        <f>K177</f>
        <v>1.1100000000000001</v>
      </c>
      <c r="E177" s="37" t="s">
        <v>8</v>
      </c>
      <c r="F177" s="38" t="s">
        <v>23</v>
      </c>
      <c r="G177" s="42">
        <v>1000</v>
      </c>
      <c r="H177" s="40">
        <f t="shared" si="5"/>
        <v>1.1100000000000001E-3</v>
      </c>
      <c r="I177" s="35"/>
      <c r="J177" s="35"/>
      <c r="K177" s="35">
        <v>1.1100000000000001</v>
      </c>
      <c r="L177" s="35" t="s">
        <v>2124</v>
      </c>
      <c r="M177" s="35"/>
      <c r="N177" s="35" t="s">
        <v>2155</v>
      </c>
    </row>
    <row r="178" spans="1:14" ht="14" hidden="1">
      <c r="A178" s="36" t="e">
        <v>#N/A</v>
      </c>
      <c r="B178" s="37">
        <v>4110</v>
      </c>
      <c r="C178" s="37" t="s">
        <v>48</v>
      </c>
      <c r="D178" s="37">
        <f>K178</f>
        <v>6.25</v>
      </c>
      <c r="E178" s="37" t="s">
        <v>8</v>
      </c>
      <c r="F178" s="38" t="s">
        <v>23</v>
      </c>
      <c r="G178" s="42">
        <v>1000</v>
      </c>
      <c r="H178" s="40">
        <f t="shared" si="5"/>
        <v>6.2500000000000003E-3</v>
      </c>
      <c r="I178" s="35"/>
      <c r="J178" s="35"/>
      <c r="K178" s="35">
        <v>6.25</v>
      </c>
      <c r="L178" s="35" t="s">
        <v>2124</v>
      </c>
      <c r="M178" s="35"/>
      <c r="N178" s="35" t="s">
        <v>2155</v>
      </c>
    </row>
    <row r="179" spans="1:14" ht="14" hidden="1">
      <c r="A179" s="36" t="e">
        <v>#N/A</v>
      </c>
      <c r="B179" s="37">
        <v>4113</v>
      </c>
      <c r="C179" s="37" t="s">
        <v>65</v>
      </c>
      <c r="D179" s="37">
        <v>1.121</v>
      </c>
      <c r="E179" s="37" t="s">
        <v>8</v>
      </c>
      <c r="F179" s="38" t="s">
        <v>23</v>
      </c>
      <c r="G179" s="42">
        <v>450</v>
      </c>
      <c r="H179" s="40">
        <f t="shared" si="5"/>
        <v>2.491111111111111E-3</v>
      </c>
      <c r="I179" s="35"/>
      <c r="J179" s="35"/>
      <c r="K179" s="35">
        <v>0</v>
      </c>
      <c r="L179" s="35">
        <v>0</v>
      </c>
      <c r="M179" s="35"/>
      <c r="N179" s="35" t="s">
        <v>2155</v>
      </c>
    </row>
    <row r="180" spans="1:14" ht="14" hidden="1">
      <c r="A180" s="36" t="s">
        <v>2280</v>
      </c>
      <c r="B180" s="37">
        <v>4132</v>
      </c>
      <c r="C180" s="37" t="s">
        <v>126</v>
      </c>
      <c r="D180" s="37">
        <f>K180</f>
        <v>1.1388</v>
      </c>
      <c r="E180" s="37" t="s">
        <v>8</v>
      </c>
      <c r="F180" s="38" t="s">
        <v>23</v>
      </c>
      <c r="G180" s="42">
        <v>1000</v>
      </c>
      <c r="H180" s="40">
        <f t="shared" si="5"/>
        <v>1.1388000000000001E-3</v>
      </c>
      <c r="I180" s="35"/>
      <c r="J180" s="35"/>
      <c r="K180" s="35">
        <v>1.1388</v>
      </c>
      <c r="L180" s="35" t="s">
        <v>2124</v>
      </c>
      <c r="M180" s="35"/>
      <c r="N180" s="35" t="s">
        <v>2155</v>
      </c>
    </row>
    <row r="181" spans="1:14" ht="14" hidden="1">
      <c r="A181" s="36" t="s">
        <v>2281</v>
      </c>
      <c r="B181" s="37">
        <v>4133</v>
      </c>
      <c r="C181" s="37" t="s">
        <v>145</v>
      </c>
      <c r="D181" s="37">
        <v>1.1000000000000001</v>
      </c>
      <c r="E181" s="37" t="s">
        <v>8</v>
      </c>
      <c r="F181" s="38" t="s">
        <v>23</v>
      </c>
      <c r="G181" s="42">
        <v>1000</v>
      </c>
      <c r="H181" s="40">
        <f t="shared" si="5"/>
        <v>1.1000000000000001E-3</v>
      </c>
      <c r="I181" s="35"/>
      <c r="J181" s="35"/>
      <c r="K181" s="35">
        <v>0</v>
      </c>
      <c r="L181" s="35">
        <v>0</v>
      </c>
      <c r="M181" s="35"/>
      <c r="N181" s="35" t="s">
        <v>2155</v>
      </c>
    </row>
    <row r="182" spans="1:14" ht="14" hidden="1">
      <c r="A182" s="36" t="e">
        <v>#N/A</v>
      </c>
      <c r="B182" s="37">
        <v>4135</v>
      </c>
      <c r="C182" s="37" t="s">
        <v>166</v>
      </c>
      <c r="D182" s="37">
        <v>12.25</v>
      </c>
      <c r="E182" s="37" t="s">
        <v>8</v>
      </c>
      <c r="F182" s="38" t="s">
        <v>23</v>
      </c>
      <c r="G182" s="42">
        <v>10000</v>
      </c>
      <c r="H182" s="40">
        <f t="shared" si="5"/>
        <v>1.225E-3</v>
      </c>
      <c r="I182" s="35"/>
      <c r="J182" s="35"/>
      <c r="K182" s="35">
        <v>0</v>
      </c>
      <c r="L182" s="35">
        <v>0</v>
      </c>
      <c r="M182" s="35"/>
      <c r="N182" s="35" t="s">
        <v>2155</v>
      </c>
    </row>
    <row r="183" spans="1:14" ht="14" hidden="1">
      <c r="A183" s="36" t="s">
        <v>2282</v>
      </c>
      <c r="B183" s="37">
        <v>4137</v>
      </c>
      <c r="C183" s="37" t="s">
        <v>216</v>
      </c>
      <c r="D183" s="37">
        <f>K183</f>
        <v>2.2059000000000002</v>
      </c>
      <c r="E183" s="37" t="s">
        <v>8</v>
      </c>
      <c r="F183" s="38" t="s">
        <v>23</v>
      </c>
      <c r="G183" s="42">
        <v>1000</v>
      </c>
      <c r="H183" s="40">
        <f t="shared" ref="H183:H243" si="7">D183/G183</f>
        <v>2.2059000000000002E-3</v>
      </c>
      <c r="I183" s="35"/>
      <c r="J183" s="35"/>
      <c r="K183" s="35">
        <v>2.2059000000000002</v>
      </c>
      <c r="L183" s="35" t="s">
        <v>2124</v>
      </c>
      <c r="M183" s="35"/>
      <c r="N183" s="35" t="s">
        <v>2155</v>
      </c>
    </row>
    <row r="184" spans="1:14" ht="14" hidden="1">
      <c r="A184" s="36" t="s">
        <v>2283</v>
      </c>
      <c r="B184" s="37">
        <v>4139</v>
      </c>
      <c r="C184" s="37" t="s">
        <v>133</v>
      </c>
      <c r="D184" s="37">
        <v>14.215999999999999</v>
      </c>
      <c r="E184" s="37" t="s">
        <v>8</v>
      </c>
      <c r="F184" s="38" t="s">
        <v>23</v>
      </c>
      <c r="G184" s="42">
        <v>25000</v>
      </c>
      <c r="H184" s="40">
        <f t="shared" si="7"/>
        <v>5.6863999999999992E-4</v>
      </c>
      <c r="I184" s="35"/>
      <c r="J184" s="35"/>
      <c r="K184" s="35"/>
      <c r="L184" s="35"/>
      <c r="M184" s="35"/>
      <c r="N184" s="35" t="s">
        <v>2155</v>
      </c>
    </row>
    <row r="185" spans="1:14" ht="14" hidden="1">
      <c r="A185" s="36" t="e">
        <v>#N/A</v>
      </c>
      <c r="B185" s="37">
        <v>4142</v>
      </c>
      <c r="C185" s="37" t="s">
        <v>88</v>
      </c>
      <c r="D185" s="37">
        <v>1</v>
      </c>
      <c r="E185" s="37" t="s">
        <v>8</v>
      </c>
      <c r="F185" s="38" t="s">
        <v>23</v>
      </c>
      <c r="G185" s="42">
        <v>1000</v>
      </c>
      <c r="H185" s="40">
        <f t="shared" si="7"/>
        <v>1E-3</v>
      </c>
      <c r="I185" s="35"/>
      <c r="J185" s="35"/>
      <c r="K185" s="35"/>
      <c r="L185" s="35"/>
      <c r="M185" s="35"/>
      <c r="N185" s="35" t="s">
        <v>2155</v>
      </c>
    </row>
    <row r="186" spans="1:14" ht="14" hidden="1">
      <c r="A186" s="36" t="e">
        <v>#N/A</v>
      </c>
      <c r="B186" s="37">
        <v>4143</v>
      </c>
      <c r="C186" s="37" t="s">
        <v>84</v>
      </c>
      <c r="D186" s="37">
        <v>31</v>
      </c>
      <c r="E186" s="37" t="s">
        <v>8</v>
      </c>
      <c r="F186" s="38" t="s">
        <v>23</v>
      </c>
      <c r="G186" s="42">
        <v>25000</v>
      </c>
      <c r="H186" s="40">
        <f t="shared" si="7"/>
        <v>1.24E-3</v>
      </c>
      <c r="I186" s="35"/>
      <c r="J186" s="35"/>
      <c r="K186" s="35"/>
      <c r="L186" s="35"/>
      <c r="M186" s="35"/>
      <c r="N186" s="35" t="s">
        <v>2155</v>
      </c>
    </row>
    <row r="187" spans="1:14" ht="14" hidden="1">
      <c r="A187" s="36" t="e">
        <v>#N/A</v>
      </c>
      <c r="B187" s="37">
        <v>4144</v>
      </c>
      <c r="C187" s="37" t="s">
        <v>87</v>
      </c>
      <c r="D187" s="37">
        <v>45.259</v>
      </c>
      <c r="E187" s="37" t="s">
        <v>8</v>
      </c>
      <c r="F187" s="38" t="s">
        <v>23</v>
      </c>
      <c r="G187" s="42">
        <v>10000</v>
      </c>
      <c r="H187" s="40">
        <f t="shared" si="7"/>
        <v>4.5259000000000002E-3</v>
      </c>
      <c r="I187" s="35"/>
      <c r="J187" s="35"/>
      <c r="K187" s="35"/>
      <c r="L187" s="35"/>
      <c r="M187" s="35"/>
      <c r="N187" s="35" t="s">
        <v>2155</v>
      </c>
    </row>
    <row r="188" spans="1:14" ht="14" hidden="1">
      <c r="A188" s="36" t="e">
        <v>#N/A</v>
      </c>
      <c r="B188" s="37">
        <v>4145</v>
      </c>
      <c r="C188" s="37" t="s">
        <v>99</v>
      </c>
      <c r="D188" s="37">
        <v>11.638</v>
      </c>
      <c r="E188" s="37" t="s">
        <v>8</v>
      </c>
      <c r="F188" s="38" t="s">
        <v>23</v>
      </c>
      <c r="G188" s="42">
        <v>25000</v>
      </c>
      <c r="H188" s="40">
        <f t="shared" si="7"/>
        <v>4.6551999999999997E-4</v>
      </c>
      <c r="I188" s="35"/>
      <c r="J188" s="35"/>
      <c r="K188" s="35"/>
      <c r="L188" s="35"/>
      <c r="M188" s="35"/>
      <c r="N188" s="35" t="s">
        <v>2155</v>
      </c>
    </row>
    <row r="189" spans="1:14" ht="14" hidden="1">
      <c r="A189" s="36" t="e">
        <v>#N/A</v>
      </c>
      <c r="B189" s="37">
        <v>4146</v>
      </c>
      <c r="C189" s="37" t="s">
        <v>46</v>
      </c>
      <c r="D189" s="37">
        <v>16</v>
      </c>
      <c r="E189" s="37" t="s">
        <v>8</v>
      </c>
      <c r="F189" s="38" t="s">
        <v>23</v>
      </c>
      <c r="G189" s="42">
        <v>50000</v>
      </c>
      <c r="H189" s="86">
        <f t="shared" si="7"/>
        <v>3.2000000000000003E-4</v>
      </c>
      <c r="I189" s="35"/>
      <c r="J189" s="35"/>
      <c r="K189" s="35"/>
      <c r="L189" s="35"/>
      <c r="M189" s="35"/>
      <c r="N189" s="35" t="s">
        <v>2155</v>
      </c>
    </row>
    <row r="190" spans="1:14" ht="14" hidden="1">
      <c r="A190" s="36" t="e">
        <v>#N/A</v>
      </c>
      <c r="B190" s="37">
        <v>4148</v>
      </c>
      <c r="C190" s="37" t="s">
        <v>198</v>
      </c>
      <c r="D190" s="37">
        <v>3</v>
      </c>
      <c r="E190" s="37" t="s">
        <v>8</v>
      </c>
      <c r="F190" s="38" t="s">
        <v>23</v>
      </c>
      <c r="G190" s="42">
        <v>1000</v>
      </c>
      <c r="H190" s="40">
        <f t="shared" si="7"/>
        <v>3.0000000000000001E-3</v>
      </c>
      <c r="I190" s="35"/>
      <c r="J190" s="35"/>
      <c r="K190" s="35"/>
      <c r="L190" s="35"/>
      <c r="M190" s="35"/>
      <c r="N190" s="35" t="s">
        <v>2155</v>
      </c>
    </row>
    <row r="191" spans="1:14" ht="14" hidden="1">
      <c r="A191" s="36" t="e">
        <v>#N/A</v>
      </c>
      <c r="B191" s="37">
        <v>4149</v>
      </c>
      <c r="C191" s="37" t="s">
        <v>29</v>
      </c>
      <c r="D191" s="37">
        <v>70.689655172413794</v>
      </c>
      <c r="E191" s="37" t="s">
        <v>8</v>
      </c>
      <c r="F191" s="38" t="s">
        <v>23</v>
      </c>
      <c r="G191" s="42">
        <v>11340</v>
      </c>
      <c r="H191" s="40">
        <f t="shared" si="7"/>
        <v>6.233655658943015E-3</v>
      </c>
      <c r="I191" s="35"/>
      <c r="J191" s="35"/>
      <c r="K191" s="35"/>
      <c r="L191" s="35"/>
      <c r="M191" s="35"/>
      <c r="N191" s="35" t="s">
        <v>2155</v>
      </c>
    </row>
    <row r="192" spans="1:14" ht="14" hidden="1">
      <c r="A192" s="36" t="e">
        <v>#N/A</v>
      </c>
      <c r="B192" s="37">
        <v>4150</v>
      </c>
      <c r="C192" s="37" t="s">
        <v>30</v>
      </c>
      <c r="D192" s="37">
        <v>70.689655172413794</v>
      </c>
      <c r="E192" s="37" t="s">
        <v>8</v>
      </c>
      <c r="F192" s="38" t="s">
        <v>23</v>
      </c>
      <c r="G192" s="42">
        <v>11340</v>
      </c>
      <c r="H192" s="40">
        <f t="shared" si="7"/>
        <v>6.233655658943015E-3</v>
      </c>
      <c r="I192" s="35"/>
      <c r="J192" s="35"/>
      <c r="K192" s="35"/>
      <c r="L192" s="35"/>
      <c r="M192" s="35"/>
      <c r="N192" s="35" t="s">
        <v>2155</v>
      </c>
    </row>
    <row r="193" spans="1:14" ht="14" hidden="1">
      <c r="A193" s="36" t="e">
        <v>#N/A</v>
      </c>
      <c r="B193" s="37">
        <v>4151</v>
      </c>
      <c r="C193" s="37" t="s">
        <v>157</v>
      </c>
      <c r="D193" s="37">
        <v>30.172413793103452</v>
      </c>
      <c r="E193" s="37" t="s">
        <v>8</v>
      </c>
      <c r="F193" s="38" t="s">
        <v>23</v>
      </c>
      <c r="G193" s="42">
        <v>10000</v>
      </c>
      <c r="H193" s="40">
        <f t="shared" si="7"/>
        <v>3.0172413793103452E-3</v>
      </c>
      <c r="I193" s="35"/>
      <c r="J193" s="35"/>
      <c r="K193" s="35"/>
      <c r="L193" s="35"/>
      <c r="M193" s="35"/>
      <c r="N193" s="35" t="s">
        <v>2155</v>
      </c>
    </row>
    <row r="194" spans="1:14" ht="14" hidden="1">
      <c r="A194" s="36" t="s">
        <v>2284</v>
      </c>
      <c r="B194" s="37">
        <v>4153</v>
      </c>
      <c r="C194" s="37" t="s">
        <v>64</v>
      </c>
      <c r="D194" s="37">
        <v>5.25</v>
      </c>
      <c r="E194" s="37" t="s">
        <v>8</v>
      </c>
      <c r="F194" s="38" t="s">
        <v>23</v>
      </c>
      <c r="G194" s="42">
        <v>10000</v>
      </c>
      <c r="H194" s="40">
        <f t="shared" si="7"/>
        <v>5.2499999999999997E-4</v>
      </c>
      <c r="I194" s="35"/>
      <c r="J194" s="35"/>
      <c r="K194" s="35"/>
      <c r="L194" s="35"/>
      <c r="M194" s="35"/>
      <c r="N194" s="35" t="s">
        <v>2155</v>
      </c>
    </row>
    <row r="195" spans="1:14" ht="14" hidden="1">
      <c r="A195" s="36" t="e">
        <v>#N/A</v>
      </c>
      <c r="B195" s="37">
        <v>4156</v>
      </c>
      <c r="C195" s="37" t="s">
        <v>214</v>
      </c>
      <c r="D195" s="37">
        <v>32.5</v>
      </c>
      <c r="E195" s="37" t="s">
        <v>11</v>
      </c>
      <c r="F195" s="38" t="s">
        <v>23</v>
      </c>
      <c r="G195" s="42">
        <v>1000</v>
      </c>
      <c r="H195" s="40">
        <f t="shared" si="7"/>
        <v>3.2500000000000001E-2</v>
      </c>
      <c r="I195" s="35"/>
      <c r="J195" s="35"/>
      <c r="K195" s="35"/>
      <c r="L195" s="35"/>
      <c r="M195" s="35"/>
      <c r="N195" s="35" t="s">
        <v>2155</v>
      </c>
    </row>
    <row r="196" spans="1:14" ht="14" hidden="1">
      <c r="A196" s="36" t="e">
        <v>#N/A</v>
      </c>
      <c r="B196" s="37">
        <v>4166</v>
      </c>
      <c r="C196" s="37" t="s">
        <v>26</v>
      </c>
      <c r="D196" s="37">
        <v>36.19047619047619</v>
      </c>
      <c r="E196" s="37" t="s">
        <v>8</v>
      </c>
      <c r="F196" s="38" t="s">
        <v>23</v>
      </c>
      <c r="G196" s="42">
        <v>18000</v>
      </c>
      <c r="H196" s="40">
        <f t="shared" si="7"/>
        <v>2.0105820105820104E-3</v>
      </c>
      <c r="I196" s="35"/>
      <c r="J196" s="35"/>
      <c r="K196" s="35"/>
      <c r="L196" s="35"/>
      <c r="M196" s="35"/>
      <c r="N196" s="35" t="s">
        <v>2155</v>
      </c>
    </row>
    <row r="197" spans="1:14" ht="14" hidden="1">
      <c r="A197" s="36" t="e">
        <v>#N/A</v>
      </c>
      <c r="B197" s="37">
        <v>4168</v>
      </c>
      <c r="C197" s="37" t="s">
        <v>246</v>
      </c>
      <c r="D197" s="37">
        <v>3.298</v>
      </c>
      <c r="E197" s="37" t="s">
        <v>11</v>
      </c>
      <c r="F197" s="38" t="s">
        <v>23</v>
      </c>
      <c r="G197" s="42">
        <v>24</v>
      </c>
      <c r="H197" s="40">
        <f t="shared" si="7"/>
        <v>0.13741666666666666</v>
      </c>
      <c r="I197" s="35"/>
      <c r="J197" s="35"/>
      <c r="K197" s="35"/>
      <c r="L197" s="35"/>
      <c r="M197" s="35"/>
      <c r="N197" s="35" t="s">
        <v>2155</v>
      </c>
    </row>
    <row r="198" spans="1:14" ht="14" hidden="1">
      <c r="A198" s="36" t="s">
        <v>2285</v>
      </c>
      <c r="B198" s="37">
        <v>4169</v>
      </c>
      <c r="C198" s="37" t="s">
        <v>247</v>
      </c>
      <c r="D198" s="37">
        <v>1.0780000000000001</v>
      </c>
      <c r="E198" s="37" t="s">
        <v>11</v>
      </c>
      <c r="F198" s="38" t="s">
        <v>23</v>
      </c>
      <c r="G198" s="42">
        <v>12</v>
      </c>
      <c r="H198" s="40">
        <f t="shared" si="7"/>
        <v>8.9833333333333334E-2</v>
      </c>
      <c r="I198" s="35"/>
      <c r="J198" s="35"/>
      <c r="K198" s="35"/>
      <c r="L198" s="35"/>
      <c r="M198" s="35"/>
      <c r="N198" s="35" t="s">
        <v>2155</v>
      </c>
    </row>
    <row r="199" spans="1:14" ht="14" hidden="1">
      <c r="A199" s="36" t="e">
        <v>#N/A</v>
      </c>
      <c r="B199" s="37">
        <v>4175</v>
      </c>
      <c r="C199" s="37" t="s">
        <v>128</v>
      </c>
      <c r="D199" s="37">
        <v>3.2330000000000001</v>
      </c>
      <c r="E199" s="37" t="s">
        <v>8</v>
      </c>
      <c r="F199" s="38" t="s">
        <v>23</v>
      </c>
      <c r="G199" s="42">
        <v>250</v>
      </c>
      <c r="H199" s="40">
        <f t="shared" si="7"/>
        <v>1.2932000000000001E-2</v>
      </c>
      <c r="I199" s="35"/>
      <c r="J199" s="35"/>
      <c r="K199" s="35"/>
      <c r="L199" s="35"/>
      <c r="M199" s="35"/>
      <c r="N199" s="35" t="s">
        <v>2155</v>
      </c>
    </row>
    <row r="200" spans="1:14" ht="14" hidden="1">
      <c r="A200" s="36" t="e">
        <v>#N/A</v>
      </c>
      <c r="B200" s="37">
        <v>4180</v>
      </c>
      <c r="C200" s="37" t="s">
        <v>230</v>
      </c>
      <c r="D200" s="37">
        <v>1.9</v>
      </c>
      <c r="E200" s="37" t="s">
        <v>11</v>
      </c>
      <c r="F200" s="38" t="s">
        <v>23</v>
      </c>
      <c r="G200" s="42">
        <v>100</v>
      </c>
      <c r="H200" s="40">
        <f t="shared" si="7"/>
        <v>1.9E-2</v>
      </c>
      <c r="I200" s="35"/>
      <c r="J200" s="35"/>
      <c r="K200" s="35"/>
      <c r="L200" s="35"/>
      <c r="M200" s="35"/>
      <c r="N200" s="35" t="s">
        <v>2155</v>
      </c>
    </row>
    <row r="201" spans="1:14" ht="14" hidden="1">
      <c r="A201" s="36" t="e">
        <v>#N/A</v>
      </c>
      <c r="B201" s="37">
        <v>4202</v>
      </c>
      <c r="C201" s="37" t="s">
        <v>77</v>
      </c>
      <c r="D201" s="37">
        <v>13.793100000000001</v>
      </c>
      <c r="E201" s="37" t="s">
        <v>15</v>
      </c>
      <c r="F201" s="38" t="s">
        <v>23</v>
      </c>
      <c r="G201" s="42">
        <v>1000</v>
      </c>
      <c r="H201" s="40">
        <f t="shared" si="7"/>
        <v>1.3793100000000001E-2</v>
      </c>
      <c r="I201" s="35"/>
      <c r="J201" s="35"/>
      <c r="K201" s="35"/>
      <c r="L201" s="35"/>
      <c r="M201" s="35"/>
      <c r="N201" s="35" t="s">
        <v>2155</v>
      </c>
    </row>
    <row r="202" spans="1:14" ht="14" hidden="1">
      <c r="A202" s="36" t="s">
        <v>2286</v>
      </c>
      <c r="B202" s="37">
        <v>4206</v>
      </c>
      <c r="C202" s="37" t="s">
        <v>144</v>
      </c>
      <c r="D202" s="37">
        <v>3.0169999999999999</v>
      </c>
      <c r="E202" s="37" t="s">
        <v>8</v>
      </c>
      <c r="F202" s="38" t="s">
        <v>23</v>
      </c>
      <c r="G202" s="42">
        <v>1000</v>
      </c>
      <c r="H202" s="40">
        <f t="shared" si="7"/>
        <v>3.0169999999999997E-3</v>
      </c>
      <c r="I202" s="35"/>
      <c r="J202" s="35"/>
      <c r="K202" s="35"/>
      <c r="L202" s="35"/>
      <c r="M202" s="35"/>
      <c r="N202" s="35" t="s">
        <v>2155</v>
      </c>
    </row>
    <row r="203" spans="1:14" ht="14" hidden="1">
      <c r="A203" s="36" t="e">
        <v>#N/A</v>
      </c>
      <c r="B203" s="37">
        <v>4207</v>
      </c>
      <c r="C203" s="37" t="s">
        <v>252</v>
      </c>
      <c r="D203" s="37">
        <v>0.64700000000000002</v>
      </c>
      <c r="E203" s="37" t="s">
        <v>8</v>
      </c>
      <c r="F203" s="38" t="s">
        <v>23</v>
      </c>
      <c r="G203" s="42">
        <v>1000</v>
      </c>
      <c r="H203" s="40">
        <f t="shared" si="7"/>
        <v>6.4700000000000001E-4</v>
      </c>
      <c r="I203" s="35"/>
      <c r="J203" s="35"/>
      <c r="K203" s="35"/>
      <c r="L203" s="35"/>
      <c r="M203" s="35"/>
      <c r="N203" s="35" t="s">
        <v>2155</v>
      </c>
    </row>
    <row r="204" spans="1:14" ht="14" hidden="1">
      <c r="A204" s="36" t="e">
        <v>#N/A</v>
      </c>
      <c r="B204" s="37">
        <v>4208</v>
      </c>
      <c r="C204" s="37" t="s">
        <v>259</v>
      </c>
      <c r="D204" s="37">
        <v>3.6539999999999999</v>
      </c>
      <c r="E204" s="37" t="s">
        <v>8</v>
      </c>
      <c r="F204" s="38" t="s">
        <v>23</v>
      </c>
      <c r="G204" s="42">
        <v>1000</v>
      </c>
      <c r="H204" s="40">
        <f t="shared" si="7"/>
        <v>3.6540000000000001E-3</v>
      </c>
      <c r="I204" s="35"/>
      <c r="J204" s="35"/>
      <c r="K204" s="35"/>
      <c r="L204" s="35"/>
      <c r="M204" s="35"/>
      <c r="N204" s="35" t="s">
        <v>2155</v>
      </c>
    </row>
    <row r="205" spans="1:14" ht="14" hidden="1">
      <c r="A205" s="36" t="s">
        <v>2287</v>
      </c>
      <c r="B205" s="37">
        <v>4216</v>
      </c>
      <c r="C205" s="37" t="s">
        <v>111</v>
      </c>
      <c r="D205" s="37">
        <v>7.843</v>
      </c>
      <c r="E205" s="37" t="s">
        <v>8</v>
      </c>
      <c r="F205" s="38" t="s">
        <v>23</v>
      </c>
      <c r="G205" s="42">
        <v>1000</v>
      </c>
      <c r="H205" s="40">
        <f t="shared" si="7"/>
        <v>7.8429999999999993E-3</v>
      </c>
      <c r="I205" s="35"/>
      <c r="J205" s="35"/>
      <c r="K205" s="35"/>
      <c r="L205" s="35"/>
      <c r="M205" s="35"/>
      <c r="N205" s="35" t="s">
        <v>2155</v>
      </c>
    </row>
    <row r="206" spans="1:14" ht="14" hidden="1">
      <c r="A206" s="36" t="s">
        <v>2288</v>
      </c>
      <c r="B206" s="37">
        <v>4219</v>
      </c>
      <c r="C206" s="37" t="s">
        <v>139</v>
      </c>
      <c r="D206" s="37">
        <v>2.5859999999999999</v>
      </c>
      <c r="E206" s="37" t="s">
        <v>8</v>
      </c>
      <c r="F206" s="38" t="s">
        <v>23</v>
      </c>
      <c r="G206" s="42">
        <v>1000</v>
      </c>
      <c r="H206" s="40">
        <f t="shared" si="7"/>
        <v>2.5859999999999998E-3</v>
      </c>
      <c r="I206" s="35"/>
      <c r="J206" s="35"/>
      <c r="K206" s="35"/>
      <c r="L206" s="35"/>
      <c r="M206" s="35"/>
      <c r="N206" s="35" t="s">
        <v>2155</v>
      </c>
    </row>
    <row r="207" spans="1:14" ht="14" hidden="1">
      <c r="A207" s="36" t="e">
        <v>#N/A</v>
      </c>
      <c r="B207" s="37">
        <v>4220</v>
      </c>
      <c r="C207" s="37" t="s">
        <v>62</v>
      </c>
      <c r="D207" s="37">
        <v>2.1549999999999998</v>
      </c>
      <c r="E207" s="37" t="s">
        <v>8</v>
      </c>
      <c r="F207" s="38" t="s">
        <v>23</v>
      </c>
      <c r="G207" s="42">
        <v>1000</v>
      </c>
      <c r="H207" s="40">
        <f t="shared" si="7"/>
        <v>2.1549999999999998E-3</v>
      </c>
      <c r="I207" s="35"/>
      <c r="J207" s="35"/>
      <c r="K207" s="35"/>
      <c r="L207" s="35"/>
      <c r="M207" s="35"/>
      <c r="N207" s="35" t="s">
        <v>2155</v>
      </c>
    </row>
    <row r="208" spans="1:14" ht="14" hidden="1">
      <c r="A208" s="36" t="s">
        <v>2289</v>
      </c>
      <c r="B208" s="37">
        <v>4225</v>
      </c>
      <c r="C208" s="37" t="s">
        <v>70</v>
      </c>
      <c r="D208" s="37">
        <v>2.2730000000000001</v>
      </c>
      <c r="E208" s="37" t="s">
        <v>8</v>
      </c>
      <c r="F208" s="38" t="s">
        <v>23</v>
      </c>
      <c r="G208" s="42">
        <v>1000</v>
      </c>
      <c r="H208" s="40">
        <f t="shared" si="7"/>
        <v>2.2730000000000003E-3</v>
      </c>
      <c r="I208" s="35"/>
      <c r="J208" s="35"/>
      <c r="K208" s="35"/>
      <c r="L208" s="35"/>
      <c r="M208" s="35"/>
      <c r="N208" s="35" t="s">
        <v>2155</v>
      </c>
    </row>
    <row r="209" spans="1:14" ht="14" hidden="1">
      <c r="A209" s="36" t="e">
        <v>#N/A</v>
      </c>
      <c r="B209" s="37">
        <v>4228</v>
      </c>
      <c r="C209" s="37" t="s">
        <v>265</v>
      </c>
      <c r="D209" s="37">
        <v>1.466</v>
      </c>
      <c r="E209" s="37" t="s">
        <v>8</v>
      </c>
      <c r="F209" s="38" t="s">
        <v>23</v>
      </c>
      <c r="G209" s="42">
        <v>1000</v>
      </c>
      <c r="H209" s="40">
        <f t="shared" si="7"/>
        <v>1.4660000000000001E-3</v>
      </c>
      <c r="I209" s="35"/>
      <c r="J209" s="35"/>
      <c r="K209" s="35"/>
      <c r="L209" s="35"/>
      <c r="M209" s="35"/>
      <c r="N209" s="35" t="s">
        <v>2155</v>
      </c>
    </row>
    <row r="210" spans="1:14" ht="14" hidden="1">
      <c r="A210" s="36" t="e">
        <v>#N/A</v>
      </c>
      <c r="B210" s="37">
        <v>4248</v>
      </c>
      <c r="C210" s="37" t="s">
        <v>221</v>
      </c>
      <c r="D210" s="37">
        <v>15.948</v>
      </c>
      <c r="E210" s="37" t="s">
        <v>8</v>
      </c>
      <c r="F210" s="38" t="s">
        <v>23</v>
      </c>
      <c r="G210" s="42">
        <v>1000</v>
      </c>
      <c r="H210" s="40">
        <f t="shared" si="7"/>
        <v>1.5948E-2</v>
      </c>
      <c r="I210" s="35"/>
      <c r="J210" s="35"/>
      <c r="K210" s="35"/>
      <c r="L210" s="35"/>
      <c r="M210" s="35"/>
      <c r="N210" s="35" t="s">
        <v>2155</v>
      </c>
    </row>
    <row r="211" spans="1:14" ht="14" hidden="1">
      <c r="A211" s="36" t="e">
        <v>#N/A</v>
      </c>
      <c r="B211" s="37">
        <v>4483</v>
      </c>
      <c r="C211" s="37" t="s">
        <v>185</v>
      </c>
      <c r="D211" s="37">
        <v>0.65</v>
      </c>
      <c r="E211" s="37" t="s">
        <v>8</v>
      </c>
      <c r="F211" s="38" t="s">
        <v>23</v>
      </c>
      <c r="G211" s="42">
        <v>1000</v>
      </c>
      <c r="H211" s="40">
        <f t="shared" si="7"/>
        <v>6.4999999999999997E-4</v>
      </c>
      <c r="I211" s="35"/>
      <c r="J211" s="35"/>
      <c r="K211" s="35"/>
      <c r="L211" s="35"/>
      <c r="M211" s="35"/>
      <c r="N211" s="35" t="s">
        <v>2155</v>
      </c>
    </row>
    <row r="212" spans="1:14" ht="14" hidden="1">
      <c r="A212" s="36" t="e">
        <v>#N/A</v>
      </c>
      <c r="B212" s="37">
        <v>4487</v>
      </c>
      <c r="C212" s="37" t="s">
        <v>63</v>
      </c>
      <c r="D212" s="37">
        <v>2.3330000000000002</v>
      </c>
      <c r="E212" s="37" t="s">
        <v>8</v>
      </c>
      <c r="F212" s="38" t="s">
        <v>23</v>
      </c>
      <c r="G212" s="42">
        <v>1000</v>
      </c>
      <c r="H212" s="40">
        <f t="shared" si="7"/>
        <v>2.333E-3</v>
      </c>
      <c r="I212" s="35"/>
      <c r="J212" s="35"/>
      <c r="K212" s="35"/>
      <c r="L212" s="35"/>
      <c r="M212" s="35"/>
      <c r="N212" s="80" t="s">
        <v>3029</v>
      </c>
    </row>
    <row r="213" spans="1:14" ht="14" hidden="1">
      <c r="A213" s="36" t="e">
        <v>#N/A</v>
      </c>
      <c r="B213" s="37">
        <v>4490</v>
      </c>
      <c r="C213" s="37" t="s">
        <v>92</v>
      </c>
      <c r="D213" s="37">
        <v>1</v>
      </c>
      <c r="E213" s="37" t="s">
        <v>8</v>
      </c>
      <c r="F213" s="38" t="s">
        <v>23</v>
      </c>
      <c r="G213" s="42">
        <v>1000</v>
      </c>
      <c r="H213" s="40">
        <f t="shared" si="7"/>
        <v>1E-3</v>
      </c>
      <c r="I213" s="35"/>
      <c r="J213" s="35"/>
      <c r="K213" s="35">
        <v>0</v>
      </c>
      <c r="L213" s="35">
        <v>0</v>
      </c>
      <c r="M213" s="35"/>
      <c r="N213" s="35" t="s">
        <v>2155</v>
      </c>
    </row>
    <row r="214" spans="1:14" ht="14" hidden="1">
      <c r="A214" s="36" t="s">
        <v>2290</v>
      </c>
      <c r="B214" s="37">
        <v>4554</v>
      </c>
      <c r="C214" s="37" t="s">
        <v>78</v>
      </c>
      <c r="D214" s="37">
        <f>K214</f>
        <v>0.8</v>
      </c>
      <c r="E214" s="37" t="s">
        <v>15</v>
      </c>
      <c r="F214" s="38" t="s">
        <v>23</v>
      </c>
      <c r="G214" s="42">
        <v>1000</v>
      </c>
      <c r="H214" s="40">
        <f t="shared" si="7"/>
        <v>8.0000000000000004E-4</v>
      </c>
      <c r="I214" s="35"/>
      <c r="J214" s="35"/>
      <c r="K214" s="35">
        <v>0.8</v>
      </c>
      <c r="L214" s="35" t="s">
        <v>2134</v>
      </c>
      <c r="M214" s="35"/>
      <c r="N214" s="35" t="s">
        <v>2155</v>
      </c>
    </row>
    <row r="215" spans="1:14" ht="14" hidden="1">
      <c r="A215" s="36" t="s">
        <v>2291</v>
      </c>
      <c r="B215" s="37">
        <v>4556</v>
      </c>
      <c r="C215" s="37" t="s">
        <v>56</v>
      </c>
      <c r="D215" s="37">
        <f>K215</f>
        <v>2.2269999999999999</v>
      </c>
      <c r="E215" s="37" t="s">
        <v>15</v>
      </c>
      <c r="F215" s="38" t="s">
        <v>23</v>
      </c>
      <c r="G215" s="42">
        <v>1000</v>
      </c>
      <c r="H215" s="40">
        <f t="shared" si="7"/>
        <v>2.2269999999999998E-3</v>
      </c>
      <c r="I215" s="35"/>
      <c r="J215" s="35"/>
      <c r="K215" s="35">
        <v>2.2269999999999999</v>
      </c>
      <c r="L215" s="35" t="s">
        <v>2124</v>
      </c>
      <c r="M215" s="35"/>
      <c r="N215" s="35" t="s">
        <v>2155</v>
      </c>
    </row>
    <row r="216" spans="1:14" ht="14" hidden="1">
      <c r="A216" s="36" t="e">
        <v>#N/A</v>
      </c>
      <c r="B216" s="37">
        <v>4567</v>
      </c>
      <c r="C216" s="37" t="s">
        <v>47</v>
      </c>
      <c r="D216" s="37">
        <v>2.6403000000000003</v>
      </c>
      <c r="E216" s="37" t="s">
        <v>11</v>
      </c>
      <c r="F216" s="38" t="s">
        <v>23</v>
      </c>
      <c r="G216" s="42">
        <v>30</v>
      </c>
      <c r="H216" s="40">
        <f t="shared" si="7"/>
        <v>8.8010000000000005E-2</v>
      </c>
      <c r="I216" s="35">
        <f>H216/30</f>
        <v>2.9336666666666669E-3</v>
      </c>
      <c r="J216" s="35"/>
      <c r="K216" s="35">
        <v>8.8010000000000005E-2</v>
      </c>
      <c r="L216" s="35" t="s">
        <v>1876</v>
      </c>
      <c r="M216" s="35"/>
      <c r="N216" s="35" t="s">
        <v>2155</v>
      </c>
    </row>
    <row r="217" spans="1:14" ht="14" hidden="1">
      <c r="A217" s="36" t="e">
        <v>#N/A</v>
      </c>
      <c r="B217" s="37">
        <v>4636</v>
      </c>
      <c r="C217" s="37" t="s">
        <v>140</v>
      </c>
      <c r="D217" s="37">
        <f>K217</f>
        <v>0.79700000000000004</v>
      </c>
      <c r="E217" s="37" t="s">
        <v>8</v>
      </c>
      <c r="F217" s="38" t="s">
        <v>23</v>
      </c>
      <c r="G217" s="42">
        <v>1000</v>
      </c>
      <c r="H217" s="40">
        <f t="shared" si="7"/>
        <v>7.9700000000000007E-4</v>
      </c>
      <c r="I217" s="35"/>
      <c r="J217" s="35"/>
      <c r="K217" s="35">
        <v>0.79700000000000004</v>
      </c>
      <c r="L217" s="35" t="s">
        <v>2124</v>
      </c>
      <c r="M217" s="35"/>
      <c r="N217" s="35" t="s">
        <v>2155</v>
      </c>
    </row>
    <row r="218" spans="1:14" ht="14" hidden="1">
      <c r="A218" s="36" t="s">
        <v>2292</v>
      </c>
      <c r="B218" s="37">
        <v>4639</v>
      </c>
      <c r="C218" s="37" t="s">
        <v>131</v>
      </c>
      <c r="D218" s="37">
        <f>K218</f>
        <v>0.73324999999999996</v>
      </c>
      <c r="E218" s="37" t="s">
        <v>8</v>
      </c>
      <c r="F218" s="38" t="s">
        <v>23</v>
      </c>
      <c r="G218" s="42">
        <v>400</v>
      </c>
      <c r="H218" s="40">
        <f t="shared" si="7"/>
        <v>1.8331249999999999E-3</v>
      </c>
      <c r="I218" s="35"/>
      <c r="J218" s="35"/>
      <c r="K218" s="35">
        <v>0.73324999999999996</v>
      </c>
      <c r="L218" s="35" t="s">
        <v>2135</v>
      </c>
      <c r="M218" s="35"/>
      <c r="N218" s="35" t="s">
        <v>2155</v>
      </c>
    </row>
    <row r="219" spans="1:14" ht="14" hidden="1">
      <c r="A219" s="36" t="s">
        <v>2293</v>
      </c>
      <c r="B219" s="37">
        <v>4640</v>
      </c>
      <c r="C219" s="37" t="s">
        <v>165</v>
      </c>
      <c r="D219" s="37">
        <f>K219</f>
        <v>2.8</v>
      </c>
      <c r="E219" s="37" t="s">
        <v>8</v>
      </c>
      <c r="F219" s="38" t="s">
        <v>23</v>
      </c>
      <c r="G219" s="42">
        <v>1000</v>
      </c>
      <c r="H219" s="40">
        <f t="shared" si="7"/>
        <v>2.8E-3</v>
      </c>
      <c r="I219" s="35"/>
      <c r="J219" s="35"/>
      <c r="K219" s="35">
        <v>2.8</v>
      </c>
      <c r="L219" s="35" t="s">
        <v>2124</v>
      </c>
      <c r="M219" s="35"/>
      <c r="N219" s="35" t="s">
        <v>2155</v>
      </c>
    </row>
    <row r="220" spans="1:14" ht="14" hidden="1">
      <c r="A220" s="36" t="e">
        <v>#N/A</v>
      </c>
      <c r="B220" s="37">
        <v>4643</v>
      </c>
      <c r="C220" s="37" t="s">
        <v>243</v>
      </c>
      <c r="D220" s="37">
        <v>12.5</v>
      </c>
      <c r="E220" s="37" t="s">
        <v>8</v>
      </c>
      <c r="F220" s="38" t="s">
        <v>23</v>
      </c>
      <c r="G220" s="42">
        <v>8000</v>
      </c>
      <c r="H220" s="40">
        <f t="shared" si="7"/>
        <v>1.5625000000000001E-3</v>
      </c>
      <c r="I220" s="35"/>
      <c r="J220" s="35"/>
      <c r="K220" s="35">
        <v>0</v>
      </c>
      <c r="L220" s="35">
        <v>0</v>
      </c>
      <c r="M220" s="35"/>
      <c r="N220" s="35" t="s">
        <v>2155</v>
      </c>
    </row>
    <row r="221" spans="1:14" ht="14" hidden="1">
      <c r="A221" s="36" t="e">
        <v>#N/A</v>
      </c>
      <c r="B221" s="37">
        <v>4644</v>
      </c>
      <c r="C221" s="37" t="s">
        <v>161</v>
      </c>
      <c r="D221" s="37">
        <f>K221</f>
        <v>0.6</v>
      </c>
      <c r="E221" s="37" t="s">
        <v>8</v>
      </c>
      <c r="F221" s="38" t="s">
        <v>23</v>
      </c>
      <c r="G221" s="42">
        <v>400</v>
      </c>
      <c r="H221" s="40">
        <f t="shared" si="7"/>
        <v>1.5E-3</v>
      </c>
      <c r="I221" s="35"/>
      <c r="J221" s="35"/>
      <c r="K221" s="35">
        <v>0.6</v>
      </c>
      <c r="L221" s="35" t="s">
        <v>2135</v>
      </c>
      <c r="M221" s="35"/>
      <c r="N221" s="35" t="s">
        <v>2155</v>
      </c>
    </row>
    <row r="222" spans="1:14" ht="14" hidden="1">
      <c r="A222" s="36" t="s">
        <v>2294</v>
      </c>
      <c r="B222" s="37">
        <v>4645</v>
      </c>
      <c r="C222" s="37" t="s">
        <v>164</v>
      </c>
      <c r="D222" s="37">
        <f>K222</f>
        <v>0.43104999999999999</v>
      </c>
      <c r="E222" s="37" t="s">
        <v>8</v>
      </c>
      <c r="F222" s="38" t="s">
        <v>23</v>
      </c>
      <c r="G222" s="42">
        <v>400</v>
      </c>
      <c r="H222" s="40">
        <f t="shared" si="7"/>
        <v>1.077625E-3</v>
      </c>
      <c r="I222" s="35"/>
      <c r="J222" s="35"/>
      <c r="K222" s="35">
        <v>0.43104999999999999</v>
      </c>
      <c r="L222" s="35" t="s">
        <v>2136</v>
      </c>
      <c r="M222" s="35"/>
      <c r="N222" s="35" t="s">
        <v>2155</v>
      </c>
    </row>
    <row r="223" spans="1:14" ht="14" hidden="1">
      <c r="A223" s="36" t="e">
        <v>#N/A</v>
      </c>
      <c r="B223" s="37">
        <v>4646</v>
      </c>
      <c r="C223" s="37" t="s">
        <v>222</v>
      </c>
      <c r="D223" s="37">
        <v>1.3793103448275863</v>
      </c>
      <c r="E223" s="37" t="s">
        <v>8</v>
      </c>
      <c r="F223" s="38" t="s">
        <v>23</v>
      </c>
      <c r="G223" s="42">
        <v>400</v>
      </c>
      <c r="H223" s="40">
        <f t="shared" si="7"/>
        <v>3.4482758620689659E-3</v>
      </c>
      <c r="I223" s="35"/>
      <c r="J223" s="35"/>
      <c r="K223" s="35">
        <v>0</v>
      </c>
      <c r="L223" s="35">
        <v>0</v>
      </c>
      <c r="M223" s="35"/>
      <c r="N223" s="35" t="s">
        <v>2155</v>
      </c>
    </row>
    <row r="224" spans="1:14" ht="14" hidden="1">
      <c r="A224" s="36" t="e">
        <v>#N/A</v>
      </c>
      <c r="B224" s="37">
        <v>4753</v>
      </c>
      <c r="C224" s="37" t="s">
        <v>117</v>
      </c>
      <c r="D224" s="37">
        <f>K224</f>
        <v>2.1549999999999998</v>
      </c>
      <c r="E224" s="37" t="s">
        <v>8</v>
      </c>
      <c r="F224" s="38" t="s">
        <v>23</v>
      </c>
      <c r="G224" s="42">
        <v>1000</v>
      </c>
      <c r="H224" s="40">
        <f t="shared" si="7"/>
        <v>2.1549999999999998E-3</v>
      </c>
      <c r="I224" s="35"/>
      <c r="J224" s="35"/>
      <c r="K224" s="35">
        <v>2.1549999999999998</v>
      </c>
      <c r="L224" s="35" t="s">
        <v>2124</v>
      </c>
      <c r="M224" s="35"/>
      <c r="N224" s="35" t="s">
        <v>2155</v>
      </c>
    </row>
    <row r="225" spans="1:15" ht="14" hidden="1">
      <c r="A225" s="36" t="s">
        <v>2295</v>
      </c>
      <c r="B225" s="37">
        <v>4795</v>
      </c>
      <c r="C225" s="37" t="s">
        <v>93</v>
      </c>
      <c r="D225" s="37">
        <f>K225</f>
        <v>3.5918000000000001</v>
      </c>
      <c r="E225" s="37" t="s">
        <v>8</v>
      </c>
      <c r="F225" s="38" t="s">
        <v>23</v>
      </c>
      <c r="G225" s="42">
        <v>1000</v>
      </c>
      <c r="H225" s="40">
        <f t="shared" si="7"/>
        <v>3.5918E-3</v>
      </c>
      <c r="I225" s="35"/>
      <c r="J225" s="35"/>
      <c r="K225" s="35">
        <v>3.5918000000000001</v>
      </c>
      <c r="L225" s="35" t="s">
        <v>2124</v>
      </c>
      <c r="M225" s="35"/>
      <c r="N225" s="303" t="s">
        <v>2155</v>
      </c>
      <c r="O225" s="304">
        <v>500</v>
      </c>
    </row>
    <row r="226" spans="1:15" ht="14" hidden="1">
      <c r="A226" s="36" t="e">
        <v>#N/A</v>
      </c>
      <c r="B226" s="37">
        <v>4801</v>
      </c>
      <c r="C226" s="37" t="s">
        <v>253</v>
      </c>
      <c r="D226" s="37">
        <f>K226</f>
        <v>1.724</v>
      </c>
      <c r="E226" s="37" t="s">
        <v>8</v>
      </c>
      <c r="F226" s="38" t="s">
        <v>23</v>
      </c>
      <c r="G226" s="42">
        <v>450</v>
      </c>
      <c r="H226" s="40">
        <f t="shared" si="7"/>
        <v>3.8311111111111111E-3</v>
      </c>
      <c r="I226" s="35"/>
      <c r="J226" s="35"/>
      <c r="K226" s="35">
        <v>1.724</v>
      </c>
      <c r="L226" s="35" t="s">
        <v>2130</v>
      </c>
      <c r="M226" s="35"/>
      <c r="N226" s="35" t="s">
        <v>2155</v>
      </c>
    </row>
    <row r="227" spans="1:15" ht="14" hidden="1">
      <c r="A227" s="36" t="s">
        <v>2296</v>
      </c>
      <c r="B227" s="37">
        <v>4866</v>
      </c>
      <c r="C227" s="37" t="s">
        <v>194</v>
      </c>
      <c r="D227" s="37">
        <v>1</v>
      </c>
      <c r="E227" s="37" t="s">
        <v>8</v>
      </c>
      <c r="F227" s="38" t="s">
        <v>23</v>
      </c>
      <c r="G227" s="42">
        <v>1000</v>
      </c>
      <c r="H227" s="40">
        <f t="shared" si="7"/>
        <v>1E-3</v>
      </c>
      <c r="I227" s="35"/>
      <c r="J227" s="35"/>
      <c r="K227" s="35">
        <v>1</v>
      </c>
      <c r="L227" s="35" t="s">
        <v>2124</v>
      </c>
      <c r="M227" s="35"/>
      <c r="N227" s="35" t="s">
        <v>2155</v>
      </c>
    </row>
    <row r="228" spans="1:15" ht="14" hidden="1">
      <c r="A228" s="36" t="s">
        <v>2297</v>
      </c>
      <c r="B228" s="37">
        <v>4870</v>
      </c>
      <c r="C228" s="37" t="s">
        <v>261</v>
      </c>
      <c r="D228" s="37">
        <f>K228</f>
        <v>2.5680000000000001</v>
      </c>
      <c r="E228" s="37" t="s">
        <v>8</v>
      </c>
      <c r="F228" s="38" t="s">
        <v>23</v>
      </c>
      <c r="G228" s="42">
        <v>1000</v>
      </c>
      <c r="H228" s="40">
        <f t="shared" si="7"/>
        <v>2.568E-3</v>
      </c>
      <c r="I228" s="35"/>
      <c r="J228" s="35"/>
      <c r="K228" s="35">
        <v>2.5680000000000001</v>
      </c>
      <c r="L228" s="35" t="s">
        <v>2124</v>
      </c>
      <c r="M228" s="35"/>
      <c r="N228" s="35" t="s">
        <v>2155</v>
      </c>
    </row>
    <row r="229" spans="1:15" ht="14" hidden="1">
      <c r="A229" s="36" t="s">
        <v>2298</v>
      </c>
      <c r="B229" s="37">
        <v>5119</v>
      </c>
      <c r="C229" s="37" t="s">
        <v>275</v>
      </c>
      <c r="D229" s="37">
        <v>0.4</v>
      </c>
      <c r="E229" s="37" t="s">
        <v>11</v>
      </c>
      <c r="F229" s="38" t="s">
        <v>23</v>
      </c>
      <c r="G229" s="42">
        <v>1</v>
      </c>
      <c r="H229" s="40">
        <f t="shared" si="7"/>
        <v>0.4</v>
      </c>
      <c r="I229" s="35"/>
      <c r="J229" s="35"/>
      <c r="K229" s="35">
        <v>0</v>
      </c>
      <c r="L229" s="35">
        <v>0</v>
      </c>
      <c r="M229" s="35"/>
      <c r="N229" s="35" t="s">
        <v>2155</v>
      </c>
    </row>
    <row r="230" spans="1:15" ht="14" hidden="1">
      <c r="A230" s="36" t="s">
        <v>2299</v>
      </c>
      <c r="B230" s="37">
        <v>5165</v>
      </c>
      <c r="C230" s="37" t="s">
        <v>269</v>
      </c>
      <c r="D230" s="37">
        <f>K230</f>
        <v>0.32</v>
      </c>
      <c r="E230" s="37" t="s">
        <v>11</v>
      </c>
      <c r="F230" s="38" t="s">
        <v>23</v>
      </c>
      <c r="G230" s="42">
        <v>1</v>
      </c>
      <c r="H230" s="40">
        <f t="shared" si="7"/>
        <v>0.32</v>
      </c>
      <c r="I230" s="35"/>
      <c r="J230" s="35"/>
      <c r="K230" s="35">
        <v>0.32</v>
      </c>
      <c r="L230" s="35" t="s">
        <v>2121</v>
      </c>
      <c r="M230" s="35"/>
      <c r="N230" s="35" t="s">
        <v>2155</v>
      </c>
    </row>
    <row r="231" spans="1:15" ht="14" hidden="1">
      <c r="A231" s="36" t="s">
        <v>2300</v>
      </c>
      <c r="B231" s="37">
        <v>5196</v>
      </c>
      <c r="C231" s="37" t="s">
        <v>271</v>
      </c>
      <c r="D231" s="37">
        <f>K231</f>
        <v>0.32</v>
      </c>
      <c r="E231" s="37" t="s">
        <v>11</v>
      </c>
      <c r="F231" s="38" t="s">
        <v>23</v>
      </c>
      <c r="G231" s="42">
        <v>1</v>
      </c>
      <c r="H231" s="40">
        <f t="shared" si="7"/>
        <v>0.32</v>
      </c>
      <c r="I231" s="35"/>
      <c r="J231" s="35"/>
      <c r="K231" s="35">
        <v>0.32</v>
      </c>
      <c r="L231" s="35" t="s">
        <v>2121</v>
      </c>
      <c r="M231" s="35"/>
      <c r="N231" s="35" t="s">
        <v>2155</v>
      </c>
    </row>
    <row r="232" spans="1:15" ht="14" hidden="1">
      <c r="A232" s="36" t="s">
        <v>2301</v>
      </c>
      <c r="B232" s="37">
        <v>5197</v>
      </c>
      <c r="C232" s="37" t="s">
        <v>270</v>
      </c>
      <c r="D232" s="37">
        <f>K232</f>
        <v>0.39200000000000002</v>
      </c>
      <c r="E232" s="37" t="s">
        <v>11</v>
      </c>
      <c r="F232" s="38" t="s">
        <v>23</v>
      </c>
      <c r="G232" s="42">
        <v>1</v>
      </c>
      <c r="H232" s="40">
        <f t="shared" si="7"/>
        <v>0.39200000000000002</v>
      </c>
      <c r="I232" s="35"/>
      <c r="J232" s="35"/>
      <c r="K232" s="35">
        <v>0.39200000000000002</v>
      </c>
      <c r="L232" s="35" t="s">
        <v>2121</v>
      </c>
      <c r="M232" s="35"/>
      <c r="N232" s="35" t="s">
        <v>2155</v>
      </c>
    </row>
    <row r="233" spans="1:15" ht="14" hidden="1">
      <c r="A233" s="36" t="s">
        <v>2302</v>
      </c>
      <c r="B233" s="37">
        <v>5203</v>
      </c>
      <c r="C233" s="37" t="s">
        <v>268</v>
      </c>
      <c r="D233" s="37">
        <f>K233</f>
        <v>0.39200000000000002</v>
      </c>
      <c r="E233" s="37" t="s">
        <v>11</v>
      </c>
      <c r="F233" s="38" t="s">
        <v>23</v>
      </c>
      <c r="G233" s="42">
        <v>1</v>
      </c>
      <c r="H233" s="40">
        <f t="shared" si="7"/>
        <v>0.39200000000000002</v>
      </c>
      <c r="I233" s="35"/>
      <c r="J233" s="35"/>
      <c r="K233" s="35">
        <v>0.39200000000000002</v>
      </c>
      <c r="L233" s="35" t="s">
        <v>2121</v>
      </c>
      <c r="M233" s="35"/>
      <c r="N233" s="35" t="s">
        <v>2155</v>
      </c>
    </row>
    <row r="234" spans="1:15" ht="14" hidden="1">
      <c r="A234" s="36" t="s">
        <v>2303</v>
      </c>
      <c r="B234" s="37">
        <v>5256</v>
      </c>
      <c r="C234" s="37" t="s">
        <v>330</v>
      </c>
      <c r="D234" s="37">
        <f>K234</f>
        <v>1.1206799999999999</v>
      </c>
      <c r="E234" s="37" t="s">
        <v>8</v>
      </c>
      <c r="F234" s="38" t="s">
        <v>23</v>
      </c>
      <c r="G234" s="42">
        <v>1000</v>
      </c>
      <c r="H234" s="40">
        <f t="shared" si="7"/>
        <v>1.12068E-3</v>
      </c>
      <c r="I234" s="35"/>
      <c r="J234" s="35"/>
      <c r="K234" s="35">
        <v>1.1206799999999999</v>
      </c>
      <c r="L234" s="35" t="s">
        <v>2124</v>
      </c>
      <c r="M234" s="35"/>
      <c r="N234" s="35" t="s">
        <v>2155</v>
      </c>
    </row>
    <row r="235" spans="1:15" ht="14" hidden="1">
      <c r="A235" s="36" t="s">
        <v>2304</v>
      </c>
      <c r="B235" s="37">
        <v>5304</v>
      </c>
      <c r="C235" s="37" t="s">
        <v>346</v>
      </c>
      <c r="D235" s="37">
        <v>0.65</v>
      </c>
      <c r="E235" s="37" t="s">
        <v>8</v>
      </c>
      <c r="F235" s="38" t="s">
        <v>23</v>
      </c>
      <c r="G235" s="42">
        <v>1000</v>
      </c>
      <c r="H235" s="40">
        <f t="shared" si="7"/>
        <v>6.4999999999999997E-4</v>
      </c>
      <c r="I235" s="35"/>
      <c r="J235" s="35"/>
      <c r="K235" s="35">
        <v>0.65</v>
      </c>
      <c r="L235" s="35" t="s">
        <v>2124</v>
      </c>
      <c r="M235" s="35"/>
      <c r="N235" s="35" t="s">
        <v>2155</v>
      </c>
    </row>
    <row r="236" spans="1:15" ht="14" hidden="1">
      <c r="A236" s="36" t="e">
        <v>#N/A</v>
      </c>
      <c r="B236" s="37">
        <v>5325</v>
      </c>
      <c r="C236" s="37" t="s">
        <v>332</v>
      </c>
      <c r="D236" s="37">
        <v>1.6</v>
      </c>
      <c r="E236" s="37" t="s">
        <v>11</v>
      </c>
      <c r="F236" s="38" t="s">
        <v>23</v>
      </c>
      <c r="G236" s="42">
        <v>1</v>
      </c>
      <c r="H236" s="40">
        <f t="shared" si="7"/>
        <v>1.6</v>
      </c>
      <c r="I236" s="35"/>
      <c r="J236" s="35"/>
      <c r="K236" s="35">
        <v>1.6</v>
      </c>
      <c r="L236" s="35" t="s">
        <v>2124</v>
      </c>
      <c r="M236" s="35"/>
      <c r="N236" s="35" t="s">
        <v>2155</v>
      </c>
    </row>
    <row r="237" spans="1:15" ht="14" hidden="1">
      <c r="A237" s="36" t="s">
        <v>2305</v>
      </c>
      <c r="B237" s="37">
        <v>5376</v>
      </c>
      <c r="C237" s="37" t="s">
        <v>308</v>
      </c>
      <c r="D237" s="37">
        <f>K237</f>
        <v>9</v>
      </c>
      <c r="E237" s="37" t="s">
        <v>8</v>
      </c>
      <c r="F237" s="38" t="s">
        <v>23</v>
      </c>
      <c r="G237" s="42">
        <v>1000</v>
      </c>
      <c r="H237" s="40">
        <f t="shared" si="7"/>
        <v>8.9999999999999993E-3</v>
      </c>
      <c r="I237" s="35"/>
      <c r="J237" s="35"/>
      <c r="K237" s="35">
        <v>9</v>
      </c>
      <c r="L237" s="35" t="s">
        <v>2124</v>
      </c>
      <c r="M237" s="35"/>
      <c r="N237" s="35" t="s">
        <v>2155</v>
      </c>
    </row>
    <row r="238" spans="1:15" ht="14" hidden="1">
      <c r="A238" s="36" t="e">
        <v>#N/A</v>
      </c>
      <c r="B238" s="37">
        <v>5384</v>
      </c>
      <c r="C238" s="37" t="s">
        <v>340</v>
      </c>
      <c r="D238" s="37">
        <v>18.095238095238095</v>
      </c>
      <c r="E238" s="37" t="s">
        <v>8</v>
      </c>
      <c r="F238" s="38" t="s">
        <v>23</v>
      </c>
      <c r="G238" s="42">
        <v>10000</v>
      </c>
      <c r="H238" s="40">
        <f t="shared" si="7"/>
        <v>1.8095238095238095E-3</v>
      </c>
      <c r="I238" s="35"/>
      <c r="J238" s="35"/>
      <c r="K238" s="35">
        <v>0</v>
      </c>
      <c r="L238" s="35">
        <v>0</v>
      </c>
      <c r="M238" s="35"/>
      <c r="N238" s="35" t="s">
        <v>2155</v>
      </c>
    </row>
    <row r="239" spans="1:15" ht="14" hidden="1">
      <c r="A239" s="36" t="e">
        <v>#N/A</v>
      </c>
      <c r="B239" s="37">
        <v>5410</v>
      </c>
      <c r="C239" s="37" t="s">
        <v>317</v>
      </c>
      <c r="D239" s="37">
        <v>1.0775862068965518</v>
      </c>
      <c r="E239" s="37" t="s">
        <v>8</v>
      </c>
      <c r="F239" s="38" t="s">
        <v>23</v>
      </c>
      <c r="G239" s="42">
        <v>350</v>
      </c>
      <c r="H239" s="40">
        <f t="shared" si="7"/>
        <v>3.0788177339901479E-3</v>
      </c>
      <c r="I239" s="35"/>
      <c r="J239" s="35"/>
      <c r="K239" s="35">
        <v>0</v>
      </c>
      <c r="L239" s="35">
        <v>0</v>
      </c>
      <c r="M239" s="35"/>
      <c r="N239" s="35" t="s">
        <v>2155</v>
      </c>
    </row>
    <row r="240" spans="1:15" ht="14" hidden="1">
      <c r="A240" s="36" t="s">
        <v>2284</v>
      </c>
      <c r="B240" s="37">
        <v>5425</v>
      </c>
      <c r="C240" s="37" t="s">
        <v>315</v>
      </c>
      <c r="D240" s="37">
        <f>K240</f>
        <v>0.52500000000000002</v>
      </c>
      <c r="E240" s="37" t="s">
        <v>8</v>
      </c>
      <c r="F240" s="38" t="s">
        <v>23</v>
      </c>
      <c r="G240" s="42">
        <v>1000</v>
      </c>
      <c r="H240" s="40">
        <f t="shared" si="7"/>
        <v>5.2500000000000008E-4</v>
      </c>
      <c r="I240" s="35"/>
      <c r="J240" s="35"/>
      <c r="K240" s="35">
        <v>0.52500000000000002</v>
      </c>
      <c r="L240" s="35" t="s">
        <v>2124</v>
      </c>
      <c r="M240" s="35"/>
      <c r="N240" s="35" t="s">
        <v>2155</v>
      </c>
    </row>
    <row r="241" spans="1:14" ht="14" hidden="1">
      <c r="A241" s="36" t="e">
        <v>#N/A</v>
      </c>
      <c r="B241" s="37">
        <v>5428</v>
      </c>
      <c r="C241" s="37" t="s">
        <v>349</v>
      </c>
      <c r="D241" s="37">
        <f>K241</f>
        <v>1.1499999999999999</v>
      </c>
      <c r="E241" s="37" t="s">
        <v>8</v>
      </c>
      <c r="F241" s="38" t="s">
        <v>23</v>
      </c>
      <c r="G241" s="42">
        <v>1000</v>
      </c>
      <c r="H241" s="40">
        <f t="shared" si="7"/>
        <v>1.15E-3</v>
      </c>
      <c r="I241" s="35"/>
      <c r="J241" s="35"/>
      <c r="K241" s="35">
        <v>1.1499999999999999</v>
      </c>
      <c r="L241" s="35" t="s">
        <v>2124</v>
      </c>
      <c r="M241" s="35"/>
      <c r="N241" s="35" t="s">
        <v>2155</v>
      </c>
    </row>
    <row r="242" spans="1:14" ht="14" hidden="1">
      <c r="A242" s="36" t="e">
        <v>#N/A</v>
      </c>
      <c r="B242" s="37">
        <v>3</v>
      </c>
      <c r="C242" s="37" t="s">
        <v>278</v>
      </c>
      <c r="D242" s="37">
        <v>0</v>
      </c>
      <c r="E242" s="37" t="s">
        <v>15</v>
      </c>
      <c r="F242" s="38" t="s">
        <v>274</v>
      </c>
      <c r="G242" s="42">
        <v>1000</v>
      </c>
      <c r="H242" s="264">
        <f t="shared" si="7"/>
        <v>0</v>
      </c>
      <c r="I242" s="35"/>
      <c r="J242" s="35"/>
      <c r="K242" s="35">
        <v>0</v>
      </c>
      <c r="L242" s="35">
        <v>0</v>
      </c>
      <c r="M242" s="35"/>
      <c r="N242" s="35" t="s">
        <v>2155</v>
      </c>
    </row>
    <row r="243" spans="1:14" ht="14" hidden="1">
      <c r="A243" s="36" t="e">
        <v>#N/A</v>
      </c>
      <c r="B243" s="37">
        <v>5387</v>
      </c>
      <c r="C243" s="108" t="s">
        <v>318</v>
      </c>
      <c r="D243" s="37">
        <v>1.5</v>
      </c>
      <c r="E243" s="37" t="s">
        <v>11</v>
      </c>
      <c r="F243" s="38" t="s">
        <v>274</v>
      </c>
      <c r="G243" s="42">
        <v>1</v>
      </c>
      <c r="H243" s="40">
        <f t="shared" si="7"/>
        <v>1.5</v>
      </c>
      <c r="I243" s="35"/>
      <c r="J243" s="35"/>
      <c r="K243" s="35">
        <v>0</v>
      </c>
      <c r="L243" s="35">
        <v>0</v>
      </c>
      <c r="M243" s="35"/>
      <c r="N243" s="35" t="s">
        <v>2155</v>
      </c>
    </row>
    <row r="244" spans="1:14" ht="14" hidden="1">
      <c r="A244" s="36" t="s">
        <v>2306</v>
      </c>
      <c r="B244" s="37">
        <v>5390</v>
      </c>
      <c r="C244" s="37" t="s">
        <v>321</v>
      </c>
      <c r="D244" s="37">
        <v>0.79</v>
      </c>
      <c r="E244" s="37" t="s">
        <v>11</v>
      </c>
      <c r="F244" s="38" t="s">
        <v>274</v>
      </c>
      <c r="G244" s="42">
        <v>1</v>
      </c>
      <c r="H244" s="40">
        <f t="shared" ref="H244:H299" si="8">D244/G244</f>
        <v>0.79</v>
      </c>
      <c r="I244" s="35"/>
      <c r="J244" s="35"/>
      <c r="K244" s="35">
        <v>0</v>
      </c>
      <c r="L244" s="35">
        <v>0</v>
      </c>
      <c r="M244" s="35"/>
      <c r="N244" s="35" t="s">
        <v>2155</v>
      </c>
    </row>
    <row r="245" spans="1:14" ht="14" hidden="1">
      <c r="A245" s="36" t="s">
        <v>2307</v>
      </c>
      <c r="B245" s="37">
        <v>4284</v>
      </c>
      <c r="C245" s="37" t="s">
        <v>167</v>
      </c>
      <c r="D245" s="37">
        <v>6.7000000000000004E-2</v>
      </c>
      <c r="E245" s="37" t="s">
        <v>11</v>
      </c>
      <c r="F245" s="38" t="s">
        <v>168</v>
      </c>
      <c r="G245" s="42">
        <v>1</v>
      </c>
      <c r="H245" s="40">
        <f t="shared" si="8"/>
        <v>6.7000000000000004E-2</v>
      </c>
      <c r="I245" s="35"/>
      <c r="J245" s="35"/>
      <c r="K245" s="35">
        <v>0.83299999999999996</v>
      </c>
      <c r="L245" s="35" t="s">
        <v>2121</v>
      </c>
      <c r="M245" s="35"/>
      <c r="N245" s="35" t="s">
        <v>2155</v>
      </c>
    </row>
    <row r="246" spans="1:14" ht="14" hidden="1">
      <c r="A246" s="36" t="e">
        <v>#N/A</v>
      </c>
      <c r="B246" s="37">
        <v>4311</v>
      </c>
      <c r="C246" s="37" t="s">
        <v>181</v>
      </c>
      <c r="D246" s="37">
        <v>1.75</v>
      </c>
      <c r="E246" s="37" t="s">
        <v>11</v>
      </c>
      <c r="F246" s="38" t="s">
        <v>168</v>
      </c>
      <c r="G246" s="42">
        <v>1000</v>
      </c>
      <c r="H246" s="40">
        <f t="shared" si="8"/>
        <v>1.75E-3</v>
      </c>
      <c r="I246" s="35"/>
      <c r="J246" s="35"/>
      <c r="K246" s="35">
        <v>0</v>
      </c>
      <c r="L246" s="35">
        <v>0</v>
      </c>
      <c r="M246" s="35"/>
      <c r="N246" s="35" t="s">
        <v>2155</v>
      </c>
    </row>
    <row r="247" spans="1:14" ht="14" hidden="1">
      <c r="A247" s="36" t="e">
        <v>#N/A</v>
      </c>
      <c r="B247" s="37">
        <v>4416</v>
      </c>
      <c r="C247" s="37" t="s">
        <v>217</v>
      </c>
      <c r="D247" s="37">
        <v>1.45</v>
      </c>
      <c r="E247" s="37" t="s">
        <v>11</v>
      </c>
      <c r="F247" s="38" t="s">
        <v>168</v>
      </c>
      <c r="G247" s="42">
        <v>1</v>
      </c>
      <c r="H247" s="40">
        <f t="shared" si="8"/>
        <v>1.45</v>
      </c>
      <c r="I247" s="35"/>
      <c r="J247" s="35"/>
      <c r="K247" s="35">
        <v>0</v>
      </c>
      <c r="L247" s="35">
        <v>0</v>
      </c>
      <c r="M247" s="35"/>
      <c r="N247" s="35" t="s">
        <v>2155</v>
      </c>
    </row>
    <row r="248" spans="1:14" ht="14" hidden="1">
      <c r="A248" s="36" t="e">
        <v>#N/A</v>
      </c>
      <c r="B248" s="37">
        <v>5252</v>
      </c>
      <c r="C248" s="37" t="s">
        <v>276</v>
      </c>
      <c r="D248" s="37">
        <f>K248</f>
        <v>0.14299999999999999</v>
      </c>
      <c r="E248" s="37" t="s">
        <v>11</v>
      </c>
      <c r="F248" s="38" t="s">
        <v>168</v>
      </c>
      <c r="G248" s="42">
        <v>1</v>
      </c>
      <c r="H248" s="40">
        <f t="shared" si="8"/>
        <v>0.14299999999999999</v>
      </c>
      <c r="I248" s="35"/>
      <c r="J248" s="35"/>
      <c r="K248" s="35">
        <v>0.14299999999999999</v>
      </c>
      <c r="L248" s="35" t="s">
        <v>1876</v>
      </c>
      <c r="M248" s="35"/>
      <c r="N248" s="35" t="s">
        <v>2155</v>
      </c>
    </row>
    <row r="249" spans="1:14" ht="14" hidden="1">
      <c r="A249" s="36" t="e">
        <v>#N/A</v>
      </c>
      <c r="B249" s="37">
        <v>5274</v>
      </c>
      <c r="C249" s="37" t="s">
        <v>279</v>
      </c>
      <c r="D249" s="37">
        <f>K249</f>
        <v>8.1897000000000002</v>
      </c>
      <c r="E249" s="37" t="s">
        <v>8</v>
      </c>
      <c r="F249" s="38" t="s">
        <v>168</v>
      </c>
      <c r="G249" s="42">
        <v>4000</v>
      </c>
      <c r="H249" s="40">
        <f t="shared" si="8"/>
        <v>2.0474249999999999E-3</v>
      </c>
      <c r="I249" s="35"/>
      <c r="J249" s="35"/>
      <c r="K249" s="35">
        <v>8.1897000000000002</v>
      </c>
      <c r="L249" s="35" t="s">
        <v>2126</v>
      </c>
      <c r="M249" s="35"/>
      <c r="N249" s="35" t="s">
        <v>2155</v>
      </c>
    </row>
    <row r="250" spans="1:14" ht="14" hidden="1">
      <c r="A250" s="36" t="e">
        <v>#N/A</v>
      </c>
      <c r="B250" s="37">
        <v>5301</v>
      </c>
      <c r="C250" s="37" t="s">
        <v>395</v>
      </c>
      <c r="D250" s="37">
        <f>K250</f>
        <v>6.2E-2</v>
      </c>
      <c r="E250" s="37" t="s">
        <v>11</v>
      </c>
      <c r="F250" s="38" t="s">
        <v>168</v>
      </c>
      <c r="G250" s="42">
        <v>1</v>
      </c>
      <c r="H250" s="40">
        <f t="shared" si="8"/>
        <v>6.2E-2</v>
      </c>
      <c r="I250" s="35"/>
      <c r="J250" s="35"/>
      <c r="K250" s="35">
        <v>6.2E-2</v>
      </c>
      <c r="L250" s="35" t="s">
        <v>1876</v>
      </c>
      <c r="M250" s="35"/>
      <c r="N250" s="35" t="s">
        <v>2155</v>
      </c>
    </row>
    <row r="251" spans="1:14" ht="14" hidden="1">
      <c r="A251" s="36" t="e">
        <v>#N/A</v>
      </c>
      <c r="B251" s="37">
        <v>5331</v>
      </c>
      <c r="C251" s="37" t="s">
        <v>343</v>
      </c>
      <c r="D251" s="37">
        <v>0.13</v>
      </c>
      <c r="E251" s="37" t="s">
        <v>11</v>
      </c>
      <c r="F251" s="38" t="s">
        <v>168</v>
      </c>
      <c r="G251" s="42">
        <v>1</v>
      </c>
      <c r="H251" s="40">
        <f t="shared" si="8"/>
        <v>0.13</v>
      </c>
      <c r="I251" s="35"/>
      <c r="J251" s="35"/>
      <c r="K251" s="35">
        <v>0</v>
      </c>
      <c r="L251" s="35">
        <v>0</v>
      </c>
      <c r="M251" s="35"/>
      <c r="N251" s="35" t="s">
        <v>2155</v>
      </c>
    </row>
    <row r="252" spans="1:14" ht="14" hidden="1">
      <c r="A252" s="36" t="e">
        <v>#N/A</v>
      </c>
      <c r="B252" s="37">
        <v>5372</v>
      </c>
      <c r="C252" s="37" t="s">
        <v>280</v>
      </c>
      <c r="D252" s="37">
        <v>1.15E-2</v>
      </c>
      <c r="E252" s="37" t="s">
        <v>11</v>
      </c>
      <c r="F252" s="38" t="s">
        <v>168</v>
      </c>
      <c r="G252" s="42">
        <v>1</v>
      </c>
      <c r="H252" s="40">
        <f t="shared" si="8"/>
        <v>1.15E-2</v>
      </c>
      <c r="I252" s="35"/>
      <c r="J252" s="35"/>
      <c r="K252" s="35">
        <v>0</v>
      </c>
      <c r="L252" s="35">
        <v>0</v>
      </c>
      <c r="M252" s="35"/>
      <c r="N252" s="35" t="s">
        <v>2155</v>
      </c>
    </row>
    <row r="253" spans="1:14" ht="14" hidden="1">
      <c r="A253" s="36" t="e">
        <v>#N/A</v>
      </c>
      <c r="B253" s="37">
        <v>5378</v>
      </c>
      <c r="C253" s="37" t="s">
        <v>327</v>
      </c>
      <c r="D253" s="37">
        <v>2.75</v>
      </c>
      <c r="E253" s="37" t="s">
        <v>8</v>
      </c>
      <c r="F253" s="38" t="s">
        <v>168</v>
      </c>
      <c r="G253" s="42">
        <v>1000</v>
      </c>
      <c r="H253" s="40">
        <f t="shared" si="8"/>
        <v>2.7499999999999998E-3</v>
      </c>
      <c r="I253" s="35"/>
      <c r="J253" s="35"/>
      <c r="K253" s="35">
        <v>0</v>
      </c>
      <c r="L253" s="35">
        <v>0</v>
      </c>
      <c r="M253" s="35"/>
      <c r="N253" s="35" t="s">
        <v>2155</v>
      </c>
    </row>
    <row r="254" spans="1:14" ht="14" hidden="1">
      <c r="A254" s="36" t="e">
        <v>#N/A</v>
      </c>
      <c r="B254" s="37">
        <v>4203</v>
      </c>
      <c r="C254" s="37" t="s">
        <v>142</v>
      </c>
      <c r="D254" s="37">
        <f>K254</f>
        <v>7.7590000000000003</v>
      </c>
      <c r="E254" s="37" t="s">
        <v>8</v>
      </c>
      <c r="F254" s="38" t="s">
        <v>17</v>
      </c>
      <c r="G254" s="42">
        <v>1000</v>
      </c>
      <c r="H254" s="40">
        <f t="shared" si="8"/>
        <v>7.7590000000000003E-3</v>
      </c>
      <c r="I254" s="35"/>
      <c r="J254" s="35"/>
      <c r="K254" s="35">
        <v>7.7590000000000003</v>
      </c>
      <c r="L254" s="35" t="s">
        <v>2124</v>
      </c>
      <c r="M254" s="35"/>
      <c r="N254" s="35" t="s">
        <v>2155</v>
      </c>
    </row>
    <row r="255" spans="1:14" ht="14" hidden="1">
      <c r="A255" s="36" t="e">
        <v>#N/A</v>
      </c>
      <c r="B255" s="37">
        <v>4249</v>
      </c>
      <c r="C255" s="37" t="s">
        <v>148</v>
      </c>
      <c r="D255" s="37">
        <v>10.344799999999999</v>
      </c>
      <c r="E255" s="37" t="s">
        <v>8</v>
      </c>
      <c r="F255" s="38" t="s">
        <v>17</v>
      </c>
      <c r="G255" s="42">
        <v>1000</v>
      </c>
      <c r="H255" s="40">
        <f t="shared" si="8"/>
        <v>1.0344799999999999E-2</v>
      </c>
      <c r="I255" s="35"/>
      <c r="J255" s="35"/>
      <c r="K255" s="35">
        <v>0</v>
      </c>
      <c r="L255" s="35">
        <v>0</v>
      </c>
      <c r="M255" s="35"/>
      <c r="N255" s="35" t="s">
        <v>2155</v>
      </c>
    </row>
    <row r="256" spans="1:14" ht="14" hidden="1">
      <c r="A256" s="36" t="e">
        <v>#N/A</v>
      </c>
      <c r="B256" s="37">
        <v>4256</v>
      </c>
      <c r="C256" s="37" t="s">
        <v>212</v>
      </c>
      <c r="D256" s="37">
        <v>1.25</v>
      </c>
      <c r="E256" s="37" t="s">
        <v>8</v>
      </c>
      <c r="F256" s="38" t="s">
        <v>17</v>
      </c>
      <c r="G256" s="42">
        <v>1000</v>
      </c>
      <c r="H256" s="40">
        <f t="shared" si="8"/>
        <v>1.25E-3</v>
      </c>
      <c r="I256" s="35"/>
      <c r="J256" s="35"/>
      <c r="K256" s="35">
        <v>0</v>
      </c>
      <c r="L256" s="35">
        <v>0</v>
      </c>
      <c r="M256" s="35"/>
      <c r="N256" s="35" t="s">
        <v>2155</v>
      </c>
    </row>
    <row r="257" spans="1:14" ht="14" hidden="1">
      <c r="A257" s="36" t="e">
        <v>#N/A</v>
      </c>
      <c r="B257" s="37">
        <v>5087</v>
      </c>
      <c r="C257" s="37" t="s">
        <v>392</v>
      </c>
      <c r="D257" s="37">
        <v>1.4710000000000001</v>
      </c>
      <c r="E257" s="37" t="s">
        <v>8</v>
      </c>
      <c r="F257" s="38" t="s">
        <v>17</v>
      </c>
      <c r="G257" s="42">
        <v>1000</v>
      </c>
      <c r="H257" s="40">
        <f t="shared" si="8"/>
        <v>1.4710000000000001E-3</v>
      </c>
      <c r="I257" s="35"/>
      <c r="J257" s="35"/>
      <c r="K257" s="35">
        <v>0</v>
      </c>
      <c r="L257" s="35">
        <v>0</v>
      </c>
      <c r="M257" s="35"/>
      <c r="N257" s="35" t="s">
        <v>2155</v>
      </c>
    </row>
    <row r="258" spans="1:14" ht="14" hidden="1">
      <c r="A258" s="36" t="s">
        <v>2308</v>
      </c>
      <c r="B258" s="37">
        <v>4787</v>
      </c>
      <c r="C258" s="37" t="s">
        <v>108</v>
      </c>
      <c r="D258" s="37">
        <f>K258</f>
        <v>2.0833300000000001</v>
      </c>
      <c r="E258" s="37" t="s">
        <v>8</v>
      </c>
      <c r="F258" s="38" t="s">
        <v>25</v>
      </c>
      <c r="G258" s="42">
        <v>1000</v>
      </c>
      <c r="H258" s="40">
        <f t="shared" si="8"/>
        <v>2.08333E-3</v>
      </c>
      <c r="I258" s="35"/>
      <c r="J258" s="35"/>
      <c r="K258" s="35">
        <v>2.0833300000000001</v>
      </c>
      <c r="L258" s="35" t="s">
        <v>2124</v>
      </c>
      <c r="M258" s="35"/>
      <c r="N258" s="35" t="s">
        <v>2155</v>
      </c>
    </row>
    <row r="259" spans="1:14" ht="14" hidden="1">
      <c r="A259" s="36" t="s">
        <v>2309</v>
      </c>
      <c r="B259" s="37">
        <v>4491</v>
      </c>
      <c r="C259" s="37" t="s">
        <v>39</v>
      </c>
      <c r="D259" s="37">
        <f>K259</f>
        <v>0.5</v>
      </c>
      <c r="E259" s="37" t="s">
        <v>8</v>
      </c>
      <c r="F259" s="38" t="s">
        <v>9</v>
      </c>
      <c r="G259" s="42">
        <v>1000</v>
      </c>
      <c r="H259" s="40">
        <f t="shared" si="8"/>
        <v>5.0000000000000001E-4</v>
      </c>
      <c r="I259" s="35"/>
      <c r="J259" s="35"/>
      <c r="K259" s="35">
        <v>0.5</v>
      </c>
      <c r="L259" s="35" t="s">
        <v>2124</v>
      </c>
      <c r="M259" s="35"/>
      <c r="N259" s="35" t="s">
        <v>2155</v>
      </c>
    </row>
    <row r="260" spans="1:14" ht="14" hidden="1">
      <c r="A260" s="36" t="e">
        <v>#N/A</v>
      </c>
      <c r="B260" s="256">
        <v>4577</v>
      </c>
      <c r="C260" s="256" t="s">
        <v>368</v>
      </c>
      <c r="D260" s="37">
        <v>2.34</v>
      </c>
      <c r="E260" s="37" t="s">
        <v>8</v>
      </c>
      <c r="F260" s="38" t="s">
        <v>284</v>
      </c>
      <c r="G260" s="42">
        <v>1000</v>
      </c>
      <c r="H260" s="40">
        <f t="shared" si="8"/>
        <v>2.3400000000000001E-3</v>
      </c>
      <c r="I260" s="35"/>
      <c r="J260" s="35"/>
      <c r="K260" s="35">
        <v>0</v>
      </c>
      <c r="L260" s="35">
        <v>0</v>
      </c>
      <c r="M260" s="35"/>
      <c r="N260" s="35" t="s">
        <v>2155</v>
      </c>
    </row>
    <row r="261" spans="1:14" ht="14" hidden="1">
      <c r="A261" s="36" t="s">
        <v>2310</v>
      </c>
      <c r="B261" s="256">
        <v>4579</v>
      </c>
      <c r="C261" s="256" t="s">
        <v>367</v>
      </c>
      <c r="D261" s="37">
        <f>K261</f>
        <v>4.2</v>
      </c>
      <c r="E261" s="37" t="s">
        <v>8</v>
      </c>
      <c r="F261" s="38" t="s">
        <v>284</v>
      </c>
      <c r="G261" s="42">
        <v>1000</v>
      </c>
      <c r="H261" s="40">
        <f t="shared" si="8"/>
        <v>4.2000000000000006E-3</v>
      </c>
      <c r="I261" s="35"/>
      <c r="J261" s="35"/>
      <c r="K261" s="35">
        <v>4.2</v>
      </c>
      <c r="L261" s="35" t="s">
        <v>2124</v>
      </c>
      <c r="M261" s="35"/>
      <c r="N261" s="35" t="s">
        <v>2155</v>
      </c>
    </row>
    <row r="262" spans="1:14" ht="14" hidden="1">
      <c r="A262" s="36" t="s">
        <v>2311</v>
      </c>
      <c r="B262" s="37">
        <v>4583</v>
      </c>
      <c r="C262" s="37" t="s">
        <v>369</v>
      </c>
      <c r="D262" s="37">
        <f>K262</f>
        <v>1.8</v>
      </c>
      <c r="E262" s="37" t="s">
        <v>8</v>
      </c>
      <c r="F262" s="38" t="s">
        <v>284</v>
      </c>
      <c r="G262" s="42">
        <v>1000</v>
      </c>
      <c r="H262" s="40">
        <f t="shared" si="8"/>
        <v>1.8E-3</v>
      </c>
      <c r="I262" s="35"/>
      <c r="J262" s="35"/>
      <c r="K262" s="35">
        <v>1.8</v>
      </c>
      <c r="L262" s="35" t="s">
        <v>2124</v>
      </c>
      <c r="M262" s="35"/>
      <c r="N262" s="35" t="s">
        <v>2155</v>
      </c>
    </row>
    <row r="263" spans="1:14" ht="14" hidden="1">
      <c r="A263" s="36" t="e">
        <v>#N/A</v>
      </c>
      <c r="B263" s="37">
        <v>4584</v>
      </c>
      <c r="C263" s="37" t="s">
        <v>366</v>
      </c>
      <c r="D263" s="37">
        <f>K263</f>
        <v>1.3</v>
      </c>
      <c r="E263" s="37" t="s">
        <v>8</v>
      </c>
      <c r="F263" s="38" t="s">
        <v>284</v>
      </c>
      <c r="G263" s="42">
        <v>1000</v>
      </c>
      <c r="H263" s="40">
        <f t="shared" si="8"/>
        <v>1.2999999999999999E-3</v>
      </c>
      <c r="I263" s="35"/>
      <c r="J263" s="35"/>
      <c r="K263" s="35">
        <v>1.3</v>
      </c>
      <c r="L263" s="35" t="s">
        <v>2124</v>
      </c>
      <c r="M263" s="35"/>
      <c r="N263" s="35" t="s">
        <v>2155</v>
      </c>
    </row>
    <row r="264" spans="1:14" ht="14" hidden="1">
      <c r="A264" s="36" t="e">
        <v>#N/A</v>
      </c>
      <c r="B264" s="37">
        <v>4622</v>
      </c>
      <c r="C264" s="37" t="s">
        <v>370</v>
      </c>
      <c r="D264" s="37">
        <v>3</v>
      </c>
      <c r="E264" s="37" t="s">
        <v>8</v>
      </c>
      <c r="F264" s="38" t="s">
        <v>284</v>
      </c>
      <c r="G264" s="42">
        <v>1000</v>
      </c>
      <c r="H264" s="40">
        <f t="shared" si="8"/>
        <v>3.0000000000000001E-3</v>
      </c>
      <c r="I264" s="35"/>
      <c r="J264" s="35"/>
      <c r="K264" s="35">
        <v>0</v>
      </c>
      <c r="L264" s="35">
        <v>0</v>
      </c>
      <c r="M264" s="35"/>
      <c r="N264" s="35" t="s">
        <v>2155</v>
      </c>
    </row>
    <row r="265" spans="1:14" ht="14" hidden="1">
      <c r="A265" s="36" t="s">
        <v>2312</v>
      </c>
      <c r="B265" s="256">
        <v>5285</v>
      </c>
      <c r="C265" s="256" t="s">
        <v>328</v>
      </c>
      <c r="D265" s="37">
        <v>1.75</v>
      </c>
      <c r="E265" s="37" t="s">
        <v>8</v>
      </c>
      <c r="F265" s="38" t="s">
        <v>284</v>
      </c>
      <c r="G265" s="42">
        <v>1000</v>
      </c>
      <c r="H265" s="40">
        <f t="shared" si="8"/>
        <v>1.75E-3</v>
      </c>
      <c r="I265" s="35"/>
      <c r="J265" s="35"/>
      <c r="K265" s="35">
        <v>1.9</v>
      </c>
      <c r="L265" s="35" t="s">
        <v>2124</v>
      </c>
      <c r="M265" s="35"/>
      <c r="N265" s="35" t="s">
        <v>2155</v>
      </c>
    </row>
    <row r="266" spans="1:14" ht="14" hidden="1">
      <c r="A266" s="36" t="e">
        <v>#N/A</v>
      </c>
      <c r="B266" s="256">
        <v>5288</v>
      </c>
      <c r="C266" s="256" t="s">
        <v>428</v>
      </c>
      <c r="D266" s="256">
        <f>K266</f>
        <v>1.9</v>
      </c>
      <c r="E266" s="37" t="s">
        <v>8</v>
      </c>
      <c r="F266" s="38" t="s">
        <v>284</v>
      </c>
      <c r="G266" s="42">
        <v>1000</v>
      </c>
      <c r="H266" s="40">
        <f t="shared" si="8"/>
        <v>1.9E-3</v>
      </c>
      <c r="I266" s="35"/>
      <c r="J266" s="35"/>
      <c r="K266" s="35">
        <v>1.9</v>
      </c>
      <c r="L266" s="35" t="s">
        <v>2124</v>
      </c>
      <c r="M266" s="35"/>
      <c r="N266" s="35" t="s">
        <v>2155</v>
      </c>
    </row>
    <row r="267" spans="1:14" ht="14" hidden="1">
      <c r="A267" s="36" t="s">
        <v>2313</v>
      </c>
      <c r="B267" s="37">
        <v>5289</v>
      </c>
      <c r="C267" s="37" t="s">
        <v>429</v>
      </c>
      <c r="D267" s="37">
        <f>K267</f>
        <v>1.65</v>
      </c>
      <c r="E267" s="37" t="s">
        <v>8</v>
      </c>
      <c r="F267" s="38" t="s">
        <v>284</v>
      </c>
      <c r="G267" s="42">
        <v>1000</v>
      </c>
      <c r="H267" s="40">
        <f t="shared" si="8"/>
        <v>1.65E-3</v>
      </c>
      <c r="I267" s="35"/>
      <c r="J267" s="35"/>
      <c r="K267" s="35">
        <v>1.65</v>
      </c>
      <c r="L267" s="35" t="s">
        <v>2124</v>
      </c>
      <c r="M267" s="35"/>
      <c r="N267" s="35" t="s">
        <v>2155</v>
      </c>
    </row>
    <row r="268" spans="1:14" ht="14" hidden="1">
      <c r="A268" s="36" t="s">
        <v>2314</v>
      </c>
      <c r="B268" s="37">
        <v>5310</v>
      </c>
      <c r="C268" s="37" t="s">
        <v>304</v>
      </c>
      <c r="D268" s="37">
        <v>1.65</v>
      </c>
      <c r="E268" s="37" t="s">
        <v>8</v>
      </c>
      <c r="F268" s="38" t="s">
        <v>284</v>
      </c>
      <c r="G268" s="42">
        <v>1000</v>
      </c>
      <c r="H268" s="40">
        <f t="shared" si="8"/>
        <v>1.65E-3</v>
      </c>
      <c r="I268" s="35"/>
      <c r="J268" s="35"/>
      <c r="K268" s="35">
        <v>0</v>
      </c>
      <c r="L268" s="35">
        <v>0</v>
      </c>
      <c r="M268" s="35"/>
      <c r="N268" s="35" t="s">
        <v>2155</v>
      </c>
    </row>
    <row r="269" spans="1:14" ht="14" hidden="1">
      <c r="A269" s="36" t="e">
        <v>#N/A</v>
      </c>
      <c r="B269" s="256">
        <v>5326</v>
      </c>
      <c r="C269" s="256" t="s">
        <v>283</v>
      </c>
      <c r="D269" s="37">
        <v>2.2999999999999998</v>
      </c>
      <c r="E269" s="37" t="s">
        <v>8</v>
      </c>
      <c r="F269" s="38" t="s">
        <v>284</v>
      </c>
      <c r="G269" s="42">
        <v>1000</v>
      </c>
      <c r="H269" s="40">
        <f t="shared" si="8"/>
        <v>2.3E-3</v>
      </c>
      <c r="I269" s="35"/>
      <c r="J269" s="35"/>
      <c r="K269" s="35">
        <v>0</v>
      </c>
      <c r="L269" s="35">
        <v>0</v>
      </c>
      <c r="M269" s="35"/>
      <c r="N269" s="35" t="s">
        <v>2155</v>
      </c>
    </row>
    <row r="270" spans="1:14" ht="14" hidden="1">
      <c r="A270" s="36" t="e">
        <v>#N/A</v>
      </c>
      <c r="B270" s="256">
        <v>5386</v>
      </c>
      <c r="C270" s="256" t="s">
        <v>291</v>
      </c>
      <c r="D270" s="256">
        <v>4.2</v>
      </c>
      <c r="E270" s="37" t="s">
        <v>8</v>
      </c>
      <c r="F270" s="38" t="s">
        <v>284</v>
      </c>
      <c r="G270" s="42">
        <v>1000</v>
      </c>
      <c r="H270" s="40">
        <f t="shared" si="8"/>
        <v>4.2000000000000006E-3</v>
      </c>
      <c r="I270" s="35"/>
      <c r="J270" s="35"/>
      <c r="K270" s="35">
        <v>0</v>
      </c>
      <c r="L270" s="35">
        <v>0</v>
      </c>
      <c r="M270" s="35"/>
      <c r="N270" s="35" t="s">
        <v>2155</v>
      </c>
    </row>
    <row r="271" spans="1:14" ht="14" hidden="1">
      <c r="A271" s="36" t="e">
        <v>#N/A</v>
      </c>
      <c r="B271" s="37">
        <v>5409</v>
      </c>
      <c r="C271" s="37" t="s">
        <v>285</v>
      </c>
      <c r="D271" s="37">
        <v>4</v>
      </c>
      <c r="E271" s="37" t="s">
        <v>8</v>
      </c>
      <c r="F271" s="38" t="s">
        <v>284</v>
      </c>
      <c r="G271" s="42">
        <v>1000</v>
      </c>
      <c r="H271" s="40">
        <f t="shared" si="8"/>
        <v>4.0000000000000001E-3</v>
      </c>
      <c r="I271" s="35"/>
      <c r="J271" s="35"/>
      <c r="K271" s="35">
        <v>0</v>
      </c>
      <c r="L271" s="35">
        <v>0</v>
      </c>
      <c r="M271" s="35"/>
      <c r="N271" s="35" t="s">
        <v>2155</v>
      </c>
    </row>
    <row r="272" spans="1:14" ht="14" hidden="1">
      <c r="A272" s="36" t="e">
        <v>#N/A</v>
      </c>
      <c r="B272" s="37">
        <v>5426</v>
      </c>
      <c r="C272" s="37" t="s">
        <v>334</v>
      </c>
      <c r="D272" s="37">
        <v>2</v>
      </c>
      <c r="E272" s="37" t="s">
        <v>11</v>
      </c>
      <c r="F272" s="38" t="s">
        <v>284</v>
      </c>
      <c r="G272" s="42">
        <v>1</v>
      </c>
      <c r="H272" s="40">
        <f t="shared" si="8"/>
        <v>2</v>
      </c>
      <c r="I272" s="35"/>
      <c r="J272" s="35"/>
      <c r="K272" s="35">
        <v>0</v>
      </c>
      <c r="L272" s="35">
        <v>0</v>
      </c>
      <c r="M272" s="35"/>
      <c r="N272" s="35" t="s">
        <v>2155</v>
      </c>
    </row>
    <row r="273" spans="1:14" ht="14" hidden="1">
      <c r="A273" s="36" t="s">
        <v>2315</v>
      </c>
      <c r="B273" s="37">
        <v>50004</v>
      </c>
      <c r="C273" s="37" t="s">
        <v>302</v>
      </c>
      <c r="D273" s="37">
        <f>K273</f>
        <v>2.95</v>
      </c>
      <c r="E273" s="37" t="s">
        <v>8</v>
      </c>
      <c r="F273" s="38" t="s">
        <v>284</v>
      </c>
      <c r="G273" s="42">
        <v>1000</v>
      </c>
      <c r="H273" s="40">
        <f t="shared" si="8"/>
        <v>2.9500000000000004E-3</v>
      </c>
      <c r="I273" s="35"/>
      <c r="J273" s="35"/>
      <c r="K273" s="35">
        <v>2.95</v>
      </c>
      <c r="L273" s="35" t="s">
        <v>2124</v>
      </c>
      <c r="M273" s="35"/>
      <c r="N273" s="35" t="s">
        <v>2155</v>
      </c>
    </row>
    <row r="274" spans="1:14" ht="15.5" hidden="1">
      <c r="A274" s="36" t="s">
        <v>2316</v>
      </c>
      <c r="B274" s="298">
        <v>50005</v>
      </c>
      <c r="C274" s="298" t="s">
        <v>303</v>
      </c>
      <c r="D274" s="37">
        <f>K274</f>
        <v>5.7</v>
      </c>
      <c r="E274" s="37" t="s">
        <v>8</v>
      </c>
      <c r="F274" s="38" t="s">
        <v>284</v>
      </c>
      <c r="G274" s="42">
        <v>1000</v>
      </c>
      <c r="H274" s="40">
        <f t="shared" si="8"/>
        <v>5.7000000000000002E-3</v>
      </c>
      <c r="I274" s="35"/>
      <c r="J274" s="35"/>
      <c r="K274" s="35">
        <v>5.7</v>
      </c>
      <c r="L274" s="35" t="s">
        <v>2124</v>
      </c>
      <c r="M274" s="35"/>
      <c r="N274" s="35" t="s">
        <v>2155</v>
      </c>
    </row>
    <row r="275" spans="1:14" ht="15.5" hidden="1">
      <c r="A275" s="36" t="e">
        <v>#N/A</v>
      </c>
      <c r="B275" s="202">
        <v>979</v>
      </c>
      <c r="C275" s="202" t="s">
        <v>2002</v>
      </c>
      <c r="D275" s="202">
        <f>VLOOKUP(B275,'تسعير تفصيل الخروف مشغل'!B:D,3,0)</f>
        <v>20</v>
      </c>
      <c r="E275" s="37" t="s">
        <v>8</v>
      </c>
      <c r="F275" s="38" t="s">
        <v>21</v>
      </c>
      <c r="G275" s="42">
        <v>1000</v>
      </c>
      <c r="H275" s="40">
        <f t="shared" si="8"/>
        <v>0.02</v>
      </c>
      <c r="I275" s="35"/>
      <c r="J275" s="35"/>
      <c r="K275" s="35">
        <v>0</v>
      </c>
      <c r="L275" s="35">
        <v>0</v>
      </c>
      <c r="M275" s="35"/>
      <c r="N275" s="80" t="s">
        <v>3017</v>
      </c>
    </row>
    <row r="276" spans="1:14" ht="14" hidden="1">
      <c r="A276" s="36" t="e">
        <v>#N/A</v>
      </c>
      <c r="B276" s="47">
        <v>1082</v>
      </c>
      <c r="C276" s="47" t="s">
        <v>361</v>
      </c>
      <c r="D276" s="65">
        <v>7</v>
      </c>
      <c r="E276" s="47" t="s">
        <v>8</v>
      </c>
      <c r="F276" s="38" t="s">
        <v>21</v>
      </c>
      <c r="G276" s="42">
        <v>1000</v>
      </c>
      <c r="H276" s="40">
        <f t="shared" si="8"/>
        <v>7.0000000000000001E-3</v>
      </c>
      <c r="I276" s="35"/>
      <c r="J276" s="35"/>
      <c r="K276" s="35">
        <v>0</v>
      </c>
      <c r="L276" s="35">
        <v>0</v>
      </c>
      <c r="M276" s="35"/>
      <c r="N276" s="35" t="s">
        <v>2155</v>
      </c>
    </row>
    <row r="277" spans="1:14" ht="15.5" hidden="1">
      <c r="A277" s="36" t="e">
        <v>#N/A</v>
      </c>
      <c r="B277" s="51">
        <v>4598</v>
      </c>
      <c r="C277" s="55" t="s">
        <v>373</v>
      </c>
      <c r="D277" s="202">
        <f>VLOOKUP(B277,'تسعير تفصيل الخروف مشغل'!B:D,3,0)</f>
        <v>5</v>
      </c>
      <c r="E277" s="51" t="s">
        <v>8</v>
      </c>
      <c r="F277" s="64" t="s">
        <v>21</v>
      </c>
      <c r="G277" s="42">
        <v>1000</v>
      </c>
      <c r="H277" s="40">
        <f t="shared" si="8"/>
        <v>5.0000000000000001E-3</v>
      </c>
      <c r="I277" s="35"/>
      <c r="J277" s="35"/>
      <c r="K277" s="35">
        <v>0</v>
      </c>
      <c r="L277" s="35">
        <v>0</v>
      </c>
      <c r="M277" s="35"/>
      <c r="N277" s="80" t="s">
        <v>3017</v>
      </c>
    </row>
    <row r="278" spans="1:14" ht="15.5" hidden="1">
      <c r="A278" s="36" t="s">
        <v>2317</v>
      </c>
      <c r="B278" s="200">
        <v>4601</v>
      </c>
      <c r="C278" s="200" t="s">
        <v>383</v>
      </c>
      <c r="D278" s="202">
        <f>VLOOKUP(B278,'تسعير تفصيل الخروف مشغل'!B:D,3,0)</f>
        <v>3</v>
      </c>
      <c r="E278" s="51" t="s">
        <v>8</v>
      </c>
      <c r="F278" s="64" t="s">
        <v>21</v>
      </c>
      <c r="G278" s="42">
        <v>1000</v>
      </c>
      <c r="H278" s="40">
        <f t="shared" si="8"/>
        <v>3.0000000000000001E-3</v>
      </c>
      <c r="I278" s="35"/>
      <c r="J278" s="35"/>
      <c r="K278" s="35">
        <v>0</v>
      </c>
      <c r="L278" s="35">
        <v>0</v>
      </c>
      <c r="M278" s="35"/>
      <c r="N278" s="80" t="s">
        <v>3017</v>
      </c>
    </row>
    <row r="279" spans="1:14" ht="15.5" hidden="1">
      <c r="A279" s="36" t="e">
        <v>#N/A</v>
      </c>
      <c r="B279" s="67">
        <v>4605</v>
      </c>
      <c r="C279" s="67" t="s">
        <v>352</v>
      </c>
      <c r="D279" s="202">
        <f>VLOOKUP(B279,'تسعير تفصيل الخروف مشغل'!B:D,3,0)</f>
        <v>11.615493158849016</v>
      </c>
      <c r="E279" s="51" t="s">
        <v>8</v>
      </c>
      <c r="F279" s="64" t="s">
        <v>21</v>
      </c>
      <c r="G279" s="42">
        <v>1000</v>
      </c>
      <c r="H279" s="40">
        <f t="shared" si="8"/>
        <v>1.1615493158849017E-2</v>
      </c>
      <c r="I279" s="35"/>
      <c r="J279" s="35"/>
      <c r="K279" s="35">
        <v>0</v>
      </c>
      <c r="L279" s="35">
        <v>0</v>
      </c>
      <c r="M279" s="35"/>
      <c r="N279" s="80" t="s">
        <v>3017</v>
      </c>
    </row>
    <row r="280" spans="1:14" ht="15.5" hidden="1">
      <c r="A280" s="36" t="e">
        <v>#N/A</v>
      </c>
      <c r="B280" s="199">
        <v>4606</v>
      </c>
      <c r="C280" s="199" t="s">
        <v>386</v>
      </c>
      <c r="D280" s="202">
        <f>VLOOKUP(B280,'تسعير تفصيل الخروف مشغل'!B:D,3,0)</f>
        <v>10.5</v>
      </c>
      <c r="E280" s="200" t="s">
        <v>8</v>
      </c>
      <c r="F280" s="279" t="s">
        <v>21</v>
      </c>
      <c r="G280" s="280">
        <v>1000</v>
      </c>
      <c r="H280" s="281">
        <f t="shared" si="8"/>
        <v>1.0500000000000001E-2</v>
      </c>
      <c r="I280" s="35"/>
      <c r="J280" s="35"/>
      <c r="K280" s="35">
        <v>0</v>
      </c>
      <c r="L280" s="35">
        <v>0</v>
      </c>
      <c r="M280" s="35"/>
      <c r="N280" s="80" t="s">
        <v>3017</v>
      </c>
    </row>
    <row r="281" spans="1:14" ht="15.5" hidden="1">
      <c r="A281" s="36" t="e">
        <v>#N/A</v>
      </c>
      <c r="B281" s="51">
        <v>4608</v>
      </c>
      <c r="C281" s="55" t="s">
        <v>375</v>
      </c>
      <c r="D281" s="202">
        <f>VLOOKUP(B281,'تسعير تفصيل الخروف مشغل'!B:D,3,0)</f>
        <v>11.615493158849016</v>
      </c>
      <c r="E281" s="51" t="s">
        <v>8</v>
      </c>
      <c r="F281" s="64" t="s">
        <v>21</v>
      </c>
      <c r="G281" s="42">
        <v>1000</v>
      </c>
      <c r="H281" s="40">
        <f t="shared" si="8"/>
        <v>1.1615493158849017E-2</v>
      </c>
      <c r="I281" s="35"/>
      <c r="J281" s="35"/>
      <c r="K281" s="35">
        <v>0</v>
      </c>
      <c r="L281" s="35">
        <v>0</v>
      </c>
      <c r="M281" s="45"/>
      <c r="N281" s="80" t="s">
        <v>3017</v>
      </c>
    </row>
    <row r="282" spans="1:14" ht="15.5" hidden="1">
      <c r="A282" s="36" t="e">
        <v>#N/A</v>
      </c>
      <c r="B282" s="68" t="s">
        <v>2158</v>
      </c>
      <c r="C282" s="67" t="s">
        <v>2159</v>
      </c>
      <c r="D282" s="202">
        <f>VLOOKUP(B282,'تسعير تفصيل الخروف ملحمه'!A:C,3,0)</f>
        <v>11.039193820514564</v>
      </c>
      <c r="E282" s="51" t="s">
        <v>8</v>
      </c>
      <c r="F282" s="64" t="s">
        <v>21</v>
      </c>
      <c r="G282" s="42">
        <v>1000</v>
      </c>
      <c r="H282" s="40">
        <f t="shared" si="8"/>
        <v>1.1039193820514564E-2</v>
      </c>
      <c r="I282" s="35"/>
      <c r="J282" s="35"/>
      <c r="K282" s="35"/>
      <c r="L282" s="35"/>
      <c r="M282" s="45"/>
      <c r="N282" s="35" t="s">
        <v>2155</v>
      </c>
    </row>
    <row r="283" spans="1:14" ht="15.5" hidden="1">
      <c r="A283" s="36" t="e">
        <v>#N/A</v>
      </c>
      <c r="B283" s="67">
        <v>4614</v>
      </c>
      <c r="C283" s="67" t="s">
        <v>378</v>
      </c>
      <c r="D283" s="202">
        <f>VLOOKUP(B283,'تسعير تفصيل الخروف مشغل'!B:D,3,0)</f>
        <v>14</v>
      </c>
      <c r="E283" s="51" t="s">
        <v>8</v>
      </c>
      <c r="F283" s="64" t="s">
        <v>21</v>
      </c>
      <c r="G283" s="42">
        <v>1000</v>
      </c>
      <c r="H283" s="40">
        <f t="shared" si="8"/>
        <v>1.4E-2</v>
      </c>
      <c r="I283" s="35"/>
      <c r="J283" s="35"/>
      <c r="K283" s="35">
        <v>0</v>
      </c>
      <c r="L283" s="35">
        <v>0</v>
      </c>
      <c r="M283" s="35"/>
      <c r="N283" s="80" t="s">
        <v>3017</v>
      </c>
    </row>
    <row r="284" spans="1:14" ht="15.5" hidden="1">
      <c r="A284" s="36" t="e">
        <v>#N/A</v>
      </c>
      <c r="B284" s="67">
        <v>4634</v>
      </c>
      <c r="C284" s="67" t="s">
        <v>73</v>
      </c>
      <c r="D284" s="37">
        <f>K284</f>
        <v>2.0670000000000002</v>
      </c>
      <c r="E284" s="51" t="s">
        <v>8</v>
      </c>
      <c r="F284" s="64" t="s">
        <v>21</v>
      </c>
      <c r="G284" s="42">
        <v>1000</v>
      </c>
      <c r="H284" s="40">
        <f t="shared" si="8"/>
        <v>2.0670000000000003E-3</v>
      </c>
      <c r="I284" s="35"/>
      <c r="J284" s="35"/>
      <c r="K284" s="35">
        <v>2.0670000000000002</v>
      </c>
      <c r="L284" s="35" t="s">
        <v>2124</v>
      </c>
      <c r="M284" s="35"/>
      <c r="N284" s="35" t="s">
        <v>2155</v>
      </c>
    </row>
    <row r="285" spans="1:14" ht="15.5" hidden="1">
      <c r="A285" s="36" t="e">
        <v>#N/A</v>
      </c>
      <c r="B285" s="67">
        <v>4754</v>
      </c>
      <c r="C285" s="67" t="s">
        <v>355</v>
      </c>
      <c r="D285" s="67">
        <v>6</v>
      </c>
      <c r="E285" s="51" t="s">
        <v>8</v>
      </c>
      <c r="F285" s="64" t="s">
        <v>21</v>
      </c>
      <c r="G285" s="42">
        <v>1000</v>
      </c>
      <c r="H285" s="40">
        <f t="shared" si="8"/>
        <v>6.0000000000000001E-3</v>
      </c>
      <c r="I285" s="35"/>
      <c r="J285" s="35"/>
      <c r="K285" s="35">
        <v>0</v>
      </c>
      <c r="L285" s="35">
        <v>0</v>
      </c>
      <c r="M285" s="35"/>
      <c r="N285" s="35" t="s">
        <v>2155</v>
      </c>
    </row>
    <row r="286" spans="1:14" ht="15.5" hidden="1">
      <c r="A286" s="36" t="e">
        <v>#N/A</v>
      </c>
      <c r="B286" s="67">
        <v>4762</v>
      </c>
      <c r="C286" s="67" t="s">
        <v>354</v>
      </c>
      <c r="D286" s="202">
        <f>VLOOKUP(B286,'تسعير تفصيل الخروف مشغل'!B:D,3,0)</f>
        <v>5</v>
      </c>
      <c r="E286" s="51" t="s">
        <v>8</v>
      </c>
      <c r="F286" s="64" t="s">
        <v>21</v>
      </c>
      <c r="G286" s="42">
        <v>1000</v>
      </c>
      <c r="H286" s="40">
        <f t="shared" si="8"/>
        <v>5.0000000000000001E-3</v>
      </c>
      <c r="I286" s="35"/>
      <c r="J286" s="35"/>
      <c r="K286" s="35">
        <v>0</v>
      </c>
      <c r="L286" s="35">
        <v>0</v>
      </c>
      <c r="M286" s="35"/>
      <c r="N286" s="80" t="s">
        <v>3017</v>
      </c>
    </row>
    <row r="287" spans="1:14" ht="15.5" hidden="1">
      <c r="A287" s="36" t="e">
        <v>#N/A</v>
      </c>
      <c r="B287" s="67">
        <v>4764</v>
      </c>
      <c r="C287" s="67" t="s">
        <v>353</v>
      </c>
      <c r="D287" s="202">
        <f>VLOOKUP(B287,'تسعير تفصيل الخروف مشغل'!B:D,3,0)</f>
        <v>5</v>
      </c>
      <c r="E287" s="51" t="s">
        <v>8</v>
      </c>
      <c r="F287" s="64" t="s">
        <v>21</v>
      </c>
      <c r="G287" s="42">
        <v>1000</v>
      </c>
      <c r="H287" s="40">
        <f t="shared" si="8"/>
        <v>5.0000000000000001E-3</v>
      </c>
      <c r="I287" s="35"/>
      <c r="J287" s="35"/>
      <c r="K287" s="35">
        <v>0</v>
      </c>
      <c r="L287" s="35">
        <v>0</v>
      </c>
      <c r="M287" s="35"/>
      <c r="N287" s="80" t="s">
        <v>3017</v>
      </c>
    </row>
    <row r="288" spans="1:14" ht="15.5" hidden="1">
      <c r="A288" s="36" t="e">
        <v>#N/A</v>
      </c>
      <c r="B288" s="51">
        <v>4943</v>
      </c>
      <c r="C288" s="51" t="s">
        <v>351</v>
      </c>
      <c r="D288" s="202">
        <f>VLOOKUP(B288,'تسعير تفصيل الخروف مشغل'!B:D,3,0)</f>
        <v>10.5</v>
      </c>
      <c r="E288" s="51" t="s">
        <v>8</v>
      </c>
      <c r="F288" s="64" t="s">
        <v>21</v>
      </c>
      <c r="G288" s="42">
        <v>1000</v>
      </c>
      <c r="H288" s="40">
        <f t="shared" si="8"/>
        <v>1.0500000000000001E-2</v>
      </c>
      <c r="I288" s="35"/>
      <c r="J288" s="35"/>
      <c r="K288" s="35">
        <v>0</v>
      </c>
      <c r="L288" s="35">
        <v>0</v>
      </c>
      <c r="M288" s="35"/>
      <c r="N288" s="80" t="s">
        <v>3017</v>
      </c>
    </row>
    <row r="289" spans="1:14" ht="15.5" hidden="1">
      <c r="A289" s="36" t="e">
        <v>#N/A</v>
      </c>
      <c r="B289" s="67">
        <v>5066</v>
      </c>
      <c r="C289" s="67" t="s">
        <v>365</v>
      </c>
      <c r="D289" s="67">
        <v>1.25</v>
      </c>
      <c r="E289" s="51" t="s">
        <v>11</v>
      </c>
      <c r="F289" s="64" t="s">
        <v>21</v>
      </c>
      <c r="G289" s="42">
        <v>1</v>
      </c>
      <c r="H289" s="40">
        <f t="shared" si="8"/>
        <v>1.25</v>
      </c>
      <c r="I289" s="35"/>
      <c r="J289" s="35"/>
      <c r="K289" s="35">
        <v>0</v>
      </c>
      <c r="L289" s="35">
        <v>0</v>
      </c>
      <c r="M289" s="35"/>
      <c r="N289" s="35" t="s">
        <v>2155</v>
      </c>
    </row>
    <row r="290" spans="1:14" ht="15.5">
      <c r="A290" s="36" t="e">
        <v>#N/A</v>
      </c>
      <c r="B290" s="67">
        <v>5077</v>
      </c>
      <c r="C290" s="67" t="s">
        <v>20</v>
      </c>
      <c r="D290" s="67">
        <v>2.4173</v>
      </c>
      <c r="E290" s="51" t="s">
        <v>8</v>
      </c>
      <c r="F290" s="64" t="s">
        <v>21</v>
      </c>
      <c r="G290" s="42">
        <v>1000</v>
      </c>
      <c r="H290" s="40">
        <f t="shared" si="8"/>
        <v>2.4172999999999998E-3</v>
      </c>
      <c r="I290" s="35"/>
      <c r="J290" s="35"/>
      <c r="K290" s="35">
        <v>0</v>
      </c>
      <c r="L290" s="35">
        <v>0</v>
      </c>
      <c r="M290" s="35"/>
      <c r="N290" s="35" t="s">
        <v>2155</v>
      </c>
    </row>
    <row r="291" spans="1:14" ht="15.5" hidden="1">
      <c r="A291" s="36" t="e">
        <v>#N/A</v>
      </c>
      <c r="B291" s="67">
        <v>5261</v>
      </c>
      <c r="C291" s="67" t="s">
        <v>397</v>
      </c>
      <c r="D291" s="67">
        <v>2.6</v>
      </c>
      <c r="E291" s="51" t="s">
        <v>8</v>
      </c>
      <c r="F291" s="64" t="s">
        <v>21</v>
      </c>
      <c r="G291" s="42">
        <v>1000</v>
      </c>
      <c r="H291" s="40">
        <f t="shared" si="8"/>
        <v>2.5999999999999999E-3</v>
      </c>
      <c r="I291" s="35"/>
      <c r="J291" s="35"/>
      <c r="K291" s="35">
        <v>0</v>
      </c>
      <c r="L291" s="35">
        <v>0</v>
      </c>
      <c r="M291" s="35"/>
      <c r="N291" s="35" t="s">
        <v>2155</v>
      </c>
    </row>
    <row r="292" spans="1:14" ht="15.5" hidden="1">
      <c r="A292" s="36" t="e">
        <v>#N/A</v>
      </c>
      <c r="B292" s="67">
        <v>5315</v>
      </c>
      <c r="C292" s="68" t="s">
        <v>331</v>
      </c>
      <c r="D292" s="69">
        <v>11.5</v>
      </c>
      <c r="E292" s="51" t="s">
        <v>8</v>
      </c>
      <c r="F292" s="64" t="s">
        <v>21</v>
      </c>
      <c r="G292" s="42">
        <v>1000</v>
      </c>
      <c r="H292" s="40">
        <f t="shared" si="8"/>
        <v>1.15E-2</v>
      </c>
      <c r="I292" s="35"/>
      <c r="J292" s="35"/>
      <c r="K292" s="35">
        <v>0</v>
      </c>
      <c r="L292" s="35">
        <v>0</v>
      </c>
      <c r="M292" s="35"/>
      <c r="N292" s="35" t="s">
        <v>2155</v>
      </c>
    </row>
    <row r="293" spans="1:14" ht="15.5" hidden="1">
      <c r="A293" s="36" t="e">
        <v>#N/A</v>
      </c>
      <c r="B293" s="67">
        <v>5317</v>
      </c>
      <c r="C293" s="67" t="s">
        <v>305</v>
      </c>
      <c r="D293" s="67">
        <v>4</v>
      </c>
      <c r="E293" s="51" t="s">
        <v>11</v>
      </c>
      <c r="F293" s="64" t="s">
        <v>21</v>
      </c>
      <c r="G293" s="42">
        <v>1</v>
      </c>
      <c r="H293" s="40">
        <f t="shared" si="8"/>
        <v>4</v>
      </c>
      <c r="I293" s="35"/>
      <c r="J293" s="35"/>
      <c r="K293" s="35">
        <v>0</v>
      </c>
      <c r="L293" s="35">
        <v>0</v>
      </c>
      <c r="M293" s="35"/>
      <c r="N293" s="35" t="s">
        <v>2155</v>
      </c>
    </row>
    <row r="294" spans="1:14" ht="15.5" hidden="1">
      <c r="A294" s="36" t="e">
        <v>#N/A</v>
      </c>
      <c r="B294" s="67">
        <v>5318</v>
      </c>
      <c r="C294" s="67" t="s">
        <v>324</v>
      </c>
      <c r="D294" s="67">
        <v>4.5</v>
      </c>
      <c r="E294" s="51" t="s">
        <v>11</v>
      </c>
      <c r="F294" s="64" t="s">
        <v>21</v>
      </c>
      <c r="G294" s="42">
        <v>1</v>
      </c>
      <c r="H294" s="40">
        <f t="shared" si="8"/>
        <v>4.5</v>
      </c>
      <c r="I294" s="35"/>
      <c r="J294" s="35"/>
      <c r="K294" s="35">
        <v>0</v>
      </c>
      <c r="L294" s="35">
        <v>0</v>
      </c>
      <c r="M294" s="35"/>
      <c r="N294" s="35" t="s">
        <v>2155</v>
      </c>
    </row>
    <row r="295" spans="1:14" ht="15.5" hidden="1">
      <c r="A295" s="36" t="e">
        <v>#N/A</v>
      </c>
      <c r="B295" s="67">
        <v>5340</v>
      </c>
      <c r="C295" s="67" t="s">
        <v>307</v>
      </c>
      <c r="D295" s="67">
        <v>2.5</v>
      </c>
      <c r="E295" s="51" t="s">
        <v>11</v>
      </c>
      <c r="F295" s="64" t="s">
        <v>21</v>
      </c>
      <c r="G295" s="42">
        <v>1</v>
      </c>
      <c r="H295" s="40">
        <f t="shared" si="8"/>
        <v>2.5</v>
      </c>
      <c r="I295" s="35"/>
      <c r="J295" s="35"/>
      <c r="K295" s="35">
        <v>0</v>
      </c>
      <c r="L295" s="35">
        <v>0</v>
      </c>
      <c r="M295" s="35"/>
      <c r="N295" s="35" t="s">
        <v>2155</v>
      </c>
    </row>
    <row r="296" spans="1:14" ht="15.5" hidden="1">
      <c r="A296" s="36" t="e">
        <v>#N/A</v>
      </c>
      <c r="B296" s="67">
        <v>5342</v>
      </c>
      <c r="C296" s="68" t="s">
        <v>309</v>
      </c>
      <c r="D296" s="52">
        <v>0.35</v>
      </c>
      <c r="E296" s="51" t="s">
        <v>11</v>
      </c>
      <c r="F296" s="64" t="s">
        <v>21</v>
      </c>
      <c r="G296" s="42">
        <v>1</v>
      </c>
      <c r="H296" s="40">
        <f t="shared" si="8"/>
        <v>0.35</v>
      </c>
      <c r="I296" s="35"/>
      <c r="J296" s="35"/>
      <c r="K296" s="35">
        <v>0</v>
      </c>
      <c r="L296" s="35">
        <v>0</v>
      </c>
      <c r="M296" s="35"/>
      <c r="N296" s="35" t="s">
        <v>2155</v>
      </c>
    </row>
    <row r="297" spans="1:14" ht="15.5" hidden="1">
      <c r="A297" s="36" t="e">
        <v>#N/A</v>
      </c>
      <c r="B297" s="67">
        <v>5343</v>
      </c>
      <c r="C297" s="67" t="s">
        <v>310</v>
      </c>
      <c r="D297" s="67">
        <v>4.5</v>
      </c>
      <c r="E297" s="51" t="s">
        <v>11</v>
      </c>
      <c r="F297" s="64" t="s">
        <v>21</v>
      </c>
      <c r="G297" s="42">
        <v>1</v>
      </c>
      <c r="H297" s="40">
        <f t="shared" si="8"/>
        <v>4.5</v>
      </c>
      <c r="I297" s="35"/>
      <c r="J297" s="35"/>
      <c r="K297" s="35">
        <v>0</v>
      </c>
      <c r="L297" s="35">
        <v>0</v>
      </c>
      <c r="M297" s="35"/>
      <c r="N297" s="35" t="s">
        <v>2155</v>
      </c>
    </row>
    <row r="298" spans="1:14" ht="15.5" hidden="1">
      <c r="A298" s="36" t="e">
        <v>#N/A</v>
      </c>
      <c r="B298" s="67">
        <v>5392</v>
      </c>
      <c r="C298" s="67" t="s">
        <v>286</v>
      </c>
      <c r="D298" s="202">
        <f>VLOOKUP(B298,'تسعير تفصيل الخروف مشغل'!B:D,3,0)</f>
        <v>14</v>
      </c>
      <c r="E298" s="51" t="s">
        <v>8</v>
      </c>
      <c r="F298" s="64" t="s">
        <v>21</v>
      </c>
      <c r="G298" s="42">
        <v>1000</v>
      </c>
      <c r="H298" s="40">
        <f t="shared" si="8"/>
        <v>1.4E-2</v>
      </c>
      <c r="I298" s="35"/>
      <c r="J298" s="35"/>
      <c r="K298" s="35">
        <v>0</v>
      </c>
      <c r="L298" s="35">
        <v>0</v>
      </c>
      <c r="M298" s="35"/>
      <c r="N298" s="80" t="s">
        <v>3017</v>
      </c>
    </row>
    <row r="299" spans="1:14" ht="15.5" hidden="1">
      <c r="A299" s="36" t="e">
        <v>#N/A</v>
      </c>
      <c r="B299" s="199">
        <v>5393</v>
      </c>
      <c r="C299" s="199" t="s">
        <v>287</v>
      </c>
      <c r="D299" s="202">
        <f>VLOOKUP(B299,'تسعير تفصيل الخروف مشغل'!B:D,3,0)</f>
        <v>11.615493158849016</v>
      </c>
      <c r="E299" s="51" t="s">
        <v>8</v>
      </c>
      <c r="F299" s="64" t="s">
        <v>21</v>
      </c>
      <c r="G299" s="42">
        <v>1000</v>
      </c>
      <c r="H299" s="40">
        <f t="shared" si="8"/>
        <v>1.1615493158849017E-2</v>
      </c>
      <c r="I299" s="35"/>
      <c r="J299" s="35"/>
      <c r="K299" s="35">
        <v>0</v>
      </c>
      <c r="L299" s="35">
        <v>0</v>
      </c>
      <c r="M299" s="35"/>
      <c r="N299" s="80" t="s">
        <v>3017</v>
      </c>
    </row>
    <row r="300" spans="1:14" ht="15.5" hidden="1">
      <c r="A300" s="36" t="e">
        <v>#N/A</v>
      </c>
      <c r="B300" s="67">
        <v>5394</v>
      </c>
      <c r="C300" s="72" t="s">
        <v>288</v>
      </c>
      <c r="D300" s="69">
        <f>VLOOKUP(B300,'تسعير تفصيل الخروف مشغل'!B16:D16,3,0)</f>
        <v>11.615493158849016</v>
      </c>
      <c r="E300" s="51" t="s">
        <v>8</v>
      </c>
      <c r="F300" s="64" t="s">
        <v>21</v>
      </c>
      <c r="G300" s="42">
        <v>1000</v>
      </c>
      <c r="H300" s="40">
        <f t="shared" ref="H300:H338" si="9">D300/G300</f>
        <v>1.1615493158849017E-2</v>
      </c>
      <c r="I300" s="35"/>
      <c r="J300" s="35"/>
      <c r="K300" s="35">
        <v>0</v>
      </c>
      <c r="L300" s="35">
        <v>0</v>
      </c>
      <c r="M300" s="35"/>
      <c r="N300" s="80" t="s">
        <v>3017</v>
      </c>
    </row>
    <row r="301" spans="1:14" ht="15.5" hidden="1">
      <c r="A301" s="36" t="e">
        <v>#N/A</v>
      </c>
      <c r="B301" s="67">
        <v>5403</v>
      </c>
      <c r="C301" s="67" t="s">
        <v>333</v>
      </c>
      <c r="D301" s="67">
        <v>9.5</v>
      </c>
      <c r="E301" s="51" t="s">
        <v>8</v>
      </c>
      <c r="F301" s="64" t="s">
        <v>21</v>
      </c>
      <c r="G301" s="42">
        <v>1000</v>
      </c>
      <c r="H301" s="40">
        <f t="shared" si="9"/>
        <v>9.4999999999999998E-3</v>
      </c>
      <c r="I301" s="35"/>
      <c r="J301" s="35"/>
      <c r="K301" s="35">
        <v>0</v>
      </c>
      <c r="L301" s="35">
        <v>0</v>
      </c>
      <c r="M301" s="35"/>
      <c r="N301" s="35" t="s">
        <v>2155</v>
      </c>
    </row>
    <row r="302" spans="1:14" ht="15.5" hidden="1">
      <c r="A302" s="36" t="e">
        <v>#N/A</v>
      </c>
      <c r="B302" s="67">
        <v>5405</v>
      </c>
      <c r="C302" s="67" t="s">
        <v>306</v>
      </c>
      <c r="D302" s="67">
        <v>3.5</v>
      </c>
      <c r="E302" s="51" t="s">
        <v>8</v>
      </c>
      <c r="F302" s="64" t="s">
        <v>21</v>
      </c>
      <c r="G302" s="42">
        <v>1000</v>
      </c>
      <c r="H302" s="40">
        <f t="shared" si="9"/>
        <v>3.5000000000000001E-3</v>
      </c>
      <c r="I302" s="35"/>
      <c r="J302" s="35"/>
      <c r="K302" s="35">
        <v>0</v>
      </c>
      <c r="L302" s="35">
        <v>0</v>
      </c>
      <c r="M302" s="35"/>
      <c r="N302" s="35" t="s">
        <v>2155</v>
      </c>
    </row>
    <row r="303" spans="1:14" ht="14" hidden="1">
      <c r="A303" s="36" t="e">
        <v>#N/A</v>
      </c>
      <c r="B303" s="68">
        <v>5407</v>
      </c>
      <c r="C303" s="51" t="s">
        <v>479</v>
      </c>
      <c r="D303" s="69">
        <v>2.5</v>
      </c>
      <c r="E303" s="51" t="s">
        <v>8</v>
      </c>
      <c r="F303" s="64" t="s">
        <v>21</v>
      </c>
      <c r="G303" s="42">
        <v>1000</v>
      </c>
      <c r="H303" s="40">
        <f t="shared" si="9"/>
        <v>2.5000000000000001E-3</v>
      </c>
      <c r="I303" s="35"/>
      <c r="J303" s="35"/>
      <c r="K303" s="35">
        <v>0</v>
      </c>
      <c r="L303" s="35">
        <v>0</v>
      </c>
      <c r="M303" s="35"/>
      <c r="N303" s="35" t="s">
        <v>2155</v>
      </c>
    </row>
    <row r="304" spans="1:14" ht="15.5" hidden="1">
      <c r="A304" s="36" t="e">
        <v>#N/A</v>
      </c>
      <c r="B304" s="278">
        <v>5430</v>
      </c>
      <c r="C304" s="67" t="s">
        <v>2160</v>
      </c>
      <c r="D304" s="202">
        <f>VLOOKUP(B304,'تسعير تفصيل الخروف ملحمه'!A:C,3,0)</f>
        <v>1</v>
      </c>
      <c r="E304" s="51" t="s">
        <v>8</v>
      </c>
      <c r="F304" s="64" t="s">
        <v>21</v>
      </c>
      <c r="G304" s="42">
        <v>1000</v>
      </c>
      <c r="H304" s="40">
        <f t="shared" si="9"/>
        <v>1E-3</v>
      </c>
      <c r="I304" s="35"/>
      <c r="J304" s="35"/>
      <c r="K304" s="35">
        <v>0</v>
      </c>
      <c r="L304" s="35">
        <v>0</v>
      </c>
      <c r="M304" s="35"/>
      <c r="N304" s="35" t="s">
        <v>2155</v>
      </c>
    </row>
    <row r="305" spans="1:14" ht="14" hidden="1">
      <c r="A305" s="36" t="e">
        <v>#N/A</v>
      </c>
      <c r="B305" s="68">
        <v>5431</v>
      </c>
      <c r="C305" s="51" t="s">
        <v>372</v>
      </c>
      <c r="D305" s="69">
        <f>VLOOKUP(B305,'تسعير تفصيل الخروف مشغل'!B17:D22,3,0)</f>
        <v>12</v>
      </c>
      <c r="E305" s="51" t="s">
        <v>8</v>
      </c>
      <c r="F305" s="64" t="s">
        <v>21</v>
      </c>
      <c r="G305" s="42">
        <v>1000</v>
      </c>
      <c r="H305" s="40">
        <f t="shared" si="9"/>
        <v>1.2E-2</v>
      </c>
      <c r="I305" s="35"/>
      <c r="J305" s="35"/>
      <c r="K305" s="35">
        <v>0</v>
      </c>
      <c r="L305" s="35">
        <v>0</v>
      </c>
      <c r="M305" s="35"/>
      <c r="N305" s="80" t="s">
        <v>3017</v>
      </c>
    </row>
    <row r="306" spans="1:14" ht="15.5" hidden="1">
      <c r="A306" s="36" t="e">
        <v>#N/A</v>
      </c>
      <c r="B306" s="67">
        <v>5432</v>
      </c>
      <c r="C306" s="67" t="s">
        <v>374</v>
      </c>
      <c r="D306" s="67">
        <v>5.8239999999999998</v>
      </c>
      <c r="E306" s="51" t="s">
        <v>8</v>
      </c>
      <c r="F306" s="64" t="s">
        <v>21</v>
      </c>
      <c r="G306" s="42">
        <v>1000</v>
      </c>
      <c r="H306" s="40">
        <f t="shared" si="9"/>
        <v>5.8240000000000002E-3</v>
      </c>
      <c r="I306" s="35"/>
      <c r="J306" s="35"/>
      <c r="K306" s="35">
        <v>0</v>
      </c>
      <c r="L306" s="35">
        <v>0</v>
      </c>
      <c r="M306" s="35"/>
      <c r="N306" s="35" t="s">
        <v>2155</v>
      </c>
    </row>
    <row r="307" spans="1:14" ht="15.5" hidden="1">
      <c r="A307" s="36" t="e">
        <v>#N/A</v>
      </c>
      <c r="B307" s="68">
        <v>5433</v>
      </c>
      <c r="C307" s="142" t="s">
        <v>2004</v>
      </c>
      <c r="D307" s="202">
        <f>VLOOKUP(B307,'تفصيل فخد برازيلي'!A:H,8,0)</f>
        <v>7.6241935483870975</v>
      </c>
      <c r="E307" s="51" t="s">
        <v>8</v>
      </c>
      <c r="F307" s="64" t="s">
        <v>21</v>
      </c>
      <c r="G307" s="42">
        <v>1000</v>
      </c>
      <c r="H307" s="40">
        <f t="shared" si="9"/>
        <v>7.6241935483870975E-3</v>
      </c>
      <c r="I307" s="35"/>
      <c r="J307" s="35"/>
      <c r="K307" s="35">
        <v>0</v>
      </c>
      <c r="L307" s="35">
        <v>0</v>
      </c>
      <c r="M307" s="35"/>
      <c r="N307" s="35" t="s">
        <v>2155</v>
      </c>
    </row>
    <row r="308" spans="1:14" ht="14" hidden="1">
      <c r="A308" s="36" t="e">
        <v>#N/A</v>
      </c>
      <c r="B308" s="68">
        <v>5434</v>
      </c>
      <c r="C308" s="68" t="s">
        <v>2093</v>
      </c>
      <c r="D308" s="201">
        <v>11.4</v>
      </c>
      <c r="E308" s="51" t="s">
        <v>8</v>
      </c>
      <c r="F308" s="64" t="s">
        <v>21</v>
      </c>
      <c r="G308" s="42">
        <v>1000</v>
      </c>
      <c r="H308" s="40">
        <f t="shared" si="9"/>
        <v>1.14E-2</v>
      </c>
      <c r="I308" s="35"/>
      <c r="J308" s="35"/>
      <c r="K308" s="35">
        <v>0</v>
      </c>
      <c r="L308" s="35">
        <v>0</v>
      </c>
      <c r="M308" s="35"/>
      <c r="N308" s="35" t="s">
        <v>2155</v>
      </c>
    </row>
    <row r="309" spans="1:14" ht="15.5" hidden="1">
      <c r="A309" s="36" t="e">
        <v>#N/A</v>
      </c>
      <c r="B309" s="67">
        <v>5435</v>
      </c>
      <c r="C309" s="67" t="s">
        <v>379</v>
      </c>
      <c r="D309" s="69">
        <f>VLOOKUP(B309,'تسعير تفصيل الخروف مشغل'!B17:D22,3,0)</f>
        <v>12</v>
      </c>
      <c r="E309" s="51" t="s">
        <v>8</v>
      </c>
      <c r="F309" s="64" t="s">
        <v>21</v>
      </c>
      <c r="G309" s="42">
        <v>1000</v>
      </c>
      <c r="H309" s="40">
        <f t="shared" si="9"/>
        <v>1.2E-2</v>
      </c>
      <c r="I309" s="35"/>
      <c r="J309" s="35"/>
      <c r="K309" s="35">
        <v>0</v>
      </c>
      <c r="L309" s="35">
        <v>0</v>
      </c>
      <c r="M309" s="35"/>
      <c r="N309" s="80" t="s">
        <v>3017</v>
      </c>
    </row>
    <row r="310" spans="1:14" ht="15.5" hidden="1">
      <c r="A310" s="36" t="e">
        <v>#N/A</v>
      </c>
      <c r="B310" s="67">
        <v>5436</v>
      </c>
      <c r="C310" s="67" t="s">
        <v>380</v>
      </c>
      <c r="D310" s="202">
        <f>VLOOKUP(B310,'تسعير تفصيل الخروف مشغل'!B:D,3,0)</f>
        <v>21</v>
      </c>
      <c r="E310" s="51" t="s">
        <v>8</v>
      </c>
      <c r="F310" s="64" t="s">
        <v>21</v>
      </c>
      <c r="G310" s="42">
        <v>1000</v>
      </c>
      <c r="H310" s="40">
        <f t="shared" si="9"/>
        <v>2.1000000000000001E-2</v>
      </c>
      <c r="I310" s="35"/>
      <c r="J310" s="35"/>
      <c r="K310" s="35">
        <v>0</v>
      </c>
      <c r="L310" s="35">
        <v>0</v>
      </c>
      <c r="M310" s="35"/>
      <c r="N310" s="80" t="s">
        <v>3017</v>
      </c>
    </row>
    <row r="311" spans="1:14" ht="14" hidden="1">
      <c r="A311" s="36" t="e">
        <v>#N/A</v>
      </c>
      <c r="B311" s="68">
        <v>5437</v>
      </c>
      <c r="C311" s="51" t="s">
        <v>382</v>
      </c>
      <c r="D311" s="69">
        <v>1</v>
      </c>
      <c r="E311" s="51" t="s">
        <v>8</v>
      </c>
      <c r="F311" s="64" t="s">
        <v>21</v>
      </c>
      <c r="G311" s="42">
        <v>1000</v>
      </c>
      <c r="H311" s="40">
        <f t="shared" si="9"/>
        <v>1E-3</v>
      </c>
      <c r="I311" s="35"/>
      <c r="J311" s="35"/>
      <c r="K311" s="35">
        <v>0</v>
      </c>
      <c r="L311" s="35">
        <v>0</v>
      </c>
      <c r="M311" s="35"/>
      <c r="N311" s="35" t="s">
        <v>2155</v>
      </c>
    </row>
    <row r="312" spans="1:14" ht="15.5" hidden="1">
      <c r="A312" s="36" t="e">
        <v>#N/A</v>
      </c>
      <c r="B312" s="67">
        <v>5440</v>
      </c>
      <c r="C312" s="67" t="s">
        <v>387</v>
      </c>
      <c r="D312" s="69">
        <f>VLOOKUP(B312,'تسعير تفصيل الخروف مشغل'!B17:D22,3,0)</f>
        <v>3</v>
      </c>
      <c r="E312" s="51" t="s">
        <v>8</v>
      </c>
      <c r="F312" s="64" t="s">
        <v>21</v>
      </c>
      <c r="G312" s="42">
        <v>1000</v>
      </c>
      <c r="H312" s="40">
        <f t="shared" si="9"/>
        <v>3.0000000000000001E-3</v>
      </c>
      <c r="I312" s="35"/>
      <c r="J312" s="35"/>
      <c r="K312" s="35">
        <v>0</v>
      </c>
      <c r="L312" s="35">
        <v>0</v>
      </c>
      <c r="M312" s="35"/>
      <c r="N312" s="80" t="s">
        <v>3017</v>
      </c>
    </row>
    <row r="313" spans="1:14" ht="15.5" hidden="1">
      <c r="A313" s="36" t="e">
        <v>#N/A</v>
      </c>
      <c r="B313" s="67">
        <v>5442</v>
      </c>
      <c r="C313" s="51" t="s">
        <v>389</v>
      </c>
      <c r="D313" s="69">
        <f>VLOOKUP(B313,'تسعير تفصيل الخروف مشغل'!B17:D22,3,0)</f>
        <v>12</v>
      </c>
      <c r="E313" s="51" t="s">
        <v>8</v>
      </c>
      <c r="F313" s="64" t="s">
        <v>21</v>
      </c>
      <c r="G313" s="42">
        <v>1000</v>
      </c>
      <c r="H313" s="40">
        <f t="shared" si="9"/>
        <v>1.2E-2</v>
      </c>
      <c r="I313" s="35"/>
      <c r="J313" s="35"/>
      <c r="K313" s="35">
        <v>0</v>
      </c>
      <c r="L313" s="35">
        <v>0</v>
      </c>
      <c r="M313" s="35"/>
      <c r="N313" s="80" t="s">
        <v>3017</v>
      </c>
    </row>
    <row r="314" spans="1:14" ht="15.5" hidden="1">
      <c r="A314" s="36" t="e">
        <v>#N/A</v>
      </c>
      <c r="B314" s="67">
        <v>5443</v>
      </c>
      <c r="C314" s="67" t="s">
        <v>390</v>
      </c>
      <c r="D314" s="69">
        <f>VLOOKUP(B314,'تسعير تفصيل الخروف مشغل'!B17:D22,3,0)</f>
        <v>0</v>
      </c>
      <c r="E314" s="51" t="s">
        <v>8</v>
      </c>
      <c r="F314" s="64" t="s">
        <v>21</v>
      </c>
      <c r="G314" s="42">
        <v>1000</v>
      </c>
      <c r="H314" s="264">
        <f t="shared" si="9"/>
        <v>0</v>
      </c>
      <c r="I314" s="35"/>
      <c r="J314" s="35"/>
      <c r="K314" s="35">
        <v>0</v>
      </c>
      <c r="L314" s="35">
        <v>0</v>
      </c>
      <c r="M314" s="35"/>
      <c r="N314" s="80" t="s">
        <v>3017</v>
      </c>
    </row>
    <row r="315" spans="1:14" ht="15.5" hidden="1">
      <c r="A315" s="36" t="e">
        <v>#N/A</v>
      </c>
      <c r="B315" s="67">
        <v>5446</v>
      </c>
      <c r="C315" s="67" t="s">
        <v>1938</v>
      </c>
      <c r="D315" s="51">
        <f>VLOOKUP(B315,'تسعير تفصيل الخروف مشغل'!B15:D15,3,0)</f>
        <v>11.615493158849016</v>
      </c>
      <c r="E315" s="51" t="s">
        <v>8</v>
      </c>
      <c r="F315" s="64" t="s">
        <v>21</v>
      </c>
      <c r="G315" s="42">
        <v>1000</v>
      </c>
      <c r="H315" s="40">
        <f t="shared" si="9"/>
        <v>1.1615493158849017E-2</v>
      </c>
      <c r="I315" s="35"/>
      <c r="J315" s="35"/>
      <c r="K315" s="35">
        <v>0</v>
      </c>
      <c r="L315" s="35">
        <v>0</v>
      </c>
      <c r="M315" s="35"/>
      <c r="N315" s="80" t="s">
        <v>3017</v>
      </c>
    </row>
    <row r="316" spans="1:14" ht="15.5" hidden="1">
      <c r="A316" s="36" t="e">
        <v>#N/A</v>
      </c>
      <c r="B316" s="67">
        <v>1221</v>
      </c>
      <c r="C316" s="67" t="s">
        <v>364</v>
      </c>
      <c r="D316" s="51">
        <v>0</v>
      </c>
      <c r="E316" s="51" t="s">
        <v>8</v>
      </c>
      <c r="F316" s="64" t="s">
        <v>23</v>
      </c>
      <c r="G316" s="42">
        <v>1000</v>
      </c>
      <c r="H316" s="264">
        <f t="shared" si="9"/>
        <v>0</v>
      </c>
      <c r="I316" s="35"/>
      <c r="J316" s="35"/>
      <c r="K316" s="35">
        <v>0</v>
      </c>
      <c r="L316" s="35">
        <v>0</v>
      </c>
      <c r="M316" s="35"/>
      <c r="N316" s="35" t="s">
        <v>2155</v>
      </c>
    </row>
    <row r="317" spans="1:14" ht="15.5" hidden="1">
      <c r="A317" s="36" t="e">
        <v>#N/A</v>
      </c>
      <c r="B317" s="67">
        <v>4020</v>
      </c>
      <c r="C317" s="67" t="s">
        <v>81</v>
      </c>
      <c r="D317" s="51">
        <v>2.15</v>
      </c>
      <c r="E317" s="51" t="s">
        <v>8</v>
      </c>
      <c r="F317" s="64" t="s">
        <v>23</v>
      </c>
      <c r="G317" s="42">
        <v>453</v>
      </c>
      <c r="H317" s="40">
        <f t="shared" si="9"/>
        <v>4.7461368653421631E-3</v>
      </c>
      <c r="I317" s="35"/>
      <c r="J317" s="35"/>
      <c r="K317" s="35">
        <v>0</v>
      </c>
      <c r="L317" s="35">
        <v>0</v>
      </c>
      <c r="M317" s="35"/>
      <c r="N317" s="80" t="s">
        <v>3023</v>
      </c>
    </row>
    <row r="318" spans="1:14" ht="15.5" hidden="1">
      <c r="A318" s="36" t="e">
        <v>#N/A</v>
      </c>
      <c r="B318" s="67">
        <v>4078</v>
      </c>
      <c r="C318" s="51" t="s">
        <v>42</v>
      </c>
      <c r="D318" s="51">
        <v>3.1609099999999999</v>
      </c>
      <c r="E318" s="51" t="s">
        <v>8</v>
      </c>
      <c r="F318" s="64" t="s">
        <v>23</v>
      </c>
      <c r="G318" s="42">
        <v>2500</v>
      </c>
      <c r="H318" s="40">
        <f t="shared" si="9"/>
        <v>1.264364E-3</v>
      </c>
      <c r="I318" s="35"/>
      <c r="J318" s="35"/>
      <c r="K318" s="35">
        <v>0</v>
      </c>
      <c r="L318" s="35">
        <v>0</v>
      </c>
      <c r="M318" s="35"/>
      <c r="N318" s="35" t="s">
        <v>2155</v>
      </c>
    </row>
    <row r="319" spans="1:14" ht="15.5" hidden="1">
      <c r="A319" s="36" t="e">
        <v>#N/A</v>
      </c>
      <c r="B319" s="67">
        <v>4079</v>
      </c>
      <c r="C319" s="67" t="s">
        <v>71</v>
      </c>
      <c r="D319" s="67">
        <v>5.7471199999999998</v>
      </c>
      <c r="E319" s="51" t="s">
        <v>8</v>
      </c>
      <c r="F319" s="64" t="s">
        <v>23</v>
      </c>
      <c r="G319" s="42">
        <v>4100</v>
      </c>
      <c r="H319" s="40">
        <f t="shared" si="9"/>
        <v>1.4017365853658537E-3</v>
      </c>
      <c r="I319" s="35"/>
      <c r="J319" s="35"/>
      <c r="K319" s="35">
        <v>0</v>
      </c>
      <c r="L319" s="35">
        <v>0</v>
      </c>
      <c r="M319" s="35"/>
      <c r="N319" s="35" t="s">
        <v>2155</v>
      </c>
    </row>
    <row r="320" spans="1:14" ht="15.5" hidden="1">
      <c r="A320" s="36" t="e">
        <v>#N/A</v>
      </c>
      <c r="B320" s="67">
        <v>4171</v>
      </c>
      <c r="C320" s="51" t="s">
        <v>234</v>
      </c>
      <c r="D320" s="51">
        <v>0.57471000000000005</v>
      </c>
      <c r="E320" s="51" t="s">
        <v>15</v>
      </c>
      <c r="F320" s="64" t="s">
        <v>23</v>
      </c>
      <c r="G320" s="42">
        <v>200</v>
      </c>
      <c r="H320" s="40">
        <f t="shared" si="9"/>
        <v>2.8735500000000003E-3</v>
      </c>
      <c r="I320" s="35"/>
      <c r="J320" s="35"/>
      <c r="K320" s="35">
        <v>0</v>
      </c>
      <c r="L320" s="35">
        <v>0</v>
      </c>
      <c r="M320" s="35"/>
      <c r="N320" s="35" t="s">
        <v>2155</v>
      </c>
    </row>
    <row r="321" spans="1:18" ht="15.5" hidden="1">
      <c r="A321" s="36" t="e">
        <v>#N/A</v>
      </c>
      <c r="B321" s="67">
        <v>4181</v>
      </c>
      <c r="C321" s="67" t="s">
        <v>235</v>
      </c>
      <c r="D321" s="67">
        <v>2.0257999999999998</v>
      </c>
      <c r="E321" s="51" t="s">
        <v>8</v>
      </c>
      <c r="F321" s="64" t="s">
        <v>23</v>
      </c>
      <c r="G321" s="42">
        <v>100</v>
      </c>
      <c r="H321" s="40">
        <f t="shared" si="9"/>
        <v>2.0257999999999998E-2</v>
      </c>
      <c r="I321" s="35"/>
      <c r="J321" s="35"/>
      <c r="K321" s="35">
        <v>0</v>
      </c>
      <c r="L321" s="35">
        <v>0</v>
      </c>
      <c r="M321" s="35"/>
      <c r="N321" s="80" t="s">
        <v>3023</v>
      </c>
    </row>
    <row r="322" spans="1:18" ht="15.5" hidden="1">
      <c r="A322" s="36" t="s">
        <v>2253</v>
      </c>
      <c r="B322" s="67">
        <v>4251</v>
      </c>
      <c r="C322" s="51" t="s">
        <v>129</v>
      </c>
      <c r="D322" s="37">
        <f>K322</f>
        <v>2.7269999999999999</v>
      </c>
      <c r="E322" s="51" t="s">
        <v>8</v>
      </c>
      <c r="F322" s="64" t="s">
        <v>23</v>
      </c>
      <c r="G322" s="42">
        <v>1000</v>
      </c>
      <c r="H322" s="40">
        <f t="shared" si="9"/>
        <v>2.7269999999999998E-3</v>
      </c>
      <c r="I322" s="35"/>
      <c r="J322" s="35"/>
      <c r="K322" s="35">
        <v>2.7269999999999999</v>
      </c>
      <c r="L322" s="35" t="s">
        <v>2124</v>
      </c>
      <c r="M322" s="35"/>
      <c r="N322" s="35" t="s">
        <v>2155</v>
      </c>
    </row>
    <row r="323" spans="1:18" ht="15.5" hidden="1">
      <c r="A323" s="36" t="e">
        <v>#N/A</v>
      </c>
      <c r="B323" s="67">
        <v>4253</v>
      </c>
      <c r="C323" s="67" t="s">
        <v>249</v>
      </c>
      <c r="D323" s="67">
        <v>5.1719999999999997</v>
      </c>
      <c r="E323" s="51" t="s">
        <v>8</v>
      </c>
      <c r="F323" s="64" t="s">
        <v>23</v>
      </c>
      <c r="G323" s="42">
        <v>1000</v>
      </c>
      <c r="H323" s="40">
        <f t="shared" si="9"/>
        <v>5.1719999999999995E-3</v>
      </c>
      <c r="I323" s="35"/>
      <c r="J323" s="35"/>
      <c r="K323" s="35">
        <v>0</v>
      </c>
      <c r="L323" s="35">
        <v>0</v>
      </c>
      <c r="M323" s="35"/>
      <c r="N323" s="35" t="s">
        <v>2155</v>
      </c>
    </row>
    <row r="324" spans="1:18" ht="15.5" hidden="1">
      <c r="A324" s="36" t="s">
        <v>2318</v>
      </c>
      <c r="B324" s="67">
        <v>4255</v>
      </c>
      <c r="C324" s="67" t="s">
        <v>260</v>
      </c>
      <c r="D324" s="37">
        <f>K324</f>
        <v>2</v>
      </c>
      <c r="E324" s="51" t="s">
        <v>8</v>
      </c>
      <c r="F324" s="64" t="s">
        <v>23</v>
      </c>
      <c r="G324" s="42">
        <v>1000</v>
      </c>
      <c r="H324" s="40">
        <f t="shared" si="9"/>
        <v>2E-3</v>
      </c>
      <c r="I324" s="35"/>
      <c r="J324" s="35"/>
      <c r="K324" s="35">
        <v>2</v>
      </c>
      <c r="L324" s="35" t="s">
        <v>2124</v>
      </c>
      <c r="M324" s="35"/>
      <c r="N324" s="303" t="s">
        <v>2155</v>
      </c>
      <c r="O324" s="304">
        <v>250</v>
      </c>
    </row>
    <row r="325" spans="1:18" ht="15.5" hidden="1">
      <c r="A325" s="36" t="e">
        <v>#N/A</v>
      </c>
      <c r="B325" s="67">
        <v>4797</v>
      </c>
      <c r="C325" s="67" t="s">
        <v>250</v>
      </c>
      <c r="D325" s="67">
        <v>9.4830000000000005</v>
      </c>
      <c r="E325" s="51" t="s">
        <v>8</v>
      </c>
      <c r="F325" s="64" t="s">
        <v>23</v>
      </c>
      <c r="G325" s="42">
        <v>500</v>
      </c>
      <c r="H325" s="40">
        <f t="shared" si="9"/>
        <v>1.8966E-2</v>
      </c>
      <c r="I325" s="35"/>
      <c r="J325" s="35"/>
      <c r="K325" s="35">
        <v>0</v>
      </c>
      <c r="L325" s="35">
        <v>0</v>
      </c>
      <c r="M325" s="35"/>
      <c r="N325" s="35" t="s">
        <v>2155</v>
      </c>
      <c r="P325" s="36" t="s">
        <v>3025</v>
      </c>
      <c r="Q325" s="36" t="s">
        <v>3026</v>
      </c>
      <c r="R325" s="36">
        <v>0.05</v>
      </c>
    </row>
    <row r="326" spans="1:18" ht="15.5" hidden="1">
      <c r="A326" s="36" t="e">
        <v>#N/A</v>
      </c>
      <c r="B326" s="67">
        <v>4880</v>
      </c>
      <c r="C326" s="67" t="s">
        <v>266</v>
      </c>
      <c r="D326" s="51">
        <v>6.0350000000000001</v>
      </c>
      <c r="E326" s="51" t="s">
        <v>15</v>
      </c>
      <c r="F326" s="64" t="s">
        <v>23</v>
      </c>
      <c r="G326" s="42">
        <v>3780</v>
      </c>
      <c r="H326" s="40">
        <f t="shared" si="9"/>
        <v>1.5965608465608465E-3</v>
      </c>
      <c r="I326" s="35"/>
      <c r="J326" s="35"/>
      <c r="K326" s="35">
        <v>0</v>
      </c>
      <c r="L326" s="35">
        <v>0</v>
      </c>
      <c r="M326" s="35"/>
      <c r="N326" s="35" t="s">
        <v>2155</v>
      </c>
      <c r="O326" s="306">
        <v>35</v>
      </c>
    </row>
    <row r="327" spans="1:18" ht="15.5" hidden="1">
      <c r="A327" s="36" t="e">
        <v>#N/A</v>
      </c>
      <c r="B327" s="67">
        <v>5035</v>
      </c>
      <c r="C327" s="67" t="s">
        <v>267</v>
      </c>
      <c r="D327" s="67">
        <v>0.14000000000000001</v>
      </c>
      <c r="E327" s="51" t="s">
        <v>11</v>
      </c>
      <c r="F327" s="64" t="s">
        <v>23</v>
      </c>
      <c r="G327" s="42">
        <v>1</v>
      </c>
      <c r="H327" s="40">
        <f t="shared" si="9"/>
        <v>0.14000000000000001</v>
      </c>
      <c r="I327" s="35"/>
      <c r="J327" s="35"/>
      <c r="K327" s="35">
        <v>0</v>
      </c>
      <c r="L327" s="35">
        <v>0</v>
      </c>
      <c r="M327" s="35"/>
      <c r="N327" s="35" t="s">
        <v>2155</v>
      </c>
    </row>
    <row r="328" spans="1:18" ht="15.5" hidden="1">
      <c r="A328" s="36" t="e">
        <v>#N/A</v>
      </c>
      <c r="B328" s="67">
        <v>5306</v>
      </c>
      <c r="C328" s="67" t="s">
        <v>440</v>
      </c>
      <c r="D328" s="37">
        <f>K328</f>
        <v>0.13700000000000001</v>
      </c>
      <c r="E328" s="51" t="s">
        <v>11</v>
      </c>
      <c r="F328" s="64" t="s">
        <v>23</v>
      </c>
      <c r="G328" s="42">
        <v>1</v>
      </c>
      <c r="H328" s="40">
        <f t="shared" si="9"/>
        <v>0.13700000000000001</v>
      </c>
      <c r="I328" s="35"/>
      <c r="J328" s="35"/>
      <c r="K328" s="35">
        <v>0.13700000000000001</v>
      </c>
      <c r="L328" s="35" t="s">
        <v>2137</v>
      </c>
      <c r="M328" s="35"/>
      <c r="N328" s="35" t="s">
        <v>2155</v>
      </c>
    </row>
    <row r="329" spans="1:18" ht="15.5" hidden="1">
      <c r="A329" s="36" t="e">
        <v>#N/A</v>
      </c>
      <c r="B329" s="67">
        <v>5307</v>
      </c>
      <c r="C329" s="67" t="s">
        <v>441</v>
      </c>
      <c r="D329" s="37">
        <f>K329</f>
        <v>0.13700000000000001</v>
      </c>
      <c r="E329" s="51" t="s">
        <v>11</v>
      </c>
      <c r="F329" s="64" t="s">
        <v>23</v>
      </c>
      <c r="G329" s="42">
        <v>1</v>
      </c>
      <c r="H329" s="40">
        <f t="shared" si="9"/>
        <v>0.13700000000000001</v>
      </c>
      <c r="I329" s="35"/>
      <c r="J329" s="35"/>
      <c r="K329" s="35">
        <v>0.13700000000000001</v>
      </c>
      <c r="L329" s="35" t="s">
        <v>2137</v>
      </c>
      <c r="M329" s="35"/>
      <c r="N329" s="35" t="s">
        <v>2155</v>
      </c>
    </row>
    <row r="330" spans="1:18" ht="15.5" hidden="1">
      <c r="A330" s="36" t="e">
        <v>#N/A</v>
      </c>
      <c r="B330" s="67">
        <v>5308</v>
      </c>
      <c r="C330" s="67" t="s">
        <v>442</v>
      </c>
      <c r="D330" s="37">
        <f>K330</f>
        <v>0.13700000000000001</v>
      </c>
      <c r="E330" s="51" t="s">
        <v>11</v>
      </c>
      <c r="F330" s="64" t="s">
        <v>23</v>
      </c>
      <c r="G330" s="42">
        <v>1</v>
      </c>
      <c r="H330" s="40">
        <f t="shared" si="9"/>
        <v>0.13700000000000001</v>
      </c>
      <c r="I330" s="35"/>
      <c r="J330" s="35"/>
      <c r="K330" s="35">
        <v>0.13700000000000001</v>
      </c>
      <c r="L330" s="35" t="s">
        <v>2137</v>
      </c>
      <c r="M330" s="35"/>
      <c r="N330" s="35" t="s">
        <v>2155</v>
      </c>
    </row>
    <row r="331" spans="1:18" ht="15.5" hidden="1">
      <c r="A331" s="36" t="e">
        <v>#N/A</v>
      </c>
      <c r="B331" s="67">
        <v>5309</v>
      </c>
      <c r="C331" s="67" t="s">
        <v>443</v>
      </c>
      <c r="D331" s="37">
        <f>K331</f>
        <v>0.13700000000000001</v>
      </c>
      <c r="E331" s="51" t="s">
        <v>11</v>
      </c>
      <c r="F331" s="64" t="s">
        <v>23</v>
      </c>
      <c r="G331" s="42">
        <v>1</v>
      </c>
      <c r="H331" s="40">
        <f t="shared" si="9"/>
        <v>0.13700000000000001</v>
      </c>
      <c r="I331" s="35"/>
      <c r="J331" s="35"/>
      <c r="K331" s="35">
        <v>0.13700000000000001</v>
      </c>
      <c r="L331" s="35" t="s">
        <v>2137</v>
      </c>
      <c r="M331" s="35"/>
      <c r="N331" s="80" t="s">
        <v>3030</v>
      </c>
    </row>
    <row r="332" spans="1:18" ht="15.5" hidden="1">
      <c r="A332" s="36" t="e">
        <v>#N/A</v>
      </c>
      <c r="B332" s="67">
        <v>5377</v>
      </c>
      <c r="C332" s="67" t="s">
        <v>316</v>
      </c>
      <c r="D332" s="67">
        <v>1.8</v>
      </c>
      <c r="E332" s="51" t="s">
        <v>8</v>
      </c>
      <c r="F332" s="64" t="s">
        <v>23</v>
      </c>
      <c r="G332" s="42">
        <v>1000</v>
      </c>
      <c r="H332" s="40">
        <f t="shared" si="9"/>
        <v>1.8E-3</v>
      </c>
      <c r="I332" s="35"/>
      <c r="J332" s="35"/>
      <c r="K332" s="35">
        <v>0</v>
      </c>
      <c r="L332" s="35">
        <v>0</v>
      </c>
      <c r="M332" s="35"/>
      <c r="N332" s="35" t="s">
        <v>2155</v>
      </c>
    </row>
    <row r="333" spans="1:18" ht="15.5" hidden="1">
      <c r="A333" s="36" t="e">
        <v>#N/A</v>
      </c>
      <c r="B333" s="67">
        <v>5444</v>
      </c>
      <c r="C333" s="67" t="s">
        <v>391</v>
      </c>
      <c r="D333" s="67">
        <v>1.1499999999999999</v>
      </c>
      <c r="E333" s="51" t="s">
        <v>8</v>
      </c>
      <c r="F333" s="64" t="s">
        <v>23</v>
      </c>
      <c r="G333" s="42">
        <v>400</v>
      </c>
      <c r="H333" s="40">
        <f t="shared" si="9"/>
        <v>2.875E-3</v>
      </c>
      <c r="I333" s="35"/>
      <c r="J333" s="35"/>
      <c r="K333" s="35">
        <v>0</v>
      </c>
      <c r="L333" s="35">
        <v>0</v>
      </c>
      <c r="M333" s="35"/>
      <c r="N333" s="35" t="s">
        <v>2155</v>
      </c>
    </row>
    <row r="334" spans="1:18" ht="15.5" hidden="1">
      <c r="A334" s="36" t="e">
        <v>#N/A</v>
      </c>
      <c r="B334" s="67">
        <v>5445</v>
      </c>
      <c r="C334" s="67" t="s">
        <v>398</v>
      </c>
      <c r="D334" s="67">
        <v>2.7</v>
      </c>
      <c r="E334" s="51" t="s">
        <v>8</v>
      </c>
      <c r="F334" s="64" t="s">
        <v>23</v>
      </c>
      <c r="G334" s="42">
        <v>800</v>
      </c>
      <c r="H334" s="40">
        <f t="shared" si="9"/>
        <v>3.3750000000000004E-3</v>
      </c>
      <c r="I334" s="35"/>
      <c r="J334" s="35"/>
      <c r="K334" s="35">
        <v>0</v>
      </c>
      <c r="L334" s="35">
        <v>0</v>
      </c>
      <c r="M334" s="35"/>
      <c r="N334" s="35" t="s">
        <v>2155</v>
      </c>
    </row>
    <row r="335" spans="1:18" ht="15.5" hidden="1">
      <c r="A335" s="36" t="e">
        <v>#N/A</v>
      </c>
      <c r="B335" s="67">
        <v>5257</v>
      </c>
      <c r="C335" s="51" t="s">
        <v>413</v>
      </c>
      <c r="D335" s="37">
        <f>K335</f>
        <v>4.3099999999999996</v>
      </c>
      <c r="E335" s="51" t="s">
        <v>8</v>
      </c>
      <c r="F335" s="64"/>
      <c r="G335" s="42">
        <v>1000</v>
      </c>
      <c r="H335" s="40">
        <f t="shared" si="9"/>
        <v>4.3099999999999996E-3</v>
      </c>
      <c r="I335" s="35"/>
      <c r="J335" s="35"/>
      <c r="K335" s="35">
        <v>4.3099999999999996</v>
      </c>
      <c r="L335" s="35" t="s">
        <v>2124</v>
      </c>
      <c r="M335" s="35"/>
      <c r="N335" s="35" t="s">
        <v>2155</v>
      </c>
    </row>
    <row r="336" spans="1:18" ht="15.5" hidden="1">
      <c r="A336" s="36" t="e">
        <v>#N/A</v>
      </c>
      <c r="B336" s="67">
        <v>5269</v>
      </c>
      <c r="C336" s="51" t="s">
        <v>416</v>
      </c>
      <c r="D336" s="37">
        <f t="shared" ref="D336:D337" si="10">K336</f>
        <v>0.38790000000000002</v>
      </c>
      <c r="E336" s="51" t="s">
        <v>11</v>
      </c>
      <c r="F336" s="64"/>
      <c r="G336" s="42">
        <v>1</v>
      </c>
      <c r="H336" s="40">
        <f t="shared" si="9"/>
        <v>0.38790000000000002</v>
      </c>
      <c r="I336" s="35"/>
      <c r="J336" s="35"/>
      <c r="K336" s="35">
        <v>0.38790000000000002</v>
      </c>
      <c r="L336" s="35" t="s">
        <v>1876</v>
      </c>
      <c r="M336" s="35"/>
      <c r="N336" s="35" t="s">
        <v>2155</v>
      </c>
    </row>
    <row r="337" spans="1:17" ht="15.5" hidden="1">
      <c r="A337" s="36" t="e">
        <v>#N/A</v>
      </c>
      <c r="B337" s="67">
        <v>5280</v>
      </c>
      <c r="C337" s="51" t="s">
        <v>422</v>
      </c>
      <c r="D337" s="37">
        <f t="shared" si="10"/>
        <v>6.4655000000000004E-2</v>
      </c>
      <c r="E337" s="51" t="s">
        <v>11</v>
      </c>
      <c r="F337" s="64"/>
      <c r="G337" s="42">
        <v>1</v>
      </c>
      <c r="H337" s="40">
        <f t="shared" si="9"/>
        <v>6.4655000000000004E-2</v>
      </c>
      <c r="I337" s="35"/>
      <c r="J337" s="35"/>
      <c r="K337" s="35">
        <v>6.4655000000000004E-2</v>
      </c>
      <c r="L337" s="35" t="s">
        <v>1876</v>
      </c>
      <c r="M337" s="35"/>
      <c r="N337" s="35" t="s">
        <v>2155</v>
      </c>
      <c r="O337" s="36" t="s">
        <v>3019</v>
      </c>
    </row>
    <row r="338" spans="1:17" ht="15.5" hidden="1">
      <c r="A338" s="36" t="s">
        <v>2319</v>
      </c>
      <c r="B338" s="67">
        <v>5283</v>
      </c>
      <c r="C338" s="51" t="s">
        <v>425</v>
      </c>
      <c r="D338" s="37">
        <f>K338</f>
        <v>0.65</v>
      </c>
      <c r="E338" s="51" t="s">
        <v>8</v>
      </c>
      <c r="F338" s="64"/>
      <c r="G338" s="42">
        <v>1000</v>
      </c>
      <c r="H338" s="40">
        <f t="shared" si="9"/>
        <v>6.4999999999999997E-4</v>
      </c>
      <c r="I338" s="35"/>
      <c r="J338" s="35"/>
      <c r="K338" s="35">
        <v>0.65</v>
      </c>
      <c r="L338" s="35" t="s">
        <v>2124</v>
      </c>
      <c r="M338" s="35"/>
      <c r="N338" s="35" t="s">
        <v>2155</v>
      </c>
    </row>
    <row r="339" spans="1:17" ht="15.5" hidden="1">
      <c r="A339" s="36" t="s">
        <v>2320</v>
      </c>
      <c r="B339" s="67">
        <v>5291</v>
      </c>
      <c r="C339" s="51" t="s">
        <v>430</v>
      </c>
      <c r="D339" s="51">
        <v>2.2559999999999998</v>
      </c>
      <c r="E339" s="51" t="s">
        <v>8</v>
      </c>
      <c r="F339" s="64"/>
      <c r="G339" s="42">
        <v>1000</v>
      </c>
      <c r="H339" s="40">
        <f t="shared" ref="H339:H361" si="11">D339/G339</f>
        <v>2.2559999999999998E-3</v>
      </c>
      <c r="I339" s="35"/>
      <c r="J339" s="35"/>
      <c r="K339" s="35">
        <v>0</v>
      </c>
      <c r="L339" s="35">
        <v>0</v>
      </c>
      <c r="M339" s="35"/>
      <c r="N339" s="35" t="s">
        <v>2155</v>
      </c>
      <c r="O339" s="36" t="s">
        <v>3020</v>
      </c>
      <c r="P339" s="36" t="s">
        <v>3021</v>
      </c>
      <c r="Q339" s="36" t="s">
        <v>3022</v>
      </c>
    </row>
    <row r="340" spans="1:17" ht="15.5" hidden="1">
      <c r="A340" s="36" t="s">
        <v>2321</v>
      </c>
      <c r="B340" s="67">
        <v>5292</v>
      </c>
      <c r="C340" s="51" t="s">
        <v>431</v>
      </c>
      <c r="D340" s="37">
        <f t="shared" ref="D340:D342" si="12">K340</f>
        <v>4.5</v>
      </c>
      <c r="E340" s="51" t="s">
        <v>8</v>
      </c>
      <c r="F340" s="64"/>
      <c r="G340" s="42">
        <v>1000</v>
      </c>
      <c r="H340" s="40">
        <f t="shared" si="11"/>
        <v>4.4999999999999997E-3</v>
      </c>
      <c r="I340" s="35"/>
      <c r="J340" s="35"/>
      <c r="K340" s="35">
        <v>4.5</v>
      </c>
      <c r="L340" s="35" t="s">
        <v>2124</v>
      </c>
      <c r="M340" s="35"/>
      <c r="N340" s="35" t="s">
        <v>2155</v>
      </c>
    </row>
    <row r="341" spans="1:17" ht="15.5" hidden="1">
      <c r="A341" s="36" t="s">
        <v>2322</v>
      </c>
      <c r="B341" s="67">
        <v>5293</v>
      </c>
      <c r="C341" s="51" t="s">
        <v>432</v>
      </c>
      <c r="D341" s="37">
        <f t="shared" si="12"/>
        <v>0.8</v>
      </c>
      <c r="E341" s="51" t="s">
        <v>8</v>
      </c>
      <c r="F341" s="64"/>
      <c r="G341" s="42">
        <v>1000</v>
      </c>
      <c r="H341" s="40">
        <f t="shared" si="11"/>
        <v>8.0000000000000004E-4</v>
      </c>
      <c r="I341" s="35"/>
      <c r="J341" s="35"/>
      <c r="K341" s="35">
        <v>0.8</v>
      </c>
      <c r="L341" s="35" t="s">
        <v>2124</v>
      </c>
      <c r="M341" s="35"/>
      <c r="N341" s="35" t="s">
        <v>2155</v>
      </c>
    </row>
    <row r="342" spans="1:17" ht="15.5" hidden="1">
      <c r="A342" s="36" t="e">
        <v>#N/A</v>
      </c>
      <c r="B342" s="67">
        <v>5303</v>
      </c>
      <c r="C342" s="51" t="s">
        <v>438</v>
      </c>
      <c r="D342" s="37">
        <f t="shared" si="12"/>
        <v>0.26</v>
      </c>
      <c r="E342" s="51" t="s">
        <v>8</v>
      </c>
      <c r="F342" s="64"/>
      <c r="G342" s="42">
        <v>1000</v>
      </c>
      <c r="H342" s="40">
        <f t="shared" si="11"/>
        <v>2.6000000000000003E-4</v>
      </c>
      <c r="I342" s="35"/>
      <c r="J342" s="35"/>
      <c r="K342" s="35">
        <v>0.26</v>
      </c>
      <c r="L342" s="35" t="s">
        <v>2124</v>
      </c>
      <c r="M342" s="35"/>
      <c r="N342" s="35" t="s">
        <v>2155</v>
      </c>
    </row>
    <row r="343" spans="1:17" ht="15.5" hidden="1">
      <c r="A343" s="36" t="e">
        <v>#N/A</v>
      </c>
      <c r="B343" s="67">
        <v>5327</v>
      </c>
      <c r="C343" s="51" t="s">
        <v>449</v>
      </c>
      <c r="D343" s="51">
        <v>4</v>
      </c>
      <c r="E343" s="51" t="s">
        <v>8</v>
      </c>
      <c r="F343" s="64"/>
      <c r="G343" s="42">
        <v>1000</v>
      </c>
      <c r="H343" s="40">
        <f t="shared" si="11"/>
        <v>4.0000000000000001E-3</v>
      </c>
      <c r="I343" s="35"/>
      <c r="J343" s="35"/>
      <c r="K343" s="35">
        <v>0</v>
      </c>
      <c r="L343" s="35">
        <v>0</v>
      </c>
      <c r="M343" s="35"/>
      <c r="N343" s="80" t="s">
        <v>3031</v>
      </c>
      <c r="O343" s="306">
        <v>120</v>
      </c>
    </row>
    <row r="344" spans="1:17" ht="15.5" hidden="1">
      <c r="A344" s="36" t="e">
        <v>#N/A</v>
      </c>
      <c r="B344" s="67">
        <v>5333</v>
      </c>
      <c r="C344" s="67" t="s">
        <v>2003</v>
      </c>
      <c r="D344" s="51">
        <v>11.15</v>
      </c>
      <c r="E344" s="51" t="s">
        <v>8</v>
      </c>
      <c r="F344" s="64"/>
      <c r="G344" s="42">
        <v>1000</v>
      </c>
      <c r="H344" s="40">
        <f t="shared" si="11"/>
        <v>1.115E-2</v>
      </c>
      <c r="I344" s="35"/>
      <c r="J344" s="35"/>
      <c r="K344" s="35">
        <v>0</v>
      </c>
      <c r="L344" s="35">
        <v>0</v>
      </c>
      <c r="M344" s="35"/>
      <c r="N344" s="35" t="s">
        <v>2155</v>
      </c>
    </row>
    <row r="345" spans="1:17" ht="15.5" hidden="1">
      <c r="A345" s="36" t="e">
        <v>#N/A</v>
      </c>
      <c r="B345" s="67">
        <v>5334</v>
      </c>
      <c r="C345" s="51" t="s">
        <v>454</v>
      </c>
      <c r="D345" s="69">
        <f>VLOOKUP(B345,'تسعير تفصيل الخروف مشغل'!B23:D23,3,0)</f>
        <v>11.615493158849016</v>
      </c>
      <c r="E345" s="51" t="s">
        <v>8</v>
      </c>
      <c r="F345" s="64"/>
      <c r="G345" s="42">
        <v>1000</v>
      </c>
      <c r="H345" s="40">
        <f t="shared" si="11"/>
        <v>1.1615493158849017E-2</v>
      </c>
      <c r="I345" s="35"/>
      <c r="J345" s="35"/>
      <c r="K345" s="35">
        <v>0</v>
      </c>
      <c r="L345" s="35">
        <v>0</v>
      </c>
      <c r="M345" s="35"/>
      <c r="N345" s="80" t="s">
        <v>3017</v>
      </c>
    </row>
    <row r="346" spans="1:17" ht="15.5" hidden="1">
      <c r="A346" s="36" t="e">
        <v>#N/A</v>
      </c>
      <c r="B346" s="67">
        <v>5354</v>
      </c>
      <c r="C346" s="51" t="s">
        <v>465</v>
      </c>
      <c r="D346" s="37">
        <f>K346</f>
        <v>0.13700000000000001</v>
      </c>
      <c r="E346" s="51" t="s">
        <v>8</v>
      </c>
      <c r="F346" s="64"/>
      <c r="G346" s="42">
        <v>1</v>
      </c>
      <c r="H346" s="40">
        <f t="shared" si="11"/>
        <v>0.13700000000000001</v>
      </c>
      <c r="I346" s="35"/>
      <c r="J346" s="35"/>
      <c r="K346" s="35">
        <v>0.13700000000000001</v>
      </c>
      <c r="L346" s="35" t="s">
        <v>2137</v>
      </c>
      <c r="M346" s="35"/>
      <c r="N346" s="35" t="s">
        <v>2155</v>
      </c>
    </row>
    <row r="347" spans="1:17" ht="15.5" hidden="1">
      <c r="A347" s="36" t="e">
        <v>#N/A</v>
      </c>
      <c r="B347" s="67">
        <v>5355</v>
      </c>
      <c r="C347" s="51" t="s">
        <v>466</v>
      </c>
      <c r="D347" s="51">
        <v>5.1719999999999997</v>
      </c>
      <c r="E347" s="51" t="s">
        <v>8</v>
      </c>
      <c r="F347" s="64"/>
      <c r="G347" s="42">
        <v>1000</v>
      </c>
      <c r="H347" s="40">
        <f t="shared" si="11"/>
        <v>5.1719999999999995E-3</v>
      </c>
      <c r="I347" s="35"/>
      <c r="J347" s="35"/>
      <c r="K347" s="35">
        <v>0</v>
      </c>
      <c r="L347" s="35">
        <v>0</v>
      </c>
      <c r="M347" s="35"/>
      <c r="N347" s="80" t="s">
        <v>3029</v>
      </c>
    </row>
    <row r="348" spans="1:17" ht="15.5" hidden="1">
      <c r="A348" s="36" t="e">
        <v>#N/A</v>
      </c>
      <c r="B348" s="67">
        <v>5358</v>
      </c>
      <c r="C348" s="51" t="s">
        <v>467</v>
      </c>
      <c r="D348" s="51">
        <v>5.0999999999999996</v>
      </c>
      <c r="E348" s="51" t="s">
        <v>8</v>
      </c>
      <c r="F348" s="64"/>
      <c r="G348" s="42">
        <v>1000</v>
      </c>
      <c r="H348" s="40">
        <f t="shared" si="11"/>
        <v>5.0999999999999995E-3</v>
      </c>
      <c r="I348" s="35"/>
      <c r="J348" s="35"/>
      <c r="K348" s="35">
        <v>0</v>
      </c>
      <c r="L348" s="35">
        <v>0</v>
      </c>
      <c r="M348" s="35"/>
      <c r="N348" s="35" t="s">
        <v>2155</v>
      </c>
    </row>
    <row r="349" spans="1:17" ht="15.5" hidden="1">
      <c r="A349" s="36" t="e">
        <v>#N/A</v>
      </c>
      <c r="B349" s="67">
        <v>5359</v>
      </c>
      <c r="C349" s="51" t="s">
        <v>468</v>
      </c>
      <c r="D349" s="51">
        <v>5.25</v>
      </c>
      <c r="E349" s="51" t="s">
        <v>8</v>
      </c>
      <c r="F349" s="64"/>
      <c r="G349" s="42">
        <v>1</v>
      </c>
      <c r="H349" s="40">
        <f t="shared" si="11"/>
        <v>5.25</v>
      </c>
      <c r="I349" s="35"/>
      <c r="J349" s="35"/>
      <c r="K349" s="35">
        <v>0</v>
      </c>
      <c r="L349" s="35">
        <v>0</v>
      </c>
      <c r="M349" s="35"/>
      <c r="N349" s="35" t="s">
        <v>2155</v>
      </c>
    </row>
    <row r="350" spans="1:17" ht="15.5" hidden="1">
      <c r="A350" s="36" t="e">
        <v>#N/A</v>
      </c>
      <c r="B350" s="67">
        <v>5415</v>
      </c>
      <c r="C350" s="51" t="s">
        <v>1896</v>
      </c>
      <c r="D350" s="51">
        <v>0.35</v>
      </c>
      <c r="E350" s="51" t="s">
        <v>11</v>
      </c>
      <c r="F350" s="64"/>
      <c r="G350" s="42">
        <v>1</v>
      </c>
      <c r="H350" s="40">
        <f t="shared" si="11"/>
        <v>0.35</v>
      </c>
      <c r="I350" s="35"/>
      <c r="J350" s="35"/>
      <c r="K350" s="35">
        <v>0</v>
      </c>
      <c r="L350" s="35">
        <v>0</v>
      </c>
      <c r="M350" s="35"/>
      <c r="N350" s="35" t="s">
        <v>2155</v>
      </c>
    </row>
    <row r="351" spans="1:17" ht="15.5" hidden="1">
      <c r="A351" s="36" t="e">
        <v>#N/A</v>
      </c>
      <c r="B351" s="299">
        <v>5416</v>
      </c>
      <c r="C351" s="253" t="s">
        <v>1906</v>
      </c>
      <c r="D351" s="256">
        <v>1.75</v>
      </c>
      <c r="E351" s="51" t="s">
        <v>8</v>
      </c>
      <c r="F351" s="64"/>
      <c r="G351" s="42">
        <v>1000</v>
      </c>
      <c r="H351" s="40">
        <f t="shared" si="11"/>
        <v>1.75E-3</v>
      </c>
      <c r="I351" s="35"/>
      <c r="J351" s="35"/>
      <c r="K351" s="35">
        <v>1.9</v>
      </c>
      <c r="L351" s="35" t="s">
        <v>2124</v>
      </c>
      <c r="M351" s="35"/>
      <c r="N351" s="35" t="s">
        <v>2155</v>
      </c>
    </row>
    <row r="352" spans="1:17" ht="15.5" hidden="1">
      <c r="A352" s="36" t="e">
        <v>#N/A</v>
      </c>
      <c r="B352" s="67">
        <v>5417</v>
      </c>
      <c r="C352" s="51" t="s">
        <v>1907</v>
      </c>
      <c r="D352" s="52">
        <v>12</v>
      </c>
      <c r="E352" s="51" t="s">
        <v>8</v>
      </c>
      <c r="F352" s="64"/>
      <c r="G352" s="42">
        <v>1000</v>
      </c>
      <c r="H352" s="40">
        <f t="shared" si="11"/>
        <v>1.2E-2</v>
      </c>
      <c r="I352" s="35"/>
      <c r="J352" s="35"/>
      <c r="K352" s="35">
        <v>0</v>
      </c>
      <c r="L352" s="35">
        <v>0</v>
      </c>
      <c r="M352" s="35"/>
      <c r="N352" s="35" t="s">
        <v>2155</v>
      </c>
    </row>
    <row r="353" spans="1:14" ht="15.5" hidden="1">
      <c r="A353" s="36" t="e">
        <v>#N/A</v>
      </c>
      <c r="B353" s="67">
        <v>5418</v>
      </c>
      <c r="C353" s="51" t="s">
        <v>1909</v>
      </c>
      <c r="D353" s="37">
        <f>K353</f>
        <v>0.86209999999999998</v>
      </c>
      <c r="E353" s="51" t="s">
        <v>8</v>
      </c>
      <c r="F353" s="64"/>
      <c r="G353" s="42">
        <v>1000</v>
      </c>
      <c r="H353" s="40">
        <f t="shared" si="11"/>
        <v>8.6209999999999998E-4</v>
      </c>
      <c r="I353" s="35"/>
      <c r="J353" s="35"/>
      <c r="K353" s="35">
        <v>0.86209999999999998</v>
      </c>
      <c r="L353" s="35" t="s">
        <v>2124</v>
      </c>
      <c r="M353" s="35"/>
      <c r="N353" s="35" t="s">
        <v>2155</v>
      </c>
    </row>
    <row r="354" spans="1:14" ht="15.5" hidden="1">
      <c r="A354" s="36" t="e">
        <v>#N/A</v>
      </c>
      <c r="B354" s="67">
        <v>29023</v>
      </c>
      <c r="C354" s="51" t="s">
        <v>2112</v>
      </c>
      <c r="D354" s="69">
        <v>0.2155</v>
      </c>
      <c r="E354" s="51" t="s">
        <v>11</v>
      </c>
      <c r="F354" s="64"/>
      <c r="G354" s="42">
        <v>1</v>
      </c>
      <c r="H354" s="40">
        <f t="shared" si="11"/>
        <v>0.2155</v>
      </c>
      <c r="I354" s="35"/>
      <c r="J354" s="35"/>
      <c r="K354" s="35"/>
      <c r="L354" s="35"/>
      <c r="M354" s="35"/>
      <c r="N354" s="35" t="s">
        <v>2155</v>
      </c>
    </row>
    <row r="355" spans="1:14" ht="15.5" hidden="1">
      <c r="A355" s="36" t="e">
        <v>#N/A</v>
      </c>
      <c r="B355" s="67">
        <v>29024</v>
      </c>
      <c r="C355" s="51" t="s">
        <v>2114</v>
      </c>
      <c r="D355" s="69">
        <v>0.2155</v>
      </c>
      <c r="E355" s="51" t="s">
        <v>11</v>
      </c>
      <c r="F355" s="64"/>
      <c r="G355" s="42">
        <v>1</v>
      </c>
      <c r="H355" s="40">
        <f t="shared" si="11"/>
        <v>0.2155</v>
      </c>
      <c r="I355" s="35"/>
      <c r="J355" s="35"/>
      <c r="K355" s="35"/>
      <c r="L355" s="35"/>
      <c r="M355" s="35"/>
      <c r="N355" s="35" t="s">
        <v>2155</v>
      </c>
    </row>
    <row r="356" spans="1:14" ht="15.5" hidden="1">
      <c r="A356" s="36" t="e">
        <v>#N/A</v>
      </c>
      <c r="B356" s="67">
        <v>29025</v>
      </c>
      <c r="C356" s="51" t="s">
        <v>2116</v>
      </c>
      <c r="D356" s="69">
        <v>0.2155</v>
      </c>
      <c r="E356" s="51" t="s">
        <v>11</v>
      </c>
      <c r="F356" s="64"/>
      <c r="G356" s="42">
        <v>1</v>
      </c>
      <c r="H356" s="40">
        <f t="shared" si="11"/>
        <v>0.2155</v>
      </c>
      <c r="I356" s="35"/>
      <c r="J356" s="35"/>
      <c r="K356" s="35"/>
      <c r="L356" s="35"/>
      <c r="M356" s="35"/>
      <c r="N356" s="35" t="s">
        <v>2155</v>
      </c>
    </row>
    <row r="357" spans="1:14" ht="15.5" hidden="1">
      <c r="A357" s="36" t="e">
        <v>#N/A</v>
      </c>
      <c r="B357" s="67">
        <v>29026</v>
      </c>
      <c r="C357" s="51" t="s">
        <v>2118</v>
      </c>
      <c r="D357" s="69">
        <v>0.2155</v>
      </c>
      <c r="E357" s="51" t="s">
        <v>11</v>
      </c>
      <c r="F357" s="64"/>
      <c r="G357" s="42">
        <v>1</v>
      </c>
      <c r="H357" s="40">
        <f t="shared" si="11"/>
        <v>0.2155</v>
      </c>
      <c r="I357" s="35"/>
      <c r="J357" s="35"/>
      <c r="K357" s="35"/>
      <c r="L357" s="35"/>
      <c r="M357" s="35"/>
      <c r="N357" s="35" t="s">
        <v>2155</v>
      </c>
    </row>
    <row r="358" spans="1:14" ht="15.5" hidden="1">
      <c r="A358" s="36" t="e">
        <v>#N/A</v>
      </c>
      <c r="B358" s="67" t="s">
        <v>2146</v>
      </c>
      <c r="C358" s="51" t="s">
        <v>2093</v>
      </c>
      <c r="D358" s="82">
        <f>VLOOKUP(B358,'تسعير تفصيل الخروف ملحمه'!A:C,3,0)</f>
        <v>11.039193820514564</v>
      </c>
      <c r="E358" s="51" t="s">
        <v>8</v>
      </c>
      <c r="F358" s="64"/>
      <c r="G358" s="42">
        <v>1000</v>
      </c>
      <c r="H358" s="40">
        <f t="shared" si="11"/>
        <v>1.1039193820514564E-2</v>
      </c>
      <c r="I358" s="35"/>
      <c r="J358" s="35"/>
      <c r="K358" s="35"/>
      <c r="L358" s="35"/>
      <c r="M358" s="35"/>
      <c r="N358" s="35" t="s">
        <v>2155</v>
      </c>
    </row>
    <row r="359" spans="1:14" ht="15.5" hidden="1">
      <c r="A359" s="36" t="e">
        <v>#N/A</v>
      </c>
      <c r="B359" s="67" t="s">
        <v>2147</v>
      </c>
      <c r="C359" s="51" t="s">
        <v>375</v>
      </c>
      <c r="D359" s="82">
        <f>VLOOKUP(B359,'تسعير تفصيل الخروف ملحمه'!A:C,3,0)</f>
        <v>11.039193820514564</v>
      </c>
      <c r="E359" s="51" t="s">
        <v>8</v>
      </c>
      <c r="F359" s="64"/>
      <c r="G359" s="42">
        <v>1000</v>
      </c>
      <c r="H359" s="40">
        <f t="shared" si="11"/>
        <v>1.1039193820514564E-2</v>
      </c>
      <c r="I359" s="35"/>
      <c r="J359" s="35"/>
      <c r="K359" s="35"/>
      <c r="L359" s="35"/>
      <c r="M359" s="35"/>
      <c r="N359" s="35" t="s">
        <v>2155</v>
      </c>
    </row>
    <row r="360" spans="1:14" ht="15.5" hidden="1">
      <c r="A360" s="36" t="e">
        <v>#N/A</v>
      </c>
      <c r="B360" s="67" t="s">
        <v>2148</v>
      </c>
      <c r="C360" s="51" t="s">
        <v>351</v>
      </c>
      <c r="D360" s="82">
        <f>VLOOKUP(B360,'تسعير تفصيل الخروف ملحمه'!A:C,3,0)</f>
        <v>11.039193820514564</v>
      </c>
      <c r="E360" s="51" t="s">
        <v>8</v>
      </c>
      <c r="F360" s="64"/>
      <c r="G360" s="42">
        <v>1000</v>
      </c>
      <c r="H360" s="40">
        <f t="shared" si="11"/>
        <v>1.1039193820514564E-2</v>
      </c>
      <c r="I360" s="35"/>
      <c r="J360" s="35"/>
      <c r="K360" s="35"/>
      <c r="L360" s="35"/>
      <c r="M360" s="35"/>
      <c r="N360" s="35" t="s">
        <v>2155</v>
      </c>
    </row>
    <row r="361" spans="1:14" ht="15.5" hidden="1">
      <c r="A361" s="36" t="s">
        <v>2324</v>
      </c>
      <c r="B361" s="67">
        <v>5450</v>
      </c>
      <c r="C361" s="51" t="s">
        <v>1953</v>
      </c>
      <c r="D361" s="37">
        <f>K361</f>
        <v>0.17499999999999999</v>
      </c>
      <c r="E361" s="51" t="s">
        <v>11</v>
      </c>
      <c r="F361" s="64"/>
      <c r="G361" s="42">
        <v>1</v>
      </c>
      <c r="H361" s="40">
        <f t="shared" si="11"/>
        <v>0.17499999999999999</v>
      </c>
      <c r="I361" s="35"/>
      <c r="J361" s="35"/>
      <c r="K361" s="35">
        <v>0.17499999999999999</v>
      </c>
      <c r="L361" s="35" t="s">
        <v>1876</v>
      </c>
      <c r="M361" s="35"/>
      <c r="N361" s="35" t="s">
        <v>2155</v>
      </c>
    </row>
    <row r="362" spans="1:14" ht="14" hidden="1">
      <c r="A362" s="36" t="e">
        <v>#N/A</v>
      </c>
      <c r="B362" s="73" t="s">
        <v>480</v>
      </c>
      <c r="C362" s="73" t="s">
        <v>481</v>
      </c>
      <c r="D362" s="74" t="s">
        <v>482</v>
      </c>
      <c r="E362" s="73" t="s">
        <v>483</v>
      </c>
      <c r="F362" s="75" t="s">
        <v>4</v>
      </c>
      <c r="G362" s="74" t="s">
        <v>484</v>
      </c>
      <c r="H362" s="76" t="s">
        <v>6</v>
      </c>
      <c r="I362" s="35"/>
      <c r="J362" s="35"/>
      <c r="K362" s="35"/>
      <c r="L362" s="35"/>
      <c r="M362" s="35"/>
      <c r="N362" s="80"/>
    </row>
    <row r="363" spans="1:14" ht="14" hidden="1">
      <c r="A363" s="36" t="s">
        <v>2325</v>
      </c>
      <c r="B363" s="37" t="s">
        <v>534</v>
      </c>
      <c r="C363" s="37" t="s">
        <v>535</v>
      </c>
      <c r="D363" s="40">
        <f>SUMIF('Semi Finished Recipe'!B:B,'RM &amp; SF'!B363,'Semi Finished Recipe'!L:L)</f>
        <v>0.66564092227821048</v>
      </c>
      <c r="E363" s="37" t="s">
        <v>8</v>
      </c>
      <c r="F363" s="38" t="s">
        <v>487</v>
      </c>
      <c r="G363" s="42">
        <v>1000</v>
      </c>
      <c r="H363" s="84">
        <f t="shared" ref="H363:H393" si="13">D363/G363</f>
        <v>6.6564092227821051E-4</v>
      </c>
      <c r="I363" s="80"/>
      <c r="J363" s="35"/>
      <c r="K363" s="35"/>
      <c r="L363" s="35"/>
      <c r="M363" s="35"/>
      <c r="N363" s="35" t="s">
        <v>2155</v>
      </c>
    </row>
    <row r="364" spans="1:14" ht="14" hidden="1">
      <c r="A364" s="36" t="s">
        <v>2326</v>
      </c>
      <c r="B364" s="37" t="s">
        <v>576</v>
      </c>
      <c r="C364" s="37" t="s">
        <v>577</v>
      </c>
      <c r="D364" s="40">
        <f>SUMIF('Semi Finished Recipe'!B:B,'RM &amp; SF'!B364,'Semi Finished Recipe'!L:L)</f>
        <v>1.3608476190476189</v>
      </c>
      <c r="E364" s="37" t="s">
        <v>8</v>
      </c>
      <c r="F364" s="38" t="s">
        <v>487</v>
      </c>
      <c r="G364" s="42">
        <v>1000</v>
      </c>
      <c r="H364" s="84">
        <f t="shared" si="13"/>
        <v>1.3608476190476188E-3</v>
      </c>
      <c r="I364" s="35"/>
      <c r="J364" s="35"/>
      <c r="K364" s="35"/>
      <c r="L364" s="35"/>
      <c r="M364" s="35"/>
      <c r="N364" s="35" t="s">
        <v>2155</v>
      </c>
    </row>
    <row r="365" spans="1:14" ht="14" hidden="1">
      <c r="A365" s="36" t="s">
        <v>2327</v>
      </c>
      <c r="B365" s="37" t="s">
        <v>684</v>
      </c>
      <c r="C365" s="37" t="s">
        <v>685</v>
      </c>
      <c r="D365" s="40">
        <f>SUMIF('Semi Finished Recipe'!B:B,'RM &amp; SF'!B365,'Semi Finished Recipe'!L:L)</f>
        <v>0.1167055</v>
      </c>
      <c r="E365" s="37" t="s">
        <v>11</v>
      </c>
      <c r="F365" s="38" t="s">
        <v>487</v>
      </c>
      <c r="G365" s="42">
        <v>1</v>
      </c>
      <c r="H365" s="84">
        <f t="shared" si="13"/>
        <v>0.1167055</v>
      </c>
      <c r="I365" s="35"/>
      <c r="J365" s="35"/>
      <c r="K365" s="35"/>
      <c r="L365" s="35"/>
      <c r="M365" s="35"/>
      <c r="N365" s="35" t="s">
        <v>2155</v>
      </c>
    </row>
    <row r="366" spans="1:14" ht="14" hidden="1">
      <c r="A366" s="36" t="s">
        <v>2328</v>
      </c>
      <c r="B366" s="37" t="s">
        <v>686</v>
      </c>
      <c r="C366" s="37" t="s">
        <v>687</v>
      </c>
      <c r="D366" s="40">
        <f>SUMIF('Semi Finished Recipe'!B:B,'RM &amp; SF'!B366,'Semi Finished Recipe'!L:L)</f>
        <v>0.22020393333333332</v>
      </c>
      <c r="E366" s="37" t="s">
        <v>11</v>
      </c>
      <c r="F366" s="38" t="s">
        <v>487</v>
      </c>
      <c r="G366" s="42">
        <v>1</v>
      </c>
      <c r="H366" s="84">
        <f t="shared" si="13"/>
        <v>0.22020393333333332</v>
      </c>
      <c r="I366" s="35"/>
      <c r="J366" s="35"/>
      <c r="K366" s="35"/>
      <c r="L366" s="35"/>
      <c r="M366" s="35"/>
      <c r="N366" s="35" t="s">
        <v>2155</v>
      </c>
    </row>
    <row r="367" spans="1:14" ht="14" hidden="1">
      <c r="A367" s="36" t="s">
        <v>2329</v>
      </c>
      <c r="B367" s="37" t="s">
        <v>512</v>
      </c>
      <c r="C367" s="37" t="s">
        <v>513</v>
      </c>
      <c r="D367" s="40">
        <f>SUMIF('Semi Finished Recipe'!B:B,'RM &amp; SF'!B367,'Semi Finished Recipe'!L:L)</f>
        <v>0.75544490740740744</v>
      </c>
      <c r="E367" s="37" t="s">
        <v>8</v>
      </c>
      <c r="F367" s="38" t="s">
        <v>487</v>
      </c>
      <c r="G367" s="42">
        <v>1000</v>
      </c>
      <c r="H367" s="84">
        <f t="shared" si="13"/>
        <v>7.5544490740740743E-4</v>
      </c>
      <c r="I367" s="35"/>
      <c r="J367" s="35"/>
      <c r="K367" s="35"/>
      <c r="L367" s="35"/>
      <c r="M367" s="35"/>
      <c r="N367" s="35" t="s">
        <v>2155</v>
      </c>
    </row>
    <row r="368" spans="1:14" ht="14" hidden="1">
      <c r="A368" s="36" t="s">
        <v>2330</v>
      </c>
      <c r="B368" s="37" t="s">
        <v>490</v>
      </c>
      <c r="C368" s="37" t="s">
        <v>491</v>
      </c>
      <c r="D368" s="40">
        <f>SUMIF('Semi Finished Recipe'!B:B,'RM &amp; SF'!B368,'Semi Finished Recipe'!L:L)</f>
        <v>0.22857142857142859</v>
      </c>
      <c r="E368" s="37" t="s">
        <v>8</v>
      </c>
      <c r="F368" s="38" t="s">
        <v>487</v>
      </c>
      <c r="G368" s="42">
        <v>1000</v>
      </c>
      <c r="H368" s="84">
        <f t="shared" si="13"/>
        <v>2.2857142857142859E-4</v>
      </c>
      <c r="I368" s="35"/>
      <c r="J368" s="35"/>
      <c r="K368" s="35"/>
      <c r="L368" s="35"/>
      <c r="M368" s="35"/>
      <c r="N368" s="35" t="s">
        <v>2155</v>
      </c>
    </row>
    <row r="369" spans="1:14" ht="14" hidden="1">
      <c r="A369" s="36" t="s">
        <v>2331</v>
      </c>
      <c r="B369" s="37" t="s">
        <v>530</v>
      </c>
      <c r="C369" s="37" t="s">
        <v>531</v>
      </c>
      <c r="D369" s="40">
        <f>SUMIF('Semi Finished Recipe'!B:B,'RM &amp; SF'!B369,'Semi Finished Recipe'!L:L)</f>
        <v>0.18806451612903227</v>
      </c>
      <c r="E369" s="37" t="s">
        <v>8</v>
      </c>
      <c r="F369" s="38" t="s">
        <v>487</v>
      </c>
      <c r="G369" s="42">
        <v>1000</v>
      </c>
      <c r="H369" s="84">
        <f t="shared" si="13"/>
        <v>1.8806451612903227E-4</v>
      </c>
      <c r="I369" s="35"/>
      <c r="J369" s="35"/>
      <c r="K369" s="35"/>
      <c r="L369" s="35"/>
      <c r="M369" s="35"/>
      <c r="N369" s="35" t="s">
        <v>2155</v>
      </c>
    </row>
    <row r="370" spans="1:14" ht="14" hidden="1">
      <c r="A370" s="36" t="s">
        <v>2332</v>
      </c>
      <c r="B370" s="37" t="s">
        <v>644</v>
      </c>
      <c r="C370" s="37" t="s">
        <v>645</v>
      </c>
      <c r="D370" s="40">
        <f>SUMIF('Semi Finished Recipe'!B:B,'RM &amp; SF'!B370,'Semi Finished Recipe'!L:L)</f>
        <v>3.2061107692307687</v>
      </c>
      <c r="E370" s="37" t="s">
        <v>8</v>
      </c>
      <c r="F370" s="38" t="s">
        <v>487</v>
      </c>
      <c r="G370" s="42">
        <v>1000</v>
      </c>
      <c r="H370" s="84">
        <f t="shared" si="13"/>
        <v>3.2061107692307688E-3</v>
      </c>
      <c r="I370" s="35"/>
      <c r="J370" s="35"/>
      <c r="K370" s="35"/>
      <c r="L370" s="35"/>
      <c r="M370" s="35"/>
      <c r="N370" s="35" t="s">
        <v>2155</v>
      </c>
    </row>
    <row r="371" spans="1:14" ht="14" hidden="1">
      <c r="A371" s="36" t="s">
        <v>2333</v>
      </c>
      <c r="B371" s="37" t="s">
        <v>498</v>
      </c>
      <c r="C371" s="37" t="s">
        <v>499</v>
      </c>
      <c r="D371" s="40">
        <f>SUMIF('Semi Finished Recipe'!B:B,'RM &amp; SF'!B371,'Semi Finished Recipe'!L:L)</f>
        <v>0.46599809721501473</v>
      </c>
      <c r="E371" s="37" t="s">
        <v>8</v>
      </c>
      <c r="F371" s="38" t="s">
        <v>487</v>
      </c>
      <c r="G371" s="42">
        <v>1000</v>
      </c>
      <c r="H371" s="84">
        <f t="shared" si="13"/>
        <v>4.659980972150147E-4</v>
      </c>
      <c r="I371" s="85">
        <f>D371/G371</f>
        <v>4.659980972150147E-4</v>
      </c>
      <c r="J371" s="35"/>
      <c r="K371" s="35"/>
      <c r="L371" s="35"/>
      <c r="M371" s="35"/>
      <c r="N371" s="35" t="s">
        <v>2155</v>
      </c>
    </row>
    <row r="372" spans="1:14" ht="14" hidden="1">
      <c r="A372" s="36" t="s">
        <v>2334</v>
      </c>
      <c r="B372" s="47" t="s">
        <v>502</v>
      </c>
      <c r="C372" s="47" t="s">
        <v>503</v>
      </c>
      <c r="D372" s="40">
        <f>SUMIF('Semi Finished Recipe'!B:B,'RM &amp; SF'!B372,'Semi Finished Recipe'!L:L)</f>
        <v>0.54607491582491574</v>
      </c>
      <c r="E372" s="47" t="s">
        <v>8</v>
      </c>
      <c r="F372" s="48" t="s">
        <v>487</v>
      </c>
      <c r="G372" s="65">
        <v>1000</v>
      </c>
      <c r="H372" s="84">
        <f t="shared" si="13"/>
        <v>5.460749158249157E-4</v>
      </c>
      <c r="I372" s="35"/>
      <c r="J372" s="35"/>
      <c r="K372" s="35"/>
      <c r="L372" s="35"/>
      <c r="M372" s="35"/>
      <c r="N372" s="35" t="s">
        <v>2155</v>
      </c>
    </row>
    <row r="373" spans="1:14" ht="14" hidden="1">
      <c r="A373" s="36" t="s">
        <v>2335</v>
      </c>
      <c r="B373" s="51" t="s">
        <v>500</v>
      </c>
      <c r="C373" s="51" t="s">
        <v>501</v>
      </c>
      <c r="D373" s="40">
        <f>SUMIF('Semi Finished Recipe'!B:B,'RM &amp; SF'!B373,'Semi Finished Recipe'!L:L)</f>
        <v>1.6693376153846156</v>
      </c>
      <c r="E373" s="51" t="s">
        <v>8</v>
      </c>
      <c r="F373" s="53" t="s">
        <v>487</v>
      </c>
      <c r="G373" s="69">
        <v>300</v>
      </c>
      <c r="H373" s="84">
        <f t="shared" si="13"/>
        <v>5.5644587179487183E-3</v>
      </c>
      <c r="I373" s="35"/>
      <c r="J373" s="35"/>
      <c r="K373" s="35"/>
      <c r="L373" s="35"/>
      <c r="M373" s="35"/>
      <c r="N373" s="35" t="s">
        <v>2155</v>
      </c>
    </row>
    <row r="374" spans="1:14" ht="14" hidden="1">
      <c r="A374" s="36" t="s">
        <v>2336</v>
      </c>
      <c r="B374" s="51" t="s">
        <v>496</v>
      </c>
      <c r="C374" s="51" t="s">
        <v>497</v>
      </c>
      <c r="D374" s="40">
        <f>SUMIF('Semi Finished Recipe'!B:B,'RM &amp; SF'!B374,'Semi Finished Recipe'!L:L)</f>
        <v>2.7137341772151897</v>
      </c>
      <c r="E374" s="51" t="s">
        <v>8</v>
      </c>
      <c r="F374" s="53" t="s">
        <v>487</v>
      </c>
      <c r="G374" s="69">
        <v>1000</v>
      </c>
      <c r="H374" s="84">
        <f t="shared" si="13"/>
        <v>2.7137341772151898E-3</v>
      </c>
      <c r="I374" s="35"/>
      <c r="J374" s="35"/>
      <c r="K374" s="35"/>
      <c r="L374" s="35"/>
      <c r="M374" s="35"/>
      <c r="N374" s="35" t="s">
        <v>2155</v>
      </c>
    </row>
    <row r="375" spans="1:14" ht="14" hidden="1">
      <c r="A375" s="36" t="s">
        <v>2337</v>
      </c>
      <c r="B375" s="51" t="s">
        <v>694</v>
      </c>
      <c r="C375" s="51" t="s">
        <v>695</v>
      </c>
      <c r="D375" s="40">
        <f>SUMIF('Semi Finished Recipe'!B:B,'RM &amp; SF'!B375,'Semi Finished Recipe'!L:L)</f>
        <v>11.615493158849016</v>
      </c>
      <c r="E375" s="51" t="s">
        <v>8</v>
      </c>
      <c r="F375" s="53" t="s">
        <v>487</v>
      </c>
      <c r="G375" s="69">
        <v>1000</v>
      </c>
      <c r="H375" s="84">
        <f t="shared" si="13"/>
        <v>1.1615493158849017E-2</v>
      </c>
      <c r="I375" s="35"/>
      <c r="J375" s="35"/>
      <c r="K375" s="35"/>
      <c r="L375" s="35"/>
      <c r="M375" s="35"/>
      <c r="N375" s="35" t="s">
        <v>2155</v>
      </c>
    </row>
    <row r="376" spans="1:14" ht="14" hidden="1">
      <c r="A376" s="36" t="s">
        <v>2338</v>
      </c>
      <c r="B376" s="62" t="s">
        <v>532</v>
      </c>
      <c r="C376" s="62" t="s">
        <v>533</v>
      </c>
      <c r="D376" s="40">
        <f>SUMIF('Semi Finished Recipe'!B:B,'RM &amp; SF'!B376,'Semi Finished Recipe'!L:L)</f>
        <v>3.8874234320164849</v>
      </c>
      <c r="E376" s="51" t="s">
        <v>8</v>
      </c>
      <c r="F376" s="53" t="s">
        <v>487</v>
      </c>
      <c r="G376" s="69">
        <v>1000</v>
      </c>
      <c r="H376" s="84">
        <f t="shared" si="13"/>
        <v>3.8874234320164847E-3</v>
      </c>
      <c r="I376" s="35"/>
      <c r="J376" s="35"/>
      <c r="K376" s="35"/>
      <c r="L376" s="35"/>
      <c r="M376" s="35"/>
      <c r="N376" s="35" t="s">
        <v>2155</v>
      </c>
    </row>
    <row r="377" spans="1:14" ht="15.5" hidden="1">
      <c r="A377" s="36" t="e">
        <v>#N/A</v>
      </c>
      <c r="B377" s="62" t="s">
        <v>698</v>
      </c>
      <c r="C377" s="62" t="s">
        <v>699</v>
      </c>
      <c r="D377" s="202">
        <f>SUMIF('Semi Finished Recipe'!B:B,'RM &amp; SF'!B377,'Semi Finished Recipe'!L:L)</f>
        <v>14.053846153846155</v>
      </c>
      <c r="E377" s="51" t="s">
        <v>8</v>
      </c>
      <c r="F377" s="53" t="s">
        <v>487</v>
      </c>
      <c r="G377" s="69">
        <v>1000</v>
      </c>
      <c r="H377" s="84">
        <f t="shared" si="13"/>
        <v>1.4053846153846155E-2</v>
      </c>
      <c r="I377" s="35"/>
      <c r="J377" s="35"/>
      <c r="K377" s="35" t="e">
        <v>#N/A</v>
      </c>
      <c r="L377" s="35" t="e">
        <v>#N/A</v>
      </c>
      <c r="M377" s="35"/>
      <c r="N377" s="35" t="s">
        <v>2155</v>
      </c>
    </row>
    <row r="378" spans="1:14" ht="14" hidden="1">
      <c r="A378" s="36" t="s">
        <v>2339</v>
      </c>
      <c r="B378" s="49" t="s">
        <v>700</v>
      </c>
      <c r="C378" s="49" t="s">
        <v>701</v>
      </c>
      <c r="D378" s="40">
        <f>SUMIF('Semi Finished Recipe'!B:B,'RM &amp; SF'!B378,'Semi Finished Recipe'!L:L)</f>
        <v>4.8670005252525246E-2</v>
      </c>
      <c r="E378" s="49" t="s">
        <v>11</v>
      </c>
      <c r="F378" s="50" t="s">
        <v>487</v>
      </c>
      <c r="G378" s="66">
        <v>1</v>
      </c>
      <c r="H378" s="84">
        <f t="shared" si="13"/>
        <v>4.8670005252525246E-2</v>
      </c>
      <c r="I378" s="35"/>
      <c r="J378" s="35"/>
      <c r="K378" s="35"/>
      <c r="L378" s="35"/>
      <c r="M378" s="35"/>
      <c r="N378" s="35" t="s">
        <v>2155</v>
      </c>
    </row>
    <row r="379" spans="1:14" ht="14" hidden="1">
      <c r="A379" s="36" t="s">
        <v>2340</v>
      </c>
      <c r="B379" s="37" t="s">
        <v>702</v>
      </c>
      <c r="C379" s="37" t="s">
        <v>703</v>
      </c>
      <c r="D379" s="40">
        <f>SUMIF('Semi Finished Recipe'!B:B,'RM &amp; SF'!B379,'Semi Finished Recipe'!L:L)</f>
        <v>5.4594689919691346</v>
      </c>
      <c r="E379" s="37" t="s">
        <v>11</v>
      </c>
      <c r="F379" s="38" t="s">
        <v>487</v>
      </c>
      <c r="G379" s="42">
        <v>1</v>
      </c>
      <c r="H379" s="84">
        <f t="shared" si="13"/>
        <v>5.4594689919691346</v>
      </c>
      <c r="I379" s="35"/>
      <c r="J379" s="35"/>
      <c r="K379" s="35"/>
      <c r="L379" s="35"/>
      <c r="M379" s="35"/>
      <c r="N379" s="35" t="s">
        <v>2155</v>
      </c>
    </row>
    <row r="380" spans="1:14" ht="14" hidden="1">
      <c r="A380" s="36" t="e">
        <v>#N/A</v>
      </c>
      <c r="B380" s="37" t="s">
        <v>704</v>
      </c>
      <c r="C380" s="37" t="s">
        <v>705</v>
      </c>
      <c r="D380" s="40">
        <f>SUMIF('Semi Finished Recipe'!B:B,'RM &amp; SF'!B380,'Semi Finished Recipe'!L:L)</f>
        <v>1.4565673684210527</v>
      </c>
      <c r="E380" s="37" t="s">
        <v>8</v>
      </c>
      <c r="F380" s="38" t="s">
        <v>487</v>
      </c>
      <c r="G380" s="42">
        <v>1000</v>
      </c>
      <c r="H380" s="84">
        <f t="shared" si="13"/>
        <v>1.4565673684210528E-3</v>
      </c>
      <c r="I380" s="35"/>
      <c r="J380" s="35"/>
      <c r="K380" s="35"/>
      <c r="L380" s="35"/>
      <c r="M380" s="35"/>
      <c r="N380" s="35" t="s">
        <v>2155</v>
      </c>
    </row>
    <row r="381" spans="1:14" ht="14" hidden="1">
      <c r="A381" s="36" t="s">
        <v>2341</v>
      </c>
      <c r="B381" s="37" t="s">
        <v>706</v>
      </c>
      <c r="C381" s="37" t="s">
        <v>707</v>
      </c>
      <c r="D381" s="40">
        <f>SUMIF('Semi Finished Recipe'!B:B,'RM &amp; SF'!B381,'Semi Finished Recipe'!L:L)</f>
        <v>4.1352327586206892</v>
      </c>
      <c r="E381" s="37" t="s">
        <v>8</v>
      </c>
      <c r="F381" s="38" t="s">
        <v>487</v>
      </c>
      <c r="G381" s="42">
        <v>1000</v>
      </c>
      <c r="H381" s="84">
        <f t="shared" si="13"/>
        <v>4.1352327586206888E-3</v>
      </c>
      <c r="I381" s="35"/>
      <c r="J381" s="35"/>
      <c r="K381" s="35"/>
      <c r="L381" s="35"/>
      <c r="M381" s="35"/>
      <c r="N381" s="35" t="s">
        <v>2155</v>
      </c>
    </row>
    <row r="382" spans="1:14" ht="14" hidden="1">
      <c r="A382" s="36" t="s">
        <v>2342</v>
      </c>
      <c r="B382" s="37" t="s">
        <v>708</v>
      </c>
      <c r="C382" s="37" t="s">
        <v>709</v>
      </c>
      <c r="D382" s="40">
        <f>SUMIF('Semi Finished Recipe'!B:B,'RM &amp; SF'!B382,'Semi Finished Recipe'!L:L)</f>
        <v>0.33269616161616161</v>
      </c>
      <c r="E382" s="37" t="s">
        <v>8</v>
      </c>
      <c r="F382" s="38" t="s">
        <v>487</v>
      </c>
      <c r="G382" s="42">
        <v>1000</v>
      </c>
      <c r="H382" s="84">
        <f t="shared" si="13"/>
        <v>3.3269616161616159E-4</v>
      </c>
      <c r="I382" s="35"/>
      <c r="J382" s="35"/>
      <c r="K382" s="35"/>
      <c r="L382" s="35"/>
      <c r="M382" s="35"/>
      <c r="N382" s="35" t="s">
        <v>2155</v>
      </c>
    </row>
    <row r="383" spans="1:14" ht="14" hidden="1">
      <c r="A383" s="36" t="s">
        <v>2343</v>
      </c>
      <c r="B383" s="37" t="s">
        <v>710</v>
      </c>
      <c r="C383" s="37" t="s">
        <v>711</v>
      </c>
      <c r="D383" s="40">
        <f>SUMIF('Semi Finished Recipe'!B:B,'RM &amp; SF'!B383,'Semi Finished Recipe'!L:L)</f>
        <v>3.6676666666666669</v>
      </c>
      <c r="E383" s="37" t="s">
        <v>8</v>
      </c>
      <c r="F383" s="38" t="s">
        <v>487</v>
      </c>
      <c r="G383" s="42">
        <v>1000</v>
      </c>
      <c r="H383" s="84">
        <f t="shared" si="13"/>
        <v>3.6676666666666667E-3</v>
      </c>
      <c r="I383" s="35"/>
      <c r="J383" s="35"/>
      <c r="K383" s="35"/>
      <c r="L383" s="35"/>
      <c r="M383" s="35"/>
      <c r="N383" s="35" t="s">
        <v>2155</v>
      </c>
    </row>
    <row r="384" spans="1:14" ht="14" hidden="1">
      <c r="A384" s="36" t="s">
        <v>2344</v>
      </c>
      <c r="B384" s="37" t="s">
        <v>712</v>
      </c>
      <c r="C384" s="37" t="s">
        <v>713</v>
      </c>
      <c r="D384" s="40">
        <f>SUMIF('Semi Finished Recipe'!B:B,'RM &amp; SF'!B384,'Semi Finished Recipe'!L:L)</f>
        <v>4.9192738095238102</v>
      </c>
      <c r="E384" s="37" t="s">
        <v>8</v>
      </c>
      <c r="F384" s="38" t="s">
        <v>487</v>
      </c>
      <c r="G384" s="42">
        <v>1000</v>
      </c>
      <c r="H384" s="84">
        <f t="shared" si="13"/>
        <v>4.91927380952381E-3</v>
      </c>
      <c r="I384" s="35"/>
      <c r="J384" s="35"/>
      <c r="K384" s="35"/>
      <c r="L384" s="35"/>
      <c r="M384" s="35"/>
      <c r="N384" s="35" t="s">
        <v>2155</v>
      </c>
    </row>
    <row r="385" spans="1:14" ht="14" hidden="1">
      <c r="A385" s="36" t="s">
        <v>2345</v>
      </c>
      <c r="B385" s="37" t="s">
        <v>714</v>
      </c>
      <c r="C385" s="37" t="s">
        <v>715</v>
      </c>
      <c r="D385" s="40">
        <f>SUMIF('Semi Finished Recipe'!B:B,'RM &amp; SF'!B385,'Semi Finished Recipe'!L:L)</f>
        <v>3.234</v>
      </c>
      <c r="E385" s="37" t="s">
        <v>8</v>
      </c>
      <c r="F385" s="38" t="s">
        <v>487</v>
      </c>
      <c r="G385" s="42">
        <v>1000</v>
      </c>
      <c r="H385" s="84">
        <f t="shared" si="13"/>
        <v>3.2339999999999999E-3</v>
      </c>
      <c r="I385" s="35"/>
      <c r="J385" s="35"/>
      <c r="K385" s="35"/>
      <c r="L385" s="35"/>
      <c r="M385" s="35"/>
      <c r="N385" s="35" t="s">
        <v>2155</v>
      </c>
    </row>
    <row r="386" spans="1:14" ht="14" hidden="1">
      <c r="A386" s="36" t="s">
        <v>2346</v>
      </c>
      <c r="B386" s="37" t="s">
        <v>716</v>
      </c>
      <c r="C386" s="37" t="s">
        <v>717</v>
      </c>
      <c r="D386" s="40">
        <f>SUMIF('Semi Finished Recipe'!B:B,'RM &amp; SF'!B386,'Semi Finished Recipe'!L:L)</f>
        <v>4.295609075670499</v>
      </c>
      <c r="E386" s="37" t="s">
        <v>8</v>
      </c>
      <c r="F386" s="38" t="s">
        <v>487</v>
      </c>
      <c r="G386" s="42">
        <v>1000</v>
      </c>
      <c r="H386" s="84">
        <f t="shared" si="13"/>
        <v>4.2956090756704991E-3</v>
      </c>
      <c r="I386" s="35"/>
      <c r="J386" s="35"/>
      <c r="K386" s="35"/>
      <c r="L386" s="35"/>
      <c r="M386" s="35"/>
      <c r="N386" s="35" t="s">
        <v>2155</v>
      </c>
    </row>
    <row r="387" spans="1:14" ht="14" hidden="1">
      <c r="A387" s="36" t="s">
        <v>2347</v>
      </c>
      <c r="B387" s="37" t="s">
        <v>718</v>
      </c>
      <c r="C387" s="44" t="s">
        <v>719</v>
      </c>
      <c r="D387" s="40">
        <f>SUMIF('Semi Finished Recipe'!B:B,'RM &amp; SF'!B387,'Semi Finished Recipe'!L:L)</f>
        <v>2.5816251162790702</v>
      </c>
      <c r="E387" s="37" t="s">
        <v>8</v>
      </c>
      <c r="F387" s="38" t="s">
        <v>487</v>
      </c>
      <c r="G387" s="42">
        <v>1000</v>
      </c>
      <c r="H387" s="84">
        <f t="shared" si="13"/>
        <v>2.5816251162790703E-3</v>
      </c>
      <c r="I387" s="35"/>
      <c r="J387" s="35"/>
      <c r="K387" s="35"/>
      <c r="L387" s="35"/>
      <c r="M387" s="35"/>
      <c r="N387" s="35" t="s">
        <v>2155</v>
      </c>
    </row>
    <row r="388" spans="1:14" ht="14" hidden="1">
      <c r="A388" s="36" t="s">
        <v>2348</v>
      </c>
      <c r="B388" s="37" t="s">
        <v>720</v>
      </c>
      <c r="C388" s="44" t="s">
        <v>721</v>
      </c>
      <c r="D388" s="40">
        <f>SUMIF('Semi Finished Recipe'!B:B,'RM &amp; SF'!B388,'Semi Finished Recipe'!L:L)</f>
        <v>0.38807146464646464</v>
      </c>
      <c r="E388" s="37" t="s">
        <v>8</v>
      </c>
      <c r="F388" s="38" t="s">
        <v>487</v>
      </c>
      <c r="G388" s="42">
        <v>1000</v>
      </c>
      <c r="H388" s="84">
        <f t="shared" si="13"/>
        <v>3.8807146464646462E-4</v>
      </c>
      <c r="I388" s="35"/>
      <c r="J388" s="35"/>
      <c r="K388" s="35"/>
      <c r="L388" s="35"/>
      <c r="M388" s="35"/>
      <c r="N388" s="35" t="s">
        <v>2155</v>
      </c>
    </row>
    <row r="389" spans="1:14" ht="14" hidden="1">
      <c r="A389" s="36" t="s">
        <v>2349</v>
      </c>
      <c r="B389" s="37" t="s">
        <v>722</v>
      </c>
      <c r="C389" s="44" t="s">
        <v>723</v>
      </c>
      <c r="D389" s="40">
        <f>SUMIF('Semi Finished Recipe'!B:B,'RM &amp; SF'!B389,'Semi Finished Recipe'!L:L)</f>
        <v>2.7279832687338508</v>
      </c>
      <c r="E389" s="37" t="s">
        <v>8</v>
      </c>
      <c r="F389" s="38" t="s">
        <v>487</v>
      </c>
      <c r="G389" s="42">
        <v>1000</v>
      </c>
      <c r="H389" s="84">
        <f t="shared" si="13"/>
        <v>2.7279832687338509E-3</v>
      </c>
      <c r="I389" s="35"/>
      <c r="J389" s="35"/>
      <c r="K389" s="35"/>
      <c r="L389" s="35"/>
      <c r="M389" s="35"/>
      <c r="N389" s="35" t="s">
        <v>2155</v>
      </c>
    </row>
    <row r="390" spans="1:14" ht="14" hidden="1">
      <c r="A390" s="36" t="s">
        <v>2350</v>
      </c>
      <c r="B390" s="37" t="s">
        <v>724</v>
      </c>
      <c r="C390" s="44" t="s">
        <v>725</v>
      </c>
      <c r="D390" s="40">
        <f>SUMIF('Semi Finished Recipe'!B:B,'RM &amp; SF'!B390,'Semi Finished Recipe'!L:L)</f>
        <v>0.90277388888888899</v>
      </c>
      <c r="E390" s="37" t="s">
        <v>11</v>
      </c>
      <c r="F390" s="38" t="s">
        <v>487</v>
      </c>
      <c r="G390" s="42">
        <v>1</v>
      </c>
      <c r="H390" s="84">
        <f t="shared" si="13"/>
        <v>0.90277388888888899</v>
      </c>
      <c r="I390" s="35"/>
      <c r="J390" s="35"/>
      <c r="K390" s="35"/>
      <c r="L390" s="35"/>
      <c r="M390" s="35"/>
      <c r="N390" s="35" t="s">
        <v>2155</v>
      </c>
    </row>
    <row r="391" spans="1:14" ht="14" hidden="1">
      <c r="A391" s="36" t="e">
        <v>#N/A</v>
      </c>
      <c r="B391" s="37" t="s">
        <v>726</v>
      </c>
      <c r="C391" s="44" t="s">
        <v>727</v>
      </c>
      <c r="D391" s="40">
        <f>SUMIF('Semi Finished Recipe'!B:B,'RM &amp; SF'!B391,'Semi Finished Recipe'!L:L)</f>
        <v>1.73637100456621</v>
      </c>
      <c r="E391" s="37" t="s">
        <v>8</v>
      </c>
      <c r="F391" s="38" t="s">
        <v>487</v>
      </c>
      <c r="G391" s="42">
        <v>1000</v>
      </c>
      <c r="H391" s="84">
        <f t="shared" si="13"/>
        <v>1.73637100456621E-3</v>
      </c>
      <c r="I391" s="35"/>
      <c r="J391" s="35"/>
      <c r="K391" s="35"/>
      <c r="L391" s="35"/>
      <c r="M391" s="35"/>
      <c r="N391" s="35" t="s">
        <v>2155</v>
      </c>
    </row>
    <row r="392" spans="1:14" ht="14" hidden="1">
      <c r="A392" s="36" t="s">
        <v>2351</v>
      </c>
      <c r="B392" s="37" t="s">
        <v>728</v>
      </c>
      <c r="C392" s="44" t="s">
        <v>729</v>
      </c>
      <c r="D392" s="40">
        <f>SUMIF('Semi Finished Recipe'!B:B,'RM &amp; SF'!B392,'Semi Finished Recipe'!L:L)</f>
        <v>0.70263884369068819</v>
      </c>
      <c r="E392" s="37" t="s">
        <v>8</v>
      </c>
      <c r="F392" s="38" t="s">
        <v>487</v>
      </c>
      <c r="G392" s="42">
        <v>1000</v>
      </c>
      <c r="H392" s="84">
        <f t="shared" si="13"/>
        <v>7.0263884369068817E-4</v>
      </c>
      <c r="I392" s="35"/>
      <c r="J392" s="35"/>
      <c r="K392" s="35"/>
      <c r="L392" s="35"/>
      <c r="M392" s="35"/>
      <c r="N392" s="35" t="s">
        <v>2155</v>
      </c>
    </row>
    <row r="393" spans="1:14" ht="14" hidden="1">
      <c r="A393" s="36" t="s">
        <v>2352</v>
      </c>
      <c r="B393" s="37" t="s">
        <v>730</v>
      </c>
      <c r="C393" s="44" t="s">
        <v>731</v>
      </c>
      <c r="D393" s="40">
        <f>SUMIF('Semi Finished Recipe'!B:B,'RM &amp; SF'!B393,'Semi Finished Recipe'!L:L)</f>
        <v>0.43221253476702504</v>
      </c>
      <c r="E393" s="37" t="s">
        <v>11</v>
      </c>
      <c r="F393" s="38" t="s">
        <v>487</v>
      </c>
      <c r="G393" s="42">
        <v>1</v>
      </c>
      <c r="H393" s="84">
        <f t="shared" si="13"/>
        <v>0.43221253476702504</v>
      </c>
      <c r="I393" s="35"/>
      <c r="J393" s="35"/>
      <c r="K393" s="35"/>
      <c r="L393" s="35"/>
      <c r="M393" s="35"/>
      <c r="N393" s="35" t="s">
        <v>2155</v>
      </c>
    </row>
    <row r="394" spans="1:14" ht="14" hidden="1">
      <c r="A394" s="36" t="s">
        <v>2353</v>
      </c>
      <c r="B394" s="37" t="s">
        <v>732</v>
      </c>
      <c r="C394" s="44" t="s">
        <v>733</v>
      </c>
      <c r="D394" s="40">
        <f>SUMIF('Semi Finished Recipe'!B:B,'RM &amp; SF'!B394,'Semi Finished Recipe'!L:L)</f>
        <v>2.2632774193548379</v>
      </c>
      <c r="E394" s="37" t="s">
        <v>8</v>
      </c>
      <c r="F394" s="38" t="s">
        <v>487</v>
      </c>
      <c r="G394" s="42">
        <v>1000</v>
      </c>
      <c r="H394" s="84">
        <f t="shared" ref="H394:H422" si="14">D394/G394</f>
        <v>2.2632774193548379E-3</v>
      </c>
      <c r="I394" s="35"/>
      <c r="J394" s="35"/>
      <c r="K394" s="35"/>
      <c r="L394" s="35"/>
      <c r="M394" s="35"/>
      <c r="N394" s="35" t="s">
        <v>2155</v>
      </c>
    </row>
    <row r="395" spans="1:14" ht="14" hidden="1">
      <c r="A395" s="36" t="s">
        <v>2354</v>
      </c>
      <c r="B395" s="37" t="s">
        <v>734</v>
      </c>
      <c r="C395" s="44" t="s">
        <v>735</v>
      </c>
      <c r="D395" s="40">
        <f>SUMIF('Semi Finished Recipe'!B:B,'RM &amp; SF'!B395,'Semi Finished Recipe'!L:L)</f>
        <v>2.9227303784037559</v>
      </c>
      <c r="E395" s="37" t="s">
        <v>11</v>
      </c>
      <c r="F395" s="38" t="s">
        <v>487</v>
      </c>
      <c r="G395" s="42">
        <v>1</v>
      </c>
      <c r="H395" s="84">
        <f t="shared" si="14"/>
        <v>2.9227303784037559</v>
      </c>
      <c r="I395" s="35"/>
      <c r="J395" s="35"/>
      <c r="K395" s="35"/>
      <c r="L395" s="35"/>
      <c r="M395" s="35"/>
      <c r="N395" s="35" t="s">
        <v>2155</v>
      </c>
    </row>
    <row r="396" spans="1:14" ht="14" hidden="1">
      <c r="A396" s="36" t="s">
        <v>2355</v>
      </c>
      <c r="B396" s="37" t="s">
        <v>736</v>
      </c>
      <c r="C396" s="44" t="s">
        <v>737</v>
      </c>
      <c r="D396" s="40">
        <f>SUMIF('Semi Finished Recipe'!B:B,'RM &amp; SF'!B396,'Semi Finished Recipe'!L:L)</f>
        <v>6.0256666666666681E-2</v>
      </c>
      <c r="E396" s="37" t="s">
        <v>11</v>
      </c>
      <c r="F396" s="38" t="s">
        <v>487</v>
      </c>
      <c r="G396" s="42">
        <v>1</v>
      </c>
      <c r="H396" s="84">
        <f t="shared" si="14"/>
        <v>6.0256666666666681E-2</v>
      </c>
      <c r="I396" s="35"/>
      <c r="J396" s="35"/>
      <c r="K396" s="35"/>
      <c r="L396" s="35"/>
      <c r="M396" s="35"/>
      <c r="N396" s="35" t="s">
        <v>2155</v>
      </c>
    </row>
    <row r="397" spans="1:14" ht="14" hidden="1">
      <c r="A397" s="36" t="s">
        <v>2356</v>
      </c>
      <c r="B397" s="37" t="s">
        <v>738</v>
      </c>
      <c r="C397" s="44" t="s">
        <v>739</v>
      </c>
      <c r="D397" s="40">
        <f>SUMIF('Semi Finished Recipe'!B:B,'RM &amp; SF'!B397,'Semi Finished Recipe'!L:L)</f>
        <v>3.990566666666667</v>
      </c>
      <c r="E397" s="37" t="s">
        <v>8</v>
      </c>
      <c r="F397" s="38" t="s">
        <v>487</v>
      </c>
      <c r="G397" s="42">
        <v>1000</v>
      </c>
      <c r="H397" s="84">
        <f t="shared" si="14"/>
        <v>3.9905666666666673E-3</v>
      </c>
      <c r="I397" s="35"/>
      <c r="J397" s="35"/>
      <c r="K397" s="35"/>
      <c r="L397" s="35"/>
      <c r="M397" s="35"/>
      <c r="N397" s="35" t="s">
        <v>2155</v>
      </c>
    </row>
    <row r="398" spans="1:14" ht="14" hidden="1">
      <c r="A398" s="36" t="e">
        <v>#N/A</v>
      </c>
      <c r="B398" s="37" t="s">
        <v>740</v>
      </c>
      <c r="C398" s="44" t="s">
        <v>741</v>
      </c>
      <c r="D398" s="40">
        <f>SUMIF('Semi Finished Recipe'!B:B,'RM &amp; SF'!B398,'Semi Finished Recipe'!L:L)</f>
        <v>0.375</v>
      </c>
      <c r="E398" s="37" t="s">
        <v>8</v>
      </c>
      <c r="F398" s="38" t="s">
        <v>487</v>
      </c>
      <c r="G398" s="42">
        <v>1000</v>
      </c>
      <c r="H398" s="84">
        <f t="shared" si="14"/>
        <v>3.7500000000000001E-4</v>
      </c>
      <c r="I398" s="35"/>
      <c r="J398" s="35"/>
      <c r="K398" s="35"/>
      <c r="L398" s="35"/>
      <c r="M398" s="35"/>
      <c r="N398" s="35" t="s">
        <v>2155</v>
      </c>
    </row>
    <row r="399" spans="1:14" ht="14" hidden="1">
      <c r="A399" s="36" t="e">
        <v>#N/A</v>
      </c>
      <c r="B399" s="37" t="s">
        <v>742</v>
      </c>
      <c r="C399" s="44" t="s">
        <v>743</v>
      </c>
      <c r="D399" s="40">
        <f>SUMIF('Semi Finished Recipe'!B:B,'RM &amp; SF'!B399,'Semi Finished Recipe'!L:L)</f>
        <v>13.886910799999999</v>
      </c>
      <c r="E399" s="37" t="s">
        <v>8</v>
      </c>
      <c r="F399" s="38" t="s">
        <v>487</v>
      </c>
      <c r="G399" s="42">
        <v>1000</v>
      </c>
      <c r="H399" s="84">
        <f t="shared" si="14"/>
        <v>1.3886910799999999E-2</v>
      </c>
      <c r="I399" s="35"/>
      <c r="J399" s="35"/>
      <c r="K399" s="35"/>
      <c r="L399" s="35"/>
      <c r="M399" s="35"/>
      <c r="N399" s="35" t="s">
        <v>2155</v>
      </c>
    </row>
    <row r="400" spans="1:14" ht="14" hidden="1">
      <c r="A400" s="36" t="s">
        <v>2357</v>
      </c>
      <c r="B400" s="37" t="s">
        <v>744</v>
      </c>
      <c r="C400" s="44" t="s">
        <v>745</v>
      </c>
      <c r="D400" s="40">
        <f>SUMIF('Semi Finished Recipe'!B:B,'RM &amp; SF'!B400,'Semi Finished Recipe'!L:L)</f>
        <v>3.3899999999999997</v>
      </c>
      <c r="E400" s="37" t="s">
        <v>8</v>
      </c>
      <c r="F400" s="38" t="s">
        <v>487</v>
      </c>
      <c r="G400" s="42">
        <v>1000</v>
      </c>
      <c r="H400" s="84">
        <f t="shared" si="14"/>
        <v>3.3899999999999998E-3</v>
      </c>
      <c r="I400" s="35"/>
      <c r="J400" s="35"/>
      <c r="K400" s="35"/>
      <c r="L400" s="35"/>
      <c r="M400" s="35"/>
      <c r="N400" s="35" t="s">
        <v>2155</v>
      </c>
    </row>
    <row r="401" spans="1:14" ht="14" hidden="1">
      <c r="A401" s="36" t="s">
        <v>2358</v>
      </c>
      <c r="B401" s="37" t="s">
        <v>746</v>
      </c>
      <c r="C401" s="44" t="s">
        <v>747</v>
      </c>
      <c r="D401" s="40">
        <f>SUMIF('Semi Finished Recipe'!B:B,'RM &amp; SF'!B401,'Semi Finished Recipe'!L:L)</f>
        <v>12.916885874910252</v>
      </c>
      <c r="E401" s="37" t="s">
        <v>8</v>
      </c>
      <c r="F401" s="38" t="s">
        <v>487</v>
      </c>
      <c r="G401" s="42">
        <v>1000</v>
      </c>
      <c r="H401" s="84">
        <f t="shared" si="14"/>
        <v>1.2916885874910251E-2</v>
      </c>
      <c r="I401" s="35"/>
      <c r="J401" s="35"/>
      <c r="K401" s="35"/>
      <c r="L401" s="35"/>
      <c r="M401" s="35"/>
      <c r="N401" s="35" t="s">
        <v>2155</v>
      </c>
    </row>
    <row r="402" spans="1:14" ht="14" hidden="1">
      <c r="A402" s="36" t="e">
        <v>#N/A</v>
      </c>
      <c r="B402" s="37" t="s">
        <v>748</v>
      </c>
      <c r="C402" s="44" t="s">
        <v>749</v>
      </c>
      <c r="D402" s="40">
        <f>SUMIF('Semi Finished Recipe'!B:B,'RM &amp; SF'!B402,'Semi Finished Recipe'!L:L)</f>
        <v>0.68960777777777782</v>
      </c>
      <c r="E402" s="37" t="s">
        <v>8</v>
      </c>
      <c r="F402" s="38" t="s">
        <v>487</v>
      </c>
      <c r="G402" s="42">
        <v>1000</v>
      </c>
      <c r="H402" s="84">
        <f t="shared" si="14"/>
        <v>6.896077777777778E-4</v>
      </c>
      <c r="I402" s="35"/>
      <c r="J402" s="35"/>
      <c r="K402" s="35"/>
      <c r="L402" s="35"/>
      <c r="M402" s="35"/>
      <c r="N402" s="35" t="s">
        <v>2155</v>
      </c>
    </row>
    <row r="403" spans="1:14" ht="14" hidden="1">
      <c r="A403" s="36" t="s">
        <v>2359</v>
      </c>
      <c r="B403" s="37" t="s">
        <v>750</v>
      </c>
      <c r="C403" s="44" t="s">
        <v>751</v>
      </c>
      <c r="D403" s="40">
        <f>SUMIF('Semi Finished Recipe'!B:B,'RM &amp; SF'!B403,'Semi Finished Recipe'!L:L)</f>
        <v>2.3206110769230768</v>
      </c>
      <c r="E403" s="37" t="s">
        <v>11</v>
      </c>
      <c r="F403" s="38" t="s">
        <v>487</v>
      </c>
      <c r="G403" s="42">
        <v>1</v>
      </c>
      <c r="H403" s="84">
        <f t="shared" si="14"/>
        <v>2.3206110769230768</v>
      </c>
      <c r="I403" s="35"/>
      <c r="J403" s="35"/>
      <c r="K403" s="35"/>
      <c r="L403" s="35"/>
      <c r="M403" s="35"/>
      <c r="N403" s="35" t="s">
        <v>2155</v>
      </c>
    </row>
    <row r="404" spans="1:14" ht="14" hidden="1">
      <c r="A404" s="36" t="s">
        <v>2360</v>
      </c>
      <c r="B404" s="37" t="s">
        <v>752</v>
      </c>
      <c r="C404" s="44" t="s">
        <v>753</v>
      </c>
      <c r="D404" s="40">
        <f>SUMIF('Semi Finished Recipe'!B:B,'RM &amp; SF'!B404,'Semi Finished Recipe'!L:L)</f>
        <v>4.7089713333333343</v>
      </c>
      <c r="E404" s="37" t="s">
        <v>8</v>
      </c>
      <c r="F404" s="38" t="s">
        <v>487</v>
      </c>
      <c r="G404" s="42">
        <v>1000</v>
      </c>
      <c r="H404" s="84">
        <f t="shared" si="14"/>
        <v>4.7089713333333342E-3</v>
      </c>
      <c r="I404" s="35"/>
      <c r="J404" s="35"/>
      <c r="K404" s="35"/>
      <c r="L404" s="35"/>
      <c r="M404" s="35"/>
      <c r="N404" s="35" t="s">
        <v>2155</v>
      </c>
    </row>
    <row r="405" spans="1:14" ht="14" hidden="1">
      <c r="A405" s="36" t="s">
        <v>2361</v>
      </c>
      <c r="B405" s="37" t="s">
        <v>754</v>
      </c>
      <c r="C405" s="37" t="s">
        <v>755</v>
      </c>
      <c r="D405" s="40">
        <f>SUMIF('Semi Finished Recipe'!B:B,'RM &amp; SF'!B405,'Semi Finished Recipe'!L:L)</f>
        <v>8.3318833087257165</v>
      </c>
      <c r="E405" s="37" t="s">
        <v>11</v>
      </c>
      <c r="F405" s="38" t="s">
        <v>487</v>
      </c>
      <c r="G405" s="42">
        <v>1</v>
      </c>
      <c r="H405" s="84">
        <f t="shared" si="14"/>
        <v>8.3318833087257165</v>
      </c>
      <c r="I405" s="35"/>
      <c r="J405" s="35"/>
      <c r="K405" s="35"/>
      <c r="L405" s="35"/>
      <c r="M405" s="35"/>
      <c r="N405" s="35" t="s">
        <v>2155</v>
      </c>
    </row>
    <row r="406" spans="1:14" ht="14" hidden="1">
      <c r="A406" s="36" t="s">
        <v>2362</v>
      </c>
      <c r="B406" s="37" t="s">
        <v>756</v>
      </c>
      <c r="C406" s="37" t="s">
        <v>757</v>
      </c>
      <c r="D406" s="40">
        <f>SUMIF('Semi Finished Recipe'!B:B,'RM &amp; SF'!B406,'Semi Finished Recipe'!L:L)</f>
        <v>0.34595777777777781</v>
      </c>
      <c r="E406" s="37" t="s">
        <v>11</v>
      </c>
      <c r="F406" s="38" t="s">
        <v>487</v>
      </c>
      <c r="G406" s="42">
        <v>1</v>
      </c>
      <c r="H406" s="84">
        <f t="shared" si="14"/>
        <v>0.34595777777777781</v>
      </c>
      <c r="I406" s="35"/>
      <c r="J406" s="35"/>
      <c r="K406" s="35"/>
      <c r="L406" s="35"/>
      <c r="M406" s="35"/>
      <c r="N406" s="35" t="s">
        <v>2155</v>
      </c>
    </row>
    <row r="407" spans="1:14" ht="14" hidden="1">
      <c r="A407" s="36" t="s">
        <v>2363</v>
      </c>
      <c r="B407" s="37" t="s">
        <v>758</v>
      </c>
      <c r="C407" s="37" t="s">
        <v>759</v>
      </c>
      <c r="D407" s="40">
        <f>SUMIF('Semi Finished Recipe'!B:B,'RM &amp; SF'!B407,'Semi Finished Recipe'!L:L)</f>
        <v>2.2669666666666664</v>
      </c>
      <c r="E407" s="37" t="s">
        <v>8</v>
      </c>
      <c r="F407" s="38" t="s">
        <v>487</v>
      </c>
      <c r="G407" s="42">
        <v>1000</v>
      </c>
      <c r="H407" s="84">
        <f t="shared" si="14"/>
        <v>2.2669666666666663E-3</v>
      </c>
      <c r="I407" s="35"/>
      <c r="J407" s="35"/>
      <c r="K407" s="35"/>
      <c r="L407" s="35"/>
      <c r="M407" s="35"/>
      <c r="N407" s="35" t="s">
        <v>2155</v>
      </c>
    </row>
    <row r="408" spans="1:14" ht="14" hidden="1">
      <c r="A408" s="36" t="s">
        <v>2364</v>
      </c>
      <c r="B408" s="37" t="s">
        <v>760</v>
      </c>
      <c r="C408" s="37" t="s">
        <v>761</v>
      </c>
      <c r="D408" s="40">
        <f>SUMIF('Semi Finished Recipe'!B:B,'RM &amp; SF'!B408,'Semi Finished Recipe'!L:L)</f>
        <v>4.6747002155172419</v>
      </c>
      <c r="E408" s="37" t="s">
        <v>8</v>
      </c>
      <c r="F408" s="38" t="s">
        <v>487</v>
      </c>
      <c r="G408" s="42">
        <v>1000</v>
      </c>
      <c r="H408" s="84">
        <f t="shared" si="14"/>
        <v>4.6747002155172416E-3</v>
      </c>
      <c r="I408" s="35"/>
      <c r="J408" s="35"/>
      <c r="K408" s="35"/>
      <c r="L408" s="35"/>
      <c r="M408" s="35"/>
      <c r="N408" s="35" t="s">
        <v>2155</v>
      </c>
    </row>
    <row r="409" spans="1:14" ht="14" hidden="1">
      <c r="A409" s="36" t="s">
        <v>2365</v>
      </c>
      <c r="B409" s="61" t="s">
        <v>762</v>
      </c>
      <c r="C409" s="61" t="s">
        <v>763</v>
      </c>
      <c r="D409" s="40">
        <f>SUMIF('Semi Finished Recipe'!B:B,'RM &amp; SF'!B409,'Semi Finished Recipe'!L:L)</f>
        <v>3.9603970000000004</v>
      </c>
      <c r="E409" s="37" t="s">
        <v>8</v>
      </c>
      <c r="F409" s="38" t="s">
        <v>487</v>
      </c>
      <c r="G409" s="42">
        <v>1000</v>
      </c>
      <c r="H409" s="84">
        <f t="shared" si="14"/>
        <v>3.960397E-3</v>
      </c>
      <c r="I409" s="35"/>
      <c r="J409" s="35"/>
      <c r="K409" s="35"/>
      <c r="L409" s="35"/>
      <c r="M409" s="35"/>
      <c r="N409" s="35" t="s">
        <v>2155</v>
      </c>
    </row>
    <row r="410" spans="1:14" ht="14" hidden="1">
      <c r="A410" s="36" t="s">
        <v>2366</v>
      </c>
      <c r="B410" s="37" t="s">
        <v>764</v>
      </c>
      <c r="C410" s="44" t="s">
        <v>765</v>
      </c>
      <c r="D410" s="40">
        <f>SUMIF('Semi Finished Recipe'!B:B,'RM &amp; SF'!B410,'Semi Finished Recipe'!L:L)</f>
        <v>1.8102439024390247</v>
      </c>
      <c r="E410" s="37" t="s">
        <v>8</v>
      </c>
      <c r="F410" s="38" t="s">
        <v>487</v>
      </c>
      <c r="G410" s="42">
        <v>1000</v>
      </c>
      <c r="H410" s="84">
        <f t="shared" si="14"/>
        <v>1.8102439024390246E-3</v>
      </c>
      <c r="I410" s="35"/>
      <c r="J410" s="35"/>
      <c r="K410" s="35"/>
      <c r="L410" s="35"/>
      <c r="M410" s="35"/>
      <c r="N410" s="35" t="s">
        <v>2155</v>
      </c>
    </row>
    <row r="411" spans="1:14" ht="14" hidden="1">
      <c r="A411" s="36" t="s">
        <v>2367</v>
      </c>
      <c r="B411" s="37" t="s">
        <v>766</v>
      </c>
      <c r="C411" s="44" t="s">
        <v>767</v>
      </c>
      <c r="D411" s="40">
        <f>SUMIF('Semi Finished Recipe'!B:B,'RM &amp; SF'!B411,'Semi Finished Recipe'!L:L)</f>
        <v>1.9567508771929827</v>
      </c>
      <c r="E411" s="37" t="s">
        <v>8</v>
      </c>
      <c r="F411" s="38" t="s">
        <v>487</v>
      </c>
      <c r="G411" s="42">
        <v>1000</v>
      </c>
      <c r="H411" s="84">
        <f t="shared" si="14"/>
        <v>1.9567508771929825E-3</v>
      </c>
      <c r="I411" s="35"/>
      <c r="J411" s="35"/>
      <c r="K411" s="35"/>
      <c r="L411" s="35"/>
      <c r="M411" s="35"/>
      <c r="N411" s="35" t="s">
        <v>2155</v>
      </c>
    </row>
    <row r="412" spans="1:14" ht="14" hidden="1">
      <c r="A412" s="36" t="s">
        <v>2368</v>
      </c>
      <c r="B412" s="37" t="s">
        <v>768</v>
      </c>
      <c r="C412" s="44" t="s">
        <v>769</v>
      </c>
      <c r="D412" s="40">
        <f>SUMIF('Semi Finished Recipe'!B:B,'RM &amp; SF'!B412,'Semi Finished Recipe'!L:L)</f>
        <v>0.26400000000000001</v>
      </c>
      <c r="E412" s="37" t="s">
        <v>8</v>
      </c>
      <c r="F412" s="38" t="s">
        <v>487</v>
      </c>
      <c r="G412" s="42">
        <v>1000</v>
      </c>
      <c r="H412" s="84">
        <f t="shared" si="14"/>
        <v>2.6400000000000002E-4</v>
      </c>
      <c r="I412" s="35"/>
      <c r="J412" s="35"/>
      <c r="K412" s="35"/>
      <c r="L412" s="35"/>
      <c r="M412" s="35"/>
      <c r="N412" s="35" t="s">
        <v>2155</v>
      </c>
    </row>
    <row r="413" spans="1:14" ht="14" hidden="1">
      <c r="A413" s="36" t="s">
        <v>2369</v>
      </c>
      <c r="B413" s="37" t="s">
        <v>770</v>
      </c>
      <c r="C413" s="44" t="s">
        <v>771</v>
      </c>
      <c r="D413" s="40">
        <f>SUMIF('Semi Finished Recipe'!B:B,'RM &amp; SF'!B413,'Semi Finished Recipe'!L:L)</f>
        <v>3.758961666666667</v>
      </c>
      <c r="E413" s="37" t="s">
        <v>8</v>
      </c>
      <c r="F413" s="38" t="s">
        <v>487</v>
      </c>
      <c r="G413" s="42">
        <v>1000</v>
      </c>
      <c r="H413" s="84">
        <f t="shared" si="14"/>
        <v>3.7589616666666671E-3</v>
      </c>
      <c r="I413" s="35"/>
      <c r="J413" s="35"/>
      <c r="K413" s="35"/>
      <c r="L413" s="35"/>
      <c r="M413" s="35"/>
      <c r="N413" s="35" t="s">
        <v>2155</v>
      </c>
    </row>
    <row r="414" spans="1:14" ht="14" hidden="1">
      <c r="A414" s="36" t="e">
        <v>#N/A</v>
      </c>
      <c r="B414" s="37" t="s">
        <v>772</v>
      </c>
      <c r="C414" s="44" t="s">
        <v>773</v>
      </c>
      <c r="D414" s="40">
        <f>SUMIF('Semi Finished Recipe'!B:B,'RM &amp; SF'!B414,'Semi Finished Recipe'!L:L)</f>
        <v>0.89002551020408172</v>
      </c>
      <c r="E414" s="37" t="s">
        <v>8</v>
      </c>
      <c r="F414" s="38" t="s">
        <v>487</v>
      </c>
      <c r="G414" s="42">
        <v>1000</v>
      </c>
      <c r="H414" s="84">
        <f t="shared" si="14"/>
        <v>8.9002551020408169E-4</v>
      </c>
      <c r="I414" s="35"/>
      <c r="J414" s="35"/>
      <c r="K414" s="35"/>
      <c r="L414" s="35"/>
      <c r="M414" s="35"/>
      <c r="N414" s="80" t="s">
        <v>3029</v>
      </c>
    </row>
    <row r="415" spans="1:14" ht="14" hidden="1">
      <c r="A415" s="36" t="s">
        <v>2370</v>
      </c>
      <c r="B415" s="37" t="s">
        <v>774</v>
      </c>
      <c r="C415" s="44" t="s">
        <v>775</v>
      </c>
      <c r="D415" s="40">
        <f>SUMIF('Semi Finished Recipe'!B:B,'RM &amp; SF'!B415,'Semi Finished Recipe'!L:L)</f>
        <v>0.90050237795747234</v>
      </c>
      <c r="E415" s="37" t="s">
        <v>8</v>
      </c>
      <c r="F415" s="38" t="s">
        <v>487</v>
      </c>
      <c r="G415" s="42">
        <v>1000</v>
      </c>
      <c r="H415" s="84">
        <f t="shared" si="14"/>
        <v>9.0050237795747236E-4</v>
      </c>
      <c r="I415" s="35"/>
      <c r="J415" s="35"/>
      <c r="K415" s="35"/>
      <c r="L415" s="35"/>
      <c r="M415" s="35"/>
      <c r="N415" s="35" t="s">
        <v>2155</v>
      </c>
    </row>
    <row r="416" spans="1:14" ht="14" hidden="1">
      <c r="A416" s="36" t="e">
        <v>#N/A</v>
      </c>
      <c r="B416" s="37" t="s">
        <v>776</v>
      </c>
      <c r="C416" s="44" t="s">
        <v>777</v>
      </c>
      <c r="D416" s="40">
        <f>SUMIF('Semi Finished Recipe'!B:B,'RM &amp; SF'!B416,'Semi Finished Recipe'!L:L)</f>
        <v>1.1954596400000002</v>
      </c>
      <c r="E416" s="37" t="s">
        <v>8</v>
      </c>
      <c r="F416" s="38" t="s">
        <v>487</v>
      </c>
      <c r="G416" s="42">
        <v>1000</v>
      </c>
      <c r="H416" s="84">
        <f t="shared" si="14"/>
        <v>1.1954596400000001E-3</v>
      </c>
      <c r="I416" s="35"/>
      <c r="J416" s="35"/>
      <c r="K416" s="35"/>
      <c r="L416" s="35"/>
      <c r="M416" s="35"/>
      <c r="N416" s="35" t="s">
        <v>2155</v>
      </c>
    </row>
    <row r="417" spans="1:14" ht="14" hidden="1">
      <c r="A417" s="36" t="s">
        <v>2371</v>
      </c>
      <c r="B417" s="37" t="s">
        <v>778</v>
      </c>
      <c r="C417" s="44" t="s">
        <v>779</v>
      </c>
      <c r="D417" s="40">
        <f>SUMIF('Semi Finished Recipe'!B:B,'RM &amp; SF'!B417,'Semi Finished Recipe'!L:L)</f>
        <v>0.4578856190476191</v>
      </c>
      <c r="E417" s="37" t="s">
        <v>8</v>
      </c>
      <c r="F417" s="38" t="s">
        <v>487</v>
      </c>
      <c r="G417" s="42">
        <v>1000</v>
      </c>
      <c r="H417" s="84">
        <f t="shared" si="14"/>
        <v>4.578856190476191E-4</v>
      </c>
      <c r="I417" s="35"/>
      <c r="J417" s="35"/>
      <c r="K417" s="35"/>
      <c r="L417" s="35"/>
      <c r="M417" s="35"/>
      <c r="N417" s="35" t="s">
        <v>2155</v>
      </c>
    </row>
    <row r="418" spans="1:14" ht="14" hidden="1">
      <c r="A418" s="36" t="s">
        <v>2372</v>
      </c>
      <c r="B418" s="37" t="s">
        <v>780</v>
      </c>
      <c r="C418" s="37" t="s">
        <v>781</v>
      </c>
      <c r="D418" s="40">
        <f>SUMIF('Semi Finished Recipe'!B:B,'RM &amp; SF'!B418,'Semi Finished Recipe'!L:L)</f>
        <v>2.8622461333333327</v>
      </c>
      <c r="E418" s="37" t="s">
        <v>8</v>
      </c>
      <c r="F418" s="38" t="s">
        <v>487</v>
      </c>
      <c r="G418" s="42">
        <v>1000</v>
      </c>
      <c r="H418" s="84">
        <f t="shared" si="14"/>
        <v>2.8622461333333328E-3</v>
      </c>
      <c r="I418" s="35"/>
      <c r="J418" s="35"/>
      <c r="K418" s="35"/>
      <c r="L418" s="35"/>
      <c r="M418" s="35"/>
      <c r="N418" s="35" t="s">
        <v>2155</v>
      </c>
    </row>
    <row r="419" spans="1:14" ht="14" hidden="1">
      <c r="A419" s="36" t="s">
        <v>2373</v>
      </c>
      <c r="B419" s="37" t="s">
        <v>782</v>
      </c>
      <c r="C419" s="37" t="s">
        <v>783</v>
      </c>
      <c r="D419" s="40">
        <f>SUMIF('Semi Finished Recipe'!B:B,'RM &amp; SF'!B419,'Semi Finished Recipe'!L:L)</f>
        <v>0.90071444444444448</v>
      </c>
      <c r="E419" s="37" t="s">
        <v>8</v>
      </c>
      <c r="F419" s="38" t="s">
        <v>487</v>
      </c>
      <c r="G419" s="42">
        <v>1000</v>
      </c>
      <c r="H419" s="84">
        <f t="shared" si="14"/>
        <v>9.0071444444444451E-4</v>
      </c>
      <c r="I419" s="35"/>
      <c r="J419" s="35"/>
      <c r="K419" s="35"/>
      <c r="L419" s="35"/>
      <c r="M419" s="35"/>
      <c r="N419" s="35" t="s">
        <v>2155</v>
      </c>
    </row>
    <row r="420" spans="1:14" ht="14" hidden="1">
      <c r="A420" s="36" t="s">
        <v>2374</v>
      </c>
      <c r="B420" s="37" t="s">
        <v>790</v>
      </c>
      <c r="C420" s="44" t="s">
        <v>791</v>
      </c>
      <c r="D420" s="40">
        <f>SUMIF('Semi Finished Recipe'!B:B,'RM &amp; SF'!B420,'Semi Finished Recipe'!L:L)</f>
        <v>1.4296315789473684</v>
      </c>
      <c r="E420" s="37" t="s">
        <v>8</v>
      </c>
      <c r="F420" s="38" t="s">
        <v>487</v>
      </c>
      <c r="G420" s="42">
        <v>1000</v>
      </c>
      <c r="H420" s="84">
        <f t="shared" si="14"/>
        <v>1.4296315789473683E-3</v>
      </c>
      <c r="I420" s="35"/>
      <c r="J420" s="35"/>
      <c r="K420" s="35"/>
      <c r="L420" s="35"/>
      <c r="M420" s="35"/>
      <c r="N420" s="35" t="s">
        <v>2155</v>
      </c>
    </row>
    <row r="421" spans="1:14" ht="14" hidden="1">
      <c r="A421" s="36" t="s">
        <v>2375</v>
      </c>
      <c r="B421" s="37" t="s">
        <v>792</v>
      </c>
      <c r="C421" s="44" t="s">
        <v>793</v>
      </c>
      <c r="D421" s="40">
        <f>SUMIF('Semi Finished Recipe'!B:B,'RM &amp; SF'!B421,'Semi Finished Recipe'!L:L)</f>
        <v>0.92786683218390797</v>
      </c>
      <c r="E421" s="37" t="s">
        <v>8</v>
      </c>
      <c r="F421" s="38" t="s">
        <v>487</v>
      </c>
      <c r="G421" s="42">
        <v>1000</v>
      </c>
      <c r="H421" s="84">
        <f t="shared" si="14"/>
        <v>9.27866832183908E-4</v>
      </c>
      <c r="I421" s="35"/>
      <c r="J421" s="35"/>
      <c r="K421" s="35"/>
      <c r="L421" s="35"/>
      <c r="M421" s="35"/>
      <c r="N421" s="35" t="s">
        <v>2155</v>
      </c>
    </row>
    <row r="422" spans="1:14" ht="14" hidden="1">
      <c r="A422" s="36" t="s">
        <v>2376</v>
      </c>
      <c r="B422" s="37" t="s">
        <v>794</v>
      </c>
      <c r="C422" s="44" t="s">
        <v>795</v>
      </c>
      <c r="D422" s="40">
        <f>SUMIF('Semi Finished Recipe'!B:B,'RM &amp; SF'!B422,'Semi Finished Recipe'!L:L)</f>
        <v>1.9606966908849017</v>
      </c>
      <c r="E422" s="37" t="s">
        <v>11</v>
      </c>
      <c r="F422" s="38" t="s">
        <v>487</v>
      </c>
      <c r="G422" s="42">
        <v>1</v>
      </c>
      <c r="H422" s="84">
        <f t="shared" si="14"/>
        <v>1.9606966908849017</v>
      </c>
      <c r="I422" s="35"/>
      <c r="J422" s="35"/>
      <c r="K422" s="35"/>
      <c r="L422" s="35"/>
      <c r="M422" s="35"/>
      <c r="N422" s="35" t="s">
        <v>2155</v>
      </c>
    </row>
    <row r="423" spans="1:14" ht="14" hidden="1">
      <c r="A423" s="36" t="s">
        <v>2377</v>
      </c>
      <c r="B423" s="37" t="s">
        <v>796</v>
      </c>
      <c r="C423" s="44" t="s">
        <v>797</v>
      </c>
      <c r="D423" s="40">
        <f>SUMIF('Semi Finished Recipe'!B:B,'RM &amp; SF'!B423,'Semi Finished Recipe'!L:L)</f>
        <v>0.81314491666666655</v>
      </c>
      <c r="E423" s="37" t="s">
        <v>8</v>
      </c>
      <c r="F423" s="38" t="s">
        <v>487</v>
      </c>
      <c r="G423" s="42">
        <v>1000</v>
      </c>
      <c r="H423" s="84">
        <f t="shared" ref="H423:H451" si="15">D423/G423</f>
        <v>8.1314491666666653E-4</v>
      </c>
      <c r="I423" s="35"/>
      <c r="J423" s="35"/>
      <c r="K423" s="35"/>
      <c r="L423" s="35"/>
      <c r="M423" s="35"/>
      <c r="N423" s="35" t="s">
        <v>2155</v>
      </c>
    </row>
    <row r="424" spans="1:14" ht="14" hidden="1">
      <c r="A424" s="36" t="s">
        <v>2378</v>
      </c>
      <c r="B424" s="4" t="s">
        <v>798</v>
      </c>
      <c r="C424" s="4" t="s">
        <v>801</v>
      </c>
      <c r="D424" s="40">
        <f>SUMIF('Semi Finished Recipe'!B:B,'RM &amp; SF'!B424,'Semi Finished Recipe'!L:L)</f>
        <v>3.2840802125553341</v>
      </c>
      <c r="E424" s="37" t="s">
        <v>8</v>
      </c>
      <c r="F424" s="38" t="s">
        <v>487</v>
      </c>
      <c r="G424" s="42">
        <v>1000</v>
      </c>
      <c r="H424" s="84">
        <f t="shared" si="15"/>
        <v>3.284080212555334E-3</v>
      </c>
      <c r="I424" s="35"/>
      <c r="J424" s="35"/>
      <c r="K424" s="35"/>
      <c r="L424" s="35"/>
      <c r="M424" s="35"/>
      <c r="N424" s="35" t="s">
        <v>2155</v>
      </c>
    </row>
    <row r="425" spans="1:14" ht="14" hidden="1">
      <c r="A425" s="36" t="s">
        <v>2379</v>
      </c>
      <c r="B425" s="37" t="s">
        <v>1903</v>
      </c>
      <c r="C425" s="44" t="s">
        <v>1904</v>
      </c>
      <c r="D425" s="40">
        <f>SUMIF('Semi Finished Recipe'!B:B,'RM &amp; SF'!B425,'Semi Finished Recipe'!L:L)</f>
        <v>1.4172727272727272</v>
      </c>
      <c r="E425" s="37" t="s">
        <v>8</v>
      </c>
      <c r="F425" s="38" t="s">
        <v>487</v>
      </c>
      <c r="G425" s="42">
        <v>1000</v>
      </c>
      <c r="H425" s="84">
        <f t="shared" si="15"/>
        <v>1.4172727272727273E-3</v>
      </c>
      <c r="I425" s="35"/>
      <c r="J425" s="35"/>
      <c r="K425" s="35"/>
      <c r="L425" s="35"/>
      <c r="M425" s="35"/>
      <c r="N425" s="35" t="s">
        <v>2155</v>
      </c>
    </row>
    <row r="426" spans="1:14" ht="14" hidden="1">
      <c r="A426" s="36" t="s">
        <v>2380</v>
      </c>
      <c r="B426" s="37" t="s">
        <v>1905</v>
      </c>
      <c r="C426" s="44" t="s">
        <v>1901</v>
      </c>
      <c r="D426" s="40">
        <f>SUMIF('Semi Finished Recipe'!B:B,'RM &amp; SF'!B426,'Semi Finished Recipe'!L:L)</f>
        <v>2.6476479954954959</v>
      </c>
      <c r="E426" s="37" t="s">
        <v>1876</v>
      </c>
      <c r="F426" s="38" t="s">
        <v>487</v>
      </c>
      <c r="G426" s="42">
        <v>1</v>
      </c>
      <c r="H426" s="84">
        <f t="shared" si="15"/>
        <v>2.6476479954954959</v>
      </c>
      <c r="I426" s="35"/>
      <c r="J426" s="35"/>
      <c r="K426" s="35"/>
      <c r="L426" s="35"/>
      <c r="M426" s="35"/>
      <c r="N426" s="35" t="s">
        <v>2155</v>
      </c>
    </row>
    <row r="427" spans="1:14" ht="14" hidden="1">
      <c r="A427" s="36" t="e">
        <v>#N/A</v>
      </c>
      <c r="B427" s="37" t="s">
        <v>1908</v>
      </c>
      <c r="C427" s="44" t="s">
        <v>1910</v>
      </c>
      <c r="D427" s="40">
        <f>SUMIF('Semi Finished Recipe'!B:B,'RM &amp; SF'!B427,'Semi Finished Recipe'!L:L)</f>
        <v>0.70473887387387379</v>
      </c>
      <c r="E427" s="37" t="s">
        <v>8</v>
      </c>
      <c r="F427" s="38" t="s">
        <v>487</v>
      </c>
      <c r="G427" s="42">
        <v>1000</v>
      </c>
      <c r="H427" s="84">
        <f t="shared" si="15"/>
        <v>7.0473887387387376E-4</v>
      </c>
      <c r="I427" s="35"/>
      <c r="J427" s="35"/>
      <c r="K427" s="35"/>
      <c r="L427" s="35"/>
      <c r="M427" s="35"/>
      <c r="N427" s="80" t="s">
        <v>3032</v>
      </c>
    </row>
    <row r="428" spans="1:14" ht="14" hidden="1">
      <c r="A428" s="36" t="s">
        <v>2381</v>
      </c>
      <c r="B428" s="37" t="s">
        <v>492</v>
      </c>
      <c r="C428" s="37" t="s">
        <v>493</v>
      </c>
      <c r="D428" s="40">
        <f>SUMIF('Semi Finished Recipe'!B:B,'RM &amp; SF'!B428,'Semi Finished Recipe'!L:L)</f>
        <v>3.3316857762056666E-2</v>
      </c>
      <c r="E428" s="37" t="s">
        <v>11</v>
      </c>
      <c r="F428" s="38" t="s">
        <v>487</v>
      </c>
      <c r="G428" s="42">
        <v>1</v>
      </c>
      <c r="H428" s="84">
        <f t="shared" si="15"/>
        <v>3.3316857762056666E-2</v>
      </c>
      <c r="I428" s="35"/>
      <c r="J428" s="35"/>
      <c r="K428" s="35"/>
      <c r="L428" s="35"/>
      <c r="M428" s="35"/>
      <c r="N428" s="35" t="s">
        <v>2155</v>
      </c>
    </row>
    <row r="429" spans="1:14" ht="14" hidden="1">
      <c r="A429" s="36" t="s">
        <v>2382</v>
      </c>
      <c r="B429" s="37" t="s">
        <v>526</v>
      </c>
      <c r="C429" s="37" t="s">
        <v>527</v>
      </c>
      <c r="D429" s="40">
        <f>SUMIF('Semi Finished Recipe'!B:B,'RM &amp; SF'!B429,'Semi Finished Recipe'!L:L)</f>
        <v>1.6448625429553263</v>
      </c>
      <c r="E429" s="37" t="s">
        <v>8</v>
      </c>
      <c r="F429" s="38" t="s">
        <v>487</v>
      </c>
      <c r="G429" s="42">
        <v>1000</v>
      </c>
      <c r="H429" s="84">
        <f t="shared" si="15"/>
        <v>1.6448625429553263E-3</v>
      </c>
      <c r="I429" s="35"/>
      <c r="J429" s="35"/>
      <c r="K429" s="35"/>
      <c r="L429" s="35"/>
      <c r="M429" s="35"/>
      <c r="N429" s="35" t="s">
        <v>2155</v>
      </c>
    </row>
    <row r="430" spans="1:14" ht="14" hidden="1">
      <c r="A430" s="36" t="s">
        <v>2383</v>
      </c>
      <c r="B430" s="37" t="s">
        <v>508</v>
      </c>
      <c r="C430" s="37" t="s">
        <v>509</v>
      </c>
      <c r="D430" s="40">
        <f>SUMIF('Semi Finished Recipe'!B:B,'RM &amp; SF'!B430,'Semi Finished Recipe'!L:L)</f>
        <v>3.6895654761904764</v>
      </c>
      <c r="E430" s="37" t="s">
        <v>8</v>
      </c>
      <c r="F430" s="38" t="s">
        <v>487</v>
      </c>
      <c r="G430" s="42">
        <v>1000</v>
      </c>
      <c r="H430" s="84">
        <f t="shared" si="15"/>
        <v>3.6895654761904765E-3</v>
      </c>
      <c r="I430" s="35"/>
      <c r="J430" s="35"/>
      <c r="K430" s="35"/>
      <c r="L430" s="35"/>
      <c r="M430" s="35"/>
      <c r="N430" s="35" t="s">
        <v>2155</v>
      </c>
    </row>
    <row r="431" spans="1:14" ht="14" hidden="1">
      <c r="A431" s="36" t="s">
        <v>2251</v>
      </c>
      <c r="B431" s="37" t="s">
        <v>510</v>
      </c>
      <c r="C431" s="37" t="s">
        <v>511</v>
      </c>
      <c r="D431" s="40">
        <f>SUMIF('Semi Finished Recipe'!B:B,'RM &amp; SF'!B431,'Semi Finished Recipe'!L:L)</f>
        <v>0.92055550264550257</v>
      </c>
      <c r="E431" s="37" t="s">
        <v>8</v>
      </c>
      <c r="F431" s="38" t="s">
        <v>487</v>
      </c>
      <c r="G431" s="42">
        <v>1000</v>
      </c>
      <c r="H431" s="84">
        <f t="shared" si="15"/>
        <v>9.2055550264550257E-4</v>
      </c>
      <c r="I431" s="35"/>
      <c r="J431" s="35"/>
      <c r="K431" s="35"/>
      <c r="L431" s="35"/>
      <c r="M431" s="35"/>
      <c r="N431" s="35" t="s">
        <v>2155</v>
      </c>
    </row>
    <row r="432" spans="1:14" ht="14" hidden="1">
      <c r="A432" s="36" t="s">
        <v>2384</v>
      </c>
      <c r="B432" s="37" t="s">
        <v>538</v>
      </c>
      <c r="C432" s="37" t="s">
        <v>539</v>
      </c>
      <c r="D432" s="40">
        <f>SUMIF('Semi Finished Recipe'!B:B,'RM &amp; SF'!B432,'Semi Finished Recipe'!L:L)</f>
        <v>3.5399982955314506</v>
      </c>
      <c r="E432" s="37" t="s">
        <v>11</v>
      </c>
      <c r="F432" s="38" t="s">
        <v>487</v>
      </c>
      <c r="G432" s="42">
        <v>1</v>
      </c>
      <c r="H432" s="84">
        <f t="shared" si="15"/>
        <v>3.5399982955314506</v>
      </c>
      <c r="I432" s="35"/>
      <c r="J432" s="35"/>
      <c r="K432" s="35"/>
      <c r="L432" s="35"/>
      <c r="M432" s="35"/>
      <c r="N432" s="35" t="s">
        <v>2155</v>
      </c>
    </row>
    <row r="433" spans="1:15" ht="14" hidden="1">
      <c r="A433" s="36" t="s">
        <v>2385</v>
      </c>
      <c r="B433" s="37" t="s">
        <v>540</v>
      </c>
      <c r="C433" s="37" t="s">
        <v>541</v>
      </c>
      <c r="D433" s="40">
        <f>SUMIF('Semi Finished Recipe'!B:B,'RM &amp; SF'!B433,'Semi Finished Recipe'!L:L)</f>
        <v>0.79700000000000004</v>
      </c>
      <c r="E433" s="37" t="s">
        <v>8</v>
      </c>
      <c r="F433" s="38" t="s">
        <v>487</v>
      </c>
      <c r="G433" s="42">
        <v>1000</v>
      </c>
      <c r="H433" s="84">
        <f t="shared" si="15"/>
        <v>7.9700000000000007E-4</v>
      </c>
      <c r="I433" s="35"/>
      <c r="J433" s="35"/>
      <c r="K433" s="35"/>
      <c r="L433" s="35"/>
      <c r="M433" s="35"/>
      <c r="N433" s="35" t="s">
        <v>2155</v>
      </c>
      <c r="O433" s="306">
        <v>150</v>
      </c>
    </row>
    <row r="434" spans="1:15" ht="14" hidden="1">
      <c r="A434" s="36" t="s">
        <v>2386</v>
      </c>
      <c r="B434" s="37" t="s">
        <v>584</v>
      </c>
      <c r="C434" s="37" t="s">
        <v>585</v>
      </c>
      <c r="D434" s="40">
        <f>SUMIF('Semi Finished Recipe'!B:B,'RM &amp; SF'!B434,'Semi Finished Recipe'!L:L)</f>
        <v>0.49428737588652483</v>
      </c>
      <c r="E434" s="38" t="s">
        <v>8</v>
      </c>
      <c r="F434" s="38" t="s">
        <v>487</v>
      </c>
      <c r="G434" s="42">
        <v>1000</v>
      </c>
      <c r="H434" s="84">
        <f t="shared" si="15"/>
        <v>4.9428737588652486E-4</v>
      </c>
      <c r="I434" s="35"/>
      <c r="J434" s="35"/>
      <c r="K434" s="35"/>
      <c r="L434" s="35"/>
      <c r="M434" s="35"/>
      <c r="N434" s="35" t="s">
        <v>2155</v>
      </c>
    </row>
    <row r="435" spans="1:15" ht="14" hidden="1">
      <c r="A435" s="36" t="s">
        <v>2387</v>
      </c>
      <c r="B435" s="37" t="s">
        <v>554</v>
      </c>
      <c r="C435" s="37" t="s">
        <v>555</v>
      </c>
      <c r="D435" s="40">
        <f>SUMIF('Semi Finished Recipe'!B:B,'RM &amp; SF'!B435,'Semi Finished Recipe'!L:L)</f>
        <v>0.49271573151695752</v>
      </c>
      <c r="E435" s="37" t="s">
        <v>8</v>
      </c>
      <c r="F435" s="38" t="s">
        <v>487</v>
      </c>
      <c r="G435" s="42">
        <v>1000</v>
      </c>
      <c r="H435" s="84">
        <f t="shared" si="15"/>
        <v>4.9271573151695748E-4</v>
      </c>
      <c r="I435" s="35"/>
      <c r="J435" s="35"/>
      <c r="K435" s="35"/>
      <c r="L435" s="35"/>
      <c r="M435" s="35"/>
      <c r="N435" s="35" t="s">
        <v>2155</v>
      </c>
    </row>
    <row r="436" spans="1:15" ht="14" hidden="1">
      <c r="A436" s="36" t="s">
        <v>2388</v>
      </c>
      <c r="B436" s="37" t="s">
        <v>558</v>
      </c>
      <c r="C436" s="37" t="s">
        <v>559</v>
      </c>
      <c r="D436" s="40">
        <f>SUMIF('Semi Finished Recipe'!B:B,'RM &amp; SF'!B436,'Semi Finished Recipe'!L:L)</f>
        <v>0.63725786356821579</v>
      </c>
      <c r="E436" s="37" t="s">
        <v>8</v>
      </c>
      <c r="F436" s="38" t="s">
        <v>487</v>
      </c>
      <c r="G436" s="42">
        <v>1000</v>
      </c>
      <c r="H436" s="84">
        <f t="shared" si="15"/>
        <v>6.3725786356821576E-4</v>
      </c>
      <c r="I436" s="35"/>
      <c r="J436" s="35"/>
      <c r="K436" s="35"/>
      <c r="L436" s="35"/>
      <c r="M436" s="35"/>
      <c r="N436" s="35" t="s">
        <v>2155</v>
      </c>
    </row>
    <row r="437" spans="1:15" ht="14" hidden="1">
      <c r="A437" s="36" t="s">
        <v>2389</v>
      </c>
      <c r="B437" s="37" t="s">
        <v>550</v>
      </c>
      <c r="C437" s="37" t="s">
        <v>551</v>
      </c>
      <c r="D437" s="40">
        <f>SUMIF('Semi Finished Recipe'!B:B,'RM &amp; SF'!B437,'Semi Finished Recipe'!L:L)</f>
        <v>0.49216375000000001</v>
      </c>
      <c r="E437" s="37" t="s">
        <v>8</v>
      </c>
      <c r="F437" s="38" t="s">
        <v>487</v>
      </c>
      <c r="G437" s="42">
        <v>1000</v>
      </c>
      <c r="H437" s="84">
        <f t="shared" si="15"/>
        <v>4.9216375000000004E-4</v>
      </c>
      <c r="I437" s="35"/>
      <c r="J437" s="35"/>
      <c r="K437" s="35"/>
      <c r="L437" s="35"/>
      <c r="M437" s="35"/>
      <c r="N437" s="35" t="s">
        <v>2155</v>
      </c>
    </row>
    <row r="438" spans="1:15" ht="14" hidden="1">
      <c r="A438" s="36" t="s">
        <v>2390</v>
      </c>
      <c r="B438" s="37" t="s">
        <v>548</v>
      </c>
      <c r="C438" s="37" t="s">
        <v>549</v>
      </c>
      <c r="D438" s="40">
        <f>SUMIF('Semi Finished Recipe'!B:B,'RM &amp; SF'!B438,'Semi Finished Recipe'!L:L)</f>
        <v>0.41596433333333332</v>
      </c>
      <c r="E438" s="37" t="s">
        <v>8</v>
      </c>
      <c r="F438" s="38" t="s">
        <v>487</v>
      </c>
      <c r="G438" s="42">
        <v>1000</v>
      </c>
      <c r="H438" s="84">
        <f t="shared" si="15"/>
        <v>4.1596433333333332E-4</v>
      </c>
      <c r="I438" s="35"/>
      <c r="J438" s="35"/>
      <c r="K438" s="35"/>
      <c r="L438" s="35"/>
      <c r="M438" s="35"/>
      <c r="N438" s="35" t="s">
        <v>2155</v>
      </c>
    </row>
    <row r="439" spans="1:15" ht="14" hidden="1">
      <c r="A439" s="36" t="s">
        <v>2391</v>
      </c>
      <c r="B439" s="37" t="s">
        <v>594</v>
      </c>
      <c r="C439" s="37" t="s">
        <v>595</v>
      </c>
      <c r="D439" s="40">
        <f>SUMIF('Semi Finished Recipe'!B:B,'RM &amp; SF'!B439,'Semi Finished Recipe'!L:L)</f>
        <v>0.44997460919540233</v>
      </c>
      <c r="E439" s="37" t="s">
        <v>8</v>
      </c>
      <c r="F439" s="38" t="s">
        <v>487</v>
      </c>
      <c r="G439" s="42">
        <v>1000</v>
      </c>
      <c r="H439" s="84">
        <f t="shared" si="15"/>
        <v>4.4997460919540231E-4</v>
      </c>
      <c r="I439" s="35"/>
      <c r="J439" s="35"/>
      <c r="K439" s="35"/>
      <c r="L439" s="35"/>
      <c r="M439" s="35"/>
      <c r="N439" s="35" t="s">
        <v>2155</v>
      </c>
    </row>
    <row r="440" spans="1:15" ht="14" hidden="1">
      <c r="A440" s="36" t="s">
        <v>2392</v>
      </c>
      <c r="B440" s="37" t="s">
        <v>590</v>
      </c>
      <c r="C440" s="37" t="s">
        <v>591</v>
      </c>
      <c r="D440" s="40">
        <f>SUMIF('Semi Finished Recipe'!B:B,'RM &amp; SF'!B440,'Semi Finished Recipe'!L:L)</f>
        <v>0.51539514056513402</v>
      </c>
      <c r="E440" s="37" t="s">
        <v>8</v>
      </c>
      <c r="F440" s="38" t="s">
        <v>487</v>
      </c>
      <c r="G440" s="42">
        <v>1000</v>
      </c>
      <c r="H440" s="84">
        <f t="shared" si="15"/>
        <v>5.1539514056513406E-4</v>
      </c>
      <c r="I440" s="35"/>
      <c r="J440" s="35"/>
      <c r="K440" s="35"/>
      <c r="L440" s="35"/>
      <c r="M440" s="35"/>
      <c r="N440" s="35" t="s">
        <v>2155</v>
      </c>
    </row>
    <row r="441" spans="1:15" ht="14" hidden="1">
      <c r="A441" s="36" t="s">
        <v>2393</v>
      </c>
      <c r="B441" s="37" t="s">
        <v>542</v>
      </c>
      <c r="C441" s="37" t="s">
        <v>543</v>
      </c>
      <c r="D441" s="40">
        <f>SUMIF('Semi Finished Recipe'!B:B,'RM &amp; SF'!B441,'Semi Finished Recipe'!L:L)</f>
        <v>0.52538680076628352</v>
      </c>
      <c r="E441" s="37" t="s">
        <v>8</v>
      </c>
      <c r="F441" s="38" t="s">
        <v>487</v>
      </c>
      <c r="G441" s="42">
        <v>1000</v>
      </c>
      <c r="H441" s="84">
        <f t="shared" si="15"/>
        <v>5.2538680076628355E-4</v>
      </c>
      <c r="I441" s="35"/>
      <c r="J441" s="35"/>
      <c r="K441" s="35"/>
      <c r="L441" s="35"/>
      <c r="M441" s="35"/>
      <c r="N441" s="35" t="s">
        <v>2155</v>
      </c>
    </row>
    <row r="442" spans="1:15" ht="14" hidden="1">
      <c r="A442" s="36" t="s">
        <v>2394</v>
      </c>
      <c r="B442" s="37" t="s">
        <v>588</v>
      </c>
      <c r="C442" s="37" t="s">
        <v>589</v>
      </c>
      <c r="D442" s="40">
        <f>SUMIF('Semi Finished Recipe'!B:B,'RM &amp; SF'!B442,'Semi Finished Recipe'!L:L)</f>
        <v>0.72941979444444438</v>
      </c>
      <c r="E442" s="37" t="s">
        <v>8</v>
      </c>
      <c r="F442" s="38" t="s">
        <v>487</v>
      </c>
      <c r="G442" s="42">
        <v>1000</v>
      </c>
      <c r="H442" s="84">
        <f t="shared" si="15"/>
        <v>7.294197944444444E-4</v>
      </c>
      <c r="I442" s="35"/>
      <c r="J442" s="35"/>
      <c r="K442" s="35"/>
      <c r="L442" s="35"/>
      <c r="M442" s="35"/>
      <c r="N442" s="35" t="s">
        <v>2155</v>
      </c>
    </row>
    <row r="443" spans="1:15" ht="14" hidden="1">
      <c r="A443" s="36" t="s">
        <v>2395</v>
      </c>
      <c r="B443" s="37" t="s">
        <v>560</v>
      </c>
      <c r="C443" s="37" t="s">
        <v>561</v>
      </c>
      <c r="D443" s="40">
        <f>SUMIF('Semi Finished Recipe'!B:B,'RM &amp; SF'!B443,'Semi Finished Recipe'!L:L)</f>
        <v>1.2345483193277309</v>
      </c>
      <c r="E443" s="37" t="s">
        <v>8</v>
      </c>
      <c r="F443" s="38" t="s">
        <v>487</v>
      </c>
      <c r="G443" s="42">
        <v>1000</v>
      </c>
      <c r="H443" s="84">
        <f t="shared" si="15"/>
        <v>1.2345483193277309E-3</v>
      </c>
      <c r="I443" s="35"/>
      <c r="J443" s="35"/>
      <c r="K443" s="35"/>
      <c r="L443" s="35"/>
      <c r="M443" s="35"/>
      <c r="N443" s="35" t="s">
        <v>2155</v>
      </c>
    </row>
    <row r="444" spans="1:15" ht="14" hidden="1">
      <c r="A444" s="36" t="s">
        <v>2396</v>
      </c>
      <c r="B444" s="37" t="s">
        <v>582</v>
      </c>
      <c r="C444" s="37" t="s">
        <v>583</v>
      </c>
      <c r="D444" s="40">
        <f>SUMIF('Semi Finished Recipe'!B:B,'RM &amp; SF'!B444,'Semi Finished Recipe'!L:L)</f>
        <v>0.20666065869244635</v>
      </c>
      <c r="E444" s="37" t="s">
        <v>8</v>
      </c>
      <c r="F444" s="38" t="s">
        <v>487</v>
      </c>
      <c r="G444" s="42">
        <v>1000</v>
      </c>
      <c r="H444" s="84">
        <f t="shared" si="15"/>
        <v>2.0666065869244635E-4</v>
      </c>
      <c r="I444" s="35"/>
      <c r="J444" s="35"/>
      <c r="K444" s="35"/>
      <c r="L444" s="35"/>
      <c r="M444" s="35"/>
      <c r="N444" s="35" t="s">
        <v>2155</v>
      </c>
    </row>
    <row r="445" spans="1:15" ht="14" hidden="1">
      <c r="A445" s="36" t="s">
        <v>2397</v>
      </c>
      <c r="B445" s="37" t="s">
        <v>580</v>
      </c>
      <c r="C445" s="37" t="s">
        <v>581</v>
      </c>
      <c r="D445" s="40">
        <f>SUMIF('Semi Finished Recipe'!B:B,'RM &amp; SF'!B445,'Semi Finished Recipe'!L:L)</f>
        <v>1.0841676434676435</v>
      </c>
      <c r="E445" s="37" t="s">
        <v>8</v>
      </c>
      <c r="F445" s="38" t="s">
        <v>487</v>
      </c>
      <c r="G445" s="42">
        <v>1000</v>
      </c>
      <c r="H445" s="84">
        <f t="shared" si="15"/>
        <v>1.0841676434676436E-3</v>
      </c>
      <c r="I445" s="35"/>
      <c r="J445" s="35"/>
      <c r="K445" s="35"/>
      <c r="L445" s="35"/>
      <c r="M445" s="35"/>
      <c r="N445" s="35" t="s">
        <v>2155</v>
      </c>
    </row>
    <row r="446" spans="1:15" ht="14" hidden="1">
      <c r="A446" s="36" t="s">
        <v>2398</v>
      </c>
      <c r="B446" s="37" t="s">
        <v>592</v>
      </c>
      <c r="C446" s="37" t="s">
        <v>593</v>
      </c>
      <c r="D446" s="40">
        <f>SUMIF('Semi Finished Recipe'!B:B,'RM &amp; SF'!B446,'Semi Finished Recipe'!L:L)</f>
        <v>2.2926478666666674</v>
      </c>
      <c r="E446" s="37" t="s">
        <v>8</v>
      </c>
      <c r="F446" s="38" t="s">
        <v>487</v>
      </c>
      <c r="G446" s="42">
        <v>1000</v>
      </c>
      <c r="H446" s="84">
        <f t="shared" si="15"/>
        <v>2.2926478666666673E-3</v>
      </c>
      <c r="I446" s="35"/>
      <c r="J446" s="35"/>
      <c r="K446" s="35"/>
      <c r="L446" s="35"/>
      <c r="M446" s="35"/>
      <c r="N446" s="35" t="s">
        <v>2155</v>
      </c>
    </row>
    <row r="447" spans="1:15" ht="14" hidden="1">
      <c r="A447" s="36" t="s">
        <v>2399</v>
      </c>
      <c r="B447" s="37" t="s">
        <v>546</v>
      </c>
      <c r="C447" s="37" t="s">
        <v>547</v>
      </c>
      <c r="D447" s="40">
        <f>SUMIF('Semi Finished Recipe'!B:B,'RM &amp; SF'!B447,'Semi Finished Recipe'!L:L)</f>
        <v>2.5579763748357967</v>
      </c>
      <c r="E447" s="37" t="s">
        <v>8</v>
      </c>
      <c r="F447" s="38" t="s">
        <v>487</v>
      </c>
      <c r="G447" s="42">
        <v>1000</v>
      </c>
      <c r="H447" s="84">
        <f t="shared" si="15"/>
        <v>2.5579763748357965E-3</v>
      </c>
      <c r="I447" s="35"/>
      <c r="J447" s="35"/>
      <c r="K447" s="35"/>
      <c r="L447" s="35"/>
      <c r="M447" s="35"/>
      <c r="N447" s="35" t="s">
        <v>2155</v>
      </c>
    </row>
    <row r="448" spans="1:15" ht="14" hidden="1">
      <c r="A448" s="36" t="s">
        <v>2400</v>
      </c>
      <c r="B448" s="37" t="s">
        <v>602</v>
      </c>
      <c r="C448" s="37" t="s">
        <v>603</v>
      </c>
      <c r="D448" s="40">
        <f>SUMIF('Semi Finished Recipe'!B:B,'RM &amp; SF'!B448,'Semi Finished Recipe'!L:L)</f>
        <v>0.44593620738566886</v>
      </c>
      <c r="E448" s="37" t="s">
        <v>8</v>
      </c>
      <c r="F448" s="38" t="s">
        <v>487</v>
      </c>
      <c r="G448" s="42">
        <v>1000</v>
      </c>
      <c r="H448" s="84">
        <f t="shared" si="15"/>
        <v>4.4593620738566888E-4</v>
      </c>
      <c r="I448" s="35"/>
      <c r="J448" s="35"/>
      <c r="K448" s="35"/>
      <c r="L448" s="35"/>
      <c r="M448" s="35"/>
      <c r="N448" s="35" t="s">
        <v>2155</v>
      </c>
    </row>
    <row r="449" spans="1:14" ht="14" hidden="1">
      <c r="A449" s="36" t="s">
        <v>2401</v>
      </c>
      <c r="B449" s="37" t="s">
        <v>596</v>
      </c>
      <c r="C449" s="37" t="s">
        <v>597</v>
      </c>
      <c r="D449" s="40">
        <f>SUMIF('Semi Finished Recipe'!B:B,'RM &amp; SF'!B449,'Semi Finished Recipe'!L:L)</f>
        <v>0.57013461538461552</v>
      </c>
      <c r="E449" s="37" t="s">
        <v>8</v>
      </c>
      <c r="F449" s="38" t="s">
        <v>487</v>
      </c>
      <c r="G449" s="42">
        <v>1000</v>
      </c>
      <c r="H449" s="84">
        <f t="shared" si="15"/>
        <v>5.7013461538461547E-4</v>
      </c>
      <c r="I449" s="35"/>
      <c r="J449" s="35"/>
      <c r="K449" s="35"/>
      <c r="L449" s="35"/>
      <c r="M449" s="35"/>
      <c r="N449" s="35" t="s">
        <v>2155</v>
      </c>
    </row>
    <row r="450" spans="1:14" ht="14" hidden="1">
      <c r="A450" s="36" t="s">
        <v>2402</v>
      </c>
      <c r="B450" s="37" t="s">
        <v>600</v>
      </c>
      <c r="C450" s="37" t="s">
        <v>601</v>
      </c>
      <c r="D450" s="40">
        <f>SUMIF('Semi Finished Recipe'!B:B,'RM &amp; SF'!B450,'Semi Finished Recipe'!L:L)</f>
        <v>2.9747529761904761</v>
      </c>
      <c r="E450" s="37" t="s">
        <v>8</v>
      </c>
      <c r="F450" s="38" t="s">
        <v>487</v>
      </c>
      <c r="G450" s="42">
        <v>1000</v>
      </c>
      <c r="H450" s="84">
        <f t="shared" si="15"/>
        <v>2.9747529761904759E-3</v>
      </c>
      <c r="I450" s="35"/>
      <c r="J450" s="35"/>
      <c r="K450" s="35"/>
      <c r="L450" s="35"/>
      <c r="M450" s="35"/>
      <c r="N450" s="35" t="s">
        <v>2155</v>
      </c>
    </row>
    <row r="451" spans="1:14" ht="14" hidden="1">
      <c r="A451" s="36" t="s">
        <v>2403</v>
      </c>
      <c r="B451" s="37" t="s">
        <v>608</v>
      </c>
      <c r="C451" s="37" t="s">
        <v>609</v>
      </c>
      <c r="D451" s="40">
        <f>SUMIF('Semi Finished Recipe'!B:B,'RM &amp; SF'!B451,'Semi Finished Recipe'!L:L)</f>
        <v>3.7467734386446891</v>
      </c>
      <c r="E451" s="37" t="s">
        <v>8</v>
      </c>
      <c r="F451" s="38" t="s">
        <v>487</v>
      </c>
      <c r="G451" s="42">
        <v>1000</v>
      </c>
      <c r="H451" s="84">
        <f t="shared" si="15"/>
        <v>3.7467734386446893E-3</v>
      </c>
      <c r="I451" s="35"/>
      <c r="J451" s="35"/>
      <c r="K451" s="35"/>
      <c r="L451" s="35"/>
      <c r="M451" s="35"/>
      <c r="N451" s="35" t="s">
        <v>2155</v>
      </c>
    </row>
    <row r="452" spans="1:14" ht="14" hidden="1">
      <c r="A452" s="36" t="s">
        <v>2404</v>
      </c>
      <c r="B452" s="37" t="s">
        <v>488</v>
      </c>
      <c r="C452" s="37" t="s">
        <v>489</v>
      </c>
      <c r="D452" s="40">
        <f>SUMIF('Semi Finished Recipe'!B:B,'RM &amp; SF'!B452,'Semi Finished Recipe'!L:L)</f>
        <v>1.3232918279569892</v>
      </c>
      <c r="E452" s="37" t="s">
        <v>8</v>
      </c>
      <c r="F452" s="38" t="s">
        <v>487</v>
      </c>
      <c r="G452" s="42">
        <v>1000</v>
      </c>
      <c r="H452" s="84">
        <f t="shared" ref="H452:H482" si="16">D452/G452</f>
        <v>1.3232918279569891E-3</v>
      </c>
      <c r="I452" s="35"/>
      <c r="J452" s="35"/>
      <c r="K452" s="35"/>
      <c r="L452" s="35"/>
      <c r="M452" s="35"/>
      <c r="N452" s="35" t="s">
        <v>2155</v>
      </c>
    </row>
    <row r="453" spans="1:14" ht="14" hidden="1">
      <c r="A453" s="36" t="s">
        <v>2405</v>
      </c>
      <c r="B453" s="61" t="s">
        <v>494</v>
      </c>
      <c r="C453" s="61" t="s">
        <v>495</v>
      </c>
      <c r="D453" s="40">
        <f>SUMIF('Semi Finished Recipe'!B:B,'RM &amp; SF'!B453,'Semi Finished Recipe'!L:L)</f>
        <v>7.2070000000000007</v>
      </c>
      <c r="E453" s="37" t="s">
        <v>8</v>
      </c>
      <c r="F453" s="38" t="s">
        <v>487</v>
      </c>
      <c r="G453" s="42">
        <v>1000</v>
      </c>
      <c r="H453" s="84">
        <f t="shared" si="16"/>
        <v>7.2070000000000007E-3</v>
      </c>
      <c r="I453" s="35"/>
      <c r="J453" s="35"/>
      <c r="K453" s="35"/>
      <c r="L453" s="35"/>
      <c r="M453" s="35"/>
      <c r="N453" s="35" t="s">
        <v>2155</v>
      </c>
    </row>
    <row r="454" spans="1:14" ht="14" hidden="1">
      <c r="A454" s="36" t="s">
        <v>2406</v>
      </c>
      <c r="B454" s="37" t="s">
        <v>518</v>
      </c>
      <c r="C454" s="37" t="s">
        <v>519</v>
      </c>
      <c r="D454" s="40">
        <f>SUMIF('Semi Finished Recipe'!B:B,'RM &amp; SF'!B454,'Semi Finished Recipe'!L:L)</f>
        <v>3.8209876190476186</v>
      </c>
      <c r="E454" s="37" t="s">
        <v>8</v>
      </c>
      <c r="F454" s="38" t="s">
        <v>487</v>
      </c>
      <c r="G454" s="42">
        <v>1000</v>
      </c>
      <c r="H454" s="84">
        <f t="shared" si="16"/>
        <v>3.8209876190476188E-3</v>
      </c>
      <c r="I454" s="35"/>
      <c r="J454" s="35"/>
      <c r="K454" s="35"/>
      <c r="L454" s="35"/>
      <c r="M454" s="35"/>
      <c r="N454" s="35" t="s">
        <v>2155</v>
      </c>
    </row>
    <row r="455" spans="1:14" ht="14" hidden="1">
      <c r="A455" s="36" t="e">
        <v>#N/A</v>
      </c>
      <c r="B455" s="37" t="s">
        <v>556</v>
      </c>
      <c r="C455" s="37" t="s">
        <v>557</v>
      </c>
      <c r="D455" s="40">
        <f>SUMIF('Semi Finished Recipe'!B:B,'RM &amp; SF'!B455,'Semi Finished Recipe'!L:L)</f>
        <v>6.1482819047619062</v>
      </c>
      <c r="E455" s="37" t="s">
        <v>8</v>
      </c>
      <c r="F455" s="38" t="s">
        <v>487</v>
      </c>
      <c r="G455" s="42">
        <v>1000</v>
      </c>
      <c r="H455" s="84">
        <f t="shared" si="16"/>
        <v>6.1482819047619063E-3</v>
      </c>
      <c r="I455" s="35"/>
      <c r="J455" s="35"/>
      <c r="K455" s="35"/>
      <c r="L455" s="35"/>
      <c r="M455" s="35"/>
      <c r="N455" s="35" t="s">
        <v>2155</v>
      </c>
    </row>
    <row r="456" spans="1:14" ht="14" hidden="1">
      <c r="A456" s="36" t="s">
        <v>2407</v>
      </c>
      <c r="B456" s="37" t="s">
        <v>586</v>
      </c>
      <c r="C456" s="37" t="s">
        <v>587</v>
      </c>
      <c r="D456" s="40">
        <f>SUMIF('Semi Finished Recipe'!B:B,'RM &amp; SF'!B456,'Semi Finished Recipe'!L:L)</f>
        <v>0.32143523705263155</v>
      </c>
      <c r="E456" s="37" t="s">
        <v>11</v>
      </c>
      <c r="F456" s="38" t="s">
        <v>487</v>
      </c>
      <c r="G456" s="42">
        <v>1</v>
      </c>
      <c r="H456" s="84">
        <f t="shared" si="16"/>
        <v>0.32143523705263155</v>
      </c>
      <c r="I456" s="35"/>
      <c r="J456" s="35"/>
      <c r="K456" s="35"/>
      <c r="L456" s="35"/>
      <c r="M456" s="35"/>
      <c r="N456" s="35" t="s">
        <v>2155</v>
      </c>
    </row>
    <row r="457" spans="1:14" ht="14" hidden="1">
      <c r="A457" s="36" t="s">
        <v>2408</v>
      </c>
      <c r="B457" s="37" t="s">
        <v>572</v>
      </c>
      <c r="C457" s="37" t="s">
        <v>573</v>
      </c>
      <c r="D457" s="40">
        <f>SUMIF('Semi Finished Recipe'!B:B,'RM &amp; SF'!B457,'Semi Finished Recipe'!L:L)</f>
        <v>0.50639403004883443</v>
      </c>
      <c r="E457" s="37" t="s">
        <v>11</v>
      </c>
      <c r="F457" s="38" t="s">
        <v>487</v>
      </c>
      <c r="G457" s="42">
        <v>1</v>
      </c>
      <c r="H457" s="84">
        <f t="shared" si="16"/>
        <v>0.50639403004883443</v>
      </c>
      <c r="I457" s="35"/>
      <c r="J457" s="35"/>
      <c r="K457" s="35"/>
      <c r="L457" s="35"/>
      <c r="M457" s="35"/>
      <c r="N457" s="35" t="s">
        <v>2155</v>
      </c>
    </row>
    <row r="458" spans="1:14" ht="14" hidden="1">
      <c r="A458" s="36" t="s">
        <v>2409</v>
      </c>
      <c r="B458" s="37" t="s">
        <v>578</v>
      </c>
      <c r="C458" s="37" t="s">
        <v>579</v>
      </c>
      <c r="D458" s="40">
        <f>SUMIF('Semi Finished Recipe'!B:B,'RM &amp; SF'!B458,'Semi Finished Recipe'!L:L)</f>
        <v>6.0440000000000001E-2</v>
      </c>
      <c r="E458" s="37" t="s">
        <v>11</v>
      </c>
      <c r="F458" s="38" t="s">
        <v>487</v>
      </c>
      <c r="G458" s="42">
        <v>1</v>
      </c>
      <c r="H458" s="84">
        <f t="shared" si="16"/>
        <v>6.0440000000000001E-2</v>
      </c>
      <c r="I458" s="35"/>
      <c r="J458" s="35"/>
      <c r="K458" s="35"/>
      <c r="L458" s="35"/>
      <c r="M458" s="35"/>
      <c r="N458" s="35" t="s">
        <v>2155</v>
      </c>
    </row>
    <row r="459" spans="1:14" ht="14" hidden="1">
      <c r="A459" s="36" t="s">
        <v>2410</v>
      </c>
      <c r="B459" s="37" t="s">
        <v>524</v>
      </c>
      <c r="C459" s="37" t="s">
        <v>525</v>
      </c>
      <c r="D459" s="40">
        <f>SUMIF('Semi Finished Recipe'!B:B,'RM &amp; SF'!B459,'Semi Finished Recipe'!L:L)</f>
        <v>2.7033888888888886</v>
      </c>
      <c r="E459" s="37" t="s">
        <v>8</v>
      </c>
      <c r="F459" s="38" t="s">
        <v>487</v>
      </c>
      <c r="G459" s="42">
        <v>1000</v>
      </c>
      <c r="H459" s="84">
        <f t="shared" si="16"/>
        <v>2.7033888888888884E-3</v>
      </c>
      <c r="I459" s="35"/>
      <c r="J459" s="35"/>
      <c r="K459" s="35"/>
      <c r="L459" s="35"/>
      <c r="M459" s="35"/>
      <c r="N459" s="35" t="s">
        <v>2155</v>
      </c>
    </row>
    <row r="460" spans="1:14" ht="14" hidden="1">
      <c r="A460" s="36" t="s">
        <v>2411</v>
      </c>
      <c r="B460" s="37" t="s">
        <v>606</v>
      </c>
      <c r="C460" s="108" t="s">
        <v>2005</v>
      </c>
      <c r="D460" s="40">
        <f>SUMIF('Semi Finished Recipe'!B:B,'RM &amp; SF'!B460,'Semi Finished Recipe'!L:L)</f>
        <v>0.33828979999999997</v>
      </c>
      <c r="E460" s="37" t="s">
        <v>11</v>
      </c>
      <c r="F460" s="38" t="s">
        <v>487</v>
      </c>
      <c r="G460" s="42">
        <v>1</v>
      </c>
      <c r="H460" s="84">
        <f t="shared" si="16"/>
        <v>0.33828979999999997</v>
      </c>
      <c r="I460" s="35"/>
      <c r="J460" s="35"/>
      <c r="K460" s="35"/>
      <c r="L460" s="35"/>
      <c r="M460" s="35"/>
      <c r="N460" s="35" t="s">
        <v>2155</v>
      </c>
    </row>
    <row r="461" spans="1:14" ht="14" hidden="1">
      <c r="A461" s="36" t="s">
        <v>2412</v>
      </c>
      <c r="B461" s="37" t="s">
        <v>598</v>
      </c>
      <c r="C461" s="37" t="s">
        <v>599</v>
      </c>
      <c r="D461" s="40">
        <f>SUMIF('Semi Finished Recipe'!B:B,'RM &amp; SF'!B461,'Semi Finished Recipe'!L:L)</f>
        <v>1.1675619256756755</v>
      </c>
      <c r="E461" s="37" t="s">
        <v>8</v>
      </c>
      <c r="F461" s="38" t="s">
        <v>487</v>
      </c>
      <c r="G461" s="42">
        <v>1000</v>
      </c>
      <c r="H461" s="84">
        <f t="shared" si="16"/>
        <v>1.1675619256756756E-3</v>
      </c>
      <c r="I461" s="35"/>
      <c r="J461" s="35"/>
      <c r="K461" s="35"/>
      <c r="L461" s="35"/>
      <c r="M461" s="35"/>
      <c r="N461" s="35" t="s">
        <v>2155</v>
      </c>
    </row>
    <row r="462" spans="1:14" ht="14" hidden="1">
      <c r="A462" s="36" t="s">
        <v>2413</v>
      </c>
      <c r="B462" s="37" t="s">
        <v>696</v>
      </c>
      <c r="C462" s="37" t="s">
        <v>697</v>
      </c>
      <c r="D462" s="40">
        <f>SUMIF('Semi Finished Recipe'!B:B,'RM &amp; SF'!B462,'Semi Finished Recipe'!L:L)</f>
        <v>0.40283955555555556</v>
      </c>
      <c r="E462" s="37" t="s">
        <v>8</v>
      </c>
      <c r="F462" s="38" t="s">
        <v>487</v>
      </c>
      <c r="G462" s="42">
        <v>1000</v>
      </c>
      <c r="H462" s="84">
        <f t="shared" si="16"/>
        <v>4.0283955555555555E-4</v>
      </c>
      <c r="I462" s="35"/>
      <c r="J462" s="35"/>
      <c r="K462" s="35"/>
      <c r="L462" s="35"/>
      <c r="M462" s="35"/>
      <c r="N462" s="35" t="s">
        <v>2155</v>
      </c>
    </row>
    <row r="463" spans="1:14" ht="14" hidden="1">
      <c r="A463" s="36" t="s">
        <v>2414</v>
      </c>
      <c r="B463" s="37" t="s">
        <v>485</v>
      </c>
      <c r="C463" s="37" t="s">
        <v>486</v>
      </c>
      <c r="D463" s="40">
        <f>SUMIF('Semi Finished Recipe'!B:B,'RM &amp; SF'!B463,'Semi Finished Recipe'!L:L)</f>
        <v>6.7141943181818178</v>
      </c>
      <c r="E463" s="37" t="s">
        <v>8</v>
      </c>
      <c r="F463" s="38" t="s">
        <v>487</v>
      </c>
      <c r="G463" s="42">
        <v>1000</v>
      </c>
      <c r="H463" s="84">
        <f t="shared" si="16"/>
        <v>6.7141943181818174E-3</v>
      </c>
      <c r="I463" s="35"/>
      <c r="J463" s="35"/>
      <c r="K463" s="35"/>
      <c r="L463" s="35"/>
      <c r="M463" s="35"/>
      <c r="N463" s="35" t="s">
        <v>2155</v>
      </c>
    </row>
    <row r="464" spans="1:14" ht="14" hidden="1">
      <c r="A464" s="36" t="s">
        <v>2415</v>
      </c>
      <c r="B464" s="37" t="s">
        <v>516</v>
      </c>
      <c r="C464" s="37" t="s">
        <v>517</v>
      </c>
      <c r="D464" s="40">
        <f>SUMIF('Semi Finished Recipe'!B:B,'RM &amp; SF'!B464,'Semi Finished Recipe'!L:L)</f>
        <v>0.59126169844020793</v>
      </c>
      <c r="E464" s="37" t="s">
        <v>8</v>
      </c>
      <c r="F464" s="38" t="s">
        <v>487</v>
      </c>
      <c r="G464" s="42">
        <v>1000</v>
      </c>
      <c r="H464" s="84">
        <f t="shared" si="16"/>
        <v>5.9126169844020795E-4</v>
      </c>
      <c r="I464" s="35"/>
      <c r="J464" s="35"/>
      <c r="K464" s="35"/>
      <c r="L464" s="35"/>
      <c r="M464" s="35"/>
      <c r="N464" s="35" t="s">
        <v>2155</v>
      </c>
    </row>
    <row r="465" spans="1:14" ht="14" hidden="1">
      <c r="A465" s="36" t="s">
        <v>2416</v>
      </c>
      <c r="B465" s="37" t="s">
        <v>568</v>
      </c>
      <c r="C465" s="37" t="s">
        <v>569</v>
      </c>
      <c r="D465" s="40">
        <f>SUMIF('Semi Finished Recipe'!B:B,'RM &amp; SF'!B465,'Semi Finished Recipe'!L:L)</f>
        <v>0.6428704741052631</v>
      </c>
      <c r="E465" s="37" t="s">
        <v>11</v>
      </c>
      <c r="F465" s="38" t="s">
        <v>487</v>
      </c>
      <c r="G465" s="42">
        <v>1</v>
      </c>
      <c r="H465" s="84">
        <f t="shared" si="16"/>
        <v>0.6428704741052631</v>
      </c>
      <c r="I465" s="35"/>
      <c r="J465" s="35"/>
      <c r="K465" s="35"/>
      <c r="L465" s="35"/>
      <c r="M465" s="35"/>
      <c r="N465" s="35" t="s">
        <v>2155</v>
      </c>
    </row>
    <row r="466" spans="1:14" ht="14" hidden="1">
      <c r="A466" s="36" t="s">
        <v>2417</v>
      </c>
      <c r="B466" s="37" t="s">
        <v>544</v>
      </c>
      <c r="C466" s="37" t="s">
        <v>545</v>
      </c>
      <c r="D466" s="40">
        <f>SUMIF('Semi Finished Recipe'!B:B,'RM &amp; SF'!B466,'Semi Finished Recipe'!L:L)</f>
        <v>3.0853324000000004</v>
      </c>
      <c r="E466" s="37" t="s">
        <v>11</v>
      </c>
      <c r="F466" s="38" t="s">
        <v>487</v>
      </c>
      <c r="G466" s="42">
        <v>1</v>
      </c>
      <c r="H466" s="84">
        <f t="shared" si="16"/>
        <v>3.0853324000000004</v>
      </c>
      <c r="I466" s="35"/>
      <c r="J466" s="35"/>
      <c r="K466" s="35"/>
      <c r="L466" s="35"/>
      <c r="M466" s="35"/>
      <c r="N466" s="35" t="s">
        <v>2155</v>
      </c>
    </row>
    <row r="467" spans="1:14" ht="14" hidden="1">
      <c r="A467" s="36" t="s">
        <v>2418</v>
      </c>
      <c r="B467" s="37" t="s">
        <v>612</v>
      </c>
      <c r="C467" s="37" t="s">
        <v>613</v>
      </c>
      <c r="D467" s="40">
        <f>SUMIF('Semi Finished Recipe'!B:B,'RM &amp; SF'!B467,'Semi Finished Recipe'!L:L)</f>
        <v>1.7064283333333332</v>
      </c>
      <c r="E467" s="37" t="s">
        <v>8</v>
      </c>
      <c r="F467" s="38" t="s">
        <v>487</v>
      </c>
      <c r="G467" s="42">
        <v>1000</v>
      </c>
      <c r="H467" s="84">
        <f t="shared" si="16"/>
        <v>1.7064283333333332E-3</v>
      </c>
      <c r="I467" s="35"/>
      <c r="J467" s="35"/>
      <c r="K467" s="35"/>
      <c r="L467" s="35"/>
      <c r="M467" s="35"/>
      <c r="N467" s="35" t="s">
        <v>2155</v>
      </c>
    </row>
    <row r="468" spans="1:14" ht="14" hidden="1">
      <c r="A468" s="36" t="s">
        <v>2419</v>
      </c>
      <c r="B468" s="37" t="s">
        <v>618</v>
      </c>
      <c r="C468" s="37" t="s">
        <v>619</v>
      </c>
      <c r="D468" s="40">
        <f>SUMIF('Semi Finished Recipe'!B:B,'RM &amp; SF'!B468,'Semi Finished Recipe'!L:L)</f>
        <v>3.8421415770609313</v>
      </c>
      <c r="E468" s="37" t="s">
        <v>8</v>
      </c>
      <c r="F468" s="38" t="s">
        <v>487</v>
      </c>
      <c r="G468" s="42">
        <v>1000</v>
      </c>
      <c r="H468" s="84">
        <f t="shared" si="16"/>
        <v>3.8421415770609315E-3</v>
      </c>
      <c r="I468" s="35"/>
      <c r="J468" s="35"/>
      <c r="K468" s="35"/>
      <c r="L468" s="35"/>
      <c r="M468" s="35"/>
      <c r="N468" s="35" t="s">
        <v>2155</v>
      </c>
    </row>
    <row r="469" spans="1:14" ht="14" hidden="1">
      <c r="A469" s="36" t="e">
        <v>#N/A</v>
      </c>
      <c r="B469" s="61" t="s">
        <v>616</v>
      </c>
      <c r="C469" s="61" t="s">
        <v>617</v>
      </c>
      <c r="D469" s="40">
        <f>SUMIF('Semi Finished Recipe'!B:B,'RM &amp; SF'!B469,'Semi Finished Recipe'!L:L)</f>
        <v>2.4490697731887043</v>
      </c>
      <c r="E469" s="37" t="s">
        <v>8</v>
      </c>
      <c r="F469" s="38" t="s">
        <v>487</v>
      </c>
      <c r="G469" s="42">
        <v>1000</v>
      </c>
      <c r="H469" s="84">
        <f t="shared" si="16"/>
        <v>2.4490697731887044E-3</v>
      </c>
      <c r="I469" s="35"/>
      <c r="J469" s="35"/>
      <c r="K469" s="35"/>
      <c r="L469" s="35"/>
      <c r="M469" s="35"/>
      <c r="N469" s="35" t="s">
        <v>2155</v>
      </c>
    </row>
    <row r="470" spans="1:14" ht="14" hidden="1">
      <c r="A470" s="36" t="s">
        <v>2420</v>
      </c>
      <c r="B470" s="37" t="s">
        <v>614</v>
      </c>
      <c r="C470" s="37" t="s">
        <v>615</v>
      </c>
      <c r="D470" s="40">
        <f>SUMIF('Semi Finished Recipe'!B:B,'RM &amp; SF'!B470,'Semi Finished Recipe'!L:L)</f>
        <v>1.0260018390804599</v>
      </c>
      <c r="E470" s="37" t="s">
        <v>8</v>
      </c>
      <c r="F470" s="38" t="s">
        <v>487</v>
      </c>
      <c r="G470" s="42">
        <v>1000</v>
      </c>
      <c r="H470" s="84">
        <f t="shared" si="16"/>
        <v>1.02600183908046E-3</v>
      </c>
      <c r="I470" s="35"/>
      <c r="J470" s="35"/>
      <c r="K470" s="35"/>
      <c r="L470" s="35"/>
      <c r="M470" s="35"/>
      <c r="N470" s="35" t="s">
        <v>2155</v>
      </c>
    </row>
    <row r="471" spans="1:14" ht="14" hidden="1">
      <c r="A471" s="36" t="s">
        <v>2421</v>
      </c>
      <c r="B471" s="37" t="s">
        <v>622</v>
      </c>
      <c r="C471" s="37" t="s">
        <v>623</v>
      </c>
      <c r="D471" s="40">
        <f>SUMIF('Semi Finished Recipe'!B:B,'RM &amp; SF'!B471,'Semi Finished Recipe'!L:L)</f>
        <v>1.2594586666666669</v>
      </c>
      <c r="E471" s="37" t="s">
        <v>8</v>
      </c>
      <c r="F471" s="38" t="s">
        <v>487</v>
      </c>
      <c r="G471" s="42">
        <v>1000</v>
      </c>
      <c r="H471" s="84">
        <f t="shared" si="16"/>
        <v>1.2594586666666669E-3</v>
      </c>
      <c r="I471" s="35"/>
      <c r="J471" s="35"/>
      <c r="K471" s="35"/>
      <c r="L471" s="35"/>
      <c r="M471" s="35"/>
      <c r="N471" s="35" t="s">
        <v>2155</v>
      </c>
    </row>
    <row r="472" spans="1:14" ht="14" hidden="1">
      <c r="A472" s="36" t="s">
        <v>2422</v>
      </c>
      <c r="B472" s="37" t="s">
        <v>620</v>
      </c>
      <c r="C472" s="37" t="s">
        <v>621</v>
      </c>
      <c r="D472" s="40">
        <f>SUMIF('Semi Finished Recipe'!B:B,'RM &amp; SF'!B472,'Semi Finished Recipe'!L:L)</f>
        <v>3.3372241333333337</v>
      </c>
      <c r="E472" s="37" t="s">
        <v>11</v>
      </c>
      <c r="F472" s="38" t="s">
        <v>487</v>
      </c>
      <c r="G472" s="42">
        <v>1</v>
      </c>
      <c r="H472" s="84">
        <f t="shared" si="16"/>
        <v>3.3372241333333337</v>
      </c>
      <c r="I472" s="35"/>
      <c r="J472" s="35"/>
      <c r="K472" s="35"/>
      <c r="L472" s="35"/>
      <c r="M472" s="35"/>
      <c r="N472" s="35" t="s">
        <v>2155</v>
      </c>
    </row>
    <row r="473" spans="1:14" ht="14" hidden="1">
      <c r="A473" s="36" t="s">
        <v>2423</v>
      </c>
      <c r="B473" s="37" t="s">
        <v>626</v>
      </c>
      <c r="C473" s="37" t="s">
        <v>627</v>
      </c>
      <c r="D473" s="40">
        <f>SUMIF('Semi Finished Recipe'!B:B,'RM &amp; SF'!B473,'Semi Finished Recipe'!L:L)</f>
        <v>4.7416855555555561E-2</v>
      </c>
      <c r="E473" s="37" t="s">
        <v>11</v>
      </c>
      <c r="F473" s="38" t="s">
        <v>487</v>
      </c>
      <c r="G473" s="42">
        <v>1</v>
      </c>
      <c r="H473" s="84">
        <f t="shared" si="16"/>
        <v>4.7416855555555561E-2</v>
      </c>
      <c r="I473" s="35"/>
      <c r="J473" s="35"/>
      <c r="K473" s="35"/>
      <c r="L473" s="35"/>
      <c r="M473" s="35"/>
      <c r="N473" s="35" t="s">
        <v>2155</v>
      </c>
    </row>
    <row r="474" spans="1:14" ht="14" hidden="1">
      <c r="A474" s="36" t="s">
        <v>2424</v>
      </c>
      <c r="B474" s="37" t="s">
        <v>624</v>
      </c>
      <c r="C474" s="37" t="s">
        <v>625</v>
      </c>
      <c r="D474" s="40">
        <f>SUMIF('Semi Finished Recipe'!B:B,'RM &amp; SF'!B474,'Semi Finished Recipe'!L:L)</f>
        <v>0.53099652777777784</v>
      </c>
      <c r="E474" s="37" t="s">
        <v>8</v>
      </c>
      <c r="F474" s="38" t="s">
        <v>487</v>
      </c>
      <c r="G474" s="42">
        <v>1000</v>
      </c>
      <c r="H474" s="84">
        <f t="shared" si="16"/>
        <v>5.309965277777778E-4</v>
      </c>
      <c r="I474" s="35"/>
      <c r="J474" s="35"/>
      <c r="K474" s="35"/>
      <c r="L474" s="35"/>
      <c r="M474" s="35"/>
      <c r="N474" s="35" t="s">
        <v>2155</v>
      </c>
    </row>
    <row r="475" spans="1:14" ht="14" hidden="1">
      <c r="A475" s="36" t="s">
        <v>2425</v>
      </c>
      <c r="B475" s="37" t="s">
        <v>648</v>
      </c>
      <c r="C475" s="37" t="s">
        <v>649</v>
      </c>
      <c r="D475" s="40">
        <f>SUMIF('Semi Finished Recipe'!B:B,'RM &amp; SF'!B475,'Semi Finished Recipe'!L:L)</f>
        <v>0.15104950793650793</v>
      </c>
      <c r="E475" s="37" t="s">
        <v>8</v>
      </c>
      <c r="F475" s="38" t="s">
        <v>487</v>
      </c>
      <c r="G475" s="42">
        <v>1000</v>
      </c>
      <c r="H475" s="84">
        <f t="shared" si="16"/>
        <v>1.5104950793650793E-4</v>
      </c>
      <c r="I475" s="35"/>
      <c r="J475" s="35"/>
      <c r="K475" s="35"/>
      <c r="L475" s="35"/>
      <c r="M475" s="35"/>
      <c r="N475" s="35" t="s">
        <v>2155</v>
      </c>
    </row>
    <row r="476" spans="1:14" ht="14" hidden="1">
      <c r="A476" s="36" t="s">
        <v>2426</v>
      </c>
      <c r="B476" s="37" t="s">
        <v>630</v>
      </c>
      <c r="C476" s="37" t="s">
        <v>631</v>
      </c>
      <c r="D476" s="40">
        <f>SUMIF('Semi Finished Recipe'!B:B,'RM &amp; SF'!B476,'Semi Finished Recipe'!L:L)</f>
        <v>0.25886999999999999</v>
      </c>
      <c r="E476" s="37" t="s">
        <v>8</v>
      </c>
      <c r="F476" s="38" t="s">
        <v>487</v>
      </c>
      <c r="G476" s="42">
        <v>1000</v>
      </c>
      <c r="H476" s="84">
        <f t="shared" si="16"/>
        <v>2.5886999999999997E-4</v>
      </c>
      <c r="I476" s="35"/>
      <c r="J476" s="35"/>
      <c r="K476" s="35"/>
      <c r="L476" s="35"/>
      <c r="M476" s="35"/>
      <c r="N476" s="35" t="s">
        <v>2155</v>
      </c>
    </row>
    <row r="477" spans="1:14" ht="14" hidden="1">
      <c r="A477" s="36" t="s">
        <v>2427</v>
      </c>
      <c r="B477" s="37" t="s">
        <v>634</v>
      </c>
      <c r="C477" s="37" t="s">
        <v>635</v>
      </c>
      <c r="D477" s="40">
        <f>SUMIF('Semi Finished Recipe'!B:B,'RM &amp; SF'!B477,'Semi Finished Recipe'!L:L)</f>
        <v>1.1818589655172416</v>
      </c>
      <c r="E477" s="37" t="s">
        <v>8</v>
      </c>
      <c r="F477" s="38" t="s">
        <v>487</v>
      </c>
      <c r="G477" s="42">
        <v>1000</v>
      </c>
      <c r="H477" s="84">
        <f t="shared" si="16"/>
        <v>1.1818589655172415E-3</v>
      </c>
      <c r="I477" s="35"/>
      <c r="J477" s="35"/>
      <c r="K477" s="35"/>
      <c r="L477" s="35"/>
      <c r="M477" s="35"/>
      <c r="N477" s="35" t="s">
        <v>2155</v>
      </c>
    </row>
    <row r="478" spans="1:14" ht="14" hidden="1">
      <c r="A478" s="36" t="s">
        <v>2428</v>
      </c>
      <c r="B478" s="37" t="s">
        <v>632</v>
      </c>
      <c r="C478" s="37" t="s">
        <v>633</v>
      </c>
      <c r="D478" s="40">
        <f>SUMIF('Semi Finished Recipe'!B:B,'RM &amp; SF'!B478,'Semi Finished Recipe'!L:L)</f>
        <v>0.13420769885057474</v>
      </c>
      <c r="E478" s="37" t="s">
        <v>8</v>
      </c>
      <c r="F478" s="38" t="s">
        <v>487</v>
      </c>
      <c r="G478" s="42">
        <v>1000</v>
      </c>
      <c r="H478" s="84">
        <f t="shared" si="16"/>
        <v>1.3420769885057472E-4</v>
      </c>
      <c r="I478" s="35"/>
      <c r="J478" s="35"/>
      <c r="K478" s="35"/>
      <c r="L478" s="35"/>
      <c r="M478" s="35"/>
      <c r="N478" s="35" t="s">
        <v>2155</v>
      </c>
    </row>
    <row r="479" spans="1:14" ht="14" hidden="1">
      <c r="A479" s="36" t="s">
        <v>2429</v>
      </c>
      <c r="B479" s="61" t="s">
        <v>610</v>
      </c>
      <c r="C479" s="61" t="s">
        <v>611</v>
      </c>
      <c r="D479" s="40">
        <f>SUMIF('Semi Finished Recipe'!B:B,'RM &amp; SF'!B479,'Semi Finished Recipe'!L:L)</f>
        <v>6.0066783033033033</v>
      </c>
      <c r="E479" s="37" t="s">
        <v>8</v>
      </c>
      <c r="F479" s="38" t="s">
        <v>487</v>
      </c>
      <c r="G479" s="42">
        <v>1000</v>
      </c>
      <c r="H479" s="84">
        <f t="shared" si="16"/>
        <v>6.0066783033033031E-3</v>
      </c>
      <c r="I479" s="35"/>
      <c r="J479" s="35"/>
      <c r="K479" s="35"/>
      <c r="L479" s="35"/>
      <c r="M479" s="35"/>
      <c r="N479" s="35" t="s">
        <v>2155</v>
      </c>
    </row>
    <row r="480" spans="1:14" ht="14" hidden="1">
      <c r="A480" s="36" t="s">
        <v>2430</v>
      </c>
      <c r="B480" s="37" t="s">
        <v>636</v>
      </c>
      <c r="C480" s="37" t="s">
        <v>637</v>
      </c>
      <c r="D480" s="40">
        <f>SUMIF('Semi Finished Recipe'!B:B,'RM &amp; SF'!B480,'Semi Finished Recipe'!L:L)</f>
        <v>1.0115232451499119</v>
      </c>
      <c r="E480" s="37" t="s">
        <v>8</v>
      </c>
      <c r="F480" s="38" t="s">
        <v>487</v>
      </c>
      <c r="G480" s="42">
        <v>1000</v>
      </c>
      <c r="H480" s="84">
        <f t="shared" si="16"/>
        <v>1.0115232451499119E-3</v>
      </c>
      <c r="I480" s="35"/>
      <c r="J480" s="35"/>
      <c r="K480" s="35"/>
      <c r="L480" s="35"/>
      <c r="M480" s="35"/>
      <c r="N480" s="35" t="s">
        <v>2155</v>
      </c>
    </row>
    <row r="481" spans="1:14" ht="14" hidden="1">
      <c r="A481" s="36" t="s">
        <v>2431</v>
      </c>
      <c r="B481" s="37" t="s">
        <v>552</v>
      </c>
      <c r="C481" s="37" t="s">
        <v>553</v>
      </c>
      <c r="D481" s="40">
        <f>SUMIF('Semi Finished Recipe'!B:B,'RM &amp; SF'!B481,'Semi Finished Recipe'!L:L)</f>
        <v>0.59114973451327435</v>
      </c>
      <c r="E481" s="37" t="s">
        <v>8</v>
      </c>
      <c r="F481" s="38" t="s">
        <v>487</v>
      </c>
      <c r="G481" s="42">
        <v>1000</v>
      </c>
      <c r="H481" s="84">
        <f t="shared" si="16"/>
        <v>5.9114973451327433E-4</v>
      </c>
      <c r="I481" s="35"/>
      <c r="J481" s="35"/>
      <c r="K481" s="35"/>
      <c r="L481" s="35"/>
      <c r="M481" s="35"/>
      <c r="N481" s="35" t="s">
        <v>2155</v>
      </c>
    </row>
    <row r="482" spans="1:14" ht="14" hidden="1">
      <c r="A482" s="36" t="s">
        <v>2432</v>
      </c>
      <c r="B482" s="37" t="s">
        <v>650</v>
      </c>
      <c r="C482" s="37" t="s">
        <v>651</v>
      </c>
      <c r="D482" s="40">
        <f>SUMIF('Semi Finished Recipe'!B:B,'RM &amp; SF'!B482,'Semi Finished Recipe'!L:L)</f>
        <v>2.5620571388888891</v>
      </c>
      <c r="E482" s="37" t="s">
        <v>8</v>
      </c>
      <c r="F482" s="38" t="s">
        <v>487</v>
      </c>
      <c r="G482" s="42">
        <v>1000</v>
      </c>
      <c r="H482" s="84">
        <f t="shared" si="16"/>
        <v>2.5620571388888891E-3</v>
      </c>
      <c r="I482" s="35"/>
      <c r="J482" s="35"/>
      <c r="K482" s="35"/>
      <c r="L482" s="35"/>
      <c r="M482" s="35"/>
      <c r="N482" s="35" t="s">
        <v>2155</v>
      </c>
    </row>
    <row r="483" spans="1:14" ht="14" hidden="1">
      <c r="A483" s="36" t="s">
        <v>2433</v>
      </c>
      <c r="B483" s="37" t="s">
        <v>642</v>
      </c>
      <c r="C483" s="37" t="s">
        <v>643</v>
      </c>
      <c r="D483" s="40">
        <f>SUMIF('Semi Finished Recipe'!B:B,'RM &amp; SF'!B483,'Semi Finished Recipe'!L:L)</f>
        <v>1.0772736857971477</v>
      </c>
      <c r="E483" s="37" t="s">
        <v>11</v>
      </c>
      <c r="F483" s="38" t="s">
        <v>487</v>
      </c>
      <c r="G483" s="42">
        <v>1</v>
      </c>
      <c r="H483" s="84">
        <f t="shared" ref="H483:H509" si="17">D483/G483</f>
        <v>1.0772736857971477</v>
      </c>
      <c r="I483" s="35"/>
      <c r="J483" s="35"/>
      <c r="K483" s="35"/>
      <c r="L483" s="35"/>
      <c r="M483" s="35"/>
      <c r="N483" s="35" t="s">
        <v>2155</v>
      </c>
    </row>
    <row r="484" spans="1:14" ht="14" hidden="1">
      <c r="A484" s="36" t="e">
        <v>#N/A</v>
      </c>
      <c r="B484" s="37" t="s">
        <v>678</v>
      </c>
      <c r="C484" s="37" t="s">
        <v>679</v>
      </c>
      <c r="D484" s="40">
        <f>SUMIF('Semi Finished Recipe'!B:B,'RM &amp; SF'!B484,'Semi Finished Recipe'!L:L)</f>
        <v>3.513536666666667</v>
      </c>
      <c r="E484" s="37" t="s">
        <v>8</v>
      </c>
      <c r="F484" s="38" t="s">
        <v>487</v>
      </c>
      <c r="G484" s="42">
        <v>1000</v>
      </c>
      <c r="H484" s="84">
        <f t="shared" si="17"/>
        <v>3.513536666666667E-3</v>
      </c>
      <c r="I484" s="35"/>
      <c r="J484" s="35"/>
      <c r="K484" s="35"/>
      <c r="L484" s="35"/>
      <c r="M484" s="35"/>
      <c r="N484" s="80" t="s">
        <v>3028</v>
      </c>
    </row>
    <row r="485" spans="1:14" ht="14" hidden="1">
      <c r="A485" s="36" t="s">
        <v>2228</v>
      </c>
      <c r="B485" s="37" t="s">
        <v>566</v>
      </c>
      <c r="C485" s="37" t="s">
        <v>567</v>
      </c>
      <c r="D485" s="40">
        <f>SUMIF('Semi Finished Recipe'!B:B,'RM &amp; SF'!B485,'Semi Finished Recipe'!L:L)</f>
        <v>1.0121557958994094</v>
      </c>
      <c r="E485" s="37" t="s">
        <v>8</v>
      </c>
      <c r="F485" s="38" t="s">
        <v>487</v>
      </c>
      <c r="G485" s="42">
        <v>1000</v>
      </c>
      <c r="H485" s="84">
        <f t="shared" si="17"/>
        <v>1.0121557958994094E-3</v>
      </c>
      <c r="I485" s="35"/>
      <c r="J485" s="35"/>
      <c r="K485" s="35"/>
      <c r="L485" s="35"/>
      <c r="M485" s="35"/>
      <c r="N485" s="35" t="s">
        <v>2155</v>
      </c>
    </row>
    <row r="486" spans="1:14" ht="14" hidden="1">
      <c r="A486" s="36" t="s">
        <v>2434</v>
      </c>
      <c r="B486" s="37" t="s">
        <v>574</v>
      </c>
      <c r="C486" s="37" t="s">
        <v>575</v>
      </c>
      <c r="D486" s="40">
        <f>SUMIF('Semi Finished Recipe'!B:B,'RM &amp; SF'!B486,'Semi Finished Recipe'!L:L)</f>
        <v>1.134660048763497</v>
      </c>
      <c r="E486" s="37" t="s">
        <v>8</v>
      </c>
      <c r="F486" s="38" t="s">
        <v>487</v>
      </c>
      <c r="G486" s="42">
        <v>1000</v>
      </c>
      <c r="H486" s="84">
        <f t="shared" si="17"/>
        <v>1.1346600487634969E-3</v>
      </c>
      <c r="I486" s="35"/>
      <c r="J486" s="35"/>
      <c r="K486" s="35"/>
      <c r="L486" s="35"/>
      <c r="M486" s="35"/>
      <c r="N486" s="35" t="s">
        <v>2155</v>
      </c>
    </row>
    <row r="487" spans="1:14" ht="14" hidden="1">
      <c r="A487" s="36" t="e">
        <v>#N/A</v>
      </c>
      <c r="B487" s="37" t="s">
        <v>638</v>
      </c>
      <c r="C487" s="37" t="s">
        <v>639</v>
      </c>
      <c r="D487" s="40">
        <f>SUMIF('Semi Finished Recipe'!B:B,'RM &amp; SF'!B487,'Semi Finished Recipe'!L:L)</f>
        <v>2.278025656565656</v>
      </c>
      <c r="E487" s="37" t="s">
        <v>8</v>
      </c>
      <c r="F487" s="38" t="s">
        <v>487</v>
      </c>
      <c r="G487" s="42">
        <v>1000</v>
      </c>
      <c r="H487" s="84">
        <f t="shared" si="17"/>
        <v>2.2780256565656559E-3</v>
      </c>
      <c r="I487" s="35"/>
      <c r="J487" s="35"/>
      <c r="K487" s="35"/>
      <c r="L487" s="35"/>
      <c r="M487" s="35"/>
      <c r="N487" s="35" t="s">
        <v>2155</v>
      </c>
    </row>
    <row r="488" spans="1:14" ht="14" hidden="1">
      <c r="A488" s="36" t="s">
        <v>2435</v>
      </c>
      <c r="B488" s="37" t="s">
        <v>690</v>
      </c>
      <c r="C488" s="37" t="s">
        <v>691</v>
      </c>
      <c r="D488" s="40">
        <f>SUMIF('Semi Finished Recipe'!B:B,'RM &amp; SF'!B488,'Semi Finished Recipe'!L:L)</f>
        <v>0.20580553846153843</v>
      </c>
      <c r="E488" s="37" t="s">
        <v>11</v>
      </c>
      <c r="F488" s="38" t="s">
        <v>487</v>
      </c>
      <c r="G488" s="42">
        <v>1</v>
      </c>
      <c r="H488" s="84">
        <f t="shared" si="17"/>
        <v>0.20580553846153843</v>
      </c>
      <c r="I488" s="35"/>
      <c r="J488" s="35"/>
      <c r="K488" s="35"/>
      <c r="L488" s="35"/>
      <c r="M488" s="35"/>
      <c r="N488" s="35" t="s">
        <v>2155</v>
      </c>
    </row>
    <row r="489" spans="1:14" ht="14" hidden="1">
      <c r="A489" s="36" t="s">
        <v>2436</v>
      </c>
      <c r="B489" s="37" t="s">
        <v>692</v>
      </c>
      <c r="C489" s="37" t="s">
        <v>693</v>
      </c>
      <c r="D489" s="40">
        <f>SUMIF('Semi Finished Recipe'!B:B,'RM &amp; SF'!B489,'Semi Finished Recipe'!L:L)</f>
        <v>9.8091661538461536E-2</v>
      </c>
      <c r="E489" s="37" t="s">
        <v>11</v>
      </c>
      <c r="F489" s="38" t="s">
        <v>487</v>
      </c>
      <c r="G489" s="42">
        <v>1</v>
      </c>
      <c r="H489" s="84">
        <f t="shared" si="17"/>
        <v>9.8091661538461536E-2</v>
      </c>
      <c r="I489" s="35"/>
      <c r="J489" s="35"/>
      <c r="K489" s="35"/>
      <c r="L489" s="35"/>
      <c r="M489" s="35"/>
      <c r="N489" s="35" t="s">
        <v>2155</v>
      </c>
    </row>
    <row r="490" spans="1:14" ht="14" hidden="1">
      <c r="A490" s="36" t="s">
        <v>2437</v>
      </c>
      <c r="B490" s="37" t="s">
        <v>688</v>
      </c>
      <c r="C490" s="37" t="s">
        <v>689</v>
      </c>
      <c r="D490" s="40">
        <f>SUMIF('Semi Finished Recipe'!B:B,'RM &amp; SF'!B490,'Semi Finished Recipe'!L:L)</f>
        <v>6.7135997560149097E-2</v>
      </c>
      <c r="E490" s="37" t="s">
        <v>11</v>
      </c>
      <c r="F490" s="38" t="s">
        <v>487</v>
      </c>
      <c r="G490" s="42">
        <v>1</v>
      </c>
      <c r="H490" s="84">
        <f t="shared" si="17"/>
        <v>6.7135997560149097E-2</v>
      </c>
      <c r="I490" s="35"/>
      <c r="J490" s="35"/>
      <c r="K490" s="35"/>
      <c r="L490" s="35"/>
      <c r="M490" s="35"/>
      <c r="N490" s="35" t="s">
        <v>2155</v>
      </c>
    </row>
    <row r="491" spans="1:14" ht="14" hidden="1">
      <c r="A491" s="36" t="s">
        <v>2438</v>
      </c>
      <c r="B491" s="37" t="s">
        <v>652</v>
      </c>
      <c r="C491" s="37" t="s">
        <v>653</v>
      </c>
      <c r="D491" s="40">
        <f>SUMIF('Semi Finished Recipe'!B:B,'RM &amp; SF'!B491,'Semi Finished Recipe'!L:L)</f>
        <v>1.7522965258215966</v>
      </c>
      <c r="E491" s="37" t="s">
        <v>8</v>
      </c>
      <c r="F491" s="38" t="s">
        <v>487</v>
      </c>
      <c r="G491" s="42">
        <v>1000</v>
      </c>
      <c r="H491" s="84">
        <f t="shared" si="17"/>
        <v>1.7522965258215965E-3</v>
      </c>
      <c r="I491" s="35"/>
      <c r="J491" s="35"/>
      <c r="K491" s="35"/>
      <c r="L491" s="35"/>
      <c r="M491" s="35"/>
      <c r="N491" s="35" t="s">
        <v>2155</v>
      </c>
    </row>
    <row r="492" spans="1:14" ht="14" hidden="1">
      <c r="A492" s="36" t="s">
        <v>2439</v>
      </c>
      <c r="B492" s="37" t="s">
        <v>654</v>
      </c>
      <c r="C492" s="37" t="s">
        <v>655</v>
      </c>
      <c r="D492" s="40">
        <f>SUMIF('Semi Finished Recipe'!B:B,'RM &amp; SF'!B492,'Semi Finished Recipe'!L:L)</f>
        <v>2.4714499999999995</v>
      </c>
      <c r="E492" s="37" t="s">
        <v>8</v>
      </c>
      <c r="F492" s="38" t="s">
        <v>487</v>
      </c>
      <c r="G492" s="42">
        <v>1000</v>
      </c>
      <c r="H492" s="84">
        <f t="shared" si="17"/>
        <v>2.4714499999999996E-3</v>
      </c>
      <c r="I492" s="35"/>
      <c r="J492" s="35"/>
      <c r="K492" s="35"/>
      <c r="L492" s="35"/>
      <c r="M492" s="35"/>
      <c r="N492" s="35" t="s">
        <v>2155</v>
      </c>
    </row>
    <row r="493" spans="1:14" ht="14" hidden="1">
      <c r="A493" s="36" t="s">
        <v>2440</v>
      </c>
      <c r="B493" s="37" t="s">
        <v>656</v>
      </c>
      <c r="C493" s="37" t="s">
        <v>657</v>
      </c>
      <c r="D493" s="40">
        <f>SUMIF('Semi Finished Recipe'!B:B,'RM &amp; SF'!B493,'Semi Finished Recipe'!L:L)</f>
        <v>3.0904043091284059</v>
      </c>
      <c r="E493" s="37" t="s">
        <v>8</v>
      </c>
      <c r="F493" s="38" t="s">
        <v>487</v>
      </c>
      <c r="G493" s="42">
        <v>1000</v>
      </c>
      <c r="H493" s="84">
        <f t="shared" si="17"/>
        <v>3.0904043091284058E-3</v>
      </c>
      <c r="I493" s="35"/>
      <c r="J493" s="35"/>
      <c r="K493" s="35"/>
      <c r="L493" s="35"/>
      <c r="M493" s="35"/>
      <c r="N493" s="35" t="s">
        <v>2155</v>
      </c>
    </row>
    <row r="494" spans="1:14" ht="14" hidden="1">
      <c r="A494" s="36" t="s">
        <v>2441</v>
      </c>
      <c r="B494" s="37" t="s">
        <v>658</v>
      </c>
      <c r="C494" s="37" t="s">
        <v>659</v>
      </c>
      <c r="D494" s="40">
        <f>SUMIF('Semi Finished Recipe'!B:B,'RM &amp; SF'!B494,'Semi Finished Recipe'!L:L)</f>
        <v>0.75754716981132086</v>
      </c>
      <c r="E494" s="37" t="s">
        <v>8</v>
      </c>
      <c r="F494" s="38" t="s">
        <v>487</v>
      </c>
      <c r="G494" s="42">
        <v>1000</v>
      </c>
      <c r="H494" s="84">
        <f t="shared" si="17"/>
        <v>7.5754716981132084E-4</v>
      </c>
      <c r="I494" s="35"/>
      <c r="J494" s="35"/>
      <c r="K494" s="35"/>
      <c r="L494" s="35"/>
      <c r="M494" s="35"/>
      <c r="N494" s="35" t="s">
        <v>2155</v>
      </c>
    </row>
    <row r="495" spans="1:14" ht="14" hidden="1">
      <c r="A495" s="36" t="s">
        <v>2442</v>
      </c>
      <c r="B495" s="37" t="s">
        <v>660</v>
      </c>
      <c r="C495" s="37" t="s">
        <v>661</v>
      </c>
      <c r="D495" s="40">
        <f>SUMIF('Semi Finished Recipe'!B:B,'RM &amp; SF'!B495,'Semi Finished Recipe'!L:L)</f>
        <v>0.63</v>
      </c>
      <c r="E495" s="37" t="s">
        <v>8</v>
      </c>
      <c r="F495" s="38" t="s">
        <v>487</v>
      </c>
      <c r="G495" s="42">
        <v>1000</v>
      </c>
      <c r="H495" s="84">
        <f t="shared" si="17"/>
        <v>6.3000000000000003E-4</v>
      </c>
      <c r="I495" s="35"/>
      <c r="J495" s="35"/>
      <c r="K495" s="35"/>
      <c r="L495" s="35"/>
      <c r="M495" s="35"/>
      <c r="N495" s="35" t="s">
        <v>2155</v>
      </c>
    </row>
    <row r="496" spans="1:14" ht="14" hidden="1">
      <c r="A496" s="36" t="s">
        <v>2443</v>
      </c>
      <c r="B496" s="37" t="s">
        <v>664</v>
      </c>
      <c r="C496" s="37" t="s">
        <v>665</v>
      </c>
      <c r="D496" s="40">
        <f>SUMIF('Semi Finished Recipe'!B:B,'RM &amp; SF'!B496,'Semi Finished Recipe'!L:L)</f>
        <v>0.19595000000000001</v>
      </c>
      <c r="E496" s="37" t="s">
        <v>8</v>
      </c>
      <c r="F496" s="38" t="s">
        <v>487</v>
      </c>
      <c r="G496" s="42">
        <v>1000</v>
      </c>
      <c r="H496" s="84">
        <f t="shared" si="17"/>
        <v>1.9595000000000002E-4</v>
      </c>
      <c r="I496" s="35"/>
      <c r="J496" s="35"/>
      <c r="K496" s="35"/>
      <c r="L496" s="35"/>
      <c r="M496" s="35"/>
      <c r="N496" s="35" t="s">
        <v>2155</v>
      </c>
    </row>
    <row r="497" spans="1:14" ht="14" hidden="1">
      <c r="A497" s="36" t="s">
        <v>2444</v>
      </c>
      <c r="B497" s="37" t="s">
        <v>666</v>
      </c>
      <c r="C497" s="37" t="s">
        <v>667</v>
      </c>
      <c r="D497" s="40">
        <f>SUMIF('Semi Finished Recipe'!B:B,'RM &amp; SF'!B497,'Semi Finished Recipe'!L:L)</f>
        <v>2.5407000000000002</v>
      </c>
      <c r="E497" s="37" t="s">
        <v>8</v>
      </c>
      <c r="F497" s="38" t="s">
        <v>487</v>
      </c>
      <c r="G497" s="42">
        <v>1000</v>
      </c>
      <c r="H497" s="84">
        <f t="shared" si="17"/>
        <v>2.5407000000000003E-3</v>
      </c>
      <c r="I497" s="35"/>
      <c r="J497" s="35"/>
      <c r="K497" s="35"/>
      <c r="L497" s="35"/>
      <c r="M497" s="35"/>
      <c r="N497" s="35" t="s">
        <v>2155</v>
      </c>
    </row>
    <row r="498" spans="1:14" ht="14" hidden="1">
      <c r="A498" s="36" t="s">
        <v>2445</v>
      </c>
      <c r="B498" s="37" t="s">
        <v>668</v>
      </c>
      <c r="C498" s="37" t="s">
        <v>669</v>
      </c>
      <c r="D498" s="40">
        <f>SUMIF('Semi Finished Recipe'!B:B,'RM &amp; SF'!B498,'Semi Finished Recipe'!L:L)</f>
        <v>4.594785388888889</v>
      </c>
      <c r="E498" s="37" t="s">
        <v>8</v>
      </c>
      <c r="F498" s="38" t="s">
        <v>487</v>
      </c>
      <c r="G498" s="42">
        <v>1000</v>
      </c>
      <c r="H498" s="84">
        <f t="shared" si="17"/>
        <v>4.5947853888888886E-3</v>
      </c>
      <c r="I498" s="35"/>
      <c r="J498" s="35"/>
      <c r="K498" s="35"/>
      <c r="L498" s="35"/>
      <c r="M498" s="35"/>
      <c r="N498" s="35" t="s">
        <v>2155</v>
      </c>
    </row>
    <row r="499" spans="1:14" ht="14" hidden="1">
      <c r="A499" s="36" t="s">
        <v>2446</v>
      </c>
      <c r="B499" s="37" t="s">
        <v>670</v>
      </c>
      <c r="C499" s="37" t="s">
        <v>671</v>
      </c>
      <c r="D499" s="40">
        <f>SUMIF('Semi Finished Recipe'!B:B,'RM &amp; SF'!B499,'Semi Finished Recipe'!L:L)</f>
        <v>1.563035</v>
      </c>
      <c r="E499" s="37" t="s">
        <v>8</v>
      </c>
      <c r="F499" s="38" t="s">
        <v>487</v>
      </c>
      <c r="G499" s="42">
        <v>1000</v>
      </c>
      <c r="H499" s="84">
        <f t="shared" si="17"/>
        <v>1.5630349999999999E-3</v>
      </c>
      <c r="I499" s="35"/>
      <c r="J499" s="35"/>
      <c r="K499" s="35"/>
      <c r="L499" s="35"/>
      <c r="M499" s="35"/>
      <c r="N499" s="35" t="s">
        <v>2155</v>
      </c>
    </row>
    <row r="500" spans="1:14" ht="14" hidden="1">
      <c r="A500" s="36" t="s">
        <v>2447</v>
      </c>
      <c r="B500" s="37" t="s">
        <v>672</v>
      </c>
      <c r="C500" s="37" t="s">
        <v>673</v>
      </c>
      <c r="D500" s="40">
        <f>SUMIF('Semi Finished Recipe'!B:B,'RM &amp; SF'!B500,'Semi Finished Recipe'!L:L)</f>
        <v>1.4632210966810966</v>
      </c>
      <c r="E500" s="37" t="s">
        <v>8</v>
      </c>
      <c r="F500" s="38" t="s">
        <v>487</v>
      </c>
      <c r="G500" s="42">
        <v>1000</v>
      </c>
      <c r="H500" s="84">
        <f t="shared" si="17"/>
        <v>1.4632210966810965E-3</v>
      </c>
      <c r="I500" s="35"/>
      <c r="J500" s="35"/>
      <c r="K500" s="35"/>
      <c r="L500" s="35"/>
      <c r="M500" s="35"/>
      <c r="N500" s="35" t="s">
        <v>2155</v>
      </c>
    </row>
    <row r="501" spans="1:14" ht="15.5" hidden="1">
      <c r="A501" s="36" t="s">
        <v>2448</v>
      </c>
      <c r="B501" s="37" t="s">
        <v>628</v>
      </c>
      <c r="C501" s="41" t="s">
        <v>629</v>
      </c>
      <c r="D501" s="40">
        <f>SUMIF('Semi Finished Recipe'!B:B,'RM &amp; SF'!B501,'Semi Finished Recipe'!L:L)</f>
        <v>0.90929360980239737</v>
      </c>
      <c r="E501" s="37" t="s">
        <v>8</v>
      </c>
      <c r="F501" s="38" t="s">
        <v>487</v>
      </c>
      <c r="G501" s="42">
        <v>1000</v>
      </c>
      <c r="H501" s="84">
        <f t="shared" si="17"/>
        <v>9.0929360980239742E-4</v>
      </c>
      <c r="I501" s="35"/>
      <c r="J501" s="35"/>
      <c r="K501" s="35"/>
      <c r="L501" s="35"/>
      <c r="M501" s="35"/>
      <c r="N501" s="35" t="s">
        <v>2155</v>
      </c>
    </row>
    <row r="502" spans="1:14" ht="14" hidden="1">
      <c r="A502" s="36" t="s">
        <v>2449</v>
      </c>
      <c r="B502" s="37" t="s">
        <v>514</v>
      </c>
      <c r="C502" s="37" t="s">
        <v>515</v>
      </c>
      <c r="D502" s="40">
        <f>SUMIF('Semi Finished Recipe'!B:B,'RM &amp; SF'!B502,'Semi Finished Recipe'!L:L)</f>
        <v>0.87110666895055389</v>
      </c>
      <c r="E502" s="37" t="s">
        <v>8</v>
      </c>
      <c r="F502" s="38" t="s">
        <v>487</v>
      </c>
      <c r="G502" s="42">
        <v>1000</v>
      </c>
      <c r="H502" s="84">
        <f t="shared" si="17"/>
        <v>8.7110666895055388E-4</v>
      </c>
      <c r="I502" s="35"/>
      <c r="J502" s="35"/>
      <c r="K502" s="35"/>
      <c r="L502" s="35"/>
      <c r="M502" s="35"/>
      <c r="N502" s="35" t="s">
        <v>2155</v>
      </c>
    </row>
    <row r="503" spans="1:14" ht="14" hidden="1">
      <c r="A503" s="36" t="s">
        <v>2450</v>
      </c>
      <c r="B503" s="37" t="s">
        <v>570</v>
      </c>
      <c r="C503" s="37" t="s">
        <v>571</v>
      </c>
      <c r="D503" s="40">
        <f>SUMIF('Semi Finished Recipe'!B:B,'RM &amp; SF'!B503,'Semi Finished Recipe'!L:L)</f>
        <v>0.93877101247799521</v>
      </c>
      <c r="E503" s="37" t="s">
        <v>8</v>
      </c>
      <c r="F503" s="38" t="s">
        <v>487</v>
      </c>
      <c r="G503" s="42">
        <v>1000</v>
      </c>
      <c r="H503" s="84">
        <f t="shared" si="17"/>
        <v>9.3877101247799523E-4</v>
      </c>
      <c r="I503" s="35"/>
      <c r="J503" s="35"/>
      <c r="K503" s="35"/>
      <c r="L503" s="35"/>
      <c r="M503" s="35"/>
      <c r="N503" s="35" t="s">
        <v>2155</v>
      </c>
    </row>
    <row r="504" spans="1:14" ht="14" hidden="1">
      <c r="A504" s="36" t="s">
        <v>2451</v>
      </c>
      <c r="B504" s="37" t="s">
        <v>640</v>
      </c>
      <c r="C504" s="37" t="s">
        <v>641</v>
      </c>
      <c r="D504" s="40">
        <f>SUMIF('Semi Finished Recipe'!B:B,'RM &amp; SF'!B504,'Semi Finished Recipe'!L:L)</f>
        <v>0.29605135530167526</v>
      </c>
      <c r="E504" s="37" t="s">
        <v>11</v>
      </c>
      <c r="F504" s="38" t="s">
        <v>487</v>
      </c>
      <c r="G504" s="42">
        <v>1</v>
      </c>
      <c r="H504" s="84">
        <f t="shared" si="17"/>
        <v>0.29605135530167526</v>
      </c>
      <c r="I504" s="35"/>
      <c r="J504" s="35"/>
      <c r="K504" s="35"/>
      <c r="L504" s="35"/>
      <c r="M504" s="35"/>
      <c r="N504" s="35" t="s">
        <v>2155</v>
      </c>
    </row>
    <row r="505" spans="1:14" ht="15.5" hidden="1">
      <c r="A505" s="36" t="s">
        <v>2452</v>
      </c>
      <c r="B505" s="61" t="s">
        <v>528</v>
      </c>
      <c r="C505" s="61" t="s">
        <v>529</v>
      </c>
      <c r="D505" s="202">
        <f>SUMIF('Semi Finished Recipe'!B:B,'RM &amp; SF'!B505,'Semi Finished Recipe'!L:L)</f>
        <v>20.415146666666665</v>
      </c>
      <c r="E505" s="37" t="s">
        <v>8</v>
      </c>
      <c r="F505" s="38" t="s">
        <v>487</v>
      </c>
      <c r="G505" s="42">
        <v>1000</v>
      </c>
      <c r="H505" s="84">
        <f t="shared" si="17"/>
        <v>2.0415146666666665E-2</v>
      </c>
      <c r="I505" s="35"/>
      <c r="J505" s="35"/>
      <c r="K505" s="35"/>
      <c r="L505" s="35"/>
      <c r="M505" s="35"/>
      <c r="N505" s="35" t="s">
        <v>2155</v>
      </c>
    </row>
    <row r="506" spans="1:14" ht="14" hidden="1">
      <c r="A506" s="36" t="s">
        <v>2453</v>
      </c>
      <c r="B506" s="61" t="s">
        <v>536</v>
      </c>
      <c r="C506" s="61" t="s">
        <v>537</v>
      </c>
      <c r="D506" s="40">
        <f>SUMIF('Semi Finished Recipe'!B:B,'RM &amp; SF'!B506,'Semi Finished Recipe'!L:L)</f>
        <v>11.636090242685134</v>
      </c>
      <c r="E506" s="37" t="s">
        <v>8</v>
      </c>
      <c r="F506" s="38" t="s">
        <v>487</v>
      </c>
      <c r="G506" s="42">
        <v>1000</v>
      </c>
      <c r="H506" s="84">
        <f t="shared" si="17"/>
        <v>1.1636090242685134E-2</v>
      </c>
      <c r="I506" s="35"/>
      <c r="J506" s="35"/>
      <c r="K506" s="35"/>
      <c r="L506" s="35"/>
      <c r="M506" s="35"/>
      <c r="N506" s="35" t="s">
        <v>2155</v>
      </c>
    </row>
    <row r="507" spans="1:14" ht="14" hidden="1">
      <c r="A507" s="36" t="s">
        <v>2454</v>
      </c>
      <c r="B507" s="37" t="s">
        <v>504</v>
      </c>
      <c r="C507" s="37" t="s">
        <v>505</v>
      </c>
      <c r="D507" s="40">
        <f>SUMIF('Semi Finished Recipe'!B:B,'RM &amp; SF'!B507,'Semi Finished Recipe'!L:L)</f>
        <v>5.666775058438712</v>
      </c>
      <c r="E507" s="37" t="s">
        <v>8</v>
      </c>
      <c r="F507" s="38" t="s">
        <v>487</v>
      </c>
      <c r="G507" s="42">
        <v>1000</v>
      </c>
      <c r="H507" s="84">
        <f t="shared" si="17"/>
        <v>5.666775058438712E-3</v>
      </c>
      <c r="I507" s="35"/>
      <c r="J507" s="35"/>
      <c r="K507" s="35"/>
      <c r="L507" s="35"/>
      <c r="M507" s="35"/>
      <c r="N507" s="35" t="s">
        <v>2155</v>
      </c>
    </row>
    <row r="508" spans="1:14" ht="14" hidden="1">
      <c r="A508" s="36" t="s">
        <v>2455</v>
      </c>
      <c r="B508" s="37" t="s">
        <v>604</v>
      </c>
      <c r="C508" s="37" t="s">
        <v>605</v>
      </c>
      <c r="D508" s="40">
        <f>SUMIF('Semi Finished Recipe'!B:B,'RM &amp; SF'!B508,'Semi Finished Recipe'!L:L)</f>
        <v>2.7389557329462995</v>
      </c>
      <c r="E508" s="37" t="s">
        <v>8</v>
      </c>
      <c r="F508" s="38" t="s">
        <v>487</v>
      </c>
      <c r="G508" s="42">
        <v>1000</v>
      </c>
      <c r="H508" s="84">
        <f t="shared" si="17"/>
        <v>2.7389557329462995E-3</v>
      </c>
      <c r="I508" s="35"/>
      <c r="J508" s="35"/>
      <c r="K508" s="35"/>
      <c r="L508" s="35"/>
      <c r="M508" s="35"/>
      <c r="N508" s="35" t="s">
        <v>2155</v>
      </c>
    </row>
    <row r="509" spans="1:14" ht="14" hidden="1">
      <c r="A509" s="36" t="s">
        <v>2456</v>
      </c>
      <c r="B509" s="37" t="s">
        <v>506</v>
      </c>
      <c r="C509" s="37" t="s">
        <v>507</v>
      </c>
      <c r="D509" s="40">
        <f>SUMIF('Semi Finished Recipe'!B:B,'RM &amp; SF'!B509,'Semi Finished Recipe'!L:L)</f>
        <v>4.6721213030918278</v>
      </c>
      <c r="E509" s="37" t="s">
        <v>8</v>
      </c>
      <c r="F509" s="38" t="s">
        <v>487</v>
      </c>
      <c r="G509" s="42">
        <v>1000</v>
      </c>
      <c r="H509" s="84">
        <f t="shared" si="17"/>
        <v>4.6721213030918281E-3</v>
      </c>
      <c r="I509" s="35"/>
      <c r="J509" s="35"/>
      <c r="K509" s="35"/>
      <c r="L509" s="35"/>
      <c r="M509" s="35"/>
      <c r="N509" s="35" t="s">
        <v>2155</v>
      </c>
    </row>
    <row r="510" spans="1:14" ht="14" hidden="1">
      <c r="A510" s="36" t="e">
        <v>#N/A</v>
      </c>
      <c r="B510" s="47">
        <v>1210</v>
      </c>
      <c r="C510" s="47" t="s">
        <v>1911</v>
      </c>
      <c r="D510" s="40">
        <v>6</v>
      </c>
      <c r="E510" s="47" t="s">
        <v>8</v>
      </c>
      <c r="F510" s="48"/>
      <c r="G510" s="65">
        <v>1000</v>
      </c>
      <c r="H510" s="84">
        <f t="shared" ref="H510:H525" si="18">D510/G510</f>
        <v>6.0000000000000001E-3</v>
      </c>
      <c r="I510" s="35"/>
      <c r="J510" s="35"/>
      <c r="K510" s="35"/>
      <c r="L510" s="35"/>
      <c r="M510" s="35"/>
      <c r="N510" s="35" t="s">
        <v>2155</v>
      </c>
    </row>
    <row r="511" spans="1:14" ht="14" hidden="1">
      <c r="A511" s="36" t="e">
        <v>#N/A</v>
      </c>
      <c r="B511" s="59" t="s">
        <v>292</v>
      </c>
      <c r="C511" s="49" t="s">
        <v>293</v>
      </c>
      <c r="D511" s="40">
        <v>0.15</v>
      </c>
      <c r="E511" s="49" t="s">
        <v>11</v>
      </c>
      <c r="F511" s="50" t="s">
        <v>168</v>
      </c>
      <c r="G511" s="66">
        <v>1</v>
      </c>
      <c r="H511" s="84">
        <f t="shared" si="18"/>
        <v>0.15</v>
      </c>
      <c r="I511" s="35"/>
      <c r="J511" s="35"/>
      <c r="K511" s="35"/>
      <c r="L511" s="35"/>
      <c r="M511" s="35"/>
      <c r="N511" s="35" t="s">
        <v>2155</v>
      </c>
    </row>
    <row r="512" spans="1:14" ht="14" hidden="1">
      <c r="A512" s="36" t="e">
        <v>#N/A</v>
      </c>
      <c r="B512" s="44" t="s">
        <v>311</v>
      </c>
      <c r="C512" s="37" t="s">
        <v>312</v>
      </c>
      <c r="D512" s="40">
        <v>1</v>
      </c>
      <c r="E512" s="37" t="s">
        <v>11</v>
      </c>
      <c r="F512" s="38" t="s">
        <v>21</v>
      </c>
      <c r="G512" s="42">
        <v>1</v>
      </c>
      <c r="H512" s="84">
        <f t="shared" si="18"/>
        <v>1</v>
      </c>
      <c r="I512" s="35"/>
      <c r="J512" s="35"/>
      <c r="K512" s="35"/>
      <c r="L512" s="35"/>
      <c r="M512" s="35"/>
      <c r="N512" s="35" t="s">
        <v>2155</v>
      </c>
    </row>
    <row r="513" spans="1:14" ht="14" hidden="1">
      <c r="A513" s="36" t="e">
        <v>#N/A</v>
      </c>
      <c r="B513" s="44" t="s">
        <v>313</v>
      </c>
      <c r="C513" s="37" t="s">
        <v>314</v>
      </c>
      <c r="D513" s="40">
        <v>0.35</v>
      </c>
      <c r="E513" s="37" t="s">
        <v>11</v>
      </c>
      <c r="F513" s="38" t="s">
        <v>21</v>
      </c>
      <c r="G513" s="42">
        <v>1</v>
      </c>
      <c r="H513" s="84">
        <f t="shared" si="18"/>
        <v>0.35</v>
      </c>
      <c r="I513" s="35"/>
      <c r="J513" s="35"/>
      <c r="K513" s="35"/>
      <c r="L513" s="35"/>
      <c r="M513" s="35"/>
      <c r="N513" s="35" t="s">
        <v>2155</v>
      </c>
    </row>
    <row r="514" spans="1:14" ht="14" hidden="1">
      <c r="A514" s="36" t="e">
        <v>#N/A</v>
      </c>
      <c r="B514" s="44" t="s">
        <v>325</v>
      </c>
      <c r="C514" s="37" t="s">
        <v>326</v>
      </c>
      <c r="D514" s="69">
        <f>VLOOKUP(B514,'تسعير تفصيل الخروف مشغل'!B17:D22,3,0)</f>
        <v>11.615493158849016</v>
      </c>
      <c r="E514" s="37" t="s">
        <v>8</v>
      </c>
      <c r="F514" s="38" t="s">
        <v>21</v>
      </c>
      <c r="G514" s="42">
        <v>1000</v>
      </c>
      <c r="H514" s="84">
        <f t="shared" si="18"/>
        <v>1.1615493158849017E-2</v>
      </c>
      <c r="I514" s="35"/>
      <c r="J514" s="35"/>
      <c r="K514" s="35"/>
      <c r="L514" s="35"/>
      <c r="M514" s="35"/>
      <c r="N514" s="80" t="s">
        <v>3017</v>
      </c>
    </row>
    <row r="515" spans="1:14" ht="14" hidden="1">
      <c r="A515" s="36" t="e">
        <v>#N/A</v>
      </c>
      <c r="B515" s="44" t="s">
        <v>347</v>
      </c>
      <c r="C515" s="37" t="s">
        <v>348</v>
      </c>
      <c r="D515" s="40">
        <v>8</v>
      </c>
      <c r="E515" s="37" t="s">
        <v>8</v>
      </c>
      <c r="F515" s="38" t="s">
        <v>9</v>
      </c>
      <c r="G515" s="42">
        <v>1000</v>
      </c>
      <c r="H515" s="84">
        <f t="shared" si="18"/>
        <v>8.0000000000000002E-3</v>
      </c>
      <c r="I515" s="35"/>
      <c r="J515" s="35"/>
      <c r="K515" s="35"/>
      <c r="L515" s="35"/>
      <c r="M515" s="35"/>
      <c r="N515" s="35" t="s">
        <v>2155</v>
      </c>
    </row>
    <row r="516" spans="1:14" ht="14" hidden="1">
      <c r="A516" s="36" t="s">
        <v>2457</v>
      </c>
      <c r="B516" s="37" t="s">
        <v>401</v>
      </c>
      <c r="C516" s="37" t="s">
        <v>402</v>
      </c>
      <c r="D516" s="40">
        <v>1.6</v>
      </c>
      <c r="E516" s="37" t="s">
        <v>8</v>
      </c>
      <c r="F516" s="38"/>
      <c r="G516" s="42">
        <v>1000</v>
      </c>
      <c r="H516" s="84">
        <f t="shared" si="18"/>
        <v>1.6000000000000001E-3</v>
      </c>
      <c r="I516" s="35"/>
      <c r="J516" s="35"/>
      <c r="K516" s="35"/>
      <c r="L516" s="35"/>
      <c r="M516" s="35"/>
      <c r="N516" s="35" t="s">
        <v>2155</v>
      </c>
    </row>
    <row r="517" spans="1:14" ht="14" hidden="1">
      <c r="A517" s="36" t="s">
        <v>2458</v>
      </c>
      <c r="B517" s="37" t="s">
        <v>403</v>
      </c>
      <c r="C517" s="44" t="s">
        <v>404</v>
      </c>
      <c r="D517" s="40">
        <v>0.75</v>
      </c>
      <c r="E517" s="37" t="s">
        <v>8</v>
      </c>
      <c r="F517" s="38"/>
      <c r="G517" s="42">
        <v>1000</v>
      </c>
      <c r="H517" s="84">
        <f t="shared" si="18"/>
        <v>7.5000000000000002E-4</v>
      </c>
      <c r="I517" s="35"/>
      <c r="J517" s="35"/>
      <c r="K517" s="35"/>
      <c r="L517" s="35"/>
      <c r="M517" s="35"/>
      <c r="N517" s="35" t="s">
        <v>2155</v>
      </c>
    </row>
    <row r="518" spans="1:14" ht="14" hidden="1">
      <c r="A518" s="36" t="s">
        <v>2459</v>
      </c>
      <c r="B518" s="37" t="s">
        <v>405</v>
      </c>
      <c r="C518" s="37" t="s">
        <v>406</v>
      </c>
      <c r="D518" s="40">
        <v>0.75</v>
      </c>
      <c r="E518" s="37" t="s">
        <v>8</v>
      </c>
      <c r="F518" s="38"/>
      <c r="G518" s="42">
        <v>1000</v>
      </c>
      <c r="H518" s="84">
        <f t="shared" si="18"/>
        <v>7.5000000000000002E-4</v>
      </c>
      <c r="I518" s="35"/>
      <c r="J518" s="35"/>
      <c r="K518" s="35"/>
      <c r="L518" s="35"/>
      <c r="M518" s="35"/>
      <c r="N518" s="35" t="s">
        <v>2155</v>
      </c>
    </row>
    <row r="519" spans="1:14" ht="14" hidden="1">
      <c r="A519" s="36" t="e">
        <v>#N/A</v>
      </c>
      <c r="B519" s="51" t="s">
        <v>409</v>
      </c>
      <c r="C519" s="51" t="s">
        <v>410</v>
      </c>
      <c r="D519" s="40">
        <v>5.5</v>
      </c>
      <c r="E519" s="37" t="s">
        <v>8</v>
      </c>
      <c r="F519" s="53"/>
      <c r="G519" s="69">
        <v>1000</v>
      </c>
      <c r="H519" s="84">
        <f t="shared" si="18"/>
        <v>5.4999999999999997E-3</v>
      </c>
      <c r="I519" s="35"/>
      <c r="J519" s="35"/>
      <c r="K519" s="35"/>
      <c r="L519" s="35"/>
      <c r="M519" s="35"/>
      <c r="N519" s="35" t="s">
        <v>2155</v>
      </c>
    </row>
    <row r="520" spans="1:14" ht="14" hidden="1">
      <c r="A520" s="36" t="s">
        <v>2460</v>
      </c>
      <c r="B520" s="51" t="s">
        <v>1945</v>
      </c>
      <c r="C520" s="55" t="s">
        <v>1944</v>
      </c>
      <c r="D520" s="40">
        <f>SUMIF('Semi Finished Recipe'!B:B,'RM &amp; SF'!B520,'Semi Finished Recipe'!L:L)</f>
        <v>5.078645511484595</v>
      </c>
      <c r="E520" s="37" t="s">
        <v>8</v>
      </c>
      <c r="F520" s="53"/>
      <c r="G520" s="69">
        <v>1000</v>
      </c>
      <c r="H520" s="84">
        <f t="shared" si="18"/>
        <v>5.0786455114845948E-3</v>
      </c>
      <c r="I520" s="35"/>
      <c r="J520" s="35"/>
      <c r="K520" s="35"/>
      <c r="L520" s="35"/>
      <c r="M520" s="35"/>
      <c r="N520" s="35" t="s">
        <v>2155</v>
      </c>
    </row>
    <row r="521" spans="1:14" ht="14" hidden="1">
      <c r="A521" s="36" t="e">
        <v>#N/A</v>
      </c>
      <c r="B521" s="68" t="s">
        <v>1948</v>
      </c>
      <c r="C521" s="68" t="s">
        <v>1947</v>
      </c>
      <c r="D521" s="40">
        <f>SUMIF('Semi Finished Recipe'!B:B,'RM &amp; SF'!B521,'Semi Finished Recipe'!L:L)</f>
        <v>0.9</v>
      </c>
      <c r="E521" s="37" t="s">
        <v>8</v>
      </c>
      <c r="F521" s="53"/>
      <c r="G521" s="69">
        <v>1000</v>
      </c>
      <c r="H521" s="84">
        <f t="shared" si="18"/>
        <v>8.9999999999999998E-4</v>
      </c>
      <c r="I521" s="35"/>
      <c r="J521" s="35"/>
      <c r="K521" s="35"/>
      <c r="L521" s="35"/>
      <c r="M521" s="35"/>
      <c r="N521" s="35" t="s">
        <v>2155</v>
      </c>
    </row>
    <row r="522" spans="1:14" ht="14" hidden="1">
      <c r="A522" s="36" t="e">
        <v>#N/A</v>
      </c>
      <c r="B522" s="68" t="s">
        <v>1949</v>
      </c>
      <c r="C522" s="72" t="s">
        <v>1956</v>
      </c>
      <c r="D522" s="40">
        <f>SUMIF('Semi Finished Recipe'!B:B,'RM &amp; SF'!B522,'Semi Finished Recipe'!L:L)</f>
        <v>6.8189551999999996</v>
      </c>
      <c r="E522" s="37" t="s">
        <v>8</v>
      </c>
      <c r="F522" s="37"/>
      <c r="G522" s="69">
        <v>1000</v>
      </c>
      <c r="H522" s="84">
        <f t="shared" si="18"/>
        <v>6.8189551999999999E-3</v>
      </c>
      <c r="I522" s="35"/>
      <c r="J522" s="35"/>
      <c r="K522" s="35"/>
      <c r="L522" s="35"/>
      <c r="M522" s="35"/>
      <c r="N522" s="35" t="s">
        <v>2155</v>
      </c>
    </row>
    <row r="523" spans="1:14" ht="14" hidden="1">
      <c r="A523" s="36" t="e">
        <v>#N/A</v>
      </c>
      <c r="B523" s="4" t="s">
        <v>1954</v>
      </c>
      <c r="C523" s="72" t="s">
        <v>1955</v>
      </c>
      <c r="D523" s="40">
        <f>SUMIF('Semi Finished Recipe'!B:B,'RM &amp; SF'!B523,'Semi Finished Recipe'!L:L)</f>
        <v>1.9461341300691921</v>
      </c>
      <c r="E523" s="37" t="s">
        <v>8</v>
      </c>
      <c r="F523" s="53"/>
      <c r="G523" s="69">
        <v>1000</v>
      </c>
      <c r="H523" s="84">
        <f t="shared" si="18"/>
        <v>1.9461341300691922E-3</v>
      </c>
      <c r="I523" s="35"/>
      <c r="J523" s="35"/>
      <c r="K523" s="35"/>
      <c r="L523" s="35"/>
      <c r="M523" s="35"/>
      <c r="N523" s="36" t="s">
        <v>3027</v>
      </c>
    </row>
    <row r="524" spans="1:14" ht="14" hidden="1">
      <c r="A524" s="36" t="e">
        <v>#N/A</v>
      </c>
      <c r="B524" s="4" t="s">
        <v>2025</v>
      </c>
      <c r="C524" s="87" t="s">
        <v>2024</v>
      </c>
      <c r="D524" s="56">
        <f>VLOOKUP(B524,'تسعير تفصيل الخروف ملحمه'!A:C,3,0)</f>
        <v>1</v>
      </c>
      <c r="E524" s="37" t="s">
        <v>8</v>
      </c>
      <c r="F524" s="57"/>
      <c r="G524" s="69">
        <v>1000</v>
      </c>
      <c r="H524" s="265">
        <f t="shared" si="18"/>
        <v>1E-3</v>
      </c>
      <c r="I524" s="35"/>
      <c r="J524" s="35"/>
      <c r="K524" s="35"/>
      <c r="L524" s="35"/>
      <c r="M524" s="35"/>
      <c r="N524" s="35" t="s">
        <v>2155</v>
      </c>
    </row>
    <row r="525" spans="1:14" ht="14" hidden="1">
      <c r="A525" s="36" t="s">
        <v>2461</v>
      </c>
      <c r="B525" s="4" t="s">
        <v>2027</v>
      </c>
      <c r="C525" s="87" t="s">
        <v>2026</v>
      </c>
      <c r="D525" s="40">
        <f>SUMIF('Semi Finished Recipe'!B:B,'RM &amp; SF'!B525,'Semi Finished Recipe'!L:L)</f>
        <v>3.755618619791667</v>
      </c>
      <c r="E525" s="37" t="s">
        <v>8</v>
      </c>
      <c r="F525" s="57"/>
      <c r="G525" s="69">
        <v>1000</v>
      </c>
      <c r="H525" s="84">
        <f t="shared" si="18"/>
        <v>3.7556186197916668E-3</v>
      </c>
      <c r="I525" s="35"/>
      <c r="J525" s="35"/>
      <c r="K525" s="35"/>
      <c r="L525" s="35"/>
      <c r="M525" s="35"/>
      <c r="N525" s="35" t="s">
        <v>2155</v>
      </c>
    </row>
    <row r="526" spans="1:14" ht="15.5" hidden="1">
      <c r="A526" s="36" t="e">
        <v>#N/A</v>
      </c>
      <c r="B526" s="278">
        <v>5373</v>
      </c>
      <c r="C526" s="278" t="s">
        <v>1974</v>
      </c>
      <c r="D526" s="199">
        <f>VLOOKUP(B526,'تسعير تفصيل الخروف مشغل'!B56:D58,3,0)</f>
        <v>9.01</v>
      </c>
      <c r="E526" s="51" t="s">
        <v>8</v>
      </c>
      <c r="F526" s="64" t="s">
        <v>21</v>
      </c>
      <c r="G526" s="42">
        <v>1000</v>
      </c>
      <c r="H526" s="40">
        <f t="shared" ref="H526:H531" si="19">D526/G526</f>
        <v>9.0100000000000006E-3</v>
      </c>
      <c r="I526" s="35"/>
      <c r="J526" s="35"/>
      <c r="K526" s="35"/>
      <c r="L526" s="35"/>
      <c r="M526" s="35"/>
      <c r="N526" s="80"/>
    </row>
    <row r="527" spans="1:14" ht="15.5" hidden="1">
      <c r="A527" s="36" t="e">
        <v>#N/A</v>
      </c>
      <c r="B527" s="278">
        <v>5401</v>
      </c>
      <c r="C527" s="278" t="s">
        <v>1943</v>
      </c>
      <c r="D527" s="292">
        <f>VLOOKUP(B527,'تسعير تفصيل الخروف مشغل'!B56:D58,3,0)</f>
        <v>12.58</v>
      </c>
      <c r="E527" s="51" t="s">
        <v>8</v>
      </c>
      <c r="F527" s="64" t="s">
        <v>21</v>
      </c>
      <c r="G527" s="42">
        <v>1000</v>
      </c>
      <c r="H527" s="40">
        <f t="shared" si="19"/>
        <v>1.2580000000000001E-2</v>
      </c>
      <c r="I527" s="35"/>
      <c r="J527" s="35"/>
      <c r="K527" s="35"/>
      <c r="L527" s="35"/>
      <c r="M527" s="35"/>
      <c r="N527" s="80"/>
    </row>
    <row r="528" spans="1:14" ht="15.75" hidden="1" customHeight="1">
      <c r="A528" s="36" t="e">
        <v>#N/A</v>
      </c>
      <c r="B528" s="278">
        <v>5398</v>
      </c>
      <c r="C528" s="291" t="s">
        <v>2071</v>
      </c>
      <c r="D528" s="202">
        <f>VLOOKUP(B528,'تسعير تفصيل الخروف مشغل'!B56:D58,3,0)</f>
        <v>21.5</v>
      </c>
      <c r="E528" s="51" t="s">
        <v>8</v>
      </c>
      <c r="F528" s="64" t="s">
        <v>21</v>
      </c>
      <c r="G528" s="42">
        <v>1000</v>
      </c>
      <c r="H528" s="40">
        <f t="shared" si="19"/>
        <v>2.1499999999999998E-2</v>
      </c>
      <c r="N528" s="80"/>
    </row>
    <row r="529" spans="1:14" ht="15.75" hidden="1" customHeight="1">
      <c r="A529" s="36" t="e">
        <v>#N/A</v>
      </c>
      <c r="B529" s="67">
        <v>5338</v>
      </c>
      <c r="C529" s="51" t="s">
        <v>344</v>
      </c>
      <c r="D529" s="69">
        <v>0.35</v>
      </c>
      <c r="E529" s="51" t="s">
        <v>11</v>
      </c>
      <c r="F529" s="64" t="s">
        <v>168</v>
      </c>
      <c r="G529" s="42">
        <v>1</v>
      </c>
      <c r="H529" s="40">
        <f t="shared" si="19"/>
        <v>0.35</v>
      </c>
      <c r="N529" s="36" t="s">
        <v>3023</v>
      </c>
    </row>
    <row r="530" spans="1:14" ht="15.75" hidden="1" customHeight="1">
      <c r="A530" s="36" t="e">
        <v>#N/A</v>
      </c>
      <c r="B530" s="67">
        <v>5438</v>
      </c>
      <c r="C530" s="51" t="s">
        <v>384</v>
      </c>
      <c r="D530" s="69">
        <v>5.8239999999999998</v>
      </c>
      <c r="E530" s="51" t="s">
        <v>8</v>
      </c>
      <c r="F530" s="64" t="s">
        <v>21</v>
      </c>
      <c r="G530" s="42">
        <v>1000</v>
      </c>
      <c r="H530" s="40">
        <f t="shared" si="19"/>
        <v>5.8240000000000002E-3</v>
      </c>
      <c r="N530" s="80" t="s">
        <v>3028</v>
      </c>
    </row>
    <row r="531" spans="1:14" ht="15.75" hidden="1" customHeight="1">
      <c r="A531" s="36" t="e">
        <v>#N/A</v>
      </c>
      <c r="B531" s="67">
        <v>5339</v>
      </c>
      <c r="C531" s="51" t="s">
        <v>458</v>
      </c>
      <c r="D531" s="69">
        <v>1.5</v>
      </c>
      <c r="E531" s="51" t="s">
        <v>11</v>
      </c>
      <c r="F531" s="64">
        <v>0</v>
      </c>
      <c r="G531" s="42">
        <v>1</v>
      </c>
      <c r="H531" s="40">
        <f t="shared" si="19"/>
        <v>1.5</v>
      </c>
      <c r="N531" s="36" t="s">
        <v>3023</v>
      </c>
    </row>
    <row r="532" spans="1:14" ht="15.75" hidden="1" customHeight="1">
      <c r="B532" s="67" t="s">
        <v>1179</v>
      </c>
      <c r="C532" s="51" t="s">
        <v>579</v>
      </c>
      <c r="D532" s="69">
        <v>6.0440000000000001E-2</v>
      </c>
      <c r="E532" s="51" t="s">
        <v>11</v>
      </c>
      <c r="F532" s="64" t="s">
        <v>3041</v>
      </c>
      <c r="G532" s="42">
        <v>1</v>
      </c>
      <c r="H532" s="40">
        <f t="shared" ref="H532:H539" si="20">D532/G532</f>
        <v>6.0440000000000001E-2</v>
      </c>
      <c r="N532" s="35" t="s">
        <v>2155</v>
      </c>
    </row>
    <row r="533" spans="1:14" ht="15.75" hidden="1" customHeight="1">
      <c r="B533" s="67" t="s">
        <v>1047</v>
      </c>
      <c r="C533" s="51" t="s">
        <v>1457</v>
      </c>
      <c r="D533" s="69">
        <v>6.620838217338218E-2</v>
      </c>
      <c r="E533" s="51" t="s">
        <v>11</v>
      </c>
      <c r="F533" s="64" t="s">
        <v>3041</v>
      </c>
      <c r="G533" s="42">
        <v>1</v>
      </c>
      <c r="H533" s="40">
        <f t="shared" si="20"/>
        <v>6.620838217338218E-2</v>
      </c>
      <c r="N533" s="35" t="s">
        <v>2155</v>
      </c>
    </row>
    <row r="534" spans="1:14" ht="15.75" hidden="1" customHeight="1">
      <c r="B534" s="67" t="s">
        <v>3042</v>
      </c>
      <c r="C534" s="51" t="s">
        <v>3037</v>
      </c>
      <c r="D534" s="69">
        <f>SUMIF('Semi Finished Recipe'!B:B,'RM &amp; SF'!B534,'Semi Finished Recipe'!L:L)</f>
        <v>1.9075232758620688E-2</v>
      </c>
      <c r="E534" s="51" t="s">
        <v>11</v>
      </c>
      <c r="F534" s="64" t="s">
        <v>487</v>
      </c>
      <c r="G534" s="42">
        <v>1</v>
      </c>
      <c r="H534" s="40">
        <f t="shared" si="20"/>
        <v>1.9075232758620688E-2</v>
      </c>
      <c r="N534" s="35" t="s">
        <v>2155</v>
      </c>
    </row>
    <row r="535" spans="1:14" ht="15.75" hidden="1" customHeight="1">
      <c r="B535" s="67" t="s">
        <v>3043</v>
      </c>
      <c r="C535" s="51" t="s">
        <v>3038</v>
      </c>
      <c r="D535" s="69">
        <f>SUMIF('Semi Finished Recipe'!B:B,'RM &amp; SF'!B535,'Semi Finished Recipe'!L:L)</f>
        <v>1.3723013649425287E-2</v>
      </c>
      <c r="E535" s="51" t="s">
        <v>11</v>
      </c>
      <c r="F535" s="64" t="s">
        <v>487</v>
      </c>
      <c r="G535" s="42">
        <v>1</v>
      </c>
      <c r="H535" s="40">
        <f t="shared" si="20"/>
        <v>1.3723013649425287E-2</v>
      </c>
      <c r="N535" s="35" t="s">
        <v>2155</v>
      </c>
    </row>
    <row r="536" spans="1:14" ht="15.75" hidden="1" customHeight="1">
      <c r="B536" s="67">
        <v>204050</v>
      </c>
      <c r="C536" s="51" t="s">
        <v>1503</v>
      </c>
      <c r="D536" s="69">
        <v>0</v>
      </c>
      <c r="E536" s="51" t="s">
        <v>8</v>
      </c>
      <c r="F536" s="64" t="s">
        <v>3041</v>
      </c>
      <c r="G536" s="42">
        <v>1</v>
      </c>
      <c r="H536" s="40">
        <f t="shared" si="20"/>
        <v>0</v>
      </c>
      <c r="N536" s="35" t="s">
        <v>2155</v>
      </c>
    </row>
    <row r="537" spans="1:14" ht="15.75" hidden="1" customHeight="1">
      <c r="B537" s="67" t="s">
        <v>3057</v>
      </c>
      <c r="C537" s="51" t="s">
        <v>3049</v>
      </c>
      <c r="D537" s="69">
        <f>SUMIF('Semi Finished Recipe'!B:B,'RM &amp; SF'!B537,'Semi Finished Recipe'!L:L)</f>
        <v>2.2283059346557383</v>
      </c>
      <c r="E537" s="51" t="s">
        <v>8</v>
      </c>
      <c r="F537" s="64" t="s">
        <v>487</v>
      </c>
      <c r="G537" s="42">
        <v>1000</v>
      </c>
      <c r="H537" s="40">
        <f t="shared" si="20"/>
        <v>2.2283059346557385E-3</v>
      </c>
      <c r="N537" s="35" t="s">
        <v>2155</v>
      </c>
    </row>
    <row r="538" spans="1:14" ht="15.75" hidden="1" customHeight="1">
      <c r="B538" s="67" t="s">
        <v>1180</v>
      </c>
      <c r="C538" s="51" t="s">
        <v>1787</v>
      </c>
      <c r="D538" s="69">
        <v>8.0269227668346321E-2</v>
      </c>
      <c r="E538" s="51" t="s">
        <v>8</v>
      </c>
      <c r="F538" s="64" t="s">
        <v>3041</v>
      </c>
      <c r="G538" s="42">
        <v>1</v>
      </c>
      <c r="H538" s="40">
        <f t="shared" si="20"/>
        <v>8.0269227668346321E-2</v>
      </c>
      <c r="N538" s="35" t="s">
        <v>2155</v>
      </c>
    </row>
    <row r="539" spans="1:14" ht="15.75" hidden="1" customHeight="1">
      <c r="B539" s="36">
        <v>1212121515</v>
      </c>
      <c r="C539" s="36" t="s">
        <v>3181</v>
      </c>
      <c r="D539" s="69">
        <f>SUMIF('Semi Finished Recipe'!B:B,'RM &amp; SF'!B539,'Semi Finished Recipe'!L:L)</f>
        <v>2.3621107738998486</v>
      </c>
      <c r="E539" s="51" t="s">
        <v>8</v>
      </c>
      <c r="F539" s="64" t="s">
        <v>487</v>
      </c>
      <c r="G539" s="42">
        <v>1000</v>
      </c>
      <c r="H539" s="40">
        <f t="shared" si="20"/>
        <v>2.3621107738998484E-3</v>
      </c>
    </row>
  </sheetData>
  <autoFilter ref="A1:S539" xr:uid="{00000000-0001-0000-0500-000000000000}">
    <filterColumn colId="1">
      <filters>
        <filter val="5077"/>
      </filters>
    </filterColumn>
  </autoFilter>
  <phoneticPr fontId="17" type="noConversion"/>
  <conditionalFormatting sqref="B1:B525 B539:B1048576">
    <cfRule type="duplicateValues" dxfId="27" priority="247"/>
  </conditionalFormatting>
  <conditionalFormatting sqref="B521:B522">
    <cfRule type="duplicateValues" dxfId="26" priority="45"/>
  </conditionalFormatting>
  <conditionalFormatting sqref="B524:B525 B425:B522 B1:B423 B539:B1048576">
    <cfRule type="duplicateValues" dxfId="25" priority="235"/>
  </conditionalFormatting>
  <conditionalFormatting sqref="B524:B525 B522 B425:B520 B1:B423 B539:B1048576">
    <cfRule type="duplicateValues" dxfId="24" priority="240"/>
  </conditionalFormatting>
  <conditionalFormatting sqref="B526:B527">
    <cfRule type="duplicateValues" dxfId="23" priority="529"/>
    <cfRule type="duplicateValues" dxfId="22" priority="530"/>
    <cfRule type="duplicateValues" dxfId="21" priority="531"/>
  </conditionalFormatting>
  <conditionalFormatting sqref="B528">
    <cfRule type="duplicateValues" dxfId="20" priority="29"/>
    <cfRule type="duplicateValues" dxfId="19" priority="30"/>
    <cfRule type="duplicateValues" dxfId="18" priority="31"/>
  </conditionalFormatting>
  <conditionalFormatting sqref="B529:B531">
    <cfRule type="duplicateValues" dxfId="17" priority="504"/>
    <cfRule type="duplicateValues" dxfId="16" priority="505"/>
    <cfRule type="duplicateValues" dxfId="15" priority="506"/>
  </conditionalFormatting>
  <conditionalFormatting sqref="B532:B538">
    <cfRule type="duplicateValues" dxfId="14" priority="20"/>
    <cfRule type="duplicateValues" dxfId="13" priority="21"/>
    <cfRule type="duplicateValues" dxfId="12" priority="22"/>
  </conditionalFormatting>
  <printOptions horizontalCentered="1" gridLines="1"/>
  <pageMargins left="0.7" right="0.7" top="0.75" bottom="0.75" header="0" footer="0"/>
  <pageSetup fitToHeight="0" pageOrder="overThenDown" orientation="portrait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A9E6-8086-4873-BE31-9B3E8F438922}">
  <dimension ref="A1:J26"/>
  <sheetViews>
    <sheetView workbookViewId="0">
      <selection activeCell="A2" sqref="A2:H26"/>
    </sheetView>
  </sheetViews>
  <sheetFormatPr defaultRowHeight="12.5"/>
  <cols>
    <col min="1" max="1" width="8.26953125" bestFit="1" customWidth="1"/>
    <col min="2" max="2" width="21.7265625" bestFit="1" customWidth="1"/>
    <col min="3" max="3" width="50.81640625" bestFit="1" customWidth="1"/>
    <col min="4" max="4" width="30.453125" bestFit="1" customWidth="1"/>
    <col min="5" max="5" width="13.54296875" bestFit="1" customWidth="1"/>
    <col min="6" max="6" width="6" bestFit="1" customWidth="1"/>
    <col min="7" max="7" width="14.453125" bestFit="1" customWidth="1"/>
    <col min="8" max="8" width="15.26953125" bestFit="1" customWidth="1"/>
    <col min="10" max="10" width="13.453125" bestFit="1" customWidth="1"/>
  </cols>
  <sheetData>
    <row r="1" spans="1:10" ht="14">
      <c r="A1" s="36" t="s">
        <v>2169</v>
      </c>
      <c r="B1" s="31" t="s">
        <v>0</v>
      </c>
      <c r="C1" s="32" t="s">
        <v>1</v>
      </c>
      <c r="D1" s="32" t="s">
        <v>2</v>
      </c>
      <c r="E1" s="2" t="s">
        <v>3</v>
      </c>
      <c r="F1" s="33" t="s">
        <v>4</v>
      </c>
      <c r="G1" s="81" t="s">
        <v>5</v>
      </c>
      <c r="H1" s="34" t="s">
        <v>6</v>
      </c>
      <c r="I1" s="35"/>
      <c r="J1" s="35"/>
    </row>
    <row r="2" spans="1:10" ht="15.5">
      <c r="A2" s="36" t="e">
        <v>#N/A</v>
      </c>
      <c r="B2" s="67">
        <v>4594</v>
      </c>
      <c r="C2" s="67" t="s">
        <v>360</v>
      </c>
      <c r="D2" s="69">
        <v>8.9599999999999991</v>
      </c>
      <c r="E2" s="51" t="s">
        <v>8</v>
      </c>
      <c r="F2" s="64" t="s">
        <v>21</v>
      </c>
      <c r="G2" s="42">
        <v>1000</v>
      </c>
      <c r="H2" s="40">
        <f>D2/G2</f>
        <v>8.9599999999999992E-3</v>
      </c>
      <c r="I2" s="35"/>
      <c r="J2" s="80" t="s">
        <v>3013</v>
      </c>
    </row>
    <row r="3" spans="1:10" ht="15.5">
      <c r="A3" s="36" t="e">
        <v>#N/A</v>
      </c>
      <c r="B3" s="67">
        <v>5375</v>
      </c>
      <c r="C3" s="67" t="s">
        <v>329</v>
      </c>
      <c r="D3" s="70">
        <v>8.9599999999999991</v>
      </c>
      <c r="E3" s="51" t="s">
        <v>8</v>
      </c>
      <c r="F3" s="64" t="s">
        <v>21</v>
      </c>
      <c r="G3" s="42">
        <v>1000</v>
      </c>
      <c r="H3" s="40">
        <f t="shared" ref="H3:H26" si="0">D3/G3</f>
        <v>8.9599999999999992E-3</v>
      </c>
      <c r="I3" s="35"/>
      <c r="J3" s="80" t="s">
        <v>3014</v>
      </c>
    </row>
    <row r="4" spans="1:10" ht="15.5">
      <c r="A4" s="36" t="e">
        <v>#N/A</v>
      </c>
      <c r="B4" s="67">
        <v>5395</v>
      </c>
      <c r="C4" s="72" t="s">
        <v>296</v>
      </c>
      <c r="D4" s="69">
        <v>8.9599999999999991</v>
      </c>
      <c r="E4" s="51" t="s">
        <v>8</v>
      </c>
      <c r="F4" s="64" t="s">
        <v>21</v>
      </c>
      <c r="G4" s="42">
        <v>1000</v>
      </c>
      <c r="H4" s="40">
        <f t="shared" si="0"/>
        <v>8.9599999999999992E-3</v>
      </c>
      <c r="I4" s="35"/>
      <c r="J4" s="80" t="s">
        <v>3014</v>
      </c>
    </row>
    <row r="5" spans="1:10" ht="15.5">
      <c r="A5" s="36" t="e">
        <v>#N/A</v>
      </c>
      <c r="B5" s="67">
        <v>5400</v>
      </c>
      <c r="C5" s="67" t="s">
        <v>301</v>
      </c>
      <c r="D5" s="67">
        <v>8.9599999999999991</v>
      </c>
      <c r="E5" s="51" t="s">
        <v>8</v>
      </c>
      <c r="F5" s="64" t="s">
        <v>21</v>
      </c>
      <c r="G5" s="42">
        <v>1000</v>
      </c>
      <c r="H5" s="40">
        <f t="shared" si="0"/>
        <v>8.9599999999999992E-3</v>
      </c>
      <c r="I5" s="35"/>
      <c r="J5" s="80" t="s">
        <v>3015</v>
      </c>
    </row>
    <row r="6" spans="1:10" ht="15.5">
      <c r="A6" s="36" t="e">
        <v>#N/A</v>
      </c>
      <c r="B6" s="67">
        <v>5320</v>
      </c>
      <c r="C6" s="51" t="s">
        <v>447</v>
      </c>
      <c r="D6" s="69">
        <v>8.9599999999999991</v>
      </c>
      <c r="E6" s="51" t="s">
        <v>8</v>
      </c>
      <c r="F6" s="64" t="s">
        <v>21</v>
      </c>
      <c r="G6" s="42">
        <v>1000</v>
      </c>
      <c r="H6" s="40">
        <f t="shared" si="0"/>
        <v>8.9599999999999992E-3</v>
      </c>
      <c r="I6" s="35"/>
      <c r="J6" s="80" t="s">
        <v>3013</v>
      </c>
    </row>
    <row r="7" spans="1:10" ht="15.5">
      <c r="A7" s="36" t="e">
        <v>#N/A</v>
      </c>
      <c r="B7" s="67">
        <v>5321</v>
      </c>
      <c r="C7" s="51" t="s">
        <v>448</v>
      </c>
      <c r="D7" s="69">
        <v>8.9599999999999991</v>
      </c>
      <c r="E7" s="51" t="s">
        <v>8</v>
      </c>
      <c r="F7" s="64" t="s">
        <v>21</v>
      </c>
      <c r="G7" s="42">
        <v>1000</v>
      </c>
      <c r="H7" s="40">
        <f t="shared" si="0"/>
        <v>8.9599999999999992E-3</v>
      </c>
      <c r="I7" s="35"/>
      <c r="J7" s="80" t="s">
        <v>3013</v>
      </c>
    </row>
    <row r="8" spans="1:10" ht="15.5">
      <c r="A8" s="36" t="e">
        <v>#N/A</v>
      </c>
      <c r="B8" s="67">
        <v>5332</v>
      </c>
      <c r="C8" s="67" t="s">
        <v>1972</v>
      </c>
      <c r="D8" s="67">
        <v>8.9599999999999991</v>
      </c>
      <c r="E8" s="51" t="s">
        <v>8</v>
      </c>
      <c r="F8" s="64" t="s">
        <v>21</v>
      </c>
      <c r="G8" s="42">
        <v>1000</v>
      </c>
      <c r="H8" s="40">
        <f t="shared" si="0"/>
        <v>8.9599999999999992E-3</v>
      </c>
      <c r="I8" s="35"/>
      <c r="J8" s="80" t="s">
        <v>3015</v>
      </c>
    </row>
    <row r="9" spans="1:10" ht="15.5">
      <c r="A9" s="36" t="e">
        <v>#N/A</v>
      </c>
      <c r="B9" s="67">
        <v>5337</v>
      </c>
      <c r="C9" s="68" t="s">
        <v>1973</v>
      </c>
      <c r="D9" s="67">
        <v>8.9599999999999991</v>
      </c>
      <c r="E9" s="51" t="s">
        <v>8</v>
      </c>
      <c r="F9" s="64" t="s">
        <v>21</v>
      </c>
      <c r="G9" s="42">
        <v>1000</v>
      </c>
      <c r="H9" s="40">
        <f t="shared" si="0"/>
        <v>8.9599999999999992E-3</v>
      </c>
      <c r="I9" s="35"/>
      <c r="J9" s="80" t="s">
        <v>3015</v>
      </c>
    </row>
    <row r="10" spans="1:10" ht="15.5">
      <c r="A10" s="36" t="e">
        <v>#N/A</v>
      </c>
      <c r="B10" s="67">
        <v>5351</v>
      </c>
      <c r="C10" s="51" t="s">
        <v>464</v>
      </c>
      <c r="D10" s="67">
        <v>8.9599999999999991</v>
      </c>
      <c r="E10" s="51" t="s">
        <v>8</v>
      </c>
      <c r="F10" s="64" t="s">
        <v>21</v>
      </c>
      <c r="G10" s="42">
        <v>1000</v>
      </c>
      <c r="H10" s="40">
        <f t="shared" si="0"/>
        <v>8.9599999999999992E-3</v>
      </c>
      <c r="I10" s="35"/>
      <c r="J10" s="80" t="s">
        <v>3013</v>
      </c>
    </row>
    <row r="11" spans="1:10" ht="15.5">
      <c r="A11" s="36" t="e">
        <v>#N/A</v>
      </c>
      <c r="B11" s="67">
        <v>5360</v>
      </c>
      <c r="C11" s="51" t="s">
        <v>469</v>
      </c>
      <c r="D11" s="51">
        <v>8.9599999999999991</v>
      </c>
      <c r="E11" s="51" t="s">
        <v>8</v>
      </c>
      <c r="F11" s="64" t="s">
        <v>21</v>
      </c>
      <c r="G11" s="42">
        <v>1000</v>
      </c>
      <c r="H11" s="40">
        <f t="shared" si="0"/>
        <v>8.9599999999999992E-3</v>
      </c>
      <c r="I11" s="35"/>
      <c r="J11" s="80" t="s">
        <v>3013</v>
      </c>
    </row>
    <row r="12" spans="1:10" ht="15.5">
      <c r="A12" s="36" t="e">
        <v>#N/A</v>
      </c>
      <c r="B12" s="67">
        <v>5362</v>
      </c>
      <c r="C12" s="51" t="s">
        <v>471</v>
      </c>
      <c r="D12" s="51">
        <v>8.9599999999999991</v>
      </c>
      <c r="E12" s="51" t="s">
        <v>8</v>
      </c>
      <c r="F12" s="64" t="s">
        <v>21</v>
      </c>
      <c r="G12" s="42">
        <v>1000</v>
      </c>
      <c r="H12" s="40">
        <f t="shared" si="0"/>
        <v>8.9599999999999992E-3</v>
      </c>
      <c r="I12" s="35"/>
      <c r="J12" s="80" t="s">
        <v>3013</v>
      </c>
    </row>
    <row r="13" spans="1:10" ht="15.5">
      <c r="A13" s="36" t="e">
        <v>#N/A</v>
      </c>
      <c r="B13" s="278">
        <v>5373</v>
      </c>
      <c r="C13" s="278" t="s">
        <v>1974</v>
      </c>
      <c r="D13" s="199">
        <f>VLOOKUP(B13,'تسعير تفصيل الخروف مشغل'!B:D,3,0)</f>
        <v>9.01</v>
      </c>
      <c r="E13" s="51" t="s">
        <v>8</v>
      </c>
      <c r="F13" s="64" t="s">
        <v>21</v>
      </c>
      <c r="G13" s="42">
        <v>1000</v>
      </c>
      <c r="H13" s="40">
        <f t="shared" si="0"/>
        <v>9.0100000000000006E-3</v>
      </c>
      <c r="I13" s="35"/>
      <c r="J13" s="80" t="s">
        <v>3015</v>
      </c>
    </row>
    <row r="14" spans="1:10" ht="15.5">
      <c r="A14" s="36" t="e">
        <v>#N/A</v>
      </c>
      <c r="B14" s="67">
        <v>4585</v>
      </c>
      <c r="C14" s="67" t="s">
        <v>356</v>
      </c>
      <c r="D14" s="67">
        <v>12.9</v>
      </c>
      <c r="E14" s="51" t="s">
        <v>8</v>
      </c>
      <c r="F14" s="64" t="s">
        <v>21</v>
      </c>
      <c r="G14" s="42">
        <v>1000</v>
      </c>
      <c r="H14" s="40">
        <f t="shared" si="0"/>
        <v>1.29E-2</v>
      </c>
      <c r="I14" s="35"/>
      <c r="J14" s="80" t="s">
        <v>3014</v>
      </c>
    </row>
    <row r="15" spans="1:10" ht="15.5">
      <c r="A15" s="36" t="e">
        <v>#N/A</v>
      </c>
      <c r="B15" s="67">
        <v>5346</v>
      </c>
      <c r="C15" s="67" t="s">
        <v>295</v>
      </c>
      <c r="D15" s="67">
        <v>12.9</v>
      </c>
      <c r="E15" s="51" t="s">
        <v>8</v>
      </c>
      <c r="F15" s="64" t="s">
        <v>21</v>
      </c>
      <c r="G15" s="42">
        <v>1000</v>
      </c>
      <c r="H15" s="40">
        <f t="shared" si="0"/>
        <v>1.29E-2</v>
      </c>
      <c r="I15" s="35"/>
      <c r="J15" s="80" t="s">
        <v>3015</v>
      </c>
    </row>
    <row r="16" spans="1:10" ht="15.5">
      <c r="A16" s="36" t="e">
        <v>#N/A</v>
      </c>
      <c r="B16" s="67">
        <v>5347</v>
      </c>
      <c r="C16" s="67" t="s">
        <v>294</v>
      </c>
      <c r="D16" s="67">
        <v>12.9</v>
      </c>
      <c r="E16" s="51" t="s">
        <v>8</v>
      </c>
      <c r="F16" s="64" t="s">
        <v>21</v>
      </c>
      <c r="G16" s="42">
        <v>1000</v>
      </c>
      <c r="H16" s="40">
        <f t="shared" si="0"/>
        <v>1.29E-2</v>
      </c>
      <c r="I16" s="35"/>
      <c r="J16" s="80" t="s">
        <v>3015</v>
      </c>
    </row>
    <row r="17" spans="1:10" ht="15.5">
      <c r="A17" s="36" t="e">
        <v>#N/A</v>
      </c>
      <c r="B17" s="67">
        <v>5396</v>
      </c>
      <c r="C17" s="67" t="s">
        <v>297</v>
      </c>
      <c r="D17" s="67">
        <v>12.9</v>
      </c>
      <c r="E17" s="51" t="s">
        <v>8</v>
      </c>
      <c r="F17" s="64" t="s">
        <v>21</v>
      </c>
      <c r="G17" s="42">
        <v>1000</v>
      </c>
      <c r="H17" s="40">
        <f t="shared" si="0"/>
        <v>1.29E-2</v>
      </c>
      <c r="I17" s="35"/>
      <c r="J17" s="80" t="s">
        <v>3015</v>
      </c>
    </row>
    <row r="18" spans="1:10" ht="15.5">
      <c r="A18" s="36" t="e">
        <v>#N/A</v>
      </c>
      <c r="B18" s="67">
        <v>5397</v>
      </c>
      <c r="C18" s="67" t="s">
        <v>298</v>
      </c>
      <c r="D18" s="67">
        <v>12.9</v>
      </c>
      <c r="E18" s="51" t="s">
        <v>8</v>
      </c>
      <c r="F18" s="64" t="s">
        <v>21</v>
      </c>
      <c r="G18" s="42">
        <v>1000</v>
      </c>
      <c r="H18" s="40">
        <f t="shared" si="0"/>
        <v>1.29E-2</v>
      </c>
      <c r="I18" s="35"/>
      <c r="J18" s="80" t="s">
        <v>3015</v>
      </c>
    </row>
    <row r="19" spans="1:10" ht="15.5">
      <c r="A19" s="36" t="e">
        <v>#N/A</v>
      </c>
      <c r="B19" s="67">
        <v>5399</v>
      </c>
      <c r="C19" s="67" t="s">
        <v>300</v>
      </c>
      <c r="D19" s="67">
        <v>12.9</v>
      </c>
      <c r="E19" s="51" t="s">
        <v>8</v>
      </c>
      <c r="F19" s="64" t="s">
        <v>21</v>
      </c>
      <c r="G19" s="42">
        <v>1000</v>
      </c>
      <c r="H19" s="40">
        <f t="shared" si="0"/>
        <v>1.29E-2</v>
      </c>
      <c r="I19" s="35"/>
      <c r="J19" s="80" t="s">
        <v>3014</v>
      </c>
    </row>
    <row r="20" spans="1:10" ht="15.5">
      <c r="A20" s="36" t="e">
        <v>#N/A</v>
      </c>
      <c r="B20" s="278">
        <v>5401</v>
      </c>
      <c r="C20" s="278" t="s">
        <v>1943</v>
      </c>
      <c r="D20" s="199">
        <v>12.9</v>
      </c>
      <c r="E20" s="51" t="s">
        <v>8</v>
      </c>
      <c r="F20" s="64" t="s">
        <v>21</v>
      </c>
      <c r="G20" s="42">
        <v>1000</v>
      </c>
      <c r="H20" s="40">
        <f t="shared" si="0"/>
        <v>1.29E-2</v>
      </c>
      <c r="I20" s="35"/>
      <c r="J20" s="80" t="s">
        <v>3014</v>
      </c>
    </row>
    <row r="21" spans="1:10" ht="15.5">
      <c r="A21" s="36" t="e">
        <v>#N/A</v>
      </c>
      <c r="B21" s="67">
        <v>4586</v>
      </c>
      <c r="C21" s="67" t="s">
        <v>358</v>
      </c>
      <c r="D21" s="51">
        <v>14.5</v>
      </c>
      <c r="E21" s="51" t="s">
        <v>8</v>
      </c>
      <c r="F21" s="64" t="s">
        <v>21</v>
      </c>
      <c r="G21" s="42">
        <v>1000</v>
      </c>
      <c r="H21" s="40">
        <f t="shared" si="0"/>
        <v>1.4500000000000001E-2</v>
      </c>
      <c r="I21" s="35"/>
      <c r="J21" s="80" t="s">
        <v>3015</v>
      </c>
    </row>
    <row r="22" spans="1:10" ht="14">
      <c r="A22" s="36" t="e">
        <v>#N/A</v>
      </c>
      <c r="B22" s="51">
        <v>4587</v>
      </c>
      <c r="C22" s="51" t="s">
        <v>359</v>
      </c>
      <c r="D22" s="51">
        <v>14.5</v>
      </c>
      <c r="E22" s="51" t="s">
        <v>8</v>
      </c>
      <c r="F22" s="64" t="s">
        <v>21</v>
      </c>
      <c r="G22" s="42">
        <v>1000</v>
      </c>
      <c r="H22" s="40">
        <f t="shared" si="0"/>
        <v>1.4500000000000001E-2</v>
      </c>
      <c r="I22" s="35"/>
      <c r="J22" s="80" t="s">
        <v>3015</v>
      </c>
    </row>
    <row r="23" spans="1:10" ht="15.5">
      <c r="A23" s="36" t="e">
        <v>#N/A</v>
      </c>
      <c r="B23" s="67">
        <v>5441</v>
      </c>
      <c r="C23" s="67" t="s">
        <v>388</v>
      </c>
      <c r="D23" s="51">
        <v>14.5</v>
      </c>
      <c r="E23" s="51" t="s">
        <v>8</v>
      </c>
      <c r="F23" s="64" t="s">
        <v>21</v>
      </c>
      <c r="G23" s="42">
        <v>1000</v>
      </c>
      <c r="H23" s="40">
        <f t="shared" si="0"/>
        <v>1.4500000000000001E-2</v>
      </c>
      <c r="I23" s="35"/>
      <c r="J23" s="80" t="s">
        <v>3015</v>
      </c>
    </row>
    <row r="24" spans="1:10" ht="15.5">
      <c r="A24" s="36" t="e">
        <v>#N/A</v>
      </c>
      <c r="B24" s="67">
        <v>5348</v>
      </c>
      <c r="C24" s="51" t="s">
        <v>461</v>
      </c>
      <c r="D24" s="37">
        <v>14.5</v>
      </c>
      <c r="E24" s="51" t="s">
        <v>8</v>
      </c>
      <c r="F24" s="64" t="s">
        <v>21</v>
      </c>
      <c r="G24" s="42">
        <v>1000</v>
      </c>
      <c r="H24" s="40">
        <f t="shared" si="0"/>
        <v>1.4500000000000001E-2</v>
      </c>
    </row>
    <row r="25" spans="1:10" ht="15.5">
      <c r="A25" s="36" t="e">
        <v>#N/A</v>
      </c>
      <c r="B25" s="67">
        <v>5349</v>
      </c>
      <c r="C25" s="51" t="s">
        <v>462</v>
      </c>
      <c r="D25" s="37">
        <v>14.5</v>
      </c>
      <c r="E25" s="51" t="s">
        <v>8</v>
      </c>
      <c r="F25" s="64" t="s">
        <v>21</v>
      </c>
      <c r="G25" s="42">
        <v>1000</v>
      </c>
      <c r="H25" s="40">
        <f t="shared" si="0"/>
        <v>1.4500000000000001E-2</v>
      </c>
    </row>
    <row r="26" spans="1:10" ht="15.5">
      <c r="A26" s="36" t="e">
        <v>#N/A</v>
      </c>
      <c r="B26" s="278">
        <v>5398</v>
      </c>
      <c r="C26" s="291" t="s">
        <v>2071</v>
      </c>
      <c r="D26" s="202">
        <f>VLOOKUP(B26,'تسعير تفصيل الخروف مشغل'!B:D,3,0)</f>
        <v>21.5</v>
      </c>
      <c r="E26" s="51" t="s">
        <v>8</v>
      </c>
      <c r="F26" s="64" t="s">
        <v>21</v>
      </c>
      <c r="G26" s="42">
        <v>1000</v>
      </c>
      <c r="H26" s="40">
        <f t="shared" si="0"/>
        <v>2.1499999999999998E-2</v>
      </c>
    </row>
  </sheetData>
  <autoFilter ref="D1:D26" xr:uid="{D2E0A9E6-8086-4873-BE31-9B3E8F438922}"/>
  <sortState xmlns:xlrd2="http://schemas.microsoft.com/office/spreadsheetml/2017/richdata2" ref="A2:H26">
    <sortCondition ref="D1:D26"/>
  </sortState>
  <conditionalFormatting sqref="B1:B23">
    <cfRule type="duplicateValues" dxfId="11" priority="10"/>
    <cfRule type="duplicateValues" dxfId="10" priority="11"/>
    <cfRule type="duplicateValues" dxfId="9" priority="12"/>
  </conditionalFormatting>
  <conditionalFormatting sqref="B24">
    <cfRule type="duplicateValues" dxfId="8" priority="7"/>
    <cfRule type="duplicateValues" dxfId="7" priority="8"/>
    <cfRule type="duplicateValues" dxfId="6" priority="9"/>
  </conditionalFormatting>
  <conditionalFormatting sqref="B25">
    <cfRule type="duplicateValues" dxfId="5" priority="4"/>
    <cfRule type="duplicateValues" dxfId="4" priority="5"/>
    <cfRule type="duplicateValues" dxfId="3" priority="6"/>
  </conditionalFormatting>
  <conditionalFormatting sqref="B2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>
    <outlinePr summaryBelow="0" summaryRight="0"/>
  </sheetPr>
  <dimension ref="A1:P1177"/>
  <sheetViews>
    <sheetView workbookViewId="0">
      <pane ySplit="1" topLeftCell="A430" activePane="bottomLeft" state="frozen"/>
      <selection pane="bottomLeft" sqref="A1:XFD1048576"/>
    </sheetView>
  </sheetViews>
  <sheetFormatPr defaultColWidth="12.54296875" defaultRowHeight="15.75" customHeight="1"/>
  <cols>
    <col min="1" max="1" width="11.54296875" bestFit="1" customWidth="1"/>
    <col min="2" max="2" width="14.1796875" style="171" bestFit="1" customWidth="1"/>
    <col min="3" max="3" width="43.54296875" bestFit="1" customWidth="1"/>
    <col min="4" max="4" width="20.81640625" bestFit="1" customWidth="1"/>
    <col min="5" max="5" width="9.81640625" bestFit="1" customWidth="1"/>
    <col min="6" max="6" width="12" bestFit="1" customWidth="1"/>
    <col min="7" max="7" width="17" bestFit="1" customWidth="1"/>
    <col min="8" max="8" width="20.1796875" bestFit="1" customWidth="1"/>
    <col min="9" max="9" width="23.54296875" bestFit="1" customWidth="1"/>
    <col min="10" max="10" width="15.1796875" bestFit="1" customWidth="1"/>
    <col min="11" max="11" width="13.453125" bestFit="1" customWidth="1"/>
    <col min="12" max="12" width="18.1796875" bestFit="1" customWidth="1"/>
    <col min="13" max="13" width="14.453125" bestFit="1" customWidth="1"/>
  </cols>
  <sheetData>
    <row r="1" spans="1:16" s="158" customFormat="1" ht="14.5">
      <c r="A1" s="162" t="s">
        <v>1326</v>
      </c>
      <c r="B1" s="165" t="s">
        <v>1327</v>
      </c>
      <c r="C1" s="158" t="s">
        <v>1959</v>
      </c>
      <c r="D1" s="162" t="s">
        <v>1328</v>
      </c>
      <c r="E1" s="162" t="s">
        <v>1960</v>
      </c>
      <c r="F1" s="158" t="s">
        <v>1957</v>
      </c>
      <c r="G1" s="162" t="s">
        <v>1958</v>
      </c>
      <c r="H1" s="162" t="s">
        <v>1329</v>
      </c>
      <c r="I1" s="162" t="s">
        <v>1330</v>
      </c>
      <c r="J1" s="163" t="s">
        <v>1958</v>
      </c>
      <c r="K1" s="164" t="s">
        <v>2023</v>
      </c>
      <c r="L1" s="159" t="s">
        <v>1331</v>
      </c>
      <c r="M1" s="159" t="s">
        <v>1332</v>
      </c>
      <c r="O1" s="158" t="s">
        <v>1805</v>
      </c>
    </row>
    <row r="2" spans="1:16" s="151" customFormat="1" ht="14.5">
      <c r="A2" s="266" t="s">
        <v>2015</v>
      </c>
      <c r="B2" s="267" t="s">
        <v>1921</v>
      </c>
      <c r="C2" s="268" t="s">
        <v>1922</v>
      </c>
      <c r="D2" s="269" t="str">
        <f>VLOOKUP(B2,'All Menu'!B:D,3,0)</f>
        <v>اشتراكات</v>
      </c>
      <c r="E2" s="270">
        <f t="shared" ref="E2:E64" si="0">G2/F2</f>
        <v>3.75</v>
      </c>
      <c r="F2" s="151">
        <v>959</v>
      </c>
      <c r="G2" s="153">
        <v>3596.25</v>
      </c>
      <c r="H2" s="115">
        <f>VLOOKUP(B2,'All Menu'!B:J,9,0)</f>
        <v>1.9936646727101242</v>
      </c>
      <c r="I2" s="120">
        <f>VLOOKUP(B2,'All Menu'!B:M,12,0)</f>
        <v>0.46835608727730021</v>
      </c>
      <c r="J2" s="114">
        <f t="shared" ref="J2:J28" si="1">F2*L2</f>
        <v>3596.25</v>
      </c>
      <c r="K2" s="117">
        <f t="shared" ref="K2:K28" si="2">G2-J2</f>
        <v>0</v>
      </c>
      <c r="L2" s="118">
        <f>VLOOKUP(B2,'All Menu'!B:G,6,0)</f>
        <v>3.75</v>
      </c>
      <c r="M2" s="118">
        <f t="shared" ref="M2:M28" si="3">E2-L2</f>
        <v>0</v>
      </c>
      <c r="N2" s="151">
        <f ca="1">VLOOKUP(B2,'All Menu'!B:H,7,0)</f>
        <v>959</v>
      </c>
      <c r="O2" s="151" t="s">
        <v>2006</v>
      </c>
      <c r="P2" s="151" t="s">
        <v>2007</v>
      </c>
    </row>
    <row r="3" spans="1:16" s="151" customFormat="1" ht="14.5">
      <c r="A3" s="266" t="s">
        <v>2015</v>
      </c>
      <c r="B3" s="267" t="s">
        <v>1979</v>
      </c>
      <c r="C3" s="268" t="s">
        <v>1992</v>
      </c>
      <c r="D3" s="269" t="str">
        <f>VLOOKUP(B3,'All Menu'!B:D,3,0)</f>
        <v>اضاحي</v>
      </c>
      <c r="E3" s="270">
        <f t="shared" si="0"/>
        <v>250</v>
      </c>
      <c r="F3" s="151">
        <v>2</v>
      </c>
      <c r="G3" s="153">
        <v>500</v>
      </c>
      <c r="H3" s="115">
        <f>VLOOKUP(B3,'All Menu'!B:J,9,0)</f>
        <v>0</v>
      </c>
      <c r="I3" s="120">
        <f>VLOOKUP(B3,'All Menu'!B:M,12,0)</f>
        <v>1</v>
      </c>
      <c r="J3" s="114">
        <f t="shared" si="1"/>
        <v>570</v>
      </c>
      <c r="K3" s="117">
        <f t="shared" si="2"/>
        <v>-70</v>
      </c>
      <c r="L3" s="118">
        <f>VLOOKUP(B3,'All Menu'!B:G,6,0)</f>
        <v>285</v>
      </c>
      <c r="M3" s="118">
        <f t="shared" si="3"/>
        <v>-35</v>
      </c>
      <c r="N3" s="151">
        <f ca="1">VLOOKUP(B3,'All Menu'!B:H,7,0)</f>
        <v>2</v>
      </c>
      <c r="O3" s="167" t="s">
        <v>2008</v>
      </c>
      <c r="P3" s="151" t="s">
        <v>2009</v>
      </c>
    </row>
    <row r="4" spans="1:16" s="151" customFormat="1" ht="14.5">
      <c r="A4" s="266" t="s">
        <v>2015</v>
      </c>
      <c r="B4" s="167" t="s">
        <v>1980</v>
      </c>
      <c r="C4" s="151" t="s">
        <v>1993</v>
      </c>
      <c r="D4" s="115" t="str">
        <f>VLOOKUP(B4,'All Menu'!B:D,3,0)</f>
        <v>اضاحي</v>
      </c>
      <c r="E4" s="116">
        <f t="shared" si="0"/>
        <v>6.416666666666667</v>
      </c>
      <c r="F4" s="151">
        <v>120</v>
      </c>
      <c r="G4" s="153">
        <v>770</v>
      </c>
      <c r="H4" s="115">
        <f>VLOOKUP(B4,'All Menu'!B:J,9,0)</f>
        <v>0</v>
      </c>
      <c r="I4" s="120">
        <f>VLOOKUP(B4,'All Menu'!B:M,12,0)</f>
        <v>1</v>
      </c>
      <c r="J4" s="114">
        <f t="shared" si="1"/>
        <v>840</v>
      </c>
      <c r="K4" s="117">
        <f t="shared" si="2"/>
        <v>-70</v>
      </c>
      <c r="L4" s="118">
        <f>VLOOKUP(B4,'All Menu'!B:G,6,0)</f>
        <v>7</v>
      </c>
      <c r="M4" s="118">
        <f t="shared" si="3"/>
        <v>-0.58333333333333304</v>
      </c>
      <c r="N4" s="151">
        <f ca="1">VLOOKUP(B4,'All Menu'!B:H,7,0)</f>
        <v>120</v>
      </c>
    </row>
    <row r="5" spans="1:16" s="151" customFormat="1" ht="14.5">
      <c r="A5" s="266" t="s">
        <v>2015</v>
      </c>
      <c r="B5" s="167" t="s">
        <v>1983</v>
      </c>
      <c r="C5" s="151" t="s">
        <v>1996</v>
      </c>
      <c r="D5" s="115" t="str">
        <f>VLOOKUP(B5,'All Menu'!B:D,3,0)</f>
        <v>اضاحي</v>
      </c>
      <c r="E5" s="116">
        <f t="shared" si="0"/>
        <v>6.476924660534384</v>
      </c>
      <c r="F5" s="151">
        <v>2283</v>
      </c>
      <c r="G5" s="153">
        <v>14786.819</v>
      </c>
      <c r="H5" s="115">
        <f>VLOOKUP(B5,'All Menu'!B:J,9,0)</f>
        <v>0</v>
      </c>
      <c r="I5" s="120">
        <f>VLOOKUP(B5,'All Menu'!B:M,12,0)</f>
        <v>1</v>
      </c>
      <c r="J5" s="114">
        <f t="shared" si="1"/>
        <v>15981</v>
      </c>
      <c r="K5" s="117">
        <f t="shared" si="2"/>
        <v>-1194.1810000000005</v>
      </c>
      <c r="L5" s="118">
        <f>VLOOKUP(B5,'All Menu'!B:G,6,0)</f>
        <v>7</v>
      </c>
      <c r="M5" s="118">
        <f t="shared" si="3"/>
        <v>-0.52307533946561602</v>
      </c>
      <c r="N5" s="151">
        <f ca="1">VLOOKUP(B5,'All Menu'!B:H,7,0)</f>
        <v>2283</v>
      </c>
    </row>
    <row r="6" spans="1:16" s="151" customFormat="1" ht="14.5">
      <c r="A6" s="266" t="s">
        <v>2015</v>
      </c>
      <c r="B6" s="267" t="s">
        <v>1107</v>
      </c>
      <c r="C6" s="268" t="s">
        <v>1365</v>
      </c>
      <c r="D6" s="269" t="str">
        <f>VLOOKUP(B6,'All Menu'!B:D,3,0)</f>
        <v>التواصي سفري</v>
      </c>
      <c r="E6" s="270">
        <f t="shared" si="0"/>
        <v>19.639538398131613</v>
      </c>
      <c r="F6" s="151">
        <v>125.5</v>
      </c>
      <c r="G6" s="153">
        <v>2464.7620689655173</v>
      </c>
      <c r="H6" s="115">
        <f>VLOOKUP(B6,'All Menu'!B:J,9,0)</f>
        <v>13.950857516551945</v>
      </c>
      <c r="I6" s="120">
        <f>VLOOKUP(B6,'All Menu'!B:M,12,0)</f>
        <v>0.29639153394781492</v>
      </c>
      <c r="J6" s="114">
        <f t="shared" si="1"/>
        <v>2488.3620689655172</v>
      </c>
      <c r="K6" s="117">
        <f t="shared" si="2"/>
        <v>-23.599999999999909</v>
      </c>
      <c r="L6" s="118">
        <f>VLOOKUP(B6,'All Menu'!B:G,6,0)</f>
        <v>19.827586206896552</v>
      </c>
      <c r="M6" s="118">
        <f t="shared" si="3"/>
        <v>-0.18804780876493865</v>
      </c>
      <c r="N6" s="151">
        <f ca="1">VLOOKUP(B6,'All Menu'!B:H,7,0)</f>
        <v>224.5</v>
      </c>
      <c r="O6" s="167" t="s">
        <v>1975</v>
      </c>
      <c r="P6" s="151" t="s">
        <v>1989</v>
      </c>
    </row>
    <row r="7" spans="1:16" s="151" customFormat="1" ht="14.5">
      <c r="A7" s="266" t="s">
        <v>2015</v>
      </c>
      <c r="B7" s="167" t="s">
        <v>1108</v>
      </c>
      <c r="C7" s="151" t="s">
        <v>1367</v>
      </c>
      <c r="D7" s="115" t="str">
        <f>VLOOKUP(B7,'All Menu'!B:D,3,0)</f>
        <v>التواصي سفري</v>
      </c>
      <c r="E7" s="116">
        <f t="shared" si="0"/>
        <v>10.719886206896552</v>
      </c>
      <c r="F7" s="151">
        <v>10</v>
      </c>
      <c r="G7" s="153">
        <v>107.19886206896552</v>
      </c>
      <c r="H7" s="115">
        <f>VLOOKUP(B7,'All Menu'!B:J,9,0)</f>
        <v>13.757561773390021</v>
      </c>
      <c r="I7" s="120">
        <f>VLOOKUP(B7,'All Menu'!B:M,12,0)</f>
        <v>0.30614036273337286</v>
      </c>
      <c r="J7" s="114">
        <f t="shared" si="1"/>
        <v>198.27586206896552</v>
      </c>
      <c r="K7" s="117">
        <f t="shared" si="2"/>
        <v>-91.076999999999998</v>
      </c>
      <c r="L7" s="118">
        <f>VLOOKUP(B7,'All Menu'!B:G,6,0)</f>
        <v>19.827586206896552</v>
      </c>
      <c r="M7" s="118">
        <f t="shared" si="3"/>
        <v>-9.1076999999999995</v>
      </c>
      <c r="N7" s="151">
        <f ca="1">VLOOKUP(B7,'All Menu'!B:H,7,0)</f>
        <v>12.0001</v>
      </c>
      <c r="O7" s="167" t="s">
        <v>1976</v>
      </c>
      <c r="P7" s="151" t="s">
        <v>1990</v>
      </c>
    </row>
    <row r="8" spans="1:16" s="151" customFormat="1" ht="14.5">
      <c r="A8" s="266" t="s">
        <v>2015</v>
      </c>
      <c r="B8" s="167" t="s">
        <v>1120</v>
      </c>
      <c r="C8" s="151" t="s">
        <v>1368</v>
      </c>
      <c r="D8" s="115" t="str">
        <f>VLOOKUP(B8,'All Menu'!B:D,3,0)</f>
        <v>التواصي سفري</v>
      </c>
      <c r="E8" s="116">
        <f t="shared" si="0"/>
        <v>19.827586206896552</v>
      </c>
      <c r="F8" s="151">
        <v>8</v>
      </c>
      <c r="G8" s="153">
        <v>158.62068965517241</v>
      </c>
      <c r="H8" s="115">
        <f>VLOOKUP(B8,'All Menu'!B:J,9,0)</f>
        <v>14.043502748753404</v>
      </c>
      <c r="I8" s="120">
        <f>VLOOKUP(B8,'All Menu'!B:M,12,0)</f>
        <v>0.29171899180200223</v>
      </c>
      <c r="J8" s="114">
        <f t="shared" si="1"/>
        <v>158.62068965517241</v>
      </c>
      <c r="K8" s="117">
        <f t="shared" si="2"/>
        <v>0</v>
      </c>
      <c r="L8" s="118">
        <f>VLOOKUP(B8,'All Menu'!B:G,6,0)</f>
        <v>19.827586206896552</v>
      </c>
      <c r="M8" s="118">
        <f t="shared" si="3"/>
        <v>0</v>
      </c>
      <c r="N8" s="151">
        <f ca="1">VLOOKUP(B8,'All Menu'!B:H,7,0)</f>
        <v>9.0009999999999994</v>
      </c>
      <c r="O8" s="167" t="s">
        <v>1977</v>
      </c>
      <c r="P8" s="151" t="s">
        <v>2010</v>
      </c>
    </row>
    <row r="9" spans="1:16" s="151" customFormat="1" ht="14.5">
      <c r="A9" s="266" t="s">
        <v>2015</v>
      </c>
      <c r="B9" s="167" t="s">
        <v>1121</v>
      </c>
      <c r="C9" s="151" t="s">
        <v>1650</v>
      </c>
      <c r="D9" s="115" t="str">
        <f>VLOOKUP(B9,'All Menu'!B:D,3,0)</f>
        <v>التواصي سفري</v>
      </c>
      <c r="E9" s="116">
        <f t="shared" si="0"/>
        <v>19.827586206896552</v>
      </c>
      <c r="F9" s="151">
        <v>16.5</v>
      </c>
      <c r="G9" s="153">
        <v>327.15517241379308</v>
      </c>
      <c r="H9" s="115">
        <f>VLOOKUP(B9,'All Menu'!B:J,9,0)</f>
        <v>14.851071923993471</v>
      </c>
      <c r="I9" s="120">
        <f>VLOOKUP(B9,'All Menu'!B:M,12,0)</f>
        <v>0.2509894160072858</v>
      </c>
      <c r="J9" s="114">
        <f t="shared" si="1"/>
        <v>327.15517241379308</v>
      </c>
      <c r="K9" s="117">
        <f t="shared" si="2"/>
        <v>0</v>
      </c>
      <c r="L9" s="118">
        <f>VLOOKUP(B9,'All Menu'!B:G,6,0)</f>
        <v>19.827586206896552</v>
      </c>
      <c r="M9" s="118">
        <f t="shared" si="3"/>
        <v>0</v>
      </c>
      <c r="N9" s="151">
        <f ca="1">VLOOKUP(B9,'All Menu'!B:H,7,0)</f>
        <v>24.5</v>
      </c>
    </row>
    <row r="10" spans="1:16" s="151" customFormat="1" ht="14.5">
      <c r="A10" s="266" t="s">
        <v>2015</v>
      </c>
      <c r="B10" s="167" t="s">
        <v>1122</v>
      </c>
      <c r="C10" s="151" t="s">
        <v>1826</v>
      </c>
      <c r="D10" s="115" t="str">
        <f>VLOOKUP(B10,'All Menu'!B:D,3,0)</f>
        <v>التواصي سفري</v>
      </c>
      <c r="E10" s="116">
        <f t="shared" si="0"/>
        <v>19.827586206896552</v>
      </c>
      <c r="F10" s="151">
        <v>2</v>
      </c>
      <c r="G10" s="153">
        <v>39.655172413793103</v>
      </c>
      <c r="H10" s="115">
        <f>VLOOKUP(B10,'All Menu'!B:J,9,0)</f>
        <v>15.034865405975454</v>
      </c>
      <c r="I10" s="120">
        <f>VLOOKUP(B10,'All Menu'!B:M,12,0)</f>
        <v>0.24171983169862926</v>
      </c>
      <c r="J10" s="114">
        <f t="shared" si="1"/>
        <v>39.655172413793103</v>
      </c>
      <c r="K10" s="117">
        <f t="shared" si="2"/>
        <v>0</v>
      </c>
      <c r="L10" s="118">
        <f>VLOOKUP(B10,'All Menu'!B:G,6,0)</f>
        <v>19.827586206896552</v>
      </c>
      <c r="M10" s="118">
        <f t="shared" si="3"/>
        <v>0</v>
      </c>
      <c r="N10" s="151">
        <f ca="1">VLOOKUP(B10,'All Menu'!B:H,7,0)</f>
        <v>2</v>
      </c>
    </row>
    <row r="11" spans="1:16" s="151" customFormat="1" ht="14.5">
      <c r="A11" s="266" t="s">
        <v>2015</v>
      </c>
      <c r="B11" s="167" t="s">
        <v>1164</v>
      </c>
      <c r="C11" s="151" t="s">
        <v>1651</v>
      </c>
      <c r="D11" s="115" t="str">
        <f>VLOOKUP(B11,'All Menu'!B:D,3,0)</f>
        <v>التواصي سفري</v>
      </c>
      <c r="E11" s="116">
        <f t="shared" si="0"/>
        <v>19.827586206896552</v>
      </c>
      <c r="F11" s="151">
        <v>4</v>
      </c>
      <c r="G11" s="153">
        <v>79.310344827586206</v>
      </c>
      <c r="H11" s="115">
        <f>VLOOKUP(B11,'All Menu'!B:J,9,0)</f>
        <v>13.566721674174687</v>
      </c>
      <c r="I11" s="120">
        <f>VLOOKUP(B11,'All Menu'!B:M,12,0)</f>
        <v>0.31576534165032011</v>
      </c>
      <c r="J11" s="114">
        <f t="shared" si="1"/>
        <v>79.310344827586206</v>
      </c>
      <c r="K11" s="117">
        <f t="shared" si="2"/>
        <v>0</v>
      </c>
      <c r="L11" s="118">
        <f>VLOOKUP(B11,'All Menu'!B:G,6,0)</f>
        <v>19.827586206896552</v>
      </c>
      <c r="M11" s="118">
        <f t="shared" si="3"/>
        <v>0</v>
      </c>
      <c r="N11" s="151">
        <f ca="1">VLOOKUP(B11,'All Menu'!B:H,7,0)</f>
        <v>4</v>
      </c>
    </row>
    <row r="12" spans="1:16" s="151" customFormat="1" ht="14.5">
      <c r="A12" s="266" t="s">
        <v>2015</v>
      </c>
      <c r="B12" s="167" t="s">
        <v>1291</v>
      </c>
      <c r="C12" s="151" t="s">
        <v>1827</v>
      </c>
      <c r="D12" s="115" t="str">
        <f>VLOOKUP(B12,'All Menu'!B:D,3,0)</f>
        <v>التواصي سفري</v>
      </c>
      <c r="E12" s="116">
        <f t="shared" si="0"/>
        <v>18.963086206896552</v>
      </c>
      <c r="F12" s="151">
        <v>2</v>
      </c>
      <c r="G12" s="153">
        <v>37.926172413793104</v>
      </c>
      <c r="H12" s="115">
        <f>VLOOKUP(B12,'All Menu'!B:J,9,0)</f>
        <v>13.471000731032925</v>
      </c>
      <c r="I12" s="120">
        <f>VLOOKUP(B12,'All Menu'!B:M,12,0)</f>
        <v>0.32059300660877421</v>
      </c>
      <c r="J12" s="114">
        <f t="shared" si="1"/>
        <v>39.655172413793103</v>
      </c>
      <c r="K12" s="117">
        <f t="shared" si="2"/>
        <v>-1.7289999999999992</v>
      </c>
      <c r="L12" s="118">
        <f>VLOOKUP(B12,'All Menu'!B:G,6,0)</f>
        <v>19.827586206896552</v>
      </c>
      <c r="M12" s="118">
        <f t="shared" si="3"/>
        <v>-0.8644999999999996</v>
      </c>
      <c r="N12" s="151">
        <f ca="1">VLOOKUP(B12,'All Menu'!B:H,7,0)</f>
        <v>2</v>
      </c>
    </row>
    <row r="13" spans="1:16" s="151" customFormat="1" ht="14.5">
      <c r="A13" s="266" t="s">
        <v>2015</v>
      </c>
      <c r="B13" s="167" t="s">
        <v>1210</v>
      </c>
      <c r="C13" s="151" t="s">
        <v>1828</v>
      </c>
      <c r="D13" s="115" t="str">
        <f>VLOOKUP(B13,'All Menu'!B:D,3,0)</f>
        <v>التواصي سفري</v>
      </c>
      <c r="E13" s="116">
        <f t="shared" si="0"/>
        <v>19.827586206896552</v>
      </c>
      <c r="F13" s="151">
        <v>3</v>
      </c>
      <c r="G13" s="153">
        <v>59.482758620689651</v>
      </c>
      <c r="H13" s="115">
        <f>VLOOKUP(B13,'All Menu'!B:J,9,0)</f>
        <v>13.239955823720623</v>
      </c>
      <c r="I13" s="120">
        <f>VLOOKUP(B13,'All Menu'!B:M,12,0)</f>
        <v>0.33224570628191641</v>
      </c>
      <c r="J13" s="114">
        <f t="shared" si="1"/>
        <v>59.482758620689651</v>
      </c>
      <c r="K13" s="117">
        <f t="shared" si="2"/>
        <v>0</v>
      </c>
      <c r="L13" s="118">
        <f>VLOOKUP(B13,'All Menu'!B:G,6,0)</f>
        <v>19.827586206896552</v>
      </c>
      <c r="M13" s="118">
        <f t="shared" si="3"/>
        <v>0</v>
      </c>
      <c r="N13" s="151">
        <f ca="1">VLOOKUP(B13,'All Menu'!B:H,7,0)</f>
        <v>3</v>
      </c>
    </row>
    <row r="14" spans="1:16" s="151" customFormat="1" ht="14.5">
      <c r="A14" s="266" t="s">
        <v>2015</v>
      </c>
      <c r="B14" s="167" t="s">
        <v>1109</v>
      </c>
      <c r="C14" s="151" t="s">
        <v>1369</v>
      </c>
      <c r="D14" s="115" t="str">
        <f>VLOOKUP(B14,'All Menu'!B:D,3,0)</f>
        <v>التواصي سفري</v>
      </c>
      <c r="E14" s="116">
        <f t="shared" si="0"/>
        <v>19.681833825944171</v>
      </c>
      <c r="F14" s="151">
        <v>52.5</v>
      </c>
      <c r="G14" s="153">
        <v>1033.296275862069</v>
      </c>
      <c r="H14" s="115">
        <f>VLOOKUP(B14,'All Menu'!B:J,9,0)</f>
        <v>13.546738353772389</v>
      </c>
      <c r="I14" s="120">
        <f>VLOOKUP(B14,'All Menu'!B:M,12,0)</f>
        <v>0.31677319607060994</v>
      </c>
      <c r="J14" s="114">
        <f t="shared" si="1"/>
        <v>1040.9482758620691</v>
      </c>
      <c r="K14" s="117">
        <f t="shared" si="2"/>
        <v>-7.6520000000000437</v>
      </c>
      <c r="L14" s="118">
        <f>VLOOKUP(B14,'All Menu'!B:G,6,0)</f>
        <v>19.827586206896552</v>
      </c>
      <c r="M14" s="118">
        <f t="shared" si="3"/>
        <v>-0.14575238095238063</v>
      </c>
      <c r="N14" s="151">
        <f ca="1">VLOOKUP(B14,'All Menu'!B:H,7,0)</f>
        <v>58</v>
      </c>
    </row>
    <row r="15" spans="1:16" s="151" customFormat="1" ht="14.5">
      <c r="A15" s="266" t="s">
        <v>2015</v>
      </c>
      <c r="B15" s="167" t="s">
        <v>1110</v>
      </c>
      <c r="C15" s="151" t="s">
        <v>1652</v>
      </c>
      <c r="D15" s="115" t="str">
        <f>VLOOKUP(B15,'All Menu'!B:D,3,0)</f>
        <v>التواصي سفري</v>
      </c>
      <c r="E15" s="116">
        <f t="shared" si="0"/>
        <v>19.827586206896552</v>
      </c>
      <c r="F15" s="151">
        <v>19.5</v>
      </c>
      <c r="G15" s="153">
        <v>386.63793103448273</v>
      </c>
      <c r="H15" s="115">
        <f>VLOOKUP(B15,'All Menu'!B:J,9,0)</f>
        <v>13.501379535676035</v>
      </c>
      <c r="I15" s="120">
        <f>VLOOKUP(B15,'All Menu'!B:M,12,0)</f>
        <v>0.31906085820068691</v>
      </c>
      <c r="J15" s="114">
        <f t="shared" si="1"/>
        <v>386.63793103448273</v>
      </c>
      <c r="K15" s="117">
        <f t="shared" si="2"/>
        <v>0</v>
      </c>
      <c r="L15" s="118">
        <f>VLOOKUP(B15,'All Menu'!B:G,6,0)</f>
        <v>19.827586206896552</v>
      </c>
      <c r="M15" s="118">
        <f t="shared" si="3"/>
        <v>0</v>
      </c>
      <c r="N15" s="151">
        <f ca="1">VLOOKUP(B15,'All Menu'!B:H,7,0)</f>
        <v>19.501000000000001</v>
      </c>
    </row>
    <row r="16" spans="1:16" s="151" customFormat="1" ht="14.5">
      <c r="A16" s="266" t="s">
        <v>2015</v>
      </c>
      <c r="B16" s="167" t="s">
        <v>1213</v>
      </c>
      <c r="C16" s="151" t="s">
        <v>1970</v>
      </c>
      <c r="D16" s="115" t="str">
        <f>VLOOKUP(B16,'All Menu'!B:D,3,0)</f>
        <v>التواصي سفري</v>
      </c>
      <c r="E16" s="116">
        <f t="shared" si="0"/>
        <v>12.068965517241381</v>
      </c>
      <c r="F16" s="151">
        <v>1</v>
      </c>
      <c r="G16" s="153">
        <v>12.068965517241381</v>
      </c>
      <c r="H16" s="115">
        <f>VLOOKUP(B16,'All Menu'!B:J,9,0)</f>
        <v>6.620000651693096</v>
      </c>
      <c r="I16" s="120">
        <f>VLOOKUP(B16,'All Menu'!B:M,12,0)</f>
        <v>0.45148566028828641</v>
      </c>
      <c r="J16" s="114">
        <f t="shared" si="1"/>
        <v>12.068965517241381</v>
      </c>
      <c r="K16" s="117">
        <f t="shared" si="2"/>
        <v>0</v>
      </c>
      <c r="L16" s="118">
        <f>VLOOKUP(B16,'All Menu'!B:G,6,0)</f>
        <v>12.068965517241381</v>
      </c>
      <c r="M16" s="118">
        <f t="shared" si="3"/>
        <v>0</v>
      </c>
      <c r="N16" s="151">
        <f ca="1">VLOOKUP(B16,'All Menu'!B:H,7,0)</f>
        <v>1</v>
      </c>
    </row>
    <row r="17" spans="1:16" s="151" customFormat="1" ht="14.5">
      <c r="A17" s="266" t="s">
        <v>2015</v>
      </c>
      <c r="B17" s="167" t="s">
        <v>1115</v>
      </c>
      <c r="C17" s="151" t="s">
        <v>1370</v>
      </c>
      <c r="D17" s="115" t="str">
        <f>VLOOKUP(B17,'All Menu'!B:D,3,0)</f>
        <v>التواصي سفري</v>
      </c>
      <c r="E17" s="116">
        <f t="shared" si="0"/>
        <v>8.6190203638338332</v>
      </c>
      <c r="F17" s="151">
        <v>127</v>
      </c>
      <c r="G17" s="153">
        <v>1094.6155862068968</v>
      </c>
      <c r="H17" s="115">
        <f>VLOOKUP(B17,'All Menu'!B:J,9,0)</f>
        <v>5.0302467650168321</v>
      </c>
      <c r="I17" s="120">
        <f>VLOOKUP(B17,'All Menu'!B:M,12,0)</f>
        <v>0.41649137525804752</v>
      </c>
      <c r="J17" s="114">
        <f t="shared" si="1"/>
        <v>1094.8275862068967</v>
      </c>
      <c r="K17" s="117">
        <f t="shared" si="2"/>
        <v>-0.21199999999998909</v>
      </c>
      <c r="L17" s="118">
        <f>VLOOKUP(B17,'All Menu'!B:G,6,0)</f>
        <v>8.6206896551724146</v>
      </c>
      <c r="M17" s="118">
        <f t="shared" si="3"/>
        <v>-1.6692913385814023E-3</v>
      </c>
      <c r="N17" s="151">
        <f ca="1">VLOOKUP(B17,'All Menu'!B:H,7,0)</f>
        <v>196</v>
      </c>
    </row>
    <row r="18" spans="1:16" s="151" customFormat="1" ht="14.5">
      <c r="A18" s="266" t="s">
        <v>2015</v>
      </c>
      <c r="B18" s="167" t="s">
        <v>1123</v>
      </c>
      <c r="C18" s="151" t="s">
        <v>1371</v>
      </c>
      <c r="D18" s="115" t="str">
        <f>VLOOKUP(B18,'All Menu'!B:D,3,0)</f>
        <v>التواصي سفري</v>
      </c>
      <c r="E18" s="116">
        <f t="shared" si="0"/>
        <v>8.6206896551724146</v>
      </c>
      <c r="F18" s="151">
        <v>3</v>
      </c>
      <c r="G18" s="153">
        <v>25.862068965517246</v>
      </c>
      <c r="H18" s="115">
        <f>VLOOKUP(B18,'All Menu'!B:J,9,0)</f>
        <v>4.7769910334942951</v>
      </c>
      <c r="I18" s="120">
        <f>VLOOKUP(B18,'All Menu'!B:M,12,0)</f>
        <v>0.44586904011466183</v>
      </c>
      <c r="J18" s="114">
        <f t="shared" si="1"/>
        <v>25.862068965517246</v>
      </c>
      <c r="K18" s="117">
        <f t="shared" si="2"/>
        <v>0</v>
      </c>
      <c r="L18" s="118">
        <f>VLOOKUP(B18,'All Menu'!B:G,6,0)</f>
        <v>8.6206896551724146</v>
      </c>
      <c r="M18" s="118">
        <f t="shared" si="3"/>
        <v>0</v>
      </c>
      <c r="N18" s="151">
        <f ca="1">VLOOKUP(B18,'All Menu'!B:H,7,0)</f>
        <v>4</v>
      </c>
    </row>
    <row r="19" spans="1:16" s="151" customFormat="1" ht="14.5">
      <c r="A19" s="266" t="s">
        <v>2015</v>
      </c>
      <c r="B19" s="167" t="s">
        <v>1113</v>
      </c>
      <c r="C19" s="151" t="s">
        <v>1372</v>
      </c>
      <c r="D19" s="115" t="str">
        <f>VLOOKUP(B19,'All Menu'!B:D,3,0)</f>
        <v>التواصي سفري</v>
      </c>
      <c r="E19" s="116">
        <f t="shared" si="0"/>
        <v>8.4903112767940367</v>
      </c>
      <c r="F19" s="151">
        <v>37</v>
      </c>
      <c r="G19" s="153">
        <v>314.14151724137935</v>
      </c>
      <c r="H19" s="115">
        <f>VLOOKUP(B19,'All Menu'!B:J,9,0)</f>
        <v>5.2035958953401833</v>
      </c>
      <c r="I19" s="120">
        <f>VLOOKUP(B19,'All Menu'!B:M,12,0)</f>
        <v>0.3963828761405388</v>
      </c>
      <c r="J19" s="114">
        <f t="shared" si="1"/>
        <v>318.96551724137936</v>
      </c>
      <c r="K19" s="117">
        <f t="shared" si="2"/>
        <v>-4.8240000000000123</v>
      </c>
      <c r="L19" s="118">
        <f>VLOOKUP(B19,'All Menu'!B:G,6,0)</f>
        <v>8.6206896551724146</v>
      </c>
      <c r="M19" s="118">
        <f t="shared" si="3"/>
        <v>-0.13037837837837785</v>
      </c>
      <c r="N19" s="151">
        <f ca="1">VLOOKUP(B19,'All Menu'!B:H,7,0)</f>
        <v>49</v>
      </c>
    </row>
    <row r="20" spans="1:16" s="151" customFormat="1" ht="14.5">
      <c r="A20" s="266" t="s">
        <v>2015</v>
      </c>
      <c r="B20" s="167" t="s">
        <v>1114</v>
      </c>
      <c r="C20" s="151" t="s">
        <v>1373</v>
      </c>
      <c r="D20" s="115" t="str">
        <f>VLOOKUP(B20,'All Menu'!B:D,3,0)</f>
        <v>التواصي سفري</v>
      </c>
      <c r="E20" s="116">
        <f t="shared" si="0"/>
        <v>8.6206896551724146</v>
      </c>
      <c r="F20" s="151">
        <v>106</v>
      </c>
      <c r="G20" s="153">
        <v>913.79310344827593</v>
      </c>
      <c r="H20" s="115">
        <f>VLOOKUP(B20,'All Menu'!B:J,9,0)</f>
        <v>5.5432276917402739</v>
      </c>
      <c r="I20" s="120">
        <f>VLOOKUP(B20,'All Menu'!B:M,12,0)</f>
        <v>0.35698558775812828</v>
      </c>
      <c r="J20" s="114">
        <f t="shared" si="1"/>
        <v>913.79310344827593</v>
      </c>
      <c r="K20" s="117">
        <f t="shared" si="2"/>
        <v>0</v>
      </c>
      <c r="L20" s="118">
        <f>VLOOKUP(B20,'All Menu'!B:G,6,0)</f>
        <v>8.6206896551724146</v>
      </c>
      <c r="M20" s="118">
        <f t="shared" si="3"/>
        <v>0</v>
      </c>
      <c r="N20" s="151">
        <f ca="1">VLOOKUP(B20,'All Menu'!B:H,7,0)</f>
        <v>139.5</v>
      </c>
    </row>
    <row r="21" spans="1:16" s="151" customFormat="1" ht="14.5">
      <c r="A21" s="266" t="s">
        <v>2015</v>
      </c>
      <c r="B21" s="167" t="s">
        <v>1111</v>
      </c>
      <c r="C21" s="151" t="s">
        <v>1374</v>
      </c>
      <c r="D21" s="115" t="str">
        <f>VLOOKUP(B21,'All Menu'!B:D,3,0)</f>
        <v>التواصي سفري</v>
      </c>
      <c r="E21" s="116">
        <f t="shared" si="0"/>
        <v>10.219122323049003</v>
      </c>
      <c r="F21" s="151">
        <v>47.5</v>
      </c>
      <c r="G21" s="153">
        <v>485.40831034482761</v>
      </c>
      <c r="H21" s="115">
        <f>VLOOKUP(B21,'All Menu'!B:J,9,0)</f>
        <v>5.9247479696645087</v>
      </c>
      <c r="I21" s="120">
        <f>VLOOKUP(B21,'All Menu'!B:M,12,0)</f>
        <v>0.42727436293243082</v>
      </c>
      <c r="J21" s="114">
        <f t="shared" si="1"/>
        <v>491.37931034482762</v>
      </c>
      <c r="K21" s="117">
        <f t="shared" si="2"/>
        <v>-5.9710000000000036</v>
      </c>
      <c r="L21" s="118">
        <f>VLOOKUP(B21,'All Menu'!B:G,6,0)</f>
        <v>10.344827586206897</v>
      </c>
      <c r="M21" s="118">
        <f t="shared" si="3"/>
        <v>-0.12570526315789365</v>
      </c>
      <c r="N21" s="151">
        <f ca="1">VLOOKUP(B21,'All Menu'!B:H,7,0)</f>
        <v>54.5</v>
      </c>
    </row>
    <row r="22" spans="1:16" s="151" customFormat="1" ht="14.5">
      <c r="A22" s="266" t="s">
        <v>2015</v>
      </c>
      <c r="B22" s="167" t="s">
        <v>1124</v>
      </c>
      <c r="C22" s="151" t="s">
        <v>1653</v>
      </c>
      <c r="D22" s="115" t="str">
        <f>VLOOKUP(B22,'All Menu'!B:D,3,0)</f>
        <v>التواصي سفري</v>
      </c>
      <c r="E22" s="116">
        <f t="shared" si="0"/>
        <v>8.6206896551724146</v>
      </c>
      <c r="F22" s="151">
        <v>8</v>
      </c>
      <c r="G22" s="153">
        <v>68.965517241379317</v>
      </c>
      <c r="H22" s="115">
        <f>VLOOKUP(B22,'All Menu'!B:J,9,0)</f>
        <v>4.8236401708139338</v>
      </c>
      <c r="I22" s="120">
        <f>VLOOKUP(B22,'All Menu'!B:M,12,0)</f>
        <v>0.4404577401855837</v>
      </c>
      <c r="J22" s="114">
        <f t="shared" si="1"/>
        <v>68.965517241379317</v>
      </c>
      <c r="K22" s="117">
        <f t="shared" si="2"/>
        <v>0</v>
      </c>
      <c r="L22" s="118">
        <f>VLOOKUP(B22,'All Menu'!B:G,6,0)</f>
        <v>8.6206896551724146</v>
      </c>
      <c r="M22" s="118">
        <f t="shared" si="3"/>
        <v>0</v>
      </c>
      <c r="N22" s="151">
        <f ca="1">VLOOKUP(B22,'All Menu'!B:H,7,0)</f>
        <v>10</v>
      </c>
    </row>
    <row r="23" spans="1:16" s="151" customFormat="1" ht="14.5">
      <c r="A23" s="266" t="s">
        <v>2015</v>
      </c>
      <c r="B23" s="167" t="s">
        <v>1211</v>
      </c>
      <c r="C23" s="151" t="s">
        <v>1830</v>
      </c>
      <c r="D23" s="115" t="str">
        <f>VLOOKUP(B23,'All Menu'!B:D,3,0)</f>
        <v>التواصي سفري</v>
      </c>
      <c r="E23" s="116">
        <f t="shared" si="0"/>
        <v>8.6206896551724146</v>
      </c>
      <c r="F23" s="151">
        <v>15</v>
      </c>
      <c r="G23" s="153">
        <v>129.31034482758622</v>
      </c>
      <c r="H23" s="115">
        <f>VLOOKUP(B23,'All Menu'!B:J,9,0)</f>
        <v>4.4921930432753632</v>
      </c>
      <c r="I23" s="120">
        <f>VLOOKUP(B23,'All Menu'!B:M,12,0)</f>
        <v>0.47890560698005791</v>
      </c>
      <c r="J23" s="114">
        <f t="shared" si="1"/>
        <v>129.31034482758622</v>
      </c>
      <c r="K23" s="117">
        <f t="shared" si="2"/>
        <v>0</v>
      </c>
      <c r="L23" s="118">
        <f>VLOOKUP(B23,'All Menu'!B:G,6,0)</f>
        <v>8.6206896551724146</v>
      </c>
      <c r="M23" s="118">
        <f t="shared" si="3"/>
        <v>0</v>
      </c>
      <c r="N23" s="151">
        <f ca="1">VLOOKUP(B23,'All Menu'!B:H,7,0)</f>
        <v>15</v>
      </c>
    </row>
    <row r="24" spans="1:16" s="151" customFormat="1" ht="14.5">
      <c r="A24" s="266" t="s">
        <v>2015</v>
      </c>
      <c r="B24" s="167" t="s">
        <v>1116</v>
      </c>
      <c r="C24" s="151" t="s">
        <v>1375</v>
      </c>
      <c r="D24" s="115" t="str">
        <f>VLOOKUP(B24,'All Menu'!B:D,3,0)</f>
        <v>التواصي سفري</v>
      </c>
      <c r="E24" s="116">
        <f t="shared" si="0"/>
        <v>7.8634457527333899</v>
      </c>
      <c r="F24" s="151">
        <v>41</v>
      </c>
      <c r="G24" s="153">
        <v>322.40127586206899</v>
      </c>
      <c r="H24" s="115">
        <f>VLOOKUP(B24,'All Menu'!B:J,9,0)</f>
        <v>4.8086526805122087</v>
      </c>
      <c r="I24" s="120">
        <f>VLOOKUP(B24,'All Menu'!B:M,12,0)</f>
        <v>0.44219628906058384</v>
      </c>
      <c r="J24" s="114">
        <f t="shared" si="1"/>
        <v>353.44827586206901</v>
      </c>
      <c r="K24" s="117">
        <f t="shared" si="2"/>
        <v>-31.047000000000025</v>
      </c>
      <c r="L24" s="118">
        <f>VLOOKUP(B24,'All Menu'!B:G,6,0)</f>
        <v>8.6206896551724146</v>
      </c>
      <c r="M24" s="118">
        <f t="shared" si="3"/>
        <v>-0.75724390243902473</v>
      </c>
      <c r="N24" s="151">
        <f ca="1">VLOOKUP(B24,'All Menu'!B:H,7,0)</f>
        <v>65</v>
      </c>
    </row>
    <row r="25" spans="1:16" s="151" customFormat="1" ht="14.5">
      <c r="A25" s="266" t="s">
        <v>2015</v>
      </c>
      <c r="B25" s="167" t="s">
        <v>1238</v>
      </c>
      <c r="C25" s="151" t="s">
        <v>1376</v>
      </c>
      <c r="D25" s="115" t="str">
        <f>VLOOKUP(B25,'All Menu'!B:D,3,0)</f>
        <v>التواصي سفري</v>
      </c>
      <c r="E25" s="116">
        <f t="shared" si="0"/>
        <v>10.344827586206897</v>
      </c>
      <c r="F25" s="151">
        <v>2</v>
      </c>
      <c r="G25" s="153">
        <v>20.689655172413794</v>
      </c>
      <c r="H25" s="115">
        <f>VLOOKUP(B25,'All Menu'!B:J,9,0)</f>
        <v>3.13305976304324</v>
      </c>
      <c r="I25" s="120">
        <f>VLOOKUP(B25,'All Menu'!B:M,12,0)</f>
        <v>0.69713755623915341</v>
      </c>
      <c r="J25" s="114">
        <f t="shared" si="1"/>
        <v>20.689655172413794</v>
      </c>
      <c r="K25" s="117">
        <f t="shared" si="2"/>
        <v>0</v>
      </c>
      <c r="L25" s="118">
        <f>VLOOKUP(B25,'All Menu'!B:G,6,0)</f>
        <v>10.344827586206897</v>
      </c>
      <c r="M25" s="118">
        <f t="shared" si="3"/>
        <v>0</v>
      </c>
      <c r="N25" s="151">
        <f ca="1">VLOOKUP(B25,'All Menu'!B:H,7,0)</f>
        <v>2</v>
      </c>
    </row>
    <row r="26" spans="1:16" s="151" customFormat="1" ht="14.5">
      <c r="A26" s="266" t="s">
        <v>2015</v>
      </c>
      <c r="B26" s="167" t="s">
        <v>1112</v>
      </c>
      <c r="C26" s="151" t="s">
        <v>1377</v>
      </c>
      <c r="D26" s="115" t="str">
        <f>VLOOKUP(B26,'All Menu'!B:D,3,0)</f>
        <v>التواصي سفري</v>
      </c>
      <c r="E26" s="116">
        <f t="shared" si="0"/>
        <v>10.344827586206897</v>
      </c>
      <c r="F26" s="151">
        <v>4.5</v>
      </c>
      <c r="G26" s="153">
        <v>46.551724137931032</v>
      </c>
      <c r="H26" s="115">
        <f>VLOOKUP(B26,'All Menu'!B:J,9,0)</f>
        <v>1.7921716750954024</v>
      </c>
      <c r="I26" s="120">
        <f>VLOOKUP(B26,'All Menu'!B:M,12,0)</f>
        <v>0.82675673807411099</v>
      </c>
      <c r="J26" s="114">
        <f t="shared" si="1"/>
        <v>46.551724137931032</v>
      </c>
      <c r="K26" s="117">
        <f t="shared" si="2"/>
        <v>0</v>
      </c>
      <c r="L26" s="118">
        <f>VLOOKUP(B26,'All Menu'!B:G,6,0)</f>
        <v>10.344827586206897</v>
      </c>
      <c r="M26" s="118">
        <f t="shared" si="3"/>
        <v>0</v>
      </c>
      <c r="N26" s="151">
        <f ca="1">VLOOKUP(B26,'All Menu'!B:H,7,0)</f>
        <v>9.5</v>
      </c>
    </row>
    <row r="27" spans="1:16" s="151" customFormat="1" ht="14.5">
      <c r="A27" s="266" t="s">
        <v>2015</v>
      </c>
      <c r="B27" s="167" t="s">
        <v>1166</v>
      </c>
      <c r="C27" s="151" t="s">
        <v>1378</v>
      </c>
      <c r="D27" s="115" t="str">
        <f>VLOOKUP(B27,'All Menu'!B:D,3,0)</f>
        <v>التواصي سفري</v>
      </c>
      <c r="E27" s="116">
        <f t="shared" si="0"/>
        <v>10.344827586206897</v>
      </c>
      <c r="F27" s="151">
        <v>2</v>
      </c>
      <c r="G27" s="153">
        <v>20.689655172413794</v>
      </c>
      <c r="H27" s="115">
        <f>VLOOKUP(B27,'All Menu'!B:J,9,0)</f>
        <v>3.8964989277777784</v>
      </c>
      <c r="I27" s="120">
        <f>VLOOKUP(B27,'All Menu'!B:M,12,0)</f>
        <v>0.62333843698148139</v>
      </c>
      <c r="J27" s="114">
        <f t="shared" si="1"/>
        <v>20.689655172413794</v>
      </c>
      <c r="K27" s="117">
        <f t="shared" si="2"/>
        <v>0</v>
      </c>
      <c r="L27" s="118">
        <f>VLOOKUP(B27,'All Menu'!B:G,6,0)</f>
        <v>10.344827586206897</v>
      </c>
      <c r="M27" s="118">
        <f t="shared" si="3"/>
        <v>0</v>
      </c>
      <c r="N27" s="151">
        <f ca="1">VLOOKUP(B27,'All Menu'!B:H,7,0)</f>
        <v>2</v>
      </c>
    </row>
    <row r="28" spans="1:16" s="151" customFormat="1" ht="14.5">
      <c r="A28" s="266" t="s">
        <v>2015</v>
      </c>
      <c r="B28" s="167" t="s">
        <v>1239</v>
      </c>
      <c r="C28" s="151" t="s">
        <v>1685</v>
      </c>
      <c r="D28" s="115" t="str">
        <f>VLOOKUP(B28,'All Menu'!B:D,3,0)</f>
        <v>التواصي سفري</v>
      </c>
      <c r="E28" s="116">
        <f t="shared" si="0"/>
        <v>10.344827586206897</v>
      </c>
      <c r="F28" s="151">
        <v>4</v>
      </c>
      <c r="G28" s="153">
        <v>41.379310344827587</v>
      </c>
      <c r="H28" s="115">
        <f>VLOOKUP(B28,'All Menu'!B:J,9,0)</f>
        <v>5.3451273273786093</v>
      </c>
      <c r="I28" s="120">
        <f>VLOOKUP(B28,'All Menu'!B:M,12,0)</f>
        <v>0.48330435835340113</v>
      </c>
      <c r="J28" s="114">
        <f t="shared" si="1"/>
        <v>41.379310344827587</v>
      </c>
      <c r="K28" s="117">
        <f t="shared" si="2"/>
        <v>0</v>
      </c>
      <c r="L28" s="118">
        <f>VLOOKUP(B28,'All Menu'!B:G,6,0)</f>
        <v>10.344827586206897</v>
      </c>
      <c r="M28" s="118">
        <f t="shared" si="3"/>
        <v>0</v>
      </c>
      <c r="N28" s="151">
        <f ca="1">VLOOKUP(B28,'All Menu'!B:H,7,0)</f>
        <v>4</v>
      </c>
    </row>
    <row r="29" spans="1:16" s="151" customFormat="1" ht="14.5">
      <c r="A29" s="266" t="s">
        <v>2015</v>
      </c>
      <c r="B29" s="167" t="s">
        <v>1161</v>
      </c>
      <c r="C29" s="151" t="s">
        <v>1380</v>
      </c>
      <c r="D29" s="115" t="str">
        <f>VLOOKUP(B29,'All Menu'!B:D,3,0)</f>
        <v>التواصي سفري2</v>
      </c>
      <c r="E29" s="116">
        <f t="shared" si="0"/>
        <v>16.835537205081671</v>
      </c>
      <c r="F29" s="151">
        <v>38</v>
      </c>
      <c r="G29" s="153">
        <v>639.75041379310346</v>
      </c>
      <c r="H29" s="115">
        <f>VLOOKUP(B29,'All Menu'!B:J,9,0)</f>
        <v>11.692330356220895</v>
      </c>
      <c r="I29" s="120">
        <f>VLOOKUP(B29,'All Menu'!B:M,12,0)</f>
        <v>0.32184483933918817</v>
      </c>
      <c r="J29" s="114">
        <f t="shared" ref="J29:J92" si="4">F29*L29</f>
        <v>655.17241379310349</v>
      </c>
      <c r="K29" s="117">
        <f t="shared" ref="K29:K92" si="5">G29-J29</f>
        <v>-15.422000000000025</v>
      </c>
      <c r="L29" s="118">
        <f>VLOOKUP(B29,'All Menu'!B:G,6,0)</f>
        <v>17.241379310344829</v>
      </c>
      <c r="M29" s="118">
        <f t="shared" ref="M29:M92" si="6">E29-L29</f>
        <v>-0.405842105263158</v>
      </c>
      <c r="N29" s="151">
        <f ca="1">VLOOKUP(B29,'All Menu'!B:H,7,0)</f>
        <v>55.002000000000002</v>
      </c>
      <c r="O29" s="167" t="s">
        <v>1655</v>
      </c>
      <c r="P29" s="151" t="s">
        <v>1656</v>
      </c>
    </row>
    <row r="30" spans="1:16" s="151" customFormat="1" ht="14.5">
      <c r="A30" s="266" t="s">
        <v>2015</v>
      </c>
      <c r="B30" s="167" t="s">
        <v>1240</v>
      </c>
      <c r="C30" s="151" t="s">
        <v>1658</v>
      </c>
      <c r="D30" s="115" t="str">
        <f>VLOOKUP(B30,'All Menu'!B:D,3,0)</f>
        <v>التواصي سفري2</v>
      </c>
      <c r="E30" s="116">
        <f t="shared" si="0"/>
        <v>18.965517241379313</v>
      </c>
      <c r="F30" s="151">
        <v>35.5</v>
      </c>
      <c r="G30" s="153">
        <v>673.27586206896558</v>
      </c>
      <c r="H30" s="115">
        <f>VLOOKUP(B30,'All Menu'!B:J,9,0)</f>
        <v>14.227830759766878</v>
      </c>
      <c r="I30" s="120">
        <f>VLOOKUP(B30,'All Menu'!B:M,12,0)</f>
        <v>0.249805287212292</v>
      </c>
      <c r="J30" s="114">
        <f t="shared" si="4"/>
        <v>673.27586206896558</v>
      </c>
      <c r="K30" s="117">
        <f t="shared" si="5"/>
        <v>0</v>
      </c>
      <c r="L30" s="118">
        <f>VLOOKUP(B30,'All Menu'!B:G,6,0)</f>
        <v>18.965517241379313</v>
      </c>
      <c r="M30" s="118">
        <f t="shared" si="6"/>
        <v>0</v>
      </c>
      <c r="N30" s="151">
        <f ca="1">VLOOKUP(B30,'All Menu'!B:H,7,0)</f>
        <v>39.5</v>
      </c>
    </row>
    <row r="31" spans="1:16" s="151" customFormat="1" ht="14.5">
      <c r="A31" s="266" t="s">
        <v>2015</v>
      </c>
      <c r="B31" s="167" t="s">
        <v>1168</v>
      </c>
      <c r="C31" s="151" t="s">
        <v>1385</v>
      </c>
      <c r="D31" s="115" t="str">
        <f>VLOOKUP(B31,'All Menu'!B:D,3,0)</f>
        <v>التواصي سفري</v>
      </c>
      <c r="E31" s="116">
        <f t="shared" si="0"/>
        <v>10.32669887333561</v>
      </c>
      <c r="F31" s="151">
        <v>101</v>
      </c>
      <c r="G31" s="153">
        <v>1042.9965862068966</v>
      </c>
      <c r="H31" s="115">
        <f>VLOOKUP(B31,'All Menu'!B:J,9,0)</f>
        <v>5.4543656023286697</v>
      </c>
      <c r="I31" s="120">
        <f>VLOOKUP(B31,'All Menu'!B:M,12,0)</f>
        <v>0.47274465844156194</v>
      </c>
      <c r="J31" s="114">
        <f t="shared" si="4"/>
        <v>1044.8275862068965</v>
      </c>
      <c r="K31" s="117">
        <f t="shared" si="5"/>
        <v>-1.8309999999999036</v>
      </c>
      <c r="L31" s="118">
        <f>VLOOKUP(B31,'All Menu'!B:G,6,0)</f>
        <v>10.344827586206897</v>
      </c>
      <c r="M31" s="118">
        <f t="shared" si="6"/>
        <v>-1.8128712871286368E-2</v>
      </c>
      <c r="N31" s="151">
        <f ca="1">VLOOKUP(B31,'All Menu'!B:H,7,0)</f>
        <v>172.5</v>
      </c>
    </row>
    <row r="32" spans="1:16" s="151" customFormat="1" ht="14.5">
      <c r="A32" s="266" t="s">
        <v>2015</v>
      </c>
      <c r="B32" s="167" t="s">
        <v>1212</v>
      </c>
      <c r="C32" s="151" t="s">
        <v>1659</v>
      </c>
      <c r="D32" s="115" t="str">
        <f>VLOOKUP(B32,'All Menu'!B:D,3,0)</f>
        <v>التواصي سفري</v>
      </c>
      <c r="E32" s="116">
        <f t="shared" si="0"/>
        <v>5.1724137931034484</v>
      </c>
      <c r="F32" s="151">
        <v>20</v>
      </c>
      <c r="G32" s="153">
        <v>103.44827586206897</v>
      </c>
      <c r="H32" s="115">
        <f>VLOOKUP(B32,'All Menu'!B:J,9,0)</f>
        <v>3.1807436133539184</v>
      </c>
      <c r="I32" s="120">
        <f>VLOOKUP(B32,'All Menu'!B:M,12,0)</f>
        <v>0.3850562347515758</v>
      </c>
      <c r="J32" s="114">
        <f t="shared" si="4"/>
        <v>103.44827586206897</v>
      </c>
      <c r="K32" s="117">
        <f t="shared" si="5"/>
        <v>0</v>
      </c>
      <c r="L32" s="118">
        <f>VLOOKUP(B32,'All Menu'!B:G,6,0)</f>
        <v>5.1724137931034484</v>
      </c>
      <c r="M32" s="118">
        <f t="shared" si="6"/>
        <v>0</v>
      </c>
      <c r="N32" s="151">
        <f ca="1">VLOOKUP(B32,'All Menu'!B:H,7,0)</f>
        <v>26</v>
      </c>
    </row>
    <row r="33" spans="1:14" s="151" customFormat="1" ht="14.5">
      <c r="A33" s="266" t="s">
        <v>2015</v>
      </c>
      <c r="B33" s="167" t="s">
        <v>1323</v>
      </c>
      <c r="C33" s="151" t="s">
        <v>1660</v>
      </c>
      <c r="D33" s="115" t="str">
        <f>VLOOKUP(B33,'All Menu'!B:D,3,0)</f>
        <v>التواصي سفري</v>
      </c>
      <c r="E33" s="116">
        <f t="shared" si="0"/>
        <v>16.430568499534019</v>
      </c>
      <c r="F33" s="151">
        <v>37</v>
      </c>
      <c r="G33" s="153">
        <v>607.93103448275872</v>
      </c>
      <c r="H33" s="115">
        <f>VLOOKUP(B33,'All Menu'!B:J,9,0)</f>
        <v>10.837016193463239</v>
      </c>
      <c r="I33" s="120">
        <f>VLOOKUP(B33,'All Menu'!B:M,12,0)</f>
        <v>0.3714530607791322</v>
      </c>
      <c r="J33" s="114">
        <f t="shared" si="4"/>
        <v>637.93103448275872</v>
      </c>
      <c r="K33" s="117">
        <f t="shared" si="5"/>
        <v>-30</v>
      </c>
      <c r="L33" s="118">
        <f>VLOOKUP(B33,'All Menu'!B:G,6,0)</f>
        <v>17.241379310344829</v>
      </c>
      <c r="M33" s="118">
        <f t="shared" si="6"/>
        <v>-0.81081081081081052</v>
      </c>
      <c r="N33" s="151">
        <f ca="1">VLOOKUP(B33,'All Menu'!B:H,7,0)</f>
        <v>44</v>
      </c>
    </row>
    <row r="34" spans="1:14" s="151" customFormat="1" ht="14.5">
      <c r="A34" s="266" t="s">
        <v>2015</v>
      </c>
      <c r="B34" s="167" t="s">
        <v>1159</v>
      </c>
      <c r="C34" s="151" t="s">
        <v>1657</v>
      </c>
      <c r="D34" s="115" t="str">
        <f>VLOOKUP(B34,'All Menu'!B:D,3,0)</f>
        <v>التواصي سفري2</v>
      </c>
      <c r="E34" s="116">
        <f t="shared" si="0"/>
        <v>16.75954819923372</v>
      </c>
      <c r="F34" s="151">
        <v>225</v>
      </c>
      <c r="G34" s="153">
        <v>3770.8983448275867</v>
      </c>
      <c r="H34" s="115">
        <f>VLOOKUP(B34,'All Menu'!B:J,9,0)</f>
        <v>12.916885874910252</v>
      </c>
      <c r="I34" s="120">
        <f>VLOOKUP(B34,'All Menu'!B:M,12,0)</f>
        <v>0.25082061925520549</v>
      </c>
      <c r="J34" s="114">
        <f t="shared" si="4"/>
        <v>3879.3103448275865</v>
      </c>
      <c r="K34" s="117">
        <f t="shared" si="5"/>
        <v>-108.41199999999981</v>
      </c>
      <c r="L34" s="118">
        <f>VLOOKUP(B34,'All Menu'!B:G,6,0)</f>
        <v>17.241379310344829</v>
      </c>
      <c r="M34" s="118">
        <f t="shared" si="6"/>
        <v>-0.48183111111110932</v>
      </c>
      <c r="N34" s="151">
        <f ca="1">VLOOKUP(B34,'All Menu'!B:H,7,0)</f>
        <v>299.80099999999999</v>
      </c>
    </row>
    <row r="35" spans="1:14" s="151" customFormat="1" ht="14.5">
      <c r="A35" s="266" t="s">
        <v>2015</v>
      </c>
      <c r="B35" s="167" t="s">
        <v>1117</v>
      </c>
      <c r="C35" s="151" t="s">
        <v>1386</v>
      </c>
      <c r="D35" s="115" t="str">
        <f>VLOOKUP(B35,'All Menu'!B:D,3,0)</f>
        <v>التواصي سفري2</v>
      </c>
      <c r="E35" s="116">
        <f t="shared" si="0"/>
        <v>15.158479474548441</v>
      </c>
      <c r="F35" s="151">
        <v>10.5</v>
      </c>
      <c r="G35" s="153">
        <v>159.16403448275864</v>
      </c>
      <c r="H35" s="115">
        <f>VLOOKUP(B35,'All Menu'!B:J,9,0)</f>
        <v>3.7891944031919045</v>
      </c>
      <c r="I35" s="120">
        <f>VLOOKUP(B35,'All Menu'!B:M,12,0)</f>
        <v>0.75580747179429941</v>
      </c>
      <c r="J35" s="114">
        <f t="shared" si="4"/>
        <v>162.93103448275863</v>
      </c>
      <c r="K35" s="117">
        <f t="shared" si="5"/>
        <v>-3.7669999999999959</v>
      </c>
      <c r="L35" s="118">
        <f>VLOOKUP(B35,'All Menu'!B:G,6,0)</f>
        <v>15.517241379310345</v>
      </c>
      <c r="M35" s="118">
        <f t="shared" si="6"/>
        <v>-0.35876190476190395</v>
      </c>
      <c r="N35" s="151">
        <f ca="1">VLOOKUP(B35,'All Menu'!B:H,7,0)</f>
        <v>19.5</v>
      </c>
    </row>
    <row r="36" spans="1:14" s="151" customFormat="1" ht="14.5">
      <c r="A36" s="266" t="s">
        <v>2015</v>
      </c>
      <c r="B36" s="167" t="s">
        <v>1118</v>
      </c>
      <c r="C36" s="151" t="s">
        <v>1661</v>
      </c>
      <c r="D36" s="115" t="str">
        <f>VLOOKUP(B36,'All Menu'!B:D,3,0)</f>
        <v>التواصي سفري2</v>
      </c>
      <c r="E36" s="116">
        <f t="shared" si="0"/>
        <v>12.068965517241381</v>
      </c>
      <c r="F36" s="151">
        <v>3</v>
      </c>
      <c r="G36" s="153">
        <v>36.206896551724142</v>
      </c>
      <c r="H36" s="115">
        <f>VLOOKUP(B36,'All Menu'!B:J,9,0)</f>
        <v>3.0870830769230766</v>
      </c>
      <c r="I36" s="120">
        <f>VLOOKUP(B36,'All Menu'!B:M,12,0)</f>
        <v>0.74421311648351662</v>
      </c>
      <c r="J36" s="114">
        <f t="shared" si="4"/>
        <v>36.206896551724142</v>
      </c>
      <c r="K36" s="117">
        <f t="shared" si="5"/>
        <v>0</v>
      </c>
      <c r="L36" s="118">
        <f>VLOOKUP(B36,'All Menu'!B:G,6,0)</f>
        <v>12.068965517241381</v>
      </c>
      <c r="M36" s="118">
        <f t="shared" si="6"/>
        <v>0</v>
      </c>
      <c r="N36" s="151">
        <f ca="1">VLOOKUP(B36,'All Menu'!B:H,7,0)</f>
        <v>9</v>
      </c>
    </row>
    <row r="37" spans="1:14" s="151" customFormat="1" ht="14.5">
      <c r="A37" s="266" t="s">
        <v>2015</v>
      </c>
      <c r="B37" s="167" t="s">
        <v>1156</v>
      </c>
      <c r="C37" s="151" t="s">
        <v>1387</v>
      </c>
      <c r="D37" s="115" t="str">
        <f>VLOOKUP(B37,'All Menu'!B:D,3,0)</f>
        <v>التواصي سفري2</v>
      </c>
      <c r="E37" s="116">
        <f t="shared" si="0"/>
        <v>38.793103448275865</v>
      </c>
      <c r="F37" s="151">
        <v>7</v>
      </c>
      <c r="G37" s="153">
        <v>271.55172413793105</v>
      </c>
      <c r="H37" s="115">
        <f>VLOOKUP(B37,'All Menu'!B:J,9,0)</f>
        <v>23.594877294476447</v>
      </c>
      <c r="I37" s="120">
        <f>VLOOKUP(B37,'All Menu'!B:M,12,0)</f>
        <v>0.39177649640905166</v>
      </c>
      <c r="J37" s="114">
        <f t="shared" si="4"/>
        <v>271.55172413793105</v>
      </c>
      <c r="K37" s="117">
        <f t="shared" si="5"/>
        <v>0</v>
      </c>
      <c r="L37" s="118">
        <f>VLOOKUP(B37,'All Menu'!B:G,6,0)</f>
        <v>38.793103448275865</v>
      </c>
      <c r="M37" s="118">
        <f t="shared" si="6"/>
        <v>0</v>
      </c>
      <c r="N37" s="151">
        <f ca="1">VLOOKUP(B37,'All Menu'!B:H,7,0)</f>
        <v>10</v>
      </c>
    </row>
    <row r="38" spans="1:14" s="151" customFormat="1" ht="14.5">
      <c r="A38" s="266" t="s">
        <v>2015</v>
      </c>
      <c r="B38" s="167" t="s">
        <v>1119</v>
      </c>
      <c r="C38" s="151" t="s">
        <v>1662</v>
      </c>
      <c r="D38" s="115" t="str">
        <f>VLOOKUP(B38,'All Menu'!B:D,3,0)</f>
        <v>التواصي سفري2</v>
      </c>
      <c r="E38" s="116">
        <f t="shared" si="0"/>
        <v>21.393819376026276</v>
      </c>
      <c r="F38" s="151">
        <v>21</v>
      </c>
      <c r="G38" s="153">
        <v>449.27020689655177</v>
      </c>
      <c r="H38" s="115">
        <f>VLOOKUP(B38,'All Menu'!B:J,9,0)</f>
        <v>9.8006828329379871</v>
      </c>
      <c r="I38" s="120">
        <f>VLOOKUP(B38,'All Menu'!B:M,12,0)</f>
        <v>0.54524831655167738</v>
      </c>
      <c r="J38" s="114">
        <f t="shared" si="4"/>
        <v>452.58620689655174</v>
      </c>
      <c r="K38" s="117">
        <f t="shared" si="5"/>
        <v>-3.3159999999999741</v>
      </c>
      <c r="L38" s="118">
        <f>VLOOKUP(B38,'All Menu'!B:G,6,0)</f>
        <v>21.551724137931036</v>
      </c>
      <c r="M38" s="118">
        <f t="shared" si="6"/>
        <v>-0.15790476190475999</v>
      </c>
      <c r="N38" s="151">
        <f ca="1">VLOOKUP(B38,'All Menu'!B:H,7,0)</f>
        <v>29</v>
      </c>
    </row>
    <row r="39" spans="1:14" s="151" customFormat="1" ht="14.5">
      <c r="A39" s="266" t="s">
        <v>2015</v>
      </c>
      <c r="B39" s="168" t="s">
        <v>1318</v>
      </c>
      <c r="C39" s="151" t="s">
        <v>1664</v>
      </c>
      <c r="D39" s="115" t="str">
        <f>VLOOKUP(B39,'All Menu'!B:D,3,0)</f>
        <v>التواصي سفري2</v>
      </c>
      <c r="E39" s="116">
        <f t="shared" si="0"/>
        <v>7.4146896551724151</v>
      </c>
      <c r="F39" s="151">
        <v>1</v>
      </c>
      <c r="G39" s="154">
        <v>7.4146896551724151</v>
      </c>
      <c r="H39" s="115">
        <f>VLOOKUP(B39,'All Menu'!B:J,9,0)</f>
        <v>4.2948408620689653</v>
      </c>
      <c r="I39" s="120">
        <f>VLOOKUP(B39,'All Menu'!B:M,12,0)</f>
        <v>0.50179846000000006</v>
      </c>
      <c r="J39" s="114">
        <f t="shared" si="4"/>
        <v>8.6206896551724146</v>
      </c>
      <c r="K39" s="117">
        <f t="shared" si="5"/>
        <v>-1.2059999999999995</v>
      </c>
      <c r="L39" s="118">
        <f>VLOOKUP(B39,'All Menu'!B:G,6,0)</f>
        <v>8.6206896551724146</v>
      </c>
      <c r="M39" s="118">
        <f t="shared" si="6"/>
        <v>-1.2059999999999995</v>
      </c>
      <c r="N39" s="151">
        <f ca="1">VLOOKUP(B39,'All Menu'!B:H,7,0)</f>
        <v>1</v>
      </c>
    </row>
    <row r="40" spans="1:14" s="151" customFormat="1" ht="14.5">
      <c r="A40" s="266" t="s">
        <v>2015</v>
      </c>
      <c r="B40" s="168" t="s">
        <v>1299</v>
      </c>
      <c r="C40" s="151" t="s">
        <v>1388</v>
      </c>
      <c r="D40" s="115" t="str">
        <f>VLOOKUP(B40,'All Menu'!B:D,3,0)</f>
        <v>التواصي سفري2</v>
      </c>
      <c r="E40" s="116">
        <f t="shared" si="0"/>
        <v>16.574712643678165</v>
      </c>
      <c r="F40" s="155">
        <v>3</v>
      </c>
      <c r="G40" s="152">
        <v>49.724137931034491</v>
      </c>
      <c r="H40" s="115">
        <f>VLOOKUP(B40,'All Menu'!B:J,9,0)</f>
        <v>9.9595579060900263</v>
      </c>
      <c r="I40" s="120">
        <f>VLOOKUP(B40,'All Menu'!B:M,12,0)</f>
        <v>0.42234564144677855</v>
      </c>
      <c r="J40" s="114">
        <f t="shared" si="4"/>
        <v>51.724137931034491</v>
      </c>
      <c r="K40" s="117">
        <f t="shared" si="5"/>
        <v>-2</v>
      </c>
      <c r="L40" s="118">
        <f>VLOOKUP(B40,'All Menu'!B:G,6,0)</f>
        <v>17.241379310344829</v>
      </c>
      <c r="M40" s="118">
        <f t="shared" si="6"/>
        <v>-0.6666666666666643</v>
      </c>
      <c r="N40" s="151">
        <f ca="1">VLOOKUP(B40,'All Menu'!B:H,7,0)</f>
        <v>13</v>
      </c>
    </row>
    <row r="41" spans="1:14" s="151" customFormat="1" ht="14.5">
      <c r="A41" s="266" t="s">
        <v>2015</v>
      </c>
      <c r="B41" s="168" t="s">
        <v>1286</v>
      </c>
      <c r="C41" s="151" t="s">
        <v>1668</v>
      </c>
      <c r="D41" s="115" t="str">
        <f>VLOOKUP(B41,'All Menu'!B:D,3,0)</f>
        <v>التواصي سفري2</v>
      </c>
      <c r="E41" s="116">
        <f t="shared" si="0"/>
        <v>15.517241379310345</v>
      </c>
      <c r="F41" s="155">
        <v>4</v>
      </c>
      <c r="G41" s="152">
        <v>62.068965517241381</v>
      </c>
      <c r="H41" s="115">
        <f>VLOOKUP(B41,'All Menu'!B:J,9,0)</f>
        <v>9.7854384137673822</v>
      </c>
      <c r="I41" s="120">
        <f>VLOOKUP(B41,'All Menu'!B:M,12,0)</f>
        <v>0.36938285777943536</v>
      </c>
      <c r="J41" s="114">
        <f t="shared" si="4"/>
        <v>62.068965517241381</v>
      </c>
      <c r="K41" s="117">
        <f t="shared" si="5"/>
        <v>0</v>
      </c>
      <c r="L41" s="118">
        <f>VLOOKUP(B41,'All Menu'!B:G,6,0)</f>
        <v>15.517241379310345</v>
      </c>
      <c r="M41" s="118">
        <f t="shared" si="6"/>
        <v>0</v>
      </c>
      <c r="N41" s="151">
        <f ca="1">VLOOKUP(B41,'All Menu'!B:H,7,0)</f>
        <v>4</v>
      </c>
    </row>
    <row r="42" spans="1:14" s="151" customFormat="1" ht="14.5">
      <c r="A42" s="266" t="s">
        <v>2015</v>
      </c>
      <c r="B42" s="168" t="s">
        <v>1322</v>
      </c>
      <c r="C42" s="151" t="s">
        <v>1834</v>
      </c>
      <c r="D42" s="115" t="str">
        <f>VLOOKUP(B42,'All Menu'!B:D,3,0)</f>
        <v>التواصي سفري2</v>
      </c>
      <c r="E42" s="116">
        <f t="shared" si="0"/>
        <v>4.3103448275862073</v>
      </c>
      <c r="F42" s="155">
        <v>12</v>
      </c>
      <c r="G42" s="152">
        <v>51.724137931034491</v>
      </c>
      <c r="H42" s="115">
        <f>VLOOKUP(B42,'All Menu'!B:J,9,0)</f>
        <v>2.3343672426090403</v>
      </c>
      <c r="I42" s="120">
        <f>VLOOKUP(B42,'All Menu'!B:M,12,0)</f>
        <v>0.45842679971470268</v>
      </c>
      <c r="J42" s="114">
        <f t="shared" si="4"/>
        <v>51.724137931034491</v>
      </c>
      <c r="K42" s="117">
        <f t="shared" si="5"/>
        <v>0</v>
      </c>
      <c r="L42" s="118">
        <f>VLOOKUP(B42,'All Menu'!B:G,6,0)</f>
        <v>4.3103448275862073</v>
      </c>
      <c r="M42" s="118">
        <f t="shared" si="6"/>
        <v>0</v>
      </c>
      <c r="N42" s="151">
        <f ca="1">VLOOKUP(B42,'All Menu'!B:H,7,0)</f>
        <v>24</v>
      </c>
    </row>
    <row r="43" spans="1:14" s="151" customFormat="1" ht="14.5">
      <c r="A43" s="266" t="s">
        <v>2015</v>
      </c>
      <c r="B43" s="168" t="s">
        <v>966</v>
      </c>
      <c r="C43" s="151" t="s">
        <v>1392</v>
      </c>
      <c r="D43" s="115" t="str">
        <f>VLOOKUP(B43,'All Menu'!B:D,3,0)</f>
        <v>المشاوي سفري</v>
      </c>
      <c r="E43" s="116">
        <f t="shared" si="0"/>
        <v>5.9913793103448283</v>
      </c>
      <c r="F43" s="155">
        <v>14</v>
      </c>
      <c r="G43" s="152">
        <v>83.879310344827601</v>
      </c>
      <c r="H43" s="115">
        <f>VLOOKUP(B43,'All Menu'!B:J,9,0)</f>
        <v>3.6686979324224152</v>
      </c>
      <c r="I43" s="120">
        <f>VLOOKUP(B43,'All Menu'!B:M,12,0)</f>
        <v>0.38767056091942431</v>
      </c>
      <c r="J43" s="114">
        <f t="shared" si="4"/>
        <v>83.879310344827601</v>
      </c>
      <c r="K43" s="117">
        <f t="shared" si="5"/>
        <v>0</v>
      </c>
      <c r="L43" s="118">
        <f>VLOOKUP(B43,'All Menu'!B:G,6,0)</f>
        <v>5.9913793103448283</v>
      </c>
      <c r="M43" s="118">
        <f t="shared" si="6"/>
        <v>0</v>
      </c>
      <c r="N43" s="151">
        <f ca="1">VLOOKUP(B43,'All Menu'!B:H,7,0)</f>
        <v>25.001000000000001</v>
      </c>
    </row>
    <row r="44" spans="1:14" s="151" customFormat="1" ht="14.5">
      <c r="A44" s="266" t="s">
        <v>2015</v>
      </c>
      <c r="B44" s="168" t="s">
        <v>964</v>
      </c>
      <c r="C44" s="151" t="s">
        <v>1393</v>
      </c>
      <c r="D44" s="115" t="str">
        <f>VLOOKUP(B44,'All Menu'!B:D,3,0)</f>
        <v>المشاوي سفري</v>
      </c>
      <c r="E44" s="116">
        <f t="shared" si="0"/>
        <v>5.6896551724137936</v>
      </c>
      <c r="F44" s="155">
        <v>42</v>
      </c>
      <c r="G44" s="152">
        <v>238.96551724137933</v>
      </c>
      <c r="H44" s="115">
        <f>VLOOKUP(B44,'All Menu'!B:J,9,0)</f>
        <v>3.7688742119978325</v>
      </c>
      <c r="I44" s="120">
        <f>VLOOKUP(B44,'All Menu'!B:M,12,0)</f>
        <v>0.33759180516401738</v>
      </c>
      <c r="J44" s="114">
        <f t="shared" si="4"/>
        <v>238.96551724137933</v>
      </c>
      <c r="K44" s="117">
        <f t="shared" si="5"/>
        <v>0</v>
      </c>
      <c r="L44" s="118">
        <f>VLOOKUP(B44,'All Menu'!B:G,6,0)</f>
        <v>5.6896551724137936</v>
      </c>
      <c r="M44" s="118">
        <f t="shared" si="6"/>
        <v>0</v>
      </c>
      <c r="N44" s="151">
        <f ca="1">VLOOKUP(B44,'All Menu'!B:H,7,0)</f>
        <v>55</v>
      </c>
    </row>
    <row r="45" spans="1:14" s="151" customFormat="1" ht="14.5">
      <c r="A45" s="266" t="s">
        <v>2015</v>
      </c>
      <c r="B45" s="168" t="s">
        <v>967</v>
      </c>
      <c r="C45" s="151" t="s">
        <v>1394</v>
      </c>
      <c r="D45" s="115" t="str">
        <f>VLOOKUP(B45,'All Menu'!B:D,3,0)</f>
        <v>المشاوي سفري</v>
      </c>
      <c r="E45" s="116">
        <f t="shared" si="0"/>
        <v>7.112068965517242</v>
      </c>
      <c r="F45" s="155">
        <v>46</v>
      </c>
      <c r="G45" s="152">
        <v>327.15517241379314</v>
      </c>
      <c r="H45" s="115">
        <f>VLOOKUP(B45,'All Menu'!B:J,9,0)</f>
        <v>6.3656279160317544</v>
      </c>
      <c r="I45" s="120">
        <f>VLOOKUP(B45,'All Menu'!B:M,12,0)</f>
        <v>0.10495413544280795</v>
      </c>
      <c r="J45" s="114">
        <f t="shared" si="4"/>
        <v>327.15517241379314</v>
      </c>
      <c r="K45" s="117">
        <f t="shared" si="5"/>
        <v>0</v>
      </c>
      <c r="L45" s="118">
        <f>VLOOKUP(B45,'All Menu'!B:G,6,0)</f>
        <v>7.112068965517242</v>
      </c>
      <c r="M45" s="118">
        <f t="shared" si="6"/>
        <v>0</v>
      </c>
      <c r="N45" s="151">
        <f ca="1">VLOOKUP(B45,'All Menu'!B:H,7,0)</f>
        <v>54</v>
      </c>
    </row>
    <row r="46" spans="1:14" s="151" customFormat="1" ht="14.5">
      <c r="A46" s="266" t="s">
        <v>2015</v>
      </c>
      <c r="B46" s="168" t="s">
        <v>965</v>
      </c>
      <c r="C46" s="151" t="s">
        <v>1395</v>
      </c>
      <c r="D46" s="115" t="str">
        <f>VLOOKUP(B46,'All Menu'!B:D,3,0)</f>
        <v>المشاوي سفري</v>
      </c>
      <c r="E46" s="116">
        <f t="shared" si="0"/>
        <v>4.7413793103448283</v>
      </c>
      <c r="F46" s="155">
        <v>40</v>
      </c>
      <c r="G46" s="152">
        <v>189.65517241379314</v>
      </c>
      <c r="H46" s="115">
        <f>VLOOKUP(B46,'All Menu'!B:J,9,0)</f>
        <v>1.6773279540549295</v>
      </c>
      <c r="I46" s="120">
        <f>VLOOKUP(B46,'All Menu'!B:M,12,0)</f>
        <v>0.64623628605386951</v>
      </c>
      <c r="J46" s="114">
        <f t="shared" si="4"/>
        <v>189.65517241379314</v>
      </c>
      <c r="K46" s="117">
        <f t="shared" si="5"/>
        <v>0</v>
      </c>
      <c r="L46" s="118">
        <f>VLOOKUP(B46,'All Menu'!B:G,6,0)</f>
        <v>4.7413793103448283</v>
      </c>
      <c r="M46" s="118">
        <f t="shared" si="6"/>
        <v>0</v>
      </c>
      <c r="N46" s="151">
        <f ca="1">VLOOKUP(B46,'All Menu'!B:H,7,0)</f>
        <v>59.000999999999998</v>
      </c>
    </row>
    <row r="47" spans="1:14" s="151" customFormat="1" ht="14.5">
      <c r="A47" s="266" t="s">
        <v>2015</v>
      </c>
      <c r="B47" s="168" t="s">
        <v>1068</v>
      </c>
      <c r="C47" s="151" t="s">
        <v>1396</v>
      </c>
      <c r="D47" s="115" t="str">
        <f>VLOOKUP(B47,'All Menu'!B:D,3,0)</f>
        <v>المشاوي سفري</v>
      </c>
      <c r="E47" s="116">
        <f t="shared" si="0"/>
        <v>10.129310344827589</v>
      </c>
      <c r="F47" s="155">
        <v>31</v>
      </c>
      <c r="G47" s="152">
        <v>314.00862068965523</v>
      </c>
      <c r="H47" s="115">
        <f>VLOOKUP(B47,'All Menu'!B:J,9,0)</f>
        <v>8.5399233888278197</v>
      </c>
      <c r="I47" s="120">
        <f>VLOOKUP(B47,'All Menu'!B:M,12,0)</f>
        <v>0.1569096909752962</v>
      </c>
      <c r="J47" s="114">
        <f t="shared" si="4"/>
        <v>314.00862068965523</v>
      </c>
      <c r="K47" s="117">
        <f t="shared" si="5"/>
        <v>0</v>
      </c>
      <c r="L47" s="118">
        <f>VLOOKUP(B47,'All Menu'!B:G,6,0)</f>
        <v>10.129310344827587</v>
      </c>
      <c r="M47" s="118">
        <f t="shared" si="6"/>
        <v>0</v>
      </c>
      <c r="N47" s="151">
        <f ca="1">VLOOKUP(B47,'All Menu'!B:H,7,0)</f>
        <v>44</v>
      </c>
    </row>
    <row r="48" spans="1:14" s="151" customFormat="1" ht="14.5">
      <c r="A48" s="266" t="s">
        <v>2015</v>
      </c>
      <c r="B48" s="168" t="s">
        <v>1067</v>
      </c>
      <c r="C48" s="151" t="s">
        <v>1397</v>
      </c>
      <c r="D48" s="115" t="str">
        <f>VLOOKUP(B48,'All Menu'!B:D,3,0)</f>
        <v>المشاوي سفري</v>
      </c>
      <c r="E48" s="116">
        <f t="shared" si="0"/>
        <v>18.498798111317782</v>
      </c>
      <c r="F48" s="155">
        <v>120.5</v>
      </c>
      <c r="G48" s="152">
        <v>2229.1051724137928</v>
      </c>
      <c r="H48" s="115">
        <f>VLOOKUP(B48,'All Menu'!B:J,9,0)</f>
        <v>13.396247348151649</v>
      </c>
      <c r="I48" s="120">
        <f>VLOOKUP(B48,'All Menu'!B:M,12,0)</f>
        <v>0.27722572447181804</v>
      </c>
      <c r="J48" s="114">
        <f t="shared" si="4"/>
        <v>2233.405172413793</v>
      </c>
      <c r="K48" s="117">
        <f t="shared" si="5"/>
        <v>-4.3000000000001819</v>
      </c>
      <c r="L48" s="118">
        <f>VLOOKUP(B48,'All Menu'!B:G,6,0)</f>
        <v>18.53448275862069</v>
      </c>
      <c r="M48" s="118">
        <f t="shared" si="6"/>
        <v>-3.568464730290799E-2</v>
      </c>
      <c r="N48" s="151">
        <f ca="1">VLOOKUP(B48,'All Menu'!B:H,7,0)</f>
        <v>184</v>
      </c>
    </row>
    <row r="49" spans="1:14" s="151" customFormat="1" ht="14.5">
      <c r="A49" s="266" t="s">
        <v>2015</v>
      </c>
      <c r="B49" s="168" t="s">
        <v>957</v>
      </c>
      <c r="C49" s="151" t="s">
        <v>1398</v>
      </c>
      <c r="D49" s="115" t="str">
        <f>VLOOKUP(B49,'All Menu'!B:D,3,0)</f>
        <v>المشاوي سفري</v>
      </c>
      <c r="E49" s="116">
        <f t="shared" si="0"/>
        <v>12.5</v>
      </c>
      <c r="F49" s="155">
        <v>62</v>
      </c>
      <c r="G49" s="152">
        <v>775</v>
      </c>
      <c r="H49" s="115">
        <f>VLOOKUP(B49,'All Menu'!B:J,9,0)</f>
        <v>9.7921151018464965</v>
      </c>
      <c r="I49" s="120">
        <f>VLOOKUP(B49,'All Menu'!B:M,12,0)</f>
        <v>0.21663079185228029</v>
      </c>
      <c r="J49" s="114">
        <f t="shared" si="4"/>
        <v>775</v>
      </c>
      <c r="K49" s="117">
        <f t="shared" si="5"/>
        <v>0</v>
      </c>
      <c r="L49" s="118">
        <f>VLOOKUP(B49,'All Menu'!B:G,6,0)</f>
        <v>12.5</v>
      </c>
      <c r="M49" s="118">
        <f t="shared" si="6"/>
        <v>0</v>
      </c>
      <c r="N49" s="151">
        <f ca="1">VLOOKUP(B49,'All Menu'!B:H,7,0)</f>
        <v>74.801000000000002</v>
      </c>
    </row>
    <row r="50" spans="1:14" s="151" customFormat="1" ht="14.5">
      <c r="A50" s="266" t="s">
        <v>2015</v>
      </c>
      <c r="B50" s="168" t="s">
        <v>950</v>
      </c>
      <c r="C50" s="151" t="s">
        <v>1399</v>
      </c>
      <c r="D50" s="115" t="str">
        <f>VLOOKUP(B50,'All Menu'!B:D,3,0)</f>
        <v>المشاوي سفري</v>
      </c>
      <c r="E50" s="116">
        <f t="shared" si="0"/>
        <v>23.45705655172414</v>
      </c>
      <c r="F50" s="155">
        <v>50</v>
      </c>
      <c r="G50" s="152">
        <v>1172.852827586207</v>
      </c>
      <c r="H50" s="115">
        <f>VLOOKUP(B50,'All Menu'!B:J,9,0)</f>
        <v>21.859353332193056</v>
      </c>
      <c r="I50" s="120">
        <f>VLOOKUP(B50,'All Menu'!B:M,12,0)</f>
        <v>7.7932732169311139E-2</v>
      </c>
      <c r="J50" s="114">
        <f t="shared" si="4"/>
        <v>1185.344827586207</v>
      </c>
      <c r="K50" s="117">
        <f t="shared" si="5"/>
        <v>-12.491999999999962</v>
      </c>
      <c r="L50" s="118">
        <f>VLOOKUP(B50,'All Menu'!B:G,6,0)</f>
        <v>23.706896551724139</v>
      </c>
      <c r="M50" s="118">
        <f t="shared" si="6"/>
        <v>-0.24983999999999895</v>
      </c>
      <c r="N50" s="151">
        <f ca="1">VLOOKUP(B50,'All Menu'!B:H,7,0)</f>
        <v>88.350099999999998</v>
      </c>
    </row>
    <row r="51" spans="1:14" s="151" customFormat="1" ht="14.5">
      <c r="A51" s="266" t="s">
        <v>2015</v>
      </c>
      <c r="B51" s="168" t="s">
        <v>959</v>
      </c>
      <c r="C51" s="151" t="s">
        <v>1400</v>
      </c>
      <c r="D51" s="115" t="str">
        <f>VLOOKUP(B51,'All Menu'!B:D,3,0)</f>
        <v>المشاوي سفري</v>
      </c>
      <c r="E51" s="116">
        <f t="shared" si="0"/>
        <v>9.4546888532477968</v>
      </c>
      <c r="F51" s="155">
        <v>86</v>
      </c>
      <c r="G51" s="152">
        <v>813.10324137931048</v>
      </c>
      <c r="H51" s="115">
        <f>VLOOKUP(B51,'All Menu'!B:J,9,0)</f>
        <v>6.4946902839713658</v>
      </c>
      <c r="I51" s="120">
        <f>VLOOKUP(B51,'All Menu'!B:M,12,0)</f>
        <v>0.31510538823574696</v>
      </c>
      <c r="J51" s="114">
        <f t="shared" si="4"/>
        <v>815.51724137931046</v>
      </c>
      <c r="K51" s="117">
        <f t="shared" si="5"/>
        <v>-2.4139999999999873</v>
      </c>
      <c r="L51" s="118">
        <f>VLOOKUP(B51,'All Menu'!B:G,6,0)</f>
        <v>9.4827586206896566</v>
      </c>
      <c r="M51" s="118">
        <f t="shared" si="6"/>
        <v>-2.8069767441859739E-2</v>
      </c>
      <c r="N51" s="151">
        <f ca="1">VLOOKUP(B51,'All Menu'!B:H,7,0)</f>
        <v>113.8</v>
      </c>
    </row>
    <row r="52" spans="1:14" s="151" customFormat="1" ht="14.5">
      <c r="A52" s="266" t="s">
        <v>2015</v>
      </c>
      <c r="B52" s="168" t="s">
        <v>952</v>
      </c>
      <c r="C52" s="151" t="s">
        <v>1401</v>
      </c>
      <c r="D52" s="115" t="str">
        <f>VLOOKUP(B52,'All Menu'!B:D,3,0)</f>
        <v>المشاوي سفري</v>
      </c>
      <c r="E52" s="116">
        <f t="shared" si="0"/>
        <v>18.484022865572562</v>
      </c>
      <c r="F52" s="155">
        <v>93.5</v>
      </c>
      <c r="G52" s="152">
        <v>1728.2561379310346</v>
      </c>
      <c r="H52" s="115">
        <f>VLOOKUP(B52,'All Menu'!B:J,9,0)</f>
        <v>12.512937550011697</v>
      </c>
      <c r="I52" s="120">
        <f>VLOOKUP(B52,'All Menu'!B:M,12,0)</f>
        <v>0.32488336939471774</v>
      </c>
      <c r="J52" s="114">
        <f t="shared" si="4"/>
        <v>1732.9741379310346</v>
      </c>
      <c r="K52" s="117">
        <f t="shared" si="5"/>
        <v>-4.7180000000000746</v>
      </c>
      <c r="L52" s="118">
        <f>VLOOKUP(B52,'All Menu'!B:G,6,0)</f>
        <v>18.53448275862069</v>
      </c>
      <c r="M52" s="118">
        <f t="shared" si="6"/>
        <v>-5.0459893048127924E-2</v>
      </c>
      <c r="N52" s="151">
        <f ca="1">VLOOKUP(B52,'All Menu'!B:H,7,0)</f>
        <v>174.75110000000001</v>
      </c>
    </row>
    <row r="53" spans="1:14" s="151" customFormat="1" ht="14.5">
      <c r="A53" s="266" t="s">
        <v>2015</v>
      </c>
      <c r="B53" s="168" t="s">
        <v>960</v>
      </c>
      <c r="C53" s="151" t="s">
        <v>1672</v>
      </c>
      <c r="D53" s="115" t="str">
        <f>VLOOKUP(B53,'All Menu'!B:D,3,0)</f>
        <v>المشاوي سفري</v>
      </c>
      <c r="E53" s="116">
        <f t="shared" si="0"/>
        <v>7.7546434169278999</v>
      </c>
      <c r="F53" s="155">
        <v>44</v>
      </c>
      <c r="G53" s="152">
        <v>341.2043103448276</v>
      </c>
      <c r="H53" s="115">
        <f>VLOOKUP(B53,'All Menu'!B:J,9,0)</f>
        <v>3.136900159373992</v>
      </c>
      <c r="I53" s="120">
        <f>VLOOKUP(B53,'All Menu'!B:M,12,0)</f>
        <v>0.59568842390290766</v>
      </c>
      <c r="J53" s="114">
        <f t="shared" si="4"/>
        <v>341.37931034482762</v>
      </c>
      <c r="K53" s="117">
        <f t="shared" si="5"/>
        <v>-0.17500000000001137</v>
      </c>
      <c r="L53" s="118">
        <f>VLOOKUP(B53,'All Menu'!B:G,6,0)</f>
        <v>7.7586206896551726</v>
      </c>
      <c r="M53" s="118">
        <f t="shared" si="6"/>
        <v>-3.9772727272726627E-3</v>
      </c>
      <c r="N53" s="151">
        <f ca="1">VLOOKUP(B53,'All Menu'!B:H,7,0)</f>
        <v>56.250999999999998</v>
      </c>
    </row>
    <row r="54" spans="1:14" s="151" customFormat="1" ht="14.5">
      <c r="A54" s="266" t="s">
        <v>2015</v>
      </c>
      <c r="B54" s="168" t="s">
        <v>954</v>
      </c>
      <c r="C54" s="151" t="s">
        <v>1402</v>
      </c>
      <c r="D54" s="115" t="str">
        <f>VLOOKUP(B54,'All Menu'!B:D,3,0)</f>
        <v>المشاوي سفري</v>
      </c>
      <c r="E54" s="116">
        <f t="shared" si="0"/>
        <v>14.519172413793106</v>
      </c>
      <c r="F54" s="155">
        <v>25</v>
      </c>
      <c r="G54" s="152">
        <v>362.97931034482764</v>
      </c>
      <c r="H54" s="115">
        <f>VLOOKUP(B54,'All Menu'!B:J,9,0)</f>
        <v>5.6704266024752172</v>
      </c>
      <c r="I54" s="120">
        <f>VLOOKUP(B54,'All Menu'!B:M,12,0)</f>
        <v>0.61307677300757346</v>
      </c>
      <c r="J54" s="114">
        <f t="shared" si="4"/>
        <v>366.37931034482762</v>
      </c>
      <c r="K54" s="117">
        <f t="shared" si="5"/>
        <v>-3.3999999999999773</v>
      </c>
      <c r="L54" s="118">
        <f>VLOOKUP(B54,'All Menu'!B:G,6,0)</f>
        <v>14.655172413793105</v>
      </c>
      <c r="M54" s="118">
        <f t="shared" si="6"/>
        <v>-0.13599999999999923</v>
      </c>
      <c r="N54" s="151">
        <f ca="1">VLOOKUP(B54,'All Menu'!B:H,7,0)</f>
        <v>61.2</v>
      </c>
    </row>
    <row r="55" spans="1:14" s="151" customFormat="1" ht="14.5">
      <c r="A55" s="266" t="s">
        <v>2015</v>
      </c>
      <c r="B55" s="168" t="s">
        <v>961</v>
      </c>
      <c r="C55" s="151" t="s">
        <v>1403</v>
      </c>
      <c r="D55" s="115" t="str">
        <f>VLOOKUP(B55,'All Menu'!B:D,3,0)</f>
        <v>المشاوي سفري</v>
      </c>
      <c r="E55" s="116">
        <f t="shared" si="0"/>
        <v>11.63793103448276</v>
      </c>
      <c r="F55" s="155">
        <v>12</v>
      </c>
      <c r="G55" s="152">
        <v>139.65517241379311</v>
      </c>
      <c r="H55" s="115">
        <f>VLOOKUP(B55,'All Menu'!B:J,9,0)</f>
        <v>7.7324063313202105</v>
      </c>
      <c r="I55" s="120">
        <f>VLOOKUP(B55,'All Menu'!B:M,12,0)</f>
        <v>0.33558582634581902</v>
      </c>
      <c r="J55" s="114">
        <f t="shared" si="4"/>
        <v>139.65517241379311</v>
      </c>
      <c r="K55" s="117">
        <f t="shared" si="5"/>
        <v>0</v>
      </c>
      <c r="L55" s="118">
        <f>VLOOKUP(B55,'All Menu'!B:G,6,0)</f>
        <v>11.63793103448276</v>
      </c>
      <c r="M55" s="118">
        <f t="shared" si="6"/>
        <v>0</v>
      </c>
      <c r="N55" s="151">
        <f ca="1">VLOOKUP(B55,'All Menu'!B:H,7,0)</f>
        <v>16</v>
      </c>
    </row>
    <row r="56" spans="1:14" s="151" customFormat="1" ht="14.5">
      <c r="A56" s="266" t="s">
        <v>2015</v>
      </c>
      <c r="B56" s="168" t="s">
        <v>953</v>
      </c>
      <c r="C56" s="151" t="s">
        <v>1673</v>
      </c>
      <c r="D56" s="115" t="str">
        <f>VLOOKUP(B56,'All Menu'!B:D,3,0)</f>
        <v>المشاوي سفري</v>
      </c>
      <c r="E56" s="116">
        <f t="shared" si="0"/>
        <v>21.551724137931036</v>
      </c>
      <c r="F56" s="155">
        <v>8</v>
      </c>
      <c r="G56" s="152">
        <v>172.41379310344828</v>
      </c>
      <c r="H56" s="115">
        <f>VLOOKUP(B56,'All Menu'!B:J,9,0)</f>
        <v>14.858878515880367</v>
      </c>
      <c r="I56" s="120">
        <f>VLOOKUP(B56,'All Menu'!B:M,12,0)</f>
        <v>0.31054803686315102</v>
      </c>
      <c r="J56" s="114">
        <f t="shared" si="4"/>
        <v>172.41379310344828</v>
      </c>
      <c r="K56" s="117">
        <f t="shared" si="5"/>
        <v>0</v>
      </c>
      <c r="L56" s="118">
        <f>VLOOKUP(B56,'All Menu'!B:G,6,0)</f>
        <v>21.551724137931036</v>
      </c>
      <c r="M56" s="118">
        <f t="shared" si="6"/>
        <v>0</v>
      </c>
      <c r="N56" s="151">
        <f ca="1">VLOOKUP(B56,'All Menu'!B:H,7,0)</f>
        <v>20.900099999999998</v>
      </c>
    </row>
    <row r="57" spans="1:14" s="151" customFormat="1" ht="14.5">
      <c r="A57" s="266" t="s">
        <v>2015</v>
      </c>
      <c r="B57" s="168" t="s">
        <v>958</v>
      </c>
      <c r="C57" s="151" t="s">
        <v>1769</v>
      </c>
      <c r="D57" s="115" t="str">
        <f>VLOOKUP(B57,'All Menu'!B:D,3,0)</f>
        <v>المشاوي سفري</v>
      </c>
      <c r="E57" s="116">
        <f t="shared" si="0"/>
        <v>7.7586206896551726</v>
      </c>
      <c r="F57" s="155">
        <v>2</v>
      </c>
      <c r="G57" s="152">
        <v>15.517241379310345</v>
      </c>
      <c r="H57" s="115">
        <f>VLOOKUP(B57,'All Menu'!B:J,9,0)</f>
        <v>3.1783996947637747</v>
      </c>
      <c r="I57" s="120">
        <f>VLOOKUP(B57,'All Menu'!B:M,12,0)</f>
        <v>0.59033959489711352</v>
      </c>
      <c r="J57" s="114">
        <f t="shared" si="4"/>
        <v>15.517241379310345</v>
      </c>
      <c r="K57" s="117">
        <f t="shared" si="5"/>
        <v>0</v>
      </c>
      <c r="L57" s="118">
        <f>VLOOKUP(B57,'All Menu'!B:G,6,0)</f>
        <v>7.7586206896551726</v>
      </c>
      <c r="M57" s="118">
        <f t="shared" si="6"/>
        <v>0</v>
      </c>
      <c r="N57" s="151">
        <f ca="1">VLOOKUP(B57,'All Menu'!B:H,7,0)</f>
        <v>4</v>
      </c>
    </row>
    <row r="58" spans="1:14" s="151" customFormat="1" ht="14.5">
      <c r="A58" s="266" t="s">
        <v>2015</v>
      </c>
      <c r="B58" s="168" t="s">
        <v>951</v>
      </c>
      <c r="C58" s="151" t="s">
        <v>1674</v>
      </c>
      <c r="D58" s="115" t="str">
        <f>VLOOKUP(B58,'All Menu'!B:D,3,0)</f>
        <v>المشاوي سفري</v>
      </c>
      <c r="E58" s="116">
        <f t="shared" si="0"/>
        <v>12.823406478578894</v>
      </c>
      <c r="F58" s="155">
        <v>3.3</v>
      </c>
      <c r="G58" s="152">
        <v>42.317241379310346</v>
      </c>
      <c r="H58" s="115">
        <f>VLOOKUP(B58,'All Menu'!B:J,9,0)</f>
        <v>5.2933006210056091</v>
      </c>
      <c r="I58" s="120">
        <f>VLOOKUP(B58,'All Menu'!B:M,12,0)</f>
        <v>0.61623570497709346</v>
      </c>
      <c r="J58" s="114">
        <f t="shared" si="4"/>
        <v>45.517241379310349</v>
      </c>
      <c r="K58" s="117">
        <f t="shared" si="5"/>
        <v>-3.2000000000000028</v>
      </c>
      <c r="L58" s="118">
        <f>VLOOKUP(B58,'All Menu'!B:G,6,0)</f>
        <v>13.793103448275863</v>
      </c>
      <c r="M58" s="118">
        <f t="shared" si="6"/>
        <v>-0.96969696969696884</v>
      </c>
      <c r="N58" s="151">
        <f ca="1">VLOOKUP(B58,'All Menu'!B:H,7,0)</f>
        <v>5</v>
      </c>
    </row>
    <row r="59" spans="1:14" s="151" customFormat="1" ht="14.5">
      <c r="A59" s="266" t="s">
        <v>2015</v>
      </c>
      <c r="B59" s="168" t="s">
        <v>963</v>
      </c>
      <c r="C59" s="151" t="s">
        <v>1404</v>
      </c>
      <c r="D59" s="115" t="str">
        <f>VLOOKUP(B59,'All Menu'!B:D,3,0)</f>
        <v>المشاوي سفري</v>
      </c>
      <c r="E59" s="116">
        <f t="shared" si="0"/>
        <v>3.4233641901446754</v>
      </c>
      <c r="F59" s="155">
        <v>317</v>
      </c>
      <c r="G59" s="152">
        <v>1085.2064482758622</v>
      </c>
      <c r="H59" s="115">
        <f>VLOOKUP(B59,'All Menu'!B:J,9,0)</f>
        <v>2.7230676011278017</v>
      </c>
      <c r="I59" s="120">
        <f>VLOOKUP(B59,'All Menu'!B:M,12,0)</f>
        <v>0.21031039567293758</v>
      </c>
      <c r="J59" s="114">
        <f t="shared" si="4"/>
        <v>1093.1034482758621</v>
      </c>
      <c r="K59" s="117">
        <f t="shared" si="5"/>
        <v>-7.8969999999999345</v>
      </c>
      <c r="L59" s="118">
        <f>VLOOKUP(B59,'All Menu'!B:G,6,0)</f>
        <v>3.4482758620689657</v>
      </c>
      <c r="M59" s="118">
        <f t="shared" si="6"/>
        <v>-2.4911671924290335E-2</v>
      </c>
      <c r="N59" s="151">
        <f ca="1">VLOOKUP(B59,'All Menu'!B:H,7,0)</f>
        <v>511.00009999999997</v>
      </c>
    </row>
    <row r="60" spans="1:14" s="151" customFormat="1" ht="14.5">
      <c r="A60" s="266" t="s">
        <v>2015</v>
      </c>
      <c r="B60" s="168" t="s">
        <v>956</v>
      </c>
      <c r="C60" s="151" t="s">
        <v>1405</v>
      </c>
      <c r="D60" s="115" t="str">
        <f>VLOOKUP(B60,'All Menu'!B:D,3,0)</f>
        <v>المشاوي سفري</v>
      </c>
      <c r="E60" s="116">
        <f t="shared" si="0"/>
        <v>6.0080819489040911</v>
      </c>
      <c r="F60" s="155">
        <v>494</v>
      </c>
      <c r="G60" s="152">
        <v>2967.992482758621</v>
      </c>
      <c r="H60" s="115">
        <f>VLOOKUP(B60,'All Menu'!B:J,9,0)</f>
        <v>4.8935270251662928</v>
      </c>
      <c r="I60" s="120">
        <f>VLOOKUP(B60,'All Menu'!B:M,12,0)</f>
        <v>0.18907266440101445</v>
      </c>
      <c r="J60" s="114">
        <f t="shared" si="4"/>
        <v>2981.0344827586209</v>
      </c>
      <c r="K60" s="117">
        <f t="shared" si="5"/>
        <v>-13.041999999999916</v>
      </c>
      <c r="L60" s="118">
        <f>VLOOKUP(B60,'All Menu'!B:G,6,0)</f>
        <v>6.0344827586206904</v>
      </c>
      <c r="M60" s="118">
        <f t="shared" si="6"/>
        <v>-2.6400809716599305E-2</v>
      </c>
      <c r="N60" s="151">
        <f ca="1">VLOOKUP(B60,'All Menu'!B:H,7,0)</f>
        <v>771.00199999999995</v>
      </c>
    </row>
    <row r="61" spans="1:14" s="151" customFormat="1" ht="14.5">
      <c r="A61" s="266" t="s">
        <v>2015</v>
      </c>
      <c r="B61" s="168" t="s">
        <v>962</v>
      </c>
      <c r="C61" s="151" t="s">
        <v>1406</v>
      </c>
      <c r="D61" s="115" t="str">
        <f>VLOOKUP(B61,'All Menu'!B:D,3,0)</f>
        <v>المشاوي سفري</v>
      </c>
      <c r="E61" s="116">
        <f t="shared" si="0"/>
        <v>7.7586206896551717</v>
      </c>
      <c r="F61" s="155">
        <v>3</v>
      </c>
      <c r="G61" s="152">
        <v>23.275862068965516</v>
      </c>
      <c r="H61" s="115">
        <f>VLOOKUP(B61,'All Menu'!B:J,9,0)</f>
        <v>4.3013817614277379</v>
      </c>
      <c r="I61" s="120">
        <f>VLOOKUP(B61,'All Menu'!B:M,12,0)</f>
        <v>0.44559968408264711</v>
      </c>
      <c r="J61" s="114">
        <f t="shared" si="4"/>
        <v>23.275862068965516</v>
      </c>
      <c r="K61" s="117">
        <f t="shared" si="5"/>
        <v>0</v>
      </c>
      <c r="L61" s="118">
        <f>VLOOKUP(B61,'All Menu'!B:G,6,0)</f>
        <v>7.7586206896551726</v>
      </c>
      <c r="M61" s="118">
        <f t="shared" si="6"/>
        <v>0</v>
      </c>
      <c r="N61" s="151">
        <f ca="1">VLOOKUP(B61,'All Menu'!B:H,7,0)</f>
        <v>3</v>
      </c>
    </row>
    <row r="62" spans="1:14" s="151" customFormat="1" ht="14.5">
      <c r="A62" s="266" t="s">
        <v>2015</v>
      </c>
      <c r="B62" s="168" t="s">
        <v>955</v>
      </c>
      <c r="C62" s="151" t="s">
        <v>1730</v>
      </c>
      <c r="D62" s="115" t="str">
        <f>VLOOKUP(B62,'All Menu'!B:D,3,0)</f>
        <v>المشاوي سفري</v>
      </c>
      <c r="E62" s="116">
        <f t="shared" si="0"/>
        <v>13.793103448275863</v>
      </c>
      <c r="F62" s="155">
        <v>2.4</v>
      </c>
      <c r="G62" s="152">
        <v>33.103448275862071</v>
      </c>
      <c r="H62" s="115">
        <f>VLOOKUP(B62,'All Menu'!B:J,9,0)</f>
        <v>7.944055182547034</v>
      </c>
      <c r="I62" s="120">
        <f>VLOOKUP(B62,'All Menu'!B:M,12,0)</f>
        <v>0.42405599926534004</v>
      </c>
      <c r="J62" s="114">
        <f t="shared" si="4"/>
        <v>33.103448275862071</v>
      </c>
      <c r="K62" s="117">
        <f t="shared" si="5"/>
        <v>0</v>
      </c>
      <c r="L62" s="118">
        <f>VLOOKUP(B62,'All Menu'!B:G,6,0)</f>
        <v>13.793103448275863</v>
      </c>
      <c r="M62" s="118">
        <f t="shared" si="6"/>
        <v>0</v>
      </c>
      <c r="N62" s="151">
        <f ca="1">VLOOKUP(B62,'All Menu'!B:H,7,0)</f>
        <v>8.1</v>
      </c>
    </row>
    <row r="63" spans="1:14" s="151" customFormat="1" ht="14.5">
      <c r="A63" s="266" t="s">
        <v>2015</v>
      </c>
      <c r="B63" s="168" t="s">
        <v>968</v>
      </c>
      <c r="C63" s="151" t="s">
        <v>1417</v>
      </c>
      <c r="D63" s="115" t="str">
        <f>VLOOKUP(B63,'All Menu'!B:D,3,0)</f>
        <v>المشاوي سفري</v>
      </c>
      <c r="E63" s="116">
        <f t="shared" si="0"/>
        <v>6.25</v>
      </c>
      <c r="F63" s="155">
        <v>4</v>
      </c>
      <c r="G63" s="152">
        <v>25</v>
      </c>
      <c r="H63" s="115">
        <f>VLOOKUP(B63,'All Menu'!B:J,9,0)</f>
        <v>4.410333916031755</v>
      </c>
      <c r="I63" s="120">
        <f>VLOOKUP(B63,'All Menu'!B:M,12,0)</f>
        <v>0.29434657343491921</v>
      </c>
      <c r="J63" s="114">
        <f t="shared" si="4"/>
        <v>25</v>
      </c>
      <c r="K63" s="117">
        <f t="shared" si="5"/>
        <v>0</v>
      </c>
      <c r="L63" s="118">
        <f>VLOOKUP(B63,'All Menu'!B:G,6,0)</f>
        <v>6.25</v>
      </c>
      <c r="M63" s="118">
        <f t="shared" si="6"/>
        <v>0</v>
      </c>
      <c r="N63" s="151">
        <f ca="1">VLOOKUP(B63,'All Menu'!B:H,7,0)</f>
        <v>4</v>
      </c>
    </row>
    <row r="64" spans="1:14" s="151" customFormat="1" ht="14.5">
      <c r="A64" s="266" t="s">
        <v>2015</v>
      </c>
      <c r="B64" s="168" t="s">
        <v>970</v>
      </c>
      <c r="C64" s="151" t="s">
        <v>1419</v>
      </c>
      <c r="D64" s="115" t="str">
        <f>VLOOKUP(B64,'All Menu'!B:D,3,0)</f>
        <v>المشاوي سفري</v>
      </c>
      <c r="E64" s="116">
        <f t="shared" si="0"/>
        <v>4.1379310344827589</v>
      </c>
      <c r="F64" s="155">
        <v>3</v>
      </c>
      <c r="G64" s="152">
        <v>12.413793103448278</v>
      </c>
      <c r="H64" s="115">
        <f>VLOOKUP(B64,'All Menu'!B:J,9,0)</f>
        <v>2.3290839160317551</v>
      </c>
      <c r="I64" s="120">
        <f>VLOOKUP(B64,'All Menu'!B:M,12,0)</f>
        <v>0.43713805362565922</v>
      </c>
      <c r="J64" s="114">
        <f t="shared" si="4"/>
        <v>12.413793103448278</v>
      </c>
      <c r="K64" s="117">
        <f t="shared" si="5"/>
        <v>0</v>
      </c>
      <c r="L64" s="118">
        <f>VLOOKUP(B64,'All Menu'!B:G,6,0)</f>
        <v>4.1379310344827589</v>
      </c>
      <c r="M64" s="118">
        <f t="shared" si="6"/>
        <v>0</v>
      </c>
      <c r="N64" s="151">
        <f ca="1">VLOOKUP(B64,'All Menu'!B:H,7,0)</f>
        <v>3</v>
      </c>
    </row>
    <row r="65" spans="1:14" s="151" customFormat="1" ht="14.5">
      <c r="A65" s="266" t="s">
        <v>2015</v>
      </c>
      <c r="B65" s="168" t="s">
        <v>978</v>
      </c>
      <c r="C65" s="151" t="s">
        <v>1389</v>
      </c>
      <c r="D65" s="115" t="str">
        <f>VLOOKUP(B65,'All Menu'!B:D,3,0)</f>
        <v>المشاوي سفري2</v>
      </c>
      <c r="E65" s="116">
        <f t="shared" ref="E65:E128" si="7">G65/F65</f>
        <v>1.7241379310344829</v>
      </c>
      <c r="F65" s="155">
        <v>7</v>
      </c>
      <c r="G65" s="152">
        <v>12.068965517241381</v>
      </c>
      <c r="H65" s="115">
        <f>VLOOKUP(B65,'All Menu'!B:J,9,0)</f>
        <v>0.99520715447080943</v>
      </c>
      <c r="I65" s="120">
        <f>VLOOKUP(B65,'All Menu'!B:M,12,0)</f>
        <v>0.42277985040693056</v>
      </c>
      <c r="J65" s="114">
        <f t="shared" si="4"/>
        <v>12.068965517241381</v>
      </c>
      <c r="K65" s="117">
        <f t="shared" si="5"/>
        <v>0</v>
      </c>
      <c r="L65" s="118">
        <f>VLOOKUP(B65,'All Menu'!B:G,6,0)</f>
        <v>1.7241379310344829</v>
      </c>
      <c r="M65" s="118">
        <f t="shared" si="6"/>
        <v>0</v>
      </c>
      <c r="N65" s="151">
        <f ca="1">VLOOKUP(B65,'All Menu'!B:H,7,0)</f>
        <v>23</v>
      </c>
    </row>
    <row r="66" spans="1:14" s="151" customFormat="1" ht="14.5">
      <c r="A66" s="266" t="s">
        <v>2015</v>
      </c>
      <c r="B66" s="168" t="s">
        <v>974</v>
      </c>
      <c r="C66" s="151" t="s">
        <v>1671</v>
      </c>
      <c r="D66" s="115" t="str">
        <f>VLOOKUP(B66,'All Menu'!B:D,3,0)</f>
        <v>المشاوي سفري2</v>
      </c>
      <c r="E66" s="116">
        <f t="shared" si="7"/>
        <v>3.2327586206896557</v>
      </c>
      <c r="F66" s="155">
        <v>5</v>
      </c>
      <c r="G66" s="152">
        <v>16.163793103448278</v>
      </c>
      <c r="H66" s="115">
        <f>VLOOKUP(B66,'All Menu'!B:J,9,0)</f>
        <v>1.6932071544708096</v>
      </c>
      <c r="I66" s="120">
        <f>VLOOKUP(B66,'All Menu'!B:M,12,0)</f>
        <v>0.47623458688369624</v>
      </c>
      <c r="J66" s="114">
        <f t="shared" si="4"/>
        <v>16.163793103448278</v>
      </c>
      <c r="K66" s="117">
        <f t="shared" si="5"/>
        <v>0</v>
      </c>
      <c r="L66" s="118">
        <f>VLOOKUP(B66,'All Menu'!B:G,6,0)</f>
        <v>3.2327586206896552</v>
      </c>
      <c r="M66" s="118">
        <f t="shared" si="6"/>
        <v>0</v>
      </c>
      <c r="N66" s="151">
        <f ca="1">VLOOKUP(B66,'All Menu'!B:H,7,0)</f>
        <v>6</v>
      </c>
    </row>
    <row r="67" spans="1:14" s="151" customFormat="1" ht="14.5">
      <c r="A67" s="266" t="s">
        <v>2015</v>
      </c>
      <c r="B67" s="168" t="s">
        <v>980</v>
      </c>
      <c r="C67" s="151" t="s">
        <v>1391</v>
      </c>
      <c r="D67" s="115" t="str">
        <f>VLOOKUP(B67,'All Menu'!B:D,3,0)</f>
        <v>المشاوي سفري2</v>
      </c>
      <c r="E67" s="116">
        <f t="shared" si="7"/>
        <v>1.3958206896551726</v>
      </c>
      <c r="F67" s="155">
        <v>5</v>
      </c>
      <c r="G67" s="152">
        <v>6.9791034482758629</v>
      </c>
      <c r="H67" s="115">
        <f>VLOOKUP(B67,'All Menu'!B:J,9,0)</f>
        <v>0.78314054788388487</v>
      </c>
      <c r="I67" s="120">
        <f>VLOOKUP(B67,'All Menu'!B:M,12,0)</f>
        <v>0.48088969397411069</v>
      </c>
      <c r="J67" s="114">
        <f t="shared" si="4"/>
        <v>7.543103448275863</v>
      </c>
      <c r="K67" s="117">
        <f t="shared" si="5"/>
        <v>-0.56400000000000006</v>
      </c>
      <c r="L67" s="118">
        <f>VLOOKUP(B67,'All Menu'!B:G,6,0)</f>
        <v>1.5086206896551726</v>
      </c>
      <c r="M67" s="118">
        <f t="shared" si="6"/>
        <v>-0.11280000000000001</v>
      </c>
      <c r="N67" s="151">
        <f ca="1">VLOOKUP(B67,'All Menu'!B:H,7,0)</f>
        <v>10</v>
      </c>
    </row>
    <row r="68" spans="1:14" s="151" customFormat="1" ht="14.5">
      <c r="A68" s="266" t="s">
        <v>2015</v>
      </c>
      <c r="B68" s="168" t="s">
        <v>971</v>
      </c>
      <c r="C68" s="151" t="s">
        <v>1407</v>
      </c>
      <c r="D68" s="115" t="str">
        <f>VLOOKUP(B68,'All Menu'!B:D,3,0)</f>
        <v>المشاوي سفري2</v>
      </c>
      <c r="E68" s="116">
        <f t="shared" si="7"/>
        <v>1.9219436007384907</v>
      </c>
      <c r="F68" s="155">
        <v>579</v>
      </c>
      <c r="G68" s="152">
        <v>1112.8053448275862</v>
      </c>
      <c r="H68" s="115">
        <f>VLOOKUP(B68,'All Menu'!B:J,9,0)</f>
        <v>0.9825894471323211</v>
      </c>
      <c r="I68" s="120">
        <f>VLOOKUP(B68,'All Menu'!B:M,12,0)</f>
        <v>0.49342055170067001</v>
      </c>
      <c r="J68" s="114">
        <f t="shared" si="4"/>
        <v>1123.0603448275863</v>
      </c>
      <c r="K68" s="117">
        <f t="shared" si="5"/>
        <v>-10.255000000000109</v>
      </c>
      <c r="L68" s="118">
        <f>VLOOKUP(B68,'All Menu'!B:G,6,0)</f>
        <v>1.9396551724137931</v>
      </c>
      <c r="M68" s="118">
        <f t="shared" si="6"/>
        <v>-1.7711571675302462E-2</v>
      </c>
      <c r="N68" s="151">
        <f ca="1">VLOOKUP(B68,'All Menu'!B:H,7,0)</f>
        <v>1296.0039999999999</v>
      </c>
    </row>
    <row r="69" spans="1:14" s="151" customFormat="1" ht="14.5">
      <c r="A69" s="266" t="s">
        <v>2015</v>
      </c>
      <c r="B69" s="168" t="s">
        <v>975</v>
      </c>
      <c r="C69" s="151" t="s">
        <v>1408</v>
      </c>
      <c r="D69" s="115" t="str">
        <f>VLOOKUP(B69,'All Menu'!B:D,3,0)</f>
        <v>المشاوي سفري2</v>
      </c>
      <c r="E69" s="116">
        <f t="shared" si="7"/>
        <v>2.7812144291931706</v>
      </c>
      <c r="F69" s="155">
        <v>206</v>
      </c>
      <c r="G69" s="152">
        <v>572.93017241379312</v>
      </c>
      <c r="H69" s="115">
        <f>VLOOKUP(B69,'All Menu'!B:J,9,0)</f>
        <v>1.7564933001329548</v>
      </c>
      <c r="I69" s="120">
        <f>VLOOKUP(B69,'All Menu'!B:M,12,0)</f>
        <v>0.37306700672177617</v>
      </c>
      <c r="J69" s="114">
        <f t="shared" si="4"/>
        <v>577.15517241379314</v>
      </c>
      <c r="K69" s="117">
        <f t="shared" si="5"/>
        <v>-4.2250000000000227</v>
      </c>
      <c r="L69" s="118">
        <f>VLOOKUP(B69,'All Menu'!B:G,6,0)</f>
        <v>2.8017241379310347</v>
      </c>
      <c r="M69" s="118">
        <f t="shared" si="6"/>
        <v>-2.0509708737864063E-2</v>
      </c>
      <c r="N69" s="151">
        <f ca="1">VLOOKUP(B69,'All Menu'!B:H,7,0)</f>
        <v>303</v>
      </c>
    </row>
    <row r="70" spans="1:14" s="151" customFormat="1" ht="14.5">
      <c r="A70" s="266" t="s">
        <v>2015</v>
      </c>
      <c r="B70" s="168" t="s">
        <v>976</v>
      </c>
      <c r="C70" s="151" t="s">
        <v>1409</v>
      </c>
      <c r="D70" s="115" t="str">
        <f>VLOOKUP(B70,'All Menu'!B:D,3,0)</f>
        <v>المشاوي سفري2</v>
      </c>
      <c r="E70" s="116">
        <f t="shared" si="7"/>
        <v>2.8017241379310347</v>
      </c>
      <c r="F70" s="155">
        <v>76</v>
      </c>
      <c r="G70" s="152">
        <v>212.93103448275863</v>
      </c>
      <c r="H70" s="115">
        <f>VLOOKUP(B70,'All Menu'!B:J,9,0)</f>
        <v>2.3988635967239338</v>
      </c>
      <c r="I70" s="120">
        <f>VLOOKUP(B70,'All Menu'!B:M,12,0)</f>
        <v>0.14379022393853447</v>
      </c>
      <c r="J70" s="114">
        <f t="shared" si="4"/>
        <v>212.93103448275863</v>
      </c>
      <c r="K70" s="117">
        <f t="shared" si="5"/>
        <v>0</v>
      </c>
      <c r="L70" s="118">
        <f>VLOOKUP(B70,'All Menu'!B:G,6,0)</f>
        <v>2.8017241379310347</v>
      </c>
      <c r="M70" s="118">
        <f t="shared" si="6"/>
        <v>0</v>
      </c>
      <c r="N70" s="151">
        <f ca="1">VLOOKUP(B70,'All Menu'!B:H,7,0)</f>
        <v>202.00110000000001</v>
      </c>
    </row>
    <row r="71" spans="1:14" s="151" customFormat="1" ht="14.5">
      <c r="A71" s="266" t="s">
        <v>2015</v>
      </c>
      <c r="B71" s="168" t="s">
        <v>982</v>
      </c>
      <c r="C71" s="151" t="s">
        <v>1410</v>
      </c>
      <c r="D71" s="115" t="str">
        <f>VLOOKUP(B71,'All Menu'!B:D,3,0)</f>
        <v>المشاوي سفري2</v>
      </c>
      <c r="E71" s="116">
        <f t="shared" si="7"/>
        <v>4.9568965517241379</v>
      </c>
      <c r="F71" s="155">
        <v>29</v>
      </c>
      <c r="G71" s="152">
        <v>143.75</v>
      </c>
      <c r="H71" s="115">
        <f>VLOOKUP(B71,'All Menu'!B:J,9,0)</f>
        <v>4.4283782633905995</v>
      </c>
      <c r="I71" s="120">
        <f>VLOOKUP(B71,'All Menu'!B:M,12,0)</f>
        <v>0.10662281990728775</v>
      </c>
      <c r="J71" s="114">
        <f t="shared" si="4"/>
        <v>143.75</v>
      </c>
      <c r="K71" s="117">
        <f t="shared" si="5"/>
        <v>0</v>
      </c>
      <c r="L71" s="118">
        <f>VLOOKUP(B71,'All Menu'!B:G,6,0)</f>
        <v>4.9568965517241379</v>
      </c>
      <c r="M71" s="118">
        <f t="shared" si="6"/>
        <v>0</v>
      </c>
      <c r="N71" s="151">
        <f ca="1">VLOOKUP(B71,'All Menu'!B:H,7,0)</f>
        <v>40.000100000000003</v>
      </c>
    </row>
    <row r="72" spans="1:14" s="151" customFormat="1" ht="14.5">
      <c r="A72" s="266" t="s">
        <v>2015</v>
      </c>
      <c r="B72" s="168" t="s">
        <v>979</v>
      </c>
      <c r="C72" s="151" t="s">
        <v>1411</v>
      </c>
      <c r="D72" s="115" t="str">
        <f>VLOOKUP(B72,'All Menu'!B:D,3,0)</f>
        <v>المشاوي سفري2</v>
      </c>
      <c r="E72" s="116">
        <f t="shared" si="7"/>
        <v>1.9246166120024821</v>
      </c>
      <c r="F72" s="155">
        <v>389</v>
      </c>
      <c r="G72" s="152">
        <v>748.67586206896556</v>
      </c>
      <c r="H72" s="115">
        <f>VLOOKUP(B72,'All Menu'!B:J,9,0)</f>
        <v>0.77954251079060299</v>
      </c>
      <c r="I72" s="120">
        <f>VLOOKUP(B72,'All Menu'!B:M,12,0)</f>
        <v>0.59810252777017803</v>
      </c>
      <c r="J72" s="114">
        <f t="shared" si="4"/>
        <v>754.52586206896558</v>
      </c>
      <c r="K72" s="117">
        <f t="shared" si="5"/>
        <v>-5.8500000000000227</v>
      </c>
      <c r="L72" s="118">
        <f>VLOOKUP(B72,'All Menu'!B:G,6,0)</f>
        <v>1.9396551724137931</v>
      </c>
      <c r="M72" s="118">
        <f t="shared" si="6"/>
        <v>-1.5038560411311019E-2</v>
      </c>
      <c r="N72" s="151">
        <f ca="1">VLOOKUP(B72,'All Menu'!B:H,7,0)</f>
        <v>782.00099999999998</v>
      </c>
    </row>
    <row r="73" spans="1:14" s="151" customFormat="1" ht="14.5">
      <c r="A73" s="266" t="s">
        <v>2015</v>
      </c>
      <c r="B73" s="168" t="s">
        <v>983</v>
      </c>
      <c r="C73" s="151" t="s">
        <v>1412</v>
      </c>
      <c r="D73" s="115" t="str">
        <f>VLOOKUP(B73,'All Menu'!B:D,3,0)</f>
        <v>المشاوي سفري2</v>
      </c>
      <c r="E73" s="116">
        <f t="shared" si="7"/>
        <v>3.2327586206896552</v>
      </c>
      <c r="F73" s="155">
        <v>82</v>
      </c>
      <c r="G73" s="152">
        <v>265.08620689655174</v>
      </c>
      <c r="H73" s="115">
        <f>VLOOKUP(B73,'All Menu'!B:J,9,0)</f>
        <v>1.2707311640531975</v>
      </c>
      <c r="I73" s="120">
        <f>VLOOKUP(B73,'All Menu'!B:M,12,0)</f>
        <v>0.60692049325287756</v>
      </c>
      <c r="J73" s="114">
        <f t="shared" si="4"/>
        <v>265.08620689655174</v>
      </c>
      <c r="K73" s="117">
        <f t="shared" si="5"/>
        <v>0</v>
      </c>
      <c r="L73" s="118">
        <f>VLOOKUP(B73,'All Menu'!B:G,6,0)</f>
        <v>3.2327586206896552</v>
      </c>
      <c r="M73" s="118">
        <f t="shared" si="6"/>
        <v>0</v>
      </c>
      <c r="N73" s="151">
        <f ca="1">VLOOKUP(B73,'All Menu'!B:H,7,0)</f>
        <v>132.001</v>
      </c>
    </row>
    <row r="74" spans="1:14" s="151" customFormat="1" ht="14.5">
      <c r="A74" s="266" t="s">
        <v>2015</v>
      </c>
      <c r="B74" s="168" t="s">
        <v>972</v>
      </c>
      <c r="C74" s="151" t="s">
        <v>1413</v>
      </c>
      <c r="D74" s="115" t="str">
        <f>VLOOKUP(B74,'All Menu'!B:D,3,0)</f>
        <v>المشاوي سفري2</v>
      </c>
      <c r="E74" s="116">
        <f t="shared" si="7"/>
        <v>1.2931034482758621</v>
      </c>
      <c r="F74" s="155">
        <v>25</v>
      </c>
      <c r="G74" s="152">
        <v>32.327586206896555</v>
      </c>
      <c r="H74" s="115">
        <f>VLOOKUP(B74,'All Menu'!B:J,9,0)</f>
        <v>0.70647592238991186</v>
      </c>
      <c r="I74" s="120">
        <f>VLOOKUP(B74,'All Menu'!B:M,12,0)</f>
        <v>0.45365862001846818</v>
      </c>
      <c r="J74" s="114">
        <f t="shared" si="4"/>
        <v>32.327586206896555</v>
      </c>
      <c r="K74" s="117">
        <f t="shared" si="5"/>
        <v>0</v>
      </c>
      <c r="L74" s="118">
        <f>VLOOKUP(B74,'All Menu'!B:G,6,0)</f>
        <v>1.2931034482758621</v>
      </c>
      <c r="M74" s="118">
        <f t="shared" si="6"/>
        <v>0</v>
      </c>
      <c r="N74" s="151">
        <f ca="1">VLOOKUP(B74,'All Menu'!B:H,7,0)</f>
        <v>37</v>
      </c>
    </row>
    <row r="75" spans="1:14" s="151" customFormat="1" ht="14.5">
      <c r="A75" s="266" t="s">
        <v>2015</v>
      </c>
      <c r="B75" s="168" t="s">
        <v>973</v>
      </c>
      <c r="C75" s="151" t="s">
        <v>1923</v>
      </c>
      <c r="D75" s="115" t="str">
        <f>VLOOKUP(B75,'All Menu'!B:D,3,0)</f>
        <v>المشاوي سفري2</v>
      </c>
      <c r="E75" s="116">
        <f t="shared" si="7"/>
        <v>2.3706896551724141</v>
      </c>
      <c r="F75" s="155">
        <v>1</v>
      </c>
      <c r="G75" s="152">
        <v>2.3706896551724141</v>
      </c>
      <c r="H75" s="115">
        <f>VLOOKUP(B75,'All Menu'!B:J,9,0)</f>
        <v>1.1667698255915604</v>
      </c>
      <c r="I75" s="120">
        <f>VLOOKUP(B75,'All Menu'!B:M,12,0)</f>
        <v>0.50783527356865099</v>
      </c>
      <c r="J75" s="114">
        <f t="shared" si="4"/>
        <v>2.3706896551724141</v>
      </c>
      <c r="K75" s="117">
        <f t="shared" si="5"/>
        <v>0</v>
      </c>
      <c r="L75" s="118">
        <f>VLOOKUP(B75,'All Menu'!B:G,6,0)</f>
        <v>2.3706896551724141</v>
      </c>
      <c r="M75" s="118">
        <f t="shared" si="6"/>
        <v>0</v>
      </c>
      <c r="N75" s="151">
        <f ca="1">VLOOKUP(B75,'All Menu'!B:H,7,0)</f>
        <v>2</v>
      </c>
    </row>
    <row r="76" spans="1:14" s="151" customFormat="1" ht="14.5">
      <c r="A76" s="266" t="s">
        <v>2015</v>
      </c>
      <c r="B76" s="168" t="s">
        <v>977</v>
      </c>
      <c r="C76" s="151" t="s">
        <v>1414</v>
      </c>
      <c r="D76" s="115" t="str">
        <f>VLOOKUP(B76,'All Menu'!B:D,3,0)</f>
        <v>المشاوي سفري2</v>
      </c>
      <c r="E76" s="116">
        <f t="shared" si="7"/>
        <v>3.6606896551724142</v>
      </c>
      <c r="F76" s="155">
        <v>58</v>
      </c>
      <c r="G76" s="152">
        <v>212.32000000000002</v>
      </c>
      <c r="H76" s="115">
        <f>VLOOKUP(B76,'All Menu'!B:J,9,0)</f>
        <v>3.1797157827930547</v>
      </c>
      <c r="I76" s="120">
        <f>VLOOKUP(B76,'All Menu'!B:M,12,0)</f>
        <v>0.13212463340236635</v>
      </c>
      <c r="J76" s="114">
        <f t="shared" si="4"/>
        <v>212.50000000000003</v>
      </c>
      <c r="K76" s="117">
        <f t="shared" si="5"/>
        <v>-0.18000000000000682</v>
      </c>
      <c r="L76" s="118">
        <f>VLOOKUP(B76,'All Menu'!B:G,6,0)</f>
        <v>3.6637931034482762</v>
      </c>
      <c r="M76" s="118">
        <f t="shared" si="6"/>
        <v>-3.1034482758620641E-3</v>
      </c>
      <c r="N76" s="151">
        <f ca="1">VLOOKUP(B76,'All Menu'!B:H,7,0)</f>
        <v>108</v>
      </c>
    </row>
    <row r="77" spans="1:14" s="151" customFormat="1" ht="14.5">
      <c r="A77" s="266" t="s">
        <v>2015</v>
      </c>
      <c r="B77" s="168" t="s">
        <v>985</v>
      </c>
      <c r="C77" s="151" t="s">
        <v>1415</v>
      </c>
      <c r="D77" s="115" t="str">
        <f>VLOOKUP(B77,'All Menu'!B:D,3,0)</f>
        <v>المشاوي سفري2</v>
      </c>
      <c r="E77" s="116">
        <f t="shared" si="7"/>
        <v>3.0172413793103452</v>
      </c>
      <c r="F77" s="155">
        <v>2</v>
      </c>
      <c r="G77" s="152">
        <v>6.0344827586206904</v>
      </c>
      <c r="H77" s="115">
        <f>VLOOKUP(B77,'All Menu'!B:J,9,0)</f>
        <v>2.8033576186383069</v>
      </c>
      <c r="I77" s="120">
        <f>VLOOKUP(B77,'All Menu'!B:M,12,0)</f>
        <v>7.0887189251304106E-2</v>
      </c>
      <c r="J77" s="114">
        <f t="shared" si="4"/>
        <v>6.0344827586206904</v>
      </c>
      <c r="K77" s="117">
        <f t="shared" si="5"/>
        <v>0</v>
      </c>
      <c r="L77" s="118">
        <f>VLOOKUP(B77,'All Menu'!B:G,6,0)</f>
        <v>3.0172413793103452</v>
      </c>
      <c r="M77" s="118">
        <f t="shared" si="6"/>
        <v>0</v>
      </c>
      <c r="N77" s="151">
        <f ca="1">VLOOKUP(B77,'All Menu'!B:H,7,0)</f>
        <v>12</v>
      </c>
    </row>
    <row r="78" spans="1:14" s="151" customFormat="1" ht="14.5">
      <c r="A78" s="266" t="s">
        <v>2015</v>
      </c>
      <c r="B78" s="168" t="s">
        <v>1205</v>
      </c>
      <c r="C78" s="151" t="s">
        <v>1731</v>
      </c>
      <c r="D78" s="115" t="str">
        <f>VLOOKUP(B78,'All Menu'!B:D,3,0)</f>
        <v>المشاوي سفري2</v>
      </c>
      <c r="E78" s="116">
        <f t="shared" si="7"/>
        <v>1.7241379310344829</v>
      </c>
      <c r="F78" s="155">
        <v>5</v>
      </c>
      <c r="G78" s="152">
        <v>8.6206896551724146</v>
      </c>
      <c r="H78" s="115">
        <f>VLOOKUP(B78,'All Menu'!B:J,9,0)</f>
        <v>0.46721213030918279</v>
      </c>
      <c r="I78" s="120">
        <f>VLOOKUP(B78,'All Menu'!B:M,12,0)</f>
        <v>0.72901696442067399</v>
      </c>
      <c r="J78" s="114">
        <f t="shared" si="4"/>
        <v>8.6206896551724146</v>
      </c>
      <c r="K78" s="117">
        <f t="shared" si="5"/>
        <v>0</v>
      </c>
      <c r="L78" s="118">
        <f>VLOOKUP(B78,'All Menu'!B:G,6,0)</f>
        <v>1.7241379310344829</v>
      </c>
      <c r="M78" s="118">
        <f t="shared" si="6"/>
        <v>0</v>
      </c>
      <c r="N78" s="151">
        <f ca="1">VLOOKUP(B78,'All Menu'!B:H,7,0)</f>
        <v>16</v>
      </c>
    </row>
    <row r="79" spans="1:14" s="151" customFormat="1" ht="14.5">
      <c r="A79" s="266" t="s">
        <v>2015</v>
      </c>
      <c r="B79" s="168" t="s">
        <v>1206</v>
      </c>
      <c r="C79" s="151" t="s">
        <v>1675</v>
      </c>
      <c r="D79" s="115" t="str">
        <f>VLOOKUP(B79,'All Menu'!B:D,3,0)</f>
        <v>المشاوي سفري2</v>
      </c>
      <c r="E79" s="116">
        <f t="shared" si="7"/>
        <v>2.3706896551724141</v>
      </c>
      <c r="F79" s="155">
        <v>8</v>
      </c>
      <c r="G79" s="152">
        <v>18.965517241379313</v>
      </c>
      <c r="H79" s="115">
        <f>VLOOKUP(B79,'All Menu'!B:J,9,0)</f>
        <v>2.0415146666666666</v>
      </c>
      <c r="I79" s="120">
        <f>VLOOKUP(B79,'All Menu'!B:M,12,0)</f>
        <v>0.13885199515151531</v>
      </c>
      <c r="J79" s="114">
        <f t="shared" si="4"/>
        <v>18.965517241379313</v>
      </c>
      <c r="K79" s="117">
        <f t="shared" si="5"/>
        <v>0</v>
      </c>
      <c r="L79" s="118">
        <f>VLOOKUP(B79,'All Menu'!B:G,6,0)</f>
        <v>2.3706896551724141</v>
      </c>
      <c r="M79" s="118">
        <f t="shared" si="6"/>
        <v>0</v>
      </c>
      <c r="N79" s="151">
        <f ca="1">VLOOKUP(B79,'All Menu'!B:H,7,0)</f>
        <v>23</v>
      </c>
    </row>
    <row r="80" spans="1:14" s="151" customFormat="1" ht="14.5">
      <c r="A80" s="266" t="s">
        <v>2015</v>
      </c>
      <c r="B80" s="168" t="s">
        <v>1136</v>
      </c>
      <c r="C80" s="151" t="s">
        <v>1680</v>
      </c>
      <c r="D80" s="115" t="str">
        <f>VLOOKUP(B80,'All Menu'!B:D,3,0)</f>
        <v>المشاوي سفري2</v>
      </c>
      <c r="E80" s="116">
        <f t="shared" si="7"/>
        <v>1.9396551724137934</v>
      </c>
      <c r="F80" s="155">
        <v>23</v>
      </c>
      <c r="G80" s="152">
        <v>44.612068965517246</v>
      </c>
      <c r="H80" s="115">
        <f>VLOOKUP(B80,'All Menu'!B:J,9,0)</f>
        <v>1.1636090242685133</v>
      </c>
      <c r="I80" s="120">
        <f>VLOOKUP(B80,'All Menu'!B:M,12,0)</f>
        <v>0.4000949030437887</v>
      </c>
      <c r="J80" s="114">
        <f t="shared" si="4"/>
        <v>44.612068965517246</v>
      </c>
      <c r="K80" s="117">
        <f t="shared" si="5"/>
        <v>0</v>
      </c>
      <c r="L80" s="118">
        <f>VLOOKUP(B80,'All Menu'!B:G,6,0)</f>
        <v>1.9396551724137931</v>
      </c>
      <c r="M80" s="118">
        <f t="shared" si="6"/>
        <v>0</v>
      </c>
      <c r="N80" s="151">
        <f ca="1">VLOOKUP(B80,'All Menu'!B:H,7,0)</f>
        <v>65</v>
      </c>
    </row>
    <row r="81" spans="1:14" s="151" customFormat="1" ht="14.5">
      <c r="A81" s="266" t="s">
        <v>2015</v>
      </c>
      <c r="B81" s="168" t="s">
        <v>1141</v>
      </c>
      <c r="C81" s="151" t="s">
        <v>1677</v>
      </c>
      <c r="D81" s="115" t="str">
        <f>VLOOKUP(B81,'All Menu'!B:D,3,0)</f>
        <v>المشاوي سفري2</v>
      </c>
      <c r="E81" s="116">
        <f t="shared" si="7"/>
        <v>0.64655172413793105</v>
      </c>
      <c r="F81" s="155">
        <v>1</v>
      </c>
      <c r="G81" s="152">
        <v>0.64655172413793105</v>
      </c>
      <c r="H81" s="115">
        <f>VLOOKUP(B81,'All Menu'!B:J,9,0)</f>
        <v>0.11697</v>
      </c>
      <c r="I81" s="120">
        <f>VLOOKUP(B81,'All Menu'!B:M,12,0)</f>
        <v>0.81908639999999999</v>
      </c>
      <c r="J81" s="114">
        <f t="shared" si="4"/>
        <v>0.64655172413793105</v>
      </c>
      <c r="K81" s="117">
        <f t="shared" si="5"/>
        <v>0</v>
      </c>
      <c r="L81" s="118">
        <f>VLOOKUP(B81,'All Menu'!B:G,6,0)</f>
        <v>0.64655172413793105</v>
      </c>
      <c r="M81" s="118">
        <f t="shared" si="6"/>
        <v>0</v>
      </c>
      <c r="N81" s="151">
        <f ca="1">VLOOKUP(B81,'All Menu'!B:H,7,0)</f>
        <v>2.5009999999999999</v>
      </c>
    </row>
    <row r="82" spans="1:14" s="151" customFormat="1" ht="14.5">
      <c r="A82" s="266" t="s">
        <v>2015</v>
      </c>
      <c r="B82" s="168" t="s">
        <v>1140</v>
      </c>
      <c r="C82" s="151" t="s">
        <v>1678</v>
      </c>
      <c r="D82" s="115" t="str">
        <f>VLOOKUP(B82,'All Menu'!B:D,3,0)</f>
        <v>المشاوي سفري2</v>
      </c>
      <c r="E82" s="116">
        <f t="shared" si="7"/>
        <v>0.64655172413793116</v>
      </c>
      <c r="F82" s="155">
        <v>14</v>
      </c>
      <c r="G82" s="152">
        <v>9.0517241379310356</v>
      </c>
      <c r="H82" s="115">
        <f>VLOOKUP(B82,'All Menu'!B:J,9,0)</f>
        <v>0.11097000000000001</v>
      </c>
      <c r="I82" s="120">
        <f>VLOOKUP(B82,'All Menu'!B:M,12,0)</f>
        <v>0.82836639999999995</v>
      </c>
      <c r="J82" s="114">
        <f t="shared" si="4"/>
        <v>9.0517241379310356</v>
      </c>
      <c r="K82" s="117">
        <f t="shared" si="5"/>
        <v>0</v>
      </c>
      <c r="L82" s="118">
        <f>VLOOKUP(B82,'All Menu'!B:G,6,0)</f>
        <v>0.64655172413793105</v>
      </c>
      <c r="M82" s="118">
        <f t="shared" si="6"/>
        <v>0</v>
      </c>
      <c r="N82" s="151">
        <f ca="1">VLOOKUP(B82,'All Menu'!B:H,7,0)</f>
        <v>17.5</v>
      </c>
    </row>
    <row r="83" spans="1:14" s="151" customFormat="1" ht="14.5">
      <c r="A83" s="266" t="s">
        <v>2015</v>
      </c>
      <c r="B83" s="168" t="s">
        <v>1181</v>
      </c>
      <c r="C83" s="151" t="s">
        <v>531</v>
      </c>
      <c r="D83" s="115" t="str">
        <f>VLOOKUP(B83,'All Menu'!B:D,3,0)</f>
        <v>المشاوي سفري2</v>
      </c>
      <c r="E83" s="116">
        <f t="shared" si="7"/>
        <v>8.6206896551724144E-2</v>
      </c>
      <c r="F83" s="155">
        <v>27</v>
      </c>
      <c r="G83" s="152">
        <v>2.327586206896552</v>
      </c>
      <c r="H83" s="115">
        <f>VLOOKUP(B83,'All Menu'!B:J,9,0)</f>
        <v>1.8806451612903227E-2</v>
      </c>
      <c r="I83" s="120">
        <f>VLOOKUP(B83,'All Menu'!B:M,12,0)</f>
        <v>0.78184516129032255</v>
      </c>
      <c r="J83" s="114">
        <f t="shared" si="4"/>
        <v>2.327586206896552</v>
      </c>
      <c r="K83" s="117">
        <f t="shared" si="5"/>
        <v>0</v>
      </c>
      <c r="L83" s="118">
        <f>VLOOKUP(B83,'All Menu'!B:G,6,0)</f>
        <v>8.6206896551724144E-2</v>
      </c>
      <c r="M83" s="118">
        <f t="shared" si="6"/>
        <v>0</v>
      </c>
      <c r="N83" s="151">
        <f ca="1">VLOOKUP(B83,'All Menu'!B:H,7,0)</f>
        <v>166</v>
      </c>
    </row>
    <row r="84" spans="1:14" s="151" customFormat="1" ht="14.5">
      <c r="A84" s="266" t="s">
        <v>2015</v>
      </c>
      <c r="B84" s="168" t="s">
        <v>1222</v>
      </c>
      <c r="C84" s="151" t="s">
        <v>1770</v>
      </c>
      <c r="D84" s="115" t="str">
        <f>VLOOKUP(B84,'All Menu'!B:D,3,0)</f>
        <v>المشاوي سفري2</v>
      </c>
      <c r="E84" s="116">
        <f t="shared" si="7"/>
        <v>0.25862068965517243</v>
      </c>
      <c r="F84" s="155">
        <v>6</v>
      </c>
      <c r="G84" s="152">
        <v>1.5517241379310347</v>
      </c>
      <c r="H84" s="115">
        <f>VLOOKUP(B84,'All Menu'!B:J,9,0)</f>
        <v>6.6138606586924442E-2</v>
      </c>
      <c r="I84" s="120">
        <f>VLOOKUP(B84,'All Menu'!B:M,12,0)</f>
        <v>0.74426405453055888</v>
      </c>
      <c r="J84" s="114">
        <f t="shared" si="4"/>
        <v>1.5517241379310347</v>
      </c>
      <c r="K84" s="117">
        <f t="shared" si="5"/>
        <v>0</v>
      </c>
      <c r="L84" s="118">
        <f>VLOOKUP(B84,'All Menu'!B:G,6,0)</f>
        <v>0.25862068965517243</v>
      </c>
      <c r="M84" s="118">
        <f t="shared" si="6"/>
        <v>0</v>
      </c>
      <c r="N84" s="151">
        <f ca="1">VLOOKUP(B84,'All Menu'!B:H,7,0)</f>
        <v>6</v>
      </c>
    </row>
    <row r="85" spans="1:14" s="151" customFormat="1" ht="14.5">
      <c r="A85" s="266" t="s">
        <v>2015</v>
      </c>
      <c r="B85" s="168" t="s">
        <v>1207</v>
      </c>
      <c r="C85" s="151" t="s">
        <v>1416</v>
      </c>
      <c r="D85" s="115" t="str">
        <f>VLOOKUP(B85,'All Menu'!B:D,3,0)</f>
        <v>المشاوي سفري2</v>
      </c>
      <c r="E85" s="116">
        <f t="shared" si="7"/>
        <v>2.3874568965517242</v>
      </c>
      <c r="F85" s="155">
        <v>12</v>
      </c>
      <c r="G85" s="152">
        <v>28.649482758620692</v>
      </c>
      <c r="H85" s="115">
        <f>VLOOKUP(B85,'All Menu'!B:J,9,0)</f>
        <v>0.97973570949744626</v>
      </c>
      <c r="I85" s="120">
        <f>VLOOKUP(B85,'All Menu'!B:M,12,0)</f>
        <v>0.62116885899432073</v>
      </c>
      <c r="J85" s="114">
        <f t="shared" si="4"/>
        <v>31.03448275862069</v>
      </c>
      <c r="K85" s="117">
        <f t="shared" si="5"/>
        <v>-2.384999999999998</v>
      </c>
      <c r="L85" s="118">
        <f>VLOOKUP(B85,'All Menu'!B:G,6,0)</f>
        <v>2.5862068965517242</v>
      </c>
      <c r="M85" s="118">
        <f t="shared" si="6"/>
        <v>-0.19874999999999998</v>
      </c>
      <c r="N85" s="151">
        <f ca="1">VLOOKUP(B85,'All Menu'!B:H,7,0)</f>
        <v>15</v>
      </c>
    </row>
    <row r="86" spans="1:14" s="151" customFormat="1" ht="14.5">
      <c r="A86" s="266" t="s">
        <v>2015</v>
      </c>
      <c r="B86" s="168" t="s">
        <v>1208</v>
      </c>
      <c r="C86" s="151" t="s">
        <v>1772</v>
      </c>
      <c r="D86" s="115" t="str">
        <f>VLOOKUP(B86,'All Menu'!B:D,3,0)</f>
        <v>المشاوي سفري2</v>
      </c>
      <c r="E86" s="116">
        <f t="shared" si="7"/>
        <v>2.8017241379310343</v>
      </c>
      <c r="F86" s="155">
        <v>6</v>
      </c>
      <c r="G86" s="152">
        <v>16.810344827586206</v>
      </c>
      <c r="H86" s="115">
        <f>VLOOKUP(B86,'All Menu'!B:J,9,0)</f>
        <v>1.5244993528768931</v>
      </c>
      <c r="I86" s="120">
        <f>VLOOKUP(B86,'All Menu'!B:M,12,0)</f>
        <v>0.45587100020393972</v>
      </c>
      <c r="J86" s="114">
        <f t="shared" si="4"/>
        <v>16.810344827586206</v>
      </c>
      <c r="K86" s="117">
        <f t="shared" si="5"/>
        <v>0</v>
      </c>
      <c r="L86" s="118">
        <f>VLOOKUP(B86,'All Menu'!B:G,6,0)</f>
        <v>2.8017241379310347</v>
      </c>
      <c r="M86" s="118">
        <f t="shared" si="6"/>
        <v>0</v>
      </c>
      <c r="N86" s="151">
        <f ca="1">VLOOKUP(B86,'All Menu'!B:H,7,0)</f>
        <v>9</v>
      </c>
    </row>
    <row r="87" spans="1:14" s="151" customFormat="1" ht="14.5">
      <c r="A87" s="266" t="s">
        <v>2015</v>
      </c>
      <c r="B87" s="168" t="s">
        <v>1275</v>
      </c>
      <c r="C87" s="151" t="s">
        <v>1773</v>
      </c>
      <c r="D87" s="115" t="str">
        <f>VLOOKUP(B87,'All Menu'!B:D,3,0)</f>
        <v>المشاوي سفري2</v>
      </c>
      <c r="E87" s="116">
        <f t="shared" si="7"/>
        <v>0.12931034482758622</v>
      </c>
      <c r="F87" s="155">
        <v>12</v>
      </c>
      <c r="G87" s="152">
        <v>1.5517241379310347</v>
      </c>
      <c r="H87" s="115">
        <f>VLOOKUP(B87,'All Menu'!B:J,9,0)</f>
        <v>3.9698754838709674E-2</v>
      </c>
      <c r="I87" s="120">
        <f>VLOOKUP(B87,'All Menu'!B:M,12,0)</f>
        <v>0.69299629591397849</v>
      </c>
      <c r="J87" s="114">
        <f t="shared" si="4"/>
        <v>1.5517241379310347</v>
      </c>
      <c r="K87" s="117">
        <f t="shared" si="5"/>
        <v>0</v>
      </c>
      <c r="L87" s="118">
        <f>VLOOKUP(B87,'All Menu'!B:G,6,0)</f>
        <v>0.12931034482758622</v>
      </c>
      <c r="M87" s="118">
        <f t="shared" si="6"/>
        <v>0</v>
      </c>
      <c r="N87" s="151">
        <f ca="1">VLOOKUP(B87,'All Menu'!B:H,7,0)</f>
        <v>18</v>
      </c>
    </row>
    <row r="88" spans="1:14" s="151" customFormat="1" ht="14.5">
      <c r="A88" s="266" t="s">
        <v>2015</v>
      </c>
      <c r="B88" s="168" t="s">
        <v>1276</v>
      </c>
      <c r="C88" s="151" t="s">
        <v>1808</v>
      </c>
      <c r="D88" s="115" t="str">
        <f>VLOOKUP(B88,'All Menu'!B:D,3,0)</f>
        <v>المشاوي سفري2</v>
      </c>
      <c r="E88" s="116">
        <f t="shared" si="7"/>
        <v>0.12931034482758622</v>
      </c>
      <c r="F88" s="155">
        <v>10</v>
      </c>
      <c r="G88" s="152">
        <v>1.2931034482758621</v>
      </c>
      <c r="H88" s="115">
        <f>VLOOKUP(B88,'All Menu'!B:J,9,0)</f>
        <v>2.8163130374339856E-2</v>
      </c>
      <c r="I88" s="120">
        <f>VLOOKUP(B88,'All Menu'!B:M,12,0)</f>
        <v>0.78220512510510509</v>
      </c>
      <c r="J88" s="114">
        <f t="shared" si="4"/>
        <v>1.2931034482758621</v>
      </c>
      <c r="K88" s="117">
        <f t="shared" si="5"/>
        <v>0</v>
      </c>
      <c r="L88" s="118">
        <f>VLOOKUP(B88,'All Menu'!B:G,6,0)</f>
        <v>0.12931034482758622</v>
      </c>
      <c r="M88" s="118">
        <f t="shared" si="6"/>
        <v>0</v>
      </c>
      <c r="N88" s="151">
        <f ca="1">VLOOKUP(B88,'All Menu'!B:H,7,0)</f>
        <v>10</v>
      </c>
    </row>
    <row r="89" spans="1:14" s="151" customFormat="1" ht="14.5">
      <c r="A89" s="266" t="s">
        <v>2015</v>
      </c>
      <c r="B89" s="168" t="s">
        <v>1289</v>
      </c>
      <c r="C89" s="151" t="s">
        <v>1774</v>
      </c>
      <c r="D89" s="115" t="str">
        <f>VLOOKUP(B89,'All Menu'!B:D,3,0)</f>
        <v>المشاوي سفري2</v>
      </c>
      <c r="E89" s="116">
        <f t="shared" si="7"/>
        <v>0.12931034482758622</v>
      </c>
      <c r="F89" s="155">
        <v>10</v>
      </c>
      <c r="G89" s="152">
        <v>1.2931034482758621</v>
      </c>
      <c r="H89" s="115">
        <f>VLOOKUP(B89,'All Menu'!B:J,9,0)</f>
        <v>1.1955E-2</v>
      </c>
      <c r="I89" s="120">
        <f>VLOOKUP(B89,'All Menu'!B:M,12,0)</f>
        <v>0.90754800000000002</v>
      </c>
      <c r="J89" s="114">
        <f t="shared" si="4"/>
        <v>1.2931034482758621</v>
      </c>
      <c r="K89" s="117">
        <f t="shared" si="5"/>
        <v>0</v>
      </c>
      <c r="L89" s="118">
        <f>VLOOKUP(B89,'All Menu'!B:G,6,0)</f>
        <v>0.12931034482758622</v>
      </c>
      <c r="M89" s="118">
        <f t="shared" si="6"/>
        <v>0</v>
      </c>
      <c r="N89" s="151">
        <f ca="1">VLOOKUP(B89,'All Menu'!B:H,7,0)</f>
        <v>12</v>
      </c>
    </row>
    <row r="90" spans="1:14" s="151" customFormat="1" ht="14.5">
      <c r="A90" s="266" t="s">
        <v>2015</v>
      </c>
      <c r="B90" s="168" t="s">
        <v>1277</v>
      </c>
      <c r="C90" s="151" t="s">
        <v>1420</v>
      </c>
      <c r="D90" s="115" t="str">
        <f>VLOOKUP(B90,'All Menu'!B:D,3,0)</f>
        <v>المشاوي سفري2</v>
      </c>
      <c r="E90" s="116">
        <f t="shared" si="7"/>
        <v>1.2931034482758621</v>
      </c>
      <c r="F90" s="155">
        <v>44</v>
      </c>
      <c r="G90" s="152">
        <v>56.896551724137936</v>
      </c>
      <c r="H90" s="115">
        <f>VLOOKUP(B90,'All Menu'!B:J,9,0)</f>
        <v>0.56896999999999998</v>
      </c>
      <c r="I90" s="120">
        <f>VLOOKUP(B90,'All Menu'!B:M,12,0)</f>
        <v>0.55999653333333332</v>
      </c>
      <c r="J90" s="114">
        <f t="shared" si="4"/>
        <v>56.896551724137936</v>
      </c>
      <c r="K90" s="117">
        <f t="shared" si="5"/>
        <v>0</v>
      </c>
      <c r="L90" s="118">
        <f>VLOOKUP(B90,'All Menu'!B:G,6,0)</f>
        <v>1.2931034482758621</v>
      </c>
      <c r="M90" s="118">
        <f t="shared" si="6"/>
        <v>0</v>
      </c>
      <c r="N90" s="151">
        <f ca="1">VLOOKUP(B90,'All Menu'!B:H,7,0)</f>
        <v>44</v>
      </c>
    </row>
    <row r="91" spans="1:14" s="151" customFormat="1" ht="14.5">
      <c r="A91" s="266" t="s">
        <v>2015</v>
      </c>
      <c r="B91" s="168" t="s">
        <v>1278</v>
      </c>
      <c r="C91" s="151" t="s">
        <v>1783</v>
      </c>
      <c r="D91" s="115" t="str">
        <f>VLOOKUP(B91,'All Menu'!B:D,3,0)</f>
        <v>المشاوي سفري2</v>
      </c>
      <c r="E91" s="116">
        <f t="shared" si="7"/>
        <v>0.64655172413793105</v>
      </c>
      <c r="F91" s="155">
        <v>3</v>
      </c>
      <c r="G91" s="152">
        <v>1.9396551724137931</v>
      </c>
      <c r="H91" s="115">
        <f>VLOOKUP(B91,'All Menu'!B:J,9,0)</f>
        <v>0.12397</v>
      </c>
      <c r="I91" s="120">
        <f>VLOOKUP(B91,'All Menu'!B:M,12,0)</f>
        <v>0.80825973333333334</v>
      </c>
      <c r="J91" s="114">
        <f t="shared" si="4"/>
        <v>1.9396551724137931</v>
      </c>
      <c r="K91" s="117">
        <f t="shared" si="5"/>
        <v>0</v>
      </c>
      <c r="L91" s="118">
        <f>VLOOKUP(B91,'All Menu'!B:G,6,0)</f>
        <v>0.64655172413793105</v>
      </c>
      <c r="M91" s="118">
        <f t="shared" si="6"/>
        <v>0</v>
      </c>
      <c r="N91" s="151">
        <f ca="1">VLOOKUP(B91,'All Menu'!B:H,7,0)</f>
        <v>3</v>
      </c>
    </row>
    <row r="92" spans="1:14" s="151" customFormat="1" ht="14.5">
      <c r="A92" s="266" t="s">
        <v>2015</v>
      </c>
      <c r="B92" s="168" t="s">
        <v>1297</v>
      </c>
      <c r="C92" s="151" t="s">
        <v>1791</v>
      </c>
      <c r="D92" s="115" t="str">
        <f>VLOOKUP(B92,'All Menu'!B:D,3,0)</f>
        <v>المشاوي سفري2</v>
      </c>
      <c r="E92" s="116">
        <f t="shared" si="7"/>
        <v>1.5241379310344829</v>
      </c>
      <c r="F92" s="155">
        <v>1</v>
      </c>
      <c r="G92" s="152">
        <v>1.5241379310344829</v>
      </c>
      <c r="H92" s="115">
        <f>VLOOKUP(B92,'All Menu'!B:J,9,0)</f>
        <v>0.83102372051401119</v>
      </c>
      <c r="I92" s="120">
        <f>VLOOKUP(B92,'All Menu'!B:M,12,0)</f>
        <v>0.51800624210187352</v>
      </c>
      <c r="J92" s="114">
        <f t="shared" si="4"/>
        <v>1.7241379310344829</v>
      </c>
      <c r="K92" s="117">
        <f t="shared" si="5"/>
        <v>-0.19999999999999996</v>
      </c>
      <c r="L92" s="118">
        <f>VLOOKUP(B92,'All Menu'!B:G,6,0)</f>
        <v>1.7241379310344829</v>
      </c>
      <c r="M92" s="118">
        <f t="shared" si="6"/>
        <v>-0.19999999999999996</v>
      </c>
      <c r="N92" s="151">
        <f ca="1">VLOOKUP(B92,'All Menu'!B:H,7,0)</f>
        <v>4</v>
      </c>
    </row>
    <row r="93" spans="1:14" s="151" customFormat="1" ht="14.5">
      <c r="A93" s="266" t="s">
        <v>2015</v>
      </c>
      <c r="B93" s="168" t="s">
        <v>1899</v>
      </c>
      <c r="C93" s="151" t="s">
        <v>1901</v>
      </c>
      <c r="D93" s="115" t="str">
        <f>VLOOKUP(B93,'All Menu'!B:D,3,0)</f>
        <v>المشاوي سفري2</v>
      </c>
      <c r="E93" s="116">
        <f t="shared" si="7"/>
        <v>5.5362068965517244</v>
      </c>
      <c r="F93" s="155">
        <v>58</v>
      </c>
      <c r="G93" s="152">
        <v>321.10000000000002</v>
      </c>
      <c r="H93" s="115">
        <f>VLOOKUP(B93,'All Menu'!B:J,9,0)</f>
        <v>3.3664918850821848</v>
      </c>
      <c r="I93" s="120">
        <f>VLOOKUP(B93,'All Menu'!B:M,12,0)</f>
        <v>0.39921067896994861</v>
      </c>
      <c r="J93" s="114">
        <f t="shared" ref="J93:J156" si="8">F93*L93</f>
        <v>325</v>
      </c>
      <c r="K93" s="117">
        <f t="shared" ref="K93:K156" si="9">G93-J93</f>
        <v>-3.8999999999999773</v>
      </c>
      <c r="L93" s="118">
        <f>VLOOKUP(B93,'All Menu'!B:G,6,0)</f>
        <v>5.6034482758620694</v>
      </c>
      <c r="M93" s="118">
        <f t="shared" ref="M93:M156" si="10">E93-L93</f>
        <v>-6.7241379310345017E-2</v>
      </c>
      <c r="N93" s="151">
        <f ca="1">VLOOKUP(B93,'All Menu'!B:H,7,0)</f>
        <v>154</v>
      </c>
    </row>
    <row r="94" spans="1:14" s="151" customFormat="1" ht="14.5">
      <c r="A94" s="266" t="s">
        <v>2015</v>
      </c>
      <c r="B94" s="168" t="s">
        <v>1900</v>
      </c>
      <c r="C94" s="151" t="s">
        <v>1924</v>
      </c>
      <c r="D94" s="115" t="str">
        <f>VLOOKUP(B94,'All Menu'!B:D,3,0)</f>
        <v>المشاوي سفري2</v>
      </c>
      <c r="E94" s="116">
        <f t="shared" si="7"/>
        <v>3.1108606615059817</v>
      </c>
      <c r="F94" s="155">
        <v>49</v>
      </c>
      <c r="G94" s="152">
        <v>152.4321724137931</v>
      </c>
      <c r="H94" s="115">
        <f>VLOOKUP(B94,'All Menu'!B:J,9,0)</f>
        <v>2.039611748992705</v>
      </c>
      <c r="I94" s="120">
        <f>VLOOKUP(B94,'All Menu'!B:M,12,0)</f>
        <v>0.36908009897825661</v>
      </c>
      <c r="J94" s="114">
        <f t="shared" si="8"/>
        <v>158.40517241379311</v>
      </c>
      <c r="K94" s="117">
        <f t="shared" si="9"/>
        <v>-5.9730000000000132</v>
      </c>
      <c r="L94" s="118">
        <f>VLOOKUP(B94,'All Menu'!B:G,6,0)</f>
        <v>3.2327586206896552</v>
      </c>
      <c r="M94" s="118">
        <f t="shared" si="10"/>
        <v>-0.12189795918367352</v>
      </c>
      <c r="N94" s="151">
        <f ca="1">VLOOKUP(B94,'All Menu'!B:H,7,0)</f>
        <v>134</v>
      </c>
    </row>
    <row r="95" spans="1:14" s="151" customFormat="1" ht="14.5">
      <c r="A95" s="266" t="s">
        <v>2015</v>
      </c>
      <c r="B95" s="168" t="s">
        <v>1069</v>
      </c>
      <c r="C95" s="151" t="s">
        <v>1447</v>
      </c>
      <c r="D95" s="115" t="str">
        <f>VLOOKUP(B95,'All Menu'!B:D,3,0)</f>
        <v>المقبلات سفري</v>
      </c>
      <c r="E95" s="116">
        <f t="shared" si="7"/>
        <v>5.1724137931034484</v>
      </c>
      <c r="F95" s="155">
        <v>16</v>
      </c>
      <c r="G95" s="152">
        <v>82.758620689655174</v>
      </c>
      <c r="H95" s="115">
        <f>VLOOKUP(B95,'All Menu'!B:J,9,0)</f>
        <v>2.1146906785521877</v>
      </c>
      <c r="I95" s="120">
        <f>VLOOKUP(B95,'All Menu'!B:M,12,0)</f>
        <v>0.59115980214657704</v>
      </c>
      <c r="J95" s="114">
        <f t="shared" si="8"/>
        <v>82.758620689655174</v>
      </c>
      <c r="K95" s="117">
        <f t="shared" si="9"/>
        <v>0</v>
      </c>
      <c r="L95" s="118">
        <f>VLOOKUP(B95,'All Menu'!B:G,6,0)</f>
        <v>5.1724137931034484</v>
      </c>
      <c r="M95" s="118">
        <f t="shared" si="10"/>
        <v>0</v>
      </c>
      <c r="N95" s="151">
        <f ca="1">VLOOKUP(B95,'All Menu'!B:H,7,0)</f>
        <v>65</v>
      </c>
    </row>
    <row r="96" spans="1:14" s="151" customFormat="1" ht="14.5">
      <c r="A96" s="266" t="s">
        <v>2015</v>
      </c>
      <c r="B96" s="168" t="s">
        <v>892</v>
      </c>
      <c r="C96" s="151" t="s">
        <v>1449</v>
      </c>
      <c r="D96" s="115" t="str">
        <f>VLOOKUP(B96,'All Menu'!B:D,3,0)</f>
        <v>المقبلات سفري</v>
      </c>
      <c r="E96" s="116">
        <f t="shared" si="7"/>
        <v>2.5862068965517242</v>
      </c>
      <c r="F96" s="155">
        <v>33</v>
      </c>
      <c r="G96" s="152">
        <v>85.344827586206904</v>
      </c>
      <c r="H96" s="115">
        <f>VLOOKUP(B96,'All Menu'!B:J,9,0)</f>
        <v>0.47319357762056669</v>
      </c>
      <c r="I96" s="120">
        <f>VLOOKUP(B96,'All Menu'!B:M,12,0)</f>
        <v>0.81703181665338087</v>
      </c>
      <c r="J96" s="114">
        <f t="shared" si="8"/>
        <v>85.344827586206904</v>
      </c>
      <c r="K96" s="117">
        <f t="shared" si="9"/>
        <v>0</v>
      </c>
      <c r="L96" s="118">
        <f>VLOOKUP(B96,'All Menu'!B:G,6,0)</f>
        <v>2.5862068965517242</v>
      </c>
      <c r="M96" s="118">
        <f t="shared" si="10"/>
        <v>0</v>
      </c>
      <c r="N96" s="151">
        <f ca="1">VLOOKUP(B96,'All Menu'!B:H,7,0)</f>
        <v>147.001</v>
      </c>
    </row>
    <row r="97" spans="1:14" s="151" customFormat="1" ht="14.5">
      <c r="A97" s="266" t="s">
        <v>2015</v>
      </c>
      <c r="B97" s="168" t="s">
        <v>898</v>
      </c>
      <c r="C97" s="151" t="s">
        <v>571</v>
      </c>
      <c r="D97" s="115" t="str">
        <f>VLOOKUP(B97,'All Menu'!B:D,3,0)</f>
        <v>المقبلات سفري</v>
      </c>
      <c r="E97" s="116">
        <f t="shared" si="7"/>
        <v>1.7220852994555353</v>
      </c>
      <c r="F97" s="155">
        <v>38</v>
      </c>
      <c r="G97" s="152">
        <v>65.439241379310346</v>
      </c>
      <c r="H97" s="115">
        <f>VLOOKUP(B97,'All Menu'!B:J,9,0)</f>
        <v>0.32659275311949881</v>
      </c>
      <c r="I97" s="120">
        <f>VLOOKUP(B97,'All Menu'!B:M,12,0)</f>
        <v>0.81057620319069068</v>
      </c>
      <c r="J97" s="114">
        <f t="shared" si="8"/>
        <v>65.517241379310349</v>
      </c>
      <c r="K97" s="117">
        <f t="shared" si="9"/>
        <v>-7.8000000000002956E-2</v>
      </c>
      <c r="L97" s="118">
        <f>VLOOKUP(B97,'All Menu'!B:G,6,0)</f>
        <v>1.7241379310344829</v>
      </c>
      <c r="M97" s="118">
        <f t="shared" si="10"/>
        <v>-2.052631578947528E-3</v>
      </c>
      <c r="N97" s="151">
        <f ca="1">VLOOKUP(B97,'All Menu'!B:H,7,0)</f>
        <v>122</v>
      </c>
    </row>
    <row r="98" spans="1:14" s="151" customFormat="1" ht="14.5">
      <c r="A98" s="266" t="s">
        <v>2015</v>
      </c>
      <c r="B98" s="168" t="s">
        <v>891</v>
      </c>
      <c r="C98" s="151" t="s">
        <v>515</v>
      </c>
      <c r="D98" s="115" t="str">
        <f>VLOOKUP(B98,'All Menu'!B:D,3,0)</f>
        <v>المقبلات سفري</v>
      </c>
      <c r="E98" s="116">
        <f t="shared" si="7"/>
        <v>1.7206596701649175</v>
      </c>
      <c r="F98" s="155">
        <v>115</v>
      </c>
      <c r="G98" s="152">
        <v>197.87586206896552</v>
      </c>
      <c r="H98" s="115">
        <f>VLOOKUP(B98,'All Menu'!B:J,9,0)</f>
        <v>0.32280166723763842</v>
      </c>
      <c r="I98" s="120">
        <f>VLOOKUP(B98,'All Menu'!B:M,12,0)</f>
        <v>0.8127750330021698</v>
      </c>
      <c r="J98" s="114">
        <f t="shared" si="8"/>
        <v>198.27586206896552</v>
      </c>
      <c r="K98" s="117">
        <f t="shared" si="9"/>
        <v>-0.40000000000000568</v>
      </c>
      <c r="L98" s="118">
        <f>VLOOKUP(B98,'All Menu'!B:G,6,0)</f>
        <v>1.7241379310344829</v>
      </c>
      <c r="M98" s="118">
        <f t="shared" si="10"/>
        <v>-3.4782608695653749E-3</v>
      </c>
      <c r="N98" s="151">
        <f ca="1">VLOOKUP(B98,'All Menu'!B:H,7,0)</f>
        <v>222.00020000000001</v>
      </c>
    </row>
    <row r="99" spans="1:14" s="151" customFormat="1" ht="14.5">
      <c r="A99" s="266" t="s">
        <v>2015</v>
      </c>
      <c r="B99" s="168" t="s">
        <v>895</v>
      </c>
      <c r="C99" s="151" t="s">
        <v>489</v>
      </c>
      <c r="D99" s="115" t="str">
        <f>VLOOKUP(B99,'All Menu'!B:D,3,0)</f>
        <v>المقبلات سفري</v>
      </c>
      <c r="E99" s="116">
        <f t="shared" si="7"/>
        <v>1.7166345296739387</v>
      </c>
      <c r="F99" s="155">
        <v>147</v>
      </c>
      <c r="G99" s="152">
        <v>252.34527586206897</v>
      </c>
      <c r="H99" s="115">
        <f>VLOOKUP(B99,'All Menu'!B:J,9,0)</f>
        <v>0.37273836559139784</v>
      </c>
      <c r="I99" s="120">
        <f>VLOOKUP(B99,'All Menu'!B:M,12,0)</f>
        <v>0.78381174795698927</v>
      </c>
      <c r="J99" s="114">
        <f t="shared" si="8"/>
        <v>253.44827586206898</v>
      </c>
      <c r="K99" s="117">
        <f t="shared" si="9"/>
        <v>-1.1030000000000086</v>
      </c>
      <c r="L99" s="118">
        <f>VLOOKUP(B99,'All Menu'!B:G,6,0)</f>
        <v>1.7241379310344829</v>
      </c>
      <c r="M99" s="118">
        <f t="shared" si="10"/>
        <v>-7.5034013605441707E-3</v>
      </c>
      <c r="N99" s="151">
        <f ca="1">VLOOKUP(B99,'All Menu'!B:H,7,0)</f>
        <v>350</v>
      </c>
    </row>
    <row r="100" spans="1:14" s="151" customFormat="1" ht="14.5">
      <c r="A100" s="266" t="s">
        <v>2015</v>
      </c>
      <c r="B100" s="168" t="s">
        <v>887</v>
      </c>
      <c r="C100" s="151" t="s">
        <v>567</v>
      </c>
      <c r="D100" s="115" t="str">
        <f>VLOOKUP(B100,'All Menu'!B:D,3,0)</f>
        <v>المقبلات سفري</v>
      </c>
      <c r="E100" s="116">
        <f t="shared" si="7"/>
        <v>1.2699634482758624</v>
      </c>
      <c r="F100" s="155">
        <v>50</v>
      </c>
      <c r="G100" s="152">
        <v>63.498172413793114</v>
      </c>
      <c r="H100" s="115">
        <f>VLOOKUP(B100,'All Menu'!B:J,9,0)</f>
        <v>0.6310778979497047</v>
      </c>
      <c r="I100" s="120">
        <f>VLOOKUP(B100,'All Menu'!B:M,12,0)</f>
        <v>0.51196642558556171</v>
      </c>
      <c r="J100" s="114">
        <f t="shared" si="8"/>
        <v>64.65517241379311</v>
      </c>
      <c r="K100" s="117">
        <f t="shared" si="9"/>
        <v>-1.1569999999999965</v>
      </c>
      <c r="L100" s="118">
        <f>VLOOKUP(B100,'All Menu'!B:G,6,0)</f>
        <v>1.2931034482758621</v>
      </c>
      <c r="M100" s="118">
        <f t="shared" si="10"/>
        <v>-2.3139999999999716E-2</v>
      </c>
      <c r="N100" s="151">
        <f ca="1">VLOOKUP(B100,'All Menu'!B:H,7,0)</f>
        <v>91.710000000000008</v>
      </c>
    </row>
    <row r="101" spans="1:14" s="151" customFormat="1" ht="14.5">
      <c r="A101" s="266" t="s">
        <v>2015</v>
      </c>
      <c r="B101" s="168" t="s">
        <v>1179</v>
      </c>
      <c r="C101" s="151" t="s">
        <v>579</v>
      </c>
      <c r="D101" s="115" t="str">
        <f>VLOOKUP(B101,'All Menu'!B:D,3,0)</f>
        <v>المقبلات سفري</v>
      </c>
      <c r="E101" s="116">
        <f t="shared" si="7"/>
        <v>0.19644944476914089</v>
      </c>
      <c r="F101" s="155">
        <v>177</v>
      </c>
      <c r="G101" s="152">
        <v>34.771551724137936</v>
      </c>
      <c r="H101" s="115">
        <f>VLOOKUP(B101,'All Menu'!B:J,9,0)</f>
        <v>6.0440000000000001E-2</v>
      </c>
      <c r="I101" s="120">
        <f>VLOOKUP(B101,'All Menu'!B:M,12,0)</f>
        <v>0.71955840000000004</v>
      </c>
      <c r="J101" s="114">
        <f t="shared" si="8"/>
        <v>38.146551724137936</v>
      </c>
      <c r="K101" s="117">
        <f t="shared" si="9"/>
        <v>-3.375</v>
      </c>
      <c r="L101" s="118">
        <f>VLOOKUP(B101,'All Menu'!B:G,6,0)</f>
        <v>0.21551724137931036</v>
      </c>
      <c r="M101" s="118">
        <f t="shared" si="10"/>
        <v>-1.9067796610169468E-2</v>
      </c>
      <c r="N101" s="151">
        <f ca="1">VLOOKUP(B101,'All Menu'!B:H,7,0)</f>
        <v>330.22</v>
      </c>
    </row>
    <row r="102" spans="1:14" s="151" customFormat="1" ht="14.5">
      <c r="A102" s="266" t="s">
        <v>2015</v>
      </c>
      <c r="B102" s="168" t="s">
        <v>1100</v>
      </c>
      <c r="C102" s="151" t="s">
        <v>1781</v>
      </c>
      <c r="D102" s="115" t="str">
        <f>VLOOKUP(B102,'All Menu'!B:D,3,0)</f>
        <v>المقبلات سفري</v>
      </c>
      <c r="E102" s="116">
        <f t="shared" si="7"/>
        <v>0.64655172413793105</v>
      </c>
      <c r="F102" s="155">
        <v>47</v>
      </c>
      <c r="G102" s="152">
        <v>30.387931034482758</v>
      </c>
      <c r="H102" s="115">
        <f>VLOOKUP(B102,'All Menu'!B:J,9,0)</f>
        <v>0.11478613834173157</v>
      </c>
      <c r="I102" s="120">
        <f>VLOOKUP(B102,'All Menu'!B:M,12,0)</f>
        <v>0.82246410603145514</v>
      </c>
      <c r="J102" s="114">
        <f t="shared" si="8"/>
        <v>30.387931034482758</v>
      </c>
      <c r="K102" s="117">
        <f t="shared" si="9"/>
        <v>0</v>
      </c>
      <c r="L102" s="118">
        <f>VLOOKUP(B102,'All Menu'!B:G,6,0)</f>
        <v>0.64655172413793105</v>
      </c>
      <c r="M102" s="118">
        <f t="shared" si="10"/>
        <v>0</v>
      </c>
      <c r="N102" s="151">
        <f ca="1">VLOOKUP(B102,'All Menu'!B:H,7,0)</f>
        <v>168.001</v>
      </c>
    </row>
    <row r="103" spans="1:14" s="151" customFormat="1" ht="14.5">
      <c r="A103" s="266" t="s">
        <v>2015</v>
      </c>
      <c r="B103" s="168" t="s">
        <v>1018</v>
      </c>
      <c r="C103" s="151" t="s">
        <v>1782</v>
      </c>
      <c r="D103" s="115" t="str">
        <f>VLOOKUP(B103,'All Menu'!B:D,3,0)</f>
        <v>المقبلات سفري</v>
      </c>
      <c r="E103" s="116">
        <f t="shared" si="7"/>
        <v>0.34199425287356322</v>
      </c>
      <c r="F103" s="155">
        <v>156</v>
      </c>
      <c r="G103" s="152">
        <v>53.351103448275865</v>
      </c>
      <c r="H103" s="115">
        <f>VLOOKUP(B103,'All Menu'!B:J,9,0)</f>
        <v>0.16</v>
      </c>
      <c r="I103" s="120">
        <f>VLOOKUP(B103,'All Menu'!B:M,12,0)</f>
        <v>0.53600000000000003</v>
      </c>
      <c r="J103" s="114">
        <f t="shared" si="8"/>
        <v>53.793103448275865</v>
      </c>
      <c r="K103" s="117">
        <f t="shared" si="9"/>
        <v>-0.44200000000000017</v>
      </c>
      <c r="L103" s="118">
        <f>VLOOKUP(B103,'All Menu'!B:G,6,0)</f>
        <v>0.34482758620689657</v>
      </c>
      <c r="M103" s="118">
        <f t="shared" si="10"/>
        <v>-2.8333333333333544E-3</v>
      </c>
      <c r="N103" s="151">
        <f ca="1">VLOOKUP(B103,'All Menu'!B:H,7,0)</f>
        <v>324.39999999999998</v>
      </c>
    </row>
    <row r="104" spans="1:14" s="151" customFormat="1" ht="14.5">
      <c r="A104" s="266" t="s">
        <v>2015</v>
      </c>
      <c r="B104" s="168" t="s">
        <v>1083</v>
      </c>
      <c r="C104" s="151" t="s">
        <v>1452</v>
      </c>
      <c r="D104" s="115" t="str">
        <f>VLOOKUP(B104,'All Menu'!B:D,3,0)</f>
        <v>المقبلات سفري</v>
      </c>
      <c r="E104" s="116">
        <f t="shared" si="7"/>
        <v>0.34049425287356327</v>
      </c>
      <c r="F104" s="155">
        <v>9</v>
      </c>
      <c r="G104" s="152">
        <v>3.0644482758620692</v>
      </c>
      <c r="H104" s="115">
        <f>VLOOKUP(B104,'All Menu'!B:J,9,0)</f>
        <v>0.12825673611111113</v>
      </c>
      <c r="I104" s="120">
        <f>VLOOKUP(B104,'All Menu'!B:M,12,0)</f>
        <v>0.62805546527777778</v>
      </c>
      <c r="J104" s="114">
        <f t="shared" si="8"/>
        <v>3.1034482758620694</v>
      </c>
      <c r="K104" s="117">
        <f t="shared" si="9"/>
        <v>-3.9000000000000146E-2</v>
      </c>
      <c r="L104" s="118">
        <f>VLOOKUP(B104,'All Menu'!B:G,6,0)</f>
        <v>0.34482758620689657</v>
      </c>
      <c r="M104" s="118">
        <f t="shared" si="10"/>
        <v>-4.3333333333333002E-3</v>
      </c>
      <c r="N104" s="151">
        <f ca="1">VLOOKUP(B104,'All Menu'!B:H,7,0)</f>
        <v>39</v>
      </c>
    </row>
    <row r="105" spans="1:14" s="151" customFormat="1" ht="14.5">
      <c r="A105" s="266" t="s">
        <v>2015</v>
      </c>
      <c r="B105" s="168" t="s">
        <v>897</v>
      </c>
      <c r="C105" s="151" t="s">
        <v>573</v>
      </c>
      <c r="D105" s="115" t="str">
        <f>VLOOKUP(B105,'All Menu'!B:D,3,0)</f>
        <v>المقبلات سفري</v>
      </c>
      <c r="E105" s="116">
        <f t="shared" si="7"/>
        <v>1.0758730921424535</v>
      </c>
      <c r="F105" s="155">
        <v>244</v>
      </c>
      <c r="G105" s="152">
        <v>262.51303448275866</v>
      </c>
      <c r="H105" s="115">
        <f>VLOOKUP(B105,'All Menu'!B:J,9,0)</f>
        <v>0.56669403004883445</v>
      </c>
      <c r="I105" s="120">
        <f>VLOOKUP(B105,'All Menu'!B:M,12,0)</f>
        <v>0.47410794011468166</v>
      </c>
      <c r="J105" s="114">
        <f t="shared" si="8"/>
        <v>262.93103448275866</v>
      </c>
      <c r="K105" s="117">
        <f t="shared" si="9"/>
        <v>-0.41800000000000637</v>
      </c>
      <c r="L105" s="118">
        <f>VLOOKUP(B105,'All Menu'!B:G,6,0)</f>
        <v>1.0775862068965518</v>
      </c>
      <c r="M105" s="118">
        <f t="shared" si="10"/>
        <v>-1.7131147540982994E-3</v>
      </c>
      <c r="N105" s="151">
        <f ca="1">VLOOKUP(B105,'All Menu'!B:H,7,0)</f>
        <v>670.00099999999998</v>
      </c>
    </row>
    <row r="106" spans="1:14" s="151" customFormat="1" ht="14.5">
      <c r="A106" s="266" t="s">
        <v>2015</v>
      </c>
      <c r="B106" s="168" t="s">
        <v>893</v>
      </c>
      <c r="C106" s="151" t="s">
        <v>569</v>
      </c>
      <c r="D106" s="115" t="str">
        <f>VLOOKUP(B106,'All Menu'!B:D,3,0)</f>
        <v>المقبلات سفري</v>
      </c>
      <c r="E106" s="116">
        <f t="shared" si="7"/>
        <v>0.64416036288138656</v>
      </c>
      <c r="F106" s="155">
        <v>764</v>
      </c>
      <c r="G106" s="152">
        <v>492.1385172413793</v>
      </c>
      <c r="H106" s="115">
        <f>VLOOKUP(B106,'All Menu'!B:J,9,0)</f>
        <v>0.74333047410526309</v>
      </c>
      <c r="I106" s="120">
        <f>VLOOKUP(B106,'All Menu'!B:M,12,0)</f>
        <v>-0.14968446661614024</v>
      </c>
      <c r="J106" s="114">
        <f t="shared" si="8"/>
        <v>493.9655172413793</v>
      </c>
      <c r="K106" s="117">
        <f t="shared" si="9"/>
        <v>-1.8269999999999982</v>
      </c>
      <c r="L106" s="118">
        <f>VLOOKUP(B106,'All Menu'!B:G,6,0)</f>
        <v>0.64655172413793105</v>
      </c>
      <c r="M106" s="118">
        <f t="shared" si="10"/>
        <v>-2.3913612565444886E-3</v>
      </c>
      <c r="N106" s="151">
        <f ca="1">VLOOKUP(B106,'All Menu'!B:H,7,0)</f>
        <v>1510.3000999999999</v>
      </c>
    </row>
    <row r="107" spans="1:14" s="151" customFormat="1" ht="14.5">
      <c r="A107" s="266" t="s">
        <v>2015</v>
      </c>
      <c r="B107" s="168" t="s">
        <v>947</v>
      </c>
      <c r="C107" s="151" t="s">
        <v>1453</v>
      </c>
      <c r="D107" s="115" t="str">
        <f>VLOOKUP(B107,'All Menu'!B:D,3,0)</f>
        <v>المقبلات سفري</v>
      </c>
      <c r="E107" s="116">
        <f t="shared" si="7"/>
        <v>0.64586772413793103</v>
      </c>
      <c r="F107" s="155">
        <v>250</v>
      </c>
      <c r="G107" s="152">
        <v>161.46693103448277</v>
      </c>
      <c r="H107" s="115">
        <f>VLOOKUP(B107,'All Menu'!B:J,9,0)</f>
        <v>0.19348933333333332</v>
      </c>
      <c r="I107" s="120">
        <f>VLOOKUP(B107,'All Menu'!B:M,12,0)</f>
        <v>0.7007364977777778</v>
      </c>
      <c r="J107" s="114">
        <f t="shared" si="8"/>
        <v>161.63793103448276</v>
      </c>
      <c r="K107" s="117">
        <f t="shared" si="9"/>
        <v>-0.17099999999999227</v>
      </c>
      <c r="L107" s="118">
        <f>VLOOKUP(B107,'All Menu'!B:G,6,0)</f>
        <v>0.64655172413793105</v>
      </c>
      <c r="M107" s="118">
        <f t="shared" si="10"/>
        <v>-6.8400000000001793E-4</v>
      </c>
      <c r="N107" s="151">
        <f ca="1">VLOOKUP(B107,'All Menu'!B:H,7,0)</f>
        <v>688.00009999999997</v>
      </c>
    </row>
    <row r="108" spans="1:14" s="151" customFormat="1" ht="14.5">
      <c r="A108" s="266" t="s">
        <v>2015</v>
      </c>
      <c r="B108" s="168" t="s">
        <v>969</v>
      </c>
      <c r="C108" s="151" t="s">
        <v>1454</v>
      </c>
      <c r="D108" s="115" t="str">
        <f>VLOOKUP(B108,'All Menu'!B:D,3,0)</f>
        <v>المقبلات سفري</v>
      </c>
      <c r="E108" s="116">
        <f t="shared" si="7"/>
        <v>0.85375815470643057</v>
      </c>
      <c r="F108" s="155">
        <v>296</v>
      </c>
      <c r="G108" s="152">
        <v>252.71241379310345</v>
      </c>
      <c r="H108" s="115">
        <f>VLOOKUP(B108,'All Menu'!B:J,9,0)</f>
        <v>0.19719300000000001</v>
      </c>
      <c r="I108" s="120">
        <f>VLOOKUP(B108,'All Menu'!B:M,12,0)</f>
        <v>0.77125611999999999</v>
      </c>
      <c r="J108" s="114">
        <f t="shared" si="8"/>
        <v>255.17241379310346</v>
      </c>
      <c r="K108" s="117">
        <f t="shared" si="9"/>
        <v>-2.460000000000008</v>
      </c>
      <c r="L108" s="118">
        <f>VLOOKUP(B108,'All Menu'!B:G,6,0)</f>
        <v>0.86206896551724144</v>
      </c>
      <c r="M108" s="118">
        <f t="shared" si="10"/>
        <v>-8.3108108108108647E-3</v>
      </c>
      <c r="N108" s="151">
        <f ca="1">VLOOKUP(B108,'All Menu'!B:H,7,0)</f>
        <v>564.5</v>
      </c>
    </row>
    <row r="109" spans="1:14" s="151" customFormat="1" ht="14.5">
      <c r="A109" s="266" t="s">
        <v>2015</v>
      </c>
      <c r="B109" s="168" t="s">
        <v>937</v>
      </c>
      <c r="C109" s="151" t="s">
        <v>1455</v>
      </c>
      <c r="D109" s="115" t="str">
        <f>VLOOKUP(B109,'All Menu'!B:D,3,0)</f>
        <v>المقبلات سفري</v>
      </c>
      <c r="E109" s="116">
        <f t="shared" si="7"/>
        <v>0.64448230982122823</v>
      </c>
      <c r="F109" s="155">
        <v>922</v>
      </c>
      <c r="G109" s="152">
        <v>594.21268965517243</v>
      </c>
      <c r="H109" s="115">
        <f>VLOOKUP(B109,'All Menu'!B:J,9,0)</f>
        <v>0.2584178695286195</v>
      </c>
      <c r="I109" s="120">
        <f>VLOOKUP(B109,'All Menu'!B:M,12,0)</f>
        <v>0.60031369512906851</v>
      </c>
      <c r="J109" s="114">
        <f t="shared" si="8"/>
        <v>596.12068965517244</v>
      </c>
      <c r="K109" s="117">
        <f t="shared" si="9"/>
        <v>-1.9080000000000155</v>
      </c>
      <c r="L109" s="118">
        <f>VLOOKUP(B109,'All Menu'!B:G,6,0)</f>
        <v>0.64655172413793105</v>
      </c>
      <c r="M109" s="118">
        <f t="shared" si="10"/>
        <v>-2.0694143167028223E-3</v>
      </c>
      <c r="N109" s="151">
        <f ca="1">VLOOKUP(B109,'All Menu'!B:H,7,0)</f>
        <v>1726.0020999999999</v>
      </c>
    </row>
    <row r="110" spans="1:14" s="151" customFormat="1" ht="14.5">
      <c r="A110" s="266" t="s">
        <v>2015</v>
      </c>
      <c r="B110" s="168" t="s">
        <v>938</v>
      </c>
      <c r="C110" s="151" t="s">
        <v>1456</v>
      </c>
      <c r="D110" s="115" t="str">
        <f>VLOOKUP(B110,'All Menu'!B:D,3,0)</f>
        <v>المقبلات سفري</v>
      </c>
      <c r="E110" s="116">
        <f t="shared" si="7"/>
        <v>0.77377837797839288</v>
      </c>
      <c r="F110" s="155">
        <v>466</v>
      </c>
      <c r="G110" s="152">
        <v>360.5807241379311</v>
      </c>
      <c r="H110" s="115">
        <f>VLOOKUP(B110,'All Menu'!B:J,9,0)</f>
        <v>0.46852673828030816</v>
      </c>
      <c r="I110" s="120">
        <f>VLOOKUP(B110,'All Menu'!B:M,12,0)</f>
        <v>0.39612109288315844</v>
      </c>
      <c r="J110" s="114">
        <f t="shared" si="8"/>
        <v>361.5517241379311</v>
      </c>
      <c r="K110" s="117">
        <f t="shared" si="9"/>
        <v>-0.97100000000000364</v>
      </c>
      <c r="L110" s="118">
        <f>VLOOKUP(B110,'All Menu'!B:G,6,0)</f>
        <v>0.77586206896551735</v>
      </c>
      <c r="M110" s="118">
        <f t="shared" si="10"/>
        <v>-2.0836909871244647E-3</v>
      </c>
      <c r="N110" s="151">
        <f ca="1">VLOOKUP(B110,'All Menu'!B:H,7,0)</f>
        <v>1139.001</v>
      </c>
    </row>
    <row r="111" spans="1:14" s="151" customFormat="1" ht="14.5">
      <c r="A111" s="266" t="s">
        <v>2015</v>
      </c>
      <c r="B111" s="168" t="s">
        <v>1047</v>
      </c>
      <c r="C111" s="151" t="s">
        <v>1457</v>
      </c>
      <c r="D111" s="115" t="str">
        <f>VLOOKUP(B111,'All Menu'!B:D,3,0)</f>
        <v>المقبلات سفري</v>
      </c>
      <c r="E111" s="116">
        <f t="shared" si="7"/>
        <v>0.21551724137931036</v>
      </c>
      <c r="F111" s="155">
        <v>28</v>
      </c>
      <c r="G111" s="152">
        <v>6.0344827586206904</v>
      </c>
      <c r="H111" s="115">
        <f>VLOOKUP(B111,'All Menu'!B:J,9,0)</f>
        <v>6.620838217338218E-2</v>
      </c>
      <c r="I111" s="120">
        <f>VLOOKUP(B111,'All Menu'!B:M,12,0)</f>
        <v>0.69279310671550676</v>
      </c>
      <c r="J111" s="114">
        <f t="shared" si="8"/>
        <v>6.0344827586206904</v>
      </c>
      <c r="K111" s="117">
        <f t="shared" si="9"/>
        <v>0</v>
      </c>
      <c r="L111" s="118">
        <f>VLOOKUP(B111,'All Menu'!B:G,6,0)</f>
        <v>0.21551724137931036</v>
      </c>
      <c r="M111" s="118">
        <f t="shared" si="10"/>
        <v>0</v>
      </c>
      <c r="N111" s="151">
        <f ca="1">VLOOKUP(B111,'All Menu'!B:H,7,0)</f>
        <v>197.03200000000001</v>
      </c>
    </row>
    <row r="112" spans="1:14" s="151" customFormat="1" ht="14.5">
      <c r="A112" s="266" t="s">
        <v>2015</v>
      </c>
      <c r="B112" s="168" t="s">
        <v>1048</v>
      </c>
      <c r="C112" s="151" t="s">
        <v>1458</v>
      </c>
      <c r="D112" s="115" t="str">
        <f>VLOOKUP(B112,'All Menu'!B:D,3,0)</f>
        <v>المقبلات سفري</v>
      </c>
      <c r="E112" s="116">
        <f t="shared" si="7"/>
        <v>0.19966358284272501</v>
      </c>
      <c r="F112" s="155">
        <v>205</v>
      </c>
      <c r="G112" s="152">
        <v>40.931034482758626</v>
      </c>
      <c r="H112" s="115">
        <f>VLOOKUP(B112,'All Menu'!B:J,9,0)</f>
        <v>8.7399999999999992E-2</v>
      </c>
      <c r="I112" s="120">
        <f>VLOOKUP(B112,'All Menu'!B:M,12,0)</f>
        <v>0.59446399999999999</v>
      </c>
      <c r="J112" s="114">
        <f t="shared" si="8"/>
        <v>44.181034482758626</v>
      </c>
      <c r="K112" s="117">
        <f t="shared" si="9"/>
        <v>-3.25</v>
      </c>
      <c r="L112" s="118">
        <f>VLOOKUP(B112,'All Menu'!B:G,6,0)</f>
        <v>0.21551724137931036</v>
      </c>
      <c r="M112" s="118">
        <f t="shared" si="10"/>
        <v>-1.5853658536585352E-2</v>
      </c>
      <c r="N112" s="151">
        <f ca="1">VLOOKUP(B112,'All Menu'!B:H,7,0)</f>
        <v>217</v>
      </c>
    </row>
    <row r="113" spans="1:14" s="151" customFormat="1" ht="14.5">
      <c r="A113" s="266" t="s">
        <v>2015</v>
      </c>
      <c r="B113" s="168" t="s">
        <v>1180</v>
      </c>
      <c r="C113" s="151" t="s">
        <v>1787</v>
      </c>
      <c r="D113" s="115" t="str">
        <f>VLOOKUP(B113,'All Menu'!B:D,3,0)</f>
        <v>المقبلات سفري</v>
      </c>
      <c r="E113" s="116">
        <f t="shared" si="7"/>
        <v>0.2099616858237548</v>
      </c>
      <c r="F113" s="155">
        <v>9</v>
      </c>
      <c r="G113" s="152">
        <v>1.8896551724137931</v>
      </c>
      <c r="H113" s="115">
        <f>VLOOKUP(B113,'All Menu'!B:J,9,0)</f>
        <v>8.0269227668346321E-2</v>
      </c>
      <c r="I113" s="120">
        <f>VLOOKUP(B113,'All Menu'!B:M,12,0)</f>
        <v>0.62755078361887306</v>
      </c>
      <c r="J113" s="114">
        <f t="shared" si="8"/>
        <v>1.9396551724137931</v>
      </c>
      <c r="K113" s="117">
        <f t="shared" si="9"/>
        <v>-5.0000000000000044E-2</v>
      </c>
      <c r="L113" s="118">
        <f>VLOOKUP(B113,'All Menu'!B:G,6,0)</f>
        <v>0.21551724137931036</v>
      </c>
      <c r="M113" s="118">
        <f t="shared" si="10"/>
        <v>-5.5555555555555636E-3</v>
      </c>
      <c r="N113" s="151">
        <f ca="1">VLOOKUP(B113,'All Menu'!B:H,7,0)</f>
        <v>23.001000000000001</v>
      </c>
    </row>
    <row r="114" spans="1:14" s="151" customFormat="1" ht="14.5">
      <c r="A114" s="266" t="s">
        <v>2015</v>
      </c>
      <c r="B114" s="168" t="s">
        <v>1300</v>
      </c>
      <c r="C114" s="151" t="s">
        <v>1797</v>
      </c>
      <c r="D114" s="115" t="str">
        <f>VLOOKUP(B114,'All Menu'!B:D,3,0)</f>
        <v>المقبلات سفري</v>
      </c>
      <c r="E114" s="116">
        <f t="shared" si="7"/>
        <v>12.799367816091953</v>
      </c>
      <c r="F114" s="155">
        <v>9</v>
      </c>
      <c r="G114" s="152">
        <v>115.19431034482758</v>
      </c>
      <c r="H114" s="115">
        <f>VLOOKUP(B114,'All Menu'!B:J,9,0)</f>
        <v>3.0207196746032001</v>
      </c>
      <c r="I114" s="120">
        <f>VLOOKUP(B114,'All Menu'!B:M,12,0)</f>
        <v>0.76639767849735252</v>
      </c>
      <c r="J114" s="114">
        <f t="shared" si="8"/>
        <v>116.37931034482759</v>
      </c>
      <c r="K114" s="117">
        <f t="shared" si="9"/>
        <v>-1.1850000000000023</v>
      </c>
      <c r="L114" s="118">
        <f>VLOOKUP(B114,'All Menu'!B:G,6,0)</f>
        <v>12.931034482758621</v>
      </c>
      <c r="M114" s="118">
        <f t="shared" si="10"/>
        <v>-0.13166666666666771</v>
      </c>
      <c r="N114" s="151">
        <f ca="1">VLOOKUP(B114,'All Menu'!B:H,7,0)</f>
        <v>9</v>
      </c>
    </row>
    <row r="115" spans="1:14" s="151" customFormat="1" ht="14.5">
      <c r="A115" s="266" t="s">
        <v>2015</v>
      </c>
      <c r="B115" s="168" t="s">
        <v>1274</v>
      </c>
      <c r="C115" s="151" t="s">
        <v>1786</v>
      </c>
      <c r="D115" s="115" t="str">
        <f>VLOOKUP(B115,'All Menu'!B:D,3,0)</f>
        <v>المقبلات سفري</v>
      </c>
      <c r="E115" s="116">
        <f t="shared" si="7"/>
        <v>1.2881679644048942</v>
      </c>
      <c r="F115" s="155">
        <v>31</v>
      </c>
      <c r="G115" s="152">
        <v>39.933206896551724</v>
      </c>
      <c r="H115" s="115">
        <f>VLOOKUP(B115,'All Menu'!B:J,9,0)</f>
        <v>0.27506122685185186</v>
      </c>
      <c r="I115" s="120">
        <f>VLOOKUP(B115,'All Menu'!B:M,12,0)</f>
        <v>0.78728598456790111</v>
      </c>
      <c r="J115" s="114">
        <f t="shared" si="8"/>
        <v>40.086206896551722</v>
      </c>
      <c r="K115" s="117">
        <f t="shared" si="9"/>
        <v>-0.15299999999999869</v>
      </c>
      <c r="L115" s="118">
        <f>VLOOKUP(B115,'All Menu'!B:G,6,0)</f>
        <v>1.2931034482758621</v>
      </c>
      <c r="M115" s="118">
        <f t="shared" si="10"/>
        <v>-4.9354838709678717E-3</v>
      </c>
      <c r="N115" s="151">
        <f ca="1">VLOOKUP(B115,'All Menu'!B:H,7,0)</f>
        <v>46</v>
      </c>
    </row>
    <row r="116" spans="1:14" s="151" customFormat="1" ht="14.5">
      <c r="A116" s="266" t="s">
        <v>2015</v>
      </c>
      <c r="B116" s="168" t="s">
        <v>1308</v>
      </c>
      <c r="C116" s="151" t="s">
        <v>1794</v>
      </c>
      <c r="D116" s="115" t="str">
        <f>VLOOKUP(B116,'All Menu'!B:D,3,0)</f>
        <v>المقبلات سفري</v>
      </c>
      <c r="E116" s="116">
        <f t="shared" si="7"/>
        <v>2.5862068965517242</v>
      </c>
      <c r="F116" s="155">
        <v>10</v>
      </c>
      <c r="G116" s="152">
        <v>25.862068965517242</v>
      </c>
      <c r="H116" s="115">
        <f>VLOOKUP(B116,'All Menu'!B:J,9,0)</f>
        <v>0.95152662777020813</v>
      </c>
      <c r="I116" s="120">
        <f>VLOOKUP(B116,'All Menu'!B:M,12,0)</f>
        <v>0.63207637059551958</v>
      </c>
      <c r="J116" s="114">
        <f t="shared" si="8"/>
        <v>25.862068965517242</v>
      </c>
      <c r="K116" s="117">
        <f t="shared" si="9"/>
        <v>0</v>
      </c>
      <c r="L116" s="118">
        <f>VLOOKUP(B116,'All Menu'!B:G,6,0)</f>
        <v>2.5862068965517242</v>
      </c>
      <c r="M116" s="118">
        <f t="shared" si="10"/>
        <v>0</v>
      </c>
      <c r="N116" s="151">
        <f ca="1">VLOOKUP(B116,'All Menu'!B:H,7,0)</f>
        <v>12</v>
      </c>
    </row>
    <row r="117" spans="1:14" s="151" customFormat="1" ht="14.5">
      <c r="A117" s="266" t="s">
        <v>2015</v>
      </c>
      <c r="B117" s="168" t="s">
        <v>991</v>
      </c>
      <c r="C117" s="151" t="s">
        <v>1350</v>
      </c>
      <c r="D117" s="115" t="str">
        <f>VLOOKUP(B117,'All Menu'!B:D,3,0)</f>
        <v>الوجبات اليومية سفري</v>
      </c>
      <c r="E117" s="116">
        <f t="shared" si="7"/>
        <v>7.7470206896551721</v>
      </c>
      <c r="F117" s="155">
        <v>25</v>
      </c>
      <c r="G117" s="152">
        <v>193.67551724137931</v>
      </c>
      <c r="H117" s="115">
        <f>VLOOKUP(B117,'All Menu'!B:J,9,0)</f>
        <v>5.2935268537167888</v>
      </c>
      <c r="I117" s="120">
        <f>VLOOKUP(B117,'All Menu'!B:M,12,0)</f>
        <v>0.31772320552094724</v>
      </c>
      <c r="J117" s="114">
        <f t="shared" si="8"/>
        <v>193.9655172413793</v>
      </c>
      <c r="K117" s="117">
        <f t="shared" si="9"/>
        <v>-0.28999999999999204</v>
      </c>
      <c r="L117" s="118">
        <f>VLOOKUP(B117,'All Menu'!B:G,6,0)</f>
        <v>7.7586206896551726</v>
      </c>
      <c r="M117" s="118">
        <f t="shared" si="10"/>
        <v>-1.1600000000000499E-2</v>
      </c>
      <c r="N117" s="151">
        <f ca="1">VLOOKUP(B117,'All Menu'!B:H,7,0)</f>
        <v>130.001</v>
      </c>
    </row>
    <row r="118" spans="1:14" s="151" customFormat="1" ht="14.5">
      <c r="A118" s="266" t="s">
        <v>2015</v>
      </c>
      <c r="B118" s="168" t="s">
        <v>1014</v>
      </c>
      <c r="C118" s="151" t="s">
        <v>1351</v>
      </c>
      <c r="D118" s="115" t="str">
        <f>VLOOKUP(B118,'All Menu'!B:D,3,0)</f>
        <v>الوجبات اليومية سفري</v>
      </c>
      <c r="E118" s="116">
        <f t="shared" si="7"/>
        <v>3.4426420592520643</v>
      </c>
      <c r="F118" s="155">
        <v>71</v>
      </c>
      <c r="G118" s="152">
        <v>244.42758620689656</v>
      </c>
      <c r="H118" s="115">
        <f>VLOOKUP(B118,'All Menu'!B:J,9,0)</f>
        <v>2.1404005324521074</v>
      </c>
      <c r="I118" s="120">
        <f>VLOOKUP(B118,'All Menu'!B:M,12,0)</f>
        <v>0.37928384558888889</v>
      </c>
      <c r="J118" s="114">
        <f t="shared" si="8"/>
        <v>244.82758620689657</v>
      </c>
      <c r="K118" s="117">
        <f t="shared" si="9"/>
        <v>-0.40000000000000568</v>
      </c>
      <c r="L118" s="118">
        <f>VLOOKUP(B118,'All Menu'!B:G,6,0)</f>
        <v>3.4482758620689657</v>
      </c>
      <c r="M118" s="118">
        <f t="shared" si="10"/>
        <v>-5.6338028169014009E-3</v>
      </c>
      <c r="N118" s="151">
        <f ca="1">VLOOKUP(B118,'All Menu'!B:H,7,0)</f>
        <v>350.00200000000001</v>
      </c>
    </row>
    <row r="119" spans="1:14" s="151" customFormat="1" ht="14.5">
      <c r="A119" s="266" t="s">
        <v>2015</v>
      </c>
      <c r="B119" s="168" t="s">
        <v>996</v>
      </c>
      <c r="C119" s="151" t="s">
        <v>1352</v>
      </c>
      <c r="D119" s="115" t="str">
        <f>VLOOKUP(B119,'All Menu'!B:D,3,0)</f>
        <v>الوجبات اليومية سفري</v>
      </c>
      <c r="E119" s="116">
        <f t="shared" si="7"/>
        <v>3.3961019490254869</v>
      </c>
      <c r="F119" s="155">
        <v>46</v>
      </c>
      <c r="G119" s="152">
        <v>156.22068965517241</v>
      </c>
      <c r="H119" s="115">
        <f>VLOOKUP(B119,'All Menu'!B:J,9,0)</f>
        <v>2.3936093603117103</v>
      </c>
      <c r="I119" s="120">
        <f>VLOOKUP(B119,'All Menu'!B:M,12,0)</f>
        <v>0.30585328550960406</v>
      </c>
      <c r="J119" s="114">
        <f t="shared" si="8"/>
        <v>158.62068965517241</v>
      </c>
      <c r="K119" s="117">
        <f t="shared" si="9"/>
        <v>-2.4000000000000057</v>
      </c>
      <c r="L119" s="118">
        <f>VLOOKUP(B119,'All Menu'!B:G,6,0)</f>
        <v>3.4482758620689657</v>
      </c>
      <c r="M119" s="118">
        <f t="shared" si="10"/>
        <v>-5.2173913043478848E-2</v>
      </c>
      <c r="N119" s="151">
        <f ca="1">VLOOKUP(B119,'All Menu'!B:H,7,0)</f>
        <v>151</v>
      </c>
    </row>
    <row r="120" spans="1:14" s="151" customFormat="1" ht="14.5">
      <c r="A120" s="266" t="s">
        <v>2015</v>
      </c>
      <c r="B120" s="168" t="s">
        <v>990</v>
      </c>
      <c r="C120" s="151" t="s">
        <v>547</v>
      </c>
      <c r="D120" s="115" t="str">
        <f>VLOOKUP(B120,'All Menu'!B:D,3,0)</f>
        <v>الوجبات اليومية سفري</v>
      </c>
      <c r="E120" s="116">
        <f t="shared" si="7"/>
        <v>3.4459758620689653</v>
      </c>
      <c r="F120" s="155">
        <v>10</v>
      </c>
      <c r="G120" s="152">
        <v>34.459758620689655</v>
      </c>
      <c r="H120" s="115">
        <f>VLOOKUP(B120,'All Menu'!B:J,9,0)</f>
        <v>1.5853340738905934</v>
      </c>
      <c r="I120" s="120">
        <f>VLOOKUP(B120,'All Menu'!B:M,12,0)</f>
        <v>0.54025311857172797</v>
      </c>
      <c r="J120" s="114">
        <f t="shared" si="8"/>
        <v>34.482758620689658</v>
      </c>
      <c r="K120" s="117">
        <f t="shared" si="9"/>
        <v>-2.300000000000324E-2</v>
      </c>
      <c r="L120" s="118">
        <f>VLOOKUP(B120,'All Menu'!B:G,6,0)</f>
        <v>3.4482758620689657</v>
      </c>
      <c r="M120" s="118">
        <f t="shared" si="10"/>
        <v>-2.3000000000004128E-3</v>
      </c>
      <c r="N120" s="151">
        <f ca="1">VLOOKUP(B120,'All Menu'!B:H,7,0)</f>
        <v>66</v>
      </c>
    </row>
    <row r="121" spans="1:14" s="151" customFormat="1" ht="14.5">
      <c r="A121" s="266" t="s">
        <v>2015</v>
      </c>
      <c r="B121" s="168" t="s">
        <v>987</v>
      </c>
      <c r="C121" s="151" t="s">
        <v>1353</v>
      </c>
      <c r="D121" s="115" t="str">
        <f>VLOOKUP(B121,'All Menu'!B:D,3,0)</f>
        <v>الوجبات اليومية سفري</v>
      </c>
      <c r="E121" s="116">
        <f t="shared" si="7"/>
        <v>2.5794653235180163</v>
      </c>
      <c r="F121" s="155">
        <v>89</v>
      </c>
      <c r="G121" s="152">
        <v>229.57241379310346</v>
      </c>
      <c r="H121" s="115">
        <f>VLOOKUP(B121,'All Menu'!B:J,9,0)</f>
        <v>1.54633723868066</v>
      </c>
      <c r="I121" s="120">
        <f>VLOOKUP(B121,'All Menu'!B:M,12,0)</f>
        <v>0.40208293437681147</v>
      </c>
      <c r="J121" s="114">
        <f t="shared" si="8"/>
        <v>230.17241379310346</v>
      </c>
      <c r="K121" s="117">
        <f t="shared" si="9"/>
        <v>-0.59999999999999432</v>
      </c>
      <c r="L121" s="118">
        <f>VLOOKUP(B121,'All Menu'!B:G,6,0)</f>
        <v>2.5862068965517242</v>
      </c>
      <c r="M121" s="118">
        <f t="shared" si="10"/>
        <v>-6.741573033707926E-3</v>
      </c>
      <c r="N121" s="151">
        <f ca="1">VLOOKUP(B121,'All Menu'!B:H,7,0)</f>
        <v>449.68010000000004</v>
      </c>
    </row>
    <row r="122" spans="1:14" s="151" customFormat="1" ht="14.5">
      <c r="A122" s="266" t="s">
        <v>2015</v>
      </c>
      <c r="B122" s="168" t="s">
        <v>988</v>
      </c>
      <c r="C122" s="151" t="s">
        <v>555</v>
      </c>
      <c r="D122" s="115" t="str">
        <f>VLOOKUP(B122,'All Menu'!B:D,3,0)</f>
        <v>الوجبات اليومية سفري</v>
      </c>
      <c r="E122" s="116">
        <f t="shared" si="7"/>
        <v>2.5737402298850571</v>
      </c>
      <c r="F122" s="155">
        <v>75</v>
      </c>
      <c r="G122" s="152">
        <v>193.0305172413793</v>
      </c>
      <c r="H122" s="115">
        <f>VLOOKUP(B122,'All Menu'!B:J,9,0)</f>
        <v>1.7098010721424013</v>
      </c>
      <c r="I122" s="120">
        <f>VLOOKUP(B122,'All Menu'!B:M,12,0)</f>
        <v>0.33887691877160486</v>
      </c>
      <c r="J122" s="114">
        <f t="shared" si="8"/>
        <v>193.9655172413793</v>
      </c>
      <c r="K122" s="117">
        <f t="shared" si="9"/>
        <v>-0.93500000000000227</v>
      </c>
      <c r="L122" s="118">
        <f>VLOOKUP(B122,'All Menu'!B:G,6,0)</f>
        <v>2.5862068965517242</v>
      </c>
      <c r="M122" s="118">
        <f t="shared" si="10"/>
        <v>-1.246666666666707E-2</v>
      </c>
      <c r="N122" s="151">
        <f ca="1">VLOOKUP(B122,'All Menu'!B:H,7,0)</f>
        <v>355.00099999999998</v>
      </c>
    </row>
    <row r="123" spans="1:14" s="151" customFormat="1" ht="14.5">
      <c r="A123" s="266" t="s">
        <v>2015</v>
      </c>
      <c r="B123" s="168" t="s">
        <v>994</v>
      </c>
      <c r="C123" s="151" t="s">
        <v>1333</v>
      </c>
      <c r="D123" s="115" t="str">
        <f>VLOOKUP(B123,'All Menu'!B:D,3,0)</f>
        <v>الوجبات اليومية سفري</v>
      </c>
      <c r="E123" s="116">
        <f t="shared" si="7"/>
        <v>2.5862068965517242</v>
      </c>
      <c r="F123" s="155">
        <v>1</v>
      </c>
      <c r="G123" s="152">
        <v>2.5862068965517242</v>
      </c>
      <c r="H123" s="115">
        <f>VLOOKUP(B123,'All Menu'!B:J,9,0)</f>
        <v>1.4196795810467109</v>
      </c>
      <c r="I123" s="120">
        <f>VLOOKUP(B123,'All Menu'!B:M,12,0)</f>
        <v>0.45105722866193848</v>
      </c>
      <c r="J123" s="114">
        <f t="shared" si="8"/>
        <v>2.5862068965517242</v>
      </c>
      <c r="K123" s="117">
        <f t="shared" si="9"/>
        <v>0</v>
      </c>
      <c r="L123" s="118">
        <f>VLOOKUP(B123,'All Menu'!B:G,6,0)</f>
        <v>2.5862068965517242</v>
      </c>
      <c r="M123" s="118">
        <f t="shared" si="10"/>
        <v>0</v>
      </c>
      <c r="N123" s="151">
        <f ca="1">VLOOKUP(B123,'All Menu'!B:H,7,0)</f>
        <v>18</v>
      </c>
    </row>
    <row r="124" spans="1:14" s="151" customFormat="1" ht="14.5">
      <c r="A124" s="266" t="s">
        <v>2015</v>
      </c>
      <c r="B124" s="168" t="s">
        <v>1002</v>
      </c>
      <c r="C124" s="151" t="s">
        <v>1460</v>
      </c>
      <c r="D124" s="115" t="str">
        <f>VLOOKUP(B124,'All Menu'!B:D,3,0)</f>
        <v>الوجبات اليومية سفري</v>
      </c>
      <c r="E124" s="116">
        <f t="shared" si="7"/>
        <v>3.4466330049261087</v>
      </c>
      <c r="F124" s="155">
        <v>14</v>
      </c>
      <c r="G124" s="152">
        <v>48.25286206896552</v>
      </c>
      <c r="H124" s="115">
        <f>VLOOKUP(B124,'All Menu'!B:J,9,0)</f>
        <v>2.6462827183908053</v>
      </c>
      <c r="I124" s="120">
        <f>VLOOKUP(B124,'All Menu'!B:M,12,0)</f>
        <v>0.2325780116666665</v>
      </c>
      <c r="J124" s="114">
        <f t="shared" si="8"/>
        <v>48.275862068965523</v>
      </c>
      <c r="K124" s="117">
        <f t="shared" si="9"/>
        <v>-2.300000000000324E-2</v>
      </c>
      <c r="L124" s="118">
        <f>VLOOKUP(B124,'All Menu'!B:G,6,0)</f>
        <v>3.4482758620689657</v>
      </c>
      <c r="M124" s="118">
        <f t="shared" si="10"/>
        <v>-1.6428571428570571E-3</v>
      </c>
      <c r="N124" s="151">
        <f ca="1">VLOOKUP(B124,'All Menu'!B:H,7,0)</f>
        <v>18</v>
      </c>
    </row>
    <row r="125" spans="1:14" s="151" customFormat="1" ht="14.5">
      <c r="A125" s="266" t="s">
        <v>2015</v>
      </c>
      <c r="B125" s="168" t="s">
        <v>1008</v>
      </c>
      <c r="C125" s="151" t="s">
        <v>1461</v>
      </c>
      <c r="D125" s="115" t="str">
        <f>VLOOKUP(B125,'All Menu'!B:D,3,0)</f>
        <v>الوجبات اليومية سفري</v>
      </c>
      <c r="E125" s="116">
        <f t="shared" si="7"/>
        <v>2.5862068965517242</v>
      </c>
      <c r="F125" s="155">
        <v>6</v>
      </c>
      <c r="G125" s="152">
        <v>15.517241379310345</v>
      </c>
      <c r="H125" s="115">
        <f>VLOOKUP(B125,'All Menu'!B:J,9,0)</f>
        <v>1.8114892697343898</v>
      </c>
      <c r="I125" s="120">
        <f>VLOOKUP(B125,'All Menu'!B:M,12,0)</f>
        <v>0.2995574823693693</v>
      </c>
      <c r="J125" s="114">
        <f t="shared" si="8"/>
        <v>15.517241379310345</v>
      </c>
      <c r="K125" s="117">
        <f t="shared" si="9"/>
        <v>0</v>
      </c>
      <c r="L125" s="118">
        <f>VLOOKUP(B125,'All Menu'!B:G,6,0)</f>
        <v>2.5862068965517242</v>
      </c>
      <c r="M125" s="118">
        <f t="shared" si="10"/>
        <v>0</v>
      </c>
      <c r="N125" s="151">
        <f ca="1">VLOOKUP(B125,'All Menu'!B:H,7,0)</f>
        <v>50</v>
      </c>
    </row>
    <row r="126" spans="1:14" s="151" customFormat="1" ht="14.5">
      <c r="A126" s="266" t="s">
        <v>2015</v>
      </c>
      <c r="B126" s="168" t="s">
        <v>1027</v>
      </c>
      <c r="C126" s="151" t="s">
        <v>1462</v>
      </c>
      <c r="D126" s="115" t="str">
        <f>VLOOKUP(B126,'All Menu'!B:D,3,0)</f>
        <v>الوجبات اليومية سفري</v>
      </c>
      <c r="E126" s="116">
        <f t="shared" si="7"/>
        <v>4.2325266457680248</v>
      </c>
      <c r="F126" s="155">
        <v>11</v>
      </c>
      <c r="G126" s="152">
        <v>46.557793103448276</v>
      </c>
      <c r="H126" s="115">
        <f>VLOOKUP(B126,'All Menu'!B:J,9,0)</f>
        <v>4.4403028079022997</v>
      </c>
      <c r="I126" s="120">
        <f>VLOOKUP(B126,'All Menu'!B:M,12,0)</f>
        <v>-3.0150251433333435E-2</v>
      </c>
      <c r="J126" s="114">
        <f t="shared" si="8"/>
        <v>47.413793103448278</v>
      </c>
      <c r="K126" s="117">
        <f t="shared" si="9"/>
        <v>-0.85600000000000165</v>
      </c>
      <c r="L126" s="118">
        <f>VLOOKUP(B126,'All Menu'!B:G,6,0)</f>
        <v>4.3103448275862073</v>
      </c>
      <c r="M126" s="118">
        <f t="shared" si="10"/>
        <v>-7.7818181818182453E-2</v>
      </c>
      <c r="N126" s="151">
        <f ca="1">VLOOKUP(B126,'All Menu'!B:H,7,0)</f>
        <v>27</v>
      </c>
    </row>
    <row r="127" spans="1:14" s="151" customFormat="1" ht="14.5">
      <c r="A127" s="266" t="s">
        <v>2015</v>
      </c>
      <c r="B127" s="168" t="s">
        <v>1099</v>
      </c>
      <c r="C127" s="151" t="s">
        <v>1338</v>
      </c>
      <c r="D127" s="115" t="str">
        <f>VLOOKUP(B127,'All Menu'!B:D,3,0)</f>
        <v>الوجبات اليومية سفري</v>
      </c>
      <c r="E127" s="116">
        <f t="shared" si="7"/>
        <v>3.4471258620689662</v>
      </c>
      <c r="F127" s="155">
        <v>20</v>
      </c>
      <c r="G127" s="152">
        <v>68.942517241379321</v>
      </c>
      <c r="H127" s="115">
        <f>VLOOKUP(B127,'All Menu'!B:J,9,0)</f>
        <v>1.3523687902456958</v>
      </c>
      <c r="I127" s="120">
        <f>VLOOKUP(B127,'All Menu'!B:M,12,0)</f>
        <v>0.60781305082874826</v>
      </c>
      <c r="J127" s="114">
        <f t="shared" si="8"/>
        <v>68.965517241379317</v>
      </c>
      <c r="K127" s="117">
        <f t="shared" si="9"/>
        <v>-2.2999999999996135E-2</v>
      </c>
      <c r="L127" s="118">
        <f>VLOOKUP(B127,'All Menu'!B:G,6,0)</f>
        <v>3.4482758620689657</v>
      </c>
      <c r="M127" s="118">
        <f t="shared" si="10"/>
        <v>-1.1499999999995403E-3</v>
      </c>
      <c r="N127" s="151">
        <f ca="1">VLOOKUP(B127,'All Menu'!B:H,7,0)</f>
        <v>49</v>
      </c>
    </row>
    <row r="128" spans="1:14" s="151" customFormat="1" ht="14.5">
      <c r="A128" s="266" t="s">
        <v>2015</v>
      </c>
      <c r="B128" s="168" t="s">
        <v>989</v>
      </c>
      <c r="C128" s="151" t="s">
        <v>1339</v>
      </c>
      <c r="D128" s="115" t="str">
        <f>VLOOKUP(B128,'All Menu'!B:D,3,0)</f>
        <v>الوجبات اليومية سفري</v>
      </c>
      <c r="E128" s="116">
        <f t="shared" si="7"/>
        <v>2.5862068965517242</v>
      </c>
      <c r="F128" s="155">
        <v>22</v>
      </c>
      <c r="G128" s="152">
        <v>56.896551724137936</v>
      </c>
      <c r="H128" s="115">
        <f>VLOOKUP(B128,'All Menu'!B:J,9,0)</f>
        <v>1.4352292934865902</v>
      </c>
      <c r="I128" s="120">
        <f>VLOOKUP(B128,'All Menu'!B:M,12,0)</f>
        <v>0.44504467318518515</v>
      </c>
      <c r="J128" s="114">
        <f t="shared" si="8"/>
        <v>56.896551724137936</v>
      </c>
      <c r="K128" s="117">
        <f t="shared" si="9"/>
        <v>0</v>
      </c>
      <c r="L128" s="118">
        <f>VLOOKUP(B128,'All Menu'!B:G,6,0)</f>
        <v>2.5862068965517242</v>
      </c>
      <c r="M128" s="118">
        <f t="shared" si="10"/>
        <v>0</v>
      </c>
      <c r="N128" s="151">
        <f ca="1">VLOOKUP(B128,'All Menu'!B:H,7,0)</f>
        <v>38</v>
      </c>
    </row>
    <row r="129" spans="1:14" s="151" customFormat="1" ht="14.5">
      <c r="A129" s="266" t="s">
        <v>2015</v>
      </c>
      <c r="B129" s="168" t="s">
        <v>1004</v>
      </c>
      <c r="C129" s="151" t="s">
        <v>651</v>
      </c>
      <c r="D129" s="115" t="str">
        <f>VLOOKUP(B129,'All Menu'!B:D,3,0)</f>
        <v>الوجبات اليومية سفري</v>
      </c>
      <c r="E129" s="116">
        <f t="shared" ref="E129:E192" si="11">G129/F129</f>
        <v>3.4482758620689657</v>
      </c>
      <c r="F129" s="155">
        <v>4</v>
      </c>
      <c r="G129" s="152">
        <v>13.793103448275863</v>
      </c>
      <c r="H129" s="115">
        <f>VLOOKUP(B129,'All Menu'!B:J,9,0)</f>
        <v>1.7860472019766636</v>
      </c>
      <c r="I129" s="120">
        <f>VLOOKUP(B129,'All Menu'!B:M,12,0)</f>
        <v>0.48204631142676763</v>
      </c>
      <c r="J129" s="114">
        <f t="shared" si="8"/>
        <v>13.793103448275863</v>
      </c>
      <c r="K129" s="117">
        <f t="shared" si="9"/>
        <v>0</v>
      </c>
      <c r="L129" s="118">
        <f>VLOOKUP(B129,'All Menu'!B:G,6,0)</f>
        <v>3.4482758620689657</v>
      </c>
      <c r="M129" s="118">
        <f t="shared" si="10"/>
        <v>0</v>
      </c>
      <c r="N129" s="151">
        <f ca="1">VLOOKUP(B129,'All Menu'!B:H,7,0)</f>
        <v>25</v>
      </c>
    </row>
    <row r="130" spans="1:14" s="151" customFormat="1" ht="14.5">
      <c r="A130" s="266" t="s">
        <v>2015</v>
      </c>
      <c r="B130" s="168" t="s">
        <v>1009</v>
      </c>
      <c r="C130" s="151" t="s">
        <v>1340</v>
      </c>
      <c r="D130" s="115" t="str">
        <f>VLOOKUP(B130,'All Menu'!B:D,3,0)</f>
        <v>الوجبات اليومية سفري</v>
      </c>
      <c r="E130" s="116">
        <f t="shared" si="11"/>
        <v>3.4482758620689657</v>
      </c>
      <c r="F130" s="155">
        <v>3</v>
      </c>
      <c r="G130" s="152">
        <v>10.344827586206897</v>
      </c>
      <c r="H130" s="115">
        <f>VLOOKUP(B130,'All Menu'!B:J,9,0)</f>
        <v>1.8122227068343535</v>
      </c>
      <c r="I130" s="120">
        <f>VLOOKUP(B130,'All Menu'!B:M,12,0)</f>
        <v>0.47445541501803751</v>
      </c>
      <c r="J130" s="114">
        <f t="shared" si="8"/>
        <v>10.344827586206897</v>
      </c>
      <c r="K130" s="117">
        <f t="shared" si="9"/>
        <v>0</v>
      </c>
      <c r="L130" s="118">
        <f>VLOOKUP(B130,'All Menu'!B:G,6,0)</f>
        <v>3.4482758620689657</v>
      </c>
      <c r="M130" s="118">
        <f t="shared" si="10"/>
        <v>0</v>
      </c>
      <c r="N130" s="151">
        <f ca="1">VLOOKUP(B130,'All Menu'!B:H,7,0)</f>
        <v>46.25</v>
      </c>
    </row>
    <row r="131" spans="1:14" s="151" customFormat="1" ht="14.5">
      <c r="A131" s="266" t="s">
        <v>2015</v>
      </c>
      <c r="B131" s="168" t="s">
        <v>1071</v>
      </c>
      <c r="C131" s="151" t="s">
        <v>1341</v>
      </c>
      <c r="D131" s="115" t="str">
        <f>VLOOKUP(B131,'All Menu'!B:D,3,0)</f>
        <v>الوجبات اليومية سفري</v>
      </c>
      <c r="E131" s="116">
        <f t="shared" si="11"/>
        <v>3.2182758620689658</v>
      </c>
      <c r="F131" s="155">
        <v>2</v>
      </c>
      <c r="G131" s="152">
        <v>6.4365517241379315</v>
      </c>
      <c r="H131" s="115">
        <f>VLOOKUP(B131,'All Menu'!B:J,9,0)</f>
        <v>1.873932684539781</v>
      </c>
      <c r="I131" s="120">
        <f>VLOOKUP(B131,'All Menu'!B:M,12,0)</f>
        <v>0.45655952148346352</v>
      </c>
      <c r="J131" s="114">
        <f t="shared" si="8"/>
        <v>6.8965517241379315</v>
      </c>
      <c r="K131" s="117">
        <f t="shared" si="9"/>
        <v>-0.45999999999999996</v>
      </c>
      <c r="L131" s="118">
        <f>VLOOKUP(B131,'All Menu'!B:G,6,0)</f>
        <v>3.4482758620689657</v>
      </c>
      <c r="M131" s="118">
        <f t="shared" si="10"/>
        <v>-0.22999999999999998</v>
      </c>
      <c r="N131" s="151">
        <f ca="1">VLOOKUP(B131,'All Menu'!B:H,7,0)</f>
        <v>52.008099999999999</v>
      </c>
    </row>
    <row r="132" spans="1:14" s="151" customFormat="1" ht="14.5">
      <c r="A132" s="266" t="s">
        <v>2015</v>
      </c>
      <c r="B132" s="168" t="s">
        <v>1005</v>
      </c>
      <c r="C132" s="151" t="s">
        <v>1342</v>
      </c>
      <c r="D132" s="115" t="str">
        <f>VLOOKUP(B132,'All Menu'!B:D,3,0)</f>
        <v>الوجبات اليومية سفري</v>
      </c>
      <c r="E132" s="116">
        <f t="shared" si="11"/>
        <v>3.4482758620689657</v>
      </c>
      <c r="F132" s="155">
        <v>13</v>
      </c>
      <c r="G132" s="152">
        <v>44.827586206896555</v>
      </c>
      <c r="H132" s="115">
        <f>VLOOKUP(B132,'All Menu'!B:J,9,0)</f>
        <v>1.6030531260831127</v>
      </c>
      <c r="I132" s="120">
        <f>VLOOKUP(B132,'All Menu'!B:M,12,0)</f>
        <v>0.5351145934358974</v>
      </c>
      <c r="J132" s="114">
        <f t="shared" si="8"/>
        <v>44.827586206896555</v>
      </c>
      <c r="K132" s="117">
        <f t="shared" si="9"/>
        <v>0</v>
      </c>
      <c r="L132" s="118">
        <f>VLOOKUP(B132,'All Menu'!B:G,6,0)</f>
        <v>3.4482758620689657</v>
      </c>
      <c r="M132" s="118">
        <f t="shared" si="10"/>
        <v>0</v>
      </c>
      <c r="N132" s="151">
        <f ca="1">VLOOKUP(B132,'All Menu'!B:H,7,0)</f>
        <v>60</v>
      </c>
    </row>
    <row r="133" spans="1:14" s="151" customFormat="1" ht="14.5">
      <c r="A133" s="266" t="s">
        <v>2015</v>
      </c>
      <c r="B133" s="168" t="s">
        <v>998</v>
      </c>
      <c r="C133" s="151" t="s">
        <v>1343</v>
      </c>
      <c r="D133" s="115" t="str">
        <f>VLOOKUP(B133,'All Menu'!B:D,3,0)</f>
        <v>الوجبات اليومية سفري</v>
      </c>
      <c r="E133" s="116">
        <f t="shared" si="11"/>
        <v>2.5054568965517241</v>
      </c>
      <c r="F133" s="155">
        <v>4</v>
      </c>
      <c r="G133" s="152">
        <v>10.021827586206896</v>
      </c>
      <c r="H133" s="115">
        <f>VLOOKUP(B133,'All Menu'!B:J,9,0)</f>
        <v>1.4302334633860154</v>
      </c>
      <c r="I133" s="120">
        <f>VLOOKUP(B133,'All Menu'!B:M,12,0)</f>
        <v>0.44697639415740736</v>
      </c>
      <c r="J133" s="114">
        <f t="shared" si="8"/>
        <v>10.344827586206897</v>
      </c>
      <c r="K133" s="117">
        <f t="shared" si="9"/>
        <v>-0.3230000000000004</v>
      </c>
      <c r="L133" s="118">
        <f>VLOOKUP(B133,'All Menu'!B:G,6,0)</f>
        <v>2.5862068965517242</v>
      </c>
      <c r="M133" s="118">
        <f t="shared" si="10"/>
        <v>-8.0750000000000099E-2</v>
      </c>
      <c r="N133" s="151">
        <f ca="1">VLOOKUP(B133,'All Menu'!B:H,7,0)</f>
        <v>21</v>
      </c>
    </row>
    <row r="134" spans="1:14" s="151" customFormat="1" ht="14.5">
      <c r="A134" s="266" t="s">
        <v>2015</v>
      </c>
      <c r="B134" s="168" t="s">
        <v>1000</v>
      </c>
      <c r="C134" s="151" t="s">
        <v>1463</v>
      </c>
      <c r="D134" s="115" t="str">
        <f>VLOOKUP(B134,'All Menu'!B:D,3,0)</f>
        <v>الوجبات اليومية سفري</v>
      </c>
      <c r="E134" s="116">
        <f t="shared" si="11"/>
        <v>3.4482758620689657</v>
      </c>
      <c r="F134" s="155">
        <v>3</v>
      </c>
      <c r="G134" s="152">
        <v>10.344827586206897</v>
      </c>
      <c r="H134" s="115">
        <f>VLOOKUP(B134,'All Menu'!B:J,9,0)</f>
        <v>1.6513425658655527</v>
      </c>
      <c r="I134" s="120">
        <f>VLOOKUP(B134,'All Menu'!B:M,12,0)</f>
        <v>0.52111065589898975</v>
      </c>
      <c r="J134" s="114">
        <f t="shared" si="8"/>
        <v>10.344827586206897</v>
      </c>
      <c r="K134" s="117">
        <f t="shared" si="9"/>
        <v>0</v>
      </c>
      <c r="L134" s="118">
        <f>VLOOKUP(B134,'All Menu'!B:G,6,0)</f>
        <v>3.4482758620689657</v>
      </c>
      <c r="M134" s="118">
        <f t="shared" si="10"/>
        <v>0</v>
      </c>
      <c r="N134" s="151">
        <f ca="1">VLOOKUP(B134,'All Menu'!B:H,7,0)</f>
        <v>38</v>
      </c>
    </row>
    <row r="135" spans="1:14" s="151" customFormat="1" ht="14.5">
      <c r="A135" s="266" t="s">
        <v>2015</v>
      </c>
      <c r="B135" s="168" t="s">
        <v>1072</v>
      </c>
      <c r="C135" s="151" t="s">
        <v>1464</v>
      </c>
      <c r="D135" s="115" t="str">
        <f>VLOOKUP(B135,'All Menu'!B:D,3,0)</f>
        <v>الوجبات اليومية سفري</v>
      </c>
      <c r="E135" s="116">
        <f t="shared" si="11"/>
        <v>3.4482758620689657</v>
      </c>
      <c r="F135" s="155">
        <v>18</v>
      </c>
      <c r="G135" s="152">
        <v>62.068965517241381</v>
      </c>
      <c r="H135" s="115">
        <f>VLOOKUP(B135,'All Menu'!B:J,9,0)</f>
        <v>1.0812876836433301</v>
      </c>
      <c r="I135" s="120">
        <f>VLOOKUP(B135,'All Menu'!B:M,12,0)</f>
        <v>0.68642657174343435</v>
      </c>
      <c r="J135" s="114">
        <f t="shared" si="8"/>
        <v>62.068965517241381</v>
      </c>
      <c r="K135" s="117">
        <f t="shared" si="9"/>
        <v>0</v>
      </c>
      <c r="L135" s="118">
        <f>VLOOKUP(B135,'All Menu'!B:G,6,0)</f>
        <v>3.4482758620689657</v>
      </c>
      <c r="M135" s="118">
        <f t="shared" si="10"/>
        <v>0</v>
      </c>
      <c r="N135" s="151">
        <f ca="1">VLOOKUP(B135,'All Menu'!B:H,7,0)</f>
        <v>67</v>
      </c>
    </row>
    <row r="136" spans="1:14" s="151" customFormat="1" ht="14.5">
      <c r="A136" s="266" t="s">
        <v>2015</v>
      </c>
      <c r="B136" s="168" t="s">
        <v>1023</v>
      </c>
      <c r="C136" s="151" t="s">
        <v>1355</v>
      </c>
      <c r="D136" s="115" t="str">
        <f>VLOOKUP(B136,'All Menu'!B:D,3,0)</f>
        <v>الوجبات اليومية سفري</v>
      </c>
      <c r="E136" s="116">
        <f t="shared" si="11"/>
        <v>1.2931034482758621</v>
      </c>
      <c r="F136" s="155">
        <v>40</v>
      </c>
      <c r="G136" s="152">
        <v>51.724137931034484</v>
      </c>
      <c r="H136" s="115">
        <f>VLOOKUP(B136,'All Menu'!B:J,9,0)</f>
        <v>0.7713331000000001</v>
      </c>
      <c r="I136" s="120">
        <f>VLOOKUP(B136,'All Menu'!B:M,12,0)</f>
        <v>0.40350240266666659</v>
      </c>
      <c r="J136" s="114">
        <f t="shared" si="8"/>
        <v>51.724137931034484</v>
      </c>
      <c r="K136" s="117">
        <f t="shared" si="9"/>
        <v>0</v>
      </c>
      <c r="L136" s="118">
        <f>VLOOKUP(B136,'All Menu'!B:G,6,0)</f>
        <v>1.2931034482758621</v>
      </c>
      <c r="M136" s="118">
        <f t="shared" si="10"/>
        <v>0</v>
      </c>
      <c r="N136" s="151">
        <f ca="1">VLOOKUP(B136,'All Menu'!B:H,7,0)</f>
        <v>195.5</v>
      </c>
    </row>
    <row r="137" spans="1:14" s="151" customFormat="1" ht="14.5">
      <c r="A137" s="266" t="s">
        <v>2015</v>
      </c>
      <c r="B137" s="168" t="s">
        <v>1022</v>
      </c>
      <c r="C137" s="151" t="s">
        <v>1465</v>
      </c>
      <c r="D137" s="115" t="str">
        <f>VLOOKUP(B137,'All Menu'!B:D,3,0)</f>
        <v>الوجبات اليومية سفري</v>
      </c>
      <c r="E137" s="116">
        <f t="shared" si="11"/>
        <v>0.86206896551724144</v>
      </c>
      <c r="F137" s="155">
        <v>27</v>
      </c>
      <c r="G137" s="152">
        <v>23.27586206896552</v>
      </c>
      <c r="H137" s="115">
        <f>VLOOKUP(B137,'All Menu'!B:J,9,0)</f>
        <v>0.46080630459770117</v>
      </c>
      <c r="I137" s="120">
        <f>VLOOKUP(B137,'All Menu'!B:M,12,0)</f>
        <v>0.46546468666666668</v>
      </c>
      <c r="J137" s="114">
        <f t="shared" si="8"/>
        <v>23.27586206896552</v>
      </c>
      <c r="K137" s="117">
        <f t="shared" si="9"/>
        <v>0</v>
      </c>
      <c r="L137" s="118">
        <f>VLOOKUP(B137,'All Menu'!B:G,6,0)</f>
        <v>0.86206896551724144</v>
      </c>
      <c r="M137" s="118">
        <f t="shared" si="10"/>
        <v>0</v>
      </c>
      <c r="N137" s="151">
        <f ca="1">VLOOKUP(B137,'All Menu'!B:H,7,0)</f>
        <v>246.75</v>
      </c>
    </row>
    <row r="138" spans="1:14" s="151" customFormat="1" ht="14.5">
      <c r="A138" s="266" t="s">
        <v>2015</v>
      </c>
      <c r="B138" s="168" t="s">
        <v>1026</v>
      </c>
      <c r="C138" s="151" t="s">
        <v>1466</v>
      </c>
      <c r="D138" s="115" t="str">
        <f>VLOOKUP(B138,'All Menu'!B:D,3,0)</f>
        <v>الوجبات اليومية سفري</v>
      </c>
      <c r="E138" s="116">
        <f t="shared" si="11"/>
        <v>1.2931034482758621</v>
      </c>
      <c r="F138" s="155">
        <v>23</v>
      </c>
      <c r="G138" s="152">
        <v>29.741379310344829</v>
      </c>
      <c r="H138" s="115">
        <f>VLOOKUP(B138,'All Menu'!B:J,9,0)</f>
        <v>0.42057486725663717</v>
      </c>
      <c r="I138" s="120">
        <f>VLOOKUP(B138,'All Menu'!B:M,12,0)</f>
        <v>0.67475543598820065</v>
      </c>
      <c r="J138" s="114">
        <f t="shared" si="8"/>
        <v>29.741379310344829</v>
      </c>
      <c r="K138" s="117">
        <f t="shared" si="9"/>
        <v>0</v>
      </c>
      <c r="L138" s="118">
        <f>VLOOKUP(B138,'All Menu'!B:G,6,0)</f>
        <v>1.2931034482758621</v>
      </c>
      <c r="M138" s="118">
        <f t="shared" si="10"/>
        <v>0</v>
      </c>
      <c r="N138" s="151">
        <f ca="1">VLOOKUP(B138,'All Menu'!B:H,7,0)</f>
        <v>109.90010000000001</v>
      </c>
    </row>
    <row r="139" spans="1:14" s="151" customFormat="1" ht="14.5">
      <c r="A139" s="266" t="s">
        <v>2015</v>
      </c>
      <c r="B139" s="168" t="s">
        <v>1070</v>
      </c>
      <c r="C139" s="151" t="s">
        <v>797</v>
      </c>
      <c r="D139" s="115" t="str">
        <f>VLOOKUP(B139,'All Menu'!B:D,3,0)</f>
        <v>الوجبات اليومية سفري</v>
      </c>
      <c r="E139" s="116">
        <f t="shared" si="11"/>
        <v>1.2914923371647511</v>
      </c>
      <c r="F139" s="155">
        <v>90</v>
      </c>
      <c r="G139" s="152">
        <v>116.23431034482759</v>
      </c>
      <c r="H139" s="115">
        <f>VLOOKUP(B139,'All Menu'!B:J,9,0)</f>
        <v>0.80777525143678153</v>
      </c>
      <c r="I139" s="120">
        <f>VLOOKUP(B139,'All Menu'!B:M,12,0)</f>
        <v>0.37532047222222231</v>
      </c>
      <c r="J139" s="114">
        <f t="shared" si="8"/>
        <v>116.37931034482759</v>
      </c>
      <c r="K139" s="117">
        <f t="shared" si="9"/>
        <v>-0.14499999999999602</v>
      </c>
      <c r="L139" s="118">
        <f>VLOOKUP(B139,'All Menu'!B:G,6,0)</f>
        <v>1.2931034482758621</v>
      </c>
      <c r="M139" s="118">
        <f t="shared" si="10"/>
        <v>-1.6111111111110077E-3</v>
      </c>
      <c r="N139" s="151">
        <f ca="1">VLOOKUP(B139,'All Menu'!B:H,7,0)</f>
        <v>294.01</v>
      </c>
    </row>
    <row r="140" spans="1:14" s="151" customFormat="1" ht="14.5">
      <c r="A140" s="266" t="s">
        <v>2015</v>
      </c>
      <c r="B140" s="168" t="s">
        <v>992</v>
      </c>
      <c r="C140" s="151" t="s">
        <v>1346</v>
      </c>
      <c r="D140" s="115" t="str">
        <f>VLOOKUP(B140,'All Menu'!B:D,3,0)</f>
        <v>الوجبات اليومية سفري</v>
      </c>
      <c r="E140" s="116">
        <f t="shared" si="11"/>
        <v>3.0172413793103452</v>
      </c>
      <c r="F140" s="155">
        <v>37</v>
      </c>
      <c r="G140" s="152">
        <v>111.63793103448278</v>
      </c>
      <c r="H140" s="115">
        <f>VLOOKUP(B140,'All Menu'!B:J,9,0)</f>
        <v>1.9395633214233041</v>
      </c>
      <c r="I140" s="120">
        <f>VLOOKUP(B140,'All Menu'!B:M,12,0)</f>
        <v>0.35717329918541929</v>
      </c>
      <c r="J140" s="114">
        <f t="shared" si="8"/>
        <v>111.63793103448278</v>
      </c>
      <c r="K140" s="117">
        <f t="shared" si="9"/>
        <v>0</v>
      </c>
      <c r="L140" s="118">
        <f>VLOOKUP(B140,'All Menu'!B:G,6,0)</f>
        <v>3.0172413793103452</v>
      </c>
      <c r="M140" s="118">
        <f t="shared" si="10"/>
        <v>0</v>
      </c>
      <c r="N140" s="151">
        <f ca="1">VLOOKUP(B140,'All Menu'!B:H,7,0)</f>
        <v>148.01</v>
      </c>
    </row>
    <row r="141" spans="1:14" s="151" customFormat="1" ht="14.5">
      <c r="A141" s="266" t="s">
        <v>2015</v>
      </c>
      <c r="B141" s="168" t="s">
        <v>1025</v>
      </c>
      <c r="C141" s="151" t="s">
        <v>1467</v>
      </c>
      <c r="D141" s="115" t="str">
        <f>VLOOKUP(B141,'All Menu'!B:D,3,0)</f>
        <v>الوجبات اليومية سفري</v>
      </c>
      <c r="E141" s="116">
        <f t="shared" si="11"/>
        <v>5.1724137931034484</v>
      </c>
      <c r="F141" s="155">
        <v>11</v>
      </c>
      <c r="G141" s="152">
        <v>56.896551724137936</v>
      </c>
      <c r="H141" s="115">
        <f>VLOOKUP(B141,'All Menu'!B:J,9,0)</f>
        <v>4.0654226055971554</v>
      </c>
      <c r="I141" s="120">
        <f>VLOOKUP(B141,'All Menu'!B:M,12,0)</f>
        <v>0.21401829625121663</v>
      </c>
      <c r="J141" s="114">
        <f t="shared" si="8"/>
        <v>56.896551724137936</v>
      </c>
      <c r="K141" s="117">
        <f t="shared" si="9"/>
        <v>0</v>
      </c>
      <c r="L141" s="118">
        <f>VLOOKUP(B141,'All Menu'!B:G,6,0)</f>
        <v>5.1724137931034484</v>
      </c>
      <c r="M141" s="118">
        <f t="shared" si="10"/>
        <v>0</v>
      </c>
      <c r="N141" s="151">
        <f ca="1">VLOOKUP(B141,'All Menu'!B:H,7,0)</f>
        <v>36.251000000000005</v>
      </c>
    </row>
    <row r="142" spans="1:14" s="151" customFormat="1" ht="14.5">
      <c r="A142" s="266" t="s">
        <v>2015</v>
      </c>
      <c r="B142" s="168" t="s">
        <v>1167</v>
      </c>
      <c r="C142" s="151" t="s">
        <v>1337</v>
      </c>
      <c r="D142" s="115" t="str">
        <f>VLOOKUP(B142,'All Menu'!B:D,3,0)</f>
        <v>الوجبات اليومية سفري</v>
      </c>
      <c r="E142" s="116">
        <f t="shared" si="11"/>
        <v>3.4365485893416934</v>
      </c>
      <c r="F142" s="155">
        <v>11</v>
      </c>
      <c r="G142" s="152">
        <v>37.802034482758629</v>
      </c>
      <c r="H142" s="115">
        <f>VLOOKUP(B142,'All Menu'!B:J,9,0)</f>
        <v>2.4372080066786665</v>
      </c>
      <c r="I142" s="120">
        <f>VLOOKUP(B142,'All Menu'!B:M,12,0)</f>
        <v>0.29320967806318676</v>
      </c>
      <c r="J142" s="114">
        <f t="shared" si="8"/>
        <v>37.931034482758626</v>
      </c>
      <c r="K142" s="117">
        <f t="shared" si="9"/>
        <v>-0.12899999999999778</v>
      </c>
      <c r="L142" s="118">
        <f>VLOOKUP(B142,'All Menu'!B:G,6,0)</f>
        <v>3.4482758620689657</v>
      </c>
      <c r="M142" s="118">
        <f t="shared" si="10"/>
        <v>-1.1727272727272364E-2</v>
      </c>
      <c r="N142" s="151">
        <f ca="1">VLOOKUP(B142,'All Menu'!B:H,7,0)</f>
        <v>78</v>
      </c>
    </row>
    <row r="143" spans="1:14" s="151" customFormat="1" ht="14.5">
      <c r="A143" s="266" t="s">
        <v>2015</v>
      </c>
      <c r="B143" s="168" t="s">
        <v>1028</v>
      </c>
      <c r="C143" s="151" t="s">
        <v>1335</v>
      </c>
      <c r="D143" s="115" t="str">
        <f>VLOOKUP(B143,'All Menu'!B:D,3,0)</f>
        <v>الوجبات اليومية سفري</v>
      </c>
      <c r="E143" s="116">
        <f t="shared" si="11"/>
        <v>2.8017241379310343</v>
      </c>
      <c r="F143" s="155">
        <v>6</v>
      </c>
      <c r="G143" s="152">
        <v>16.810344827586206</v>
      </c>
      <c r="H143" s="115">
        <f>VLOOKUP(B143,'All Menu'!B:J,9,0)</f>
        <v>1.6974376402298856</v>
      </c>
      <c r="I143" s="120">
        <f>VLOOKUP(B143,'All Menu'!B:M,12,0)</f>
        <v>0.39414533456410239</v>
      </c>
      <c r="J143" s="114">
        <f t="shared" si="8"/>
        <v>16.810344827586206</v>
      </c>
      <c r="K143" s="117">
        <f t="shared" si="9"/>
        <v>0</v>
      </c>
      <c r="L143" s="118">
        <f>VLOOKUP(B143,'All Menu'!B:G,6,0)</f>
        <v>2.8017241379310347</v>
      </c>
      <c r="M143" s="118">
        <f t="shared" si="10"/>
        <v>0</v>
      </c>
      <c r="N143" s="151">
        <f ca="1">VLOOKUP(B143,'All Menu'!B:H,7,0)</f>
        <v>37</v>
      </c>
    </row>
    <row r="144" spans="1:14" s="151" customFormat="1" ht="14.5">
      <c r="A144" s="266" t="s">
        <v>2015</v>
      </c>
      <c r="B144" s="168" t="s">
        <v>1155</v>
      </c>
      <c r="C144" s="151" t="s">
        <v>1361</v>
      </c>
      <c r="D144" s="115" t="str">
        <f>VLOOKUP(B144,'All Menu'!B:D,3,0)</f>
        <v>الوجبات اليومية سفري</v>
      </c>
      <c r="E144" s="116">
        <f t="shared" si="11"/>
        <v>3.4482758620689657</v>
      </c>
      <c r="F144" s="155">
        <v>1</v>
      </c>
      <c r="G144" s="152">
        <v>3.4482758620689657</v>
      </c>
      <c r="H144" s="115">
        <f>VLOOKUP(B144,'All Menu'!B:J,9,0)</f>
        <v>1.6677253566004877</v>
      </c>
      <c r="I144" s="120">
        <f>VLOOKUP(B144,'All Menu'!B:M,12,0)</f>
        <v>0.51635964658585864</v>
      </c>
      <c r="J144" s="114">
        <f t="shared" si="8"/>
        <v>3.4482758620689657</v>
      </c>
      <c r="K144" s="117">
        <f t="shared" si="9"/>
        <v>0</v>
      </c>
      <c r="L144" s="118">
        <f>VLOOKUP(B144,'All Menu'!B:G,6,0)</f>
        <v>3.4482758620689657</v>
      </c>
      <c r="M144" s="118">
        <f t="shared" si="10"/>
        <v>0</v>
      </c>
      <c r="N144" s="151">
        <f ca="1">VLOOKUP(B144,'All Menu'!B:H,7,0)</f>
        <v>18</v>
      </c>
    </row>
    <row r="145" spans="1:14" s="151" customFormat="1" ht="14.5">
      <c r="A145" s="266" t="s">
        <v>2015</v>
      </c>
      <c r="B145" s="168" t="s">
        <v>1131</v>
      </c>
      <c r="C145" s="151" t="s">
        <v>1468</v>
      </c>
      <c r="D145" s="115" t="str">
        <f>VLOOKUP(B145,'All Menu'!B:D,3,0)</f>
        <v>الوجبات اليومية سفري</v>
      </c>
      <c r="E145" s="116">
        <f t="shared" si="11"/>
        <v>6.0344827586206904</v>
      </c>
      <c r="F145" s="155">
        <v>4</v>
      </c>
      <c r="G145" s="152">
        <v>24.137931034482762</v>
      </c>
      <c r="H145" s="115">
        <f>VLOOKUP(B145,'All Menu'!B:J,9,0)</f>
        <v>1.336207525036065</v>
      </c>
      <c r="I145" s="120">
        <f>VLOOKUP(B145,'All Menu'!B:M,12,0)</f>
        <v>0.77857132442259491</v>
      </c>
      <c r="J145" s="114">
        <f t="shared" si="8"/>
        <v>24.137931034482762</v>
      </c>
      <c r="K145" s="117">
        <f t="shared" si="9"/>
        <v>0</v>
      </c>
      <c r="L145" s="118">
        <f>VLOOKUP(B145,'All Menu'!B:G,6,0)</f>
        <v>6.0344827586206904</v>
      </c>
      <c r="M145" s="118">
        <f t="shared" si="10"/>
        <v>0</v>
      </c>
      <c r="N145" s="151">
        <f ca="1">VLOOKUP(B145,'All Menu'!B:H,7,0)</f>
        <v>6.0009999999999994</v>
      </c>
    </row>
    <row r="146" spans="1:14" s="151" customFormat="1" ht="14.5">
      <c r="A146" s="266" t="s">
        <v>2015</v>
      </c>
      <c r="B146" s="168" t="s">
        <v>1470</v>
      </c>
      <c r="C146" s="151" t="s">
        <v>1471</v>
      </c>
      <c r="D146" s="115" t="str">
        <f>VLOOKUP(B146,'All Menu'!B:D,3,0)</f>
        <v>الوجبات اليومية سفري</v>
      </c>
      <c r="E146" s="116">
        <f t="shared" si="11"/>
        <v>0.2145778474399164</v>
      </c>
      <c r="F146" s="155">
        <v>165</v>
      </c>
      <c r="G146" s="152">
        <v>35.405344827586205</v>
      </c>
      <c r="H146" s="115">
        <f>VLOOKUP(B146,'All Menu'!B:J,9,0)</f>
        <v>0</v>
      </c>
      <c r="I146" s="120">
        <f>VLOOKUP(B146,'All Menu'!B:M,12,0)</f>
        <v>1</v>
      </c>
      <c r="J146" s="114">
        <f t="shared" si="8"/>
        <v>35.560344827586206</v>
      </c>
      <c r="K146" s="117">
        <f t="shared" si="9"/>
        <v>-0.15500000000000114</v>
      </c>
      <c r="L146" s="118">
        <f>VLOOKUP(B146,'All Menu'!B:G,6,0)</f>
        <v>0.21551724137931036</v>
      </c>
      <c r="M146" s="118">
        <f t="shared" si="10"/>
        <v>-9.393939393939621E-4</v>
      </c>
      <c r="N146" s="151">
        <f ca="1">VLOOKUP(B146,'All Menu'!B:H,7,0)</f>
        <v>705.00199999999995</v>
      </c>
    </row>
    <row r="147" spans="1:14" s="151" customFormat="1" ht="14.5">
      <c r="A147" s="266" t="s">
        <v>2015</v>
      </c>
      <c r="B147" s="168" t="s">
        <v>1198</v>
      </c>
      <c r="C147" s="151" t="s">
        <v>1474</v>
      </c>
      <c r="D147" s="115" t="str">
        <f>VLOOKUP(B147,'All Menu'!B:D,3,0)</f>
        <v>الوجبات اليومية سفري2</v>
      </c>
      <c r="E147" s="116">
        <f t="shared" si="11"/>
        <v>5.0900197044334972</v>
      </c>
      <c r="F147" s="155">
        <v>7</v>
      </c>
      <c r="G147" s="152">
        <v>35.630137931034483</v>
      </c>
      <c r="H147" s="115">
        <f>VLOOKUP(B147,'All Menu'!B:J,9,0)</f>
        <v>3.1462601484907435</v>
      </c>
      <c r="I147" s="120">
        <f>VLOOKUP(B147,'All Menu'!B:M,12,0)</f>
        <v>0.4385135735001135</v>
      </c>
      <c r="J147" s="114">
        <f t="shared" si="8"/>
        <v>39.224137931034484</v>
      </c>
      <c r="K147" s="117">
        <f t="shared" si="9"/>
        <v>-3.5940000000000012</v>
      </c>
      <c r="L147" s="118">
        <f>VLOOKUP(B147,'All Menu'!B:G,6,0)</f>
        <v>5.6034482758620694</v>
      </c>
      <c r="M147" s="118">
        <f t="shared" si="10"/>
        <v>-0.51342857142857223</v>
      </c>
      <c r="N147" s="151">
        <f ca="1">VLOOKUP(B147,'All Menu'!B:H,7,0)</f>
        <v>45</v>
      </c>
    </row>
    <row r="148" spans="1:14" s="151" customFormat="1" ht="14.5">
      <c r="A148" s="266" t="s">
        <v>2015</v>
      </c>
      <c r="B148" s="168" t="s">
        <v>1199</v>
      </c>
      <c r="C148" s="151" t="s">
        <v>1362</v>
      </c>
      <c r="D148" s="115" t="str">
        <f>VLOOKUP(B148,'All Menu'!B:D,3,0)</f>
        <v>الوجبات اليومية سفري2</v>
      </c>
      <c r="E148" s="116">
        <f t="shared" si="11"/>
        <v>7.7586206896551726</v>
      </c>
      <c r="F148" s="155">
        <v>1</v>
      </c>
      <c r="G148" s="152">
        <v>7.7586206896551726</v>
      </c>
      <c r="H148" s="115">
        <f>VLOOKUP(B148,'All Menu'!B:J,9,0)</f>
        <v>7.1847246533469793</v>
      </c>
      <c r="I148" s="120">
        <f>VLOOKUP(B148,'All Menu'!B:M,12,0)</f>
        <v>7.3968822457500472E-2</v>
      </c>
      <c r="J148" s="114">
        <f t="shared" si="8"/>
        <v>7.7586206896551726</v>
      </c>
      <c r="K148" s="117">
        <f t="shared" si="9"/>
        <v>0</v>
      </c>
      <c r="L148" s="118">
        <f>VLOOKUP(B148,'All Menu'!B:G,6,0)</f>
        <v>7.7586206896551726</v>
      </c>
      <c r="M148" s="118">
        <f t="shared" si="10"/>
        <v>0</v>
      </c>
      <c r="N148" s="151">
        <f ca="1">VLOOKUP(B148,'All Menu'!B:H,7,0)</f>
        <v>3</v>
      </c>
    </row>
    <row r="149" spans="1:14" s="151" customFormat="1" ht="14.5">
      <c r="A149" s="266" t="s">
        <v>2015</v>
      </c>
      <c r="B149" s="168" t="s">
        <v>1223</v>
      </c>
      <c r="C149" s="151" t="s">
        <v>1968</v>
      </c>
      <c r="D149" s="115" t="str">
        <f>VLOOKUP(B149,'All Menu'!B:D,3,0)</f>
        <v>الوجبات اليومية سفري2</v>
      </c>
      <c r="E149" s="116">
        <f t="shared" si="11"/>
        <v>4.3103448275862073</v>
      </c>
      <c r="F149" s="155">
        <v>10</v>
      </c>
      <c r="G149" s="152">
        <v>43.103448275862071</v>
      </c>
      <c r="H149" s="115">
        <f>VLOOKUP(B149,'All Menu'!B:J,9,0)</f>
        <v>3.0970324568917231</v>
      </c>
      <c r="I149" s="120">
        <f>VLOOKUP(B149,'All Menu'!B:M,12,0)</f>
        <v>0.28148847000112032</v>
      </c>
      <c r="J149" s="114">
        <f t="shared" si="8"/>
        <v>43.103448275862071</v>
      </c>
      <c r="K149" s="117">
        <f t="shared" si="9"/>
        <v>0</v>
      </c>
      <c r="L149" s="118">
        <f>VLOOKUP(B149,'All Menu'!B:G,6,0)</f>
        <v>4.3103448275862073</v>
      </c>
      <c r="M149" s="118">
        <f t="shared" si="10"/>
        <v>0</v>
      </c>
      <c r="N149" s="151">
        <f ca="1">VLOOKUP(B149,'All Menu'!B:H,7,0)</f>
        <v>68</v>
      </c>
    </row>
    <row r="150" spans="1:14" s="151" customFormat="1" ht="14.5">
      <c r="A150" s="266" t="s">
        <v>2015</v>
      </c>
      <c r="B150" s="168" t="s">
        <v>1204</v>
      </c>
      <c r="C150" s="151" t="s">
        <v>1682</v>
      </c>
      <c r="D150" s="115" t="str">
        <f>VLOOKUP(B150,'All Menu'!B:D,3,0)</f>
        <v>الوجبات اليومية سفري2</v>
      </c>
      <c r="E150" s="116">
        <f t="shared" si="11"/>
        <v>3.8853448275862075</v>
      </c>
      <c r="F150" s="155">
        <v>3</v>
      </c>
      <c r="G150" s="152">
        <v>11.656034482758622</v>
      </c>
      <c r="H150" s="115">
        <f>VLOOKUP(B150,'All Menu'!B:J,9,0)</f>
        <v>0.90323429216094819</v>
      </c>
      <c r="I150" s="120">
        <f>VLOOKUP(B150,'All Menu'!B:M,12,0)</f>
        <v>0.79044964421866004</v>
      </c>
      <c r="J150" s="114">
        <f t="shared" si="8"/>
        <v>12.931034482758623</v>
      </c>
      <c r="K150" s="117">
        <f t="shared" si="9"/>
        <v>-1.2750000000000004</v>
      </c>
      <c r="L150" s="118">
        <f>VLOOKUP(B150,'All Menu'!B:G,6,0)</f>
        <v>4.3103448275862073</v>
      </c>
      <c r="M150" s="118">
        <f t="shared" si="10"/>
        <v>-0.42499999999999982</v>
      </c>
      <c r="N150" s="151">
        <f ca="1">VLOOKUP(B150,'All Menu'!B:H,7,0)</f>
        <v>24</v>
      </c>
    </row>
    <row r="151" spans="1:14" s="151" customFormat="1" ht="14.5">
      <c r="A151" s="266" t="s">
        <v>2015</v>
      </c>
      <c r="B151" s="168" t="s">
        <v>1178</v>
      </c>
      <c r="C151" s="151" t="s">
        <v>1347</v>
      </c>
      <c r="D151" s="115" t="str">
        <f>VLOOKUP(B151,'All Menu'!B:D,3,0)</f>
        <v>الوجبات اليومية سفري2</v>
      </c>
      <c r="E151" s="116">
        <f t="shared" si="11"/>
        <v>6.0344827586206913</v>
      </c>
      <c r="F151" s="155">
        <v>13</v>
      </c>
      <c r="G151" s="152">
        <v>78.448275862068982</v>
      </c>
      <c r="H151" s="115">
        <f>VLOOKUP(B151,'All Menu'!B:J,9,0)</f>
        <v>6.2484995959427092</v>
      </c>
      <c r="I151" s="120">
        <f>VLOOKUP(B151,'All Menu'!B:M,12,0)</f>
        <v>-3.5465647327648828E-2</v>
      </c>
      <c r="J151" s="114">
        <f t="shared" si="8"/>
        <v>78.448275862068982</v>
      </c>
      <c r="K151" s="117">
        <f t="shared" si="9"/>
        <v>0</v>
      </c>
      <c r="L151" s="118">
        <f>VLOOKUP(B151,'All Menu'!B:G,6,0)</f>
        <v>6.0344827586206904</v>
      </c>
      <c r="M151" s="118">
        <f t="shared" si="10"/>
        <v>0</v>
      </c>
      <c r="N151" s="151">
        <f ca="1">VLOOKUP(B151,'All Menu'!B:H,7,0)</f>
        <v>127</v>
      </c>
    </row>
    <row r="152" spans="1:14" s="151" customFormat="1" ht="14.5">
      <c r="A152" s="266" t="s">
        <v>2015</v>
      </c>
      <c r="B152" s="168" t="s">
        <v>1270</v>
      </c>
      <c r="C152" s="151" t="s">
        <v>1345</v>
      </c>
      <c r="D152" s="115" t="str">
        <f>VLOOKUP(B152,'All Menu'!B:D,3,0)</f>
        <v>الوجبات اليومية سفري2</v>
      </c>
      <c r="E152" s="116">
        <f t="shared" si="11"/>
        <v>6.7644990925589852</v>
      </c>
      <c r="F152" s="155">
        <v>19</v>
      </c>
      <c r="G152" s="152">
        <v>128.52548275862071</v>
      </c>
      <c r="H152" s="115">
        <f>VLOOKUP(B152,'All Menu'!B:J,9,0)</f>
        <v>4.7272690639304891</v>
      </c>
      <c r="I152" s="120">
        <f>VLOOKUP(B152,'All Menu'!B:M,12,0)</f>
        <v>0.31454598573007914</v>
      </c>
      <c r="J152" s="114">
        <f t="shared" si="8"/>
        <v>131.0344827586207</v>
      </c>
      <c r="K152" s="117">
        <f t="shared" si="9"/>
        <v>-2.5089999999999861</v>
      </c>
      <c r="L152" s="118">
        <f>VLOOKUP(B152,'All Menu'!B:G,6,0)</f>
        <v>6.8965517241379315</v>
      </c>
      <c r="M152" s="118">
        <f t="shared" si="10"/>
        <v>-0.13205263157894631</v>
      </c>
      <c r="N152" s="151">
        <f ca="1">VLOOKUP(B152,'All Menu'!B:H,7,0)</f>
        <v>111</v>
      </c>
    </row>
    <row r="153" spans="1:14" s="151" customFormat="1" ht="14.5">
      <c r="A153" s="266" t="s">
        <v>2015</v>
      </c>
      <c r="B153" s="168" t="s">
        <v>1226</v>
      </c>
      <c r="C153" s="151" t="s">
        <v>1348</v>
      </c>
      <c r="D153" s="115" t="str">
        <f>VLOOKUP(B153,'All Menu'!B:D,3,0)</f>
        <v>الوجبات اليومية سفري2</v>
      </c>
      <c r="E153" s="116">
        <f t="shared" si="11"/>
        <v>12.834894947874899</v>
      </c>
      <c r="F153" s="155">
        <v>43</v>
      </c>
      <c r="G153" s="152">
        <v>551.90048275862068</v>
      </c>
      <c r="H153" s="115">
        <f>VLOOKUP(B153,'All Menu'!B:J,9,0)</f>
        <v>9.0042398265418075</v>
      </c>
      <c r="I153" s="120">
        <f>VLOOKUP(B153,'All Menu'!B:M,12,0)</f>
        <v>0.30367212008076688</v>
      </c>
      <c r="J153" s="114">
        <f t="shared" si="8"/>
        <v>556.0344827586207</v>
      </c>
      <c r="K153" s="117">
        <f t="shared" si="9"/>
        <v>-4.1340000000000146</v>
      </c>
      <c r="L153" s="118">
        <f>VLOOKUP(B153,'All Menu'!B:G,6,0)</f>
        <v>12.931034482758621</v>
      </c>
      <c r="M153" s="118">
        <f t="shared" si="10"/>
        <v>-9.6139534883722177E-2</v>
      </c>
      <c r="N153" s="151">
        <f ca="1">VLOOKUP(B153,'All Menu'!B:H,7,0)</f>
        <v>77</v>
      </c>
    </row>
    <row r="154" spans="1:14" s="151" customFormat="1" ht="14.5">
      <c r="A154" s="266" t="s">
        <v>2015</v>
      </c>
      <c r="B154" s="168" t="s">
        <v>1494</v>
      </c>
      <c r="C154" s="151" t="s">
        <v>1495</v>
      </c>
      <c r="D154" s="115" t="str">
        <f>VLOOKUP(B154,'All Menu'!B:D,3,0)</f>
        <v>خدمات</v>
      </c>
      <c r="E154" s="116">
        <f t="shared" si="11"/>
        <v>0.84205749543503916</v>
      </c>
      <c r="F154" s="155">
        <v>1307.75</v>
      </c>
      <c r="G154" s="152">
        <v>1101.2006896551725</v>
      </c>
      <c r="H154" s="115">
        <f>VLOOKUP(B154,'All Menu'!B:J,9,0)</f>
        <v>0.5</v>
      </c>
      <c r="I154" s="120">
        <f>VLOOKUP(B154,'All Menu'!B:M,12,0)</f>
        <v>0.42000000000000004</v>
      </c>
      <c r="J154" s="114">
        <f t="shared" si="8"/>
        <v>1127.3706896551726</v>
      </c>
      <c r="K154" s="117">
        <f t="shared" si="9"/>
        <v>-26.170000000000073</v>
      </c>
      <c r="L154" s="118">
        <f>VLOOKUP(B154,'All Menu'!B:G,6,0)</f>
        <v>0.86206896551724144</v>
      </c>
      <c r="M154" s="118">
        <f t="shared" si="10"/>
        <v>-2.0011470082202276E-2</v>
      </c>
      <c r="N154" s="151">
        <f ca="1">VLOOKUP(B154,'All Menu'!B:H,7,0)</f>
        <v>2491.5450000000001</v>
      </c>
    </row>
    <row r="155" spans="1:14" s="151" customFormat="1" ht="14.5">
      <c r="A155" s="266" t="s">
        <v>2015</v>
      </c>
      <c r="B155" s="168" t="s">
        <v>883</v>
      </c>
      <c r="C155" s="151" t="s">
        <v>1514</v>
      </c>
      <c r="D155" s="115" t="str">
        <f>VLOOKUP(B155,'All Menu'!B:D,3,0)</f>
        <v>سلطات سفري</v>
      </c>
      <c r="E155" s="116">
        <f t="shared" si="11"/>
        <v>1.6671766907244052</v>
      </c>
      <c r="F155" s="155">
        <v>129</v>
      </c>
      <c r="G155" s="152">
        <v>215.06579310344827</v>
      </c>
      <c r="H155" s="115">
        <f>VLOOKUP(B155,'All Menu'!B:J,9,0)</f>
        <v>0.19847362714776634</v>
      </c>
      <c r="I155" s="120">
        <f>VLOOKUP(B155,'All Menu'!B:M,12,0)</f>
        <v>0.88488529625429557</v>
      </c>
      <c r="J155" s="114">
        <f t="shared" si="8"/>
        <v>222.41379310344828</v>
      </c>
      <c r="K155" s="117">
        <f t="shared" si="9"/>
        <v>-7.3480000000000132</v>
      </c>
      <c r="L155" s="118">
        <f>VLOOKUP(B155,'All Menu'!B:G,6,0)</f>
        <v>1.7241379310344829</v>
      </c>
      <c r="M155" s="118">
        <f t="shared" si="10"/>
        <v>-5.6961240310077654E-2</v>
      </c>
      <c r="N155" s="151">
        <f ca="1">VLOOKUP(B155,'All Menu'!B:H,7,0)</f>
        <v>245.00110000000001</v>
      </c>
    </row>
    <row r="156" spans="1:14" s="151" customFormat="1" ht="14.5">
      <c r="A156" s="266" t="s">
        <v>2015</v>
      </c>
      <c r="B156" s="168" t="s">
        <v>1030</v>
      </c>
      <c r="C156" s="151" t="s">
        <v>1516</v>
      </c>
      <c r="D156" s="115" t="str">
        <f>VLOOKUP(B156,'All Menu'!B:D,3,0)</f>
        <v>سلطات سفري</v>
      </c>
      <c r="E156" s="116">
        <f t="shared" si="11"/>
        <v>10.065251521298176</v>
      </c>
      <c r="F156" s="155">
        <v>17</v>
      </c>
      <c r="G156" s="152">
        <v>171.10927586206898</v>
      </c>
      <c r="H156" s="115">
        <f>VLOOKUP(B156,'All Menu'!B:J,9,0)</f>
        <v>1.945874705154639</v>
      </c>
      <c r="I156" s="120">
        <f>VLOOKUP(B156,'All Menu'!B:M,12,0)</f>
        <v>0.80789662485281866</v>
      </c>
      <c r="J156" s="114">
        <f t="shared" si="8"/>
        <v>172.19827586206898</v>
      </c>
      <c r="K156" s="117">
        <f t="shared" si="9"/>
        <v>-1.0889999999999986</v>
      </c>
      <c r="L156" s="118">
        <f>VLOOKUP(B156,'All Menu'!B:G,6,0)</f>
        <v>10.129310344827587</v>
      </c>
      <c r="M156" s="118">
        <f t="shared" si="10"/>
        <v>-6.4058823529411058E-2</v>
      </c>
      <c r="N156" s="151">
        <f ca="1">VLOOKUP(B156,'All Menu'!B:H,7,0)</f>
        <v>19</v>
      </c>
    </row>
    <row r="157" spans="1:14" s="151" customFormat="1" ht="14.5">
      <c r="A157" s="266" t="s">
        <v>2015</v>
      </c>
      <c r="B157" s="168" t="s">
        <v>886</v>
      </c>
      <c r="C157" s="151" t="s">
        <v>1517</v>
      </c>
      <c r="D157" s="115" t="str">
        <f>VLOOKUP(B157,'All Menu'!B:D,3,0)</f>
        <v>سلطات سفري</v>
      </c>
      <c r="E157" s="116">
        <f t="shared" si="11"/>
        <v>1.647387931034483</v>
      </c>
      <c r="F157" s="155">
        <v>80</v>
      </c>
      <c r="G157" s="152">
        <v>131.79103448275865</v>
      </c>
      <c r="H157" s="115">
        <f>VLOOKUP(B157,'All Menu'!B:J,9,0)</f>
        <v>0.30728885714285714</v>
      </c>
      <c r="I157" s="120">
        <f>VLOOKUP(B157,'All Menu'!B:M,12,0)</f>
        <v>0.82177246285714289</v>
      </c>
      <c r="J157" s="114">
        <f t="shared" ref="J157:J220" si="12">F157*L157</f>
        <v>137.93103448275863</v>
      </c>
      <c r="K157" s="117">
        <f t="shared" ref="K157:K220" si="13">G157-J157</f>
        <v>-6.1399999999999864</v>
      </c>
      <c r="L157" s="118">
        <f>VLOOKUP(B157,'All Menu'!B:G,6,0)</f>
        <v>1.7241379310344829</v>
      </c>
      <c r="M157" s="118">
        <f t="shared" ref="M157:M220" si="14">E157-L157</f>
        <v>-7.6749999999999874E-2</v>
      </c>
      <c r="N157" s="151">
        <f ca="1">VLOOKUP(B157,'All Menu'!B:H,7,0)</f>
        <v>143.001</v>
      </c>
    </row>
    <row r="158" spans="1:14" s="151" customFormat="1" ht="14.5">
      <c r="A158" s="266" t="s">
        <v>2015</v>
      </c>
      <c r="B158" s="168" t="s">
        <v>1029</v>
      </c>
      <c r="C158" s="151" t="s">
        <v>1518</v>
      </c>
      <c r="D158" s="115" t="str">
        <f>VLOOKUP(B158,'All Menu'!B:D,3,0)</f>
        <v>سلطات سفري</v>
      </c>
      <c r="E158" s="116">
        <f t="shared" si="11"/>
        <v>9.8399103448275866</v>
      </c>
      <c r="F158" s="155">
        <v>5</v>
      </c>
      <c r="G158" s="152">
        <v>49.199551724137933</v>
      </c>
      <c r="H158" s="115">
        <f>VLOOKUP(B158,'All Menu'!B:J,9,0)</f>
        <v>2.756986233153639</v>
      </c>
      <c r="I158" s="120">
        <f>VLOOKUP(B158,'All Menu'!B:M,12,0)</f>
        <v>0.7278209335780238</v>
      </c>
      <c r="J158" s="114">
        <f t="shared" si="12"/>
        <v>50.646551724137936</v>
      </c>
      <c r="K158" s="117">
        <f t="shared" si="13"/>
        <v>-1.4470000000000027</v>
      </c>
      <c r="L158" s="118">
        <f>VLOOKUP(B158,'All Menu'!B:G,6,0)</f>
        <v>10.129310344827587</v>
      </c>
      <c r="M158" s="118">
        <f t="shared" si="14"/>
        <v>-0.28940000000000055</v>
      </c>
      <c r="N158" s="151">
        <f ca="1">VLOOKUP(B158,'All Menu'!B:H,7,0)</f>
        <v>9</v>
      </c>
    </row>
    <row r="159" spans="1:14" s="151" customFormat="1" ht="14.5">
      <c r="A159" s="266" t="s">
        <v>2015</v>
      </c>
      <c r="B159" s="168" t="s">
        <v>888</v>
      </c>
      <c r="C159" s="151" t="s">
        <v>1519</v>
      </c>
      <c r="D159" s="115" t="str">
        <f>VLOOKUP(B159,'All Menu'!B:D,3,0)</f>
        <v>سلطات سفري</v>
      </c>
      <c r="E159" s="116">
        <f t="shared" si="11"/>
        <v>1.7241379310344829</v>
      </c>
      <c r="F159" s="155">
        <v>6</v>
      </c>
      <c r="G159" s="152">
        <v>10.344827586206897</v>
      </c>
      <c r="H159" s="115">
        <f>VLOOKUP(B159,'All Menu'!B:J,9,0)</f>
        <v>0.53857280476190472</v>
      </c>
      <c r="I159" s="120">
        <f>VLOOKUP(B159,'All Menu'!B:M,12,0)</f>
        <v>0.68762777323809532</v>
      </c>
      <c r="J159" s="114">
        <f t="shared" si="12"/>
        <v>10.344827586206897</v>
      </c>
      <c r="K159" s="117">
        <f t="shared" si="13"/>
        <v>0</v>
      </c>
      <c r="L159" s="118">
        <f>VLOOKUP(B159,'All Menu'!B:G,6,0)</f>
        <v>1.7241379310344829</v>
      </c>
      <c r="M159" s="118">
        <f t="shared" si="14"/>
        <v>0</v>
      </c>
      <c r="N159" s="151">
        <f ca="1">VLOOKUP(B159,'All Menu'!B:H,7,0)</f>
        <v>39</v>
      </c>
    </row>
    <row r="160" spans="1:14" s="151" customFormat="1" ht="14.5">
      <c r="A160" s="266" t="s">
        <v>2015</v>
      </c>
      <c r="B160" s="168" t="s">
        <v>1209</v>
      </c>
      <c r="C160" s="151" t="s">
        <v>1684</v>
      </c>
      <c r="D160" s="115" t="str">
        <f>VLOOKUP(B160,'All Menu'!B:D,3,0)</f>
        <v>سلطات سفري</v>
      </c>
      <c r="E160" s="116">
        <f t="shared" si="11"/>
        <v>10.129310344827587</v>
      </c>
      <c r="F160" s="155">
        <v>1</v>
      </c>
      <c r="G160" s="152">
        <v>10.129310344827587</v>
      </c>
      <c r="H160" s="115">
        <f>VLOOKUP(B160,'All Menu'!B:J,9,0)</f>
        <v>2.0016639238095237</v>
      </c>
      <c r="I160" s="120">
        <f>VLOOKUP(B160,'All Menu'!B:M,12,0)</f>
        <v>0.80238892326646405</v>
      </c>
      <c r="J160" s="114">
        <f t="shared" si="12"/>
        <v>10.129310344827587</v>
      </c>
      <c r="K160" s="117">
        <f t="shared" si="13"/>
        <v>0</v>
      </c>
      <c r="L160" s="118">
        <f>VLOOKUP(B160,'All Menu'!B:G,6,0)</f>
        <v>10.129310344827587</v>
      </c>
      <c r="M160" s="118">
        <f t="shared" si="14"/>
        <v>0</v>
      </c>
      <c r="N160" s="151">
        <f ca="1">VLOOKUP(B160,'All Menu'!B:H,7,0)</f>
        <v>1</v>
      </c>
    </row>
    <row r="161" spans="1:14" s="151" customFormat="1" ht="14.5">
      <c r="A161" s="266" t="s">
        <v>2015</v>
      </c>
      <c r="B161" s="168" t="s">
        <v>889</v>
      </c>
      <c r="C161" s="151" t="s">
        <v>1520</v>
      </c>
      <c r="D161" s="115" t="str">
        <f>VLOOKUP(B161,'All Menu'!B:D,3,0)</f>
        <v>سلطات سفري</v>
      </c>
      <c r="E161" s="116">
        <f t="shared" si="11"/>
        <v>2.5862068965517242</v>
      </c>
      <c r="F161" s="155">
        <v>6</v>
      </c>
      <c r="G161" s="152">
        <v>15.517241379310345</v>
      </c>
      <c r="H161" s="115">
        <f>VLOOKUP(B161,'All Menu'!B:J,9,0)</f>
        <v>1.1090192185550083</v>
      </c>
      <c r="I161" s="120">
        <f>VLOOKUP(B161,'All Menu'!B:M,12,0)</f>
        <v>0.57117923549206351</v>
      </c>
      <c r="J161" s="114">
        <f t="shared" si="12"/>
        <v>15.517241379310345</v>
      </c>
      <c r="K161" s="117">
        <f t="shared" si="13"/>
        <v>0</v>
      </c>
      <c r="L161" s="118">
        <f>VLOOKUP(B161,'All Menu'!B:G,6,0)</f>
        <v>2.5862068965517242</v>
      </c>
      <c r="M161" s="118">
        <f t="shared" si="14"/>
        <v>0</v>
      </c>
      <c r="N161" s="151">
        <f ca="1">VLOOKUP(B161,'All Menu'!B:H,7,0)</f>
        <v>30</v>
      </c>
    </row>
    <row r="162" spans="1:14" s="151" customFormat="1" ht="14.5">
      <c r="A162" s="266" t="s">
        <v>2015</v>
      </c>
      <c r="B162" s="168" t="s">
        <v>890</v>
      </c>
      <c r="C162" s="151" t="s">
        <v>1521</v>
      </c>
      <c r="D162" s="115" t="str">
        <f>VLOOKUP(B162,'All Menu'!B:D,3,0)</f>
        <v>سلطات سفري</v>
      </c>
      <c r="E162" s="116">
        <f t="shared" si="11"/>
        <v>2.5862068965517242</v>
      </c>
      <c r="F162" s="155">
        <v>2</v>
      </c>
      <c r="G162" s="152">
        <v>5.1724137931034484</v>
      </c>
      <c r="H162" s="115">
        <f>VLOOKUP(B162,'All Menu'!B:J,9,0)</f>
        <v>0.66348513538748821</v>
      </c>
      <c r="I162" s="120">
        <f>VLOOKUP(B162,'All Menu'!B:M,12,0)</f>
        <v>0.74345241431683795</v>
      </c>
      <c r="J162" s="114">
        <f t="shared" si="12"/>
        <v>5.1724137931034484</v>
      </c>
      <c r="K162" s="117">
        <f t="shared" si="13"/>
        <v>0</v>
      </c>
      <c r="L162" s="118">
        <f>VLOOKUP(B162,'All Menu'!B:G,6,0)</f>
        <v>2.5862068965517242</v>
      </c>
      <c r="M162" s="118">
        <f t="shared" si="14"/>
        <v>0</v>
      </c>
      <c r="N162" s="151">
        <f ca="1">VLOOKUP(B162,'All Menu'!B:H,7,0)</f>
        <v>32</v>
      </c>
    </row>
    <row r="163" spans="1:14" s="151" customFormat="1" ht="14.5">
      <c r="A163" s="266" t="s">
        <v>2015</v>
      </c>
      <c r="B163" s="168" t="s">
        <v>885</v>
      </c>
      <c r="C163" s="151" t="s">
        <v>1522</v>
      </c>
      <c r="D163" s="115" t="str">
        <f>VLOOKUP(B163,'All Menu'!B:D,3,0)</f>
        <v>سلطات سفري</v>
      </c>
      <c r="E163" s="116">
        <f t="shared" si="11"/>
        <v>1.2878079937304077</v>
      </c>
      <c r="F163" s="155">
        <v>44</v>
      </c>
      <c r="G163" s="152">
        <v>56.663551724137939</v>
      </c>
      <c r="H163" s="115">
        <f>VLOOKUP(B163,'All Menu'!B:J,9,0)</f>
        <v>0.24234587628865978</v>
      </c>
      <c r="I163" s="120">
        <f>VLOOKUP(B163,'All Menu'!B:M,12,0)</f>
        <v>0.81258585567010322</v>
      </c>
      <c r="J163" s="114">
        <f t="shared" si="12"/>
        <v>56.896551724137936</v>
      </c>
      <c r="K163" s="117">
        <f t="shared" si="13"/>
        <v>-0.23299999999999699</v>
      </c>
      <c r="L163" s="118">
        <f>VLOOKUP(B163,'All Menu'!B:G,6,0)</f>
        <v>1.2931034482758621</v>
      </c>
      <c r="M163" s="118">
        <f t="shared" si="14"/>
        <v>-5.2954545454544366E-3</v>
      </c>
      <c r="N163" s="151">
        <f ca="1">VLOOKUP(B163,'All Menu'!B:H,7,0)</f>
        <v>161.001</v>
      </c>
    </row>
    <row r="164" spans="1:14" s="151" customFormat="1" ht="14.5">
      <c r="A164" s="266" t="s">
        <v>2015</v>
      </c>
      <c r="B164" s="168" t="s">
        <v>882</v>
      </c>
      <c r="C164" s="151" t="s">
        <v>1523</v>
      </c>
      <c r="D164" s="115" t="str">
        <f>VLOOKUP(B164,'All Menu'!B:D,3,0)</f>
        <v>سلطات سفري</v>
      </c>
      <c r="E164" s="116">
        <f t="shared" si="11"/>
        <v>1.7241379310344831</v>
      </c>
      <c r="F164" s="155">
        <v>22</v>
      </c>
      <c r="G164" s="152">
        <v>37.931034482758626</v>
      </c>
      <c r="H164" s="115">
        <f>VLOOKUP(B164,'All Menu'!B:J,9,0)</f>
        <v>0.54531407563025203</v>
      </c>
      <c r="I164" s="120">
        <f>VLOOKUP(B164,'All Menu'!B:M,12,0)</f>
        <v>0.68371783613445392</v>
      </c>
      <c r="J164" s="114">
        <f t="shared" si="12"/>
        <v>37.931034482758626</v>
      </c>
      <c r="K164" s="117">
        <f t="shared" si="13"/>
        <v>0</v>
      </c>
      <c r="L164" s="118">
        <f>VLOOKUP(B164,'All Menu'!B:G,6,0)</f>
        <v>1.7241379310344829</v>
      </c>
      <c r="M164" s="118">
        <f t="shared" si="14"/>
        <v>0</v>
      </c>
      <c r="N164" s="151">
        <f ca="1">VLOOKUP(B164,'All Menu'!B:H,7,0)</f>
        <v>57.001000000000005</v>
      </c>
    </row>
    <row r="165" spans="1:14" s="151" customFormat="1" ht="14.5">
      <c r="A165" s="266" t="s">
        <v>2015</v>
      </c>
      <c r="B165" s="168" t="s">
        <v>884</v>
      </c>
      <c r="C165" s="151" t="s">
        <v>1524</v>
      </c>
      <c r="D165" s="115" t="str">
        <f>VLOOKUP(B165,'All Menu'!B:D,3,0)</f>
        <v>سلطات سفري</v>
      </c>
      <c r="E165" s="116">
        <f t="shared" si="11"/>
        <v>1.5067558247903077</v>
      </c>
      <c r="F165" s="155">
        <v>37</v>
      </c>
      <c r="G165" s="152">
        <v>55.749965517241385</v>
      </c>
      <c r="H165" s="115">
        <f>VLOOKUP(B165,'All Menu'!B:J,9,0)</f>
        <v>0.27673545612059258</v>
      </c>
      <c r="I165" s="120">
        <f>VLOOKUP(B165,'All Menu'!B:M,12,0)</f>
        <v>0.81656392622863583</v>
      </c>
      <c r="J165" s="114">
        <f t="shared" si="12"/>
        <v>55.818965517241388</v>
      </c>
      <c r="K165" s="117">
        <f t="shared" si="13"/>
        <v>-6.9000000000002615E-2</v>
      </c>
      <c r="L165" s="118">
        <f>VLOOKUP(B165,'All Menu'!B:G,6,0)</f>
        <v>1.5086206896551726</v>
      </c>
      <c r="M165" s="118">
        <f t="shared" si="14"/>
        <v>-1.8648648648649235E-3</v>
      </c>
      <c r="N165" s="151">
        <f ca="1">VLOOKUP(B165,'All Menu'!B:H,7,0)</f>
        <v>59</v>
      </c>
    </row>
    <row r="166" spans="1:14" s="151" customFormat="1" ht="14.5">
      <c r="A166" s="266" t="s">
        <v>2015</v>
      </c>
      <c r="B166" s="168" t="s">
        <v>1031</v>
      </c>
      <c r="C166" s="151" t="s">
        <v>1525</v>
      </c>
      <c r="D166" s="115" t="str">
        <f>VLOOKUP(B166,'All Menu'!B:D,3,0)</f>
        <v>سلطات سفري</v>
      </c>
      <c r="E166" s="116">
        <f t="shared" si="11"/>
        <v>9.0517241379310356</v>
      </c>
      <c r="F166" s="155">
        <v>2</v>
      </c>
      <c r="G166" s="152">
        <v>18.103448275862071</v>
      </c>
      <c r="H166" s="115">
        <f>VLOOKUP(B166,'All Menu'!B:J,9,0)</f>
        <v>2.4039679628241015</v>
      </c>
      <c r="I166" s="120">
        <f>VLOOKUP(B166,'All Menu'!B:M,12,0)</f>
        <v>0.73441877744038508</v>
      </c>
      <c r="J166" s="114">
        <f t="shared" si="12"/>
        <v>18.103448275862071</v>
      </c>
      <c r="K166" s="117">
        <f t="shared" si="13"/>
        <v>0</v>
      </c>
      <c r="L166" s="118">
        <f>VLOOKUP(B166,'All Menu'!B:G,6,0)</f>
        <v>9.0517241379310356</v>
      </c>
      <c r="M166" s="118">
        <f t="shared" si="14"/>
        <v>0</v>
      </c>
      <c r="N166" s="151">
        <f ca="1">VLOOKUP(B166,'All Menu'!B:H,7,0)</f>
        <v>3</v>
      </c>
    </row>
    <row r="167" spans="1:14" s="151" customFormat="1" ht="14.5">
      <c r="A167" s="266" t="s">
        <v>2015</v>
      </c>
      <c r="B167" s="168" t="s">
        <v>1231</v>
      </c>
      <c r="C167" s="151" t="s">
        <v>1526</v>
      </c>
      <c r="D167" s="115" t="str">
        <f>VLOOKUP(B167,'All Menu'!B:D,3,0)</f>
        <v>سلطات سفري</v>
      </c>
      <c r="E167" s="116">
        <f t="shared" si="11"/>
        <v>2.5399568965517241</v>
      </c>
      <c r="F167" s="155">
        <v>24</v>
      </c>
      <c r="G167" s="152">
        <v>60.958965517241381</v>
      </c>
      <c r="H167" s="115">
        <f>VLOOKUP(B167,'All Menu'!B:J,9,0)</f>
        <v>0.6959929452541771</v>
      </c>
      <c r="I167" s="120">
        <f>VLOOKUP(B167,'All Menu'!B:M,12,0)</f>
        <v>0.73088272783505148</v>
      </c>
      <c r="J167" s="114">
        <f t="shared" si="12"/>
        <v>62.068965517241381</v>
      </c>
      <c r="K167" s="117">
        <f t="shared" si="13"/>
        <v>-1.1099999999999994</v>
      </c>
      <c r="L167" s="118">
        <f>VLOOKUP(B167,'All Menu'!B:G,6,0)</f>
        <v>2.5862068965517242</v>
      </c>
      <c r="M167" s="118">
        <f t="shared" si="14"/>
        <v>-4.6250000000000124E-2</v>
      </c>
      <c r="N167" s="151">
        <f ca="1">VLOOKUP(B167,'All Menu'!B:H,7,0)</f>
        <v>63</v>
      </c>
    </row>
    <row r="168" spans="1:14" s="151" customFormat="1" ht="14.5">
      <c r="A168" s="266" t="s">
        <v>2015</v>
      </c>
      <c r="B168" s="168" t="s">
        <v>924</v>
      </c>
      <c r="C168" s="151" t="s">
        <v>1819</v>
      </c>
      <c r="D168" s="115" t="str">
        <f>VLOOKUP(B168,'All Menu'!B:D,3,0)</f>
        <v>صواني وصجيات سفري</v>
      </c>
      <c r="E168" s="116">
        <f t="shared" si="11"/>
        <v>3.2327586206896552</v>
      </c>
      <c r="F168" s="155">
        <v>2</v>
      </c>
      <c r="G168" s="152">
        <v>6.4655172413793105</v>
      </c>
      <c r="H168" s="115">
        <f>VLOOKUP(B168,'All Menu'!B:J,9,0)</f>
        <v>1.0210398275862069</v>
      </c>
      <c r="I168" s="120">
        <f>VLOOKUP(B168,'All Menu'!B:M,12,0)</f>
        <v>0.68415834666666664</v>
      </c>
      <c r="J168" s="114">
        <f t="shared" si="12"/>
        <v>6.4655172413793105</v>
      </c>
      <c r="K168" s="117">
        <f t="shared" si="13"/>
        <v>0</v>
      </c>
      <c r="L168" s="118">
        <f>VLOOKUP(B168,'All Menu'!B:G,6,0)</f>
        <v>3.2327586206896552</v>
      </c>
      <c r="M168" s="118">
        <f t="shared" si="14"/>
        <v>0</v>
      </c>
      <c r="N168" s="151">
        <f ca="1">VLOOKUP(B168,'All Menu'!B:H,7,0)</f>
        <v>3</v>
      </c>
    </row>
    <row r="169" spans="1:14" s="151" customFormat="1" ht="14.5">
      <c r="A169" s="266" t="s">
        <v>2015</v>
      </c>
      <c r="B169" s="168" t="s">
        <v>903</v>
      </c>
      <c r="C169" s="151" t="s">
        <v>1556</v>
      </c>
      <c r="D169" s="115" t="str">
        <f>VLOOKUP(B169,'All Menu'!B:D,3,0)</f>
        <v>صواني وصجيات سفري</v>
      </c>
      <c r="E169" s="116">
        <f t="shared" si="11"/>
        <v>3.6491379310344834</v>
      </c>
      <c r="F169" s="155">
        <v>29</v>
      </c>
      <c r="G169" s="152">
        <v>105.82500000000002</v>
      </c>
      <c r="H169" s="115">
        <f>VLOOKUP(B169,'All Menu'!B:J,9,0)</f>
        <v>1.9895221732843555</v>
      </c>
      <c r="I169" s="120">
        <f>VLOOKUP(B169,'All Menu'!B:M,12,0)</f>
        <v>0.45697747740944655</v>
      </c>
      <c r="J169" s="114">
        <f t="shared" si="12"/>
        <v>106.25000000000001</v>
      </c>
      <c r="K169" s="117">
        <f t="shared" si="13"/>
        <v>-0.42499999999999716</v>
      </c>
      <c r="L169" s="118">
        <f>VLOOKUP(B169,'All Menu'!B:G,6,0)</f>
        <v>3.6637931034482762</v>
      </c>
      <c r="M169" s="118">
        <f t="shared" si="14"/>
        <v>-1.4655172413792883E-2</v>
      </c>
      <c r="N169" s="151">
        <f ca="1">VLOOKUP(B169,'All Menu'!B:H,7,0)</f>
        <v>34</v>
      </c>
    </row>
    <row r="170" spans="1:14" s="151" customFormat="1" ht="14.5">
      <c r="A170" s="266" t="s">
        <v>2015</v>
      </c>
      <c r="B170" s="168" t="s">
        <v>907</v>
      </c>
      <c r="C170" s="151" t="s">
        <v>1688</v>
      </c>
      <c r="D170" s="115" t="str">
        <f>VLOOKUP(B170,'All Menu'!B:D,3,0)</f>
        <v>صواني وصجيات سفري</v>
      </c>
      <c r="E170" s="116">
        <f t="shared" si="11"/>
        <v>6.4655172413793105</v>
      </c>
      <c r="F170" s="155">
        <v>18</v>
      </c>
      <c r="G170" s="152">
        <v>116.37931034482759</v>
      </c>
      <c r="H170" s="115">
        <f>VLOOKUP(B170,'All Menu'!B:J,9,0)</f>
        <v>4.4380170831923502</v>
      </c>
      <c r="I170" s="120">
        <f>VLOOKUP(B170,'All Menu'!B:M,12,0)</f>
        <v>0.31358669113291654</v>
      </c>
      <c r="J170" s="114">
        <f t="shared" si="12"/>
        <v>116.37931034482759</v>
      </c>
      <c r="K170" s="117">
        <f t="shared" si="13"/>
        <v>0</v>
      </c>
      <c r="L170" s="118">
        <f>VLOOKUP(B170,'All Menu'!B:G,6,0)</f>
        <v>6.4655172413793105</v>
      </c>
      <c r="M170" s="118">
        <f t="shared" si="14"/>
        <v>0</v>
      </c>
      <c r="N170" s="151">
        <f ca="1">VLOOKUP(B170,'All Menu'!B:H,7,0)</f>
        <v>24</v>
      </c>
    </row>
    <row r="171" spans="1:14" s="151" customFormat="1" ht="14.5">
      <c r="A171" s="266" t="s">
        <v>2015</v>
      </c>
      <c r="B171" s="168" t="s">
        <v>912</v>
      </c>
      <c r="C171" s="151" t="s">
        <v>1689</v>
      </c>
      <c r="D171" s="115" t="str">
        <f>VLOOKUP(B171,'All Menu'!B:D,3,0)</f>
        <v>صواني وصجيات سفري</v>
      </c>
      <c r="E171" s="116">
        <f t="shared" si="11"/>
        <v>12.042185029436503</v>
      </c>
      <c r="F171" s="155">
        <v>20.5</v>
      </c>
      <c r="G171" s="152">
        <v>246.86479310344831</v>
      </c>
      <c r="H171" s="115">
        <f>VLOOKUP(B171,'All Menu'!B:J,9,0)</f>
        <v>8.1605712158282326</v>
      </c>
      <c r="I171" s="120">
        <f>VLOOKUP(B171,'All Menu'!B:M,12,0)</f>
        <v>0.32383838497423223</v>
      </c>
      <c r="J171" s="114">
        <f t="shared" si="12"/>
        <v>247.41379310344831</v>
      </c>
      <c r="K171" s="117">
        <f t="shared" si="13"/>
        <v>-0.54900000000000659</v>
      </c>
      <c r="L171" s="118">
        <f>VLOOKUP(B171,'All Menu'!B:G,6,0)</f>
        <v>12.068965517241381</v>
      </c>
      <c r="M171" s="118">
        <f t="shared" si="14"/>
        <v>-2.6780487804877851E-2</v>
      </c>
      <c r="N171" s="151">
        <f ca="1">VLOOKUP(B171,'All Menu'!B:H,7,0)</f>
        <v>21.501000000000001</v>
      </c>
    </row>
    <row r="172" spans="1:14" s="151" customFormat="1" ht="14.5">
      <c r="A172" s="266" t="s">
        <v>2015</v>
      </c>
      <c r="B172" s="168" t="s">
        <v>901</v>
      </c>
      <c r="C172" s="151" t="s">
        <v>1690</v>
      </c>
      <c r="D172" s="115" t="str">
        <f>VLOOKUP(B172,'All Menu'!B:D,3,0)</f>
        <v>صواني وصجيات سفري</v>
      </c>
      <c r="E172" s="116">
        <f t="shared" si="11"/>
        <v>6.5948275862068977</v>
      </c>
      <c r="F172" s="155">
        <v>3</v>
      </c>
      <c r="G172" s="152">
        <v>19.784482758620694</v>
      </c>
      <c r="H172" s="115">
        <f>VLOOKUP(B172,'All Menu'!B:J,9,0)</f>
        <v>2.9481771609195397</v>
      </c>
      <c r="I172" s="120">
        <f>VLOOKUP(B172,'All Menu'!B:M,12,0)</f>
        <v>0.5529561429193901</v>
      </c>
      <c r="J172" s="114">
        <f t="shared" si="12"/>
        <v>19.784482758620694</v>
      </c>
      <c r="K172" s="117">
        <f t="shared" si="13"/>
        <v>0</v>
      </c>
      <c r="L172" s="118">
        <f>VLOOKUP(B172,'All Menu'!B:G,6,0)</f>
        <v>6.5948275862068977</v>
      </c>
      <c r="M172" s="118">
        <f t="shared" si="14"/>
        <v>0</v>
      </c>
      <c r="N172" s="151">
        <f ca="1">VLOOKUP(B172,'All Menu'!B:H,7,0)</f>
        <v>5.5</v>
      </c>
    </row>
    <row r="173" spans="1:14" s="151" customFormat="1" ht="14.5">
      <c r="A173" s="266" t="s">
        <v>2015</v>
      </c>
      <c r="B173" s="168" t="s">
        <v>908</v>
      </c>
      <c r="C173" s="151" t="s">
        <v>1776</v>
      </c>
      <c r="D173" s="115" t="str">
        <f>VLOOKUP(B173,'All Menu'!B:D,3,0)</f>
        <v>صواني وصجيات سفري</v>
      </c>
      <c r="E173" s="116">
        <f t="shared" si="11"/>
        <v>11.939655172413794</v>
      </c>
      <c r="F173" s="155">
        <v>7</v>
      </c>
      <c r="G173" s="152">
        <v>83.577586206896555</v>
      </c>
      <c r="H173" s="115">
        <f>VLOOKUP(B173,'All Menu'!B:J,9,0)</f>
        <v>5.543466643678161</v>
      </c>
      <c r="I173" s="120">
        <f>VLOOKUP(B173,'All Menu'!B:M,12,0)</f>
        <v>0.53570965294825512</v>
      </c>
      <c r="J173" s="114">
        <f t="shared" si="12"/>
        <v>83.577586206896555</v>
      </c>
      <c r="K173" s="117">
        <f t="shared" si="13"/>
        <v>0</v>
      </c>
      <c r="L173" s="118">
        <f>VLOOKUP(B173,'All Menu'!B:G,6,0)</f>
        <v>11.939655172413794</v>
      </c>
      <c r="M173" s="118">
        <f t="shared" si="14"/>
        <v>0</v>
      </c>
      <c r="N173" s="151">
        <f ca="1">VLOOKUP(B173,'All Menu'!B:H,7,0)</f>
        <v>9</v>
      </c>
    </row>
    <row r="174" spans="1:14" s="151" customFormat="1" ht="14.5">
      <c r="A174" s="266" t="s">
        <v>2015</v>
      </c>
      <c r="B174" s="168" t="s">
        <v>913</v>
      </c>
      <c r="C174" s="151" t="s">
        <v>1736</v>
      </c>
      <c r="D174" s="115" t="str">
        <f>VLOOKUP(B174,'All Menu'!B:D,3,0)</f>
        <v>صواني وصجيات سفري</v>
      </c>
      <c r="E174" s="116">
        <f t="shared" si="11"/>
        <v>20.387931034482758</v>
      </c>
      <c r="F174" s="155">
        <v>7.5</v>
      </c>
      <c r="G174" s="152">
        <v>152.9094827586207</v>
      </c>
      <c r="H174" s="115">
        <f>VLOOKUP(B174,'All Menu'!B:J,9,0)</f>
        <v>8.9953980574712649</v>
      </c>
      <c r="I174" s="120">
        <f>VLOOKUP(B174,'All Menu'!B:M,12,0)</f>
        <v>0.55878808682170544</v>
      </c>
      <c r="J174" s="114">
        <f t="shared" si="12"/>
        <v>152.9094827586207</v>
      </c>
      <c r="K174" s="117">
        <f t="shared" si="13"/>
        <v>0</v>
      </c>
      <c r="L174" s="118">
        <f>VLOOKUP(B174,'All Menu'!B:G,6,0)</f>
        <v>20.387931034482758</v>
      </c>
      <c r="M174" s="118">
        <f t="shared" si="14"/>
        <v>0</v>
      </c>
      <c r="N174" s="151">
        <f ca="1">VLOOKUP(B174,'All Menu'!B:H,7,0)</f>
        <v>14</v>
      </c>
    </row>
    <row r="175" spans="1:14" s="151" customFormat="1" ht="14.5">
      <c r="A175" s="266" t="s">
        <v>2015</v>
      </c>
      <c r="B175" s="168" t="s">
        <v>909</v>
      </c>
      <c r="C175" s="151" t="s">
        <v>1820</v>
      </c>
      <c r="D175" s="115" t="str">
        <f>VLOOKUP(B175,'All Menu'!B:D,3,0)</f>
        <v>صواني وصجيات سفري</v>
      </c>
      <c r="E175" s="116">
        <f t="shared" si="11"/>
        <v>3.6637931034482762</v>
      </c>
      <c r="F175" s="155">
        <v>2</v>
      </c>
      <c r="G175" s="152">
        <v>7.3275862068965525</v>
      </c>
      <c r="H175" s="115">
        <f>VLOOKUP(B175,'All Menu'!B:J,9,0)</f>
        <v>2.3623593752052541</v>
      </c>
      <c r="I175" s="120">
        <f>VLOOKUP(B175,'All Menu'!B:M,12,0)</f>
        <v>0.35521485288515425</v>
      </c>
      <c r="J175" s="114">
        <f t="shared" si="12"/>
        <v>7.3275862068965525</v>
      </c>
      <c r="K175" s="117">
        <f t="shared" si="13"/>
        <v>0</v>
      </c>
      <c r="L175" s="118">
        <f>VLOOKUP(B175,'All Menu'!B:G,6,0)</f>
        <v>3.6637931034482762</v>
      </c>
      <c r="M175" s="118">
        <f t="shared" si="14"/>
        <v>0</v>
      </c>
      <c r="N175" s="151">
        <f ca="1">VLOOKUP(B175,'All Menu'!B:H,7,0)</f>
        <v>3</v>
      </c>
    </row>
    <row r="176" spans="1:14" s="151" customFormat="1" ht="14.5">
      <c r="A176" s="266" t="s">
        <v>2015</v>
      </c>
      <c r="B176" s="168" t="s">
        <v>914</v>
      </c>
      <c r="C176" s="151" t="s">
        <v>1738</v>
      </c>
      <c r="D176" s="115" t="str">
        <f>VLOOKUP(B176,'All Menu'!B:D,3,0)</f>
        <v>صواني وصجيات سفري</v>
      </c>
      <c r="E176" s="116">
        <f t="shared" si="11"/>
        <v>12.068965517241381</v>
      </c>
      <c r="F176" s="155">
        <v>1</v>
      </c>
      <c r="G176" s="152">
        <v>12.068965517241381</v>
      </c>
      <c r="H176" s="115">
        <f>VLOOKUP(B176,'All Menu'!B:J,9,0)</f>
        <v>7.7437493103448274</v>
      </c>
      <c r="I176" s="120">
        <f>VLOOKUP(B176,'All Menu'!B:M,12,0)</f>
        <v>0.35837505714285722</v>
      </c>
      <c r="J176" s="114">
        <f t="shared" si="12"/>
        <v>12.068965517241381</v>
      </c>
      <c r="K176" s="117">
        <f t="shared" si="13"/>
        <v>0</v>
      </c>
      <c r="L176" s="118">
        <f>VLOOKUP(B176,'All Menu'!B:G,6,0)</f>
        <v>12.068965517241381</v>
      </c>
      <c r="M176" s="118">
        <f t="shared" si="14"/>
        <v>0</v>
      </c>
      <c r="N176" s="151">
        <f ca="1">VLOOKUP(B176,'All Menu'!B:H,7,0)</f>
        <v>1</v>
      </c>
    </row>
    <row r="177" spans="1:14" s="151" customFormat="1" ht="14.5">
      <c r="A177" s="266" t="s">
        <v>2015</v>
      </c>
      <c r="B177" s="168" t="s">
        <v>1096</v>
      </c>
      <c r="C177" s="151" t="s">
        <v>1558</v>
      </c>
      <c r="D177" s="115" t="str">
        <f>VLOOKUP(B177,'All Menu'!B:D,3,0)</f>
        <v>صواني وصجيات سفري</v>
      </c>
      <c r="E177" s="116">
        <f t="shared" si="11"/>
        <v>3.6637931034482762</v>
      </c>
      <c r="F177" s="155">
        <v>5</v>
      </c>
      <c r="G177" s="152">
        <v>18.318965517241381</v>
      </c>
      <c r="H177" s="115">
        <f>VLOOKUP(B177,'All Menu'!B:J,9,0)</f>
        <v>1.4299442846743295</v>
      </c>
      <c r="I177" s="120">
        <f>VLOOKUP(B177,'All Menu'!B:M,12,0)</f>
        <v>0.60970932465359473</v>
      </c>
      <c r="J177" s="114">
        <f t="shared" si="12"/>
        <v>18.318965517241381</v>
      </c>
      <c r="K177" s="117">
        <f t="shared" si="13"/>
        <v>0</v>
      </c>
      <c r="L177" s="118">
        <f>VLOOKUP(B177,'All Menu'!B:G,6,0)</f>
        <v>3.6637931034482762</v>
      </c>
      <c r="M177" s="118">
        <f t="shared" si="14"/>
        <v>0</v>
      </c>
      <c r="N177" s="151">
        <f ca="1">VLOOKUP(B177,'All Menu'!B:H,7,0)</f>
        <v>7</v>
      </c>
    </row>
    <row r="178" spans="1:14" s="151" customFormat="1" ht="14.5">
      <c r="A178" s="266" t="s">
        <v>2015</v>
      </c>
      <c r="B178" s="168" t="s">
        <v>1097</v>
      </c>
      <c r="C178" s="151" t="s">
        <v>1693</v>
      </c>
      <c r="D178" s="115" t="str">
        <f>VLOOKUP(B178,'All Menu'!B:D,3,0)</f>
        <v>صواني وصجيات سفري</v>
      </c>
      <c r="E178" s="116">
        <f t="shared" si="11"/>
        <v>6.4655172413793105</v>
      </c>
      <c r="F178" s="155">
        <v>4</v>
      </c>
      <c r="G178" s="152">
        <v>25.862068965517242</v>
      </c>
      <c r="H178" s="115">
        <f>VLOOKUP(B178,'All Menu'!B:J,9,0)</f>
        <v>3.1618752068656528</v>
      </c>
      <c r="I178" s="120">
        <f>VLOOKUP(B178,'All Menu'!B:M,12,0)</f>
        <v>0.51096330133811241</v>
      </c>
      <c r="J178" s="114">
        <f t="shared" si="12"/>
        <v>25.862068965517242</v>
      </c>
      <c r="K178" s="117">
        <f t="shared" si="13"/>
        <v>0</v>
      </c>
      <c r="L178" s="118">
        <f>VLOOKUP(B178,'All Menu'!B:G,6,0)</f>
        <v>6.4655172413793105</v>
      </c>
      <c r="M178" s="118">
        <f t="shared" si="14"/>
        <v>0</v>
      </c>
      <c r="N178" s="151">
        <f ca="1">VLOOKUP(B178,'All Menu'!B:H,7,0)</f>
        <v>4</v>
      </c>
    </row>
    <row r="179" spans="1:14" s="151" customFormat="1" ht="14.5">
      <c r="A179" s="266" t="s">
        <v>2015</v>
      </c>
      <c r="B179" s="168" t="s">
        <v>1098</v>
      </c>
      <c r="C179" s="151" t="s">
        <v>1778</v>
      </c>
      <c r="D179" s="115" t="str">
        <f>VLOOKUP(B179,'All Menu'!B:D,3,0)</f>
        <v>صواني وصجيات سفري</v>
      </c>
      <c r="E179" s="116">
        <f t="shared" si="11"/>
        <v>12.068965517241381</v>
      </c>
      <c r="F179" s="155">
        <v>4.25</v>
      </c>
      <c r="G179" s="152">
        <v>51.293103448275872</v>
      </c>
      <c r="H179" s="115">
        <f>VLOOKUP(B179,'All Menu'!B:J,9,0)</f>
        <v>6.0648999013100973</v>
      </c>
      <c r="I179" s="120">
        <f>VLOOKUP(B179,'All Menu'!B:M,12,0)</f>
        <v>0.49747972246287769</v>
      </c>
      <c r="J179" s="114">
        <f t="shared" si="12"/>
        <v>51.293103448275872</v>
      </c>
      <c r="K179" s="117">
        <f t="shared" si="13"/>
        <v>0</v>
      </c>
      <c r="L179" s="118">
        <f>VLOOKUP(B179,'All Menu'!B:G,6,0)</f>
        <v>12.068965517241381</v>
      </c>
      <c r="M179" s="118">
        <f t="shared" si="14"/>
        <v>0</v>
      </c>
      <c r="N179" s="151">
        <f ca="1">VLOOKUP(B179,'All Menu'!B:H,7,0)</f>
        <v>6.25</v>
      </c>
    </row>
    <row r="180" spans="1:14" s="151" customFormat="1" ht="14.5">
      <c r="A180" s="266" t="s">
        <v>2015</v>
      </c>
      <c r="B180" s="168" t="s">
        <v>1073</v>
      </c>
      <c r="C180" s="151" t="s">
        <v>1559</v>
      </c>
      <c r="D180" s="115" t="str">
        <f>VLOOKUP(B180,'All Menu'!B:D,3,0)</f>
        <v>صواني وصجيات سفري</v>
      </c>
      <c r="E180" s="116">
        <f t="shared" si="11"/>
        <v>3.6037931034482757</v>
      </c>
      <c r="F180" s="155">
        <v>7</v>
      </c>
      <c r="G180" s="152">
        <v>25.226551724137931</v>
      </c>
      <c r="H180" s="115">
        <f>VLOOKUP(B180,'All Menu'!B:J,9,0)</f>
        <v>2.1980220273946363</v>
      </c>
      <c r="I180" s="120">
        <f>VLOOKUP(B180,'All Menu'!B:M,12,0)</f>
        <v>0.40006928193464053</v>
      </c>
      <c r="J180" s="114">
        <f t="shared" si="12"/>
        <v>25.646551724137932</v>
      </c>
      <c r="K180" s="117">
        <f t="shared" si="13"/>
        <v>-0.42000000000000171</v>
      </c>
      <c r="L180" s="118">
        <f>VLOOKUP(B180,'All Menu'!B:G,6,0)</f>
        <v>3.6637931034482762</v>
      </c>
      <c r="M180" s="118">
        <f t="shared" si="14"/>
        <v>-6.0000000000000497E-2</v>
      </c>
      <c r="N180" s="151">
        <f ca="1">VLOOKUP(B180,'All Menu'!B:H,7,0)</f>
        <v>16</v>
      </c>
    </row>
    <row r="181" spans="1:14" s="151" customFormat="1" ht="14.5">
      <c r="A181" s="266" t="s">
        <v>2015</v>
      </c>
      <c r="B181" s="168" t="s">
        <v>1105</v>
      </c>
      <c r="C181" s="151" t="s">
        <v>1694</v>
      </c>
      <c r="D181" s="115" t="str">
        <f>VLOOKUP(B181,'All Menu'!B:D,3,0)</f>
        <v>صواني وصجيات سفري</v>
      </c>
      <c r="E181" s="116">
        <f t="shared" si="11"/>
        <v>6.4655172413793114</v>
      </c>
      <c r="F181" s="155">
        <v>5</v>
      </c>
      <c r="G181" s="152">
        <v>32.327586206896555</v>
      </c>
      <c r="H181" s="115">
        <f>VLOOKUP(B181,'All Menu'!B:J,9,0)</f>
        <v>3.7983309847126434</v>
      </c>
      <c r="I181" s="120">
        <f>VLOOKUP(B181,'All Menu'!B:M,12,0)</f>
        <v>0.41252480769777783</v>
      </c>
      <c r="J181" s="114">
        <f t="shared" si="12"/>
        <v>32.327586206896555</v>
      </c>
      <c r="K181" s="117">
        <f t="shared" si="13"/>
        <v>0</v>
      </c>
      <c r="L181" s="118">
        <f>VLOOKUP(B181,'All Menu'!B:G,6,0)</f>
        <v>6.4655172413793105</v>
      </c>
      <c r="M181" s="118">
        <f t="shared" si="14"/>
        <v>0</v>
      </c>
      <c r="N181" s="151">
        <f ca="1">VLOOKUP(B181,'All Menu'!B:H,7,0)</f>
        <v>7</v>
      </c>
    </row>
    <row r="182" spans="1:14" s="151" customFormat="1" ht="14.5">
      <c r="A182" s="266" t="s">
        <v>2015</v>
      </c>
      <c r="B182" s="168" t="s">
        <v>1106</v>
      </c>
      <c r="C182" s="151" t="s">
        <v>1695</v>
      </c>
      <c r="D182" s="115" t="str">
        <f>VLOOKUP(B182,'All Menu'!B:D,3,0)</f>
        <v>صواني وصجيات سفري</v>
      </c>
      <c r="E182" s="116">
        <f t="shared" si="11"/>
        <v>12.068965517241381</v>
      </c>
      <c r="F182" s="155">
        <v>1</v>
      </c>
      <c r="G182" s="152">
        <v>12.068965517241381</v>
      </c>
      <c r="H182" s="115">
        <f>VLOOKUP(B182,'All Menu'!B:J,9,0)</f>
        <v>6.0986681080459766</v>
      </c>
      <c r="I182" s="120">
        <f>VLOOKUP(B182,'All Menu'!B:M,12,0)</f>
        <v>0.49468178533333346</v>
      </c>
      <c r="J182" s="114">
        <f t="shared" si="12"/>
        <v>12.068965517241381</v>
      </c>
      <c r="K182" s="117">
        <f t="shared" si="13"/>
        <v>0</v>
      </c>
      <c r="L182" s="118">
        <f>VLOOKUP(B182,'All Menu'!B:G,6,0)</f>
        <v>12.068965517241381</v>
      </c>
      <c r="M182" s="118">
        <f t="shared" si="14"/>
        <v>0</v>
      </c>
      <c r="N182" s="151">
        <f ca="1">VLOOKUP(B182,'All Menu'!B:H,7,0)</f>
        <v>2</v>
      </c>
    </row>
    <row r="183" spans="1:14" s="151" customFormat="1" ht="14.5">
      <c r="A183" s="266" t="s">
        <v>2015</v>
      </c>
      <c r="B183" s="168" t="s">
        <v>905</v>
      </c>
      <c r="C183" s="151" t="s">
        <v>1696</v>
      </c>
      <c r="D183" s="115" t="str">
        <f>VLOOKUP(B183,'All Menu'!B:D,3,0)</f>
        <v>صواني وصجيات سفري</v>
      </c>
      <c r="E183" s="116">
        <f t="shared" si="11"/>
        <v>3.6311007957559691</v>
      </c>
      <c r="F183" s="155">
        <v>13</v>
      </c>
      <c r="G183" s="152">
        <v>47.204310344827597</v>
      </c>
      <c r="H183" s="115">
        <f>VLOOKUP(B183,'All Menu'!B:J,9,0)</f>
        <v>1.9931471029819887</v>
      </c>
      <c r="I183" s="120">
        <f>VLOOKUP(B183,'All Menu'!B:M,12,0)</f>
        <v>0.4559880848331514</v>
      </c>
      <c r="J183" s="114">
        <f t="shared" si="12"/>
        <v>47.629310344827594</v>
      </c>
      <c r="K183" s="117">
        <f t="shared" si="13"/>
        <v>-0.42499999999999716</v>
      </c>
      <c r="L183" s="118">
        <f>VLOOKUP(B183,'All Menu'!B:G,6,0)</f>
        <v>3.6637931034482762</v>
      </c>
      <c r="M183" s="118">
        <f t="shared" si="14"/>
        <v>-3.2692307692307132E-2</v>
      </c>
      <c r="N183" s="151">
        <f ca="1">VLOOKUP(B183,'All Menu'!B:H,7,0)</f>
        <v>17</v>
      </c>
    </row>
    <row r="184" spans="1:14" s="151" customFormat="1" ht="14.5">
      <c r="A184" s="266" t="s">
        <v>2015</v>
      </c>
      <c r="B184" s="168" t="s">
        <v>906</v>
      </c>
      <c r="C184" s="151" t="s">
        <v>1697</v>
      </c>
      <c r="D184" s="115" t="str">
        <f>VLOOKUP(B184,'All Menu'!B:D,3,0)</f>
        <v>صواني وصجيات سفري</v>
      </c>
      <c r="E184" s="116">
        <f t="shared" si="11"/>
        <v>6.4655172413793105</v>
      </c>
      <c r="F184" s="155">
        <v>8</v>
      </c>
      <c r="G184" s="152">
        <v>51.724137931034484</v>
      </c>
      <c r="H184" s="115">
        <f>VLOOKUP(B184,'All Menu'!B:J,9,0)</f>
        <v>4.3129671556078018</v>
      </c>
      <c r="I184" s="120">
        <f>VLOOKUP(B184,'All Menu'!B:M,12,0)</f>
        <v>0.33292774659932667</v>
      </c>
      <c r="J184" s="114">
        <f t="shared" si="12"/>
        <v>51.724137931034484</v>
      </c>
      <c r="K184" s="117">
        <f t="shared" si="13"/>
        <v>0</v>
      </c>
      <c r="L184" s="118">
        <f>VLOOKUP(B184,'All Menu'!B:G,6,0)</f>
        <v>6.4655172413793105</v>
      </c>
      <c r="M184" s="118">
        <f t="shared" si="14"/>
        <v>0</v>
      </c>
      <c r="N184" s="151">
        <f ca="1">VLOOKUP(B184,'All Menu'!B:H,7,0)</f>
        <v>13</v>
      </c>
    </row>
    <row r="185" spans="1:14" s="151" customFormat="1" ht="14.5">
      <c r="A185" s="266" t="s">
        <v>2015</v>
      </c>
      <c r="B185" s="168" t="s">
        <v>911</v>
      </c>
      <c r="C185" s="151" t="s">
        <v>1698</v>
      </c>
      <c r="D185" s="115" t="str">
        <f>VLOOKUP(B185,'All Menu'!B:D,3,0)</f>
        <v>صواني وصجيات سفري</v>
      </c>
      <c r="E185" s="116">
        <f t="shared" si="11"/>
        <v>12.035692789968653</v>
      </c>
      <c r="F185" s="155">
        <v>16.5</v>
      </c>
      <c r="G185" s="152">
        <v>198.58893103448278</v>
      </c>
      <c r="H185" s="115">
        <f>VLOOKUP(B185,'All Menu'!B:J,9,0)</f>
        <v>8.1545283342041106</v>
      </c>
      <c r="I185" s="120">
        <f>VLOOKUP(B185,'All Menu'!B:M,12,0)</f>
        <v>0.32433908088023089</v>
      </c>
      <c r="J185" s="114">
        <f t="shared" si="12"/>
        <v>199.13793103448279</v>
      </c>
      <c r="K185" s="117">
        <f t="shared" si="13"/>
        <v>-0.54900000000000659</v>
      </c>
      <c r="L185" s="118">
        <f>VLOOKUP(B185,'All Menu'!B:G,6,0)</f>
        <v>12.068965517241381</v>
      </c>
      <c r="M185" s="118">
        <f t="shared" si="14"/>
        <v>-3.3272727272727565E-2</v>
      </c>
      <c r="N185" s="151">
        <f ca="1">VLOOKUP(B185,'All Menu'!B:H,7,0)</f>
        <v>17.5</v>
      </c>
    </row>
    <row r="186" spans="1:14" s="151" customFormat="1" ht="14.5">
      <c r="A186" s="266" t="s">
        <v>2015</v>
      </c>
      <c r="B186" s="168" t="s">
        <v>1084</v>
      </c>
      <c r="C186" s="151" t="s">
        <v>1560</v>
      </c>
      <c r="D186" s="115" t="str">
        <f>VLOOKUP(B186,'All Menu'!B:D,3,0)</f>
        <v>صواني وصجيات سفري</v>
      </c>
      <c r="E186" s="116">
        <f t="shared" si="11"/>
        <v>3.4482758620689657</v>
      </c>
      <c r="F186" s="155">
        <v>3</v>
      </c>
      <c r="G186" s="152">
        <v>10.344827586206897</v>
      </c>
      <c r="H186" s="115">
        <f>VLOOKUP(B186,'All Menu'!B:J,9,0)</f>
        <v>2.1886243384709161</v>
      </c>
      <c r="I186" s="120">
        <f>VLOOKUP(B186,'All Menu'!B:M,12,0)</f>
        <v>0.36529894184343437</v>
      </c>
      <c r="J186" s="114">
        <f t="shared" si="12"/>
        <v>10.344827586206897</v>
      </c>
      <c r="K186" s="117">
        <f t="shared" si="13"/>
        <v>0</v>
      </c>
      <c r="L186" s="118">
        <f>VLOOKUP(B186,'All Menu'!B:G,6,0)</f>
        <v>3.4482758620689657</v>
      </c>
      <c r="M186" s="118">
        <f t="shared" si="14"/>
        <v>0</v>
      </c>
      <c r="N186" s="151">
        <f ca="1">VLOOKUP(B186,'All Menu'!B:H,7,0)</f>
        <v>3</v>
      </c>
    </row>
    <row r="187" spans="1:14" s="151" customFormat="1" ht="14.5">
      <c r="A187" s="266" t="s">
        <v>2015</v>
      </c>
      <c r="B187" s="168" t="s">
        <v>1085</v>
      </c>
      <c r="C187" s="151" t="s">
        <v>1699</v>
      </c>
      <c r="D187" s="115" t="str">
        <f>VLOOKUP(B187,'All Menu'!B:D,3,0)</f>
        <v>صواني وصجيات سفري</v>
      </c>
      <c r="E187" s="116">
        <f t="shared" si="11"/>
        <v>5.1332471264367818</v>
      </c>
      <c r="F187" s="155">
        <v>6</v>
      </c>
      <c r="G187" s="152">
        <v>30.799482758620691</v>
      </c>
      <c r="H187" s="115">
        <f>VLOOKUP(B187,'All Menu'!B:J,9,0)</f>
        <v>4.0705318895855109</v>
      </c>
      <c r="I187" s="120">
        <f>VLOOKUP(B187,'All Menu'!B:M,12,0)</f>
        <v>0.21303050134680124</v>
      </c>
      <c r="J187" s="114">
        <f t="shared" si="12"/>
        <v>31.03448275862069</v>
      </c>
      <c r="K187" s="117">
        <f t="shared" si="13"/>
        <v>-0.23499999999999943</v>
      </c>
      <c r="L187" s="118">
        <f>VLOOKUP(B187,'All Menu'!B:G,6,0)</f>
        <v>5.1724137931034484</v>
      </c>
      <c r="M187" s="118">
        <f t="shared" si="14"/>
        <v>-3.9166666666666572E-2</v>
      </c>
      <c r="N187" s="151">
        <f ca="1">VLOOKUP(B187,'All Menu'!B:H,7,0)</f>
        <v>6</v>
      </c>
    </row>
    <row r="188" spans="1:14" s="151" customFormat="1" ht="14.5">
      <c r="A188" s="266" t="s">
        <v>2015</v>
      </c>
      <c r="B188" s="168" t="s">
        <v>1086</v>
      </c>
      <c r="C188" s="151" t="s">
        <v>1703</v>
      </c>
      <c r="D188" s="115" t="str">
        <f>VLOOKUP(B188,'All Menu'!B:D,3,0)</f>
        <v>صواني وصجيات سفري</v>
      </c>
      <c r="E188" s="116">
        <f t="shared" si="11"/>
        <v>8.6206896551724146</v>
      </c>
      <c r="F188" s="155">
        <v>2</v>
      </c>
      <c r="G188" s="152">
        <v>17.241379310344829</v>
      </c>
      <c r="H188" s="115">
        <f>VLOOKUP(B188,'All Menu'!B:J,9,0)</f>
        <v>6.1457205660048757</v>
      </c>
      <c r="I188" s="120">
        <f>VLOOKUP(B188,'All Menu'!B:M,12,0)</f>
        <v>0.28709641434343447</v>
      </c>
      <c r="J188" s="114">
        <f t="shared" si="12"/>
        <v>17.241379310344829</v>
      </c>
      <c r="K188" s="117">
        <f t="shared" si="13"/>
        <v>0</v>
      </c>
      <c r="L188" s="118">
        <f>VLOOKUP(B188,'All Menu'!B:G,6,0)</f>
        <v>8.6206896551724146</v>
      </c>
      <c r="M188" s="118">
        <f t="shared" si="14"/>
        <v>0</v>
      </c>
      <c r="N188" s="151">
        <f ca="1">VLOOKUP(B188,'All Menu'!B:H,7,0)</f>
        <v>2</v>
      </c>
    </row>
    <row r="189" spans="1:14" s="151" customFormat="1" ht="14.5">
      <c r="A189" s="266" t="s">
        <v>2015</v>
      </c>
      <c r="B189" s="168" t="s">
        <v>917</v>
      </c>
      <c r="C189" s="151" t="s">
        <v>1561</v>
      </c>
      <c r="D189" s="115" t="str">
        <f>VLOOKUP(B189,'All Menu'!B:D,3,0)</f>
        <v>صواني وصجيات سفري</v>
      </c>
      <c r="E189" s="116">
        <f t="shared" si="11"/>
        <v>3.6337931034482764</v>
      </c>
      <c r="F189" s="155">
        <v>3</v>
      </c>
      <c r="G189" s="152">
        <v>10.901379310344829</v>
      </c>
      <c r="H189" s="115">
        <f>VLOOKUP(B189,'All Menu'!B:J,9,0)</f>
        <v>1.8046906845569151</v>
      </c>
      <c r="I189" s="120">
        <f>VLOOKUP(B189,'All Menu'!B:M,12,0)</f>
        <v>0.50742560139152437</v>
      </c>
      <c r="J189" s="114">
        <f t="shared" si="12"/>
        <v>10.991379310344829</v>
      </c>
      <c r="K189" s="117">
        <f t="shared" si="13"/>
        <v>-8.9999999999999858E-2</v>
      </c>
      <c r="L189" s="118">
        <f>VLOOKUP(B189,'All Menu'!B:G,6,0)</f>
        <v>3.6637931034482762</v>
      </c>
      <c r="M189" s="118">
        <f t="shared" si="14"/>
        <v>-2.9999999999999805E-2</v>
      </c>
      <c r="N189" s="151">
        <f ca="1">VLOOKUP(B189,'All Menu'!B:H,7,0)</f>
        <v>5</v>
      </c>
    </row>
    <row r="190" spans="1:14" s="151" customFormat="1" ht="14.5">
      <c r="A190" s="266" t="s">
        <v>2015</v>
      </c>
      <c r="B190" s="168" t="s">
        <v>920</v>
      </c>
      <c r="C190" s="151" t="s">
        <v>1822</v>
      </c>
      <c r="D190" s="115" t="str">
        <f>VLOOKUP(B190,'All Menu'!B:D,3,0)</f>
        <v>صواني وصجيات سفري</v>
      </c>
      <c r="E190" s="116">
        <f t="shared" si="11"/>
        <v>12.068965517241381</v>
      </c>
      <c r="F190" s="155">
        <v>2</v>
      </c>
      <c r="G190" s="152">
        <v>24.137931034482762</v>
      </c>
      <c r="H190" s="115">
        <f>VLOOKUP(B190,'All Menu'!B:J,9,0)</f>
        <v>6.0909734048943269</v>
      </c>
      <c r="I190" s="120">
        <f>VLOOKUP(B190,'All Menu'!B:M,12,0)</f>
        <v>0.49531934645161296</v>
      </c>
      <c r="J190" s="114">
        <f t="shared" si="12"/>
        <v>24.137931034482762</v>
      </c>
      <c r="K190" s="117">
        <f t="shared" si="13"/>
        <v>0</v>
      </c>
      <c r="L190" s="118">
        <f>VLOOKUP(B190,'All Menu'!B:G,6,0)</f>
        <v>12.068965517241381</v>
      </c>
      <c r="M190" s="118">
        <f t="shared" si="14"/>
        <v>0</v>
      </c>
      <c r="N190" s="151">
        <f ca="1">VLOOKUP(B190,'All Menu'!B:H,7,0)</f>
        <v>2</v>
      </c>
    </row>
    <row r="191" spans="1:14" s="151" customFormat="1" ht="14.5">
      <c r="A191" s="266" t="s">
        <v>2015</v>
      </c>
      <c r="B191" s="168" t="s">
        <v>918</v>
      </c>
      <c r="C191" s="151" t="s">
        <v>1700</v>
      </c>
      <c r="D191" s="115" t="str">
        <f>VLOOKUP(B191,'All Menu'!B:D,3,0)</f>
        <v>صواني وصجيات سفري</v>
      </c>
      <c r="E191" s="116">
        <f t="shared" si="11"/>
        <v>3.4482758620689657</v>
      </c>
      <c r="F191" s="155">
        <v>1</v>
      </c>
      <c r="G191" s="152">
        <v>3.4482758620689657</v>
      </c>
      <c r="H191" s="115">
        <f>VLOOKUP(B191,'All Menu'!B:J,9,0)</f>
        <v>0.71389816091954028</v>
      </c>
      <c r="I191" s="120">
        <f>VLOOKUP(B191,'All Menu'!B:M,12,0)</f>
        <v>0.79296953333333331</v>
      </c>
      <c r="J191" s="114">
        <f t="shared" si="12"/>
        <v>3.4482758620689657</v>
      </c>
      <c r="K191" s="117">
        <f t="shared" si="13"/>
        <v>0</v>
      </c>
      <c r="L191" s="118">
        <f>VLOOKUP(B191,'All Menu'!B:G,6,0)</f>
        <v>3.4482758620689657</v>
      </c>
      <c r="M191" s="118">
        <f t="shared" si="14"/>
        <v>0</v>
      </c>
      <c r="N191" s="151">
        <f ca="1">VLOOKUP(B191,'All Menu'!B:H,7,0)</f>
        <v>1</v>
      </c>
    </row>
    <row r="192" spans="1:14" s="151" customFormat="1" ht="14.5">
      <c r="A192" s="266" t="s">
        <v>2015</v>
      </c>
      <c r="B192" s="168" t="s">
        <v>915</v>
      </c>
      <c r="C192" s="151" t="s">
        <v>1562</v>
      </c>
      <c r="D192" s="115" t="str">
        <f>VLOOKUP(B192,'All Menu'!B:D,3,0)</f>
        <v>صواني وصجيات سفري</v>
      </c>
      <c r="E192" s="116">
        <f t="shared" si="11"/>
        <v>5.1724137931034484</v>
      </c>
      <c r="F192" s="155">
        <v>3</v>
      </c>
      <c r="G192" s="152">
        <v>15.517241379310345</v>
      </c>
      <c r="H192" s="115">
        <f>VLOOKUP(B192,'All Menu'!B:J,9,0)</f>
        <v>1.5146459770114944</v>
      </c>
      <c r="I192" s="120">
        <f>VLOOKUP(B192,'All Menu'!B:M,12,0)</f>
        <v>0.70716844444444438</v>
      </c>
      <c r="J192" s="114">
        <f t="shared" si="12"/>
        <v>15.517241379310345</v>
      </c>
      <c r="K192" s="117">
        <f t="shared" si="13"/>
        <v>0</v>
      </c>
      <c r="L192" s="118">
        <f>VLOOKUP(B192,'All Menu'!B:G,6,0)</f>
        <v>5.1724137931034484</v>
      </c>
      <c r="M192" s="118">
        <f t="shared" si="14"/>
        <v>0</v>
      </c>
      <c r="N192" s="151">
        <f ca="1">VLOOKUP(B192,'All Menu'!B:H,7,0)</f>
        <v>4.0009999999999994</v>
      </c>
    </row>
    <row r="193" spans="1:14" s="151" customFormat="1" ht="14.5">
      <c r="A193" s="266" t="s">
        <v>2015</v>
      </c>
      <c r="B193" s="168" t="s">
        <v>902</v>
      </c>
      <c r="C193" s="151" t="s">
        <v>1563</v>
      </c>
      <c r="D193" s="115" t="str">
        <f>VLOOKUP(B193,'All Menu'!B:D,3,0)</f>
        <v>صواني وصجيات سفري</v>
      </c>
      <c r="E193" s="116">
        <f t="shared" ref="E193:E256" si="15">G193/F193</f>
        <v>3.6637931034482762</v>
      </c>
      <c r="F193" s="155">
        <v>6</v>
      </c>
      <c r="G193" s="152">
        <v>21.982758620689658</v>
      </c>
      <c r="H193" s="115">
        <f>VLOOKUP(B193,'All Menu'!B:J,9,0)</f>
        <v>2.4239830634099619</v>
      </c>
      <c r="I193" s="120">
        <f>VLOOKUP(B193,'All Menu'!B:M,12,0)</f>
        <v>0.3383952109281046</v>
      </c>
      <c r="J193" s="114">
        <f t="shared" si="12"/>
        <v>21.982758620689658</v>
      </c>
      <c r="K193" s="117">
        <f t="shared" si="13"/>
        <v>0</v>
      </c>
      <c r="L193" s="118">
        <f>VLOOKUP(B193,'All Menu'!B:G,6,0)</f>
        <v>3.6637931034482762</v>
      </c>
      <c r="M193" s="118">
        <f t="shared" si="14"/>
        <v>0</v>
      </c>
      <c r="N193" s="151">
        <f ca="1">VLOOKUP(B193,'All Menu'!B:H,7,0)</f>
        <v>6</v>
      </c>
    </row>
    <row r="194" spans="1:14" s="151" customFormat="1" ht="14.5">
      <c r="A194" s="266" t="s">
        <v>2015</v>
      </c>
      <c r="B194" s="168" t="s">
        <v>916</v>
      </c>
      <c r="C194" s="151" t="s">
        <v>1554</v>
      </c>
      <c r="D194" s="115" t="str">
        <f>VLOOKUP(B194,'All Menu'!B:D,3,0)</f>
        <v>صواني وصجيات سفري</v>
      </c>
      <c r="E194" s="116">
        <f t="shared" si="15"/>
        <v>3.2327586206896552</v>
      </c>
      <c r="F194" s="155">
        <v>2</v>
      </c>
      <c r="G194" s="152">
        <v>6.4655172413793105</v>
      </c>
      <c r="H194" s="115">
        <f>VLOOKUP(B194,'All Menu'!B:J,9,0)</f>
        <v>1.5047888275862069</v>
      </c>
      <c r="I194" s="120">
        <f>VLOOKUP(B194,'All Menu'!B:M,12,0)</f>
        <v>0.53451865600000004</v>
      </c>
      <c r="J194" s="114">
        <f t="shared" si="12"/>
        <v>6.4655172413793105</v>
      </c>
      <c r="K194" s="117">
        <f t="shared" si="13"/>
        <v>0</v>
      </c>
      <c r="L194" s="118">
        <f>VLOOKUP(B194,'All Menu'!B:G,6,0)</f>
        <v>3.2327586206896552</v>
      </c>
      <c r="M194" s="118">
        <f t="shared" si="14"/>
        <v>0</v>
      </c>
      <c r="N194" s="151">
        <f ca="1">VLOOKUP(B194,'All Menu'!B:H,7,0)</f>
        <v>2</v>
      </c>
    </row>
    <row r="195" spans="1:14" s="151" customFormat="1" ht="14.5">
      <c r="A195" s="266" t="s">
        <v>2015</v>
      </c>
      <c r="B195" s="168" t="s">
        <v>923</v>
      </c>
      <c r="C195" s="151" t="s">
        <v>1552</v>
      </c>
      <c r="D195" s="115" t="str">
        <f>VLOOKUP(B195,'All Menu'!B:D,3,0)</f>
        <v>صواني وصجيات سفري</v>
      </c>
      <c r="E195" s="116">
        <f t="shared" si="15"/>
        <v>4.3103448275862073</v>
      </c>
      <c r="F195" s="155">
        <v>2</v>
      </c>
      <c r="G195" s="152">
        <v>8.6206896551724146</v>
      </c>
      <c r="H195" s="115">
        <f>VLOOKUP(B195,'All Menu'!B:J,9,0)</f>
        <v>3.2003989804597706</v>
      </c>
      <c r="I195" s="120">
        <f>VLOOKUP(B195,'All Menu'!B:M,12,0)</f>
        <v>0.2575074365333333</v>
      </c>
      <c r="J195" s="114">
        <f t="shared" si="12"/>
        <v>8.6206896551724146</v>
      </c>
      <c r="K195" s="117">
        <f t="shared" si="13"/>
        <v>0</v>
      </c>
      <c r="L195" s="118">
        <f>VLOOKUP(B195,'All Menu'!B:G,6,0)</f>
        <v>4.3103448275862073</v>
      </c>
      <c r="M195" s="118">
        <f t="shared" si="14"/>
        <v>0</v>
      </c>
      <c r="N195" s="151">
        <f ca="1">VLOOKUP(B195,'All Menu'!B:H,7,0)</f>
        <v>3</v>
      </c>
    </row>
    <row r="196" spans="1:14" s="151" customFormat="1" ht="14.5">
      <c r="A196" s="266" t="s">
        <v>2015</v>
      </c>
      <c r="B196" s="168" t="s">
        <v>921</v>
      </c>
      <c r="C196" s="151" t="s">
        <v>1823</v>
      </c>
      <c r="D196" s="115" t="str">
        <f>VLOOKUP(B196,'All Menu'!B:D,3,0)</f>
        <v>صواني وصجيات سفري</v>
      </c>
      <c r="E196" s="116">
        <f t="shared" si="15"/>
        <v>4.3103448275862073</v>
      </c>
      <c r="F196" s="155">
        <v>3</v>
      </c>
      <c r="G196" s="152">
        <v>12.931034482758623</v>
      </c>
      <c r="H196" s="115">
        <f>VLOOKUP(B196,'All Menu'!B:J,9,0)</f>
        <v>1.4357331804597702</v>
      </c>
      <c r="I196" s="120">
        <f>VLOOKUP(B196,'All Menu'!B:M,12,0)</f>
        <v>0.66690990213333334</v>
      </c>
      <c r="J196" s="114">
        <f t="shared" si="12"/>
        <v>12.931034482758623</v>
      </c>
      <c r="K196" s="117">
        <f t="shared" si="13"/>
        <v>0</v>
      </c>
      <c r="L196" s="118">
        <f>VLOOKUP(B196,'All Menu'!B:G,6,0)</f>
        <v>4.3103448275862073</v>
      </c>
      <c r="M196" s="118">
        <f t="shared" si="14"/>
        <v>0</v>
      </c>
      <c r="N196" s="151">
        <f ca="1">VLOOKUP(B196,'All Menu'!B:H,7,0)</f>
        <v>3</v>
      </c>
    </row>
    <row r="197" spans="1:14" s="151" customFormat="1" ht="14.5">
      <c r="A197" s="266" t="s">
        <v>2015</v>
      </c>
      <c r="B197" s="168" t="s">
        <v>1301</v>
      </c>
      <c r="C197" s="151" t="s">
        <v>1784</v>
      </c>
      <c r="D197" s="115" t="str">
        <f>VLOOKUP(B197,'All Menu'!B:D,3,0)</f>
        <v>صواني وصجيات سفري</v>
      </c>
      <c r="E197" s="116">
        <f t="shared" si="15"/>
        <v>12.068965517241381</v>
      </c>
      <c r="F197" s="155">
        <v>2</v>
      </c>
      <c r="G197" s="152">
        <v>24.137931034482762</v>
      </c>
      <c r="H197" s="115">
        <f>VLOOKUP(B197,'All Menu'!B:J,9,0)</f>
        <v>7.1477666666666666</v>
      </c>
      <c r="I197" s="120">
        <f>VLOOKUP(B197,'All Menu'!B:M,12,0)</f>
        <v>0.40775647619047628</v>
      </c>
      <c r="J197" s="114">
        <f t="shared" si="12"/>
        <v>24.137931034482762</v>
      </c>
      <c r="K197" s="117">
        <f t="shared" si="13"/>
        <v>0</v>
      </c>
      <c r="L197" s="118">
        <f>VLOOKUP(B197,'All Menu'!B:G,6,0)</f>
        <v>12.068965517241381</v>
      </c>
      <c r="M197" s="118">
        <f t="shared" si="14"/>
        <v>0</v>
      </c>
      <c r="N197" s="151">
        <f ca="1">VLOOKUP(B197,'All Menu'!B:H,7,0)</f>
        <v>6.5</v>
      </c>
    </row>
    <row r="198" spans="1:14" s="151" customFormat="1" ht="14.5">
      <c r="A198" s="266" t="s">
        <v>2015</v>
      </c>
      <c r="B198" s="168" t="s">
        <v>1302</v>
      </c>
      <c r="C198" s="151" t="s">
        <v>1824</v>
      </c>
      <c r="D198" s="115" t="str">
        <f>VLOOKUP(B198,'All Menu'!B:D,3,0)</f>
        <v>صواني وصجيات سفري</v>
      </c>
      <c r="E198" s="116">
        <f t="shared" si="15"/>
        <v>12.068965517241381</v>
      </c>
      <c r="F198" s="155">
        <v>6</v>
      </c>
      <c r="G198" s="152">
        <v>72.413793103448285</v>
      </c>
      <c r="H198" s="115">
        <f>VLOOKUP(B198,'All Menu'!B:J,9,0)</f>
        <v>6.5347266666666659</v>
      </c>
      <c r="I198" s="120">
        <f>VLOOKUP(B198,'All Menu'!B:M,12,0)</f>
        <v>0.4585512190476192</v>
      </c>
      <c r="J198" s="114">
        <f t="shared" si="12"/>
        <v>72.413793103448285</v>
      </c>
      <c r="K198" s="117">
        <f t="shared" si="13"/>
        <v>0</v>
      </c>
      <c r="L198" s="118">
        <f>VLOOKUP(B198,'All Menu'!B:G,6,0)</f>
        <v>12.068965517241381</v>
      </c>
      <c r="M198" s="118">
        <f t="shared" si="14"/>
        <v>0</v>
      </c>
      <c r="N198" s="151">
        <f ca="1">VLOOKUP(B198,'All Menu'!B:H,7,0)</f>
        <v>6</v>
      </c>
    </row>
    <row r="199" spans="1:14" s="151" customFormat="1" ht="14.5">
      <c r="A199" s="266" t="s">
        <v>2015</v>
      </c>
      <c r="B199" s="168" t="s">
        <v>1264</v>
      </c>
      <c r="C199" s="151" t="s">
        <v>1704</v>
      </c>
      <c r="D199" s="115" t="str">
        <f>VLOOKUP(B199,'All Menu'!B:D,3,0)</f>
        <v>طلبات مارت</v>
      </c>
      <c r="E199" s="116">
        <f t="shared" si="15"/>
        <v>14.99</v>
      </c>
      <c r="F199" s="155">
        <v>825</v>
      </c>
      <c r="G199" s="152">
        <v>12366.75</v>
      </c>
      <c r="H199" s="115">
        <f>VLOOKUP(B199,'All Menu'!B:J,9,0)</f>
        <v>11.779040583849017</v>
      </c>
      <c r="I199" s="120">
        <f>VLOOKUP(B199,'All Menu'!B:M,12,0)</f>
        <v>0.29719543519932395</v>
      </c>
      <c r="J199" s="114">
        <f t="shared" si="12"/>
        <v>13827.042350573662</v>
      </c>
      <c r="K199" s="117">
        <f t="shared" si="13"/>
        <v>-1460.2923505736617</v>
      </c>
      <c r="L199" s="118">
        <f>VLOOKUP(B199,'All Menu'!B:G,6,0)</f>
        <v>16.760051334028681</v>
      </c>
      <c r="M199" s="118">
        <f t="shared" si="14"/>
        <v>-1.7700513340286808</v>
      </c>
      <c r="N199" s="151">
        <f ca="1">VLOOKUP(B199,'All Menu'!B:H,7,0)</f>
        <v>825</v>
      </c>
    </row>
    <row r="200" spans="1:14" s="151" customFormat="1" ht="14.5">
      <c r="A200" s="266" t="s">
        <v>2015</v>
      </c>
      <c r="B200" s="168" t="s">
        <v>1250</v>
      </c>
      <c r="C200" s="151" t="s">
        <v>1706</v>
      </c>
      <c r="D200" s="115" t="str">
        <f>VLOOKUP(B200,'All Menu'!B:D,3,0)</f>
        <v>طلبات مارت</v>
      </c>
      <c r="E200" s="116">
        <f t="shared" si="15"/>
        <v>5.41</v>
      </c>
      <c r="F200" s="155">
        <v>4477</v>
      </c>
      <c r="G200" s="152">
        <v>24220.57</v>
      </c>
      <c r="H200" s="115">
        <f>VLOOKUP(B200,'All Menu'!B:J,9,0)</f>
        <v>4.3680474250000003</v>
      </c>
      <c r="I200" s="120">
        <f>VLOOKUP(B200,'All Menu'!B:M,12,0)</f>
        <v>0.29278086791678037</v>
      </c>
      <c r="J200" s="114">
        <f t="shared" si="12"/>
        <v>27651.610985297615</v>
      </c>
      <c r="K200" s="117">
        <f t="shared" si="13"/>
        <v>-3431.0409852976154</v>
      </c>
      <c r="L200" s="118">
        <f>VLOOKUP(B200,'All Menu'!B:G,6,0)</f>
        <v>6.1763705573593066</v>
      </c>
      <c r="M200" s="118">
        <f t="shared" si="14"/>
        <v>-0.76637055735930648</v>
      </c>
      <c r="N200" s="151">
        <f ca="1">VLOOKUP(B200,'All Menu'!B:H,7,0)</f>
        <v>4477</v>
      </c>
    </row>
    <row r="201" spans="1:14" s="151" customFormat="1" ht="14.5">
      <c r="A201" s="266" t="s">
        <v>2015</v>
      </c>
      <c r="B201" s="168" t="s">
        <v>1249</v>
      </c>
      <c r="C201" s="151" t="s">
        <v>1707</v>
      </c>
      <c r="D201" s="115" t="str">
        <f>VLOOKUP(B201,'All Menu'!B:D,3,0)</f>
        <v>طلبات مارت</v>
      </c>
      <c r="E201" s="116">
        <f t="shared" si="15"/>
        <v>5.41</v>
      </c>
      <c r="F201" s="155">
        <v>6117</v>
      </c>
      <c r="G201" s="152">
        <v>33092.97</v>
      </c>
      <c r="H201" s="115">
        <f>VLOOKUP(B201,'All Menu'!B:J,9,0)</f>
        <v>4.3680474250000003</v>
      </c>
      <c r="I201" s="120">
        <f>VLOOKUP(B201,'All Menu'!B:M,12,0)</f>
        <v>0.29278086791678037</v>
      </c>
      <c r="J201" s="114">
        <f t="shared" si="12"/>
        <v>37780.85869936688</v>
      </c>
      <c r="K201" s="117">
        <f t="shared" si="13"/>
        <v>-4687.8886993668784</v>
      </c>
      <c r="L201" s="118">
        <f>VLOOKUP(B201,'All Menu'!B:G,6,0)</f>
        <v>6.1763705573593066</v>
      </c>
      <c r="M201" s="118">
        <f t="shared" si="14"/>
        <v>-0.76637055735930648</v>
      </c>
      <c r="N201" s="151">
        <f ca="1">VLOOKUP(B201,'All Menu'!B:H,7,0)</f>
        <v>6117</v>
      </c>
    </row>
    <row r="202" spans="1:14" s="151" customFormat="1" ht="14.5">
      <c r="A202" s="266" t="s">
        <v>2015</v>
      </c>
      <c r="B202" s="168" t="s">
        <v>1251</v>
      </c>
      <c r="C202" s="151" t="s">
        <v>1708</v>
      </c>
      <c r="D202" s="115" t="str">
        <f>VLOOKUP(B202,'All Menu'!B:D,3,0)</f>
        <v>طلبات مارت</v>
      </c>
      <c r="E202" s="116">
        <f t="shared" si="15"/>
        <v>5.41</v>
      </c>
      <c r="F202" s="155">
        <v>6707</v>
      </c>
      <c r="G202" s="152">
        <v>36284.870000000003</v>
      </c>
      <c r="H202" s="115">
        <f>VLOOKUP(B202,'All Menu'!B:J,9,0)</f>
        <v>4.0675474249999999</v>
      </c>
      <c r="I202" s="120">
        <f>VLOOKUP(B202,'All Menu'!B:M,12,0)</f>
        <v>0.34143403683035001</v>
      </c>
      <c r="J202" s="114">
        <f t="shared" si="12"/>
        <v>41424.917328208867</v>
      </c>
      <c r="K202" s="117">
        <f t="shared" si="13"/>
        <v>-5140.0473282088642</v>
      </c>
      <c r="L202" s="118">
        <f>VLOOKUP(B202,'All Menu'!B:G,6,0)</f>
        <v>6.1763705573593066</v>
      </c>
      <c r="M202" s="118">
        <f t="shared" si="14"/>
        <v>-0.76637055735930648</v>
      </c>
      <c r="N202" s="151">
        <f ca="1">VLOOKUP(B202,'All Menu'!B:H,7,0)</f>
        <v>6707</v>
      </c>
    </row>
    <row r="203" spans="1:14" s="151" customFormat="1" ht="14.5">
      <c r="A203" s="266" t="s">
        <v>2015</v>
      </c>
      <c r="B203" s="168" t="s">
        <v>1263</v>
      </c>
      <c r="C203" s="151" t="s">
        <v>1709</v>
      </c>
      <c r="D203" s="115" t="str">
        <f>VLOOKUP(B203,'All Menu'!B:D,3,0)</f>
        <v>طلبات مارت</v>
      </c>
      <c r="E203" s="116">
        <f t="shared" si="15"/>
        <v>5.89</v>
      </c>
      <c r="F203" s="155">
        <v>4516</v>
      </c>
      <c r="G203" s="152">
        <v>26599.239999999998</v>
      </c>
      <c r="H203" s="115">
        <f>VLOOKUP(B203,'All Menu'!B:J,9,0)</f>
        <v>4.6685474249999999</v>
      </c>
      <c r="I203" s="120">
        <f>VLOOKUP(B203,'All Menu'!B:M,12,0)</f>
        <v>0.28968192146566296</v>
      </c>
      <c r="J203" s="114">
        <f t="shared" si="12"/>
        <v>29681.294631839828</v>
      </c>
      <c r="K203" s="117">
        <f t="shared" si="13"/>
        <v>-3082.0546318398301</v>
      </c>
      <c r="L203" s="118">
        <f>VLOOKUP(B203,'All Menu'!B:G,6,0)</f>
        <v>6.5724744534632036</v>
      </c>
      <c r="M203" s="118">
        <f t="shared" si="14"/>
        <v>-0.6824744534632039</v>
      </c>
      <c r="N203" s="151">
        <f ca="1">VLOOKUP(B203,'All Menu'!B:H,7,0)</f>
        <v>4516</v>
      </c>
    </row>
    <row r="204" spans="1:14" s="151" customFormat="1" ht="14.5">
      <c r="A204" s="266" t="s">
        <v>2015</v>
      </c>
      <c r="B204" s="168" t="s">
        <v>1262</v>
      </c>
      <c r="C204" s="151" t="s">
        <v>1710</v>
      </c>
      <c r="D204" s="115" t="str">
        <f>VLOOKUP(B204,'All Menu'!B:D,3,0)</f>
        <v>طلبات مارت</v>
      </c>
      <c r="E204" s="116">
        <f t="shared" si="15"/>
        <v>8.2899999999999991</v>
      </c>
      <c r="F204" s="155">
        <v>1423</v>
      </c>
      <c r="G204" s="152">
        <v>11796.669999999998</v>
      </c>
      <c r="H204" s="115">
        <f>VLOOKUP(B204,'All Menu'!B:J,9,0)</f>
        <v>7.163547425</v>
      </c>
      <c r="I204" s="120">
        <f>VLOOKUP(B204,'All Menu'!B:M,12,0)</f>
        <v>0.25903362600156088</v>
      </c>
      <c r="J204" s="114">
        <f t="shared" si="12"/>
        <v>13757.342226971927</v>
      </c>
      <c r="K204" s="117">
        <f t="shared" si="13"/>
        <v>-1960.6722269719285</v>
      </c>
      <c r="L204" s="118">
        <f>VLOOKUP(B204,'All Menu'!B:G,6,0)</f>
        <v>9.6678441510695201</v>
      </c>
      <c r="M204" s="118">
        <f t="shared" si="14"/>
        <v>-1.377844151069521</v>
      </c>
      <c r="N204" s="151">
        <f ca="1">VLOOKUP(B204,'All Menu'!B:H,7,0)</f>
        <v>1423</v>
      </c>
    </row>
    <row r="205" spans="1:14" s="151" customFormat="1" ht="14.5">
      <c r="A205" s="266" t="s">
        <v>2015</v>
      </c>
      <c r="B205" s="168" t="s">
        <v>1261</v>
      </c>
      <c r="C205" s="151" t="s">
        <v>1711</v>
      </c>
      <c r="D205" s="115" t="str">
        <f>VLOOKUP(B205,'All Menu'!B:D,3,0)</f>
        <v>طلبات مارت</v>
      </c>
      <c r="E205" s="116">
        <f t="shared" si="15"/>
        <v>5.05</v>
      </c>
      <c r="F205" s="155">
        <v>1326</v>
      </c>
      <c r="G205" s="152">
        <v>6696.3</v>
      </c>
      <c r="H205" s="115">
        <f>VLOOKUP(B205,'All Menu'!B:J,9,0)</f>
        <v>4.1239444250000004</v>
      </c>
      <c r="I205" s="120">
        <f>VLOOKUP(B205,'All Menu'!B:M,12,0)</f>
        <v>0.30396573261618459</v>
      </c>
      <c r="J205" s="114">
        <f t="shared" si="12"/>
        <v>7856.4383447727269</v>
      </c>
      <c r="K205" s="117">
        <f t="shared" si="13"/>
        <v>-1160.1383447727267</v>
      </c>
      <c r="L205" s="118">
        <f>VLOOKUP(B205,'All Menu'!B:G,6,0)</f>
        <v>5.9249157954545453</v>
      </c>
      <c r="M205" s="118">
        <f t="shared" si="14"/>
        <v>-0.87491579545454545</v>
      </c>
      <c r="N205" s="151">
        <f ca="1">VLOOKUP(B205,'All Menu'!B:H,7,0)</f>
        <v>1326</v>
      </c>
    </row>
    <row r="206" spans="1:14" s="151" customFormat="1" ht="14.5">
      <c r="A206" s="266" t="s">
        <v>2015</v>
      </c>
      <c r="B206" s="168" t="s">
        <v>1260</v>
      </c>
      <c r="C206" s="151" t="s">
        <v>1712</v>
      </c>
      <c r="D206" s="115" t="str">
        <f>VLOOKUP(B206,'All Menu'!B:D,3,0)</f>
        <v>طلبات مارت</v>
      </c>
      <c r="E206" s="116">
        <f t="shared" si="15"/>
        <v>5.89</v>
      </c>
      <c r="F206" s="155">
        <v>1764</v>
      </c>
      <c r="G206" s="152">
        <v>10389.959999999999</v>
      </c>
      <c r="H206" s="115">
        <f>VLOOKUP(B206,'All Menu'!B:J,9,0)</f>
        <v>4.6685474249999999</v>
      </c>
      <c r="I206" s="120">
        <f>VLOOKUP(B206,'All Menu'!B:M,12,0)</f>
        <v>0.28968192146566296</v>
      </c>
      <c r="J206" s="114">
        <f t="shared" si="12"/>
        <v>11593.844935909092</v>
      </c>
      <c r="K206" s="117">
        <f t="shared" si="13"/>
        <v>-1203.8849359090927</v>
      </c>
      <c r="L206" s="118">
        <f>VLOOKUP(B206,'All Menu'!B:G,6,0)</f>
        <v>6.5724744534632036</v>
      </c>
      <c r="M206" s="118">
        <f t="shared" si="14"/>
        <v>-0.6824744534632039</v>
      </c>
      <c r="N206" s="151">
        <f ca="1">VLOOKUP(B206,'All Menu'!B:H,7,0)</f>
        <v>1764</v>
      </c>
    </row>
    <row r="207" spans="1:14" s="151" customFormat="1" ht="14.5">
      <c r="A207" s="266" t="s">
        <v>2015</v>
      </c>
      <c r="B207" s="168" t="s">
        <v>1259</v>
      </c>
      <c r="C207" s="151" t="s">
        <v>1713</v>
      </c>
      <c r="D207" s="115" t="str">
        <f>VLOOKUP(B207,'All Menu'!B:D,3,0)</f>
        <v>طلبات مارت</v>
      </c>
      <c r="E207" s="116">
        <f t="shared" si="15"/>
        <v>8.84</v>
      </c>
      <c r="F207" s="155">
        <v>482</v>
      </c>
      <c r="G207" s="152">
        <v>4260.88</v>
      </c>
      <c r="H207" s="115">
        <f>VLOOKUP(B207,'All Menu'!B:J,9,0)</f>
        <v>6.453547425</v>
      </c>
      <c r="I207" s="120">
        <f>VLOOKUP(B207,'All Menu'!B:M,12,0)</f>
        <v>0.34203906747466206</v>
      </c>
      <c r="J207" s="114">
        <f t="shared" si="12"/>
        <v>4727.6513012878786</v>
      </c>
      <c r="K207" s="117">
        <f t="shared" si="13"/>
        <v>-466.77130128787849</v>
      </c>
      <c r="L207" s="118">
        <f>VLOOKUP(B207,'All Menu'!B:G,6,0)</f>
        <v>9.8084051893939392</v>
      </c>
      <c r="M207" s="118">
        <f t="shared" si="14"/>
        <v>-0.96840518939393938</v>
      </c>
      <c r="N207" s="151">
        <f ca="1">VLOOKUP(B207,'All Menu'!B:H,7,0)</f>
        <v>482</v>
      </c>
    </row>
    <row r="208" spans="1:14" s="151" customFormat="1" ht="14.5">
      <c r="A208" s="266" t="s">
        <v>2015</v>
      </c>
      <c r="B208" s="168" t="s">
        <v>1258</v>
      </c>
      <c r="C208" s="151" t="s">
        <v>1714</v>
      </c>
      <c r="D208" s="115" t="str">
        <f>VLOOKUP(B208,'All Menu'!B:D,3,0)</f>
        <v>طلبات مارت</v>
      </c>
      <c r="E208" s="116">
        <f t="shared" si="15"/>
        <v>5.41</v>
      </c>
      <c r="F208" s="155">
        <v>2323</v>
      </c>
      <c r="G208" s="152">
        <v>12567.43</v>
      </c>
      <c r="H208" s="115">
        <f>VLOOKUP(B208,'All Menu'!B:J,9,0)</f>
        <v>4.1746960916666662</v>
      </c>
      <c r="I208" s="120">
        <f>VLOOKUP(B208,'All Menu'!B:M,12,0)</f>
        <v>0.29749825485516562</v>
      </c>
      <c r="J208" s="114">
        <f t="shared" si="12"/>
        <v>13804.690291470055</v>
      </c>
      <c r="K208" s="117">
        <f t="shared" si="13"/>
        <v>-1237.2602914700547</v>
      </c>
      <c r="L208" s="118">
        <f>VLOOKUP(B208,'All Menu'!B:G,6,0)</f>
        <v>5.9426131259018744</v>
      </c>
      <c r="M208" s="118">
        <f t="shared" si="14"/>
        <v>-0.53261312590187426</v>
      </c>
      <c r="N208" s="151">
        <f ca="1">VLOOKUP(B208,'All Menu'!B:H,7,0)</f>
        <v>2323</v>
      </c>
    </row>
    <row r="209" spans="1:14" s="151" customFormat="1" ht="14.5">
      <c r="A209" s="266" t="s">
        <v>2015</v>
      </c>
      <c r="B209" s="168" t="s">
        <v>1257</v>
      </c>
      <c r="C209" s="151" t="s">
        <v>1715</v>
      </c>
      <c r="D209" s="115" t="str">
        <f>VLOOKUP(B209,'All Menu'!B:D,3,0)</f>
        <v>طلبات مارت</v>
      </c>
      <c r="E209" s="116">
        <f t="shared" si="15"/>
        <v>8.84</v>
      </c>
      <c r="F209" s="155">
        <v>618</v>
      </c>
      <c r="G209" s="152">
        <v>5463.12</v>
      </c>
      <c r="H209" s="115">
        <f>VLOOKUP(B209,'All Menu'!B:J,9,0)</f>
        <v>6.453547425</v>
      </c>
      <c r="I209" s="120">
        <f>VLOOKUP(B209,'All Menu'!B:M,12,0)</f>
        <v>0.34203906747466206</v>
      </c>
      <c r="J209" s="114">
        <f t="shared" si="12"/>
        <v>6061.5944070454543</v>
      </c>
      <c r="K209" s="117">
        <f t="shared" si="13"/>
        <v>-598.47440704545443</v>
      </c>
      <c r="L209" s="118">
        <f>VLOOKUP(B209,'All Menu'!B:G,6,0)</f>
        <v>9.8084051893939392</v>
      </c>
      <c r="M209" s="118">
        <f t="shared" si="14"/>
        <v>-0.96840518939393938</v>
      </c>
      <c r="N209" s="151">
        <f ca="1">VLOOKUP(B209,'All Menu'!B:H,7,0)</f>
        <v>618</v>
      </c>
    </row>
    <row r="210" spans="1:14" s="151" customFormat="1" ht="14.5">
      <c r="A210" s="266" t="s">
        <v>2015</v>
      </c>
      <c r="B210" s="168" t="s">
        <v>1255</v>
      </c>
      <c r="C210" s="151" t="s">
        <v>1717</v>
      </c>
      <c r="D210" s="115" t="str">
        <f>VLOOKUP(B210,'All Menu'!B:D,3,0)</f>
        <v>طلبات مارت</v>
      </c>
      <c r="E210" s="116">
        <f t="shared" si="15"/>
        <v>2.87</v>
      </c>
      <c r="F210" s="155">
        <v>548</v>
      </c>
      <c r="G210" s="152">
        <v>1572.76</v>
      </c>
      <c r="H210" s="115">
        <f>VLOOKUP(B210,'All Menu'!B:J,9,0)</f>
        <v>2.2635474250000001</v>
      </c>
      <c r="I210" s="120">
        <f>VLOOKUP(B210,'All Menu'!B:M,12,0)</f>
        <v>0.26936693846479159</v>
      </c>
      <c r="J210" s="114">
        <f t="shared" si="12"/>
        <v>1697.7386518666667</v>
      </c>
      <c r="K210" s="117">
        <f t="shared" si="13"/>
        <v>-124.97865186666672</v>
      </c>
      <c r="L210" s="118">
        <f>VLOOKUP(B210,'All Menu'!B:G,6,0)</f>
        <v>3.0980632333333333</v>
      </c>
      <c r="M210" s="118">
        <f t="shared" si="14"/>
        <v>-0.22806323333333323</v>
      </c>
      <c r="N210" s="151">
        <f ca="1">VLOOKUP(B210,'All Menu'!B:H,7,0)</f>
        <v>548</v>
      </c>
    </row>
    <row r="211" spans="1:14" s="151" customFormat="1" ht="14.5">
      <c r="A211" s="266" t="s">
        <v>2015</v>
      </c>
      <c r="B211" s="168" t="s">
        <v>1288</v>
      </c>
      <c r="C211" s="151" t="s">
        <v>1872</v>
      </c>
      <c r="D211" s="115" t="str">
        <f>VLOOKUP(B211,'All Menu'!B:D,3,0)</f>
        <v>طلبات مارت</v>
      </c>
      <c r="E211" s="116">
        <f t="shared" si="15"/>
        <v>1.5</v>
      </c>
      <c r="F211" s="155">
        <v>364</v>
      </c>
      <c r="G211" s="152">
        <v>546</v>
      </c>
      <c r="H211" s="115">
        <f>VLOOKUP(B211,'All Menu'!B:J,9,0)</f>
        <v>1.413547425</v>
      </c>
      <c r="I211" s="120">
        <f>VLOOKUP(B211,'All Menu'!B:M,12,0)</f>
        <v>0.36687392297536675</v>
      </c>
      <c r="J211" s="114">
        <f t="shared" si="12"/>
        <v>812.6837313636363</v>
      </c>
      <c r="K211" s="117">
        <f t="shared" si="13"/>
        <v>-266.6837313636363</v>
      </c>
      <c r="L211" s="118">
        <f>VLOOKUP(B211,'All Menu'!B:G,6,0)</f>
        <v>2.2326476136363635</v>
      </c>
      <c r="M211" s="118">
        <f t="shared" si="14"/>
        <v>-0.73264761363636355</v>
      </c>
      <c r="N211" s="151">
        <f ca="1">VLOOKUP(B211,'All Menu'!B:H,7,0)</f>
        <v>364</v>
      </c>
    </row>
    <row r="212" spans="1:14" s="151" customFormat="1" ht="14.5">
      <c r="A212" s="266" t="s">
        <v>2015</v>
      </c>
      <c r="B212" s="168" t="s">
        <v>1269</v>
      </c>
      <c r="C212" s="151" t="s">
        <v>1873</v>
      </c>
      <c r="D212" s="115" t="str">
        <f>VLOOKUP(B212,'All Menu'!B:D,3,0)</f>
        <v>طلبات مارت</v>
      </c>
      <c r="E212" s="116">
        <f t="shared" si="15"/>
        <v>16.32</v>
      </c>
      <c r="F212" s="155">
        <v>4</v>
      </c>
      <c r="G212" s="152">
        <v>65.28</v>
      </c>
      <c r="H212" s="115">
        <f>VLOOKUP(B212,'All Menu'!B:J,9,0)</f>
        <v>11.779040583849017</v>
      </c>
      <c r="I212" s="120">
        <f>VLOOKUP(B212,'All Menu'!B:M,12,0)</f>
        <v>0.29719543519932395</v>
      </c>
      <c r="J212" s="114">
        <f t="shared" si="12"/>
        <v>67.040205336114724</v>
      </c>
      <c r="K212" s="117">
        <f t="shared" si="13"/>
        <v>-1.7602053361147227</v>
      </c>
      <c r="L212" s="118">
        <f>VLOOKUP(B212,'All Menu'!B:G,6,0)</f>
        <v>16.760051334028681</v>
      </c>
      <c r="M212" s="118">
        <f t="shared" si="14"/>
        <v>-0.44005133402868069</v>
      </c>
      <c r="N212" s="151">
        <f ca="1">VLOOKUP(B212,'All Menu'!B:H,7,0)</f>
        <v>4</v>
      </c>
    </row>
    <row r="213" spans="1:14" s="151" customFormat="1" ht="14.5">
      <c r="A213" s="266" t="s">
        <v>2015</v>
      </c>
      <c r="B213" s="168" t="s">
        <v>1268</v>
      </c>
      <c r="C213" s="151" t="s">
        <v>799</v>
      </c>
      <c r="D213" s="115" t="str">
        <f>VLOOKUP(B213,'All Menu'!B:D,3,0)</f>
        <v>طلبات مارت</v>
      </c>
      <c r="E213" s="116">
        <f t="shared" si="15"/>
        <v>3.9000000000000004</v>
      </c>
      <c r="F213" s="155">
        <v>536</v>
      </c>
      <c r="G213" s="152">
        <v>2090.4</v>
      </c>
      <c r="H213" s="115">
        <f>VLOOKUP(B213,'All Menu'!B:J,9,0)</f>
        <v>1.9238825161031603</v>
      </c>
      <c r="I213" s="120">
        <f>VLOOKUP(B213,'All Menu'!B:M,12,0)</f>
        <v>0.27398262764072678</v>
      </c>
      <c r="J213" s="114">
        <f t="shared" si="12"/>
        <v>1420.3531043345326</v>
      </c>
      <c r="K213" s="117">
        <f t="shared" si="13"/>
        <v>670.04689566546745</v>
      </c>
      <c r="L213" s="118">
        <f>VLOOKUP(B213,'All Menu'!B:G,6,0)</f>
        <v>2.6499125080868144</v>
      </c>
      <c r="M213" s="118">
        <f t="shared" si="14"/>
        <v>1.2500874919131859</v>
      </c>
      <c r="N213" s="151">
        <f ca="1">VLOOKUP(B213,'All Menu'!B:H,7,0)</f>
        <v>536</v>
      </c>
    </row>
    <row r="214" spans="1:14" s="151" customFormat="1" ht="14.5">
      <c r="A214" s="266" t="s">
        <v>2015</v>
      </c>
      <c r="B214" s="168" t="s">
        <v>1265</v>
      </c>
      <c r="C214" s="151" t="s">
        <v>1720</v>
      </c>
      <c r="D214" s="115" t="str">
        <f>VLOOKUP(B214,'All Menu'!B:D,3,0)</f>
        <v>طلبات مارت</v>
      </c>
      <c r="E214" s="116">
        <f t="shared" si="15"/>
        <v>14.989999999999998</v>
      </c>
      <c r="F214" s="155">
        <v>669</v>
      </c>
      <c r="G214" s="152">
        <v>10028.31</v>
      </c>
      <c r="H214" s="115">
        <f>VLOOKUP(B214,'All Menu'!B:J,9,0)</f>
        <v>11.779040583849017</v>
      </c>
      <c r="I214" s="120">
        <f>VLOOKUP(B214,'All Menu'!B:M,12,0)</f>
        <v>0.29719543519932395</v>
      </c>
      <c r="J214" s="114">
        <f t="shared" si="12"/>
        <v>11212.474342465188</v>
      </c>
      <c r="K214" s="117">
        <f t="shared" si="13"/>
        <v>-1184.1643424651884</v>
      </c>
      <c r="L214" s="118">
        <f>VLOOKUP(B214,'All Menu'!B:G,6,0)</f>
        <v>16.760051334028681</v>
      </c>
      <c r="M214" s="118">
        <f t="shared" si="14"/>
        <v>-1.7700513340286825</v>
      </c>
      <c r="N214" s="151">
        <f ca="1">VLOOKUP(B214,'All Menu'!B:H,7,0)</f>
        <v>669</v>
      </c>
    </row>
    <row r="215" spans="1:14" s="151" customFormat="1" ht="14.5">
      <c r="A215" s="266" t="s">
        <v>2015</v>
      </c>
      <c r="B215" s="168">
        <v>1223965891925</v>
      </c>
      <c r="C215" s="151" t="s">
        <v>1928</v>
      </c>
      <c r="D215" s="115" t="str">
        <f>VLOOKUP(B215,'All Menu'!B:D,3,0)</f>
        <v>طلبات مارت</v>
      </c>
      <c r="E215" s="116">
        <f t="shared" si="15"/>
        <v>5.78</v>
      </c>
      <c r="F215" s="155">
        <v>13</v>
      </c>
      <c r="G215" s="152">
        <v>75.14</v>
      </c>
      <c r="H215" s="115">
        <f>VLOOKUP(B215,'All Menu'!B:J,9,0)</f>
        <v>3.3018352231800763</v>
      </c>
      <c r="I215" s="120">
        <f>VLOOKUP(B215,'All Menu'!B:M,12,0)</f>
        <v>0.2408027236364344</v>
      </c>
      <c r="J215" s="114">
        <f t="shared" si="12"/>
        <v>56.538477201787991</v>
      </c>
      <c r="K215" s="117">
        <f t="shared" si="13"/>
        <v>18.601522798212009</v>
      </c>
      <c r="L215" s="118">
        <f>VLOOKUP(B215,'All Menu'!B:G,6,0)</f>
        <v>4.3491136309067686</v>
      </c>
      <c r="M215" s="118">
        <f t="shared" si="14"/>
        <v>1.4308863690932316</v>
      </c>
      <c r="N215" s="151">
        <f ca="1">VLOOKUP(B215,'All Menu'!B:H,7,0)</f>
        <v>13</v>
      </c>
    </row>
    <row r="216" spans="1:14" s="151" customFormat="1" ht="14.5">
      <c r="A216" s="266" t="s">
        <v>2015</v>
      </c>
      <c r="B216" s="168">
        <v>1223965891928</v>
      </c>
      <c r="C216" s="151" t="s">
        <v>1929</v>
      </c>
      <c r="D216" s="115" t="str">
        <f>VLOOKUP(B216,'All Menu'!B:D,3,0)</f>
        <v>طلبات مارت</v>
      </c>
      <c r="E216" s="116">
        <f t="shared" si="15"/>
        <v>6.8</v>
      </c>
      <c r="F216" s="155">
        <v>111</v>
      </c>
      <c r="G216" s="152">
        <v>754.8</v>
      </c>
      <c r="H216" s="115">
        <f>VLOOKUP(B216,'All Menu'!B:J,9,0)</f>
        <v>4.6379191516516514</v>
      </c>
      <c r="I216" s="120">
        <f>VLOOKUP(B216,'All Menu'!B:M,12,0)</f>
        <v>0.32015891527729734</v>
      </c>
      <c r="J216" s="114">
        <f t="shared" si="12"/>
        <v>757.24906511544009</v>
      </c>
      <c r="K216" s="117">
        <f t="shared" si="13"/>
        <v>-2.4490651154401348</v>
      </c>
      <c r="L216" s="118">
        <f>VLOOKUP(B216,'All Menu'!B:G,6,0)</f>
        <v>6.8220636496886495</v>
      </c>
      <c r="M216" s="118">
        <f t="shared" si="14"/>
        <v>-2.2063649688649711E-2</v>
      </c>
      <c r="N216" s="151">
        <f ca="1">VLOOKUP(B216,'All Menu'!B:H,7,0)</f>
        <v>111</v>
      </c>
    </row>
    <row r="217" spans="1:14" s="151" customFormat="1" ht="14.5">
      <c r="A217" s="266" t="s">
        <v>2015</v>
      </c>
      <c r="B217" s="168">
        <v>1223965891929</v>
      </c>
      <c r="C217" s="151" t="s">
        <v>1930</v>
      </c>
      <c r="D217" s="115" t="str">
        <f>VLOOKUP(B217,'All Menu'!B:D,3,0)</f>
        <v>طلبات مارت</v>
      </c>
      <c r="E217" s="116">
        <f t="shared" si="15"/>
        <v>4.9800000000000004</v>
      </c>
      <c r="F217" s="155">
        <v>94</v>
      </c>
      <c r="G217" s="152">
        <v>468.12000000000006</v>
      </c>
      <c r="H217" s="115">
        <f>VLOOKUP(B217,'All Menu'!B:J,9,0)</f>
        <v>3.8412006515459138</v>
      </c>
      <c r="I217" s="120">
        <f>VLOOKUP(B217,'All Menu'!B:M,12,0)</f>
        <v>0.35015072115921742</v>
      </c>
      <c r="J217" s="114">
        <f t="shared" si="12"/>
        <v>555.62554734138769</v>
      </c>
      <c r="K217" s="117">
        <f t="shared" si="13"/>
        <v>-87.505547341387626</v>
      </c>
      <c r="L217" s="118">
        <f>VLOOKUP(B217,'All Menu'!B:G,6,0)</f>
        <v>5.9109100780998691</v>
      </c>
      <c r="M217" s="118">
        <f t="shared" si="14"/>
        <v>-0.9309100780998687</v>
      </c>
      <c r="N217" s="151">
        <f ca="1">VLOOKUP(B217,'All Menu'!B:H,7,0)</f>
        <v>94</v>
      </c>
    </row>
    <row r="218" spans="1:14" s="151" customFormat="1" ht="14.5">
      <c r="A218" s="266" t="s">
        <v>2015</v>
      </c>
      <c r="B218" s="168">
        <v>1223965891930</v>
      </c>
      <c r="C218" s="151" t="s">
        <v>1931</v>
      </c>
      <c r="D218" s="115" t="str">
        <f>VLOOKUP(B218,'All Menu'!B:D,3,0)</f>
        <v>طلبات مارت</v>
      </c>
      <c r="E218" s="116">
        <f t="shared" si="15"/>
        <v>14.66</v>
      </c>
      <c r="F218" s="155">
        <v>153</v>
      </c>
      <c r="G218" s="152">
        <v>2242.98</v>
      </c>
      <c r="H218" s="115">
        <f>VLOOKUP(B218,'All Menu'!B:J,9,0)</f>
        <v>9.9118654356602196</v>
      </c>
      <c r="I218" s="120">
        <f>VLOOKUP(B218,'All Menu'!B:M,12,0)</f>
        <v>0.21933686300517927</v>
      </c>
      <c r="J218" s="114">
        <f t="shared" si="12"/>
        <v>1942.5989774461129</v>
      </c>
      <c r="K218" s="117">
        <f t="shared" si="13"/>
        <v>300.38102255388708</v>
      </c>
      <c r="L218" s="118">
        <f>VLOOKUP(B218,'All Menu'!B:G,6,0)</f>
        <v>12.696725342785053</v>
      </c>
      <c r="M218" s="118">
        <f t="shared" si="14"/>
        <v>1.9632746572149475</v>
      </c>
      <c r="N218" s="151">
        <f ca="1">VLOOKUP(B218,'All Menu'!B:H,7,0)</f>
        <v>153</v>
      </c>
    </row>
    <row r="219" spans="1:14" s="151" customFormat="1" ht="14.5">
      <c r="A219" s="266" t="s">
        <v>2015</v>
      </c>
      <c r="B219" s="168">
        <v>1223965891949</v>
      </c>
      <c r="C219" s="151" t="s">
        <v>2107</v>
      </c>
      <c r="D219" s="115" t="str">
        <f>VLOOKUP(B219,'All Menu'!B:D,3,0)</f>
        <v>طلبات مارت</v>
      </c>
      <c r="E219" s="116">
        <f t="shared" si="15"/>
        <v>5.58</v>
      </c>
      <c r="F219" s="155">
        <v>496</v>
      </c>
      <c r="G219" s="152">
        <v>2767.68</v>
      </c>
      <c r="H219" s="115">
        <f>VLOOKUP(B219,'All Menu'!B:J,9,0)</f>
        <v>5.413547425</v>
      </c>
      <c r="I219" s="120">
        <f>VLOOKUP(B219,'All Menu'!B:M,12,0)</f>
        <v>0.26127913161309557</v>
      </c>
      <c r="J219" s="114">
        <f t="shared" si="12"/>
        <v>3634.8228914438505</v>
      </c>
      <c r="K219" s="117">
        <f t="shared" si="13"/>
        <v>-867.14289144385066</v>
      </c>
      <c r="L219" s="118">
        <f>VLOOKUP(B219,'All Menu'!B:G,6,0)</f>
        <v>7.32827195855615</v>
      </c>
      <c r="M219" s="118">
        <f t="shared" si="14"/>
        <v>-1.7482719585561499</v>
      </c>
      <c r="N219" s="151">
        <f ca="1">VLOOKUP(B219,'All Menu'!B:H,7,0)</f>
        <v>496</v>
      </c>
    </row>
    <row r="220" spans="1:14" s="151" customFormat="1" ht="14.5">
      <c r="A220" s="266" t="s">
        <v>2015</v>
      </c>
      <c r="B220" s="168" t="s">
        <v>933</v>
      </c>
      <c r="C220" s="151" t="s">
        <v>1566</v>
      </c>
      <c r="D220" s="115" t="str">
        <f>VLOOKUP(B220,'All Menu'!B:D,3,0)</f>
        <v>عجين سفري</v>
      </c>
      <c r="E220" s="116">
        <f t="shared" si="15"/>
        <v>1.0514122938530734</v>
      </c>
      <c r="F220" s="155">
        <v>46</v>
      </c>
      <c r="G220" s="152">
        <v>48.36496551724138</v>
      </c>
      <c r="H220" s="115">
        <f>VLOOKUP(B220,'All Menu'!B:J,9,0)</f>
        <v>0.41229306694343532</v>
      </c>
      <c r="I220" s="120">
        <f>VLOOKUP(B220,'All Menu'!B:M,12,0)</f>
        <v>0.61739203387649211</v>
      </c>
      <c r="J220" s="114">
        <f t="shared" si="12"/>
        <v>49.568965517241381</v>
      </c>
      <c r="K220" s="117">
        <f t="shared" si="13"/>
        <v>-1.2040000000000006</v>
      </c>
      <c r="L220" s="118">
        <f>VLOOKUP(B220,'All Menu'!B:G,6,0)</f>
        <v>1.0775862068965518</v>
      </c>
      <c r="M220" s="118">
        <f t="shared" si="14"/>
        <v>-2.6173913043478381E-2</v>
      </c>
      <c r="N220" s="151">
        <f ca="1">VLOOKUP(B220,'All Menu'!B:H,7,0)</f>
        <v>106</v>
      </c>
    </row>
    <row r="221" spans="1:14" s="151" customFormat="1" ht="14.5">
      <c r="A221" s="266" t="s">
        <v>2015</v>
      </c>
      <c r="B221" s="168" t="s">
        <v>930</v>
      </c>
      <c r="C221" s="151" t="s">
        <v>1568</v>
      </c>
      <c r="D221" s="115" t="str">
        <f>VLOOKUP(B221,'All Menu'!B:D,3,0)</f>
        <v>عجين سفري</v>
      </c>
      <c r="E221" s="116">
        <f t="shared" si="15"/>
        <v>0.99887192118226609</v>
      </c>
      <c r="F221" s="155">
        <v>14</v>
      </c>
      <c r="G221" s="152">
        <v>13.984206896551726</v>
      </c>
      <c r="H221" s="115">
        <f>VLOOKUP(B221,'All Menu'!B:J,9,0)</f>
        <v>0.39583829194343534</v>
      </c>
      <c r="I221" s="120">
        <f>VLOOKUP(B221,'All Menu'!B:M,12,0)</f>
        <v>0.63266206507649203</v>
      </c>
      <c r="J221" s="114">
        <f t="shared" ref="J221:J284" si="16">F221*L221</f>
        <v>15.086206896551726</v>
      </c>
      <c r="K221" s="117">
        <f t="shared" ref="K221:K284" si="17">G221-J221</f>
        <v>-1.1020000000000003</v>
      </c>
      <c r="L221" s="118">
        <f>VLOOKUP(B221,'All Menu'!B:G,6,0)</f>
        <v>1.0775862068965518</v>
      </c>
      <c r="M221" s="118">
        <f t="shared" ref="M221:M284" si="18">E221-L221</f>
        <v>-7.8714285714285737E-2</v>
      </c>
      <c r="N221" s="151">
        <f ca="1">VLOOKUP(B221,'All Menu'!B:H,7,0)</f>
        <v>61</v>
      </c>
    </row>
    <row r="222" spans="1:14" s="151" customFormat="1" ht="14.5">
      <c r="A222" s="266" t="s">
        <v>2015</v>
      </c>
      <c r="B222" s="168" t="s">
        <v>931</v>
      </c>
      <c r="C222" s="151" t="s">
        <v>1569</v>
      </c>
      <c r="D222" s="115" t="str">
        <f>VLOOKUP(B222,'All Menu'!B:D,3,0)</f>
        <v>عجين سفري</v>
      </c>
      <c r="E222" s="116">
        <f t="shared" si="15"/>
        <v>1.0775862068965518</v>
      </c>
      <c r="F222" s="155">
        <v>8</v>
      </c>
      <c r="G222" s="152">
        <v>8.6206896551724146</v>
      </c>
      <c r="H222" s="115">
        <f>VLOOKUP(B222,'All Menu'!B:J,9,0)</f>
        <v>0.407476733610102</v>
      </c>
      <c r="I222" s="120">
        <f>VLOOKUP(B222,'All Menu'!B:M,12,0)</f>
        <v>0.62186159120982543</v>
      </c>
      <c r="J222" s="114">
        <f t="shared" si="16"/>
        <v>8.6206896551724146</v>
      </c>
      <c r="K222" s="117">
        <f t="shared" si="17"/>
        <v>0</v>
      </c>
      <c r="L222" s="118">
        <f>VLOOKUP(B222,'All Menu'!B:G,6,0)</f>
        <v>1.0775862068965518</v>
      </c>
      <c r="M222" s="118">
        <f t="shared" si="18"/>
        <v>0</v>
      </c>
      <c r="N222" s="151">
        <f ca="1">VLOOKUP(B222,'All Menu'!B:H,7,0)</f>
        <v>23</v>
      </c>
    </row>
    <row r="223" spans="1:14" s="151" customFormat="1" ht="14.5">
      <c r="A223" s="266" t="s">
        <v>2015</v>
      </c>
      <c r="B223" s="168" t="s">
        <v>935</v>
      </c>
      <c r="C223" s="151" t="s">
        <v>1570</v>
      </c>
      <c r="D223" s="115" t="str">
        <f>VLOOKUP(B223,'All Menu'!B:D,3,0)</f>
        <v>عجين سفري</v>
      </c>
      <c r="E223" s="116">
        <f t="shared" si="15"/>
        <v>1.0362528735632186</v>
      </c>
      <c r="F223" s="155">
        <v>3</v>
      </c>
      <c r="G223" s="152">
        <v>3.1087586206896556</v>
      </c>
      <c r="H223" s="115">
        <f>VLOOKUP(B223,'All Menu'!B:J,9,0)</f>
        <v>0.43973973361010199</v>
      </c>
      <c r="I223" s="120">
        <f>VLOOKUP(B223,'All Menu'!B:M,12,0)</f>
        <v>0.59192152720982538</v>
      </c>
      <c r="J223" s="114">
        <f t="shared" si="16"/>
        <v>3.2327586206896557</v>
      </c>
      <c r="K223" s="117">
        <f t="shared" si="17"/>
        <v>-0.12400000000000011</v>
      </c>
      <c r="L223" s="118">
        <f>VLOOKUP(B223,'All Menu'!B:G,6,0)</f>
        <v>1.0775862068965518</v>
      </c>
      <c r="M223" s="118">
        <f t="shared" si="18"/>
        <v>-4.1333333333333222E-2</v>
      </c>
      <c r="N223" s="151">
        <f ca="1">VLOOKUP(B223,'All Menu'!B:H,7,0)</f>
        <v>23</v>
      </c>
    </row>
    <row r="224" spans="1:14" s="151" customFormat="1" ht="14.5">
      <c r="A224" s="266" t="s">
        <v>2015</v>
      </c>
      <c r="B224" s="168" t="s">
        <v>934</v>
      </c>
      <c r="C224" s="151" t="s">
        <v>1571</v>
      </c>
      <c r="D224" s="115" t="str">
        <f>VLOOKUP(B224,'All Menu'!B:D,3,0)</f>
        <v>عجين سفري</v>
      </c>
      <c r="E224" s="116">
        <f t="shared" si="15"/>
        <v>0.50804827586206902</v>
      </c>
      <c r="F224" s="155">
        <v>5</v>
      </c>
      <c r="G224" s="152">
        <v>2.5402413793103449</v>
      </c>
      <c r="H224" s="115">
        <f>VLOOKUP(B224,'All Menu'!B:J,9,0)</f>
        <v>0.296879733610102</v>
      </c>
      <c r="I224" s="120">
        <f>VLOOKUP(B224,'All Menu'!B:M,12,0)</f>
        <v>0.50802787001754524</v>
      </c>
      <c r="J224" s="114">
        <f t="shared" si="16"/>
        <v>3.0172413793103448</v>
      </c>
      <c r="K224" s="117">
        <f t="shared" si="17"/>
        <v>-0.47699999999999987</v>
      </c>
      <c r="L224" s="118">
        <f>VLOOKUP(B224,'All Menu'!B:G,6,0)</f>
        <v>0.60344827586206895</v>
      </c>
      <c r="M224" s="118">
        <f t="shared" si="18"/>
        <v>-9.5399999999999929E-2</v>
      </c>
      <c r="N224" s="151">
        <f ca="1">VLOOKUP(B224,'All Menu'!B:H,7,0)</f>
        <v>64</v>
      </c>
    </row>
    <row r="225" spans="1:14" s="151" customFormat="1" ht="14.5">
      <c r="A225" s="266" t="s">
        <v>2015</v>
      </c>
      <c r="B225" s="168" t="s">
        <v>925</v>
      </c>
      <c r="C225" s="151" t="s">
        <v>1572</v>
      </c>
      <c r="D225" s="115" t="str">
        <f>VLOOKUP(B225,'All Menu'!B:D,3,0)</f>
        <v>عجين سفري</v>
      </c>
      <c r="E225" s="116">
        <f t="shared" si="15"/>
        <v>0.86206896551724144</v>
      </c>
      <c r="F225" s="155">
        <v>20</v>
      </c>
      <c r="G225" s="152">
        <v>17.241379310344829</v>
      </c>
      <c r="H225" s="115">
        <f>VLOOKUP(B225,'All Menu'!B:J,9,0)</f>
        <v>0.59705973361010212</v>
      </c>
      <c r="I225" s="120">
        <f>VLOOKUP(B225,'All Menu'!B:M,12,0)</f>
        <v>0.30741070901228157</v>
      </c>
      <c r="J225" s="114">
        <f t="shared" si="16"/>
        <v>17.241379310344829</v>
      </c>
      <c r="K225" s="117">
        <f t="shared" si="17"/>
        <v>0</v>
      </c>
      <c r="L225" s="118">
        <f>VLOOKUP(B225,'All Menu'!B:G,6,0)</f>
        <v>0.86206896551724144</v>
      </c>
      <c r="M225" s="118">
        <f t="shared" si="18"/>
        <v>0</v>
      </c>
      <c r="N225" s="151">
        <f ca="1">VLOOKUP(B225,'All Menu'!B:H,7,0)</f>
        <v>127.002</v>
      </c>
    </row>
    <row r="226" spans="1:14" s="151" customFormat="1" ht="14.5">
      <c r="A226" s="266" t="s">
        <v>2015</v>
      </c>
      <c r="B226" s="168" t="s">
        <v>928</v>
      </c>
      <c r="C226" s="151" t="s">
        <v>1573</v>
      </c>
      <c r="D226" s="115" t="str">
        <f>VLOOKUP(B226,'All Menu'!B:D,3,0)</f>
        <v>عجين سفري</v>
      </c>
      <c r="E226" s="116">
        <f t="shared" si="15"/>
        <v>0.77315987460815061</v>
      </c>
      <c r="F226" s="155">
        <v>11</v>
      </c>
      <c r="G226" s="152">
        <v>8.5047586206896568</v>
      </c>
      <c r="H226" s="115">
        <f>VLOOKUP(B226,'All Menu'!B:J,9,0)</f>
        <v>0.34831973361010199</v>
      </c>
      <c r="I226" s="120">
        <f>VLOOKUP(B226,'All Menu'!B:M,12,0)</f>
        <v>0.59594910901228182</v>
      </c>
      <c r="J226" s="114">
        <f t="shared" si="16"/>
        <v>9.4827586206896566</v>
      </c>
      <c r="K226" s="117">
        <f t="shared" si="17"/>
        <v>-0.97799999999999976</v>
      </c>
      <c r="L226" s="118">
        <f>VLOOKUP(B226,'All Menu'!B:G,6,0)</f>
        <v>0.86206896551724144</v>
      </c>
      <c r="M226" s="118">
        <f t="shared" si="18"/>
        <v>-8.8909090909090827E-2</v>
      </c>
      <c r="N226" s="151">
        <f ca="1">VLOOKUP(B226,'All Menu'!B:H,7,0)</f>
        <v>18</v>
      </c>
    </row>
    <row r="227" spans="1:14" s="151" customFormat="1" ht="14.5">
      <c r="A227" s="266" t="s">
        <v>2015</v>
      </c>
      <c r="B227" s="168" t="s">
        <v>932</v>
      </c>
      <c r="C227" s="151" t="s">
        <v>1739</v>
      </c>
      <c r="D227" s="115" t="str">
        <f>VLOOKUP(B227,'All Menu'!B:D,3,0)</f>
        <v>عجين سفري</v>
      </c>
      <c r="E227" s="116">
        <f t="shared" si="15"/>
        <v>1.3316206896551726</v>
      </c>
      <c r="F227" s="155">
        <v>3</v>
      </c>
      <c r="G227" s="152">
        <v>3.9948620689655177</v>
      </c>
      <c r="H227" s="115">
        <f>VLOOKUP(B227,'All Menu'!B:J,9,0)</f>
        <v>0.82094686391928506</v>
      </c>
      <c r="I227" s="120">
        <f>VLOOKUP(B227,'All Menu'!B:M,12,0)</f>
        <v>0.45582950734493111</v>
      </c>
      <c r="J227" s="114">
        <f t="shared" si="16"/>
        <v>4.5258620689655178</v>
      </c>
      <c r="K227" s="117">
        <f t="shared" si="17"/>
        <v>-0.53100000000000014</v>
      </c>
      <c r="L227" s="118">
        <f>VLOOKUP(B227,'All Menu'!B:G,6,0)</f>
        <v>1.5086206896551726</v>
      </c>
      <c r="M227" s="118">
        <f t="shared" si="18"/>
        <v>-0.17700000000000005</v>
      </c>
      <c r="N227" s="151">
        <f ca="1">VLOOKUP(B227,'All Menu'!B:H,7,0)</f>
        <v>8</v>
      </c>
    </row>
    <row r="228" spans="1:14" s="151" customFormat="1" ht="14.5">
      <c r="A228" s="266" t="s">
        <v>2015</v>
      </c>
      <c r="B228" s="168" t="s">
        <v>936</v>
      </c>
      <c r="C228" s="151" t="s">
        <v>1574</v>
      </c>
      <c r="D228" s="115" t="str">
        <f>VLOOKUP(B228,'All Menu'!B:D,3,0)</f>
        <v>عجين سفري</v>
      </c>
      <c r="E228" s="116">
        <f t="shared" si="15"/>
        <v>1.0378120133481648</v>
      </c>
      <c r="F228" s="155">
        <v>31</v>
      </c>
      <c r="G228" s="152">
        <v>32.172172413793106</v>
      </c>
      <c r="H228" s="115">
        <f>VLOOKUP(B228,'All Menu'!B:J,9,0)</f>
        <v>0.51911934899471734</v>
      </c>
      <c r="I228" s="120">
        <f>VLOOKUP(B228,'All Menu'!B:M,12,0)</f>
        <v>0.51825724413290231</v>
      </c>
      <c r="J228" s="114">
        <f t="shared" si="16"/>
        <v>33.405172413793103</v>
      </c>
      <c r="K228" s="117">
        <f t="shared" si="17"/>
        <v>-1.232999999999997</v>
      </c>
      <c r="L228" s="118">
        <f>VLOOKUP(B228,'All Menu'!B:G,6,0)</f>
        <v>1.0775862068965518</v>
      </c>
      <c r="M228" s="118">
        <f t="shared" si="18"/>
        <v>-3.9774193548387071E-2</v>
      </c>
      <c r="N228" s="151">
        <f ca="1">VLOOKUP(B228,'All Menu'!B:H,7,0)</f>
        <v>70</v>
      </c>
    </row>
    <row r="229" spans="1:14" s="151" customFormat="1" ht="14.5">
      <c r="A229" s="266" t="s">
        <v>2015</v>
      </c>
      <c r="B229" s="168" t="s">
        <v>927</v>
      </c>
      <c r="C229" s="151" t="s">
        <v>1575</v>
      </c>
      <c r="D229" s="115" t="str">
        <f>VLOOKUP(B229,'All Menu'!B:D,3,0)</f>
        <v>عجين سفري</v>
      </c>
      <c r="E229" s="116">
        <f t="shared" si="15"/>
        <v>0.59429827586206896</v>
      </c>
      <c r="F229" s="155">
        <v>40</v>
      </c>
      <c r="G229" s="152">
        <v>23.771931034482758</v>
      </c>
      <c r="H229" s="115">
        <f>VLOOKUP(B229,'All Menu'!B:J,9,0)</f>
        <v>0.23578973361010208</v>
      </c>
      <c r="I229" s="120">
        <f>VLOOKUP(B229,'All Menu'!B:M,12,0)</f>
        <v>0.60926272716040231</v>
      </c>
      <c r="J229" s="114">
        <f t="shared" si="16"/>
        <v>24.137931034482758</v>
      </c>
      <c r="K229" s="117">
        <f t="shared" si="17"/>
        <v>-0.36599999999999966</v>
      </c>
      <c r="L229" s="118">
        <f>VLOOKUP(B229,'All Menu'!B:G,6,0)</f>
        <v>0.60344827586206895</v>
      </c>
      <c r="M229" s="118">
        <f t="shared" si="18"/>
        <v>-9.1499999999999915E-3</v>
      </c>
      <c r="N229" s="151">
        <f ca="1">VLOOKUP(B229,'All Menu'!B:H,7,0)</f>
        <v>202</v>
      </c>
    </row>
    <row r="230" spans="1:14" s="151" customFormat="1" ht="14.5">
      <c r="A230" s="266" t="s">
        <v>2015</v>
      </c>
      <c r="B230" s="168" t="s">
        <v>945</v>
      </c>
      <c r="C230" s="151" t="s">
        <v>1576</v>
      </c>
      <c r="D230" s="115" t="str">
        <f>VLOOKUP(B230,'All Menu'!B:D,3,0)</f>
        <v>عجين سفري</v>
      </c>
      <c r="E230" s="116">
        <f t="shared" si="15"/>
        <v>3.2327586206896552</v>
      </c>
      <c r="F230" s="155">
        <v>33</v>
      </c>
      <c r="G230" s="152">
        <v>106.68103448275862</v>
      </c>
      <c r="H230" s="115">
        <f>VLOOKUP(B230,'All Menu'!B:J,9,0)</f>
        <v>1.4740713491210082</v>
      </c>
      <c r="I230" s="120">
        <f>VLOOKUP(B230,'All Menu'!B:M,12,0)</f>
        <v>0.54402059600523478</v>
      </c>
      <c r="J230" s="114">
        <f t="shared" si="16"/>
        <v>106.68103448275862</v>
      </c>
      <c r="K230" s="117">
        <f t="shared" si="17"/>
        <v>0</v>
      </c>
      <c r="L230" s="118">
        <f>VLOOKUP(B230,'All Menu'!B:G,6,0)</f>
        <v>3.2327586206896552</v>
      </c>
      <c r="M230" s="118">
        <f t="shared" si="18"/>
        <v>0</v>
      </c>
      <c r="N230" s="151">
        <f ca="1">VLOOKUP(B230,'All Menu'!B:H,7,0)</f>
        <v>52</v>
      </c>
    </row>
    <row r="231" spans="1:14" s="151" customFormat="1" ht="14.5">
      <c r="A231" s="266" t="s">
        <v>2015</v>
      </c>
      <c r="B231" s="168" t="s">
        <v>946</v>
      </c>
      <c r="C231" s="151" t="s">
        <v>1723</v>
      </c>
      <c r="D231" s="115" t="str">
        <f>VLOOKUP(B231,'All Menu'!B:D,3,0)</f>
        <v>عجين سفري</v>
      </c>
      <c r="E231" s="116">
        <f t="shared" si="15"/>
        <v>1.4674442190669374</v>
      </c>
      <c r="F231" s="155">
        <v>34</v>
      </c>
      <c r="G231" s="152">
        <v>49.893103448275873</v>
      </c>
      <c r="H231" s="115">
        <f>VLOOKUP(B231,'All Menu'!B:J,9,0)</f>
        <v>1.2469414581719958</v>
      </c>
      <c r="I231" s="120">
        <f>VLOOKUP(B231,'All Menu'!B:M,12,0)</f>
        <v>0.17345594772599149</v>
      </c>
      <c r="J231" s="114">
        <f t="shared" si="16"/>
        <v>51.293103448275872</v>
      </c>
      <c r="K231" s="117">
        <f t="shared" si="17"/>
        <v>-1.3999999999999986</v>
      </c>
      <c r="L231" s="118">
        <f>VLOOKUP(B231,'All Menu'!B:G,6,0)</f>
        <v>1.5086206896551726</v>
      </c>
      <c r="M231" s="118">
        <f t="shared" si="18"/>
        <v>-4.1176470588235148E-2</v>
      </c>
      <c r="N231" s="151">
        <f ca="1">VLOOKUP(B231,'All Menu'!B:H,7,0)</f>
        <v>53</v>
      </c>
    </row>
    <row r="232" spans="1:14" s="151" customFormat="1" ht="14.5">
      <c r="A232" s="266" t="s">
        <v>2015</v>
      </c>
      <c r="B232" s="168" t="s">
        <v>1010</v>
      </c>
      <c r="C232" s="151" t="s">
        <v>1577</v>
      </c>
      <c r="D232" s="115" t="str">
        <f>VLOOKUP(B232,'All Menu'!B:D,3,0)</f>
        <v>عجين سفري</v>
      </c>
      <c r="E232" s="116">
        <f t="shared" si="15"/>
        <v>0.55163068719963515</v>
      </c>
      <c r="F232" s="155">
        <v>983</v>
      </c>
      <c r="G232" s="152">
        <v>542.25296551724136</v>
      </c>
      <c r="H232" s="115">
        <f>VLOOKUP(B232,'All Menu'!B:J,9,0)</f>
        <v>0.41952498492368306</v>
      </c>
      <c r="I232" s="120">
        <f>VLOOKUP(B232,'All Menu'!B:M,12,0)</f>
        <v>0.251309257674658</v>
      </c>
      <c r="J232" s="114">
        <f t="shared" si="16"/>
        <v>550.81896551724139</v>
      </c>
      <c r="K232" s="117">
        <f t="shared" si="17"/>
        <v>-8.5660000000000309</v>
      </c>
      <c r="L232" s="118">
        <f>VLOOKUP(B232,'All Menu'!B:G,6,0)</f>
        <v>0.56034482758620696</v>
      </c>
      <c r="M232" s="118">
        <f t="shared" si="18"/>
        <v>-8.7141403865718114E-3</v>
      </c>
      <c r="N232" s="151">
        <f ca="1">VLOOKUP(B232,'All Menu'!B:H,7,0)</f>
        <v>1283.011</v>
      </c>
    </row>
    <row r="233" spans="1:14" s="151" customFormat="1" ht="14.5">
      <c r="A233" s="266" t="s">
        <v>2015</v>
      </c>
      <c r="B233" s="168" t="s">
        <v>1011</v>
      </c>
      <c r="C233" s="151" t="s">
        <v>1578</v>
      </c>
      <c r="D233" s="115" t="str">
        <f>VLOOKUP(B233,'All Menu'!B:D,3,0)</f>
        <v>عجين سفري</v>
      </c>
      <c r="E233" s="116">
        <f t="shared" si="15"/>
        <v>0.42784441120227007</v>
      </c>
      <c r="F233" s="155">
        <v>2236</v>
      </c>
      <c r="G233" s="152">
        <v>956.66010344827589</v>
      </c>
      <c r="H233" s="115">
        <f>VLOOKUP(B233,'All Menu'!B:J,9,0)</f>
        <v>0.22935249871457197</v>
      </c>
      <c r="I233" s="120">
        <f>VLOOKUP(B233,'All Menu'!B:M,12,0)</f>
        <v>0.46790220298219304</v>
      </c>
      <c r="J233" s="114">
        <f t="shared" si="16"/>
        <v>963.79310344827593</v>
      </c>
      <c r="K233" s="117">
        <f t="shared" si="17"/>
        <v>-7.1330000000000382</v>
      </c>
      <c r="L233" s="118">
        <f>VLOOKUP(B233,'All Menu'!B:G,6,0)</f>
        <v>0.43103448275862072</v>
      </c>
      <c r="M233" s="118">
        <f t="shared" si="18"/>
        <v>-3.1900715563506488E-3</v>
      </c>
      <c r="N233" s="151">
        <f ca="1">VLOOKUP(B233,'All Menu'!B:H,7,0)</f>
        <v>4589.0619999999999</v>
      </c>
    </row>
    <row r="234" spans="1:14" s="151" customFormat="1" ht="14.5">
      <c r="A234" s="266" t="s">
        <v>2015</v>
      </c>
      <c r="B234" s="168" t="s">
        <v>942</v>
      </c>
      <c r="C234" s="151" t="s">
        <v>1579</v>
      </c>
      <c r="D234" s="115" t="str">
        <f>VLOOKUP(B234,'All Menu'!B:D,3,0)</f>
        <v>عجين سفري</v>
      </c>
      <c r="E234" s="116">
        <f t="shared" si="15"/>
        <v>0.83869207264006806</v>
      </c>
      <c r="F234" s="155">
        <v>3566</v>
      </c>
      <c r="G234" s="152">
        <v>2990.7759310344827</v>
      </c>
      <c r="H234" s="115">
        <f>VLOOKUP(B234,'All Menu'!B:J,9,0)</f>
        <v>0.40754341772151892</v>
      </c>
      <c r="I234" s="120">
        <f>VLOOKUP(B234,'All Menu'!B:M,12,0)</f>
        <v>0.52724963544303804</v>
      </c>
      <c r="J234" s="114">
        <f t="shared" si="16"/>
        <v>3074.1379310344828</v>
      </c>
      <c r="K234" s="117">
        <f t="shared" si="17"/>
        <v>-83.36200000000008</v>
      </c>
      <c r="L234" s="118">
        <f>VLOOKUP(B234,'All Menu'!B:G,6,0)</f>
        <v>0.86206896551724144</v>
      </c>
      <c r="M234" s="118">
        <f t="shared" si="18"/>
        <v>-2.3376892877173372E-2</v>
      </c>
      <c r="N234" s="151">
        <f ca="1">VLOOKUP(B234,'All Menu'!B:H,7,0)</f>
        <v>5842.0020000000004</v>
      </c>
    </row>
    <row r="235" spans="1:14" s="151" customFormat="1" ht="14.5">
      <c r="A235" s="266" t="s">
        <v>2015</v>
      </c>
      <c r="B235" s="168" t="s">
        <v>1021</v>
      </c>
      <c r="C235" s="151" t="s">
        <v>1580</v>
      </c>
      <c r="D235" s="115" t="str">
        <f>VLOOKUP(B235,'All Menu'!B:D,3,0)</f>
        <v>عجين سفري</v>
      </c>
      <c r="E235" s="116">
        <f t="shared" si="15"/>
        <v>15.080934150394681</v>
      </c>
      <c r="F235" s="155">
        <v>166</v>
      </c>
      <c r="G235" s="152">
        <v>2503.4350689655171</v>
      </c>
      <c r="H235" s="115">
        <f>VLOOKUP(B235,'All Menu'!B:J,9,0)</f>
        <v>8.2136722774908097</v>
      </c>
      <c r="I235" s="120">
        <f>VLOOKUP(B235,'All Menu'!B:M,12,0)</f>
        <v>0.47067445322837004</v>
      </c>
      <c r="J235" s="114">
        <f t="shared" si="16"/>
        <v>2575.8620689655172</v>
      </c>
      <c r="K235" s="117">
        <f t="shared" si="17"/>
        <v>-72.427000000000135</v>
      </c>
      <c r="L235" s="118">
        <f>VLOOKUP(B235,'All Menu'!B:G,6,0)</f>
        <v>15.517241379310345</v>
      </c>
      <c r="M235" s="118">
        <f t="shared" si="18"/>
        <v>-0.43630722891566442</v>
      </c>
      <c r="N235" s="151">
        <f ca="1">VLOOKUP(B235,'All Menu'!B:H,7,0)</f>
        <v>242.51</v>
      </c>
    </row>
    <row r="236" spans="1:14" s="151" customFormat="1" ht="14.5">
      <c r="A236" s="266" t="s">
        <v>2015</v>
      </c>
      <c r="B236" s="168" t="s">
        <v>1020</v>
      </c>
      <c r="C236" s="151" t="s">
        <v>2011</v>
      </c>
      <c r="D236" s="115" t="str">
        <f>VLOOKUP(B236,'All Menu'!B:D,3,0)</f>
        <v>عجين سفري</v>
      </c>
      <c r="E236" s="116">
        <f t="shared" si="15"/>
        <v>17.241379310344829</v>
      </c>
      <c r="F236" s="155">
        <v>16</v>
      </c>
      <c r="G236" s="152">
        <v>275.86206896551727</v>
      </c>
      <c r="H236" s="115">
        <f>VLOOKUP(B236,'All Menu'!B:J,9,0)</f>
        <v>15.826002523771082</v>
      </c>
      <c r="I236" s="120">
        <f>VLOOKUP(B236,'All Menu'!B:M,12,0)</f>
        <v>8.20918536212773E-2</v>
      </c>
      <c r="J236" s="114">
        <f t="shared" si="16"/>
        <v>275.86206896551727</v>
      </c>
      <c r="K236" s="117">
        <f t="shared" si="17"/>
        <v>0</v>
      </c>
      <c r="L236" s="118">
        <f>VLOOKUP(B236,'All Menu'!B:G,6,0)</f>
        <v>17.241379310344829</v>
      </c>
      <c r="M236" s="118">
        <f t="shared" si="18"/>
        <v>0</v>
      </c>
      <c r="N236" s="151">
        <f ca="1">VLOOKUP(B236,'All Menu'!B:H,7,0)</f>
        <v>25</v>
      </c>
    </row>
    <row r="237" spans="1:14" s="151" customFormat="1" ht="14.5">
      <c r="A237" s="266" t="s">
        <v>2015</v>
      </c>
      <c r="B237" s="168" t="s">
        <v>939</v>
      </c>
      <c r="C237" s="151" t="s">
        <v>1594</v>
      </c>
      <c r="D237" s="115" t="str">
        <f>VLOOKUP(B237,'All Menu'!B:D,3,0)</f>
        <v>عجين سفري</v>
      </c>
      <c r="E237" s="116">
        <f t="shared" si="15"/>
        <v>3.8353103448275863</v>
      </c>
      <c r="F237" s="155">
        <v>4</v>
      </c>
      <c r="G237" s="152">
        <v>15.341241379310345</v>
      </c>
      <c r="H237" s="115">
        <f>VLOOKUP(B237,'All Menu'!B:J,9,0)</f>
        <v>1.2558207047223662</v>
      </c>
      <c r="I237" s="120">
        <f>VLOOKUP(B237,'All Menu'!B:M,12,0)</f>
        <v>0.6762773294493456</v>
      </c>
      <c r="J237" s="114">
        <f t="shared" si="16"/>
        <v>15.517241379310345</v>
      </c>
      <c r="K237" s="117">
        <f t="shared" si="17"/>
        <v>-0.17600000000000016</v>
      </c>
      <c r="L237" s="118">
        <f>VLOOKUP(B237,'All Menu'!B:G,6,0)</f>
        <v>3.8793103448275863</v>
      </c>
      <c r="M237" s="118">
        <f t="shared" si="18"/>
        <v>-4.4000000000000039E-2</v>
      </c>
      <c r="N237" s="151">
        <f ca="1">VLOOKUP(B237,'All Menu'!B:H,7,0)</f>
        <v>5</v>
      </c>
    </row>
    <row r="238" spans="1:14" s="151" customFormat="1" ht="14.5">
      <c r="A238" s="266" t="s">
        <v>2015</v>
      </c>
      <c r="B238" s="168" t="s">
        <v>941</v>
      </c>
      <c r="C238" s="151" t="s">
        <v>1592</v>
      </c>
      <c r="D238" s="115" t="str">
        <f>VLOOKUP(B238,'All Menu'!B:D,3,0)</f>
        <v>عجين سفري</v>
      </c>
      <c r="E238" s="116">
        <f t="shared" si="15"/>
        <v>4.3103448275862073</v>
      </c>
      <c r="F238" s="155">
        <v>11</v>
      </c>
      <c r="G238" s="152">
        <v>47.413793103448278</v>
      </c>
      <c r="H238" s="115">
        <f>VLOOKUP(B238,'All Menu'!B:J,9,0)</f>
        <v>1.3464207047223664</v>
      </c>
      <c r="I238" s="120">
        <f>VLOOKUP(B238,'All Menu'!B:M,12,0)</f>
        <v>0.68763039650441105</v>
      </c>
      <c r="J238" s="114">
        <f t="shared" si="16"/>
        <v>47.413793103448278</v>
      </c>
      <c r="K238" s="117">
        <f t="shared" si="17"/>
        <v>0</v>
      </c>
      <c r="L238" s="118">
        <f>VLOOKUP(B238,'All Menu'!B:G,6,0)</f>
        <v>4.3103448275862073</v>
      </c>
      <c r="M238" s="118">
        <f t="shared" si="18"/>
        <v>0</v>
      </c>
      <c r="N238" s="151">
        <f ca="1">VLOOKUP(B238,'All Menu'!B:H,7,0)</f>
        <v>24</v>
      </c>
    </row>
    <row r="239" spans="1:14" s="151" customFormat="1" ht="14.5">
      <c r="A239" s="266" t="s">
        <v>2015</v>
      </c>
      <c r="B239" s="168" t="s">
        <v>940</v>
      </c>
      <c r="C239" s="151" t="s">
        <v>1583</v>
      </c>
      <c r="D239" s="115" t="str">
        <f>VLOOKUP(B239,'All Menu'!B:D,3,0)</f>
        <v>عجين سفري</v>
      </c>
      <c r="E239" s="116">
        <f t="shared" si="15"/>
        <v>4.3103448275862073</v>
      </c>
      <c r="F239" s="155">
        <v>3</v>
      </c>
      <c r="G239" s="152">
        <v>12.931034482758623</v>
      </c>
      <c r="H239" s="115">
        <f>VLOOKUP(B239,'All Menu'!B:J,9,0)</f>
        <v>1.3095627047223664</v>
      </c>
      <c r="I239" s="120">
        <f>VLOOKUP(B239,'All Menu'!B:M,12,0)</f>
        <v>0.69618145250441099</v>
      </c>
      <c r="J239" s="114">
        <f t="shared" si="16"/>
        <v>12.931034482758623</v>
      </c>
      <c r="K239" s="117">
        <f t="shared" si="17"/>
        <v>0</v>
      </c>
      <c r="L239" s="118">
        <f>VLOOKUP(B239,'All Menu'!B:G,6,0)</f>
        <v>4.3103448275862073</v>
      </c>
      <c r="M239" s="118">
        <f t="shared" si="18"/>
        <v>0</v>
      </c>
      <c r="N239" s="151">
        <f ca="1">VLOOKUP(B239,'All Menu'!B:H,7,0)</f>
        <v>3</v>
      </c>
    </row>
    <row r="240" spans="1:14" s="151" customFormat="1" ht="14.5">
      <c r="A240" s="266" t="s">
        <v>2015</v>
      </c>
      <c r="B240" s="168" t="s">
        <v>943</v>
      </c>
      <c r="C240" s="151" t="s">
        <v>1816</v>
      </c>
      <c r="D240" s="115" t="str">
        <f>VLOOKUP(B240,'All Menu'!B:D,3,0)</f>
        <v>عجين سفري</v>
      </c>
      <c r="E240" s="116">
        <f t="shared" si="15"/>
        <v>4.3103448275862073</v>
      </c>
      <c r="F240" s="155">
        <v>1</v>
      </c>
      <c r="G240" s="152">
        <v>4.3103448275862073</v>
      </c>
      <c r="H240" s="115">
        <f>VLOOKUP(B240,'All Menu'!B:J,9,0)</f>
        <v>1.5038976277992893</v>
      </c>
      <c r="I240" s="120">
        <f>VLOOKUP(B240,'All Menu'!B:M,12,0)</f>
        <v>0.65109575035056488</v>
      </c>
      <c r="J240" s="114">
        <f t="shared" si="16"/>
        <v>4.3103448275862073</v>
      </c>
      <c r="K240" s="117">
        <f t="shared" si="17"/>
        <v>0</v>
      </c>
      <c r="L240" s="118">
        <f>VLOOKUP(B240,'All Menu'!B:G,6,0)</f>
        <v>4.3103448275862073</v>
      </c>
      <c r="M240" s="118">
        <f t="shared" si="18"/>
        <v>0</v>
      </c>
      <c r="N240" s="151">
        <f ca="1">VLOOKUP(B240,'All Menu'!B:H,7,0)</f>
        <v>1</v>
      </c>
    </row>
    <row r="241" spans="1:14" s="151" customFormat="1" ht="14.5">
      <c r="A241" s="266" t="s">
        <v>2015</v>
      </c>
      <c r="B241" s="168" t="s">
        <v>944</v>
      </c>
      <c r="C241" s="151" t="s">
        <v>1724</v>
      </c>
      <c r="D241" s="115" t="str">
        <f>VLOOKUP(B241,'All Menu'!B:D,3,0)</f>
        <v>عجين سفري</v>
      </c>
      <c r="E241" s="116">
        <f t="shared" si="15"/>
        <v>4.7413793103448283</v>
      </c>
      <c r="F241" s="155">
        <v>4</v>
      </c>
      <c r="G241" s="152">
        <v>18.965517241379313</v>
      </c>
      <c r="H241" s="115">
        <f>VLOOKUP(B241,'All Menu'!B:J,9,0)</f>
        <v>1.808327835031549</v>
      </c>
      <c r="I241" s="120">
        <f>VLOOKUP(B241,'All Menu'!B:M,12,0)</f>
        <v>0.6186072202478915</v>
      </c>
      <c r="J241" s="114">
        <f t="shared" si="16"/>
        <v>18.965517241379313</v>
      </c>
      <c r="K241" s="117">
        <f t="shared" si="17"/>
        <v>0</v>
      </c>
      <c r="L241" s="118">
        <f>VLOOKUP(B241,'All Menu'!B:G,6,0)</f>
        <v>4.7413793103448283</v>
      </c>
      <c r="M241" s="118">
        <f t="shared" si="18"/>
        <v>0</v>
      </c>
      <c r="N241" s="151">
        <f ca="1">VLOOKUP(B241,'All Menu'!B:H,7,0)</f>
        <v>9</v>
      </c>
    </row>
    <row r="242" spans="1:14" s="151" customFormat="1" ht="14.5">
      <c r="A242" s="266" t="s">
        <v>2015</v>
      </c>
      <c r="B242" s="168" t="s">
        <v>949</v>
      </c>
      <c r="C242" s="151" t="s">
        <v>1584</v>
      </c>
      <c r="D242" s="115" t="str">
        <f>VLOOKUP(B242,'All Menu'!B:D,3,0)</f>
        <v>عجين سفري</v>
      </c>
      <c r="E242" s="116">
        <f t="shared" si="15"/>
        <v>5.1724137931034484</v>
      </c>
      <c r="F242" s="155">
        <v>1</v>
      </c>
      <c r="G242" s="152">
        <v>5.1724137931034484</v>
      </c>
      <c r="H242" s="115">
        <f>VLOOKUP(B242,'All Menu'!B:J,9,0)</f>
        <v>1.4892997767614382</v>
      </c>
      <c r="I242" s="120">
        <f>VLOOKUP(B242,'All Menu'!B:M,12,0)</f>
        <v>0.71206870982612192</v>
      </c>
      <c r="J242" s="114">
        <f t="shared" si="16"/>
        <v>5.1724137931034484</v>
      </c>
      <c r="K242" s="117">
        <f t="shared" si="17"/>
        <v>0</v>
      </c>
      <c r="L242" s="118">
        <f>VLOOKUP(B242,'All Menu'!B:G,6,0)</f>
        <v>5.1724137931034484</v>
      </c>
      <c r="M242" s="118">
        <f t="shared" si="18"/>
        <v>0</v>
      </c>
      <c r="N242" s="151">
        <f ca="1">VLOOKUP(B242,'All Menu'!B:H,7,0)</f>
        <v>4</v>
      </c>
    </row>
    <row r="243" spans="1:14" s="151" customFormat="1" ht="14.5">
      <c r="A243" s="266" t="s">
        <v>2015</v>
      </c>
      <c r="B243" s="168" t="s">
        <v>1191</v>
      </c>
      <c r="C243" s="151" t="s">
        <v>1585</v>
      </c>
      <c r="D243" s="115" t="str">
        <f>VLOOKUP(B243,'All Menu'!B:D,3,0)</f>
        <v>عجين سفري</v>
      </c>
      <c r="E243" s="116">
        <f t="shared" si="15"/>
        <v>0.86206896551724144</v>
      </c>
      <c r="F243" s="155">
        <v>10</v>
      </c>
      <c r="G243" s="152">
        <v>8.6206896551724146</v>
      </c>
      <c r="H243" s="115">
        <f>VLOOKUP(B243,'All Menu'!B:J,9,0)</f>
        <v>6.7972278571428568E-2</v>
      </c>
      <c r="I243" s="120">
        <f>VLOOKUP(B243,'All Menu'!B:M,12,0)</f>
        <v>0.9211521568571428</v>
      </c>
      <c r="J243" s="114">
        <f t="shared" si="16"/>
        <v>8.6206896551724146</v>
      </c>
      <c r="K243" s="117">
        <f t="shared" si="17"/>
        <v>0</v>
      </c>
      <c r="L243" s="118">
        <f>VLOOKUP(B243,'All Menu'!B:G,6,0)</f>
        <v>0.86206896551724144</v>
      </c>
      <c r="M243" s="118">
        <f t="shared" si="18"/>
        <v>0</v>
      </c>
      <c r="N243" s="151">
        <f ca="1">VLOOKUP(B243,'All Menu'!B:H,7,0)</f>
        <v>19.95</v>
      </c>
    </row>
    <row r="244" spans="1:14" s="151" customFormat="1" ht="14.5">
      <c r="A244" s="266" t="s">
        <v>2015</v>
      </c>
      <c r="B244" s="168" t="s">
        <v>1236</v>
      </c>
      <c r="C244" s="151" t="s">
        <v>1817</v>
      </c>
      <c r="D244" s="115" t="str">
        <f>VLOOKUP(B244,'All Menu'!B:D,3,0)</f>
        <v>عجين سفري</v>
      </c>
      <c r="E244" s="116">
        <f t="shared" si="15"/>
        <v>7.6969907337080361</v>
      </c>
      <c r="F244" s="155">
        <v>227</v>
      </c>
      <c r="G244" s="152">
        <v>1747.2168965517242</v>
      </c>
      <c r="H244" s="115">
        <f>VLOOKUP(B244,'All Menu'!B:J,9,0)</f>
        <v>4.373430966331612</v>
      </c>
      <c r="I244" s="120">
        <f>VLOOKUP(B244,'All Menu'!B:M,12,0)</f>
        <v>0.43631334211725892</v>
      </c>
      <c r="J244" s="114">
        <f t="shared" si="16"/>
        <v>1761.2068965517242</v>
      </c>
      <c r="K244" s="117">
        <f t="shared" si="17"/>
        <v>-13.990000000000009</v>
      </c>
      <c r="L244" s="118">
        <f>VLOOKUP(B244,'All Menu'!B:G,6,0)</f>
        <v>7.7586206896551726</v>
      </c>
      <c r="M244" s="118">
        <f t="shared" si="18"/>
        <v>-6.1629955947136494E-2</v>
      </c>
      <c r="N244" s="151">
        <f ca="1">VLOOKUP(B244,'All Menu'!B:H,7,0)</f>
        <v>239</v>
      </c>
    </row>
    <row r="245" spans="1:14" s="151" customFormat="1" ht="14.5">
      <c r="A245" s="266" t="s">
        <v>2015</v>
      </c>
      <c r="B245" s="168" t="s">
        <v>1237</v>
      </c>
      <c r="C245" s="151" t="s">
        <v>1725</v>
      </c>
      <c r="D245" s="115" t="str">
        <f>VLOOKUP(B245,'All Menu'!B:D,3,0)</f>
        <v>عجين سفري</v>
      </c>
      <c r="E245" s="116">
        <f t="shared" si="15"/>
        <v>9.4827586206896566</v>
      </c>
      <c r="F245" s="155">
        <v>76</v>
      </c>
      <c r="G245" s="152">
        <v>720.68965517241395</v>
      </c>
      <c r="H245" s="115">
        <f>VLOOKUP(B245,'All Menu'!B:J,9,0)</f>
        <v>8.1795960894717474</v>
      </c>
      <c r="I245" s="120">
        <f>VLOOKUP(B245,'All Menu'!B:M,12,0)</f>
        <v>0.13742441238297948</v>
      </c>
      <c r="J245" s="114">
        <f t="shared" si="16"/>
        <v>720.68965517241395</v>
      </c>
      <c r="K245" s="117">
        <f t="shared" si="17"/>
        <v>0</v>
      </c>
      <c r="L245" s="118">
        <f>VLOOKUP(B245,'All Menu'!B:G,6,0)</f>
        <v>9.4827586206896566</v>
      </c>
      <c r="M245" s="118">
        <f t="shared" si="18"/>
        <v>0</v>
      </c>
      <c r="N245" s="151">
        <f ca="1">VLOOKUP(B245,'All Menu'!B:H,7,0)</f>
        <v>77</v>
      </c>
    </row>
    <row r="246" spans="1:14" s="151" customFormat="1" ht="14.5">
      <c r="A246" s="266" t="s">
        <v>2015</v>
      </c>
      <c r="B246" s="168" t="s">
        <v>2164</v>
      </c>
      <c r="C246" s="151" t="s">
        <v>1993</v>
      </c>
      <c r="D246" s="115" t="str">
        <f>VLOOKUP(B246,'All Menu'!B:D,3,0)</f>
        <v>العقائق</v>
      </c>
      <c r="E246" s="116">
        <f t="shared" si="15"/>
        <v>6.223529411764706</v>
      </c>
      <c r="F246" s="155">
        <v>85</v>
      </c>
      <c r="G246" s="152">
        <v>529</v>
      </c>
      <c r="H246" s="115">
        <f>VLOOKUP(B246,'All Menu'!B:J,9,0)</f>
        <v>0</v>
      </c>
      <c r="I246" s="120">
        <f>VLOOKUP(B246,'All Menu'!B:M,12,0)</f>
        <v>1</v>
      </c>
      <c r="J246" s="114">
        <f t="shared" si="16"/>
        <v>595</v>
      </c>
      <c r="K246" s="117">
        <f t="shared" si="17"/>
        <v>-66</v>
      </c>
      <c r="L246" s="118">
        <f>VLOOKUP(B246,'All Menu'!B:G,6,0)</f>
        <v>7</v>
      </c>
      <c r="M246" s="118">
        <f t="shared" si="18"/>
        <v>-0.77647058823529402</v>
      </c>
      <c r="N246" s="151">
        <f ca="1">VLOOKUP(B246,'All Menu'!B:H,7,0)</f>
        <v>85</v>
      </c>
    </row>
    <row r="247" spans="1:14" s="151" customFormat="1" ht="14.5">
      <c r="A247" s="266" t="s">
        <v>2015</v>
      </c>
      <c r="B247" s="168" t="s">
        <v>2167</v>
      </c>
      <c r="C247" s="151" t="s">
        <v>3005</v>
      </c>
      <c r="D247" s="115" t="str">
        <f>VLOOKUP(B247,'All Menu'!B:D,3,0)</f>
        <v>العقائق</v>
      </c>
      <c r="E247" s="116">
        <f t="shared" si="15"/>
        <v>6.2222222222222223</v>
      </c>
      <c r="F247" s="155">
        <v>135</v>
      </c>
      <c r="G247" s="152">
        <v>840</v>
      </c>
      <c r="H247" s="115">
        <f>VLOOKUP(B247,'All Menu'!B:J,9,0)</f>
        <v>0</v>
      </c>
      <c r="I247" s="120">
        <f>VLOOKUP(B247,'All Menu'!B:M,12,0)</f>
        <v>1</v>
      </c>
      <c r="J247" s="114">
        <f t="shared" si="16"/>
        <v>945</v>
      </c>
      <c r="K247" s="117">
        <f t="shared" si="17"/>
        <v>-105</v>
      </c>
      <c r="L247" s="118">
        <f>VLOOKUP(B247,'All Menu'!B:G,6,0)</f>
        <v>7</v>
      </c>
      <c r="M247" s="118">
        <f t="shared" si="18"/>
        <v>-0.77777777777777768</v>
      </c>
      <c r="N247" s="151">
        <f ca="1">VLOOKUP(B247,'All Menu'!B:H,7,0)</f>
        <v>135</v>
      </c>
    </row>
    <row r="248" spans="1:14" s="151" customFormat="1" ht="14.5">
      <c r="A248" s="266" t="s">
        <v>2015</v>
      </c>
      <c r="B248" s="168" t="s">
        <v>900</v>
      </c>
      <c r="C248" s="151" t="s">
        <v>1602</v>
      </c>
      <c r="D248" s="115" t="str">
        <f>VLOOKUP(B248,'All Menu'!B:D,3,0)</f>
        <v>فتات سفري</v>
      </c>
      <c r="E248" s="116">
        <f t="shared" si="15"/>
        <v>4.3103448275862073</v>
      </c>
      <c r="F248" s="155">
        <v>1</v>
      </c>
      <c r="G248" s="152">
        <v>4.3103448275862073</v>
      </c>
      <c r="H248" s="115">
        <f>VLOOKUP(B248,'All Menu'!B:J,9,0)</f>
        <v>1.1501846754241927</v>
      </c>
      <c r="I248" s="120">
        <f>VLOOKUP(B248,'All Menu'!B:M,12,0)</f>
        <v>0.73315715530158743</v>
      </c>
      <c r="J248" s="114">
        <f t="shared" si="16"/>
        <v>4.3103448275862073</v>
      </c>
      <c r="K248" s="117">
        <f t="shared" si="17"/>
        <v>0</v>
      </c>
      <c r="L248" s="118">
        <f>VLOOKUP(B248,'All Menu'!B:G,6,0)</f>
        <v>4.3103448275862073</v>
      </c>
      <c r="M248" s="118">
        <f t="shared" si="18"/>
        <v>0</v>
      </c>
      <c r="N248" s="151">
        <f ca="1">VLOOKUP(B248,'All Menu'!B:H,7,0)</f>
        <v>1</v>
      </c>
    </row>
    <row r="249" spans="1:14" s="151" customFormat="1" ht="14.5">
      <c r="A249" s="266" t="s">
        <v>2015</v>
      </c>
      <c r="B249" s="168" t="s">
        <v>1157</v>
      </c>
      <c r="C249" s="151" t="s">
        <v>1601</v>
      </c>
      <c r="D249" s="115" t="str">
        <f>VLOOKUP(B249,'All Menu'!B:D,3,0)</f>
        <v>فتات سفري</v>
      </c>
      <c r="E249" s="116">
        <f t="shared" si="15"/>
        <v>3.9856053639846749</v>
      </c>
      <c r="F249" s="155">
        <v>9</v>
      </c>
      <c r="G249" s="152">
        <v>35.870448275862074</v>
      </c>
      <c r="H249" s="115">
        <f>VLOOKUP(B249,'All Menu'!B:J,9,0)</f>
        <v>1.0118494252964787</v>
      </c>
      <c r="I249" s="120">
        <f>VLOOKUP(B249,'All Menu'!B:M,12,0)</f>
        <v>0.75289571929601784</v>
      </c>
      <c r="J249" s="114">
        <f t="shared" si="16"/>
        <v>36.853448275862071</v>
      </c>
      <c r="K249" s="117">
        <f t="shared" si="17"/>
        <v>-0.98299999999999699</v>
      </c>
      <c r="L249" s="118">
        <f>VLOOKUP(B249,'All Menu'!B:G,6,0)</f>
        <v>4.0948275862068968</v>
      </c>
      <c r="M249" s="118">
        <f t="shared" si="18"/>
        <v>-0.10922222222222189</v>
      </c>
      <c r="N249" s="151">
        <f ca="1">VLOOKUP(B249,'All Menu'!B:H,7,0)</f>
        <v>12</v>
      </c>
    </row>
    <row r="250" spans="1:14" s="151" customFormat="1" ht="14.5">
      <c r="A250" s="266" t="s">
        <v>2015</v>
      </c>
      <c r="B250" s="168" t="s">
        <v>1177</v>
      </c>
      <c r="C250" s="151" t="s">
        <v>1607</v>
      </c>
      <c r="D250" s="115" t="str">
        <f>VLOOKUP(B250,'All Menu'!B:D,3,0)</f>
        <v>فتات سفري</v>
      </c>
      <c r="E250" s="116">
        <f t="shared" si="15"/>
        <v>3.0172413793103452</v>
      </c>
      <c r="F250" s="155">
        <v>3</v>
      </c>
      <c r="G250" s="152">
        <v>9.0517241379310356</v>
      </c>
      <c r="H250" s="115">
        <f>VLOOKUP(B250,'All Menu'!B:J,9,0)</f>
        <v>2.4346055430311861</v>
      </c>
      <c r="I250" s="120">
        <f>VLOOKUP(B250,'All Menu'!B:M,12,0)</f>
        <v>0.19310216288109269</v>
      </c>
      <c r="J250" s="114">
        <f t="shared" si="16"/>
        <v>9.0517241379310356</v>
      </c>
      <c r="K250" s="117">
        <f t="shared" si="17"/>
        <v>0</v>
      </c>
      <c r="L250" s="118">
        <f>VLOOKUP(B250,'All Menu'!B:G,6,0)</f>
        <v>3.0172413793103452</v>
      </c>
      <c r="M250" s="118">
        <f t="shared" si="18"/>
        <v>0</v>
      </c>
      <c r="N250" s="151">
        <f ca="1">VLOOKUP(B250,'All Menu'!B:H,7,0)</f>
        <v>13</v>
      </c>
    </row>
    <row r="251" spans="1:14" s="151" customFormat="1" ht="14.5">
      <c r="A251" s="266" t="s">
        <v>2015</v>
      </c>
      <c r="B251" s="168">
        <v>60002</v>
      </c>
      <c r="C251" s="151" t="s">
        <v>1969</v>
      </c>
      <c r="D251" s="115" t="str">
        <f>VLOOKUP(B251,'All Menu'!B:D,3,0)</f>
        <v>لحوم بلدية</v>
      </c>
      <c r="E251" s="116">
        <f t="shared" si="15"/>
        <v>12.5</v>
      </c>
      <c r="F251" s="155">
        <v>16</v>
      </c>
      <c r="G251" s="152">
        <v>200</v>
      </c>
      <c r="H251" s="115">
        <f>VLOOKUP(B251,'All Menu'!B:J,9,0)</f>
        <v>11.5</v>
      </c>
      <c r="I251" s="120">
        <f>VLOOKUP(B251,'All Menu'!B:M,12,0)</f>
        <v>0.08</v>
      </c>
      <c r="J251" s="114">
        <f t="shared" si="16"/>
        <v>200</v>
      </c>
      <c r="K251" s="117">
        <f t="shared" si="17"/>
        <v>0</v>
      </c>
      <c r="L251" s="118">
        <f>VLOOKUP(B251,'All Menu'!B:G,6,0)</f>
        <v>12.5</v>
      </c>
      <c r="M251" s="118">
        <f t="shared" si="18"/>
        <v>0</v>
      </c>
      <c r="N251" s="151">
        <f ca="1">VLOOKUP(B251,'All Menu'!B:H,7,0)</f>
        <v>1098.8609999999999</v>
      </c>
    </row>
    <row r="252" spans="1:14" s="151" customFormat="1" ht="14.5">
      <c r="A252" s="266" t="s">
        <v>2015</v>
      </c>
      <c r="B252" s="168">
        <v>60010</v>
      </c>
      <c r="C252" s="151" t="s">
        <v>1741</v>
      </c>
      <c r="D252" s="115" t="str">
        <f>VLOOKUP(B252,'All Menu'!B:D,3,0)</f>
        <v>لحوم بلدية</v>
      </c>
      <c r="E252" s="116">
        <f t="shared" si="15"/>
        <v>16</v>
      </c>
      <c r="F252" s="155">
        <v>1</v>
      </c>
      <c r="G252" s="152">
        <v>16</v>
      </c>
      <c r="H252" s="115">
        <f>VLOOKUP(B252,'All Menu'!B:J,9,0)</f>
        <v>11.039193820514564</v>
      </c>
      <c r="I252" s="120">
        <f>VLOOKUP(B252,'All Menu'!B:M,12,0)</f>
        <v>0.31005038621783976</v>
      </c>
      <c r="J252" s="114">
        <f t="shared" si="16"/>
        <v>16</v>
      </c>
      <c r="K252" s="117">
        <f t="shared" si="17"/>
        <v>0</v>
      </c>
      <c r="L252" s="118">
        <f>VLOOKUP(B252,'All Menu'!B:G,6,0)</f>
        <v>16</v>
      </c>
      <c r="M252" s="118">
        <f t="shared" si="18"/>
        <v>0</v>
      </c>
      <c r="N252" s="151">
        <f ca="1">VLOOKUP(B252,'All Menu'!B:H,7,0)</f>
        <v>23.545000000000002</v>
      </c>
    </row>
    <row r="253" spans="1:14" s="151" customFormat="1" ht="14.5">
      <c r="A253" s="266" t="s">
        <v>2015</v>
      </c>
      <c r="B253" s="168">
        <v>60016</v>
      </c>
      <c r="C253" s="151" t="s">
        <v>2020</v>
      </c>
      <c r="D253" s="115" t="str">
        <f>VLOOKUP(B253,'All Menu'!B:D,3,0)</f>
        <v>لحوم بلدية</v>
      </c>
      <c r="E253" s="116">
        <f t="shared" si="15"/>
        <v>16</v>
      </c>
      <c r="F253" s="155">
        <v>0.5</v>
      </c>
      <c r="G253" s="152">
        <v>8</v>
      </c>
      <c r="H253" s="115">
        <f>VLOOKUP(B253,'All Menu'!B:J,9,0)</f>
        <v>12.58</v>
      </c>
      <c r="I253" s="120">
        <f>VLOOKUP(B253,'All Menu'!B:M,12,0)</f>
        <v>0.21375</v>
      </c>
      <c r="J253" s="114">
        <f t="shared" si="16"/>
        <v>8</v>
      </c>
      <c r="K253" s="117">
        <f t="shared" si="17"/>
        <v>0</v>
      </c>
      <c r="L253" s="118">
        <f>VLOOKUP(B253,'All Menu'!B:G,6,0)</f>
        <v>16</v>
      </c>
      <c r="M253" s="118">
        <f t="shared" si="18"/>
        <v>0</v>
      </c>
      <c r="N253" s="151">
        <f ca="1">VLOOKUP(B253,'All Menu'!B:H,7,0)</f>
        <v>278.84499999999997</v>
      </c>
    </row>
    <row r="254" spans="1:14" s="151" customFormat="1" ht="14.5">
      <c r="A254" s="266" t="s">
        <v>2015</v>
      </c>
      <c r="B254" s="168">
        <v>60024</v>
      </c>
      <c r="C254" s="151" t="s">
        <v>1615</v>
      </c>
      <c r="D254" s="115" t="str">
        <f>VLOOKUP(B254,'All Menu'!B:D,3,0)</f>
        <v>لحوم بلدية</v>
      </c>
      <c r="E254" s="116">
        <f t="shared" si="15"/>
        <v>12</v>
      </c>
      <c r="F254" s="155">
        <v>1</v>
      </c>
      <c r="G254" s="152">
        <v>12</v>
      </c>
      <c r="H254" s="115">
        <f>VLOOKUP(B254,'All Menu'!B:J,9,0)</f>
        <v>7.6017209137931037</v>
      </c>
      <c r="I254" s="120">
        <f>VLOOKUP(B254,'All Menu'!B:M,12,0)</f>
        <v>0.36652325718390805</v>
      </c>
      <c r="J254" s="114">
        <f t="shared" si="16"/>
        <v>12</v>
      </c>
      <c r="K254" s="117">
        <f t="shared" si="17"/>
        <v>0</v>
      </c>
      <c r="L254" s="118">
        <f>VLOOKUP(B254,'All Menu'!B:G,6,0)</f>
        <v>12</v>
      </c>
      <c r="M254" s="118">
        <f t="shared" si="18"/>
        <v>0</v>
      </c>
      <c r="N254" s="151">
        <f ca="1">VLOOKUP(B254,'All Menu'!B:H,7,0)</f>
        <v>507.66099999999994</v>
      </c>
    </row>
    <row r="255" spans="1:14" s="151" customFormat="1" ht="14.5">
      <c r="A255" s="266" t="s">
        <v>2015</v>
      </c>
      <c r="B255" s="168">
        <v>60038</v>
      </c>
      <c r="C255" s="151" t="s">
        <v>537</v>
      </c>
      <c r="D255" s="115" t="str">
        <f>VLOOKUP(B255,'All Menu'!B:D,3,0)</f>
        <v>لحوم بلدية</v>
      </c>
      <c r="E255" s="116">
        <f t="shared" si="15"/>
        <v>13.991253644314869</v>
      </c>
      <c r="F255" s="155">
        <v>3.43</v>
      </c>
      <c r="G255" s="152">
        <v>47.99</v>
      </c>
      <c r="H255" s="115">
        <f>VLOOKUP(B255,'All Menu'!B:J,9,0)</f>
        <v>5.2698975804597694</v>
      </c>
      <c r="I255" s="120">
        <f>VLOOKUP(B255,'All Menu'!B:M,12,0)</f>
        <v>0.62357874425287363</v>
      </c>
      <c r="J255" s="114">
        <f t="shared" si="16"/>
        <v>48.02</v>
      </c>
      <c r="K255" s="117">
        <f t="shared" si="17"/>
        <v>-3.0000000000001137E-2</v>
      </c>
      <c r="L255" s="118">
        <f>VLOOKUP(B255,'All Menu'!B:G,6,0)</f>
        <v>14</v>
      </c>
      <c r="M255" s="118">
        <f t="shared" si="18"/>
        <v>-8.7463556851314905E-3</v>
      </c>
      <c r="N255" s="151">
        <f ca="1">VLOOKUP(B255,'All Menu'!B:H,7,0)</f>
        <v>8.43</v>
      </c>
    </row>
    <row r="256" spans="1:14" s="151" customFormat="1" ht="14.5">
      <c r="A256" s="266" t="s">
        <v>2015</v>
      </c>
      <c r="B256" s="168">
        <v>60050</v>
      </c>
      <c r="C256" s="151" t="s">
        <v>1745</v>
      </c>
      <c r="D256" s="115" t="str">
        <f>VLOOKUP(B256,'All Menu'!B:D,3,0)</f>
        <v>لحوم بلدية</v>
      </c>
      <c r="E256" s="116">
        <f t="shared" si="15"/>
        <v>4.2560392156862745</v>
      </c>
      <c r="F256" s="155">
        <v>25.5</v>
      </c>
      <c r="G256" s="152">
        <v>108.529</v>
      </c>
      <c r="H256" s="115">
        <f>VLOOKUP(B256,'All Menu'!B:J,9,0)</f>
        <v>5.0999999999999996</v>
      </c>
      <c r="I256" s="120">
        <f>VLOOKUP(B256,'All Menu'!B:M,12,0)</f>
        <v>0.11304347826086962</v>
      </c>
      <c r="J256" s="114">
        <f t="shared" si="16"/>
        <v>146.625</v>
      </c>
      <c r="K256" s="117">
        <f t="shared" si="17"/>
        <v>-38.096000000000004</v>
      </c>
      <c r="L256" s="118">
        <f>VLOOKUP(B256,'All Menu'!B:G,6,0)</f>
        <v>5.75</v>
      </c>
      <c r="M256" s="118">
        <f t="shared" si="18"/>
        <v>-1.4939607843137255</v>
      </c>
      <c r="N256" s="151">
        <f ca="1">VLOOKUP(B256,'All Menu'!B:H,7,0)</f>
        <v>213.5</v>
      </c>
    </row>
    <row r="257" spans="1:14" s="151" customFormat="1" ht="14.5">
      <c r="A257" s="266" t="s">
        <v>2015</v>
      </c>
      <c r="B257" s="168">
        <v>203070</v>
      </c>
      <c r="C257" s="151" t="s">
        <v>1840</v>
      </c>
      <c r="D257" s="115" t="str">
        <f>VLOOKUP(B257,'All Menu'!B:D,3,0)</f>
        <v>لحوم مشكوكة</v>
      </c>
      <c r="E257" s="116">
        <f t="shared" ref="E257:E290" si="19">G257/F257</f>
        <v>2</v>
      </c>
      <c r="F257" s="155">
        <v>1</v>
      </c>
      <c r="G257" s="152">
        <v>2</v>
      </c>
      <c r="H257" s="115">
        <f>VLOOKUP(B257,'All Menu'!B:J,9,0)</f>
        <v>0.23579365079365081</v>
      </c>
      <c r="I257" s="120">
        <f>VLOOKUP(B257,'All Menu'!B:M,12,0)</f>
        <v>0.88210317460317456</v>
      </c>
      <c r="J257" s="114">
        <f t="shared" si="16"/>
        <v>2</v>
      </c>
      <c r="K257" s="117">
        <f t="shared" si="17"/>
        <v>0</v>
      </c>
      <c r="L257" s="118">
        <f>VLOOKUP(B257,'All Menu'!B:G,6,0)</f>
        <v>2</v>
      </c>
      <c r="M257" s="118">
        <f t="shared" si="18"/>
        <v>0</v>
      </c>
      <c r="N257" s="151">
        <f ca="1">VLOOKUP(B257,'All Menu'!B:H,7,0)</f>
        <v>2</v>
      </c>
    </row>
    <row r="258" spans="1:14" s="151" customFormat="1" ht="14.5">
      <c r="A258" s="266" t="s">
        <v>2015</v>
      </c>
      <c r="B258" s="168">
        <v>60026</v>
      </c>
      <c r="C258" s="151" t="s">
        <v>1751</v>
      </c>
      <c r="D258" s="115" t="str">
        <f>VLOOKUP(B258,'All Menu'!B:D,3,0)</f>
        <v>لحوم مشكوكة</v>
      </c>
      <c r="E258" s="116">
        <f t="shared" si="19"/>
        <v>24.909382303839731</v>
      </c>
      <c r="F258" s="155">
        <v>59.9</v>
      </c>
      <c r="G258" s="152">
        <v>1492.0719999999999</v>
      </c>
      <c r="H258" s="115">
        <f>VLOOKUP(B258,'All Menu'!B:J,9,0)</f>
        <v>20.330211999999996</v>
      </c>
      <c r="I258" s="120">
        <f>VLOOKUP(B258,'All Menu'!B:M,12,0)</f>
        <v>0.18679152000000016</v>
      </c>
      <c r="J258" s="114">
        <f t="shared" si="16"/>
        <v>1497.5</v>
      </c>
      <c r="K258" s="117">
        <f t="shared" si="17"/>
        <v>-5.428000000000111</v>
      </c>
      <c r="L258" s="118">
        <f>VLOOKUP(B258,'All Menu'!B:G,6,0)</f>
        <v>25</v>
      </c>
      <c r="M258" s="118">
        <f t="shared" si="18"/>
        <v>-9.0617696160268935E-2</v>
      </c>
      <c r="N258" s="151">
        <f ca="1">VLOOKUP(B258,'All Menu'!B:H,7,0)</f>
        <v>131.30009999999999</v>
      </c>
    </row>
    <row r="259" spans="1:14" s="151" customFormat="1" ht="14.5">
      <c r="A259" s="266" t="s">
        <v>2015</v>
      </c>
      <c r="B259" s="168">
        <v>60027</v>
      </c>
      <c r="C259" s="151" t="s">
        <v>1623</v>
      </c>
      <c r="D259" s="115" t="str">
        <f>VLOOKUP(B259,'All Menu'!B:D,3,0)</f>
        <v>لحوم مشكوكة</v>
      </c>
      <c r="E259" s="116">
        <f t="shared" si="19"/>
        <v>18.952513181019331</v>
      </c>
      <c r="F259" s="155">
        <v>56.9</v>
      </c>
      <c r="G259" s="152">
        <v>1078.3979999999999</v>
      </c>
      <c r="H259" s="115">
        <f>VLOOKUP(B259,'All Menu'!B:J,9,0)</f>
        <v>13.259170242685132</v>
      </c>
      <c r="I259" s="120">
        <f>VLOOKUP(B259,'All Menu'!B:M,12,0)</f>
        <v>0.30214893459551939</v>
      </c>
      <c r="J259" s="114">
        <f t="shared" si="16"/>
        <v>1081.0999999999999</v>
      </c>
      <c r="K259" s="117">
        <f t="shared" si="17"/>
        <v>-2.7019999999999982</v>
      </c>
      <c r="L259" s="118">
        <f>VLOOKUP(B259,'All Menu'!B:G,6,0)</f>
        <v>19</v>
      </c>
      <c r="M259" s="118">
        <f t="shared" si="18"/>
        <v>-4.7486818980669199E-2</v>
      </c>
      <c r="N259" s="151">
        <f ca="1">VLOOKUP(B259,'All Menu'!B:H,7,0)</f>
        <v>143.90010000000001</v>
      </c>
    </row>
    <row r="260" spans="1:14" s="151" customFormat="1" ht="14.5">
      <c r="A260" s="266" t="s">
        <v>2015</v>
      </c>
      <c r="B260" s="168">
        <v>60028</v>
      </c>
      <c r="C260" s="151" t="s">
        <v>1752</v>
      </c>
      <c r="D260" s="115" t="str">
        <f>VLOOKUP(B260,'All Menu'!B:D,3,0)</f>
        <v>لحوم مشكوكة</v>
      </c>
      <c r="E260" s="116">
        <f t="shared" si="19"/>
        <v>19</v>
      </c>
      <c r="F260" s="155">
        <v>14.5</v>
      </c>
      <c r="G260" s="152">
        <v>275.5</v>
      </c>
      <c r="H260" s="115">
        <f>VLOOKUP(B260,'All Menu'!B:J,9,0)</f>
        <v>13.664539434084606</v>
      </c>
      <c r="I260" s="120">
        <f>VLOOKUP(B260,'All Menu'!B:M,12,0)</f>
        <v>0.28081371399554705</v>
      </c>
      <c r="J260" s="114">
        <f t="shared" si="16"/>
        <v>275.5</v>
      </c>
      <c r="K260" s="117">
        <f t="shared" si="17"/>
        <v>0</v>
      </c>
      <c r="L260" s="118">
        <f>VLOOKUP(B260,'All Menu'!B:G,6,0)</f>
        <v>19</v>
      </c>
      <c r="M260" s="118">
        <f t="shared" si="18"/>
        <v>0</v>
      </c>
      <c r="N260" s="151">
        <f ca="1">VLOOKUP(B260,'All Menu'!B:H,7,0)</f>
        <v>27.53</v>
      </c>
    </row>
    <row r="261" spans="1:14" s="151" customFormat="1" ht="14.5">
      <c r="A261" s="266" t="s">
        <v>2015</v>
      </c>
      <c r="B261" s="168">
        <v>60029</v>
      </c>
      <c r="C261" s="151" t="s">
        <v>1625</v>
      </c>
      <c r="D261" s="115" t="str">
        <f>VLOOKUP(B261,'All Menu'!B:D,3,0)</f>
        <v>لحوم مشكوكة</v>
      </c>
      <c r="E261" s="116">
        <f t="shared" si="19"/>
        <v>19.735441860465116</v>
      </c>
      <c r="F261" s="155">
        <v>10.75</v>
      </c>
      <c r="G261" s="152">
        <v>212.15600000000001</v>
      </c>
      <c r="H261" s="115">
        <f>VLOOKUP(B261,'All Menu'!B:J,9,0)</f>
        <v>12.540785760514565</v>
      </c>
      <c r="I261" s="120">
        <f>VLOOKUP(B261,'All Menu'!B:M,12,0)</f>
        <v>0.37296071197427177</v>
      </c>
      <c r="J261" s="114">
        <f t="shared" si="16"/>
        <v>215</v>
      </c>
      <c r="K261" s="117">
        <f t="shared" si="17"/>
        <v>-2.8439999999999941</v>
      </c>
      <c r="L261" s="118">
        <f>VLOOKUP(B261,'All Menu'!B:G,6,0)</f>
        <v>20</v>
      </c>
      <c r="M261" s="118">
        <f t="shared" si="18"/>
        <v>-0.26455813953488416</v>
      </c>
      <c r="N261" s="151">
        <f ca="1">VLOOKUP(B261,'All Menu'!B:H,7,0)</f>
        <v>25.75</v>
      </c>
    </row>
    <row r="262" spans="1:14" s="151" customFormat="1" ht="14.5">
      <c r="A262" s="266" t="s">
        <v>2015</v>
      </c>
      <c r="B262" s="168">
        <v>60034</v>
      </c>
      <c r="C262" s="151" t="s">
        <v>1837</v>
      </c>
      <c r="D262" s="115" t="str">
        <f>VLOOKUP(B262,'All Menu'!B:D,3,0)</f>
        <v>لحوم مشكوكة</v>
      </c>
      <c r="E262" s="116">
        <f t="shared" si="19"/>
        <v>6.6017999999999999</v>
      </c>
      <c r="F262" s="155">
        <v>5</v>
      </c>
      <c r="G262" s="152">
        <v>33.009</v>
      </c>
      <c r="H262" s="115">
        <f>VLOOKUP(B262,'All Menu'!B:J,9,0)</f>
        <v>4.7069982955314504</v>
      </c>
      <c r="I262" s="120">
        <f>VLOOKUP(B262,'All Menu'!B:M,12,0)</f>
        <v>0.32757167206693566</v>
      </c>
      <c r="J262" s="114">
        <f t="shared" si="16"/>
        <v>35</v>
      </c>
      <c r="K262" s="117">
        <f t="shared" si="17"/>
        <v>-1.9909999999999997</v>
      </c>
      <c r="L262" s="118">
        <f>VLOOKUP(B262,'All Menu'!B:G,6,0)</f>
        <v>7</v>
      </c>
      <c r="M262" s="118">
        <f t="shared" si="18"/>
        <v>-0.39820000000000011</v>
      </c>
      <c r="N262" s="151">
        <f ca="1">VLOOKUP(B262,'All Menu'!B:H,7,0)</f>
        <v>5</v>
      </c>
    </row>
    <row r="263" spans="1:14" s="151" customFormat="1" ht="14.5">
      <c r="A263" s="266" t="s">
        <v>2015</v>
      </c>
      <c r="B263" s="168">
        <v>60035</v>
      </c>
      <c r="C263" s="151" t="s">
        <v>1760</v>
      </c>
      <c r="D263" s="115" t="str">
        <f>VLOOKUP(B263,'All Menu'!B:D,3,0)</f>
        <v>لحوم مشكوكة</v>
      </c>
      <c r="E263" s="116">
        <f t="shared" si="19"/>
        <v>8</v>
      </c>
      <c r="F263" s="155">
        <v>0.5</v>
      </c>
      <c r="G263" s="152">
        <v>4</v>
      </c>
      <c r="H263" s="115">
        <f>VLOOKUP(B263,'All Menu'!B:J,9,0)</f>
        <v>3.3015919400000002</v>
      </c>
      <c r="I263" s="120">
        <f>VLOOKUP(B263,'All Menu'!B:M,12,0)</f>
        <v>0.58730100750000003</v>
      </c>
      <c r="J263" s="114">
        <f t="shared" si="16"/>
        <v>4</v>
      </c>
      <c r="K263" s="117">
        <f t="shared" si="17"/>
        <v>0</v>
      </c>
      <c r="L263" s="118">
        <f>VLOOKUP(B263,'All Menu'!B:G,6,0)</f>
        <v>8</v>
      </c>
      <c r="M263" s="118">
        <f t="shared" si="18"/>
        <v>0</v>
      </c>
      <c r="N263" s="151">
        <f ca="1">VLOOKUP(B263,'All Menu'!B:H,7,0)</f>
        <v>8.5</v>
      </c>
    </row>
    <row r="264" spans="1:14" s="151" customFormat="1" ht="14.5">
      <c r="A264" s="266" t="s">
        <v>2015</v>
      </c>
      <c r="B264" s="168">
        <v>60036</v>
      </c>
      <c r="C264" s="151" t="s">
        <v>1626</v>
      </c>
      <c r="D264" s="115" t="str">
        <f>VLOOKUP(B264,'All Menu'!B:D,3,0)</f>
        <v>لحوم مشكوكة</v>
      </c>
      <c r="E264" s="116">
        <f t="shared" si="19"/>
        <v>13</v>
      </c>
      <c r="F264" s="155">
        <v>32.799999999999997</v>
      </c>
      <c r="G264" s="152">
        <v>426.4</v>
      </c>
      <c r="H264" s="115">
        <f>VLOOKUP(B264,'All Menu'!B:J,9,0)</f>
        <v>6.165761303091827</v>
      </c>
      <c r="I264" s="120">
        <f>VLOOKUP(B264,'All Menu'!B:M,12,0)</f>
        <v>0.52571066899293639</v>
      </c>
      <c r="J264" s="114">
        <f t="shared" si="16"/>
        <v>426.4</v>
      </c>
      <c r="K264" s="117">
        <f t="shared" si="17"/>
        <v>0</v>
      </c>
      <c r="L264" s="118">
        <f>VLOOKUP(B264,'All Menu'!B:G,6,0)</f>
        <v>13</v>
      </c>
      <c r="M264" s="118">
        <f t="shared" si="18"/>
        <v>0</v>
      </c>
      <c r="N264" s="151">
        <f ca="1">VLOOKUP(B264,'All Menu'!B:H,7,0)</f>
        <v>73.9011</v>
      </c>
    </row>
    <row r="265" spans="1:14" s="151" customFormat="1" ht="14.5">
      <c r="A265" s="266" t="s">
        <v>2015</v>
      </c>
      <c r="B265" s="168">
        <v>60041</v>
      </c>
      <c r="C265" s="151" t="s">
        <v>1627</v>
      </c>
      <c r="D265" s="115" t="str">
        <f>VLOOKUP(B265,'All Menu'!B:D,3,0)</f>
        <v>لحوم مشكوكة</v>
      </c>
      <c r="E265" s="116">
        <f t="shared" si="19"/>
        <v>17.996333333333332</v>
      </c>
      <c r="F265" s="155">
        <v>189</v>
      </c>
      <c r="G265" s="152">
        <v>3401.3069999999998</v>
      </c>
      <c r="H265" s="115">
        <f>VLOOKUP(B265,'All Menu'!B:J,9,0)</f>
        <v>9.5930438909447719</v>
      </c>
      <c r="I265" s="120">
        <f>VLOOKUP(B265,'All Menu'!B:M,12,0)</f>
        <v>0.46705311716973491</v>
      </c>
      <c r="J265" s="114">
        <f t="shared" si="16"/>
        <v>3402</v>
      </c>
      <c r="K265" s="117">
        <f t="shared" si="17"/>
        <v>-0.693000000000211</v>
      </c>
      <c r="L265" s="118">
        <f>VLOOKUP(B265,'All Menu'!B:G,6,0)</f>
        <v>18</v>
      </c>
      <c r="M265" s="118">
        <f t="shared" si="18"/>
        <v>-3.6666666666675951E-3</v>
      </c>
      <c r="N265" s="151">
        <f ca="1">VLOOKUP(B265,'All Menu'!B:H,7,0)</f>
        <v>349.267</v>
      </c>
    </row>
    <row r="266" spans="1:14" s="151" customFormat="1" ht="14.5">
      <c r="A266" s="266" t="s">
        <v>2015</v>
      </c>
      <c r="B266" s="168">
        <v>60042</v>
      </c>
      <c r="C266" s="151" t="s">
        <v>1628</v>
      </c>
      <c r="D266" s="115" t="str">
        <f>VLOOKUP(B266,'All Menu'!B:D,3,0)</f>
        <v>لحوم مشكوكة</v>
      </c>
      <c r="E266" s="116">
        <f t="shared" si="19"/>
        <v>17.978999999999999</v>
      </c>
      <c r="F266" s="155">
        <v>11</v>
      </c>
      <c r="G266" s="152">
        <v>197.76900000000001</v>
      </c>
      <c r="H266" s="115">
        <f>VLOOKUP(B266,'All Menu'!B:J,9,0)</f>
        <v>9.9282559666152714</v>
      </c>
      <c r="I266" s="120">
        <f>VLOOKUP(B266,'All Menu'!B:M,12,0)</f>
        <v>0.44843022407692934</v>
      </c>
      <c r="J266" s="114">
        <f t="shared" si="16"/>
        <v>198</v>
      </c>
      <c r="K266" s="117">
        <f t="shared" si="17"/>
        <v>-0.23099999999999454</v>
      </c>
      <c r="L266" s="118">
        <f>VLOOKUP(B266,'All Menu'!B:G,6,0)</f>
        <v>18</v>
      </c>
      <c r="M266" s="118">
        <f t="shared" si="18"/>
        <v>-2.1000000000000796E-2</v>
      </c>
      <c r="N266" s="151">
        <f ca="1">VLOOKUP(B266,'All Menu'!B:H,7,0)</f>
        <v>11.6</v>
      </c>
    </row>
    <row r="267" spans="1:14" s="151" customFormat="1" ht="14.5">
      <c r="A267" s="266" t="s">
        <v>2015</v>
      </c>
      <c r="B267" s="168">
        <v>60043</v>
      </c>
      <c r="C267" s="151" t="s">
        <v>1761</v>
      </c>
      <c r="D267" s="115" t="str">
        <f>VLOOKUP(B267,'All Menu'!B:D,3,0)</f>
        <v>لحوم مشكوكة</v>
      </c>
      <c r="E267" s="116">
        <f t="shared" si="19"/>
        <v>2.998075</v>
      </c>
      <c r="F267" s="155">
        <v>40</v>
      </c>
      <c r="G267" s="152">
        <v>119.923</v>
      </c>
      <c r="H267" s="115">
        <f>VLOOKUP(B267,'All Menu'!B:J,9,0)</f>
        <v>0.49504962499999999</v>
      </c>
      <c r="I267" s="120">
        <f>VLOOKUP(B267,'All Menu'!B:M,12,0)</f>
        <v>0.83498345833333332</v>
      </c>
      <c r="J267" s="114">
        <f t="shared" si="16"/>
        <v>120</v>
      </c>
      <c r="K267" s="117">
        <f t="shared" si="17"/>
        <v>-7.6999999999998181E-2</v>
      </c>
      <c r="L267" s="118">
        <f>VLOOKUP(B267,'All Menu'!B:G,6,0)</f>
        <v>3</v>
      </c>
      <c r="M267" s="118">
        <f t="shared" si="18"/>
        <v>-1.9249999999999545E-3</v>
      </c>
      <c r="N267" s="151">
        <f ca="1">VLOOKUP(B267,'All Menu'!B:H,7,0)</f>
        <v>272.01</v>
      </c>
    </row>
    <row r="268" spans="1:14" s="151" customFormat="1" ht="14.5">
      <c r="A268" s="266" t="s">
        <v>2015</v>
      </c>
      <c r="B268" s="168">
        <v>60044</v>
      </c>
      <c r="C268" s="151" t="s">
        <v>1839</v>
      </c>
      <c r="D268" s="115" t="str">
        <f>VLOOKUP(B268,'All Menu'!B:D,3,0)</f>
        <v>لحوم مشكوكة</v>
      </c>
      <c r="E268" s="116">
        <f t="shared" si="19"/>
        <v>3</v>
      </c>
      <c r="F268" s="155">
        <v>7</v>
      </c>
      <c r="G268" s="152">
        <v>21</v>
      </c>
      <c r="H268" s="115">
        <f>VLOOKUP(B268,'All Menu'!B:J,9,0)</f>
        <v>0.53695113445881237</v>
      </c>
      <c r="I268" s="120">
        <f>VLOOKUP(B268,'All Menu'!B:M,12,0)</f>
        <v>0.82101628851372921</v>
      </c>
      <c r="J268" s="114">
        <f t="shared" si="16"/>
        <v>21</v>
      </c>
      <c r="K268" s="117">
        <f t="shared" si="17"/>
        <v>0</v>
      </c>
      <c r="L268" s="118">
        <f>VLOOKUP(B268,'All Menu'!B:G,6,0)</f>
        <v>3</v>
      </c>
      <c r="M268" s="118">
        <f t="shared" si="18"/>
        <v>0</v>
      </c>
      <c r="N268" s="151">
        <f ca="1">VLOOKUP(B268,'All Menu'!B:H,7,0)</f>
        <v>17</v>
      </c>
    </row>
    <row r="269" spans="1:14" s="151" customFormat="1" ht="14.5">
      <c r="A269" s="266" t="s">
        <v>2015</v>
      </c>
      <c r="B269" s="168">
        <v>60045</v>
      </c>
      <c r="C269" s="151" t="s">
        <v>1726</v>
      </c>
      <c r="D269" s="115" t="str">
        <f>VLOOKUP(B269,'All Menu'!B:D,3,0)</f>
        <v>لحوم مشكوكة</v>
      </c>
      <c r="E269" s="116">
        <f t="shared" si="19"/>
        <v>0.74428571428571433</v>
      </c>
      <c r="F269" s="155">
        <v>56</v>
      </c>
      <c r="G269" s="152">
        <v>41.68</v>
      </c>
      <c r="H269" s="115">
        <f>VLOOKUP(B269,'All Menu'!B:J,9,0)</f>
        <v>0.11097000000000001</v>
      </c>
      <c r="I269" s="120">
        <f>VLOOKUP(B269,'All Menu'!B:M,12,0)</f>
        <v>0.85204000000000002</v>
      </c>
      <c r="J269" s="114">
        <f t="shared" si="16"/>
        <v>42</v>
      </c>
      <c r="K269" s="117">
        <f t="shared" si="17"/>
        <v>-0.32000000000000028</v>
      </c>
      <c r="L269" s="118">
        <f>VLOOKUP(B269,'All Menu'!B:G,6,0)</f>
        <v>0.75</v>
      </c>
      <c r="M269" s="118">
        <f t="shared" si="18"/>
        <v>-5.7142857142856718E-3</v>
      </c>
      <c r="N269" s="151">
        <f ca="1">VLOOKUP(B269,'All Menu'!B:H,7,0)</f>
        <v>72</v>
      </c>
    </row>
    <row r="270" spans="1:14" s="151" customFormat="1" ht="14.5">
      <c r="A270" s="266" t="s">
        <v>2015</v>
      </c>
      <c r="B270" s="168">
        <v>60046</v>
      </c>
      <c r="C270" s="151" t="s">
        <v>1727</v>
      </c>
      <c r="D270" s="115" t="str">
        <f>VLOOKUP(B270,'All Menu'!B:D,3,0)</f>
        <v>لحوم مشكوكة</v>
      </c>
      <c r="E270" s="116">
        <f t="shared" si="19"/>
        <v>0.74582352941176466</v>
      </c>
      <c r="F270" s="155">
        <v>51</v>
      </c>
      <c r="G270" s="152">
        <v>38.036999999999999</v>
      </c>
      <c r="H270" s="115">
        <f>VLOOKUP(B270,'All Menu'!B:J,9,0)</f>
        <v>0.12897</v>
      </c>
      <c r="I270" s="120">
        <f>VLOOKUP(B270,'All Menu'!B:M,12,0)</f>
        <v>0.82804</v>
      </c>
      <c r="J270" s="114">
        <f t="shared" si="16"/>
        <v>38.25</v>
      </c>
      <c r="K270" s="117">
        <f t="shared" si="17"/>
        <v>-0.21300000000000097</v>
      </c>
      <c r="L270" s="118">
        <f>VLOOKUP(B270,'All Menu'!B:G,6,0)</f>
        <v>0.75</v>
      </c>
      <c r="M270" s="118">
        <f t="shared" si="18"/>
        <v>-4.176470588235337E-3</v>
      </c>
      <c r="N270" s="151">
        <f ca="1">VLOOKUP(B270,'All Menu'!B:H,7,0)</f>
        <v>68</v>
      </c>
    </row>
    <row r="271" spans="1:14" s="151" customFormat="1" ht="14.5">
      <c r="A271" s="266" t="s">
        <v>2015</v>
      </c>
      <c r="B271" s="168">
        <v>60047</v>
      </c>
      <c r="C271" s="151" t="s">
        <v>1420</v>
      </c>
      <c r="D271" s="115" t="str">
        <f>VLOOKUP(B271,'All Menu'!B:D,3,0)</f>
        <v>لحوم مشكوكة</v>
      </c>
      <c r="E271" s="116">
        <f t="shared" si="19"/>
        <v>1.9738727272727272</v>
      </c>
      <c r="F271" s="155">
        <v>55</v>
      </c>
      <c r="G271" s="152">
        <v>108.563</v>
      </c>
      <c r="H271" s="115">
        <f>VLOOKUP(B271,'All Menu'!B:J,9,0)</f>
        <v>0.56896999999999998</v>
      </c>
      <c r="I271" s="120">
        <f>VLOOKUP(B271,'All Menu'!B:M,12,0)</f>
        <v>0.71551500000000001</v>
      </c>
      <c r="J271" s="114">
        <f t="shared" si="16"/>
        <v>110</v>
      </c>
      <c r="K271" s="117">
        <f t="shared" si="17"/>
        <v>-1.4369999999999976</v>
      </c>
      <c r="L271" s="118">
        <f>VLOOKUP(B271,'All Menu'!B:G,6,0)</f>
        <v>2</v>
      </c>
      <c r="M271" s="118">
        <f t="shared" si="18"/>
        <v>-2.6127272727272777E-2</v>
      </c>
      <c r="N271" s="151">
        <f ca="1">VLOOKUP(B271,'All Menu'!B:H,7,0)</f>
        <v>73</v>
      </c>
    </row>
    <row r="272" spans="1:14" s="151" customFormat="1" ht="14.5">
      <c r="A272" s="266" t="s">
        <v>2015</v>
      </c>
      <c r="B272" s="168">
        <v>60048</v>
      </c>
      <c r="C272" s="151" t="s">
        <v>1728</v>
      </c>
      <c r="D272" s="115" t="str">
        <f>VLOOKUP(B272,'All Menu'!B:D,3,0)</f>
        <v>لحوم مشكوكة</v>
      </c>
      <c r="E272" s="116">
        <f t="shared" si="19"/>
        <v>0.74073913043478257</v>
      </c>
      <c r="F272" s="155">
        <v>23</v>
      </c>
      <c r="G272" s="152">
        <v>17.036999999999999</v>
      </c>
      <c r="H272" s="115">
        <f>VLOOKUP(B272,'All Menu'!B:J,9,0)</f>
        <v>0.12397</v>
      </c>
      <c r="I272" s="120">
        <f>VLOOKUP(B272,'All Menu'!B:M,12,0)</f>
        <v>0.8347066666666666</v>
      </c>
      <c r="J272" s="114">
        <f t="shared" si="16"/>
        <v>17.25</v>
      </c>
      <c r="K272" s="117">
        <f t="shared" si="17"/>
        <v>-0.21300000000000097</v>
      </c>
      <c r="L272" s="118">
        <f>VLOOKUP(B272,'All Menu'!B:G,6,0)</f>
        <v>0.75</v>
      </c>
      <c r="M272" s="118">
        <f t="shared" si="18"/>
        <v>-9.2608695652174333E-3</v>
      </c>
      <c r="N272" s="151">
        <f ca="1">VLOOKUP(B272,'All Menu'!B:H,7,0)</f>
        <v>32</v>
      </c>
    </row>
    <row r="273" spans="1:14" s="151" customFormat="1" ht="14.5">
      <c r="A273" s="266" t="s">
        <v>2015</v>
      </c>
      <c r="B273" s="168" t="s">
        <v>1282</v>
      </c>
      <c r="C273" s="151" t="s">
        <v>1755</v>
      </c>
      <c r="D273" s="115" t="str">
        <f>VLOOKUP(B273,'All Menu'!B:D,3,0)</f>
        <v>لحوم مشكوكة</v>
      </c>
      <c r="E273" s="116">
        <f t="shared" si="19"/>
        <v>1.5</v>
      </c>
      <c r="F273" s="155">
        <v>3</v>
      </c>
      <c r="G273" s="152">
        <v>4.5</v>
      </c>
      <c r="H273" s="115">
        <f>VLOOKUP(B273,'All Menu'!B:J,9,0)</f>
        <v>1.5</v>
      </c>
      <c r="I273" s="120">
        <f>VLOOKUP(B273,'All Menu'!B:M,12,0)</f>
        <v>0</v>
      </c>
      <c r="J273" s="114">
        <f t="shared" si="16"/>
        <v>4.5</v>
      </c>
      <c r="K273" s="117">
        <f t="shared" si="17"/>
        <v>0</v>
      </c>
      <c r="L273" s="118">
        <f>VLOOKUP(B273,'All Menu'!B:G,6,0)</f>
        <v>1.5</v>
      </c>
      <c r="M273" s="118">
        <f t="shared" si="18"/>
        <v>0</v>
      </c>
      <c r="N273" s="151">
        <f ca="1">VLOOKUP(B273,'All Menu'!B:H,7,0)</f>
        <v>10</v>
      </c>
    </row>
    <row r="274" spans="1:14" s="151" customFormat="1" ht="14.5">
      <c r="A274" s="266" t="s">
        <v>2015</v>
      </c>
      <c r="B274" s="168" t="s">
        <v>1283</v>
      </c>
      <c r="C274" s="151" t="s">
        <v>1756</v>
      </c>
      <c r="D274" s="115" t="str">
        <f>VLOOKUP(B274,'All Menu'!B:D,3,0)</f>
        <v>لحوم مشكوكة</v>
      </c>
      <c r="E274" s="116">
        <f t="shared" si="19"/>
        <v>4.5</v>
      </c>
      <c r="F274" s="155">
        <v>1</v>
      </c>
      <c r="G274" s="152">
        <v>4.5</v>
      </c>
      <c r="H274" s="115">
        <f>VLOOKUP(B274,'All Menu'!B:J,9,0)</f>
        <v>2.7160000000000002</v>
      </c>
      <c r="I274" s="120">
        <f>VLOOKUP(B274,'All Menu'!B:M,12,0)</f>
        <v>0.39644444444444438</v>
      </c>
      <c r="J274" s="114">
        <f t="shared" si="16"/>
        <v>4.5</v>
      </c>
      <c r="K274" s="117">
        <f t="shared" si="17"/>
        <v>0</v>
      </c>
      <c r="L274" s="118">
        <f>VLOOKUP(B274,'All Menu'!B:G,6,0)</f>
        <v>4.5</v>
      </c>
      <c r="M274" s="118">
        <f t="shared" si="18"/>
        <v>0</v>
      </c>
      <c r="N274" s="151">
        <f ca="1">VLOOKUP(B274,'All Menu'!B:H,7,0)</f>
        <v>15</v>
      </c>
    </row>
    <row r="275" spans="1:14" s="151" customFormat="1" ht="14.5">
      <c r="A275" s="266" t="s">
        <v>2015</v>
      </c>
      <c r="B275" s="168" t="s">
        <v>1285</v>
      </c>
      <c r="C275" s="151" t="s">
        <v>321</v>
      </c>
      <c r="D275" s="115" t="str">
        <f>VLOOKUP(B275,'All Menu'!B:D,3,0)</f>
        <v>لحوم مشكوكة</v>
      </c>
      <c r="E275" s="116">
        <f t="shared" si="19"/>
        <v>1</v>
      </c>
      <c r="F275" s="155">
        <v>1</v>
      </c>
      <c r="G275" s="152">
        <v>1</v>
      </c>
      <c r="H275" s="115">
        <f>VLOOKUP(B275,'All Menu'!B:J,9,0)</f>
        <v>0.79</v>
      </c>
      <c r="I275" s="120">
        <f>VLOOKUP(B275,'All Menu'!B:M,12,0)</f>
        <v>0.20999999999999996</v>
      </c>
      <c r="J275" s="114">
        <f t="shared" si="16"/>
        <v>1</v>
      </c>
      <c r="K275" s="117">
        <f t="shared" si="17"/>
        <v>0</v>
      </c>
      <c r="L275" s="118">
        <f>VLOOKUP(B275,'All Menu'!B:G,6,0)</f>
        <v>1</v>
      </c>
      <c r="M275" s="118">
        <f t="shared" si="18"/>
        <v>0</v>
      </c>
      <c r="N275" s="151">
        <f ca="1">VLOOKUP(B275,'All Menu'!B:H,7,0)</f>
        <v>13</v>
      </c>
    </row>
    <row r="276" spans="1:14" s="151" customFormat="1" ht="14.5">
      <c r="A276" s="266" t="s">
        <v>2015</v>
      </c>
      <c r="B276" s="168" t="s">
        <v>1961</v>
      </c>
      <c r="C276" s="151" t="s">
        <v>2012</v>
      </c>
      <c r="D276" s="115" t="str">
        <f>VLOOKUP(B276,'All Menu'!B:D,3,0)</f>
        <v>لحوم مشكوكة</v>
      </c>
      <c r="E276" s="116">
        <f t="shared" si="19"/>
        <v>19.850000000000001</v>
      </c>
      <c r="F276" s="155">
        <v>5</v>
      </c>
      <c r="G276" s="152">
        <v>99.25</v>
      </c>
      <c r="H276" s="115">
        <f>VLOOKUP(B276,'All Menu'!B:J,9,0)</f>
        <v>16.244582771598072</v>
      </c>
      <c r="I276" s="120">
        <f>VLOOKUP(B276,'All Menu'!B:M,12,0)</f>
        <v>0.18163310974317023</v>
      </c>
      <c r="J276" s="114">
        <f t="shared" si="16"/>
        <v>99.25</v>
      </c>
      <c r="K276" s="117">
        <f t="shared" si="17"/>
        <v>0</v>
      </c>
      <c r="L276" s="118">
        <f>VLOOKUP(B276,'All Menu'!B:G,6,0)</f>
        <v>19.850000000000001</v>
      </c>
      <c r="M276" s="118">
        <f t="shared" si="18"/>
        <v>0</v>
      </c>
      <c r="N276" s="151">
        <f ca="1">VLOOKUP(B276,'All Menu'!B:H,7,0)</f>
        <v>5</v>
      </c>
    </row>
    <row r="277" spans="1:14" s="151" customFormat="1" ht="14.5">
      <c r="A277" s="266" t="s">
        <v>2015</v>
      </c>
      <c r="B277" s="168" t="s">
        <v>1962</v>
      </c>
      <c r="C277" s="151" t="s">
        <v>2013</v>
      </c>
      <c r="D277" s="115" t="str">
        <f>VLOOKUP(B277,'All Menu'!B:D,3,0)</f>
        <v>لحوم مشكوكة</v>
      </c>
      <c r="E277" s="116">
        <f t="shared" si="19"/>
        <v>9.85</v>
      </c>
      <c r="F277" s="155">
        <v>5</v>
      </c>
      <c r="G277" s="152">
        <v>49.25</v>
      </c>
      <c r="H277" s="115">
        <f>VLOOKUP(B277,'All Menu'!B:J,9,0)</f>
        <v>6.6868945417130146</v>
      </c>
      <c r="I277" s="120">
        <f>VLOOKUP(B277,'All Menu'!B:M,12,0)</f>
        <v>0.32112745769411016</v>
      </c>
      <c r="J277" s="114">
        <f t="shared" si="16"/>
        <v>49.25</v>
      </c>
      <c r="K277" s="117">
        <f t="shared" si="17"/>
        <v>0</v>
      </c>
      <c r="L277" s="118">
        <f>VLOOKUP(B277,'All Menu'!B:G,6,0)</f>
        <v>9.85</v>
      </c>
      <c r="M277" s="118">
        <f t="shared" si="18"/>
        <v>0</v>
      </c>
      <c r="N277" s="151">
        <f ca="1">VLOOKUP(B277,'All Menu'!B:H,7,0)</f>
        <v>5.4</v>
      </c>
    </row>
    <row r="278" spans="1:14" s="151" customFormat="1" ht="14.5">
      <c r="A278" s="266" t="s">
        <v>2015</v>
      </c>
      <c r="B278" s="168" t="s">
        <v>1963</v>
      </c>
      <c r="C278" s="151" t="s">
        <v>2014</v>
      </c>
      <c r="D278" s="115" t="str">
        <f>VLOOKUP(B278,'All Menu'!B:D,3,0)</f>
        <v>لحوم مشكوكة</v>
      </c>
      <c r="E278" s="116">
        <f t="shared" si="19"/>
        <v>19.850000000000001</v>
      </c>
      <c r="F278" s="155">
        <v>3</v>
      </c>
      <c r="G278" s="152">
        <v>59.550000000000004</v>
      </c>
      <c r="H278" s="115">
        <f>VLOOKUP(B278,'All Menu'!B:J,9,0)</f>
        <v>14.174101438264739</v>
      </c>
      <c r="I278" s="120">
        <f>VLOOKUP(B278,'All Menu'!B:M,12,0)</f>
        <v>0.28593947414283438</v>
      </c>
      <c r="J278" s="114">
        <f t="shared" si="16"/>
        <v>59.550000000000004</v>
      </c>
      <c r="K278" s="117">
        <f t="shared" si="17"/>
        <v>0</v>
      </c>
      <c r="L278" s="118">
        <f>VLOOKUP(B278,'All Menu'!B:G,6,0)</f>
        <v>19.850000000000001</v>
      </c>
      <c r="M278" s="118">
        <f t="shared" si="18"/>
        <v>0</v>
      </c>
      <c r="N278" s="151">
        <f ca="1">VLOOKUP(B278,'All Menu'!B:H,7,0)</f>
        <v>4.5</v>
      </c>
    </row>
    <row r="279" spans="1:14" s="151" customFormat="1" ht="14.5">
      <c r="A279" s="266" t="s">
        <v>2015</v>
      </c>
      <c r="B279" s="168">
        <v>60030</v>
      </c>
      <c r="C279" s="151" t="s">
        <v>1758</v>
      </c>
      <c r="D279" s="115" t="str">
        <f>VLOOKUP(B279,'All Menu'!B:D,3,0)</f>
        <v>لحوم مشكوكة</v>
      </c>
      <c r="E279" s="116">
        <f t="shared" si="19"/>
        <v>21.997214076246337</v>
      </c>
      <c r="F279" s="155">
        <v>6.82</v>
      </c>
      <c r="G279" s="152">
        <v>150.02100000000002</v>
      </c>
      <c r="H279" s="115">
        <f>VLOOKUP(B279,'All Menu'!B:J,9,0)</f>
        <v>9.581059597476651</v>
      </c>
      <c r="I279" s="120">
        <f>VLOOKUP(B279,'All Menu'!B:M,12,0)</f>
        <v>0.56449729102378854</v>
      </c>
      <c r="J279" s="114">
        <f t="shared" si="16"/>
        <v>150.04000000000002</v>
      </c>
      <c r="K279" s="117">
        <f t="shared" si="17"/>
        <v>-1.9000000000005457E-2</v>
      </c>
      <c r="L279" s="118">
        <f>VLOOKUP(B279,'All Menu'!B:G,6,0)</f>
        <v>22</v>
      </c>
      <c r="M279" s="118">
        <f t="shared" si="18"/>
        <v>-2.7859237536631554E-3</v>
      </c>
      <c r="N279" s="151">
        <f ca="1">VLOOKUP(B279,'All Menu'!B:H,7,0)</f>
        <v>13.32</v>
      </c>
    </row>
    <row r="280" spans="1:14" s="151" customFormat="1" ht="14.5">
      <c r="A280" s="266" t="s">
        <v>2015</v>
      </c>
      <c r="B280" s="168">
        <v>60031</v>
      </c>
      <c r="C280" s="151" t="s">
        <v>1937</v>
      </c>
      <c r="D280" s="115" t="str">
        <f>VLOOKUP(B280,'All Menu'!B:D,3,0)</f>
        <v>لحوم مشكوكة</v>
      </c>
      <c r="E280" s="116">
        <f t="shared" si="19"/>
        <v>22</v>
      </c>
      <c r="F280" s="155">
        <v>3.95</v>
      </c>
      <c r="G280" s="152">
        <v>86.9</v>
      </c>
      <c r="H280" s="115">
        <f>VLOOKUP(B280,'All Menu'!B:J,9,0)</f>
        <v>8.8181905284662339</v>
      </c>
      <c r="I280" s="120">
        <f>VLOOKUP(B280,'All Menu'!B:M,12,0)</f>
        <v>0.59917315779698932</v>
      </c>
      <c r="J280" s="114">
        <f t="shared" si="16"/>
        <v>86.9</v>
      </c>
      <c r="K280" s="117">
        <f t="shared" si="17"/>
        <v>0</v>
      </c>
      <c r="L280" s="118">
        <f>VLOOKUP(B280,'All Menu'!B:G,6,0)</f>
        <v>22</v>
      </c>
      <c r="M280" s="118">
        <f t="shared" si="18"/>
        <v>0</v>
      </c>
      <c r="N280" s="151">
        <f ca="1">VLOOKUP(B280,'All Menu'!B:H,7,0)</f>
        <v>7.5500000000000007</v>
      </c>
    </row>
    <row r="281" spans="1:14" s="151" customFormat="1" ht="14.5">
      <c r="A281" s="266" t="s">
        <v>2015</v>
      </c>
      <c r="B281" s="168" t="s">
        <v>1143</v>
      </c>
      <c r="C281" s="151" t="s">
        <v>1633</v>
      </c>
      <c r="D281" s="115" t="str">
        <f>VLOOKUP(B281,'All Menu'!B:D,3,0)</f>
        <v>مشروبات سفري</v>
      </c>
      <c r="E281" s="116">
        <f t="shared" si="19"/>
        <v>0.29412334741720048</v>
      </c>
      <c r="F281" s="155">
        <v>253</v>
      </c>
      <c r="G281" s="152">
        <v>74.413206896551713</v>
      </c>
      <c r="H281" s="115">
        <f>VLOOKUP(B281,'All Menu'!B:J,9,0)</f>
        <v>0.13741666666666666</v>
      </c>
      <c r="I281" s="120">
        <f>VLOOKUP(B281,'All Menu'!B:M,12,0)</f>
        <v>0.5445619047619048</v>
      </c>
      <c r="J281" s="114">
        <f t="shared" si="16"/>
        <v>76.336206896551715</v>
      </c>
      <c r="K281" s="117">
        <f t="shared" si="17"/>
        <v>-1.9230000000000018</v>
      </c>
      <c r="L281" s="118">
        <f>VLOOKUP(B281,'All Menu'!B:G,6,0)</f>
        <v>0.30172413793103448</v>
      </c>
      <c r="M281" s="118">
        <f t="shared" si="18"/>
        <v>-7.6007905138339993E-3</v>
      </c>
      <c r="N281" s="151">
        <f ca="1">VLOOKUP(B281,'All Menu'!B:H,7,0)</f>
        <v>1400.1</v>
      </c>
    </row>
    <row r="282" spans="1:14" s="151" customFormat="1" ht="14.5">
      <c r="A282" s="266" t="s">
        <v>2015</v>
      </c>
      <c r="B282" s="168" t="s">
        <v>1144</v>
      </c>
      <c r="C282" s="151" t="s">
        <v>1635</v>
      </c>
      <c r="D282" s="115" t="str">
        <f>VLOOKUP(B282,'All Menu'!B:D,3,0)</f>
        <v>مشروبات سفري</v>
      </c>
      <c r="E282" s="116">
        <f t="shared" si="19"/>
        <v>0.29434636015325666</v>
      </c>
      <c r="F282" s="155">
        <v>45</v>
      </c>
      <c r="G282" s="152">
        <v>13.245586206896551</v>
      </c>
      <c r="H282" s="115">
        <f>VLOOKUP(B282,'All Menu'!B:J,9,0)</f>
        <v>0.13700000000000001</v>
      </c>
      <c r="I282" s="120">
        <f>VLOOKUP(B282,'All Menu'!B:M,12,0)</f>
        <v>0.54594285714285706</v>
      </c>
      <c r="J282" s="114">
        <f t="shared" si="16"/>
        <v>13.577586206896552</v>
      </c>
      <c r="K282" s="117">
        <f t="shared" si="17"/>
        <v>-0.33200000000000074</v>
      </c>
      <c r="L282" s="118">
        <f>VLOOKUP(B282,'All Menu'!B:G,6,0)</f>
        <v>0.30172413793103448</v>
      </c>
      <c r="M282" s="118">
        <f t="shared" si="18"/>
        <v>-7.3777777777778164E-3</v>
      </c>
      <c r="N282" s="151">
        <f ca="1">VLOOKUP(B282,'All Menu'!B:H,7,0)</f>
        <v>82.86</v>
      </c>
    </row>
    <row r="283" spans="1:14" s="151" customFormat="1" ht="14.5">
      <c r="A283" s="266" t="s">
        <v>2015</v>
      </c>
      <c r="B283" s="168" t="s">
        <v>1145</v>
      </c>
      <c r="C283" s="151" t="s">
        <v>1636</v>
      </c>
      <c r="D283" s="115" t="str">
        <f>VLOOKUP(B283,'All Menu'!B:D,3,0)</f>
        <v>مشروبات سفري</v>
      </c>
      <c r="E283" s="116">
        <f t="shared" si="19"/>
        <v>0.28965517241379307</v>
      </c>
      <c r="F283" s="155">
        <v>87</v>
      </c>
      <c r="G283" s="152">
        <v>25.2</v>
      </c>
      <c r="H283" s="115">
        <f>VLOOKUP(B283,'All Menu'!B:J,9,0)</f>
        <v>0.13700000000000001</v>
      </c>
      <c r="I283" s="120">
        <f>VLOOKUP(B283,'All Menu'!B:M,12,0)</f>
        <v>0.54594285714285706</v>
      </c>
      <c r="J283" s="114">
        <f t="shared" si="16"/>
        <v>26.25</v>
      </c>
      <c r="K283" s="117">
        <f t="shared" si="17"/>
        <v>-1.0500000000000007</v>
      </c>
      <c r="L283" s="118">
        <f>VLOOKUP(B283,'All Menu'!B:G,6,0)</f>
        <v>0.30172413793103448</v>
      </c>
      <c r="M283" s="118">
        <f t="shared" si="18"/>
        <v>-1.2068965517241403E-2</v>
      </c>
      <c r="N283" s="151">
        <f ca="1">VLOOKUP(B283,'All Menu'!B:H,7,0)</f>
        <v>196</v>
      </c>
    </row>
    <row r="284" spans="1:14" s="151" customFormat="1" ht="14.5">
      <c r="A284" s="266" t="s">
        <v>2015</v>
      </c>
      <c r="B284" s="168" t="s">
        <v>1146</v>
      </c>
      <c r="C284" s="151" t="s">
        <v>1637</v>
      </c>
      <c r="D284" s="115" t="str">
        <f>VLOOKUP(B284,'All Menu'!B:D,3,0)</f>
        <v>مشروبات سفري</v>
      </c>
      <c r="E284" s="116">
        <f t="shared" si="19"/>
        <v>0.30010747126436776</v>
      </c>
      <c r="F284" s="155">
        <v>60</v>
      </c>
      <c r="G284" s="152">
        <v>18.006448275862066</v>
      </c>
      <c r="H284" s="115">
        <f>VLOOKUP(B284,'All Menu'!B:J,9,0)</f>
        <v>0.13700000000000001</v>
      </c>
      <c r="I284" s="120">
        <f>VLOOKUP(B284,'All Menu'!B:M,12,0)</f>
        <v>0.54594285714285706</v>
      </c>
      <c r="J284" s="114">
        <f t="shared" si="16"/>
        <v>18.103448275862068</v>
      </c>
      <c r="K284" s="117">
        <f t="shared" si="17"/>
        <v>-9.7000000000001307E-2</v>
      </c>
      <c r="L284" s="118">
        <f>VLOOKUP(B284,'All Menu'!B:G,6,0)</f>
        <v>0.30172413793103448</v>
      </c>
      <c r="M284" s="118">
        <f t="shared" si="18"/>
        <v>-1.6166666666667107E-3</v>
      </c>
      <c r="N284" s="151">
        <f ca="1">VLOOKUP(B284,'All Menu'!B:H,7,0)</f>
        <v>91.5</v>
      </c>
    </row>
    <row r="285" spans="1:14" s="151" customFormat="1" ht="14.5">
      <c r="A285" s="266" t="s">
        <v>2015</v>
      </c>
      <c r="B285" s="168" t="s">
        <v>1147</v>
      </c>
      <c r="C285" s="151" t="s">
        <v>1638</v>
      </c>
      <c r="D285" s="115" t="str">
        <f>VLOOKUP(B285,'All Menu'!B:D,3,0)</f>
        <v>مشروبات سفري</v>
      </c>
      <c r="E285" s="116">
        <f t="shared" si="19"/>
        <v>0.30172413793103442</v>
      </c>
      <c r="F285" s="155">
        <v>14</v>
      </c>
      <c r="G285" s="152">
        <v>4.2241379310344822</v>
      </c>
      <c r="H285" s="115">
        <f>VLOOKUP(B285,'All Menu'!B:J,9,0)</f>
        <v>0.13700000000000001</v>
      </c>
      <c r="I285" s="120">
        <f>VLOOKUP(B285,'All Menu'!B:M,12,0)</f>
        <v>0.54594285714285706</v>
      </c>
      <c r="J285" s="114">
        <f t="shared" ref="J285:J290" si="20">F285*L285</f>
        <v>4.2241379310344822</v>
      </c>
      <c r="K285" s="117">
        <f t="shared" ref="K285:K290" si="21">G285-J285</f>
        <v>0</v>
      </c>
      <c r="L285" s="118">
        <f>VLOOKUP(B285,'All Menu'!B:G,6,0)</f>
        <v>0.30172413793103448</v>
      </c>
      <c r="M285" s="118">
        <f t="shared" ref="M285:M290" si="22">E285-L285</f>
        <v>0</v>
      </c>
      <c r="N285" s="151">
        <f ca="1">VLOOKUP(B285,'All Menu'!B:H,7,0)</f>
        <v>33.700000000000003</v>
      </c>
    </row>
    <row r="286" spans="1:14" s="151" customFormat="1" ht="14.5">
      <c r="A286" s="266" t="s">
        <v>2015</v>
      </c>
      <c r="B286" s="168" t="s">
        <v>1149</v>
      </c>
      <c r="C286" s="151" t="s">
        <v>1639</v>
      </c>
      <c r="D286" s="115" t="str">
        <f>VLOOKUP(B286,'All Menu'!B:D,3,0)</f>
        <v>مشروبات سفري</v>
      </c>
      <c r="E286" s="116">
        <f t="shared" si="19"/>
        <v>0.43026920944672364</v>
      </c>
      <c r="F286" s="155">
        <v>311</v>
      </c>
      <c r="G286" s="152">
        <v>133.81372413793105</v>
      </c>
      <c r="H286" s="115">
        <f>VLOOKUP(B286,'All Menu'!B:J,9,0)</f>
        <v>0.4</v>
      </c>
      <c r="I286" s="120">
        <f>VLOOKUP(B286,'All Menu'!B:M,12,0)</f>
        <v>7.2000000000000008E-2</v>
      </c>
      <c r="J286" s="114">
        <f t="shared" si="20"/>
        <v>134.05172413793105</v>
      </c>
      <c r="K286" s="117">
        <f t="shared" si="21"/>
        <v>-0.23799999999999955</v>
      </c>
      <c r="L286" s="118">
        <f>VLOOKUP(B286,'All Menu'!B:G,6,0)</f>
        <v>0.43103448275862072</v>
      </c>
      <c r="M286" s="118">
        <f t="shared" si="22"/>
        <v>-7.6527331189707448E-4</v>
      </c>
      <c r="N286" s="151">
        <f ca="1">VLOOKUP(B286,'All Menu'!B:H,7,0)</f>
        <v>903.51099999999997</v>
      </c>
    </row>
    <row r="287" spans="1:14" s="151" customFormat="1" ht="14.5">
      <c r="A287" s="266" t="s">
        <v>2015</v>
      </c>
      <c r="B287" s="168" t="s">
        <v>1150</v>
      </c>
      <c r="C287" s="151" t="s">
        <v>1640</v>
      </c>
      <c r="D287" s="115" t="str">
        <f>VLOOKUP(B287,'All Menu'!B:D,3,0)</f>
        <v>مشروبات سفري</v>
      </c>
      <c r="E287" s="116">
        <f t="shared" si="19"/>
        <v>1.1905687260536399</v>
      </c>
      <c r="F287" s="155">
        <v>144</v>
      </c>
      <c r="G287" s="152">
        <v>171.44189655172414</v>
      </c>
      <c r="H287" s="115">
        <f>VLOOKUP(B287,'All Menu'!B:J,9,0)</f>
        <v>0.50141762452107275</v>
      </c>
      <c r="I287" s="120">
        <f>VLOOKUP(B287,'All Menu'!B:M,12,0)</f>
        <v>0.61223703703703714</v>
      </c>
      <c r="J287" s="114">
        <f t="shared" si="20"/>
        <v>186.20689655172413</v>
      </c>
      <c r="K287" s="117">
        <f t="shared" si="21"/>
        <v>-14.764999999999986</v>
      </c>
      <c r="L287" s="118">
        <f>VLOOKUP(B287,'All Menu'!B:G,6,0)</f>
        <v>1.2931034482758621</v>
      </c>
      <c r="M287" s="118">
        <f t="shared" si="22"/>
        <v>-0.10253472222222215</v>
      </c>
      <c r="N287" s="151">
        <f ca="1">VLOOKUP(B287,'All Menu'!B:H,7,0)</f>
        <v>324.75</v>
      </c>
    </row>
    <row r="288" spans="1:14" s="151" customFormat="1" ht="14.5">
      <c r="A288" s="266" t="s">
        <v>2015</v>
      </c>
      <c r="B288" s="168" t="s">
        <v>1142</v>
      </c>
      <c r="C288" s="151" t="s">
        <v>1479</v>
      </c>
      <c r="D288" s="115" t="str">
        <f>VLOOKUP(B288,'All Menu'!B:D,3,0)</f>
        <v>مشروبات سفري</v>
      </c>
      <c r="E288" s="116">
        <f t="shared" si="19"/>
        <v>0.30172413793103448</v>
      </c>
      <c r="F288" s="155">
        <v>2</v>
      </c>
      <c r="G288" s="152">
        <v>0.60344827586206895</v>
      </c>
      <c r="H288" s="115">
        <f>VLOOKUP(B288,'All Menu'!B:J,9,0)</f>
        <v>8.9833333333333334E-2</v>
      </c>
      <c r="I288" s="120">
        <f>VLOOKUP(B288,'All Menu'!B:M,12,0)</f>
        <v>0.70226666666666671</v>
      </c>
      <c r="J288" s="114">
        <f t="shared" si="20"/>
        <v>0.60344827586206895</v>
      </c>
      <c r="K288" s="117">
        <f t="shared" si="21"/>
        <v>0</v>
      </c>
      <c r="L288" s="118">
        <f>VLOOKUP(B288,'All Menu'!B:G,6,0)</f>
        <v>0.30172413793103448</v>
      </c>
      <c r="M288" s="118">
        <f t="shared" si="22"/>
        <v>0</v>
      </c>
      <c r="N288" s="151">
        <f ca="1">VLOOKUP(B288,'All Menu'!B:H,7,0)</f>
        <v>174.4</v>
      </c>
    </row>
    <row r="289" spans="1:14" s="151" customFormat="1" ht="14.5">
      <c r="A289" s="266" t="s">
        <v>2015</v>
      </c>
      <c r="B289" s="168" t="s">
        <v>1217</v>
      </c>
      <c r="C289" s="151" t="s">
        <v>1768</v>
      </c>
      <c r="D289" s="115" t="str">
        <f>VLOOKUP(B289,'All Menu'!B:D,3,0)</f>
        <v>مشروبات سفري</v>
      </c>
      <c r="E289" s="116">
        <f t="shared" si="19"/>
        <v>0.51724137931034486</v>
      </c>
      <c r="F289" s="155">
        <v>3</v>
      </c>
      <c r="G289" s="152">
        <v>1.5517241379310347</v>
      </c>
      <c r="H289" s="115">
        <f>VLOOKUP(B289,'All Menu'!B:J,9,0)</f>
        <v>0.39200000000000002</v>
      </c>
      <c r="I289" s="120">
        <f>VLOOKUP(B289,'All Menu'!B:M,12,0)</f>
        <v>0.24213333333333337</v>
      </c>
      <c r="J289" s="114">
        <f t="shared" si="20"/>
        <v>1.5517241379310347</v>
      </c>
      <c r="K289" s="117">
        <f t="shared" si="21"/>
        <v>0</v>
      </c>
      <c r="L289" s="118">
        <f>VLOOKUP(B289,'All Menu'!B:G,6,0)</f>
        <v>0.51724137931034486</v>
      </c>
      <c r="M289" s="118">
        <f t="shared" si="22"/>
        <v>0</v>
      </c>
      <c r="N289" s="151">
        <f ca="1">VLOOKUP(B289,'All Menu'!B:H,7,0)</f>
        <v>23.3</v>
      </c>
    </row>
    <row r="290" spans="1:14" s="151" customFormat="1" ht="14.5">
      <c r="A290" s="266" t="s">
        <v>2015</v>
      </c>
      <c r="B290" s="168" t="s">
        <v>2111</v>
      </c>
      <c r="C290" s="151" t="s">
        <v>3006</v>
      </c>
      <c r="D290" s="115" t="str">
        <f>VLOOKUP(B290,'All Menu'!B:D,3,0)</f>
        <v>مشروبات سفري</v>
      </c>
      <c r="E290" s="116">
        <f t="shared" si="19"/>
        <v>0.42595553539019965</v>
      </c>
      <c r="F290" s="155">
        <v>76</v>
      </c>
      <c r="G290" s="152">
        <v>32.372620689655172</v>
      </c>
      <c r="H290" s="115">
        <f>VLOOKUP(B290,'All Menu'!B:J,9,0)</f>
        <v>0.2155</v>
      </c>
      <c r="I290" s="120">
        <f>VLOOKUP(B290,'All Menu'!B:M,12,0)</f>
        <v>0.50004000000000004</v>
      </c>
      <c r="J290" s="114">
        <f t="shared" si="20"/>
        <v>32.758620689655174</v>
      </c>
      <c r="K290" s="117">
        <f t="shared" si="21"/>
        <v>-0.38600000000000279</v>
      </c>
      <c r="L290" s="118">
        <f>VLOOKUP(B290,'All Menu'!B:G,6,0)</f>
        <v>0.43103448275862072</v>
      </c>
      <c r="M290" s="118">
        <f t="shared" si="22"/>
        <v>-5.0789473684210718E-3</v>
      </c>
      <c r="N290" s="151">
        <f ca="1">VLOOKUP(B290,'All Menu'!B:H,7,0)</f>
        <v>143</v>
      </c>
    </row>
    <row r="291" spans="1:14" s="151" customFormat="1" ht="14.5">
      <c r="A291" s="266" t="s">
        <v>2015</v>
      </c>
      <c r="B291" s="168" t="s">
        <v>2113</v>
      </c>
      <c r="C291" s="151" t="s">
        <v>2114</v>
      </c>
      <c r="D291" s="115" t="str">
        <f>VLOOKUP(B291,'All Menu'!B:D,3,0)</f>
        <v>مشروبات سفري</v>
      </c>
      <c r="E291" s="116">
        <f t="shared" ref="E291:E293" si="23">G291/F291</f>
        <v>0.43103448275862072</v>
      </c>
      <c r="F291" s="155">
        <v>2</v>
      </c>
      <c r="G291" s="152">
        <v>0.86206896551724144</v>
      </c>
      <c r="H291" s="115">
        <f>VLOOKUP(B291,'All Menu'!B:J,9,0)</f>
        <v>0.2155</v>
      </c>
      <c r="I291" s="120">
        <f>VLOOKUP(B291,'All Menu'!B:M,12,0)</f>
        <v>0.50004000000000004</v>
      </c>
      <c r="J291" s="114">
        <f t="shared" ref="J291:J293" si="24">F291*L291</f>
        <v>0.86206896551724144</v>
      </c>
      <c r="K291" s="117">
        <f t="shared" ref="K291:K293" si="25">G291-J291</f>
        <v>0</v>
      </c>
      <c r="L291" s="118">
        <f>VLOOKUP(B291,'All Menu'!B:G,6,0)</f>
        <v>0.43103448275862072</v>
      </c>
      <c r="M291" s="118">
        <f t="shared" ref="M291:M293" si="26">E291-L291</f>
        <v>0</v>
      </c>
      <c r="N291" s="151">
        <f ca="1">VLOOKUP(B291,'All Menu'!B:H,7,0)</f>
        <v>7</v>
      </c>
    </row>
    <row r="292" spans="1:14" s="151" customFormat="1" ht="14.5">
      <c r="A292" s="266" t="s">
        <v>2015</v>
      </c>
      <c r="B292" s="168" t="s">
        <v>2115</v>
      </c>
      <c r="C292" s="151" t="s">
        <v>2116</v>
      </c>
      <c r="D292" s="115" t="str">
        <f>VLOOKUP(B292,'All Menu'!B:D,3,0)</f>
        <v>مشروبات سفري</v>
      </c>
      <c r="E292" s="116">
        <f t="shared" si="23"/>
        <v>0.41872679045092842</v>
      </c>
      <c r="F292" s="155">
        <v>26</v>
      </c>
      <c r="G292" s="152">
        <v>10.886896551724139</v>
      </c>
      <c r="H292" s="115">
        <f>VLOOKUP(B292,'All Menu'!B:J,9,0)</f>
        <v>0.2155</v>
      </c>
      <c r="I292" s="120">
        <f>VLOOKUP(B292,'All Menu'!B:M,12,0)</f>
        <v>0.50004000000000004</v>
      </c>
      <c r="J292" s="114">
        <f t="shared" si="24"/>
        <v>11.206896551724139</v>
      </c>
      <c r="K292" s="117">
        <f t="shared" si="25"/>
        <v>-0.32000000000000028</v>
      </c>
      <c r="L292" s="118">
        <f>VLOOKUP(B292,'All Menu'!B:G,6,0)</f>
        <v>0.43103448275862072</v>
      </c>
      <c r="M292" s="118">
        <f t="shared" si="26"/>
        <v>-1.2307692307692297E-2</v>
      </c>
      <c r="N292" s="151">
        <f ca="1">VLOOKUP(B292,'All Menu'!B:H,7,0)</f>
        <v>42</v>
      </c>
    </row>
    <row r="293" spans="1:14" s="151" customFormat="1" ht="14.5">
      <c r="A293" s="266" t="s">
        <v>2015</v>
      </c>
      <c r="B293" s="168" t="s">
        <v>2117</v>
      </c>
      <c r="C293" s="151" t="s">
        <v>3007</v>
      </c>
      <c r="D293" s="115" t="str">
        <f>VLOOKUP(B293,'All Menu'!B:D,3,0)</f>
        <v>مشروبات سفري</v>
      </c>
      <c r="E293" s="116">
        <f t="shared" si="23"/>
        <v>0.43103448275862072</v>
      </c>
      <c r="F293" s="155">
        <v>2</v>
      </c>
      <c r="G293" s="152">
        <v>0.86206896551724144</v>
      </c>
      <c r="H293" s="115">
        <f>VLOOKUP(B293,'All Menu'!B:J,9,0)</f>
        <v>0.2155</v>
      </c>
      <c r="I293" s="120">
        <f>VLOOKUP(B293,'All Menu'!B:M,12,0)</f>
        <v>0.50004000000000004</v>
      </c>
      <c r="J293" s="114">
        <f t="shared" si="24"/>
        <v>0.86206896551724144</v>
      </c>
      <c r="K293" s="117">
        <f t="shared" si="25"/>
        <v>0</v>
      </c>
      <c r="L293" s="118">
        <f>VLOOKUP(B293,'All Menu'!B:G,6,0)</f>
        <v>0.43103448275862072</v>
      </c>
      <c r="M293" s="118">
        <f t="shared" si="26"/>
        <v>0</v>
      </c>
      <c r="N293" s="151">
        <f ca="1">VLOOKUP(B293,'All Menu'!B:H,7,0)</f>
        <v>6</v>
      </c>
    </row>
    <row r="294" spans="1:14" s="158" customFormat="1" ht="14.5">
      <c r="A294" s="157" t="s">
        <v>2021</v>
      </c>
      <c r="B294" s="169" t="s">
        <v>1107</v>
      </c>
      <c r="C294" s="158" t="s">
        <v>1365</v>
      </c>
      <c r="D294" s="115" t="str">
        <f>VLOOKUP(B294,'All Menu'!B:D,3,0)</f>
        <v>التواصي سفري</v>
      </c>
      <c r="E294" s="116">
        <f t="shared" ref="E294:E357" si="27">G294/F294</f>
        <v>19.827586206896552</v>
      </c>
      <c r="F294" s="160">
        <v>5.5</v>
      </c>
      <c r="G294" s="161">
        <v>109.05172413793103</v>
      </c>
      <c r="H294" s="115">
        <f>VLOOKUP(B294,'All Menu'!B:J,9,0)</f>
        <v>13.950857516551945</v>
      </c>
      <c r="I294" s="120">
        <f>VLOOKUP(B294,'All Menu'!B:M,12,0)</f>
        <v>0.29639153394781492</v>
      </c>
      <c r="J294" s="114">
        <f t="shared" ref="J294:J346" si="28">F294*L294</f>
        <v>109.05172413793103</v>
      </c>
      <c r="K294" s="117">
        <f t="shared" ref="K294:K346" si="29">G294-J294</f>
        <v>0</v>
      </c>
      <c r="L294" s="118">
        <f>VLOOKUP(B294,'All Menu'!B:G,6,0)</f>
        <v>19.827586206896552</v>
      </c>
      <c r="M294" s="118">
        <f t="shared" ref="M294:M346" si="30">E294-L294</f>
        <v>0</v>
      </c>
      <c r="N294" s="151">
        <f ca="1">VLOOKUP(B294,'All Menu'!B:H,7,0)</f>
        <v>224.5</v>
      </c>
    </row>
    <row r="295" spans="1:14" s="158" customFormat="1" ht="14.5">
      <c r="A295" s="157" t="s">
        <v>2021</v>
      </c>
      <c r="B295" s="169" t="s">
        <v>1109</v>
      </c>
      <c r="C295" s="158" t="s">
        <v>1369</v>
      </c>
      <c r="D295" s="115" t="str">
        <f>VLOOKUP(B295,'All Menu'!B:D,3,0)</f>
        <v>التواصي سفري</v>
      </c>
      <c r="E295" s="116">
        <f t="shared" si="27"/>
        <v>19.827586206896552</v>
      </c>
      <c r="F295" s="160">
        <v>1.5</v>
      </c>
      <c r="G295" s="161">
        <v>29.741379310344826</v>
      </c>
      <c r="H295" s="115">
        <f>VLOOKUP(B295,'All Menu'!B:J,9,0)</f>
        <v>13.546738353772389</v>
      </c>
      <c r="I295" s="120">
        <f>VLOOKUP(B295,'All Menu'!B:M,12,0)</f>
        <v>0.31677319607060994</v>
      </c>
      <c r="J295" s="114">
        <f t="shared" si="28"/>
        <v>29.741379310344826</v>
      </c>
      <c r="K295" s="117">
        <f t="shared" si="29"/>
        <v>0</v>
      </c>
      <c r="L295" s="118">
        <f>VLOOKUP(B295,'All Menu'!B:G,6,0)</f>
        <v>19.827586206896552</v>
      </c>
      <c r="M295" s="118">
        <f t="shared" si="30"/>
        <v>0</v>
      </c>
      <c r="N295" s="151">
        <f ca="1">VLOOKUP(B295,'All Menu'!B:H,7,0)</f>
        <v>58</v>
      </c>
    </row>
    <row r="296" spans="1:14" s="158" customFormat="1" ht="14.5">
      <c r="A296" s="157" t="s">
        <v>2021</v>
      </c>
      <c r="B296" s="169" t="s">
        <v>1115</v>
      </c>
      <c r="C296" s="158" t="s">
        <v>1370</v>
      </c>
      <c r="D296" s="115" t="str">
        <f>VLOOKUP(B296,'All Menu'!B:D,3,0)</f>
        <v>التواصي سفري</v>
      </c>
      <c r="E296" s="116">
        <f t="shared" si="27"/>
        <v>8.6206896551724146</v>
      </c>
      <c r="F296" s="160">
        <v>31.5</v>
      </c>
      <c r="G296" s="161">
        <v>271.55172413793105</v>
      </c>
      <c r="H296" s="115">
        <f>VLOOKUP(B296,'All Menu'!B:J,9,0)</f>
        <v>5.0302467650168321</v>
      </c>
      <c r="I296" s="120">
        <f>VLOOKUP(B296,'All Menu'!B:M,12,0)</f>
        <v>0.41649137525804752</v>
      </c>
      <c r="J296" s="114">
        <f t="shared" si="28"/>
        <v>271.55172413793105</v>
      </c>
      <c r="K296" s="117">
        <f t="shared" si="29"/>
        <v>0</v>
      </c>
      <c r="L296" s="118">
        <f>VLOOKUP(B296,'All Menu'!B:G,6,0)</f>
        <v>8.6206896551724146</v>
      </c>
      <c r="M296" s="118">
        <f t="shared" si="30"/>
        <v>0</v>
      </c>
      <c r="N296" s="151">
        <f ca="1">VLOOKUP(B296,'All Menu'!B:H,7,0)</f>
        <v>196</v>
      </c>
    </row>
    <row r="297" spans="1:14" s="158" customFormat="1" ht="14.5">
      <c r="A297" s="157" t="s">
        <v>2021</v>
      </c>
      <c r="B297" s="169" t="s">
        <v>1123</v>
      </c>
      <c r="C297" s="158" t="s">
        <v>1371</v>
      </c>
      <c r="D297" s="115" t="str">
        <f>VLOOKUP(B297,'All Menu'!B:D,3,0)</f>
        <v>التواصي سفري</v>
      </c>
      <c r="E297" s="116">
        <f t="shared" si="27"/>
        <v>8.6206896551724146</v>
      </c>
      <c r="F297" s="160">
        <v>0.5</v>
      </c>
      <c r="G297" s="161">
        <v>4.3103448275862073</v>
      </c>
      <c r="H297" s="115">
        <f>VLOOKUP(B297,'All Menu'!B:J,9,0)</f>
        <v>4.7769910334942951</v>
      </c>
      <c r="I297" s="120">
        <f>VLOOKUP(B297,'All Menu'!B:M,12,0)</f>
        <v>0.44586904011466183</v>
      </c>
      <c r="J297" s="114">
        <f t="shared" si="28"/>
        <v>4.3103448275862073</v>
      </c>
      <c r="K297" s="117">
        <f t="shared" si="29"/>
        <v>0</v>
      </c>
      <c r="L297" s="118">
        <f>VLOOKUP(B297,'All Menu'!B:G,6,0)</f>
        <v>8.6206896551724146</v>
      </c>
      <c r="M297" s="118">
        <f t="shared" si="30"/>
        <v>0</v>
      </c>
      <c r="N297" s="151">
        <f ca="1">VLOOKUP(B297,'All Menu'!B:H,7,0)</f>
        <v>4</v>
      </c>
    </row>
    <row r="298" spans="1:14" s="158" customFormat="1" ht="14.5">
      <c r="A298" s="157" t="s">
        <v>2021</v>
      </c>
      <c r="B298" s="169" t="s">
        <v>1113</v>
      </c>
      <c r="C298" s="158" t="s">
        <v>1372</v>
      </c>
      <c r="D298" s="115" t="str">
        <f>VLOOKUP(B298,'All Menu'!B:D,3,0)</f>
        <v>التواصي سفري</v>
      </c>
      <c r="E298" s="116">
        <f t="shared" si="27"/>
        <v>8.6206896551724146</v>
      </c>
      <c r="F298" s="160">
        <v>5</v>
      </c>
      <c r="G298" s="161">
        <v>43.103448275862071</v>
      </c>
      <c r="H298" s="115">
        <f>VLOOKUP(B298,'All Menu'!B:J,9,0)</f>
        <v>5.2035958953401833</v>
      </c>
      <c r="I298" s="120">
        <f>VLOOKUP(B298,'All Menu'!B:M,12,0)</f>
        <v>0.3963828761405388</v>
      </c>
      <c r="J298" s="114">
        <f t="shared" si="28"/>
        <v>43.103448275862071</v>
      </c>
      <c r="K298" s="117">
        <f t="shared" si="29"/>
        <v>0</v>
      </c>
      <c r="L298" s="118">
        <f>VLOOKUP(B298,'All Menu'!B:G,6,0)</f>
        <v>8.6206896551724146</v>
      </c>
      <c r="M298" s="118">
        <f t="shared" si="30"/>
        <v>0</v>
      </c>
      <c r="N298" s="151">
        <f ca="1">VLOOKUP(B298,'All Menu'!B:H,7,0)</f>
        <v>49</v>
      </c>
    </row>
    <row r="299" spans="1:14" s="158" customFormat="1" ht="14.5">
      <c r="A299" s="157" t="s">
        <v>2021</v>
      </c>
      <c r="B299" s="169" t="s">
        <v>1114</v>
      </c>
      <c r="C299" s="158" t="s">
        <v>1373</v>
      </c>
      <c r="D299" s="115" t="str">
        <f>VLOOKUP(B299,'All Menu'!B:D,3,0)</f>
        <v>التواصي سفري</v>
      </c>
      <c r="E299" s="116">
        <f t="shared" si="27"/>
        <v>8.6206896551724146</v>
      </c>
      <c r="F299" s="160">
        <v>7</v>
      </c>
      <c r="G299" s="161">
        <v>60.344827586206904</v>
      </c>
      <c r="H299" s="115">
        <f>VLOOKUP(B299,'All Menu'!B:J,9,0)</f>
        <v>5.5432276917402739</v>
      </c>
      <c r="I299" s="120">
        <f>VLOOKUP(B299,'All Menu'!B:M,12,0)</f>
        <v>0.35698558775812828</v>
      </c>
      <c r="J299" s="114">
        <f t="shared" si="28"/>
        <v>60.344827586206904</v>
      </c>
      <c r="K299" s="117">
        <f t="shared" si="29"/>
        <v>0</v>
      </c>
      <c r="L299" s="118">
        <f>VLOOKUP(B299,'All Menu'!B:G,6,0)</f>
        <v>8.6206896551724146</v>
      </c>
      <c r="M299" s="118">
        <f t="shared" si="30"/>
        <v>0</v>
      </c>
      <c r="N299" s="151">
        <f ca="1">VLOOKUP(B299,'All Menu'!B:H,7,0)</f>
        <v>139.5</v>
      </c>
    </row>
    <row r="300" spans="1:14" s="158" customFormat="1" ht="14.5">
      <c r="A300" s="157" t="s">
        <v>2021</v>
      </c>
      <c r="B300" s="169" t="s">
        <v>1111</v>
      </c>
      <c r="C300" s="158" t="s">
        <v>1374</v>
      </c>
      <c r="D300" s="115" t="str">
        <f>VLOOKUP(B300,'All Menu'!B:D,3,0)</f>
        <v>التواصي سفري</v>
      </c>
      <c r="E300" s="116">
        <f t="shared" si="27"/>
        <v>10.344827586206897</v>
      </c>
      <c r="F300" s="160">
        <v>0.5</v>
      </c>
      <c r="G300" s="161">
        <v>5.1724137931034484</v>
      </c>
      <c r="H300" s="115">
        <f>VLOOKUP(B300,'All Menu'!B:J,9,0)</f>
        <v>5.9247479696645087</v>
      </c>
      <c r="I300" s="120">
        <f>VLOOKUP(B300,'All Menu'!B:M,12,0)</f>
        <v>0.42727436293243082</v>
      </c>
      <c r="J300" s="114">
        <f t="shared" si="28"/>
        <v>5.1724137931034484</v>
      </c>
      <c r="K300" s="117">
        <f t="shared" si="29"/>
        <v>0</v>
      </c>
      <c r="L300" s="118">
        <f>VLOOKUP(B300,'All Menu'!B:G,6,0)</f>
        <v>10.344827586206897</v>
      </c>
      <c r="M300" s="118">
        <f t="shared" si="30"/>
        <v>0</v>
      </c>
      <c r="N300" s="151">
        <f ca="1">VLOOKUP(B300,'All Menu'!B:H,7,0)</f>
        <v>54.5</v>
      </c>
    </row>
    <row r="301" spans="1:14" s="158" customFormat="1" ht="14.5">
      <c r="A301" s="157" t="s">
        <v>2021</v>
      </c>
      <c r="B301" s="169" t="s">
        <v>1124</v>
      </c>
      <c r="C301" s="158" t="s">
        <v>1653</v>
      </c>
      <c r="D301" s="115" t="str">
        <f>VLOOKUP(B301,'All Menu'!B:D,3,0)</f>
        <v>التواصي سفري</v>
      </c>
      <c r="E301" s="116">
        <f t="shared" si="27"/>
        <v>8.6206896551724146</v>
      </c>
      <c r="F301" s="160">
        <v>1</v>
      </c>
      <c r="G301" s="161">
        <v>8.6206896551724146</v>
      </c>
      <c r="H301" s="115">
        <f>VLOOKUP(B301,'All Menu'!B:J,9,0)</f>
        <v>4.8236401708139338</v>
      </c>
      <c r="I301" s="120">
        <f>VLOOKUP(B301,'All Menu'!B:M,12,0)</f>
        <v>0.4404577401855837</v>
      </c>
      <c r="J301" s="114">
        <f t="shared" si="28"/>
        <v>8.6206896551724146</v>
      </c>
      <c r="K301" s="117">
        <f t="shared" si="29"/>
        <v>0</v>
      </c>
      <c r="L301" s="118">
        <f>VLOOKUP(B301,'All Menu'!B:G,6,0)</f>
        <v>8.6206896551724146</v>
      </c>
      <c r="M301" s="118">
        <f t="shared" si="30"/>
        <v>0</v>
      </c>
      <c r="N301" s="151">
        <f ca="1">VLOOKUP(B301,'All Menu'!B:H,7,0)</f>
        <v>10</v>
      </c>
    </row>
    <row r="302" spans="1:14" s="158" customFormat="1" ht="14.5">
      <c r="A302" s="157" t="s">
        <v>2021</v>
      </c>
      <c r="B302" s="169" t="s">
        <v>1116</v>
      </c>
      <c r="C302" s="158" t="s">
        <v>1375</v>
      </c>
      <c r="D302" s="115" t="str">
        <f>VLOOKUP(B302,'All Menu'!B:D,3,0)</f>
        <v>التواصي سفري</v>
      </c>
      <c r="E302" s="116">
        <f t="shared" si="27"/>
        <v>8.6206896551724146</v>
      </c>
      <c r="F302" s="160">
        <v>5.5</v>
      </c>
      <c r="G302" s="161">
        <v>47.413793103448278</v>
      </c>
      <c r="H302" s="115">
        <f>VLOOKUP(B302,'All Menu'!B:J,9,0)</f>
        <v>4.8086526805122087</v>
      </c>
      <c r="I302" s="120">
        <f>VLOOKUP(B302,'All Menu'!B:M,12,0)</f>
        <v>0.44219628906058384</v>
      </c>
      <c r="J302" s="114">
        <f t="shared" si="28"/>
        <v>47.413793103448278</v>
      </c>
      <c r="K302" s="117">
        <f t="shared" si="29"/>
        <v>0</v>
      </c>
      <c r="L302" s="118">
        <f>VLOOKUP(B302,'All Menu'!B:G,6,0)</f>
        <v>8.6206896551724146</v>
      </c>
      <c r="M302" s="118">
        <f t="shared" si="30"/>
        <v>0</v>
      </c>
      <c r="N302" s="151">
        <f ca="1">VLOOKUP(B302,'All Menu'!B:H,7,0)</f>
        <v>65</v>
      </c>
    </row>
    <row r="303" spans="1:14" s="158" customFormat="1" ht="14.5">
      <c r="A303" s="157" t="s">
        <v>2021</v>
      </c>
      <c r="B303" s="169" t="s">
        <v>1112</v>
      </c>
      <c r="C303" s="158" t="s">
        <v>1377</v>
      </c>
      <c r="D303" s="115" t="str">
        <f>VLOOKUP(B303,'All Menu'!B:D,3,0)</f>
        <v>التواصي سفري</v>
      </c>
      <c r="E303" s="116">
        <f t="shared" si="27"/>
        <v>10.344827586206897</v>
      </c>
      <c r="F303" s="160">
        <v>2.5</v>
      </c>
      <c r="G303" s="161">
        <v>25.862068965517242</v>
      </c>
      <c r="H303" s="115">
        <f>VLOOKUP(B303,'All Menu'!B:J,9,0)</f>
        <v>1.7921716750954024</v>
      </c>
      <c r="I303" s="120">
        <f>VLOOKUP(B303,'All Menu'!B:M,12,0)</f>
        <v>0.82675673807411099</v>
      </c>
      <c r="J303" s="114">
        <f t="shared" si="28"/>
        <v>25.862068965517242</v>
      </c>
      <c r="K303" s="117">
        <f t="shared" si="29"/>
        <v>0</v>
      </c>
      <c r="L303" s="118">
        <f>VLOOKUP(B303,'All Menu'!B:G,6,0)</f>
        <v>10.344827586206897</v>
      </c>
      <c r="M303" s="118">
        <f t="shared" si="30"/>
        <v>0</v>
      </c>
      <c r="N303" s="151">
        <f ca="1">VLOOKUP(B303,'All Menu'!B:H,7,0)</f>
        <v>9.5</v>
      </c>
    </row>
    <row r="304" spans="1:14" s="158" customFormat="1" ht="14.5">
      <c r="A304" s="157" t="s">
        <v>2021</v>
      </c>
      <c r="B304" s="169" t="s">
        <v>1168</v>
      </c>
      <c r="C304" s="158" t="s">
        <v>1385</v>
      </c>
      <c r="D304" s="115" t="str">
        <f>VLOOKUP(B304,'All Menu'!B:D,3,0)</f>
        <v>التواصي سفري</v>
      </c>
      <c r="E304" s="116">
        <f t="shared" si="27"/>
        <v>10.344827586206897</v>
      </c>
      <c r="F304" s="160">
        <v>25</v>
      </c>
      <c r="G304" s="161">
        <v>258.62068965517244</v>
      </c>
      <c r="H304" s="115">
        <f>VLOOKUP(B304,'All Menu'!B:J,9,0)</f>
        <v>5.4543656023286697</v>
      </c>
      <c r="I304" s="120">
        <f>VLOOKUP(B304,'All Menu'!B:M,12,0)</f>
        <v>0.47274465844156194</v>
      </c>
      <c r="J304" s="114">
        <f t="shared" si="28"/>
        <v>258.62068965517244</v>
      </c>
      <c r="K304" s="117">
        <f t="shared" si="29"/>
        <v>0</v>
      </c>
      <c r="L304" s="118">
        <f>VLOOKUP(B304,'All Menu'!B:G,6,0)</f>
        <v>10.344827586206897</v>
      </c>
      <c r="M304" s="118">
        <f t="shared" si="30"/>
        <v>0</v>
      </c>
      <c r="N304" s="151">
        <f ca="1">VLOOKUP(B304,'All Menu'!B:H,7,0)</f>
        <v>172.5</v>
      </c>
    </row>
    <row r="305" spans="1:14" s="158" customFormat="1" ht="14.5">
      <c r="A305" s="157" t="s">
        <v>2021</v>
      </c>
      <c r="B305" s="169" t="s">
        <v>1212</v>
      </c>
      <c r="C305" s="158" t="s">
        <v>1659</v>
      </c>
      <c r="D305" s="115" t="str">
        <f>VLOOKUP(B305,'All Menu'!B:D,3,0)</f>
        <v>التواصي سفري</v>
      </c>
      <c r="E305" s="116">
        <f t="shared" si="27"/>
        <v>5.1724137931034484</v>
      </c>
      <c r="F305" s="160">
        <v>2</v>
      </c>
      <c r="G305" s="161">
        <v>10.344827586206897</v>
      </c>
      <c r="H305" s="115">
        <f>VLOOKUP(B305,'All Menu'!B:J,9,0)</f>
        <v>3.1807436133539184</v>
      </c>
      <c r="I305" s="120">
        <f>VLOOKUP(B305,'All Menu'!B:M,12,0)</f>
        <v>0.3850562347515758</v>
      </c>
      <c r="J305" s="114">
        <f t="shared" si="28"/>
        <v>10.344827586206897</v>
      </c>
      <c r="K305" s="117">
        <f t="shared" si="29"/>
        <v>0</v>
      </c>
      <c r="L305" s="118">
        <f>VLOOKUP(B305,'All Menu'!B:G,6,0)</f>
        <v>5.1724137931034484</v>
      </c>
      <c r="M305" s="118">
        <f t="shared" si="30"/>
        <v>0</v>
      </c>
      <c r="N305" s="151">
        <f ca="1">VLOOKUP(B305,'All Menu'!B:H,7,0)</f>
        <v>26</v>
      </c>
    </row>
    <row r="306" spans="1:14" s="158" customFormat="1" ht="14.5">
      <c r="A306" s="157" t="s">
        <v>2021</v>
      </c>
      <c r="B306" s="169" t="s">
        <v>1299</v>
      </c>
      <c r="C306" s="158" t="s">
        <v>1388</v>
      </c>
      <c r="D306" s="115" t="str">
        <f>VLOOKUP(B306,'All Menu'!B:D,3,0)</f>
        <v>التواصي سفري2</v>
      </c>
      <c r="E306" s="116">
        <f t="shared" si="27"/>
        <v>17.241379310344829</v>
      </c>
      <c r="F306" s="160">
        <v>6.5</v>
      </c>
      <c r="G306" s="161">
        <v>112.06896551724139</v>
      </c>
      <c r="H306" s="115">
        <f>VLOOKUP(B306,'All Menu'!B:J,9,0)</f>
        <v>9.9595579060900263</v>
      </c>
      <c r="I306" s="120">
        <f>VLOOKUP(B306,'All Menu'!B:M,12,0)</f>
        <v>0.42234564144677855</v>
      </c>
      <c r="J306" s="114">
        <f t="shared" si="28"/>
        <v>112.06896551724139</v>
      </c>
      <c r="K306" s="117">
        <f t="shared" si="29"/>
        <v>0</v>
      </c>
      <c r="L306" s="118">
        <f>VLOOKUP(B306,'All Menu'!B:G,6,0)</f>
        <v>17.241379310344829</v>
      </c>
      <c r="M306" s="118">
        <f t="shared" si="30"/>
        <v>0</v>
      </c>
      <c r="N306" s="151">
        <f ca="1">VLOOKUP(B306,'All Menu'!B:H,7,0)</f>
        <v>13</v>
      </c>
    </row>
    <row r="307" spans="1:14" s="158" customFormat="1" ht="14.5">
      <c r="A307" s="157" t="s">
        <v>2021</v>
      </c>
      <c r="B307" s="169" t="s">
        <v>984</v>
      </c>
      <c r="C307" s="158" t="s">
        <v>1670</v>
      </c>
      <c r="D307" s="115" t="str">
        <f>VLOOKUP(B307,'All Menu'!B:D,3,0)</f>
        <v>المشاوي سفري</v>
      </c>
      <c r="E307" s="116">
        <f t="shared" si="27"/>
        <v>2.1551724137931036</v>
      </c>
      <c r="F307" s="160">
        <v>6</v>
      </c>
      <c r="G307" s="161">
        <v>12.931034482758623</v>
      </c>
      <c r="H307" s="115">
        <f>VLOOKUP(B307,'All Menu'!B:J,9,0)</f>
        <v>0.89710371447080939</v>
      </c>
      <c r="I307" s="120">
        <f>VLOOKUP(B307,'All Menu'!B:M,12,0)</f>
        <v>0.58374387648554449</v>
      </c>
      <c r="J307" s="114">
        <f t="shared" si="28"/>
        <v>12.931034482758623</v>
      </c>
      <c r="K307" s="117">
        <f t="shared" si="29"/>
        <v>0</v>
      </c>
      <c r="L307" s="118">
        <f>VLOOKUP(B307,'All Menu'!B:G,6,0)</f>
        <v>2.1551724137931036</v>
      </c>
      <c r="M307" s="118">
        <f t="shared" si="30"/>
        <v>0</v>
      </c>
      <c r="N307" s="151">
        <f ca="1">VLOOKUP(B307,'All Menu'!B:H,7,0)</f>
        <v>6</v>
      </c>
    </row>
    <row r="308" spans="1:14" s="158" customFormat="1" ht="14.5">
      <c r="A308" s="157" t="s">
        <v>2021</v>
      </c>
      <c r="B308" s="169" t="s">
        <v>978</v>
      </c>
      <c r="C308" s="158" t="s">
        <v>1389</v>
      </c>
      <c r="D308" s="115" t="str">
        <f>VLOOKUP(B308,'All Menu'!B:D,3,0)</f>
        <v>المشاوي سفري2</v>
      </c>
      <c r="E308" s="116">
        <f t="shared" si="27"/>
        <v>1.7241379310344829</v>
      </c>
      <c r="F308" s="160">
        <v>14</v>
      </c>
      <c r="G308" s="161">
        <v>24.137931034482762</v>
      </c>
      <c r="H308" s="115">
        <f>VLOOKUP(B308,'All Menu'!B:J,9,0)</f>
        <v>0.99520715447080943</v>
      </c>
      <c r="I308" s="120">
        <f>VLOOKUP(B308,'All Menu'!B:M,12,0)</f>
        <v>0.42277985040693056</v>
      </c>
      <c r="J308" s="114">
        <f t="shared" si="28"/>
        <v>24.137931034482762</v>
      </c>
      <c r="K308" s="117">
        <f t="shared" si="29"/>
        <v>0</v>
      </c>
      <c r="L308" s="118">
        <f>VLOOKUP(B308,'All Menu'!B:G,6,0)</f>
        <v>1.7241379310344829</v>
      </c>
      <c r="M308" s="118">
        <f t="shared" si="30"/>
        <v>0</v>
      </c>
      <c r="N308" s="151">
        <f ca="1">VLOOKUP(B308,'All Menu'!B:H,7,0)</f>
        <v>23</v>
      </c>
    </row>
    <row r="309" spans="1:14" s="158" customFormat="1" ht="14.5">
      <c r="A309" s="157" t="s">
        <v>2021</v>
      </c>
      <c r="B309" s="169" t="s">
        <v>974</v>
      </c>
      <c r="C309" s="158" t="s">
        <v>1671</v>
      </c>
      <c r="D309" s="115" t="str">
        <f>VLOOKUP(B309,'All Menu'!B:D,3,0)</f>
        <v>المشاوي سفري2</v>
      </c>
      <c r="E309" s="116">
        <f t="shared" si="27"/>
        <v>3.2327586206896552</v>
      </c>
      <c r="F309" s="160">
        <v>1</v>
      </c>
      <c r="G309" s="161">
        <v>3.2327586206896552</v>
      </c>
      <c r="H309" s="115">
        <f>VLOOKUP(B309,'All Menu'!B:J,9,0)</f>
        <v>1.6932071544708096</v>
      </c>
      <c r="I309" s="120">
        <f>VLOOKUP(B309,'All Menu'!B:M,12,0)</f>
        <v>0.47623458688369624</v>
      </c>
      <c r="J309" s="114">
        <f t="shared" si="28"/>
        <v>3.2327586206896552</v>
      </c>
      <c r="K309" s="117">
        <f t="shared" si="29"/>
        <v>0</v>
      </c>
      <c r="L309" s="118">
        <f>VLOOKUP(B309,'All Menu'!B:G,6,0)</f>
        <v>3.2327586206896552</v>
      </c>
      <c r="M309" s="118">
        <f t="shared" si="30"/>
        <v>0</v>
      </c>
      <c r="N309" s="151">
        <f ca="1">VLOOKUP(B309,'All Menu'!B:H,7,0)</f>
        <v>6</v>
      </c>
    </row>
    <row r="310" spans="1:14" s="158" customFormat="1" ht="14.5">
      <c r="A310" s="157" t="s">
        <v>2021</v>
      </c>
      <c r="B310" s="169" t="s">
        <v>980</v>
      </c>
      <c r="C310" s="158" t="s">
        <v>1391</v>
      </c>
      <c r="D310" s="115" t="str">
        <f>VLOOKUP(B310,'All Menu'!B:D,3,0)</f>
        <v>المشاوي سفري2</v>
      </c>
      <c r="E310" s="116">
        <f t="shared" si="27"/>
        <v>1.5086206896551726</v>
      </c>
      <c r="F310" s="160">
        <v>5</v>
      </c>
      <c r="G310" s="161">
        <v>7.543103448275863</v>
      </c>
      <c r="H310" s="115">
        <f>VLOOKUP(B310,'All Menu'!B:J,9,0)</f>
        <v>0.78314054788388487</v>
      </c>
      <c r="I310" s="120">
        <f>VLOOKUP(B310,'All Menu'!B:M,12,0)</f>
        <v>0.48088969397411069</v>
      </c>
      <c r="J310" s="114">
        <f t="shared" si="28"/>
        <v>7.543103448275863</v>
      </c>
      <c r="K310" s="117">
        <f t="shared" si="29"/>
        <v>0</v>
      </c>
      <c r="L310" s="118">
        <f>VLOOKUP(B310,'All Menu'!B:G,6,0)</f>
        <v>1.5086206896551726</v>
      </c>
      <c r="M310" s="118">
        <f t="shared" si="30"/>
        <v>0</v>
      </c>
      <c r="N310" s="151">
        <f ca="1">VLOOKUP(B310,'All Menu'!B:H,7,0)</f>
        <v>10</v>
      </c>
    </row>
    <row r="311" spans="1:14" s="158" customFormat="1" ht="14.5">
      <c r="A311" s="157" t="s">
        <v>2021</v>
      </c>
      <c r="B311" s="169" t="s">
        <v>966</v>
      </c>
      <c r="C311" s="158" t="s">
        <v>1392</v>
      </c>
      <c r="D311" s="115" t="str">
        <f>VLOOKUP(B311,'All Menu'!B:D,3,0)</f>
        <v>المشاوي سفري</v>
      </c>
      <c r="E311" s="116">
        <f t="shared" si="27"/>
        <v>5.9913793103448283</v>
      </c>
      <c r="F311" s="160">
        <v>6</v>
      </c>
      <c r="G311" s="161">
        <v>35.948275862068968</v>
      </c>
      <c r="H311" s="115">
        <f>VLOOKUP(B311,'All Menu'!B:J,9,0)</f>
        <v>3.6686979324224152</v>
      </c>
      <c r="I311" s="120">
        <f>VLOOKUP(B311,'All Menu'!B:M,12,0)</f>
        <v>0.38767056091942431</v>
      </c>
      <c r="J311" s="114">
        <f t="shared" si="28"/>
        <v>35.948275862068968</v>
      </c>
      <c r="K311" s="117">
        <f t="shared" si="29"/>
        <v>0</v>
      </c>
      <c r="L311" s="118">
        <f>VLOOKUP(B311,'All Menu'!B:G,6,0)</f>
        <v>5.9913793103448283</v>
      </c>
      <c r="M311" s="118">
        <f t="shared" si="30"/>
        <v>0</v>
      </c>
      <c r="N311" s="151">
        <f ca="1">VLOOKUP(B311,'All Menu'!B:H,7,0)</f>
        <v>25.001000000000001</v>
      </c>
    </row>
    <row r="312" spans="1:14" s="158" customFormat="1" ht="14.5">
      <c r="A312" s="157" t="s">
        <v>2021</v>
      </c>
      <c r="B312" s="169" t="s">
        <v>964</v>
      </c>
      <c r="C312" s="158" t="s">
        <v>1393</v>
      </c>
      <c r="D312" s="115" t="str">
        <f>VLOOKUP(B312,'All Menu'!B:D,3,0)</f>
        <v>المشاوي سفري</v>
      </c>
      <c r="E312" s="116">
        <f t="shared" si="27"/>
        <v>5.6896551724137936</v>
      </c>
      <c r="F312" s="160">
        <v>6</v>
      </c>
      <c r="G312" s="161">
        <v>34.137931034482762</v>
      </c>
      <c r="H312" s="115">
        <f>VLOOKUP(B312,'All Menu'!B:J,9,0)</f>
        <v>3.7688742119978325</v>
      </c>
      <c r="I312" s="120">
        <f>VLOOKUP(B312,'All Menu'!B:M,12,0)</f>
        <v>0.33759180516401738</v>
      </c>
      <c r="J312" s="114">
        <f t="shared" si="28"/>
        <v>34.137931034482762</v>
      </c>
      <c r="K312" s="117">
        <f t="shared" si="29"/>
        <v>0</v>
      </c>
      <c r="L312" s="118">
        <f>VLOOKUP(B312,'All Menu'!B:G,6,0)</f>
        <v>5.6896551724137936</v>
      </c>
      <c r="M312" s="118">
        <f t="shared" si="30"/>
        <v>0</v>
      </c>
      <c r="N312" s="151">
        <f ca="1">VLOOKUP(B312,'All Menu'!B:H,7,0)</f>
        <v>55</v>
      </c>
    </row>
    <row r="313" spans="1:14" s="158" customFormat="1" ht="14.5">
      <c r="A313" s="157" t="s">
        <v>2021</v>
      </c>
      <c r="B313" s="169" t="s">
        <v>967</v>
      </c>
      <c r="C313" s="158" t="s">
        <v>1394</v>
      </c>
      <c r="D313" s="115" t="str">
        <f>VLOOKUP(B313,'All Menu'!B:D,3,0)</f>
        <v>المشاوي سفري</v>
      </c>
      <c r="E313" s="116">
        <f t="shared" si="27"/>
        <v>7.112068965517242</v>
      </c>
      <c r="F313" s="160">
        <v>3</v>
      </c>
      <c r="G313" s="161">
        <v>21.336206896551726</v>
      </c>
      <c r="H313" s="115">
        <f>VLOOKUP(B313,'All Menu'!B:J,9,0)</f>
        <v>6.3656279160317544</v>
      </c>
      <c r="I313" s="120">
        <f>VLOOKUP(B313,'All Menu'!B:M,12,0)</f>
        <v>0.10495413544280795</v>
      </c>
      <c r="J313" s="114">
        <f t="shared" si="28"/>
        <v>21.336206896551726</v>
      </c>
      <c r="K313" s="117">
        <f t="shared" si="29"/>
        <v>0</v>
      </c>
      <c r="L313" s="118">
        <f>VLOOKUP(B313,'All Menu'!B:G,6,0)</f>
        <v>7.112068965517242</v>
      </c>
      <c r="M313" s="118">
        <f t="shared" si="30"/>
        <v>0</v>
      </c>
      <c r="N313" s="151">
        <f ca="1">VLOOKUP(B313,'All Menu'!B:H,7,0)</f>
        <v>54</v>
      </c>
    </row>
    <row r="314" spans="1:14" s="158" customFormat="1" ht="14.5">
      <c r="A314" s="157" t="s">
        <v>2021</v>
      </c>
      <c r="B314" s="169" t="s">
        <v>965</v>
      </c>
      <c r="C314" s="158" t="s">
        <v>1395</v>
      </c>
      <c r="D314" s="115" t="str">
        <f>VLOOKUP(B314,'All Menu'!B:D,3,0)</f>
        <v>المشاوي سفري</v>
      </c>
      <c r="E314" s="116">
        <f t="shared" si="27"/>
        <v>4.7413793103448283</v>
      </c>
      <c r="F314" s="160">
        <v>9</v>
      </c>
      <c r="G314" s="161">
        <v>42.672413793103452</v>
      </c>
      <c r="H314" s="115">
        <f>VLOOKUP(B314,'All Menu'!B:J,9,0)</f>
        <v>1.6773279540549295</v>
      </c>
      <c r="I314" s="120">
        <f>VLOOKUP(B314,'All Menu'!B:M,12,0)</f>
        <v>0.64623628605386951</v>
      </c>
      <c r="J314" s="114">
        <f t="shared" si="28"/>
        <v>42.672413793103452</v>
      </c>
      <c r="K314" s="117">
        <f t="shared" si="29"/>
        <v>0</v>
      </c>
      <c r="L314" s="118">
        <f>VLOOKUP(B314,'All Menu'!B:G,6,0)</f>
        <v>4.7413793103448283</v>
      </c>
      <c r="M314" s="118">
        <f t="shared" si="30"/>
        <v>0</v>
      </c>
      <c r="N314" s="151">
        <f ca="1">VLOOKUP(B314,'All Menu'!B:H,7,0)</f>
        <v>59.000999999999998</v>
      </c>
    </row>
    <row r="315" spans="1:14" s="158" customFormat="1" ht="14.5">
      <c r="A315" s="157" t="s">
        <v>2021</v>
      </c>
      <c r="B315" s="169" t="s">
        <v>1068</v>
      </c>
      <c r="C315" s="158" t="s">
        <v>1396</v>
      </c>
      <c r="D315" s="115" t="str">
        <f>VLOOKUP(B315,'All Menu'!B:D,3,0)</f>
        <v>المشاوي سفري</v>
      </c>
      <c r="E315" s="116">
        <f t="shared" si="27"/>
        <v>10.129310344827587</v>
      </c>
      <c r="F315" s="160">
        <v>1</v>
      </c>
      <c r="G315" s="161">
        <v>10.129310344827587</v>
      </c>
      <c r="H315" s="115">
        <f>VLOOKUP(B315,'All Menu'!B:J,9,0)</f>
        <v>8.5399233888278197</v>
      </c>
      <c r="I315" s="120">
        <f>VLOOKUP(B315,'All Menu'!B:M,12,0)</f>
        <v>0.1569096909752962</v>
      </c>
      <c r="J315" s="114">
        <f t="shared" si="28"/>
        <v>10.129310344827587</v>
      </c>
      <c r="K315" s="117">
        <f t="shared" si="29"/>
        <v>0</v>
      </c>
      <c r="L315" s="118">
        <f>VLOOKUP(B315,'All Menu'!B:G,6,0)</f>
        <v>10.129310344827587</v>
      </c>
      <c r="M315" s="118">
        <f t="shared" si="30"/>
        <v>0</v>
      </c>
      <c r="N315" s="151">
        <f ca="1">VLOOKUP(B315,'All Menu'!B:H,7,0)</f>
        <v>44</v>
      </c>
    </row>
    <row r="316" spans="1:14" s="158" customFormat="1" ht="14.5">
      <c r="A316" s="157" t="s">
        <v>2021</v>
      </c>
      <c r="B316" s="169" t="s">
        <v>1067</v>
      </c>
      <c r="C316" s="158" t="s">
        <v>1397</v>
      </c>
      <c r="D316" s="115" t="str">
        <f>VLOOKUP(B316,'All Menu'!B:D,3,0)</f>
        <v>المشاوي سفري</v>
      </c>
      <c r="E316" s="116">
        <f t="shared" si="27"/>
        <v>17.974893717524804</v>
      </c>
      <c r="F316" s="160">
        <v>36.5</v>
      </c>
      <c r="G316" s="161">
        <v>656.08362068965528</v>
      </c>
      <c r="H316" s="115">
        <f>VLOOKUP(B316,'All Menu'!B:J,9,0)</f>
        <v>13.396247348151649</v>
      </c>
      <c r="I316" s="120">
        <f>VLOOKUP(B316,'All Menu'!B:M,12,0)</f>
        <v>0.27722572447181804</v>
      </c>
      <c r="J316" s="114">
        <f t="shared" si="28"/>
        <v>676.50862068965523</v>
      </c>
      <c r="K316" s="117">
        <f t="shared" si="29"/>
        <v>-20.424999999999955</v>
      </c>
      <c r="L316" s="118">
        <f>VLOOKUP(B316,'All Menu'!B:G,6,0)</f>
        <v>18.53448275862069</v>
      </c>
      <c r="M316" s="118">
        <f t="shared" si="30"/>
        <v>-0.55958904109588659</v>
      </c>
      <c r="N316" s="151">
        <f ca="1">VLOOKUP(B316,'All Menu'!B:H,7,0)</f>
        <v>184</v>
      </c>
    </row>
    <row r="317" spans="1:14" s="158" customFormat="1" ht="14.5">
      <c r="A317" s="157" t="s">
        <v>2021</v>
      </c>
      <c r="B317" s="169" t="s">
        <v>957</v>
      </c>
      <c r="C317" s="158" t="s">
        <v>1398</v>
      </c>
      <c r="D317" s="115" t="str">
        <f>VLOOKUP(B317,'All Menu'!B:D,3,0)</f>
        <v>المشاوي سفري</v>
      </c>
      <c r="E317" s="116">
        <f t="shared" si="27"/>
        <v>12.5</v>
      </c>
      <c r="F317" s="160">
        <v>6.8</v>
      </c>
      <c r="G317" s="161">
        <v>85</v>
      </c>
      <c r="H317" s="115">
        <f>VLOOKUP(B317,'All Menu'!B:J,9,0)</f>
        <v>9.7921151018464965</v>
      </c>
      <c r="I317" s="120">
        <f>VLOOKUP(B317,'All Menu'!B:M,12,0)</f>
        <v>0.21663079185228029</v>
      </c>
      <c r="J317" s="114">
        <f t="shared" si="28"/>
        <v>85</v>
      </c>
      <c r="K317" s="117">
        <f t="shared" si="29"/>
        <v>0</v>
      </c>
      <c r="L317" s="118">
        <f>VLOOKUP(B317,'All Menu'!B:G,6,0)</f>
        <v>12.5</v>
      </c>
      <c r="M317" s="118">
        <f t="shared" si="30"/>
        <v>0</v>
      </c>
      <c r="N317" s="151">
        <f ca="1">VLOOKUP(B317,'All Menu'!B:H,7,0)</f>
        <v>74.801000000000002</v>
      </c>
    </row>
    <row r="318" spans="1:14" s="158" customFormat="1" ht="14.5">
      <c r="A318" s="157" t="s">
        <v>2021</v>
      </c>
      <c r="B318" s="169" t="s">
        <v>950</v>
      </c>
      <c r="C318" s="158" t="s">
        <v>1399</v>
      </c>
      <c r="D318" s="115" t="str">
        <f>VLOOKUP(B318,'All Menu'!B:D,3,0)</f>
        <v>المشاوي سفري</v>
      </c>
      <c r="E318" s="116">
        <f t="shared" si="27"/>
        <v>23.706896551724139</v>
      </c>
      <c r="F318" s="160">
        <v>35.35</v>
      </c>
      <c r="G318" s="161">
        <v>838.03879310344837</v>
      </c>
      <c r="H318" s="115">
        <f>VLOOKUP(B318,'All Menu'!B:J,9,0)</f>
        <v>21.859353332193056</v>
      </c>
      <c r="I318" s="120">
        <f>VLOOKUP(B318,'All Menu'!B:M,12,0)</f>
        <v>7.7932732169311139E-2</v>
      </c>
      <c r="J318" s="114">
        <f t="shared" si="28"/>
        <v>838.03879310344837</v>
      </c>
      <c r="K318" s="117">
        <f t="shared" si="29"/>
        <v>0</v>
      </c>
      <c r="L318" s="118">
        <f>VLOOKUP(B318,'All Menu'!B:G,6,0)</f>
        <v>23.706896551724139</v>
      </c>
      <c r="M318" s="118">
        <f t="shared" si="30"/>
        <v>0</v>
      </c>
      <c r="N318" s="151">
        <f ca="1">VLOOKUP(B318,'All Menu'!B:H,7,0)</f>
        <v>88.350099999999998</v>
      </c>
    </row>
    <row r="319" spans="1:14" s="158" customFormat="1" ht="14.5">
      <c r="A319" s="157" t="s">
        <v>2021</v>
      </c>
      <c r="B319" s="169" t="s">
        <v>959</v>
      </c>
      <c r="C319" s="158" t="s">
        <v>1400</v>
      </c>
      <c r="D319" s="115" t="str">
        <f>VLOOKUP(B319,'All Menu'!B:D,3,0)</f>
        <v>المشاوي سفري</v>
      </c>
      <c r="E319" s="116">
        <f t="shared" si="27"/>
        <v>9.4827586206896566</v>
      </c>
      <c r="F319" s="160">
        <v>16.8</v>
      </c>
      <c r="G319" s="161">
        <v>159.31034482758625</v>
      </c>
      <c r="H319" s="115">
        <f>VLOOKUP(B319,'All Menu'!B:J,9,0)</f>
        <v>6.4946902839713658</v>
      </c>
      <c r="I319" s="120">
        <f>VLOOKUP(B319,'All Menu'!B:M,12,0)</f>
        <v>0.31510538823574696</v>
      </c>
      <c r="J319" s="114">
        <f t="shared" si="28"/>
        <v>159.31034482758625</v>
      </c>
      <c r="K319" s="117">
        <f t="shared" si="29"/>
        <v>0</v>
      </c>
      <c r="L319" s="118">
        <f>VLOOKUP(B319,'All Menu'!B:G,6,0)</f>
        <v>9.4827586206896566</v>
      </c>
      <c r="M319" s="118">
        <f t="shared" si="30"/>
        <v>0</v>
      </c>
      <c r="N319" s="151">
        <f ca="1">VLOOKUP(B319,'All Menu'!B:H,7,0)</f>
        <v>113.8</v>
      </c>
    </row>
    <row r="320" spans="1:14" s="158" customFormat="1" ht="14.5">
      <c r="A320" s="157" t="s">
        <v>2021</v>
      </c>
      <c r="B320" s="169" t="s">
        <v>952</v>
      </c>
      <c r="C320" s="158" t="s">
        <v>1401</v>
      </c>
      <c r="D320" s="115" t="str">
        <f>VLOOKUP(B320,'All Menu'!B:D,3,0)</f>
        <v>المشاوي سفري</v>
      </c>
      <c r="E320" s="116">
        <f t="shared" si="27"/>
        <v>18.53448275862069</v>
      </c>
      <c r="F320" s="160">
        <v>72.25</v>
      </c>
      <c r="G320" s="161">
        <v>1339.1163793103449</v>
      </c>
      <c r="H320" s="115">
        <f>VLOOKUP(B320,'All Menu'!B:J,9,0)</f>
        <v>12.512937550011697</v>
      </c>
      <c r="I320" s="120">
        <f>VLOOKUP(B320,'All Menu'!B:M,12,0)</f>
        <v>0.32488336939471774</v>
      </c>
      <c r="J320" s="114">
        <f t="shared" si="28"/>
        <v>1339.1163793103449</v>
      </c>
      <c r="K320" s="117">
        <f t="shared" si="29"/>
        <v>0</v>
      </c>
      <c r="L320" s="118">
        <f>VLOOKUP(B320,'All Menu'!B:G,6,0)</f>
        <v>18.53448275862069</v>
      </c>
      <c r="M320" s="118">
        <f t="shared" si="30"/>
        <v>0</v>
      </c>
      <c r="N320" s="151">
        <f ca="1">VLOOKUP(B320,'All Menu'!B:H,7,0)</f>
        <v>174.75110000000001</v>
      </c>
    </row>
    <row r="321" spans="1:14" s="158" customFormat="1" ht="14.5">
      <c r="A321" s="157" t="s">
        <v>2021</v>
      </c>
      <c r="B321" s="169" t="s">
        <v>960</v>
      </c>
      <c r="C321" s="158" t="s">
        <v>1672</v>
      </c>
      <c r="D321" s="115" t="str">
        <f>VLOOKUP(B321,'All Menu'!B:D,3,0)</f>
        <v>المشاوي سفري</v>
      </c>
      <c r="E321" s="116">
        <f t="shared" si="27"/>
        <v>7.7586206896551726</v>
      </c>
      <c r="F321" s="160">
        <v>9.25</v>
      </c>
      <c r="G321" s="161">
        <v>71.767241379310349</v>
      </c>
      <c r="H321" s="115">
        <f>VLOOKUP(B321,'All Menu'!B:J,9,0)</f>
        <v>3.136900159373992</v>
      </c>
      <c r="I321" s="120">
        <f>VLOOKUP(B321,'All Menu'!B:M,12,0)</f>
        <v>0.59568842390290766</v>
      </c>
      <c r="J321" s="114">
        <f t="shared" si="28"/>
        <v>71.767241379310349</v>
      </c>
      <c r="K321" s="117">
        <f t="shared" si="29"/>
        <v>0</v>
      </c>
      <c r="L321" s="118">
        <f>VLOOKUP(B321,'All Menu'!B:G,6,0)</f>
        <v>7.7586206896551726</v>
      </c>
      <c r="M321" s="118">
        <f t="shared" si="30"/>
        <v>0</v>
      </c>
      <c r="N321" s="151">
        <f ca="1">VLOOKUP(B321,'All Menu'!B:H,7,0)</f>
        <v>56.250999999999998</v>
      </c>
    </row>
    <row r="322" spans="1:14" s="158" customFormat="1" ht="14.5">
      <c r="A322" s="157" t="s">
        <v>2021</v>
      </c>
      <c r="B322" s="169" t="s">
        <v>954</v>
      </c>
      <c r="C322" s="158" t="s">
        <v>1402</v>
      </c>
      <c r="D322" s="115" t="str">
        <f>VLOOKUP(B322,'All Menu'!B:D,3,0)</f>
        <v>المشاوي سفري</v>
      </c>
      <c r="E322" s="116">
        <f t="shared" si="27"/>
        <v>14.639644463482545</v>
      </c>
      <c r="F322" s="160">
        <v>32.200000000000003</v>
      </c>
      <c r="G322" s="161">
        <v>471.39655172413802</v>
      </c>
      <c r="H322" s="115">
        <f>VLOOKUP(B322,'All Menu'!B:J,9,0)</f>
        <v>5.6704266024752172</v>
      </c>
      <c r="I322" s="120">
        <f>VLOOKUP(B322,'All Menu'!B:M,12,0)</f>
        <v>0.61307677300757346</v>
      </c>
      <c r="J322" s="114">
        <f t="shared" si="28"/>
        <v>471.89655172413802</v>
      </c>
      <c r="K322" s="117">
        <f t="shared" si="29"/>
        <v>-0.5</v>
      </c>
      <c r="L322" s="118">
        <f>VLOOKUP(B322,'All Menu'!B:G,6,0)</f>
        <v>14.655172413793105</v>
      </c>
      <c r="M322" s="118">
        <f t="shared" si="30"/>
        <v>-1.5527950310559646E-2</v>
      </c>
      <c r="N322" s="151">
        <f ca="1">VLOOKUP(B322,'All Menu'!B:H,7,0)</f>
        <v>61.2</v>
      </c>
    </row>
    <row r="323" spans="1:14" s="158" customFormat="1" ht="14.5">
      <c r="A323" s="157" t="s">
        <v>2021</v>
      </c>
      <c r="B323" s="169" t="s">
        <v>961</v>
      </c>
      <c r="C323" s="158" t="s">
        <v>1403</v>
      </c>
      <c r="D323" s="115" t="str">
        <f>VLOOKUP(B323,'All Menu'!B:D,3,0)</f>
        <v>المشاوي سفري</v>
      </c>
      <c r="E323" s="116">
        <f t="shared" si="27"/>
        <v>11.63793103448276</v>
      </c>
      <c r="F323" s="160">
        <v>1</v>
      </c>
      <c r="G323" s="161">
        <v>11.63793103448276</v>
      </c>
      <c r="H323" s="115">
        <f>VLOOKUP(B323,'All Menu'!B:J,9,0)</f>
        <v>7.7324063313202105</v>
      </c>
      <c r="I323" s="120">
        <f>VLOOKUP(B323,'All Menu'!B:M,12,0)</f>
        <v>0.33558582634581902</v>
      </c>
      <c r="J323" s="114">
        <f t="shared" si="28"/>
        <v>11.63793103448276</v>
      </c>
      <c r="K323" s="117">
        <f t="shared" si="29"/>
        <v>0</v>
      </c>
      <c r="L323" s="118">
        <f>VLOOKUP(B323,'All Menu'!B:G,6,0)</f>
        <v>11.63793103448276</v>
      </c>
      <c r="M323" s="118">
        <f t="shared" si="30"/>
        <v>0</v>
      </c>
      <c r="N323" s="151">
        <f ca="1">VLOOKUP(B323,'All Menu'!B:H,7,0)</f>
        <v>16</v>
      </c>
    </row>
    <row r="324" spans="1:14" s="158" customFormat="1" ht="14.5">
      <c r="A324" s="157" t="s">
        <v>2021</v>
      </c>
      <c r="B324" s="169" t="s">
        <v>953</v>
      </c>
      <c r="C324" s="158" t="s">
        <v>1673</v>
      </c>
      <c r="D324" s="115" t="str">
        <f>VLOOKUP(B324,'All Menu'!B:D,3,0)</f>
        <v>المشاوي سفري</v>
      </c>
      <c r="E324" s="116">
        <f t="shared" si="27"/>
        <v>21.551724137931036</v>
      </c>
      <c r="F324" s="160">
        <v>12.9</v>
      </c>
      <c r="G324" s="161">
        <v>278.01724137931035</v>
      </c>
      <c r="H324" s="115">
        <f>VLOOKUP(B324,'All Menu'!B:J,9,0)</f>
        <v>14.858878515880367</v>
      </c>
      <c r="I324" s="120">
        <f>VLOOKUP(B324,'All Menu'!B:M,12,0)</f>
        <v>0.31054803686315102</v>
      </c>
      <c r="J324" s="114">
        <f t="shared" si="28"/>
        <v>278.01724137931035</v>
      </c>
      <c r="K324" s="117">
        <f t="shared" si="29"/>
        <v>0</v>
      </c>
      <c r="L324" s="118">
        <f>VLOOKUP(B324,'All Menu'!B:G,6,0)</f>
        <v>21.551724137931036</v>
      </c>
      <c r="M324" s="118">
        <f t="shared" si="30"/>
        <v>0</v>
      </c>
      <c r="N324" s="151">
        <f ca="1">VLOOKUP(B324,'All Menu'!B:H,7,0)</f>
        <v>20.900099999999998</v>
      </c>
    </row>
    <row r="325" spans="1:14" s="158" customFormat="1" ht="14.5">
      <c r="A325" s="157" t="s">
        <v>2021</v>
      </c>
      <c r="B325" s="169" t="s">
        <v>958</v>
      </c>
      <c r="C325" s="158" t="s">
        <v>1769</v>
      </c>
      <c r="D325" s="115" t="str">
        <f>VLOOKUP(B325,'All Menu'!B:D,3,0)</f>
        <v>المشاوي سفري</v>
      </c>
      <c r="E325" s="116">
        <f t="shared" si="27"/>
        <v>7.7586206896551726</v>
      </c>
      <c r="F325" s="160">
        <v>1</v>
      </c>
      <c r="G325" s="161">
        <v>7.7586206896551726</v>
      </c>
      <c r="H325" s="115">
        <f>VLOOKUP(B325,'All Menu'!B:J,9,0)</f>
        <v>3.1783996947637747</v>
      </c>
      <c r="I325" s="120">
        <f>VLOOKUP(B325,'All Menu'!B:M,12,0)</f>
        <v>0.59033959489711352</v>
      </c>
      <c r="J325" s="114">
        <f t="shared" si="28"/>
        <v>7.7586206896551726</v>
      </c>
      <c r="K325" s="117">
        <f t="shared" si="29"/>
        <v>0</v>
      </c>
      <c r="L325" s="118">
        <f>VLOOKUP(B325,'All Menu'!B:G,6,0)</f>
        <v>7.7586206896551726</v>
      </c>
      <c r="M325" s="118">
        <f t="shared" si="30"/>
        <v>0</v>
      </c>
      <c r="N325" s="151">
        <f ca="1">VLOOKUP(B325,'All Menu'!B:H,7,0)</f>
        <v>4</v>
      </c>
    </row>
    <row r="326" spans="1:14" s="158" customFormat="1" ht="14.5">
      <c r="A326" s="157" t="s">
        <v>2021</v>
      </c>
      <c r="B326" s="169" t="s">
        <v>951</v>
      </c>
      <c r="C326" s="158" t="s">
        <v>1674</v>
      </c>
      <c r="D326" s="115" t="str">
        <f>VLOOKUP(B326,'All Menu'!B:D,3,0)</f>
        <v>المشاوي سفري</v>
      </c>
      <c r="E326" s="116">
        <f t="shared" si="27"/>
        <v>13.793103448275863</v>
      </c>
      <c r="F326" s="160">
        <v>0.7</v>
      </c>
      <c r="G326" s="161">
        <v>9.6551724137931032</v>
      </c>
      <c r="H326" s="115">
        <f>VLOOKUP(B326,'All Menu'!B:J,9,0)</f>
        <v>5.2933006210056091</v>
      </c>
      <c r="I326" s="120">
        <f>VLOOKUP(B326,'All Menu'!B:M,12,0)</f>
        <v>0.61623570497709346</v>
      </c>
      <c r="J326" s="114">
        <f t="shared" si="28"/>
        <v>9.6551724137931032</v>
      </c>
      <c r="K326" s="117">
        <f t="shared" si="29"/>
        <v>0</v>
      </c>
      <c r="L326" s="118">
        <f>VLOOKUP(B326,'All Menu'!B:G,6,0)</f>
        <v>13.793103448275863</v>
      </c>
      <c r="M326" s="118">
        <f t="shared" si="30"/>
        <v>0</v>
      </c>
      <c r="N326" s="151">
        <f ca="1">VLOOKUP(B326,'All Menu'!B:H,7,0)</f>
        <v>5</v>
      </c>
    </row>
    <row r="327" spans="1:14" s="158" customFormat="1" ht="14.5">
      <c r="A327" s="157" t="s">
        <v>2021</v>
      </c>
      <c r="B327" s="169" t="s">
        <v>963</v>
      </c>
      <c r="C327" s="158" t="s">
        <v>1404</v>
      </c>
      <c r="D327" s="115" t="str">
        <f>VLOOKUP(B327,'All Menu'!B:D,3,0)</f>
        <v>المشاوي سفري</v>
      </c>
      <c r="E327" s="116">
        <f t="shared" si="27"/>
        <v>3.4410982304900184</v>
      </c>
      <c r="F327" s="160">
        <v>152</v>
      </c>
      <c r="G327" s="161">
        <v>523.04693103448278</v>
      </c>
      <c r="H327" s="115">
        <f>VLOOKUP(B327,'All Menu'!B:J,9,0)</f>
        <v>2.7230676011278017</v>
      </c>
      <c r="I327" s="120">
        <f>VLOOKUP(B327,'All Menu'!B:M,12,0)</f>
        <v>0.21031039567293758</v>
      </c>
      <c r="J327" s="114">
        <f t="shared" si="28"/>
        <v>524.13793103448279</v>
      </c>
      <c r="K327" s="117">
        <f t="shared" si="29"/>
        <v>-1.0910000000000082</v>
      </c>
      <c r="L327" s="118">
        <f>VLOOKUP(B327,'All Menu'!B:G,6,0)</f>
        <v>3.4482758620689657</v>
      </c>
      <c r="M327" s="118">
        <f t="shared" si="30"/>
        <v>-7.1776315789473522E-3</v>
      </c>
      <c r="N327" s="151">
        <f ca="1">VLOOKUP(B327,'All Menu'!B:H,7,0)</f>
        <v>511.00009999999997</v>
      </c>
    </row>
    <row r="328" spans="1:14" s="158" customFormat="1" ht="14.5">
      <c r="A328" s="157" t="s">
        <v>2021</v>
      </c>
      <c r="B328" s="169" t="s">
        <v>956</v>
      </c>
      <c r="C328" s="158" t="s">
        <v>1405</v>
      </c>
      <c r="D328" s="115" t="str">
        <f>VLOOKUP(B328,'All Menu'!B:D,3,0)</f>
        <v>المشاوي سفري</v>
      </c>
      <c r="E328" s="116">
        <f t="shared" si="27"/>
        <v>6.0243285033015406</v>
      </c>
      <c r="F328" s="160">
        <v>188</v>
      </c>
      <c r="G328" s="161">
        <v>1132.5737586206897</v>
      </c>
      <c r="H328" s="115">
        <f>VLOOKUP(B328,'All Menu'!B:J,9,0)</f>
        <v>4.8935270251662928</v>
      </c>
      <c r="I328" s="120">
        <f>VLOOKUP(B328,'All Menu'!B:M,12,0)</f>
        <v>0.18907266440101445</v>
      </c>
      <c r="J328" s="114">
        <f t="shared" si="28"/>
        <v>1134.4827586206898</v>
      </c>
      <c r="K328" s="117">
        <f t="shared" si="29"/>
        <v>-1.9090000000001055</v>
      </c>
      <c r="L328" s="118">
        <f>VLOOKUP(B328,'All Menu'!B:G,6,0)</f>
        <v>6.0344827586206904</v>
      </c>
      <c r="M328" s="118">
        <f t="shared" si="30"/>
        <v>-1.0154255319149819E-2</v>
      </c>
      <c r="N328" s="151">
        <f ca="1">VLOOKUP(B328,'All Menu'!B:H,7,0)</f>
        <v>771.00199999999995</v>
      </c>
    </row>
    <row r="329" spans="1:14" s="158" customFormat="1" ht="14.5">
      <c r="A329" s="157" t="s">
        <v>2021</v>
      </c>
      <c r="B329" s="169" t="s">
        <v>955</v>
      </c>
      <c r="C329" s="158" t="s">
        <v>1730</v>
      </c>
      <c r="D329" s="115" t="str">
        <f>VLOOKUP(B329,'All Menu'!B:D,3,0)</f>
        <v>المشاوي سفري</v>
      </c>
      <c r="E329" s="116">
        <f t="shared" si="27"/>
        <v>13.793103448275865</v>
      </c>
      <c r="F329" s="160">
        <v>5.7</v>
      </c>
      <c r="G329" s="161">
        <v>78.620689655172427</v>
      </c>
      <c r="H329" s="115">
        <f>VLOOKUP(B329,'All Menu'!B:J,9,0)</f>
        <v>7.944055182547034</v>
      </c>
      <c r="I329" s="120">
        <f>VLOOKUP(B329,'All Menu'!B:M,12,0)</f>
        <v>0.42405599926534004</v>
      </c>
      <c r="J329" s="114">
        <f t="shared" si="28"/>
        <v>78.620689655172427</v>
      </c>
      <c r="K329" s="117">
        <f t="shared" si="29"/>
        <v>0</v>
      </c>
      <c r="L329" s="118">
        <f>VLOOKUP(B329,'All Menu'!B:G,6,0)</f>
        <v>13.793103448275863</v>
      </c>
      <c r="M329" s="118">
        <f t="shared" si="30"/>
        <v>0</v>
      </c>
      <c r="N329" s="151">
        <f ca="1">VLOOKUP(B329,'All Menu'!B:H,7,0)</f>
        <v>8.1</v>
      </c>
    </row>
    <row r="330" spans="1:14" s="158" customFormat="1" ht="14.5">
      <c r="A330" s="157" t="s">
        <v>2021</v>
      </c>
      <c r="B330" s="169" t="s">
        <v>971</v>
      </c>
      <c r="C330" s="158" t="s">
        <v>1407</v>
      </c>
      <c r="D330" s="115" t="str">
        <f>VLOOKUP(B330,'All Menu'!B:D,3,0)</f>
        <v>المشاوي سفري2</v>
      </c>
      <c r="E330" s="116">
        <f t="shared" si="27"/>
        <v>1.9383416872999577</v>
      </c>
      <c r="F330" s="160">
        <v>571</v>
      </c>
      <c r="G330" s="161">
        <v>1106.7931034482758</v>
      </c>
      <c r="H330" s="115">
        <f>VLOOKUP(B330,'All Menu'!B:J,9,0)</f>
        <v>0.9825894471323211</v>
      </c>
      <c r="I330" s="120">
        <f>VLOOKUP(B330,'All Menu'!B:M,12,0)</f>
        <v>0.49342055170067001</v>
      </c>
      <c r="J330" s="114">
        <f t="shared" si="28"/>
        <v>1107.5431034482758</v>
      </c>
      <c r="K330" s="117">
        <f t="shared" si="29"/>
        <v>-0.75</v>
      </c>
      <c r="L330" s="118">
        <f>VLOOKUP(B330,'All Menu'!B:G,6,0)</f>
        <v>1.9396551724137931</v>
      </c>
      <c r="M330" s="118">
        <f t="shared" si="30"/>
        <v>-1.3134851138354442E-3</v>
      </c>
      <c r="N330" s="151">
        <f ca="1">VLOOKUP(B330,'All Menu'!B:H,7,0)</f>
        <v>1296.0039999999999</v>
      </c>
    </row>
    <row r="331" spans="1:14" s="158" customFormat="1" ht="14.5">
      <c r="A331" s="157" t="s">
        <v>2021</v>
      </c>
      <c r="B331" s="169" t="s">
        <v>975</v>
      </c>
      <c r="C331" s="158" t="s">
        <v>1408</v>
      </c>
      <c r="D331" s="115" t="str">
        <f>VLOOKUP(B331,'All Menu'!B:D,3,0)</f>
        <v>المشاوي سفري2</v>
      </c>
      <c r="E331" s="116">
        <f t="shared" si="27"/>
        <v>2.8017241379310347</v>
      </c>
      <c r="F331" s="160">
        <v>70</v>
      </c>
      <c r="G331" s="161">
        <v>196.12068965517244</v>
      </c>
      <c r="H331" s="115">
        <f>VLOOKUP(B331,'All Menu'!B:J,9,0)</f>
        <v>1.7564933001329548</v>
      </c>
      <c r="I331" s="120">
        <f>VLOOKUP(B331,'All Menu'!B:M,12,0)</f>
        <v>0.37306700672177617</v>
      </c>
      <c r="J331" s="114">
        <f t="shared" si="28"/>
        <v>196.12068965517244</v>
      </c>
      <c r="K331" s="117">
        <f t="shared" si="29"/>
        <v>0</v>
      </c>
      <c r="L331" s="118">
        <f>VLOOKUP(B331,'All Menu'!B:G,6,0)</f>
        <v>2.8017241379310347</v>
      </c>
      <c r="M331" s="118">
        <f t="shared" si="30"/>
        <v>0</v>
      </c>
      <c r="N331" s="151">
        <f ca="1">VLOOKUP(B331,'All Menu'!B:H,7,0)</f>
        <v>303</v>
      </c>
    </row>
    <row r="332" spans="1:14" s="158" customFormat="1" ht="14.5">
      <c r="A332" s="157" t="s">
        <v>2021</v>
      </c>
      <c r="B332" s="169" t="s">
        <v>976</v>
      </c>
      <c r="C332" s="158" t="s">
        <v>1409</v>
      </c>
      <c r="D332" s="115" t="str">
        <f>VLOOKUP(B332,'All Menu'!B:D,3,0)</f>
        <v>المشاوي سفري2</v>
      </c>
      <c r="E332" s="116">
        <f t="shared" si="27"/>
        <v>2.8017241379310347</v>
      </c>
      <c r="F332" s="160">
        <v>114</v>
      </c>
      <c r="G332" s="161">
        <v>319.39655172413796</v>
      </c>
      <c r="H332" s="115">
        <f>VLOOKUP(B332,'All Menu'!B:J,9,0)</f>
        <v>2.3988635967239338</v>
      </c>
      <c r="I332" s="120">
        <f>VLOOKUP(B332,'All Menu'!B:M,12,0)</f>
        <v>0.14379022393853447</v>
      </c>
      <c r="J332" s="114">
        <f t="shared" si="28"/>
        <v>319.39655172413796</v>
      </c>
      <c r="K332" s="117">
        <f t="shared" si="29"/>
        <v>0</v>
      </c>
      <c r="L332" s="118">
        <f>VLOOKUP(B332,'All Menu'!B:G,6,0)</f>
        <v>2.8017241379310347</v>
      </c>
      <c r="M332" s="118">
        <f t="shared" si="30"/>
        <v>0</v>
      </c>
      <c r="N332" s="151">
        <f ca="1">VLOOKUP(B332,'All Menu'!B:H,7,0)</f>
        <v>202.00110000000001</v>
      </c>
    </row>
    <row r="333" spans="1:14" s="158" customFormat="1" ht="14.5">
      <c r="A333" s="157" t="s">
        <v>2021</v>
      </c>
      <c r="B333" s="169" t="s">
        <v>982</v>
      </c>
      <c r="C333" s="158" t="s">
        <v>1410</v>
      </c>
      <c r="D333" s="115" t="str">
        <f>VLOOKUP(B333,'All Menu'!B:D,3,0)</f>
        <v>المشاوي سفري2</v>
      </c>
      <c r="E333" s="116">
        <f t="shared" si="27"/>
        <v>4.9568965517241379</v>
      </c>
      <c r="F333" s="160">
        <v>11</v>
      </c>
      <c r="G333" s="161">
        <v>54.525862068965516</v>
      </c>
      <c r="H333" s="115">
        <f>VLOOKUP(B333,'All Menu'!B:J,9,0)</f>
        <v>4.4283782633905995</v>
      </c>
      <c r="I333" s="120">
        <f>VLOOKUP(B333,'All Menu'!B:M,12,0)</f>
        <v>0.10662281990728775</v>
      </c>
      <c r="J333" s="114">
        <f t="shared" si="28"/>
        <v>54.525862068965516</v>
      </c>
      <c r="K333" s="117">
        <f t="shared" si="29"/>
        <v>0</v>
      </c>
      <c r="L333" s="118">
        <f>VLOOKUP(B333,'All Menu'!B:G,6,0)</f>
        <v>4.9568965517241379</v>
      </c>
      <c r="M333" s="118">
        <f t="shared" si="30"/>
        <v>0</v>
      </c>
      <c r="N333" s="151">
        <f ca="1">VLOOKUP(B333,'All Menu'!B:H,7,0)</f>
        <v>40.000100000000003</v>
      </c>
    </row>
    <row r="334" spans="1:14" s="158" customFormat="1" ht="14.5">
      <c r="A334" s="157" t="s">
        <v>2021</v>
      </c>
      <c r="B334" s="169" t="s">
        <v>979</v>
      </c>
      <c r="C334" s="158" t="s">
        <v>1411</v>
      </c>
      <c r="D334" s="115" t="str">
        <f>VLOOKUP(B334,'All Menu'!B:D,3,0)</f>
        <v>المشاوي سفري2</v>
      </c>
      <c r="E334" s="116">
        <f t="shared" si="27"/>
        <v>1.9370049957353481</v>
      </c>
      <c r="F334" s="160">
        <v>283</v>
      </c>
      <c r="G334" s="161">
        <v>548.17241379310349</v>
      </c>
      <c r="H334" s="115">
        <f>VLOOKUP(B334,'All Menu'!B:J,9,0)</f>
        <v>0.77954251079060299</v>
      </c>
      <c r="I334" s="120">
        <f>VLOOKUP(B334,'All Menu'!B:M,12,0)</f>
        <v>0.59810252777017803</v>
      </c>
      <c r="J334" s="114">
        <f t="shared" si="28"/>
        <v>548.92241379310349</v>
      </c>
      <c r="K334" s="117">
        <f t="shared" si="29"/>
        <v>-0.75</v>
      </c>
      <c r="L334" s="118">
        <f>VLOOKUP(B334,'All Menu'!B:G,6,0)</f>
        <v>1.9396551724137931</v>
      </c>
      <c r="M334" s="118">
        <f t="shared" si="30"/>
        <v>-2.6501766784450265E-3</v>
      </c>
      <c r="N334" s="151">
        <f ca="1">VLOOKUP(B334,'All Menu'!B:H,7,0)</f>
        <v>782.00099999999998</v>
      </c>
    </row>
    <row r="335" spans="1:14" s="158" customFormat="1" ht="14.5">
      <c r="A335" s="157" t="s">
        <v>2021</v>
      </c>
      <c r="B335" s="169" t="s">
        <v>983</v>
      </c>
      <c r="C335" s="158" t="s">
        <v>1412</v>
      </c>
      <c r="D335" s="115" t="str">
        <f>VLOOKUP(B335,'All Menu'!B:D,3,0)</f>
        <v>المشاوي سفري2</v>
      </c>
      <c r="E335" s="116">
        <f t="shared" si="27"/>
        <v>3.2327586206896552</v>
      </c>
      <c r="F335" s="160">
        <v>24</v>
      </c>
      <c r="G335" s="161">
        <v>77.58620689655173</v>
      </c>
      <c r="H335" s="115">
        <f>VLOOKUP(B335,'All Menu'!B:J,9,0)</f>
        <v>1.2707311640531975</v>
      </c>
      <c r="I335" s="120">
        <f>VLOOKUP(B335,'All Menu'!B:M,12,0)</f>
        <v>0.60692049325287756</v>
      </c>
      <c r="J335" s="114">
        <f t="shared" si="28"/>
        <v>77.58620689655173</v>
      </c>
      <c r="K335" s="117">
        <f t="shared" si="29"/>
        <v>0</v>
      </c>
      <c r="L335" s="118">
        <f>VLOOKUP(B335,'All Menu'!B:G,6,0)</f>
        <v>3.2327586206896552</v>
      </c>
      <c r="M335" s="118">
        <f t="shared" si="30"/>
        <v>0</v>
      </c>
      <c r="N335" s="151">
        <f ca="1">VLOOKUP(B335,'All Menu'!B:H,7,0)</f>
        <v>132.001</v>
      </c>
    </row>
    <row r="336" spans="1:14" s="158" customFormat="1" ht="14.5">
      <c r="A336" s="157" t="s">
        <v>2021</v>
      </c>
      <c r="B336" s="169" t="s">
        <v>972</v>
      </c>
      <c r="C336" s="158" t="s">
        <v>1413</v>
      </c>
      <c r="D336" s="115" t="str">
        <f>VLOOKUP(B336,'All Menu'!B:D,3,0)</f>
        <v>المشاوي سفري2</v>
      </c>
      <c r="E336" s="116">
        <f t="shared" si="27"/>
        <v>1.2931034482758621</v>
      </c>
      <c r="F336" s="160">
        <v>2</v>
      </c>
      <c r="G336" s="161">
        <v>2.5862068965517242</v>
      </c>
      <c r="H336" s="115">
        <f>VLOOKUP(B336,'All Menu'!B:J,9,0)</f>
        <v>0.70647592238991186</v>
      </c>
      <c r="I336" s="120">
        <f>VLOOKUP(B336,'All Menu'!B:M,12,0)</f>
        <v>0.45365862001846818</v>
      </c>
      <c r="J336" s="114">
        <f t="shared" si="28"/>
        <v>2.5862068965517242</v>
      </c>
      <c r="K336" s="117">
        <f t="shared" si="29"/>
        <v>0</v>
      </c>
      <c r="L336" s="118">
        <f>VLOOKUP(B336,'All Menu'!B:G,6,0)</f>
        <v>1.2931034482758621</v>
      </c>
      <c r="M336" s="118">
        <f t="shared" si="30"/>
        <v>0</v>
      </c>
      <c r="N336" s="151">
        <f ca="1">VLOOKUP(B336,'All Menu'!B:H,7,0)</f>
        <v>37</v>
      </c>
    </row>
    <row r="337" spans="1:14" s="158" customFormat="1" ht="14.5">
      <c r="A337" s="157" t="s">
        <v>2021</v>
      </c>
      <c r="B337" s="169" t="s">
        <v>973</v>
      </c>
      <c r="C337" s="158" t="s">
        <v>1923</v>
      </c>
      <c r="D337" s="115" t="str">
        <f>VLOOKUP(B337,'All Menu'!B:D,3,0)</f>
        <v>المشاوي سفري2</v>
      </c>
      <c r="E337" s="116">
        <f t="shared" si="27"/>
        <v>2.3706896551724141</v>
      </c>
      <c r="F337" s="160">
        <v>1</v>
      </c>
      <c r="G337" s="161">
        <v>2.3706896551724141</v>
      </c>
      <c r="H337" s="115">
        <f>VLOOKUP(B337,'All Menu'!B:J,9,0)</f>
        <v>1.1667698255915604</v>
      </c>
      <c r="I337" s="120">
        <f>VLOOKUP(B337,'All Menu'!B:M,12,0)</f>
        <v>0.50783527356865099</v>
      </c>
      <c r="J337" s="114">
        <f t="shared" si="28"/>
        <v>2.3706896551724141</v>
      </c>
      <c r="K337" s="117">
        <f t="shared" si="29"/>
        <v>0</v>
      </c>
      <c r="L337" s="118">
        <f>VLOOKUP(B337,'All Menu'!B:G,6,0)</f>
        <v>2.3706896551724141</v>
      </c>
      <c r="M337" s="118">
        <f t="shared" si="30"/>
        <v>0</v>
      </c>
      <c r="N337" s="151">
        <f ca="1">VLOOKUP(B337,'All Menu'!B:H,7,0)</f>
        <v>2</v>
      </c>
    </row>
    <row r="338" spans="1:14" s="158" customFormat="1" ht="14.5">
      <c r="A338" s="157" t="s">
        <v>2021</v>
      </c>
      <c r="B338" s="169" t="s">
        <v>977</v>
      </c>
      <c r="C338" s="158" t="s">
        <v>1414</v>
      </c>
      <c r="D338" s="115" t="str">
        <f>VLOOKUP(B338,'All Menu'!B:D,3,0)</f>
        <v>المشاوي سفري2</v>
      </c>
      <c r="E338" s="116">
        <f t="shared" si="27"/>
        <v>3.6637931034482762</v>
      </c>
      <c r="F338" s="160">
        <v>40</v>
      </c>
      <c r="G338" s="161">
        <v>146.55172413793105</v>
      </c>
      <c r="H338" s="115">
        <f>VLOOKUP(B338,'All Menu'!B:J,9,0)</f>
        <v>3.1797157827930547</v>
      </c>
      <c r="I338" s="120">
        <f>VLOOKUP(B338,'All Menu'!B:M,12,0)</f>
        <v>0.13212463340236635</v>
      </c>
      <c r="J338" s="114">
        <f t="shared" si="28"/>
        <v>146.55172413793105</v>
      </c>
      <c r="K338" s="117">
        <f t="shared" si="29"/>
        <v>0</v>
      </c>
      <c r="L338" s="118">
        <f>VLOOKUP(B338,'All Menu'!B:G,6,0)</f>
        <v>3.6637931034482762</v>
      </c>
      <c r="M338" s="118">
        <f t="shared" si="30"/>
        <v>0</v>
      </c>
      <c r="N338" s="151">
        <f ca="1">VLOOKUP(B338,'All Menu'!B:H,7,0)</f>
        <v>108</v>
      </c>
    </row>
    <row r="339" spans="1:14" s="158" customFormat="1" ht="14.5">
      <c r="A339" s="157" t="s">
        <v>2021</v>
      </c>
      <c r="B339" s="169" t="s">
        <v>985</v>
      </c>
      <c r="C339" s="158" t="s">
        <v>1415</v>
      </c>
      <c r="D339" s="115" t="str">
        <f>VLOOKUP(B339,'All Menu'!B:D,3,0)</f>
        <v>المشاوي سفري2</v>
      </c>
      <c r="E339" s="116">
        <f t="shared" si="27"/>
        <v>3.0172413793103452</v>
      </c>
      <c r="F339" s="160">
        <v>6</v>
      </c>
      <c r="G339" s="161">
        <v>18.103448275862071</v>
      </c>
      <c r="H339" s="115">
        <f>VLOOKUP(B339,'All Menu'!B:J,9,0)</f>
        <v>2.8033576186383069</v>
      </c>
      <c r="I339" s="120">
        <f>VLOOKUP(B339,'All Menu'!B:M,12,0)</f>
        <v>7.0887189251304106E-2</v>
      </c>
      <c r="J339" s="114">
        <f t="shared" si="28"/>
        <v>18.103448275862071</v>
      </c>
      <c r="K339" s="117">
        <f t="shared" si="29"/>
        <v>0</v>
      </c>
      <c r="L339" s="118">
        <f>VLOOKUP(B339,'All Menu'!B:G,6,0)</f>
        <v>3.0172413793103452</v>
      </c>
      <c r="M339" s="118">
        <f t="shared" si="30"/>
        <v>0</v>
      </c>
      <c r="N339" s="151">
        <f ca="1">VLOOKUP(B339,'All Menu'!B:H,7,0)</f>
        <v>12</v>
      </c>
    </row>
    <row r="340" spans="1:14" s="158" customFormat="1" ht="14.5">
      <c r="A340" s="157" t="s">
        <v>2021</v>
      </c>
      <c r="B340" s="169" t="s">
        <v>1205</v>
      </c>
      <c r="C340" s="158" t="s">
        <v>1731</v>
      </c>
      <c r="D340" s="115" t="str">
        <f>VLOOKUP(B340,'All Menu'!B:D,3,0)</f>
        <v>المشاوي سفري2</v>
      </c>
      <c r="E340" s="116">
        <f t="shared" si="27"/>
        <v>1.7241379310344831</v>
      </c>
      <c r="F340" s="160">
        <v>11</v>
      </c>
      <c r="G340" s="161">
        <v>18.965517241379313</v>
      </c>
      <c r="H340" s="115">
        <f>VLOOKUP(B340,'All Menu'!B:J,9,0)</f>
        <v>0.46721213030918279</v>
      </c>
      <c r="I340" s="120">
        <f>VLOOKUP(B340,'All Menu'!B:M,12,0)</f>
        <v>0.72901696442067399</v>
      </c>
      <c r="J340" s="114">
        <f t="shared" si="28"/>
        <v>18.965517241379313</v>
      </c>
      <c r="K340" s="117">
        <f t="shared" si="29"/>
        <v>0</v>
      </c>
      <c r="L340" s="118">
        <f>VLOOKUP(B340,'All Menu'!B:G,6,0)</f>
        <v>1.7241379310344829</v>
      </c>
      <c r="M340" s="118">
        <f t="shared" si="30"/>
        <v>0</v>
      </c>
      <c r="N340" s="151">
        <f ca="1">VLOOKUP(B340,'All Menu'!B:H,7,0)</f>
        <v>16</v>
      </c>
    </row>
    <row r="341" spans="1:14" s="158" customFormat="1" ht="14.5">
      <c r="A341" s="157" t="s">
        <v>2021</v>
      </c>
      <c r="B341" s="169" t="s">
        <v>1206</v>
      </c>
      <c r="C341" s="158" t="s">
        <v>1675</v>
      </c>
      <c r="D341" s="115" t="str">
        <f>VLOOKUP(B341,'All Menu'!B:D,3,0)</f>
        <v>المشاوي سفري2</v>
      </c>
      <c r="E341" s="116">
        <f t="shared" si="27"/>
        <v>2.3706896551724141</v>
      </c>
      <c r="F341" s="160">
        <v>11</v>
      </c>
      <c r="G341" s="161">
        <v>26.077586206896555</v>
      </c>
      <c r="H341" s="115">
        <f>VLOOKUP(B341,'All Menu'!B:J,9,0)</f>
        <v>2.0415146666666666</v>
      </c>
      <c r="I341" s="120">
        <f>VLOOKUP(B341,'All Menu'!B:M,12,0)</f>
        <v>0.13885199515151531</v>
      </c>
      <c r="J341" s="114">
        <f t="shared" si="28"/>
        <v>26.077586206896555</v>
      </c>
      <c r="K341" s="117">
        <f t="shared" si="29"/>
        <v>0</v>
      </c>
      <c r="L341" s="118">
        <f>VLOOKUP(B341,'All Menu'!B:G,6,0)</f>
        <v>2.3706896551724141</v>
      </c>
      <c r="M341" s="118">
        <f t="shared" si="30"/>
        <v>0</v>
      </c>
      <c r="N341" s="151">
        <f ca="1">VLOOKUP(B341,'All Menu'!B:H,7,0)</f>
        <v>23</v>
      </c>
    </row>
    <row r="342" spans="1:14" s="158" customFormat="1" ht="14.5">
      <c r="A342" s="157" t="s">
        <v>2021</v>
      </c>
      <c r="B342" s="169" t="s">
        <v>1136</v>
      </c>
      <c r="C342" s="158" t="s">
        <v>1680</v>
      </c>
      <c r="D342" s="115" t="str">
        <f>VLOOKUP(B342,'All Menu'!B:D,3,0)</f>
        <v>المشاوي سفري2</v>
      </c>
      <c r="E342" s="116">
        <f t="shared" si="27"/>
        <v>1.9396551724137931</v>
      </c>
      <c r="F342" s="160">
        <v>35</v>
      </c>
      <c r="G342" s="161">
        <v>67.887931034482762</v>
      </c>
      <c r="H342" s="115">
        <f>VLOOKUP(B342,'All Menu'!B:J,9,0)</f>
        <v>1.1636090242685133</v>
      </c>
      <c r="I342" s="120">
        <f>VLOOKUP(B342,'All Menu'!B:M,12,0)</f>
        <v>0.4000949030437887</v>
      </c>
      <c r="J342" s="114">
        <f t="shared" si="28"/>
        <v>67.887931034482762</v>
      </c>
      <c r="K342" s="117">
        <f t="shared" si="29"/>
        <v>0</v>
      </c>
      <c r="L342" s="118">
        <f>VLOOKUP(B342,'All Menu'!B:G,6,0)</f>
        <v>1.9396551724137931</v>
      </c>
      <c r="M342" s="118">
        <f t="shared" si="30"/>
        <v>0</v>
      </c>
      <c r="N342" s="151">
        <f ca="1">VLOOKUP(B342,'All Menu'!B:H,7,0)</f>
        <v>65</v>
      </c>
    </row>
    <row r="343" spans="1:14" s="158" customFormat="1" ht="14.5">
      <c r="A343" s="157" t="s">
        <v>2021</v>
      </c>
      <c r="B343" s="169" t="s">
        <v>1137</v>
      </c>
      <c r="C343" s="158" t="s">
        <v>1420</v>
      </c>
      <c r="D343" s="115" t="str">
        <f>VLOOKUP(B343,'All Menu'!B:D,3,0)</f>
        <v>المشاوي سفري2</v>
      </c>
      <c r="E343" s="116">
        <f t="shared" si="27"/>
        <v>1.7241379310344831</v>
      </c>
      <c r="F343" s="160">
        <v>11</v>
      </c>
      <c r="G343" s="161">
        <v>18.965517241379313</v>
      </c>
      <c r="H343" s="115">
        <f>VLOOKUP(B343,'All Menu'!B:J,9,0)</f>
        <v>0.5</v>
      </c>
      <c r="I343" s="120">
        <f>VLOOKUP(B343,'All Menu'!B:M,12,0)</f>
        <v>0.71</v>
      </c>
      <c r="J343" s="114">
        <f t="shared" si="28"/>
        <v>18.965517241379313</v>
      </c>
      <c r="K343" s="117">
        <f t="shared" si="29"/>
        <v>0</v>
      </c>
      <c r="L343" s="118">
        <f>VLOOKUP(B343,'All Menu'!B:G,6,0)</f>
        <v>1.7241379310344829</v>
      </c>
      <c r="M343" s="118">
        <f t="shared" si="30"/>
        <v>0</v>
      </c>
      <c r="N343" s="151">
        <f ca="1">VLOOKUP(B343,'All Menu'!B:H,7,0)</f>
        <v>14.003</v>
      </c>
    </row>
    <row r="344" spans="1:14" s="158" customFormat="1" ht="14.5">
      <c r="A344" s="157" t="s">
        <v>2021</v>
      </c>
      <c r="B344" s="169" t="s">
        <v>1139</v>
      </c>
      <c r="C344" s="158" t="s">
        <v>1676</v>
      </c>
      <c r="D344" s="115" t="str">
        <f>VLOOKUP(B344,'All Menu'!B:D,3,0)</f>
        <v>المشاوي سفري2</v>
      </c>
      <c r="E344" s="116">
        <f t="shared" si="27"/>
        <v>1.2931034482758621</v>
      </c>
      <c r="F344" s="160">
        <v>2</v>
      </c>
      <c r="G344" s="161">
        <v>2.5862068965517242</v>
      </c>
      <c r="H344" s="115">
        <f>VLOOKUP(B344,'All Menu'!B:J,9,0)</f>
        <v>0.70000000000000007</v>
      </c>
      <c r="I344" s="120">
        <f>VLOOKUP(B344,'All Menu'!B:M,12,0)</f>
        <v>0.45866666666666661</v>
      </c>
      <c r="J344" s="114">
        <f t="shared" si="28"/>
        <v>2.5862068965517242</v>
      </c>
      <c r="K344" s="117">
        <f t="shared" si="29"/>
        <v>0</v>
      </c>
      <c r="L344" s="118">
        <f>VLOOKUP(B344,'All Menu'!B:G,6,0)</f>
        <v>1.2931034482758621</v>
      </c>
      <c r="M344" s="118">
        <f t="shared" si="30"/>
        <v>0</v>
      </c>
      <c r="N344" s="151">
        <f ca="1">VLOOKUP(B344,'All Menu'!B:H,7,0)</f>
        <v>4</v>
      </c>
    </row>
    <row r="345" spans="1:14" s="158" customFormat="1" ht="14.5">
      <c r="A345" s="157" t="s">
        <v>2021</v>
      </c>
      <c r="B345" s="169" t="s">
        <v>1141</v>
      </c>
      <c r="C345" s="158" t="s">
        <v>1677</v>
      </c>
      <c r="D345" s="115" t="str">
        <f>VLOOKUP(B345,'All Menu'!B:D,3,0)</f>
        <v>المشاوي سفري2</v>
      </c>
      <c r="E345" s="116">
        <f t="shared" si="27"/>
        <v>0.64655172413793105</v>
      </c>
      <c r="F345" s="160">
        <v>1</v>
      </c>
      <c r="G345" s="161">
        <v>0.64655172413793105</v>
      </c>
      <c r="H345" s="115">
        <f>VLOOKUP(B345,'All Menu'!B:J,9,0)</f>
        <v>0.11697</v>
      </c>
      <c r="I345" s="120">
        <f>VLOOKUP(B345,'All Menu'!B:M,12,0)</f>
        <v>0.81908639999999999</v>
      </c>
      <c r="J345" s="114">
        <f t="shared" si="28"/>
        <v>0.64655172413793105</v>
      </c>
      <c r="K345" s="117">
        <f t="shared" si="29"/>
        <v>0</v>
      </c>
      <c r="L345" s="118">
        <f>VLOOKUP(B345,'All Menu'!B:G,6,0)</f>
        <v>0.64655172413793105</v>
      </c>
      <c r="M345" s="118">
        <f t="shared" si="30"/>
        <v>0</v>
      </c>
      <c r="N345" s="151">
        <f ca="1">VLOOKUP(B345,'All Menu'!B:H,7,0)</f>
        <v>2.5009999999999999</v>
      </c>
    </row>
    <row r="346" spans="1:14" s="158" customFormat="1" ht="14.5">
      <c r="A346" s="157" t="s">
        <v>2021</v>
      </c>
      <c r="B346" s="169" t="s">
        <v>1140</v>
      </c>
      <c r="C346" s="158" t="s">
        <v>1678</v>
      </c>
      <c r="D346" s="115" t="str">
        <f>VLOOKUP(B346,'All Menu'!B:D,3,0)</f>
        <v>المشاوي سفري2</v>
      </c>
      <c r="E346" s="116">
        <f t="shared" si="27"/>
        <v>0.64655172413793105</v>
      </c>
      <c r="F346" s="160">
        <v>3</v>
      </c>
      <c r="G346" s="161">
        <v>1.9396551724137931</v>
      </c>
      <c r="H346" s="115">
        <f>VLOOKUP(B346,'All Menu'!B:J,9,0)</f>
        <v>0.11097000000000001</v>
      </c>
      <c r="I346" s="120">
        <f>VLOOKUP(B346,'All Menu'!B:M,12,0)</f>
        <v>0.82836639999999995</v>
      </c>
      <c r="J346" s="114">
        <f t="shared" si="28"/>
        <v>1.9396551724137931</v>
      </c>
      <c r="K346" s="117">
        <f t="shared" si="29"/>
        <v>0</v>
      </c>
      <c r="L346" s="118">
        <f>VLOOKUP(B346,'All Menu'!B:G,6,0)</f>
        <v>0.64655172413793105</v>
      </c>
      <c r="M346" s="118">
        <f t="shared" si="30"/>
        <v>0</v>
      </c>
      <c r="N346" s="151">
        <f ca="1">VLOOKUP(B346,'All Menu'!B:H,7,0)</f>
        <v>17.5</v>
      </c>
    </row>
    <row r="347" spans="1:14" s="158" customFormat="1" ht="14.5">
      <c r="A347" s="157" t="s">
        <v>2021</v>
      </c>
      <c r="B347" s="169" t="s">
        <v>1181</v>
      </c>
      <c r="C347" s="158" t="s">
        <v>531</v>
      </c>
      <c r="D347" s="115" t="str">
        <f>VLOOKUP(B347,'All Menu'!B:D,3,0)</f>
        <v>المشاوي سفري2</v>
      </c>
      <c r="E347" s="116">
        <f t="shared" si="27"/>
        <v>8.5487472091292496E-2</v>
      </c>
      <c r="F347" s="160">
        <v>139</v>
      </c>
      <c r="G347" s="161">
        <v>11.882758620689657</v>
      </c>
      <c r="H347" s="115">
        <f>VLOOKUP(B347,'All Menu'!B:J,9,0)</f>
        <v>1.8806451612903227E-2</v>
      </c>
      <c r="I347" s="120">
        <f>VLOOKUP(B347,'All Menu'!B:M,12,0)</f>
        <v>0.78184516129032255</v>
      </c>
      <c r="J347" s="114">
        <f t="shared" ref="J347:J410" si="31">F347*L347</f>
        <v>11.982758620689657</v>
      </c>
      <c r="K347" s="117">
        <f t="shared" ref="K347:K410" si="32">G347-J347</f>
        <v>-9.9999999999999645E-2</v>
      </c>
      <c r="L347" s="118">
        <f>VLOOKUP(B347,'All Menu'!B:G,6,0)</f>
        <v>8.6206896551724144E-2</v>
      </c>
      <c r="M347" s="118">
        <f t="shared" ref="M347:M410" si="33">E347-L347</f>
        <v>-7.1942446043164743E-4</v>
      </c>
      <c r="N347" s="151">
        <f ca="1">VLOOKUP(B347,'All Menu'!B:H,7,0)</f>
        <v>166</v>
      </c>
    </row>
    <row r="348" spans="1:14" s="158" customFormat="1" ht="14.5">
      <c r="A348" s="157" t="s">
        <v>2021</v>
      </c>
      <c r="B348" s="169" t="s">
        <v>1207</v>
      </c>
      <c r="C348" s="158" t="s">
        <v>1416</v>
      </c>
      <c r="D348" s="115" t="str">
        <f>VLOOKUP(B348,'All Menu'!B:D,3,0)</f>
        <v>المشاوي سفري2</v>
      </c>
      <c r="E348" s="116">
        <f t="shared" si="27"/>
        <v>2.5862068965517242</v>
      </c>
      <c r="F348" s="160">
        <v>1</v>
      </c>
      <c r="G348" s="161">
        <v>2.5862068965517242</v>
      </c>
      <c r="H348" s="115">
        <f>VLOOKUP(B348,'All Menu'!B:J,9,0)</f>
        <v>0.97973570949744626</v>
      </c>
      <c r="I348" s="120">
        <f>VLOOKUP(B348,'All Menu'!B:M,12,0)</f>
        <v>0.62116885899432073</v>
      </c>
      <c r="J348" s="114">
        <f t="shared" si="31"/>
        <v>2.5862068965517242</v>
      </c>
      <c r="K348" s="117">
        <f t="shared" si="32"/>
        <v>0</v>
      </c>
      <c r="L348" s="118">
        <f>VLOOKUP(B348,'All Menu'!B:G,6,0)</f>
        <v>2.5862068965517242</v>
      </c>
      <c r="M348" s="118">
        <f t="shared" si="33"/>
        <v>0</v>
      </c>
      <c r="N348" s="151">
        <f ca="1">VLOOKUP(B348,'All Menu'!B:H,7,0)</f>
        <v>15</v>
      </c>
    </row>
    <row r="349" spans="1:14" s="158" customFormat="1" ht="14.5">
      <c r="A349" s="157" t="s">
        <v>2021</v>
      </c>
      <c r="B349" s="169" t="s">
        <v>1208</v>
      </c>
      <c r="C349" s="158" t="s">
        <v>1772</v>
      </c>
      <c r="D349" s="115" t="str">
        <f>VLOOKUP(B349,'All Menu'!B:D,3,0)</f>
        <v>المشاوي سفري2</v>
      </c>
      <c r="E349" s="116">
        <f t="shared" si="27"/>
        <v>2.8017241379310347</v>
      </c>
      <c r="F349" s="160">
        <v>2</v>
      </c>
      <c r="G349" s="161">
        <v>5.6034482758620694</v>
      </c>
      <c r="H349" s="115">
        <f>VLOOKUP(B349,'All Menu'!B:J,9,0)</f>
        <v>1.5244993528768931</v>
      </c>
      <c r="I349" s="120">
        <f>VLOOKUP(B349,'All Menu'!B:M,12,0)</f>
        <v>0.45587100020393972</v>
      </c>
      <c r="J349" s="114">
        <f t="shared" si="31"/>
        <v>5.6034482758620694</v>
      </c>
      <c r="K349" s="117">
        <f t="shared" si="32"/>
        <v>0</v>
      </c>
      <c r="L349" s="118">
        <f>VLOOKUP(B349,'All Menu'!B:G,6,0)</f>
        <v>2.8017241379310347</v>
      </c>
      <c r="M349" s="118">
        <f t="shared" si="33"/>
        <v>0</v>
      </c>
      <c r="N349" s="151">
        <f ca="1">VLOOKUP(B349,'All Menu'!B:H,7,0)</f>
        <v>9</v>
      </c>
    </row>
    <row r="350" spans="1:14" s="158" customFormat="1" ht="14.5">
      <c r="A350" s="157" t="s">
        <v>2021</v>
      </c>
      <c r="B350" s="169" t="s">
        <v>1275</v>
      </c>
      <c r="C350" s="158" t="s">
        <v>1773</v>
      </c>
      <c r="D350" s="115" t="str">
        <f>VLOOKUP(B350,'All Menu'!B:D,3,0)</f>
        <v>المشاوي سفري2</v>
      </c>
      <c r="E350" s="116">
        <f t="shared" si="27"/>
        <v>0.12931034482758622</v>
      </c>
      <c r="F350" s="160">
        <v>5</v>
      </c>
      <c r="G350" s="161">
        <v>0.64655172413793105</v>
      </c>
      <c r="H350" s="115">
        <f>VLOOKUP(B350,'All Menu'!B:J,9,0)</f>
        <v>3.9698754838709674E-2</v>
      </c>
      <c r="I350" s="120">
        <f>VLOOKUP(B350,'All Menu'!B:M,12,0)</f>
        <v>0.69299629591397849</v>
      </c>
      <c r="J350" s="114">
        <f t="shared" si="31"/>
        <v>0.64655172413793105</v>
      </c>
      <c r="K350" s="117">
        <f t="shared" si="32"/>
        <v>0</v>
      </c>
      <c r="L350" s="118">
        <f>VLOOKUP(B350,'All Menu'!B:G,6,0)</f>
        <v>0.12931034482758622</v>
      </c>
      <c r="M350" s="118">
        <f t="shared" si="33"/>
        <v>0</v>
      </c>
      <c r="N350" s="151">
        <f ca="1">VLOOKUP(B350,'All Menu'!B:H,7,0)</f>
        <v>18</v>
      </c>
    </row>
    <row r="351" spans="1:14" s="158" customFormat="1" ht="14.5">
      <c r="A351" s="157" t="s">
        <v>2021</v>
      </c>
      <c r="B351" s="169" t="s">
        <v>1069</v>
      </c>
      <c r="C351" s="158" t="s">
        <v>1447</v>
      </c>
      <c r="D351" s="115" t="str">
        <f>VLOOKUP(B351,'All Menu'!B:D,3,0)</f>
        <v>المقبلات سفري</v>
      </c>
      <c r="E351" s="116">
        <f t="shared" si="27"/>
        <v>5.1724137931034484</v>
      </c>
      <c r="F351" s="160">
        <v>35</v>
      </c>
      <c r="G351" s="161">
        <v>181.0344827586207</v>
      </c>
      <c r="H351" s="115">
        <f>VLOOKUP(B351,'All Menu'!B:J,9,0)</f>
        <v>2.1146906785521877</v>
      </c>
      <c r="I351" s="120">
        <f>VLOOKUP(B351,'All Menu'!B:M,12,0)</f>
        <v>0.59115980214657704</v>
      </c>
      <c r="J351" s="114">
        <f t="shared" si="31"/>
        <v>181.0344827586207</v>
      </c>
      <c r="K351" s="117">
        <f t="shared" si="32"/>
        <v>0</v>
      </c>
      <c r="L351" s="118">
        <f>VLOOKUP(B351,'All Menu'!B:G,6,0)</f>
        <v>5.1724137931034484</v>
      </c>
      <c r="M351" s="118">
        <f t="shared" si="33"/>
        <v>0</v>
      </c>
      <c r="N351" s="151">
        <f ca="1">VLOOKUP(B351,'All Menu'!B:H,7,0)</f>
        <v>65</v>
      </c>
    </row>
    <row r="352" spans="1:14" s="158" customFormat="1" ht="14.5">
      <c r="A352" s="157" t="s">
        <v>2021</v>
      </c>
      <c r="B352" s="169" t="s">
        <v>892</v>
      </c>
      <c r="C352" s="158" t="s">
        <v>1449</v>
      </c>
      <c r="D352" s="115" t="str">
        <f>VLOOKUP(B352,'All Menu'!B:D,3,0)</f>
        <v>المقبلات سفري</v>
      </c>
      <c r="E352" s="116">
        <f t="shared" si="27"/>
        <v>2.5862068965517242</v>
      </c>
      <c r="F352" s="160">
        <v>70</v>
      </c>
      <c r="G352" s="161">
        <v>181.0344827586207</v>
      </c>
      <c r="H352" s="115">
        <f>VLOOKUP(B352,'All Menu'!B:J,9,0)</f>
        <v>0.47319357762056669</v>
      </c>
      <c r="I352" s="120">
        <f>VLOOKUP(B352,'All Menu'!B:M,12,0)</f>
        <v>0.81703181665338087</v>
      </c>
      <c r="J352" s="114">
        <f t="shared" si="31"/>
        <v>181.0344827586207</v>
      </c>
      <c r="K352" s="117">
        <f t="shared" si="32"/>
        <v>0</v>
      </c>
      <c r="L352" s="118">
        <f>VLOOKUP(B352,'All Menu'!B:G,6,0)</f>
        <v>2.5862068965517242</v>
      </c>
      <c r="M352" s="118">
        <f t="shared" si="33"/>
        <v>0</v>
      </c>
      <c r="N352" s="151">
        <f ca="1">VLOOKUP(B352,'All Menu'!B:H,7,0)</f>
        <v>147.001</v>
      </c>
    </row>
    <row r="353" spans="1:14" s="158" customFormat="1" ht="14.5">
      <c r="A353" s="157" t="s">
        <v>2021</v>
      </c>
      <c r="B353" s="169" t="s">
        <v>898</v>
      </c>
      <c r="C353" s="158" t="s">
        <v>571</v>
      </c>
      <c r="D353" s="115" t="str">
        <f>VLOOKUP(B353,'All Menu'!B:D,3,0)</f>
        <v>المقبلات سفري</v>
      </c>
      <c r="E353" s="116">
        <f t="shared" si="27"/>
        <v>1.7106244175209693</v>
      </c>
      <c r="F353" s="160">
        <v>74</v>
      </c>
      <c r="G353" s="161">
        <v>126.58620689655173</v>
      </c>
      <c r="H353" s="115">
        <f>VLOOKUP(B353,'All Menu'!B:J,9,0)</f>
        <v>0.32659275311949881</v>
      </c>
      <c r="I353" s="120">
        <f>VLOOKUP(B353,'All Menu'!B:M,12,0)</f>
        <v>0.81057620319069068</v>
      </c>
      <c r="J353" s="114">
        <f t="shared" si="31"/>
        <v>127.58620689655173</v>
      </c>
      <c r="K353" s="117">
        <f t="shared" si="32"/>
        <v>-1</v>
      </c>
      <c r="L353" s="118">
        <f>VLOOKUP(B353,'All Menu'!B:G,6,0)</f>
        <v>1.7241379310344829</v>
      </c>
      <c r="M353" s="118">
        <f t="shared" si="33"/>
        <v>-1.3513513513513598E-2</v>
      </c>
      <c r="N353" s="151">
        <f ca="1">VLOOKUP(B353,'All Menu'!B:H,7,0)</f>
        <v>122</v>
      </c>
    </row>
    <row r="354" spans="1:14" s="158" customFormat="1" ht="14.5">
      <c r="A354" s="157" t="s">
        <v>2021</v>
      </c>
      <c r="B354" s="169" t="s">
        <v>891</v>
      </c>
      <c r="C354" s="158" t="s">
        <v>515</v>
      </c>
      <c r="D354" s="115" t="str">
        <f>VLOOKUP(B354,'All Menu'!B:D,3,0)</f>
        <v>المقبلات سفري</v>
      </c>
      <c r="E354" s="116">
        <f t="shared" si="27"/>
        <v>1.712233169129721</v>
      </c>
      <c r="F354" s="160">
        <v>84</v>
      </c>
      <c r="G354" s="161">
        <v>143.82758620689657</v>
      </c>
      <c r="H354" s="115">
        <f>VLOOKUP(B354,'All Menu'!B:J,9,0)</f>
        <v>0.32280166723763842</v>
      </c>
      <c r="I354" s="120">
        <f>VLOOKUP(B354,'All Menu'!B:M,12,0)</f>
        <v>0.8127750330021698</v>
      </c>
      <c r="J354" s="114">
        <f t="shared" si="31"/>
        <v>144.82758620689657</v>
      </c>
      <c r="K354" s="117">
        <f t="shared" si="32"/>
        <v>-1</v>
      </c>
      <c r="L354" s="118">
        <f>VLOOKUP(B354,'All Menu'!B:G,6,0)</f>
        <v>1.7241379310344829</v>
      </c>
      <c r="M354" s="118">
        <f t="shared" si="33"/>
        <v>-1.1904761904761862E-2</v>
      </c>
      <c r="N354" s="151">
        <f ca="1">VLOOKUP(B354,'All Menu'!B:H,7,0)</f>
        <v>222.00020000000001</v>
      </c>
    </row>
    <row r="355" spans="1:14" s="158" customFormat="1" ht="14.5">
      <c r="A355" s="157" t="s">
        <v>2021</v>
      </c>
      <c r="B355" s="169" t="s">
        <v>896</v>
      </c>
      <c r="C355" s="158" t="s">
        <v>517</v>
      </c>
      <c r="D355" s="115" t="str">
        <f>VLOOKUP(B355,'All Menu'!B:D,3,0)</f>
        <v>المقبلات سفري</v>
      </c>
      <c r="E355" s="116">
        <f t="shared" si="27"/>
        <v>2.1551724137931036</v>
      </c>
      <c r="F355" s="160">
        <v>1</v>
      </c>
      <c r="G355" s="161">
        <v>2.1551724137931036</v>
      </c>
      <c r="H355" s="115">
        <f>VLOOKUP(B355,'All Menu'!B:J,9,0)</f>
        <v>0.25284042461005196</v>
      </c>
      <c r="I355" s="120">
        <f>VLOOKUP(B355,'All Menu'!B:M,12,0)</f>
        <v>0.88268204298093589</v>
      </c>
      <c r="J355" s="114">
        <f t="shared" si="31"/>
        <v>2.1551724137931036</v>
      </c>
      <c r="K355" s="117">
        <f t="shared" si="32"/>
        <v>0</v>
      </c>
      <c r="L355" s="118">
        <f>VLOOKUP(B355,'All Menu'!B:G,6,0)</f>
        <v>2.1551724137931036</v>
      </c>
      <c r="M355" s="118">
        <f t="shared" si="33"/>
        <v>0</v>
      </c>
      <c r="N355" s="151">
        <f ca="1">VLOOKUP(B355,'All Menu'!B:H,7,0)</f>
        <v>1</v>
      </c>
    </row>
    <row r="356" spans="1:14" s="158" customFormat="1" ht="14.5">
      <c r="A356" s="157" t="s">
        <v>2021</v>
      </c>
      <c r="B356" s="169" t="s">
        <v>895</v>
      </c>
      <c r="C356" s="158" t="s">
        <v>489</v>
      </c>
      <c r="D356" s="115" t="str">
        <f>VLOOKUP(B356,'All Menu'!B:D,3,0)</f>
        <v>المقبلات سفري</v>
      </c>
      <c r="E356" s="116">
        <f t="shared" si="27"/>
        <v>1.7241379310344831</v>
      </c>
      <c r="F356" s="160">
        <v>121</v>
      </c>
      <c r="G356" s="161">
        <v>208.62068965517244</v>
      </c>
      <c r="H356" s="115">
        <f>VLOOKUP(B356,'All Menu'!B:J,9,0)</f>
        <v>0.37273836559139784</v>
      </c>
      <c r="I356" s="120">
        <f>VLOOKUP(B356,'All Menu'!B:M,12,0)</f>
        <v>0.78381174795698927</v>
      </c>
      <c r="J356" s="114">
        <f t="shared" si="31"/>
        <v>208.62068965517244</v>
      </c>
      <c r="K356" s="117">
        <f t="shared" si="32"/>
        <v>0</v>
      </c>
      <c r="L356" s="118">
        <f>VLOOKUP(B356,'All Menu'!B:G,6,0)</f>
        <v>1.7241379310344829</v>
      </c>
      <c r="M356" s="118">
        <f t="shared" si="33"/>
        <v>0</v>
      </c>
      <c r="N356" s="151">
        <f ca="1">VLOOKUP(B356,'All Menu'!B:H,7,0)</f>
        <v>350</v>
      </c>
    </row>
    <row r="357" spans="1:14" s="158" customFormat="1" ht="14.5">
      <c r="A357" s="157" t="s">
        <v>2021</v>
      </c>
      <c r="B357" s="169" t="s">
        <v>887</v>
      </c>
      <c r="C357" s="158" t="s">
        <v>567</v>
      </c>
      <c r="D357" s="115" t="str">
        <f>VLOOKUP(B357,'All Menu'!B:D,3,0)</f>
        <v>المقبلات سفري</v>
      </c>
      <c r="E357" s="116">
        <f t="shared" si="27"/>
        <v>1.2931034482758621</v>
      </c>
      <c r="F357" s="160">
        <v>22</v>
      </c>
      <c r="G357" s="161">
        <v>28.448275862068968</v>
      </c>
      <c r="H357" s="115">
        <f>VLOOKUP(B357,'All Menu'!B:J,9,0)</f>
        <v>0.6310778979497047</v>
      </c>
      <c r="I357" s="120">
        <f>VLOOKUP(B357,'All Menu'!B:M,12,0)</f>
        <v>0.51196642558556171</v>
      </c>
      <c r="J357" s="114">
        <f t="shared" si="31"/>
        <v>28.448275862068968</v>
      </c>
      <c r="K357" s="117">
        <f t="shared" si="32"/>
        <v>0</v>
      </c>
      <c r="L357" s="118">
        <f>VLOOKUP(B357,'All Menu'!B:G,6,0)</f>
        <v>1.2931034482758621</v>
      </c>
      <c r="M357" s="118">
        <f t="shared" si="33"/>
        <v>0</v>
      </c>
      <c r="N357" s="151">
        <f ca="1">VLOOKUP(B357,'All Menu'!B:H,7,0)</f>
        <v>91.710000000000008</v>
      </c>
    </row>
    <row r="358" spans="1:14" s="158" customFormat="1" ht="14.5">
      <c r="A358" s="157" t="s">
        <v>2021</v>
      </c>
      <c r="B358" s="169" t="s">
        <v>1179</v>
      </c>
      <c r="C358" s="158" t="s">
        <v>579</v>
      </c>
      <c r="D358" s="115" t="str">
        <f>VLOOKUP(B358,'All Menu'!B:D,3,0)</f>
        <v>المقبلات سفري</v>
      </c>
      <c r="E358" s="116">
        <f t="shared" ref="E358:E421" si="34">G358/F358</f>
        <v>0.21551724137931039</v>
      </c>
      <c r="F358" s="160">
        <v>121</v>
      </c>
      <c r="G358" s="161">
        <v>26.077586206896555</v>
      </c>
      <c r="H358" s="115">
        <f>VLOOKUP(B358,'All Menu'!B:J,9,0)</f>
        <v>6.0440000000000001E-2</v>
      </c>
      <c r="I358" s="120">
        <f>VLOOKUP(B358,'All Menu'!B:M,12,0)</f>
        <v>0.71955840000000004</v>
      </c>
      <c r="J358" s="114">
        <f t="shared" si="31"/>
        <v>26.077586206896555</v>
      </c>
      <c r="K358" s="117">
        <f t="shared" si="32"/>
        <v>0</v>
      </c>
      <c r="L358" s="118">
        <f>VLOOKUP(B358,'All Menu'!B:G,6,0)</f>
        <v>0.21551724137931036</v>
      </c>
      <c r="M358" s="118">
        <f t="shared" si="33"/>
        <v>0</v>
      </c>
      <c r="N358" s="151">
        <f ca="1">VLOOKUP(B358,'All Menu'!B:H,7,0)</f>
        <v>330.22</v>
      </c>
    </row>
    <row r="359" spans="1:14" s="158" customFormat="1" ht="14.5">
      <c r="A359" s="157" t="s">
        <v>2021</v>
      </c>
      <c r="B359" s="169" t="s">
        <v>1100</v>
      </c>
      <c r="C359" s="158" t="s">
        <v>1781</v>
      </c>
      <c r="D359" s="115" t="str">
        <f>VLOOKUP(B359,'All Menu'!B:D,3,0)</f>
        <v>المقبلات سفري</v>
      </c>
      <c r="E359" s="116">
        <f t="shared" si="34"/>
        <v>0.64655172413793105</v>
      </c>
      <c r="F359" s="160">
        <v>105</v>
      </c>
      <c r="G359" s="161">
        <v>67.887931034482762</v>
      </c>
      <c r="H359" s="115">
        <f>VLOOKUP(B359,'All Menu'!B:J,9,0)</f>
        <v>0.11478613834173157</v>
      </c>
      <c r="I359" s="120">
        <f>VLOOKUP(B359,'All Menu'!B:M,12,0)</f>
        <v>0.82246410603145514</v>
      </c>
      <c r="J359" s="114">
        <f t="shared" si="31"/>
        <v>67.887931034482762</v>
      </c>
      <c r="K359" s="117">
        <f t="shared" si="32"/>
        <v>0</v>
      </c>
      <c r="L359" s="118">
        <f>VLOOKUP(B359,'All Menu'!B:G,6,0)</f>
        <v>0.64655172413793105</v>
      </c>
      <c r="M359" s="118">
        <f t="shared" si="33"/>
        <v>0</v>
      </c>
      <c r="N359" s="151">
        <f ca="1">VLOOKUP(B359,'All Menu'!B:H,7,0)</f>
        <v>168.001</v>
      </c>
    </row>
    <row r="360" spans="1:14" s="158" customFormat="1" ht="14.5">
      <c r="A360" s="157" t="s">
        <v>2021</v>
      </c>
      <c r="B360" s="169" t="s">
        <v>1018</v>
      </c>
      <c r="C360" s="158" t="s">
        <v>1782</v>
      </c>
      <c r="D360" s="115" t="str">
        <f>VLOOKUP(B360,'All Menu'!B:D,3,0)</f>
        <v>المقبلات سفري</v>
      </c>
      <c r="E360" s="116">
        <f t="shared" si="34"/>
        <v>0.34482758620689657</v>
      </c>
      <c r="F360" s="160">
        <v>117.7</v>
      </c>
      <c r="G360" s="161">
        <v>40.58620689655173</v>
      </c>
      <c r="H360" s="115">
        <f>VLOOKUP(B360,'All Menu'!B:J,9,0)</f>
        <v>0.16</v>
      </c>
      <c r="I360" s="120">
        <f>VLOOKUP(B360,'All Menu'!B:M,12,0)</f>
        <v>0.53600000000000003</v>
      </c>
      <c r="J360" s="114">
        <f t="shared" si="31"/>
        <v>40.58620689655173</v>
      </c>
      <c r="K360" s="117">
        <f t="shared" si="32"/>
        <v>0</v>
      </c>
      <c r="L360" s="118">
        <f>VLOOKUP(B360,'All Menu'!B:G,6,0)</f>
        <v>0.34482758620689657</v>
      </c>
      <c r="M360" s="118">
        <f t="shared" si="33"/>
        <v>0</v>
      </c>
      <c r="N360" s="151">
        <f ca="1">VLOOKUP(B360,'All Menu'!B:H,7,0)</f>
        <v>324.39999999999998</v>
      </c>
    </row>
    <row r="361" spans="1:14" s="158" customFormat="1" ht="14.5">
      <c r="A361" s="157" t="s">
        <v>2021</v>
      </c>
      <c r="B361" s="169" t="s">
        <v>1083</v>
      </c>
      <c r="C361" s="158" t="s">
        <v>1452</v>
      </c>
      <c r="D361" s="115" t="str">
        <f>VLOOKUP(B361,'All Menu'!B:D,3,0)</f>
        <v>المقبلات سفري</v>
      </c>
      <c r="E361" s="116">
        <f t="shared" si="34"/>
        <v>0.34482758620689657</v>
      </c>
      <c r="F361" s="160">
        <v>13</v>
      </c>
      <c r="G361" s="161">
        <v>4.4827586206896557</v>
      </c>
      <c r="H361" s="115">
        <f>VLOOKUP(B361,'All Menu'!B:J,9,0)</f>
        <v>0.12825673611111113</v>
      </c>
      <c r="I361" s="120">
        <f>VLOOKUP(B361,'All Menu'!B:M,12,0)</f>
        <v>0.62805546527777778</v>
      </c>
      <c r="J361" s="114">
        <f t="shared" si="31"/>
        <v>4.4827586206896557</v>
      </c>
      <c r="K361" s="117">
        <f t="shared" si="32"/>
        <v>0</v>
      </c>
      <c r="L361" s="118">
        <f>VLOOKUP(B361,'All Menu'!B:G,6,0)</f>
        <v>0.34482758620689657</v>
      </c>
      <c r="M361" s="118">
        <f t="shared" si="33"/>
        <v>0</v>
      </c>
      <c r="N361" s="151">
        <f ca="1">VLOOKUP(B361,'All Menu'!B:H,7,0)</f>
        <v>39</v>
      </c>
    </row>
    <row r="362" spans="1:14" s="158" customFormat="1" ht="14.5">
      <c r="A362" s="157" t="s">
        <v>2021</v>
      </c>
      <c r="B362" s="169" t="s">
        <v>897</v>
      </c>
      <c r="C362" s="158" t="s">
        <v>573</v>
      </c>
      <c r="D362" s="115" t="str">
        <f>VLOOKUP(B362,'All Menu'!B:D,3,0)</f>
        <v>المقبلات سفري</v>
      </c>
      <c r="E362" s="116">
        <f t="shared" si="34"/>
        <v>1.0775862068965518</v>
      </c>
      <c r="F362" s="160">
        <v>233</v>
      </c>
      <c r="G362" s="161">
        <v>251.07758620689657</v>
      </c>
      <c r="H362" s="115">
        <f>VLOOKUP(B362,'All Menu'!B:J,9,0)</f>
        <v>0.56669403004883445</v>
      </c>
      <c r="I362" s="120">
        <f>VLOOKUP(B362,'All Menu'!B:M,12,0)</f>
        <v>0.47410794011468166</v>
      </c>
      <c r="J362" s="114">
        <f t="shared" si="31"/>
        <v>251.07758620689657</v>
      </c>
      <c r="K362" s="117">
        <f t="shared" si="32"/>
        <v>0</v>
      </c>
      <c r="L362" s="118">
        <f>VLOOKUP(B362,'All Menu'!B:G,6,0)</f>
        <v>1.0775862068965518</v>
      </c>
      <c r="M362" s="118">
        <f t="shared" si="33"/>
        <v>0</v>
      </c>
      <c r="N362" s="151">
        <f ca="1">VLOOKUP(B362,'All Menu'!B:H,7,0)</f>
        <v>670.00099999999998</v>
      </c>
    </row>
    <row r="363" spans="1:14" s="158" customFormat="1" ht="14.5">
      <c r="A363" s="157" t="s">
        <v>2021</v>
      </c>
      <c r="B363" s="169" t="s">
        <v>893</v>
      </c>
      <c r="C363" s="158" t="s">
        <v>569</v>
      </c>
      <c r="D363" s="115" t="str">
        <f>VLOOKUP(B363,'All Menu'!B:D,3,0)</f>
        <v>المقبلات سفري</v>
      </c>
      <c r="E363" s="116">
        <f t="shared" si="34"/>
        <v>0.64655172413793105</v>
      </c>
      <c r="F363" s="160">
        <v>406</v>
      </c>
      <c r="G363" s="161">
        <v>262.5</v>
      </c>
      <c r="H363" s="115">
        <f>VLOOKUP(B363,'All Menu'!B:J,9,0)</f>
        <v>0.74333047410526309</v>
      </c>
      <c r="I363" s="120">
        <f>VLOOKUP(B363,'All Menu'!B:M,12,0)</f>
        <v>-0.14968446661614024</v>
      </c>
      <c r="J363" s="114">
        <f t="shared" si="31"/>
        <v>262.5</v>
      </c>
      <c r="K363" s="117">
        <f t="shared" si="32"/>
        <v>0</v>
      </c>
      <c r="L363" s="118">
        <f>VLOOKUP(B363,'All Menu'!B:G,6,0)</f>
        <v>0.64655172413793105</v>
      </c>
      <c r="M363" s="118">
        <f t="shared" si="33"/>
        <v>0</v>
      </c>
      <c r="N363" s="151">
        <f ca="1">VLOOKUP(B363,'All Menu'!B:H,7,0)</f>
        <v>1510.3000999999999</v>
      </c>
    </row>
    <row r="364" spans="1:14" s="158" customFormat="1" ht="14.5">
      <c r="A364" s="157" t="s">
        <v>2021</v>
      </c>
      <c r="B364" s="169" t="s">
        <v>947</v>
      </c>
      <c r="C364" s="158" t="s">
        <v>1453</v>
      </c>
      <c r="D364" s="115" t="str">
        <f>VLOOKUP(B364,'All Menu'!B:D,3,0)</f>
        <v>المقبلات سفري</v>
      </c>
      <c r="E364" s="116">
        <f t="shared" si="34"/>
        <v>0.64655172413793105</v>
      </c>
      <c r="F364" s="160">
        <v>304</v>
      </c>
      <c r="G364" s="161">
        <v>196.55172413793105</v>
      </c>
      <c r="H364" s="115">
        <f>VLOOKUP(B364,'All Menu'!B:J,9,0)</f>
        <v>0.19348933333333332</v>
      </c>
      <c r="I364" s="120">
        <f>VLOOKUP(B364,'All Menu'!B:M,12,0)</f>
        <v>0.7007364977777778</v>
      </c>
      <c r="J364" s="114">
        <f t="shared" si="31"/>
        <v>196.55172413793105</v>
      </c>
      <c r="K364" s="117">
        <f t="shared" si="32"/>
        <v>0</v>
      </c>
      <c r="L364" s="118">
        <f>VLOOKUP(B364,'All Menu'!B:G,6,0)</f>
        <v>0.64655172413793105</v>
      </c>
      <c r="M364" s="118">
        <f t="shared" si="33"/>
        <v>0</v>
      </c>
      <c r="N364" s="151">
        <f ca="1">VLOOKUP(B364,'All Menu'!B:H,7,0)</f>
        <v>688.00009999999997</v>
      </c>
    </row>
    <row r="365" spans="1:14" s="158" customFormat="1" ht="14.5">
      <c r="A365" s="157" t="s">
        <v>2021</v>
      </c>
      <c r="B365" s="169" t="s">
        <v>969</v>
      </c>
      <c r="C365" s="158" t="s">
        <v>1454</v>
      </c>
      <c r="D365" s="115" t="str">
        <f>VLOOKUP(B365,'All Menu'!B:D,3,0)</f>
        <v>المقبلات سفري</v>
      </c>
      <c r="E365" s="116">
        <f t="shared" si="34"/>
        <v>0.86206896551724155</v>
      </c>
      <c r="F365" s="160">
        <v>185</v>
      </c>
      <c r="G365" s="161">
        <v>159.48275862068968</v>
      </c>
      <c r="H365" s="115">
        <f>VLOOKUP(B365,'All Menu'!B:J,9,0)</f>
        <v>0.19719300000000001</v>
      </c>
      <c r="I365" s="120">
        <f>VLOOKUP(B365,'All Menu'!B:M,12,0)</f>
        <v>0.77125611999999999</v>
      </c>
      <c r="J365" s="114">
        <f t="shared" si="31"/>
        <v>159.48275862068968</v>
      </c>
      <c r="K365" s="117">
        <f t="shared" si="32"/>
        <v>0</v>
      </c>
      <c r="L365" s="118">
        <f>VLOOKUP(B365,'All Menu'!B:G,6,0)</f>
        <v>0.86206896551724144</v>
      </c>
      <c r="M365" s="118">
        <f t="shared" si="33"/>
        <v>0</v>
      </c>
      <c r="N365" s="151">
        <f ca="1">VLOOKUP(B365,'All Menu'!B:H,7,0)</f>
        <v>564.5</v>
      </c>
    </row>
    <row r="366" spans="1:14" s="158" customFormat="1" ht="14.5">
      <c r="A366" s="157" t="s">
        <v>2021</v>
      </c>
      <c r="B366" s="169" t="s">
        <v>937</v>
      </c>
      <c r="C366" s="158" t="s">
        <v>1455</v>
      </c>
      <c r="D366" s="115" t="str">
        <f>VLOOKUP(B366,'All Menu'!B:D,3,0)</f>
        <v>المقبلات سفري</v>
      </c>
      <c r="E366" s="116">
        <f t="shared" si="34"/>
        <v>0.64655172413793105</v>
      </c>
      <c r="F366" s="160">
        <v>474</v>
      </c>
      <c r="G366" s="161">
        <v>306.4655172413793</v>
      </c>
      <c r="H366" s="115">
        <f>VLOOKUP(B366,'All Menu'!B:J,9,0)</f>
        <v>0.2584178695286195</v>
      </c>
      <c r="I366" s="120">
        <f>VLOOKUP(B366,'All Menu'!B:M,12,0)</f>
        <v>0.60031369512906851</v>
      </c>
      <c r="J366" s="114">
        <f t="shared" si="31"/>
        <v>306.4655172413793</v>
      </c>
      <c r="K366" s="117">
        <f t="shared" si="32"/>
        <v>0</v>
      </c>
      <c r="L366" s="118">
        <f>VLOOKUP(B366,'All Menu'!B:G,6,0)</f>
        <v>0.64655172413793105</v>
      </c>
      <c r="M366" s="118">
        <f t="shared" si="33"/>
        <v>0</v>
      </c>
      <c r="N366" s="151">
        <f ca="1">VLOOKUP(B366,'All Menu'!B:H,7,0)</f>
        <v>1726.0020999999999</v>
      </c>
    </row>
    <row r="367" spans="1:14" s="158" customFormat="1" ht="14.5">
      <c r="A367" s="157" t="s">
        <v>2021</v>
      </c>
      <c r="B367" s="169" t="s">
        <v>938</v>
      </c>
      <c r="C367" s="158" t="s">
        <v>1456</v>
      </c>
      <c r="D367" s="115" t="str">
        <f>VLOOKUP(B367,'All Menu'!B:D,3,0)</f>
        <v>المقبلات سفري</v>
      </c>
      <c r="E367" s="116">
        <f t="shared" si="34"/>
        <v>0.77586206896551735</v>
      </c>
      <c r="F367" s="160">
        <v>423</v>
      </c>
      <c r="G367" s="161">
        <v>328.18965517241384</v>
      </c>
      <c r="H367" s="115">
        <f>VLOOKUP(B367,'All Menu'!B:J,9,0)</f>
        <v>0.46852673828030816</v>
      </c>
      <c r="I367" s="120">
        <f>VLOOKUP(B367,'All Menu'!B:M,12,0)</f>
        <v>0.39612109288315844</v>
      </c>
      <c r="J367" s="114">
        <f t="shared" si="31"/>
        <v>328.18965517241384</v>
      </c>
      <c r="K367" s="117">
        <f t="shared" si="32"/>
        <v>0</v>
      </c>
      <c r="L367" s="118">
        <f>VLOOKUP(B367,'All Menu'!B:G,6,0)</f>
        <v>0.77586206896551735</v>
      </c>
      <c r="M367" s="118">
        <f t="shared" si="33"/>
        <v>0</v>
      </c>
      <c r="N367" s="151">
        <f ca="1">VLOOKUP(B367,'All Menu'!B:H,7,0)</f>
        <v>1139.001</v>
      </c>
    </row>
    <row r="368" spans="1:14" s="158" customFormat="1" ht="14.5">
      <c r="A368" s="157" t="s">
        <v>2021</v>
      </c>
      <c r="B368" s="169" t="s">
        <v>1047</v>
      </c>
      <c r="C368" s="158" t="s">
        <v>1457</v>
      </c>
      <c r="D368" s="115" t="str">
        <f>VLOOKUP(B368,'All Menu'!B:D,3,0)</f>
        <v>المقبلات سفري</v>
      </c>
      <c r="E368" s="116">
        <f t="shared" si="34"/>
        <v>0.21551724137931036</v>
      </c>
      <c r="F368" s="160">
        <v>17</v>
      </c>
      <c r="G368" s="161">
        <v>3.6637931034482762</v>
      </c>
      <c r="H368" s="115">
        <f>VLOOKUP(B368,'All Menu'!B:J,9,0)</f>
        <v>6.620838217338218E-2</v>
      </c>
      <c r="I368" s="120">
        <f>VLOOKUP(B368,'All Menu'!B:M,12,0)</f>
        <v>0.69279310671550676</v>
      </c>
      <c r="J368" s="114">
        <f t="shared" si="31"/>
        <v>3.6637931034482762</v>
      </c>
      <c r="K368" s="117">
        <f t="shared" si="32"/>
        <v>0</v>
      </c>
      <c r="L368" s="118">
        <f>VLOOKUP(B368,'All Menu'!B:G,6,0)</f>
        <v>0.21551724137931036</v>
      </c>
      <c r="M368" s="118">
        <f t="shared" si="33"/>
        <v>0</v>
      </c>
      <c r="N368" s="151">
        <f ca="1">VLOOKUP(B368,'All Menu'!B:H,7,0)</f>
        <v>197.03200000000001</v>
      </c>
    </row>
    <row r="369" spans="1:14" s="158" customFormat="1" ht="14.5">
      <c r="A369" s="157" t="s">
        <v>2021</v>
      </c>
      <c r="B369" s="169" t="s">
        <v>1048</v>
      </c>
      <c r="C369" s="158" t="s">
        <v>1458</v>
      </c>
      <c r="D369" s="115" t="str">
        <f>VLOOKUP(B369,'All Menu'!B:D,3,0)</f>
        <v>المقبلات سفري</v>
      </c>
      <c r="E369" s="116">
        <f t="shared" si="34"/>
        <v>0.21551724137931036</v>
      </c>
      <c r="F369" s="160">
        <v>5</v>
      </c>
      <c r="G369" s="161">
        <v>1.0775862068965518</v>
      </c>
      <c r="H369" s="115">
        <f>VLOOKUP(B369,'All Menu'!B:J,9,0)</f>
        <v>8.7399999999999992E-2</v>
      </c>
      <c r="I369" s="120">
        <f>VLOOKUP(B369,'All Menu'!B:M,12,0)</f>
        <v>0.59446399999999999</v>
      </c>
      <c r="J369" s="114">
        <f t="shared" si="31"/>
        <v>1.0775862068965518</v>
      </c>
      <c r="K369" s="117">
        <f t="shared" si="32"/>
        <v>0</v>
      </c>
      <c r="L369" s="118">
        <f>VLOOKUP(B369,'All Menu'!B:G,6,0)</f>
        <v>0.21551724137931036</v>
      </c>
      <c r="M369" s="118">
        <f t="shared" si="33"/>
        <v>0</v>
      </c>
      <c r="N369" s="151">
        <f ca="1">VLOOKUP(B369,'All Menu'!B:H,7,0)</f>
        <v>217</v>
      </c>
    </row>
    <row r="370" spans="1:14" s="158" customFormat="1" ht="14.5">
      <c r="A370" s="157" t="s">
        <v>2021</v>
      </c>
      <c r="B370" s="169" t="s">
        <v>1180</v>
      </c>
      <c r="C370" s="158" t="s">
        <v>1787</v>
      </c>
      <c r="D370" s="115" t="str">
        <f>VLOOKUP(B370,'All Menu'!B:D,3,0)</f>
        <v>المقبلات سفري</v>
      </c>
      <c r="E370" s="116">
        <f t="shared" si="34"/>
        <v>0.21551724137931036</v>
      </c>
      <c r="F370" s="160">
        <v>9</v>
      </c>
      <c r="G370" s="161">
        <v>1.9396551724137931</v>
      </c>
      <c r="H370" s="115">
        <f>VLOOKUP(B370,'All Menu'!B:J,9,0)</f>
        <v>8.0269227668346321E-2</v>
      </c>
      <c r="I370" s="120">
        <f>VLOOKUP(B370,'All Menu'!B:M,12,0)</f>
        <v>0.62755078361887306</v>
      </c>
      <c r="J370" s="114">
        <f t="shared" si="31"/>
        <v>1.9396551724137931</v>
      </c>
      <c r="K370" s="117">
        <f t="shared" si="32"/>
        <v>0</v>
      </c>
      <c r="L370" s="118">
        <f>VLOOKUP(B370,'All Menu'!B:G,6,0)</f>
        <v>0.21551724137931036</v>
      </c>
      <c r="M370" s="118">
        <f t="shared" si="33"/>
        <v>0</v>
      </c>
      <c r="N370" s="151">
        <f ca="1">VLOOKUP(B370,'All Menu'!B:H,7,0)</f>
        <v>23.001000000000001</v>
      </c>
    </row>
    <row r="371" spans="1:14" s="158" customFormat="1" ht="14.5">
      <c r="A371" s="157" t="s">
        <v>2021</v>
      </c>
      <c r="B371" s="169" t="s">
        <v>1221</v>
      </c>
      <c r="C371" s="158" t="s">
        <v>1785</v>
      </c>
      <c r="D371" s="115" t="str">
        <f>VLOOKUP(B371,'All Menu'!B:D,3,0)</f>
        <v>المقبلات سفري</v>
      </c>
      <c r="E371" s="116">
        <f t="shared" si="34"/>
        <v>0.21551724137931036</v>
      </c>
      <c r="F371" s="160">
        <v>5</v>
      </c>
      <c r="G371" s="161">
        <v>1.0775862068965518</v>
      </c>
      <c r="H371" s="115">
        <f>VLOOKUP(B371,'All Menu'!B:J,9,0)</f>
        <v>3.3079165310720644E-2</v>
      </c>
      <c r="I371" s="120">
        <f>VLOOKUP(B371,'All Menu'!B:M,12,0)</f>
        <v>0.84651267295825627</v>
      </c>
      <c r="J371" s="114">
        <f t="shared" si="31"/>
        <v>1.0775862068965518</v>
      </c>
      <c r="K371" s="117">
        <f t="shared" si="32"/>
        <v>0</v>
      </c>
      <c r="L371" s="118">
        <f>VLOOKUP(B371,'All Menu'!B:G,6,0)</f>
        <v>0.21551724137931036</v>
      </c>
      <c r="M371" s="118">
        <f t="shared" si="33"/>
        <v>0</v>
      </c>
      <c r="N371" s="151">
        <f ca="1">VLOOKUP(B371,'All Menu'!B:H,7,0)</f>
        <v>5</v>
      </c>
    </row>
    <row r="372" spans="1:14" s="158" customFormat="1" ht="14.5">
      <c r="A372" s="157" t="s">
        <v>2021</v>
      </c>
      <c r="B372" s="169" t="s">
        <v>1274</v>
      </c>
      <c r="C372" s="158" t="s">
        <v>1786</v>
      </c>
      <c r="D372" s="115" t="str">
        <f>VLOOKUP(B372,'All Menu'!B:D,3,0)</f>
        <v>المقبلات سفري</v>
      </c>
      <c r="E372" s="116">
        <f t="shared" si="34"/>
        <v>1.2931034482758621</v>
      </c>
      <c r="F372" s="160">
        <v>5</v>
      </c>
      <c r="G372" s="161">
        <v>6.4655172413793105</v>
      </c>
      <c r="H372" s="115">
        <f>VLOOKUP(B372,'All Menu'!B:J,9,0)</f>
        <v>0.27506122685185186</v>
      </c>
      <c r="I372" s="120">
        <f>VLOOKUP(B372,'All Menu'!B:M,12,0)</f>
        <v>0.78728598456790111</v>
      </c>
      <c r="J372" s="114">
        <f t="shared" si="31"/>
        <v>6.4655172413793105</v>
      </c>
      <c r="K372" s="117">
        <f t="shared" si="32"/>
        <v>0</v>
      </c>
      <c r="L372" s="118">
        <f>VLOOKUP(B372,'All Menu'!B:G,6,0)</f>
        <v>1.2931034482758621</v>
      </c>
      <c r="M372" s="118">
        <f t="shared" si="33"/>
        <v>0</v>
      </c>
      <c r="N372" s="151">
        <f ca="1">VLOOKUP(B372,'All Menu'!B:H,7,0)</f>
        <v>46</v>
      </c>
    </row>
    <row r="373" spans="1:14" s="158" customFormat="1" ht="14.5">
      <c r="A373" s="157" t="s">
        <v>2021</v>
      </c>
      <c r="B373" s="169" t="s">
        <v>1308</v>
      </c>
      <c r="C373" s="158" t="s">
        <v>1794</v>
      </c>
      <c r="D373" s="115" t="str">
        <f>VLOOKUP(B373,'All Menu'!B:D,3,0)</f>
        <v>المقبلات سفري</v>
      </c>
      <c r="E373" s="116">
        <f t="shared" si="34"/>
        <v>2.5862068965517242</v>
      </c>
      <c r="F373" s="160">
        <v>1</v>
      </c>
      <c r="G373" s="161">
        <v>2.5862068965517242</v>
      </c>
      <c r="H373" s="115">
        <f>VLOOKUP(B373,'All Menu'!B:J,9,0)</f>
        <v>0.95152662777020813</v>
      </c>
      <c r="I373" s="120">
        <f>VLOOKUP(B373,'All Menu'!B:M,12,0)</f>
        <v>0.63207637059551958</v>
      </c>
      <c r="J373" s="114">
        <f t="shared" si="31"/>
        <v>2.5862068965517242</v>
      </c>
      <c r="K373" s="117">
        <f t="shared" si="32"/>
        <v>0</v>
      </c>
      <c r="L373" s="118">
        <f>VLOOKUP(B373,'All Menu'!B:G,6,0)</f>
        <v>2.5862068965517242</v>
      </c>
      <c r="M373" s="118">
        <f t="shared" si="33"/>
        <v>0</v>
      </c>
      <c r="N373" s="151">
        <f ca="1">VLOOKUP(B373,'All Menu'!B:H,7,0)</f>
        <v>12</v>
      </c>
    </row>
    <row r="374" spans="1:14" s="158" customFormat="1" ht="14.5">
      <c r="A374" s="157" t="s">
        <v>2021</v>
      </c>
      <c r="B374" s="169" t="s">
        <v>991</v>
      </c>
      <c r="C374" s="158" t="s">
        <v>1350</v>
      </c>
      <c r="D374" s="115" t="str">
        <f>VLOOKUP(B374,'All Menu'!B:D,3,0)</f>
        <v>الوجبات اليومية سفري</v>
      </c>
      <c r="E374" s="116">
        <f t="shared" si="34"/>
        <v>7.7586206896551726</v>
      </c>
      <c r="F374" s="160">
        <v>59</v>
      </c>
      <c r="G374" s="161">
        <v>457.75862068965517</v>
      </c>
      <c r="H374" s="115">
        <f>VLOOKUP(B374,'All Menu'!B:J,9,0)</f>
        <v>5.2935268537167888</v>
      </c>
      <c r="I374" s="120">
        <f>VLOOKUP(B374,'All Menu'!B:M,12,0)</f>
        <v>0.31772320552094724</v>
      </c>
      <c r="J374" s="114">
        <f t="shared" si="31"/>
        <v>457.75862068965517</v>
      </c>
      <c r="K374" s="117">
        <f t="shared" si="32"/>
        <v>0</v>
      </c>
      <c r="L374" s="118">
        <f>VLOOKUP(B374,'All Menu'!B:G,6,0)</f>
        <v>7.7586206896551726</v>
      </c>
      <c r="M374" s="118">
        <f t="shared" si="33"/>
        <v>0</v>
      </c>
      <c r="N374" s="151">
        <f ca="1">VLOOKUP(B374,'All Menu'!B:H,7,0)</f>
        <v>130.001</v>
      </c>
    </row>
    <row r="375" spans="1:14" s="158" customFormat="1" ht="14.5">
      <c r="A375" s="157" t="s">
        <v>2021</v>
      </c>
      <c r="B375" s="169" t="s">
        <v>1014</v>
      </c>
      <c r="C375" s="158" t="s">
        <v>1351</v>
      </c>
      <c r="D375" s="115" t="str">
        <f>VLOOKUP(B375,'All Menu'!B:D,3,0)</f>
        <v>الوجبات اليومية سفري</v>
      </c>
      <c r="E375" s="116">
        <f t="shared" si="34"/>
        <v>3.4482758620689657</v>
      </c>
      <c r="F375" s="160">
        <v>161</v>
      </c>
      <c r="G375" s="161">
        <v>555.17241379310349</v>
      </c>
      <c r="H375" s="115">
        <f>VLOOKUP(B375,'All Menu'!B:J,9,0)</f>
        <v>2.1404005324521074</v>
      </c>
      <c r="I375" s="120">
        <f>VLOOKUP(B375,'All Menu'!B:M,12,0)</f>
        <v>0.37928384558888889</v>
      </c>
      <c r="J375" s="114">
        <f t="shared" si="31"/>
        <v>555.17241379310349</v>
      </c>
      <c r="K375" s="117">
        <f t="shared" si="32"/>
        <v>0</v>
      </c>
      <c r="L375" s="118">
        <f>VLOOKUP(B375,'All Menu'!B:G,6,0)</f>
        <v>3.4482758620689657</v>
      </c>
      <c r="M375" s="118">
        <f t="shared" si="33"/>
        <v>0</v>
      </c>
      <c r="N375" s="151">
        <f ca="1">VLOOKUP(B375,'All Menu'!B:H,7,0)</f>
        <v>350.00200000000001</v>
      </c>
    </row>
    <row r="376" spans="1:14" s="158" customFormat="1" ht="14.5">
      <c r="A376" s="157" t="s">
        <v>2021</v>
      </c>
      <c r="B376" s="169" t="s">
        <v>996</v>
      </c>
      <c r="C376" s="158" t="s">
        <v>1352</v>
      </c>
      <c r="D376" s="115" t="str">
        <f>VLOOKUP(B376,'All Menu'!B:D,3,0)</f>
        <v>الوجبات اليومية سفري</v>
      </c>
      <c r="E376" s="116">
        <f t="shared" si="34"/>
        <v>3.4482758620689657</v>
      </c>
      <c r="F376" s="160">
        <v>30</v>
      </c>
      <c r="G376" s="161">
        <v>103.44827586206897</v>
      </c>
      <c r="H376" s="115">
        <f>VLOOKUP(B376,'All Menu'!B:J,9,0)</f>
        <v>2.3936093603117103</v>
      </c>
      <c r="I376" s="120">
        <f>VLOOKUP(B376,'All Menu'!B:M,12,0)</f>
        <v>0.30585328550960406</v>
      </c>
      <c r="J376" s="114">
        <f t="shared" si="31"/>
        <v>103.44827586206897</v>
      </c>
      <c r="K376" s="117">
        <f t="shared" si="32"/>
        <v>0</v>
      </c>
      <c r="L376" s="118">
        <f>VLOOKUP(B376,'All Menu'!B:G,6,0)</f>
        <v>3.4482758620689657</v>
      </c>
      <c r="M376" s="118">
        <f t="shared" si="33"/>
        <v>0</v>
      </c>
      <c r="N376" s="151">
        <f ca="1">VLOOKUP(B376,'All Menu'!B:H,7,0)</f>
        <v>151</v>
      </c>
    </row>
    <row r="377" spans="1:14" s="158" customFormat="1" ht="14.5">
      <c r="A377" s="157" t="s">
        <v>2021</v>
      </c>
      <c r="B377" s="169" t="s">
        <v>990</v>
      </c>
      <c r="C377" s="158" t="s">
        <v>547</v>
      </c>
      <c r="D377" s="115" t="str">
        <f>VLOOKUP(B377,'All Menu'!B:D,3,0)</f>
        <v>الوجبات اليومية سفري</v>
      </c>
      <c r="E377" s="116">
        <f t="shared" si="34"/>
        <v>3.4482758620689657</v>
      </c>
      <c r="F377" s="160">
        <v>56</v>
      </c>
      <c r="G377" s="161">
        <v>193.10344827586209</v>
      </c>
      <c r="H377" s="115">
        <f>VLOOKUP(B377,'All Menu'!B:J,9,0)</f>
        <v>1.5853340738905934</v>
      </c>
      <c r="I377" s="120">
        <f>VLOOKUP(B377,'All Menu'!B:M,12,0)</f>
        <v>0.54025311857172797</v>
      </c>
      <c r="J377" s="114">
        <f t="shared" si="31"/>
        <v>193.10344827586209</v>
      </c>
      <c r="K377" s="117">
        <f t="shared" si="32"/>
        <v>0</v>
      </c>
      <c r="L377" s="118">
        <f>VLOOKUP(B377,'All Menu'!B:G,6,0)</f>
        <v>3.4482758620689657</v>
      </c>
      <c r="M377" s="118">
        <f t="shared" si="33"/>
        <v>0</v>
      </c>
      <c r="N377" s="151">
        <f ca="1">VLOOKUP(B377,'All Menu'!B:H,7,0)</f>
        <v>66</v>
      </c>
    </row>
    <row r="378" spans="1:14" s="158" customFormat="1" ht="14.5">
      <c r="A378" s="157" t="s">
        <v>2021</v>
      </c>
      <c r="B378" s="169" t="s">
        <v>987</v>
      </c>
      <c r="C378" s="158" t="s">
        <v>1353</v>
      </c>
      <c r="D378" s="115" t="str">
        <f>VLOOKUP(B378,'All Menu'!B:D,3,0)</f>
        <v>الوجبات اليومية سفري</v>
      </c>
      <c r="E378" s="116">
        <f t="shared" si="34"/>
        <v>2.5862068965517242</v>
      </c>
      <c r="F378" s="160">
        <v>199</v>
      </c>
      <c r="G378" s="161">
        <v>514.65517241379314</v>
      </c>
      <c r="H378" s="115">
        <f>VLOOKUP(B378,'All Menu'!B:J,9,0)</f>
        <v>1.54633723868066</v>
      </c>
      <c r="I378" s="120">
        <f>VLOOKUP(B378,'All Menu'!B:M,12,0)</f>
        <v>0.40208293437681147</v>
      </c>
      <c r="J378" s="114">
        <f t="shared" si="31"/>
        <v>514.65517241379314</v>
      </c>
      <c r="K378" s="117">
        <f t="shared" si="32"/>
        <v>0</v>
      </c>
      <c r="L378" s="118">
        <f>VLOOKUP(B378,'All Menu'!B:G,6,0)</f>
        <v>2.5862068965517242</v>
      </c>
      <c r="M378" s="118">
        <f t="shared" si="33"/>
        <v>0</v>
      </c>
      <c r="N378" s="151">
        <f ca="1">VLOOKUP(B378,'All Menu'!B:H,7,0)</f>
        <v>449.68010000000004</v>
      </c>
    </row>
    <row r="379" spans="1:14" s="158" customFormat="1" ht="14.5">
      <c r="A379" s="157" t="s">
        <v>2021</v>
      </c>
      <c r="B379" s="169" t="s">
        <v>988</v>
      </c>
      <c r="C379" s="158" t="s">
        <v>555</v>
      </c>
      <c r="D379" s="115" t="str">
        <f>VLOOKUP(B379,'All Menu'!B:D,3,0)</f>
        <v>الوجبات اليومية سفري</v>
      </c>
      <c r="E379" s="116">
        <f t="shared" si="34"/>
        <v>2.5862068965517242</v>
      </c>
      <c r="F379" s="160">
        <v>143</v>
      </c>
      <c r="G379" s="161">
        <v>369.82758620689657</v>
      </c>
      <c r="H379" s="115">
        <f>VLOOKUP(B379,'All Menu'!B:J,9,0)</f>
        <v>1.7098010721424013</v>
      </c>
      <c r="I379" s="120">
        <f>VLOOKUP(B379,'All Menu'!B:M,12,0)</f>
        <v>0.33887691877160486</v>
      </c>
      <c r="J379" s="114">
        <f t="shared" si="31"/>
        <v>369.82758620689657</v>
      </c>
      <c r="K379" s="117">
        <f t="shared" si="32"/>
        <v>0</v>
      </c>
      <c r="L379" s="118">
        <f>VLOOKUP(B379,'All Menu'!B:G,6,0)</f>
        <v>2.5862068965517242</v>
      </c>
      <c r="M379" s="118">
        <f t="shared" si="33"/>
        <v>0</v>
      </c>
      <c r="N379" s="151">
        <f ca="1">VLOOKUP(B379,'All Menu'!B:H,7,0)</f>
        <v>355.00099999999998</v>
      </c>
    </row>
    <row r="380" spans="1:14" s="158" customFormat="1" ht="14.5">
      <c r="A380" s="157" t="s">
        <v>2021</v>
      </c>
      <c r="B380" s="169" t="s">
        <v>994</v>
      </c>
      <c r="C380" s="158" t="s">
        <v>1333</v>
      </c>
      <c r="D380" s="115" t="str">
        <f>VLOOKUP(B380,'All Menu'!B:D,3,0)</f>
        <v>الوجبات اليومية سفري</v>
      </c>
      <c r="E380" s="116">
        <f t="shared" si="34"/>
        <v>2.5862068965517242</v>
      </c>
      <c r="F380" s="160">
        <v>6</v>
      </c>
      <c r="G380" s="161">
        <v>15.517241379310345</v>
      </c>
      <c r="H380" s="115">
        <f>VLOOKUP(B380,'All Menu'!B:J,9,0)</f>
        <v>1.4196795810467109</v>
      </c>
      <c r="I380" s="120">
        <f>VLOOKUP(B380,'All Menu'!B:M,12,0)</f>
        <v>0.45105722866193848</v>
      </c>
      <c r="J380" s="114">
        <f t="shared" si="31"/>
        <v>15.517241379310345</v>
      </c>
      <c r="K380" s="117">
        <f t="shared" si="32"/>
        <v>0</v>
      </c>
      <c r="L380" s="118">
        <f>VLOOKUP(B380,'All Menu'!B:G,6,0)</f>
        <v>2.5862068965517242</v>
      </c>
      <c r="M380" s="118">
        <f t="shared" si="33"/>
        <v>0</v>
      </c>
      <c r="N380" s="151">
        <f ca="1">VLOOKUP(B380,'All Menu'!B:H,7,0)</f>
        <v>18</v>
      </c>
    </row>
    <row r="381" spans="1:14" s="158" customFormat="1" ht="14.5">
      <c r="A381" s="157" t="s">
        <v>2021</v>
      </c>
      <c r="B381" s="169" t="s">
        <v>1002</v>
      </c>
      <c r="C381" s="158" t="s">
        <v>1460</v>
      </c>
      <c r="D381" s="115" t="str">
        <f>VLOOKUP(B381,'All Menu'!B:D,3,0)</f>
        <v>الوجبات اليومية سفري</v>
      </c>
      <c r="E381" s="116">
        <f t="shared" si="34"/>
        <v>3.4482758620689657</v>
      </c>
      <c r="F381" s="160">
        <v>2</v>
      </c>
      <c r="G381" s="161">
        <v>6.8965517241379315</v>
      </c>
      <c r="H381" s="115">
        <f>VLOOKUP(B381,'All Menu'!B:J,9,0)</f>
        <v>2.6462827183908053</v>
      </c>
      <c r="I381" s="120">
        <f>VLOOKUP(B381,'All Menu'!B:M,12,0)</f>
        <v>0.2325780116666665</v>
      </c>
      <c r="J381" s="114">
        <f t="shared" si="31"/>
        <v>6.8965517241379315</v>
      </c>
      <c r="K381" s="117">
        <f t="shared" si="32"/>
        <v>0</v>
      </c>
      <c r="L381" s="118">
        <f>VLOOKUP(B381,'All Menu'!B:G,6,0)</f>
        <v>3.4482758620689657</v>
      </c>
      <c r="M381" s="118">
        <f t="shared" si="33"/>
        <v>0</v>
      </c>
      <c r="N381" s="151">
        <f ca="1">VLOOKUP(B381,'All Menu'!B:H,7,0)</f>
        <v>18</v>
      </c>
    </row>
    <row r="382" spans="1:14" s="158" customFormat="1" ht="14.5">
      <c r="A382" s="157" t="s">
        <v>2021</v>
      </c>
      <c r="B382" s="169" t="s">
        <v>1008</v>
      </c>
      <c r="C382" s="158" t="s">
        <v>1461</v>
      </c>
      <c r="D382" s="115" t="str">
        <f>VLOOKUP(B382,'All Menu'!B:D,3,0)</f>
        <v>الوجبات اليومية سفري</v>
      </c>
      <c r="E382" s="116">
        <f t="shared" si="34"/>
        <v>2.5862068965517242</v>
      </c>
      <c r="F382" s="160">
        <v>30</v>
      </c>
      <c r="G382" s="161">
        <v>77.58620689655173</v>
      </c>
      <c r="H382" s="115">
        <f>VLOOKUP(B382,'All Menu'!B:J,9,0)</f>
        <v>1.8114892697343898</v>
      </c>
      <c r="I382" s="120">
        <f>VLOOKUP(B382,'All Menu'!B:M,12,0)</f>
        <v>0.2995574823693693</v>
      </c>
      <c r="J382" s="114">
        <f t="shared" si="31"/>
        <v>77.58620689655173</v>
      </c>
      <c r="K382" s="117">
        <f t="shared" si="32"/>
        <v>0</v>
      </c>
      <c r="L382" s="118">
        <f>VLOOKUP(B382,'All Menu'!B:G,6,0)</f>
        <v>2.5862068965517242</v>
      </c>
      <c r="M382" s="118">
        <f t="shared" si="33"/>
        <v>0</v>
      </c>
      <c r="N382" s="151">
        <f ca="1">VLOOKUP(B382,'All Menu'!B:H,7,0)</f>
        <v>50</v>
      </c>
    </row>
    <row r="383" spans="1:14" s="158" customFormat="1" ht="14.5">
      <c r="A383" s="157" t="s">
        <v>2021</v>
      </c>
      <c r="B383" s="169" t="s">
        <v>1027</v>
      </c>
      <c r="C383" s="158" t="s">
        <v>1462</v>
      </c>
      <c r="D383" s="115" t="str">
        <f>VLOOKUP(B383,'All Menu'!B:D,3,0)</f>
        <v>الوجبات اليومية سفري</v>
      </c>
      <c r="E383" s="116">
        <f t="shared" si="34"/>
        <v>4.3103448275862073</v>
      </c>
      <c r="F383" s="160">
        <v>14</v>
      </c>
      <c r="G383" s="161">
        <v>60.344827586206904</v>
      </c>
      <c r="H383" s="115">
        <f>VLOOKUP(B383,'All Menu'!B:J,9,0)</f>
        <v>4.4403028079022997</v>
      </c>
      <c r="I383" s="120">
        <f>VLOOKUP(B383,'All Menu'!B:M,12,0)</f>
        <v>-3.0150251433333435E-2</v>
      </c>
      <c r="J383" s="114">
        <f t="shared" si="31"/>
        <v>60.344827586206904</v>
      </c>
      <c r="K383" s="117">
        <f t="shared" si="32"/>
        <v>0</v>
      </c>
      <c r="L383" s="118">
        <f>VLOOKUP(B383,'All Menu'!B:G,6,0)</f>
        <v>4.3103448275862073</v>
      </c>
      <c r="M383" s="118">
        <f t="shared" si="33"/>
        <v>0</v>
      </c>
      <c r="N383" s="151">
        <f ca="1">VLOOKUP(B383,'All Menu'!B:H,7,0)</f>
        <v>27</v>
      </c>
    </row>
    <row r="384" spans="1:14" s="158" customFormat="1" ht="14.5">
      <c r="A384" s="157" t="s">
        <v>2021</v>
      </c>
      <c r="B384" s="169" t="s">
        <v>1099</v>
      </c>
      <c r="C384" s="158" t="s">
        <v>1338</v>
      </c>
      <c r="D384" s="115" t="str">
        <f>VLOOKUP(B384,'All Menu'!B:D,3,0)</f>
        <v>الوجبات اليومية سفري</v>
      </c>
      <c r="E384" s="116">
        <f t="shared" si="34"/>
        <v>3.4482758620689657</v>
      </c>
      <c r="F384" s="160">
        <v>18</v>
      </c>
      <c r="G384" s="161">
        <v>62.068965517241381</v>
      </c>
      <c r="H384" s="115">
        <f>VLOOKUP(B384,'All Menu'!B:J,9,0)</f>
        <v>1.3523687902456958</v>
      </c>
      <c r="I384" s="120">
        <f>VLOOKUP(B384,'All Menu'!B:M,12,0)</f>
        <v>0.60781305082874826</v>
      </c>
      <c r="J384" s="114">
        <f t="shared" si="31"/>
        <v>62.068965517241381</v>
      </c>
      <c r="K384" s="117">
        <f t="shared" si="32"/>
        <v>0</v>
      </c>
      <c r="L384" s="118">
        <f>VLOOKUP(B384,'All Menu'!B:G,6,0)</f>
        <v>3.4482758620689657</v>
      </c>
      <c r="M384" s="118">
        <f t="shared" si="33"/>
        <v>0</v>
      </c>
      <c r="N384" s="151">
        <f ca="1">VLOOKUP(B384,'All Menu'!B:H,7,0)</f>
        <v>49</v>
      </c>
    </row>
    <row r="385" spans="1:14" s="158" customFormat="1" ht="14.5">
      <c r="A385" s="157" t="s">
        <v>2021</v>
      </c>
      <c r="B385" s="169" t="s">
        <v>989</v>
      </c>
      <c r="C385" s="158" t="s">
        <v>1339</v>
      </c>
      <c r="D385" s="115" t="str">
        <f>VLOOKUP(B385,'All Menu'!B:D,3,0)</f>
        <v>الوجبات اليومية سفري</v>
      </c>
      <c r="E385" s="116">
        <f t="shared" si="34"/>
        <v>2.5862068965517242</v>
      </c>
      <c r="F385" s="160">
        <v>8</v>
      </c>
      <c r="G385" s="161">
        <v>20.689655172413794</v>
      </c>
      <c r="H385" s="115">
        <f>VLOOKUP(B385,'All Menu'!B:J,9,0)</f>
        <v>1.4352292934865902</v>
      </c>
      <c r="I385" s="120">
        <f>VLOOKUP(B385,'All Menu'!B:M,12,0)</f>
        <v>0.44504467318518515</v>
      </c>
      <c r="J385" s="114">
        <f t="shared" si="31"/>
        <v>20.689655172413794</v>
      </c>
      <c r="K385" s="117">
        <f t="shared" si="32"/>
        <v>0</v>
      </c>
      <c r="L385" s="118">
        <f>VLOOKUP(B385,'All Menu'!B:G,6,0)</f>
        <v>2.5862068965517242</v>
      </c>
      <c r="M385" s="118">
        <f t="shared" si="33"/>
        <v>0</v>
      </c>
      <c r="N385" s="151">
        <f ca="1">VLOOKUP(B385,'All Menu'!B:H,7,0)</f>
        <v>38</v>
      </c>
    </row>
    <row r="386" spans="1:14" s="158" customFormat="1" ht="14.5">
      <c r="A386" s="157" t="s">
        <v>2021</v>
      </c>
      <c r="B386" s="169" t="s">
        <v>1004</v>
      </c>
      <c r="C386" s="158" t="s">
        <v>651</v>
      </c>
      <c r="D386" s="115" t="str">
        <f>VLOOKUP(B386,'All Menu'!B:D,3,0)</f>
        <v>الوجبات اليومية سفري</v>
      </c>
      <c r="E386" s="116">
        <f t="shared" si="34"/>
        <v>3.4482758620689657</v>
      </c>
      <c r="F386" s="160">
        <v>14</v>
      </c>
      <c r="G386" s="161">
        <v>48.275862068965523</v>
      </c>
      <c r="H386" s="115">
        <f>VLOOKUP(B386,'All Menu'!B:J,9,0)</f>
        <v>1.7860472019766636</v>
      </c>
      <c r="I386" s="120">
        <f>VLOOKUP(B386,'All Menu'!B:M,12,0)</f>
        <v>0.48204631142676763</v>
      </c>
      <c r="J386" s="114">
        <f t="shared" si="31"/>
        <v>48.275862068965523</v>
      </c>
      <c r="K386" s="117">
        <f t="shared" si="32"/>
        <v>0</v>
      </c>
      <c r="L386" s="118">
        <f>VLOOKUP(B386,'All Menu'!B:G,6,0)</f>
        <v>3.4482758620689657</v>
      </c>
      <c r="M386" s="118">
        <f t="shared" si="33"/>
        <v>0</v>
      </c>
      <c r="N386" s="151">
        <f ca="1">VLOOKUP(B386,'All Menu'!B:H,7,0)</f>
        <v>25</v>
      </c>
    </row>
    <row r="387" spans="1:14" s="158" customFormat="1" ht="14.5">
      <c r="A387" s="157" t="s">
        <v>2021</v>
      </c>
      <c r="B387" s="169" t="s">
        <v>1009</v>
      </c>
      <c r="C387" s="158" t="s">
        <v>1340</v>
      </c>
      <c r="D387" s="115" t="str">
        <f>VLOOKUP(B387,'All Menu'!B:D,3,0)</f>
        <v>الوجبات اليومية سفري</v>
      </c>
      <c r="E387" s="116">
        <f t="shared" si="34"/>
        <v>3.4482758620689662</v>
      </c>
      <c r="F387" s="160">
        <v>22</v>
      </c>
      <c r="G387" s="161">
        <v>75.862068965517253</v>
      </c>
      <c r="H387" s="115">
        <f>VLOOKUP(B387,'All Menu'!B:J,9,0)</f>
        <v>1.8122227068343535</v>
      </c>
      <c r="I387" s="120">
        <f>VLOOKUP(B387,'All Menu'!B:M,12,0)</f>
        <v>0.47445541501803751</v>
      </c>
      <c r="J387" s="114">
        <f t="shared" si="31"/>
        <v>75.862068965517253</v>
      </c>
      <c r="K387" s="117">
        <f t="shared" si="32"/>
        <v>0</v>
      </c>
      <c r="L387" s="118">
        <f>VLOOKUP(B387,'All Menu'!B:G,6,0)</f>
        <v>3.4482758620689657</v>
      </c>
      <c r="M387" s="118">
        <f t="shared" si="33"/>
        <v>0</v>
      </c>
      <c r="N387" s="151">
        <f ca="1">VLOOKUP(B387,'All Menu'!B:H,7,0)</f>
        <v>46.25</v>
      </c>
    </row>
    <row r="388" spans="1:14" s="158" customFormat="1" ht="14.5">
      <c r="A388" s="157" t="s">
        <v>2021</v>
      </c>
      <c r="B388" s="169" t="s">
        <v>1071</v>
      </c>
      <c r="C388" s="158" t="s">
        <v>1341</v>
      </c>
      <c r="D388" s="115" t="str">
        <f>VLOOKUP(B388,'All Menu'!B:D,3,0)</f>
        <v>الوجبات اليومية سفري</v>
      </c>
      <c r="E388" s="116">
        <f t="shared" si="34"/>
        <v>3.4482758620689657</v>
      </c>
      <c r="F388" s="160">
        <v>10</v>
      </c>
      <c r="G388" s="161">
        <v>34.482758620689658</v>
      </c>
      <c r="H388" s="115">
        <f>VLOOKUP(B388,'All Menu'!B:J,9,0)</f>
        <v>1.873932684539781</v>
      </c>
      <c r="I388" s="120">
        <f>VLOOKUP(B388,'All Menu'!B:M,12,0)</f>
        <v>0.45655952148346352</v>
      </c>
      <c r="J388" s="114">
        <f t="shared" si="31"/>
        <v>34.482758620689658</v>
      </c>
      <c r="K388" s="117">
        <f t="shared" si="32"/>
        <v>0</v>
      </c>
      <c r="L388" s="118">
        <f>VLOOKUP(B388,'All Menu'!B:G,6,0)</f>
        <v>3.4482758620689657</v>
      </c>
      <c r="M388" s="118">
        <f t="shared" si="33"/>
        <v>0</v>
      </c>
      <c r="N388" s="151">
        <f ca="1">VLOOKUP(B388,'All Menu'!B:H,7,0)</f>
        <v>52.008099999999999</v>
      </c>
    </row>
    <row r="389" spans="1:14" s="158" customFormat="1" ht="14.5">
      <c r="A389" s="157" t="s">
        <v>2021</v>
      </c>
      <c r="B389" s="169" t="s">
        <v>1005</v>
      </c>
      <c r="C389" s="158" t="s">
        <v>1342</v>
      </c>
      <c r="D389" s="115" t="str">
        <f>VLOOKUP(B389,'All Menu'!B:D,3,0)</f>
        <v>الوجبات اليومية سفري</v>
      </c>
      <c r="E389" s="116">
        <f t="shared" si="34"/>
        <v>3.4482758620689657</v>
      </c>
      <c r="F389" s="160">
        <v>28</v>
      </c>
      <c r="G389" s="161">
        <v>96.551724137931046</v>
      </c>
      <c r="H389" s="115">
        <f>VLOOKUP(B389,'All Menu'!B:J,9,0)</f>
        <v>1.6030531260831127</v>
      </c>
      <c r="I389" s="120">
        <f>VLOOKUP(B389,'All Menu'!B:M,12,0)</f>
        <v>0.5351145934358974</v>
      </c>
      <c r="J389" s="114">
        <f t="shared" si="31"/>
        <v>96.551724137931046</v>
      </c>
      <c r="K389" s="117">
        <f t="shared" si="32"/>
        <v>0</v>
      </c>
      <c r="L389" s="118">
        <f>VLOOKUP(B389,'All Menu'!B:G,6,0)</f>
        <v>3.4482758620689657</v>
      </c>
      <c r="M389" s="118">
        <f t="shared" si="33"/>
        <v>0</v>
      </c>
      <c r="N389" s="151">
        <f ca="1">VLOOKUP(B389,'All Menu'!B:H,7,0)</f>
        <v>60</v>
      </c>
    </row>
    <row r="390" spans="1:14" s="158" customFormat="1" ht="14.5">
      <c r="A390" s="157" t="s">
        <v>2021</v>
      </c>
      <c r="B390" s="169" t="s">
        <v>998</v>
      </c>
      <c r="C390" s="158" t="s">
        <v>1343</v>
      </c>
      <c r="D390" s="115" t="str">
        <f>VLOOKUP(B390,'All Menu'!B:D,3,0)</f>
        <v>الوجبات اليومية سفري</v>
      </c>
      <c r="E390" s="116">
        <f t="shared" si="34"/>
        <v>2.5862068965517246</v>
      </c>
      <c r="F390" s="160">
        <v>7</v>
      </c>
      <c r="G390" s="161">
        <v>18.103448275862071</v>
      </c>
      <c r="H390" s="115">
        <f>VLOOKUP(B390,'All Menu'!B:J,9,0)</f>
        <v>1.4302334633860154</v>
      </c>
      <c r="I390" s="120">
        <f>VLOOKUP(B390,'All Menu'!B:M,12,0)</f>
        <v>0.44697639415740736</v>
      </c>
      <c r="J390" s="114">
        <f t="shared" si="31"/>
        <v>18.103448275862071</v>
      </c>
      <c r="K390" s="117">
        <f t="shared" si="32"/>
        <v>0</v>
      </c>
      <c r="L390" s="118">
        <f>VLOOKUP(B390,'All Menu'!B:G,6,0)</f>
        <v>2.5862068965517242</v>
      </c>
      <c r="M390" s="118">
        <f t="shared" si="33"/>
        <v>0</v>
      </c>
      <c r="N390" s="151">
        <f ca="1">VLOOKUP(B390,'All Menu'!B:H,7,0)</f>
        <v>21</v>
      </c>
    </row>
    <row r="391" spans="1:14" s="158" customFormat="1" ht="14.5">
      <c r="A391" s="157" t="s">
        <v>2021</v>
      </c>
      <c r="B391" s="169" t="s">
        <v>1000</v>
      </c>
      <c r="C391" s="158" t="s">
        <v>1463</v>
      </c>
      <c r="D391" s="115" t="str">
        <f>VLOOKUP(B391,'All Menu'!B:D,3,0)</f>
        <v>الوجبات اليومية سفري</v>
      </c>
      <c r="E391" s="116">
        <f t="shared" si="34"/>
        <v>3.4482758620689657</v>
      </c>
      <c r="F391" s="160">
        <v>20</v>
      </c>
      <c r="G391" s="161">
        <v>68.965517241379317</v>
      </c>
      <c r="H391" s="115">
        <f>VLOOKUP(B391,'All Menu'!B:J,9,0)</f>
        <v>1.6513425658655527</v>
      </c>
      <c r="I391" s="120">
        <f>VLOOKUP(B391,'All Menu'!B:M,12,0)</f>
        <v>0.52111065589898975</v>
      </c>
      <c r="J391" s="114">
        <f t="shared" si="31"/>
        <v>68.965517241379317</v>
      </c>
      <c r="K391" s="117">
        <f t="shared" si="32"/>
        <v>0</v>
      </c>
      <c r="L391" s="118">
        <f>VLOOKUP(B391,'All Menu'!B:G,6,0)</f>
        <v>3.4482758620689657</v>
      </c>
      <c r="M391" s="118">
        <f t="shared" si="33"/>
        <v>0</v>
      </c>
      <c r="N391" s="151">
        <f ca="1">VLOOKUP(B391,'All Menu'!B:H,7,0)</f>
        <v>38</v>
      </c>
    </row>
    <row r="392" spans="1:14" s="158" customFormat="1" ht="14.5">
      <c r="A392" s="157" t="s">
        <v>2021</v>
      </c>
      <c r="B392" s="169" t="s">
        <v>1072</v>
      </c>
      <c r="C392" s="158" t="s">
        <v>1464</v>
      </c>
      <c r="D392" s="115" t="str">
        <f>VLOOKUP(B392,'All Menu'!B:D,3,0)</f>
        <v>الوجبات اليومية سفري</v>
      </c>
      <c r="E392" s="116">
        <f t="shared" si="34"/>
        <v>3.4482758620689657</v>
      </c>
      <c r="F392" s="160">
        <v>31</v>
      </c>
      <c r="G392" s="161">
        <v>106.89655172413794</v>
      </c>
      <c r="H392" s="115">
        <f>VLOOKUP(B392,'All Menu'!B:J,9,0)</f>
        <v>1.0812876836433301</v>
      </c>
      <c r="I392" s="120">
        <f>VLOOKUP(B392,'All Menu'!B:M,12,0)</f>
        <v>0.68642657174343435</v>
      </c>
      <c r="J392" s="114">
        <f t="shared" si="31"/>
        <v>106.89655172413794</v>
      </c>
      <c r="K392" s="117">
        <f t="shared" si="32"/>
        <v>0</v>
      </c>
      <c r="L392" s="118">
        <f>VLOOKUP(B392,'All Menu'!B:G,6,0)</f>
        <v>3.4482758620689657</v>
      </c>
      <c r="M392" s="118">
        <f t="shared" si="33"/>
        <v>0</v>
      </c>
      <c r="N392" s="151">
        <f ca="1">VLOOKUP(B392,'All Menu'!B:H,7,0)</f>
        <v>67</v>
      </c>
    </row>
    <row r="393" spans="1:14" s="158" customFormat="1" ht="14.5">
      <c r="A393" s="157" t="s">
        <v>2021</v>
      </c>
      <c r="B393" s="169" t="s">
        <v>1023</v>
      </c>
      <c r="C393" s="158" t="s">
        <v>1355</v>
      </c>
      <c r="D393" s="115" t="str">
        <f>VLOOKUP(B393,'All Menu'!B:D,3,0)</f>
        <v>الوجبات اليومية سفري</v>
      </c>
      <c r="E393" s="116">
        <f t="shared" si="34"/>
        <v>1.2931034482758621</v>
      </c>
      <c r="F393" s="160">
        <v>73</v>
      </c>
      <c r="G393" s="161">
        <v>94.396551724137936</v>
      </c>
      <c r="H393" s="115">
        <f>VLOOKUP(B393,'All Menu'!B:J,9,0)</f>
        <v>0.7713331000000001</v>
      </c>
      <c r="I393" s="120">
        <f>VLOOKUP(B393,'All Menu'!B:M,12,0)</f>
        <v>0.40350240266666659</v>
      </c>
      <c r="J393" s="114">
        <f t="shared" si="31"/>
        <v>94.396551724137936</v>
      </c>
      <c r="K393" s="117">
        <f t="shared" si="32"/>
        <v>0</v>
      </c>
      <c r="L393" s="118">
        <f>VLOOKUP(B393,'All Menu'!B:G,6,0)</f>
        <v>1.2931034482758621</v>
      </c>
      <c r="M393" s="118">
        <f t="shared" si="33"/>
        <v>0</v>
      </c>
      <c r="N393" s="151">
        <f ca="1">VLOOKUP(B393,'All Menu'!B:H,7,0)</f>
        <v>195.5</v>
      </c>
    </row>
    <row r="394" spans="1:14" s="158" customFormat="1" ht="14.5">
      <c r="A394" s="157" t="s">
        <v>2021</v>
      </c>
      <c r="B394" s="169" t="s">
        <v>1022</v>
      </c>
      <c r="C394" s="158" t="s">
        <v>1465</v>
      </c>
      <c r="D394" s="115" t="str">
        <f>VLOOKUP(B394,'All Menu'!B:D,3,0)</f>
        <v>الوجبات اليومية سفري</v>
      </c>
      <c r="E394" s="116">
        <f t="shared" si="34"/>
        <v>0.86206896551724144</v>
      </c>
      <c r="F394" s="160">
        <v>163</v>
      </c>
      <c r="G394" s="161">
        <v>140.51724137931035</v>
      </c>
      <c r="H394" s="115">
        <f>VLOOKUP(B394,'All Menu'!B:J,9,0)</f>
        <v>0.46080630459770117</v>
      </c>
      <c r="I394" s="120">
        <f>VLOOKUP(B394,'All Menu'!B:M,12,0)</f>
        <v>0.46546468666666668</v>
      </c>
      <c r="J394" s="114">
        <f t="shared" si="31"/>
        <v>140.51724137931035</v>
      </c>
      <c r="K394" s="117">
        <f t="shared" si="32"/>
        <v>0</v>
      </c>
      <c r="L394" s="118">
        <f>VLOOKUP(B394,'All Menu'!B:G,6,0)</f>
        <v>0.86206896551724144</v>
      </c>
      <c r="M394" s="118">
        <f t="shared" si="33"/>
        <v>0</v>
      </c>
      <c r="N394" s="151">
        <f ca="1">VLOOKUP(B394,'All Menu'!B:H,7,0)</f>
        <v>246.75</v>
      </c>
    </row>
    <row r="395" spans="1:14" s="158" customFormat="1" ht="14.5">
      <c r="A395" s="157" t="s">
        <v>2021</v>
      </c>
      <c r="B395" s="169" t="s">
        <v>1026</v>
      </c>
      <c r="C395" s="158" t="s">
        <v>1466</v>
      </c>
      <c r="D395" s="115" t="str">
        <f>VLOOKUP(B395,'All Menu'!B:D,3,0)</f>
        <v>الوجبات اليومية سفري</v>
      </c>
      <c r="E395" s="116">
        <f t="shared" si="34"/>
        <v>1.2931034482758621</v>
      </c>
      <c r="F395" s="160">
        <v>26</v>
      </c>
      <c r="G395" s="161">
        <v>33.620689655172413</v>
      </c>
      <c r="H395" s="115">
        <f>VLOOKUP(B395,'All Menu'!B:J,9,0)</f>
        <v>0.42057486725663717</v>
      </c>
      <c r="I395" s="120">
        <f>VLOOKUP(B395,'All Menu'!B:M,12,0)</f>
        <v>0.67475543598820065</v>
      </c>
      <c r="J395" s="114">
        <f t="shared" si="31"/>
        <v>33.620689655172413</v>
      </c>
      <c r="K395" s="117">
        <f t="shared" si="32"/>
        <v>0</v>
      </c>
      <c r="L395" s="118">
        <f>VLOOKUP(B395,'All Menu'!B:G,6,0)</f>
        <v>1.2931034482758621</v>
      </c>
      <c r="M395" s="118">
        <f t="shared" si="33"/>
        <v>0</v>
      </c>
      <c r="N395" s="151">
        <f ca="1">VLOOKUP(B395,'All Menu'!B:H,7,0)</f>
        <v>109.90010000000001</v>
      </c>
    </row>
    <row r="396" spans="1:14" s="158" customFormat="1" ht="14.5">
      <c r="A396" s="157" t="s">
        <v>2021</v>
      </c>
      <c r="B396" s="169" t="s">
        <v>1070</v>
      </c>
      <c r="C396" s="158" t="s">
        <v>797</v>
      </c>
      <c r="D396" s="115" t="str">
        <f>VLOOKUP(B396,'All Menu'!B:D,3,0)</f>
        <v>الوجبات اليومية سفري</v>
      </c>
      <c r="E396" s="116">
        <f t="shared" si="34"/>
        <v>1.2931034482758621</v>
      </c>
      <c r="F396" s="160">
        <v>114</v>
      </c>
      <c r="G396" s="161">
        <v>147.41379310344828</v>
      </c>
      <c r="H396" s="115">
        <f>VLOOKUP(B396,'All Menu'!B:J,9,0)</f>
        <v>0.80777525143678153</v>
      </c>
      <c r="I396" s="120">
        <f>VLOOKUP(B396,'All Menu'!B:M,12,0)</f>
        <v>0.37532047222222231</v>
      </c>
      <c r="J396" s="114">
        <f t="shared" si="31"/>
        <v>147.41379310344828</v>
      </c>
      <c r="K396" s="117">
        <f t="shared" si="32"/>
        <v>0</v>
      </c>
      <c r="L396" s="118">
        <f>VLOOKUP(B396,'All Menu'!B:G,6,0)</f>
        <v>1.2931034482758621</v>
      </c>
      <c r="M396" s="118">
        <f t="shared" si="33"/>
        <v>0</v>
      </c>
      <c r="N396" s="151">
        <f ca="1">VLOOKUP(B396,'All Menu'!B:H,7,0)</f>
        <v>294.01</v>
      </c>
    </row>
    <row r="397" spans="1:14" s="158" customFormat="1" ht="14.5">
      <c r="A397" s="157" t="s">
        <v>2021</v>
      </c>
      <c r="B397" s="169" t="s">
        <v>992</v>
      </c>
      <c r="C397" s="158" t="s">
        <v>1346</v>
      </c>
      <c r="D397" s="115" t="str">
        <f>VLOOKUP(B397,'All Menu'!B:D,3,0)</f>
        <v>الوجبات اليومية سفري</v>
      </c>
      <c r="E397" s="116">
        <f t="shared" si="34"/>
        <v>3.0172413793103452</v>
      </c>
      <c r="F397" s="160">
        <v>70</v>
      </c>
      <c r="G397" s="161">
        <v>211.20689655172416</v>
      </c>
      <c r="H397" s="115">
        <f>VLOOKUP(B397,'All Menu'!B:J,9,0)</f>
        <v>1.9395633214233041</v>
      </c>
      <c r="I397" s="120">
        <f>VLOOKUP(B397,'All Menu'!B:M,12,0)</f>
        <v>0.35717329918541929</v>
      </c>
      <c r="J397" s="114">
        <f t="shared" si="31"/>
        <v>211.20689655172416</v>
      </c>
      <c r="K397" s="117">
        <f t="shared" si="32"/>
        <v>0</v>
      </c>
      <c r="L397" s="118">
        <f>VLOOKUP(B397,'All Menu'!B:G,6,0)</f>
        <v>3.0172413793103452</v>
      </c>
      <c r="M397" s="118">
        <f t="shared" si="33"/>
        <v>0</v>
      </c>
      <c r="N397" s="151">
        <f ca="1">VLOOKUP(B397,'All Menu'!B:H,7,0)</f>
        <v>148.01</v>
      </c>
    </row>
    <row r="398" spans="1:14" s="158" customFormat="1" ht="14.5">
      <c r="A398" s="157" t="s">
        <v>2021</v>
      </c>
      <c r="B398" s="169" t="s">
        <v>1025</v>
      </c>
      <c r="C398" s="158" t="s">
        <v>1467</v>
      </c>
      <c r="D398" s="115" t="str">
        <f>VLOOKUP(B398,'All Menu'!B:D,3,0)</f>
        <v>الوجبات اليومية سفري</v>
      </c>
      <c r="E398" s="116">
        <f t="shared" si="34"/>
        <v>5.1724137931034484</v>
      </c>
      <c r="F398" s="160">
        <v>9</v>
      </c>
      <c r="G398" s="161">
        <v>46.551724137931032</v>
      </c>
      <c r="H398" s="115">
        <f>VLOOKUP(B398,'All Menu'!B:J,9,0)</f>
        <v>4.0654226055971554</v>
      </c>
      <c r="I398" s="120">
        <f>VLOOKUP(B398,'All Menu'!B:M,12,0)</f>
        <v>0.21401829625121663</v>
      </c>
      <c r="J398" s="114">
        <f t="shared" si="31"/>
        <v>46.551724137931032</v>
      </c>
      <c r="K398" s="117">
        <f t="shared" si="32"/>
        <v>0</v>
      </c>
      <c r="L398" s="118">
        <f>VLOOKUP(B398,'All Menu'!B:G,6,0)</f>
        <v>5.1724137931034484</v>
      </c>
      <c r="M398" s="118">
        <f t="shared" si="33"/>
        <v>0</v>
      </c>
      <c r="N398" s="151">
        <f ca="1">VLOOKUP(B398,'All Menu'!B:H,7,0)</f>
        <v>36.251000000000005</v>
      </c>
    </row>
    <row r="399" spans="1:14" s="158" customFormat="1" ht="14.5">
      <c r="A399" s="157" t="s">
        <v>2021</v>
      </c>
      <c r="B399" s="169" t="s">
        <v>1167</v>
      </c>
      <c r="C399" s="158" t="s">
        <v>1337</v>
      </c>
      <c r="D399" s="115" t="str">
        <f>VLOOKUP(B399,'All Menu'!B:D,3,0)</f>
        <v>الوجبات اليومية سفري</v>
      </c>
      <c r="E399" s="116">
        <f t="shared" si="34"/>
        <v>3.4482758620689657</v>
      </c>
      <c r="F399" s="160">
        <v>42</v>
      </c>
      <c r="G399" s="161">
        <v>144.82758620689657</v>
      </c>
      <c r="H399" s="115">
        <f>VLOOKUP(B399,'All Menu'!B:J,9,0)</f>
        <v>2.4372080066786665</v>
      </c>
      <c r="I399" s="120">
        <f>VLOOKUP(B399,'All Menu'!B:M,12,0)</f>
        <v>0.29320967806318676</v>
      </c>
      <c r="J399" s="114">
        <f t="shared" si="31"/>
        <v>144.82758620689657</v>
      </c>
      <c r="K399" s="117">
        <f t="shared" si="32"/>
        <v>0</v>
      </c>
      <c r="L399" s="118">
        <f>VLOOKUP(B399,'All Menu'!B:G,6,0)</f>
        <v>3.4482758620689657</v>
      </c>
      <c r="M399" s="118">
        <f t="shared" si="33"/>
        <v>0</v>
      </c>
      <c r="N399" s="151">
        <f ca="1">VLOOKUP(B399,'All Menu'!B:H,7,0)</f>
        <v>78</v>
      </c>
    </row>
    <row r="400" spans="1:14" s="158" customFormat="1" ht="14.5">
      <c r="A400" s="157" t="s">
        <v>2021</v>
      </c>
      <c r="B400" s="169" t="s">
        <v>1028</v>
      </c>
      <c r="C400" s="158" t="s">
        <v>1335</v>
      </c>
      <c r="D400" s="115" t="str">
        <f>VLOOKUP(B400,'All Menu'!B:D,3,0)</f>
        <v>الوجبات اليومية سفري</v>
      </c>
      <c r="E400" s="116">
        <f t="shared" si="34"/>
        <v>2.8017241379310347</v>
      </c>
      <c r="F400" s="160">
        <v>19</v>
      </c>
      <c r="G400" s="161">
        <v>53.232758620689658</v>
      </c>
      <c r="H400" s="115">
        <f>VLOOKUP(B400,'All Menu'!B:J,9,0)</f>
        <v>1.6974376402298856</v>
      </c>
      <c r="I400" s="120">
        <f>VLOOKUP(B400,'All Menu'!B:M,12,0)</f>
        <v>0.39414533456410239</v>
      </c>
      <c r="J400" s="114">
        <f t="shared" si="31"/>
        <v>53.232758620689658</v>
      </c>
      <c r="K400" s="117">
        <f t="shared" si="32"/>
        <v>0</v>
      </c>
      <c r="L400" s="118">
        <f>VLOOKUP(B400,'All Menu'!B:G,6,0)</f>
        <v>2.8017241379310347</v>
      </c>
      <c r="M400" s="118">
        <f t="shared" si="33"/>
        <v>0</v>
      </c>
      <c r="N400" s="151">
        <f ca="1">VLOOKUP(B400,'All Menu'!B:H,7,0)</f>
        <v>37</v>
      </c>
    </row>
    <row r="401" spans="1:14" s="158" customFormat="1" ht="14.5">
      <c r="A401" s="157" t="s">
        <v>2021</v>
      </c>
      <c r="B401" s="169" t="s">
        <v>1155</v>
      </c>
      <c r="C401" s="158" t="s">
        <v>1361</v>
      </c>
      <c r="D401" s="115" t="str">
        <f>VLOOKUP(B401,'All Menu'!B:D,3,0)</f>
        <v>الوجبات اليومية سفري</v>
      </c>
      <c r="E401" s="116">
        <f t="shared" si="34"/>
        <v>3.4482758620689657</v>
      </c>
      <c r="F401" s="160">
        <v>8</v>
      </c>
      <c r="G401" s="161">
        <v>27.586206896551726</v>
      </c>
      <c r="H401" s="115">
        <f>VLOOKUP(B401,'All Menu'!B:J,9,0)</f>
        <v>1.6677253566004877</v>
      </c>
      <c r="I401" s="120">
        <f>VLOOKUP(B401,'All Menu'!B:M,12,0)</f>
        <v>0.51635964658585864</v>
      </c>
      <c r="J401" s="114">
        <f t="shared" si="31"/>
        <v>27.586206896551726</v>
      </c>
      <c r="K401" s="117">
        <f t="shared" si="32"/>
        <v>0</v>
      </c>
      <c r="L401" s="118">
        <f>VLOOKUP(B401,'All Menu'!B:G,6,0)</f>
        <v>3.4482758620689657</v>
      </c>
      <c r="M401" s="118">
        <f t="shared" si="33"/>
        <v>0</v>
      </c>
      <c r="N401" s="151">
        <f ca="1">VLOOKUP(B401,'All Menu'!B:H,7,0)</f>
        <v>18</v>
      </c>
    </row>
    <row r="402" spans="1:14" s="158" customFormat="1" ht="14.5">
      <c r="A402" s="157" t="s">
        <v>2021</v>
      </c>
      <c r="B402" s="169" t="s">
        <v>1175</v>
      </c>
      <c r="C402" s="158" t="s">
        <v>1358</v>
      </c>
      <c r="D402" s="115" t="str">
        <f>VLOOKUP(B402,'All Menu'!B:D,3,0)</f>
        <v>الوجبات اليومية سفري</v>
      </c>
      <c r="E402" s="116">
        <f t="shared" si="34"/>
        <v>5.6034482758620694</v>
      </c>
      <c r="F402" s="160">
        <v>10</v>
      </c>
      <c r="G402" s="161">
        <v>56.034482758620697</v>
      </c>
      <c r="H402" s="115">
        <f>VLOOKUP(B402,'All Menu'!B:J,9,0)</f>
        <v>4.3739662429801713</v>
      </c>
      <c r="I402" s="120">
        <f>VLOOKUP(B402,'All Menu'!B:M,12,0)</f>
        <v>0.21941525509892332</v>
      </c>
      <c r="J402" s="114">
        <f t="shared" si="31"/>
        <v>56.034482758620697</v>
      </c>
      <c r="K402" s="117">
        <f t="shared" si="32"/>
        <v>0</v>
      </c>
      <c r="L402" s="118">
        <f>VLOOKUP(B402,'All Menu'!B:G,6,0)</f>
        <v>5.6034482758620694</v>
      </c>
      <c r="M402" s="118">
        <f t="shared" si="33"/>
        <v>0</v>
      </c>
      <c r="N402" s="151">
        <f ca="1">VLOOKUP(B402,'All Menu'!B:H,7,0)</f>
        <v>18</v>
      </c>
    </row>
    <row r="403" spans="1:14" s="158" customFormat="1" ht="14.5">
      <c r="A403" s="157" t="s">
        <v>2021</v>
      </c>
      <c r="B403" s="169" t="s">
        <v>1470</v>
      </c>
      <c r="C403" s="158" t="s">
        <v>1471</v>
      </c>
      <c r="D403" s="115" t="str">
        <f>VLOOKUP(B403,'All Menu'!B:D,3,0)</f>
        <v>الوجبات اليومية سفري</v>
      </c>
      <c r="E403" s="116">
        <f t="shared" si="34"/>
        <v>0.21551724137931036</v>
      </c>
      <c r="F403" s="160">
        <v>324</v>
      </c>
      <c r="G403" s="161">
        <v>69.827586206896555</v>
      </c>
      <c r="H403" s="115">
        <f>VLOOKUP(B403,'All Menu'!B:J,9,0)</f>
        <v>0</v>
      </c>
      <c r="I403" s="120">
        <f>VLOOKUP(B403,'All Menu'!B:M,12,0)</f>
        <v>1</v>
      </c>
      <c r="J403" s="114">
        <f t="shared" si="31"/>
        <v>69.827586206896555</v>
      </c>
      <c r="K403" s="117">
        <f t="shared" si="32"/>
        <v>0</v>
      </c>
      <c r="L403" s="118">
        <f>VLOOKUP(B403,'All Menu'!B:G,6,0)</f>
        <v>0.21551724137931036</v>
      </c>
      <c r="M403" s="118">
        <f t="shared" si="33"/>
        <v>0</v>
      </c>
      <c r="N403" s="151">
        <f ca="1">VLOOKUP(B403,'All Menu'!B:H,7,0)</f>
        <v>705.00199999999995</v>
      </c>
    </row>
    <row r="404" spans="1:14" s="158" customFormat="1" ht="14.5">
      <c r="A404" s="157" t="s">
        <v>2021</v>
      </c>
      <c r="B404" s="169" t="s">
        <v>1198</v>
      </c>
      <c r="C404" s="158" t="s">
        <v>1474</v>
      </c>
      <c r="D404" s="115" t="str">
        <f>VLOOKUP(B404,'All Menu'!B:D,3,0)</f>
        <v>الوجبات اليومية سفري2</v>
      </c>
      <c r="E404" s="116">
        <f t="shared" si="34"/>
        <v>5.6034482758620694</v>
      </c>
      <c r="F404" s="160">
        <v>30</v>
      </c>
      <c r="G404" s="161">
        <v>168.10344827586209</v>
      </c>
      <c r="H404" s="115">
        <f>VLOOKUP(B404,'All Menu'!B:J,9,0)</f>
        <v>3.1462601484907435</v>
      </c>
      <c r="I404" s="120">
        <f>VLOOKUP(B404,'All Menu'!B:M,12,0)</f>
        <v>0.4385135735001135</v>
      </c>
      <c r="J404" s="114">
        <f t="shared" si="31"/>
        <v>168.10344827586209</v>
      </c>
      <c r="K404" s="117">
        <f t="shared" si="32"/>
        <v>0</v>
      </c>
      <c r="L404" s="118">
        <f>VLOOKUP(B404,'All Menu'!B:G,6,0)</f>
        <v>5.6034482758620694</v>
      </c>
      <c r="M404" s="118">
        <f t="shared" si="33"/>
        <v>0</v>
      </c>
      <c r="N404" s="151">
        <f ca="1">VLOOKUP(B404,'All Menu'!B:H,7,0)</f>
        <v>45</v>
      </c>
    </row>
    <row r="405" spans="1:14" s="158" customFormat="1" ht="14.5">
      <c r="A405" s="157" t="s">
        <v>2021</v>
      </c>
      <c r="B405" s="169" t="s">
        <v>1199</v>
      </c>
      <c r="C405" s="158" t="s">
        <v>1362</v>
      </c>
      <c r="D405" s="115" t="str">
        <f>VLOOKUP(B405,'All Menu'!B:D,3,0)</f>
        <v>الوجبات اليومية سفري2</v>
      </c>
      <c r="E405" s="116">
        <f t="shared" si="34"/>
        <v>7.7586206896551726</v>
      </c>
      <c r="F405" s="160">
        <v>1</v>
      </c>
      <c r="G405" s="161">
        <v>7.7586206896551726</v>
      </c>
      <c r="H405" s="115">
        <f>VLOOKUP(B405,'All Menu'!B:J,9,0)</f>
        <v>7.1847246533469793</v>
      </c>
      <c r="I405" s="120">
        <f>VLOOKUP(B405,'All Menu'!B:M,12,0)</f>
        <v>7.3968822457500472E-2</v>
      </c>
      <c r="J405" s="114">
        <f t="shared" si="31"/>
        <v>7.7586206896551726</v>
      </c>
      <c r="K405" s="117">
        <f t="shared" si="32"/>
        <v>0</v>
      </c>
      <c r="L405" s="118">
        <f>VLOOKUP(B405,'All Menu'!B:G,6,0)</f>
        <v>7.7586206896551726</v>
      </c>
      <c r="M405" s="118">
        <f t="shared" si="33"/>
        <v>0</v>
      </c>
      <c r="N405" s="151">
        <f ca="1">VLOOKUP(B405,'All Menu'!B:H,7,0)</f>
        <v>3</v>
      </c>
    </row>
    <row r="406" spans="1:14" s="158" customFormat="1" ht="14.5">
      <c r="A406" s="157" t="s">
        <v>2021</v>
      </c>
      <c r="B406" s="169" t="s">
        <v>1223</v>
      </c>
      <c r="C406" s="158" t="s">
        <v>1968</v>
      </c>
      <c r="D406" s="115" t="str">
        <f>VLOOKUP(B406,'All Menu'!B:D,3,0)</f>
        <v>الوجبات اليومية سفري2</v>
      </c>
      <c r="E406" s="116">
        <f t="shared" si="34"/>
        <v>4.3103448275862073</v>
      </c>
      <c r="F406" s="160">
        <v>33</v>
      </c>
      <c r="G406" s="161">
        <v>142.24137931034485</v>
      </c>
      <c r="H406" s="115">
        <f>VLOOKUP(B406,'All Menu'!B:J,9,0)</f>
        <v>3.0970324568917231</v>
      </c>
      <c r="I406" s="120">
        <f>VLOOKUP(B406,'All Menu'!B:M,12,0)</f>
        <v>0.28148847000112032</v>
      </c>
      <c r="J406" s="114">
        <f t="shared" si="31"/>
        <v>142.24137931034485</v>
      </c>
      <c r="K406" s="117">
        <f t="shared" si="32"/>
        <v>0</v>
      </c>
      <c r="L406" s="118">
        <f>VLOOKUP(B406,'All Menu'!B:G,6,0)</f>
        <v>4.3103448275862073</v>
      </c>
      <c r="M406" s="118">
        <f t="shared" si="33"/>
        <v>0</v>
      </c>
      <c r="N406" s="151">
        <f ca="1">VLOOKUP(B406,'All Menu'!B:H,7,0)</f>
        <v>68</v>
      </c>
    </row>
    <row r="407" spans="1:14" s="158" customFormat="1" ht="14.5">
      <c r="A407" s="157" t="s">
        <v>2021</v>
      </c>
      <c r="B407" s="169" t="s">
        <v>1204</v>
      </c>
      <c r="C407" s="158" t="s">
        <v>1682</v>
      </c>
      <c r="D407" s="115" t="str">
        <f>VLOOKUP(B407,'All Menu'!B:D,3,0)</f>
        <v>الوجبات اليومية سفري2</v>
      </c>
      <c r="E407" s="116">
        <f t="shared" si="34"/>
        <v>4.3103448275862073</v>
      </c>
      <c r="F407" s="160">
        <v>17</v>
      </c>
      <c r="G407" s="161">
        <v>73.275862068965523</v>
      </c>
      <c r="H407" s="115">
        <f>VLOOKUP(B407,'All Menu'!B:J,9,0)</f>
        <v>0.90323429216094819</v>
      </c>
      <c r="I407" s="120">
        <f>VLOOKUP(B407,'All Menu'!B:M,12,0)</f>
        <v>0.79044964421866004</v>
      </c>
      <c r="J407" s="114">
        <f t="shared" si="31"/>
        <v>73.275862068965523</v>
      </c>
      <c r="K407" s="117">
        <f t="shared" si="32"/>
        <v>0</v>
      </c>
      <c r="L407" s="118">
        <f>VLOOKUP(B407,'All Menu'!B:G,6,0)</f>
        <v>4.3103448275862073</v>
      </c>
      <c r="M407" s="118">
        <f t="shared" si="33"/>
        <v>0</v>
      </c>
      <c r="N407" s="151">
        <f ca="1">VLOOKUP(B407,'All Menu'!B:H,7,0)</f>
        <v>24</v>
      </c>
    </row>
    <row r="408" spans="1:14" s="158" customFormat="1" ht="14.5">
      <c r="A408" s="157" t="s">
        <v>2021</v>
      </c>
      <c r="B408" s="169" t="s">
        <v>1178</v>
      </c>
      <c r="C408" s="158" t="s">
        <v>1347</v>
      </c>
      <c r="D408" s="115" t="str">
        <f>VLOOKUP(B408,'All Menu'!B:D,3,0)</f>
        <v>الوجبات اليومية سفري2</v>
      </c>
      <c r="E408" s="116">
        <f t="shared" si="34"/>
        <v>6.0344827586206904</v>
      </c>
      <c r="F408" s="160">
        <v>55</v>
      </c>
      <c r="G408" s="161">
        <v>331.89655172413796</v>
      </c>
      <c r="H408" s="115">
        <f>VLOOKUP(B408,'All Menu'!B:J,9,0)</f>
        <v>6.2484995959427092</v>
      </c>
      <c r="I408" s="120">
        <f>VLOOKUP(B408,'All Menu'!B:M,12,0)</f>
        <v>-3.5465647327648828E-2</v>
      </c>
      <c r="J408" s="114">
        <f t="shared" si="31"/>
        <v>331.89655172413796</v>
      </c>
      <c r="K408" s="117">
        <f t="shared" si="32"/>
        <v>0</v>
      </c>
      <c r="L408" s="118">
        <f>VLOOKUP(B408,'All Menu'!B:G,6,0)</f>
        <v>6.0344827586206904</v>
      </c>
      <c r="M408" s="118">
        <f t="shared" si="33"/>
        <v>0</v>
      </c>
      <c r="N408" s="151">
        <f ca="1">VLOOKUP(B408,'All Menu'!B:H,7,0)</f>
        <v>127</v>
      </c>
    </row>
    <row r="409" spans="1:14" s="158" customFormat="1" ht="14.5">
      <c r="A409" s="157" t="s">
        <v>2021</v>
      </c>
      <c r="B409" s="169" t="s">
        <v>1270</v>
      </c>
      <c r="C409" s="158" t="s">
        <v>1345</v>
      </c>
      <c r="D409" s="115" t="str">
        <f>VLOOKUP(B409,'All Menu'!B:D,3,0)</f>
        <v>الوجبات اليومية سفري2</v>
      </c>
      <c r="E409" s="116">
        <f t="shared" si="34"/>
        <v>6.8965517241379315</v>
      </c>
      <c r="F409" s="160">
        <v>52</v>
      </c>
      <c r="G409" s="161">
        <v>358.62068965517244</v>
      </c>
      <c r="H409" s="115">
        <f>VLOOKUP(B409,'All Menu'!B:J,9,0)</f>
        <v>4.7272690639304891</v>
      </c>
      <c r="I409" s="120">
        <f>VLOOKUP(B409,'All Menu'!B:M,12,0)</f>
        <v>0.31454598573007914</v>
      </c>
      <c r="J409" s="114">
        <f t="shared" si="31"/>
        <v>358.62068965517244</v>
      </c>
      <c r="K409" s="117">
        <f t="shared" si="32"/>
        <v>0</v>
      </c>
      <c r="L409" s="118">
        <f>VLOOKUP(B409,'All Menu'!B:G,6,0)</f>
        <v>6.8965517241379315</v>
      </c>
      <c r="M409" s="118">
        <f t="shared" si="33"/>
        <v>0</v>
      </c>
      <c r="N409" s="151">
        <f ca="1">VLOOKUP(B409,'All Menu'!B:H,7,0)</f>
        <v>111</v>
      </c>
    </row>
    <row r="410" spans="1:14" s="158" customFormat="1" ht="14.5">
      <c r="A410" s="157" t="s">
        <v>2021</v>
      </c>
      <c r="B410" s="169" t="s">
        <v>1226</v>
      </c>
      <c r="C410" s="158" t="s">
        <v>1348</v>
      </c>
      <c r="D410" s="115" t="str">
        <f>VLOOKUP(B410,'All Menu'!B:D,3,0)</f>
        <v>الوجبات اليومية سفري2</v>
      </c>
      <c r="E410" s="116">
        <f t="shared" si="34"/>
        <v>12.931034482758621</v>
      </c>
      <c r="F410" s="160">
        <v>30</v>
      </c>
      <c r="G410" s="161">
        <v>387.93103448275861</v>
      </c>
      <c r="H410" s="115">
        <f>VLOOKUP(B410,'All Menu'!B:J,9,0)</f>
        <v>9.0042398265418075</v>
      </c>
      <c r="I410" s="120">
        <f>VLOOKUP(B410,'All Menu'!B:M,12,0)</f>
        <v>0.30367212008076688</v>
      </c>
      <c r="J410" s="114">
        <f t="shared" si="31"/>
        <v>387.93103448275861</v>
      </c>
      <c r="K410" s="117">
        <f t="shared" si="32"/>
        <v>0</v>
      </c>
      <c r="L410" s="118">
        <f>VLOOKUP(B410,'All Menu'!B:G,6,0)</f>
        <v>12.931034482758621</v>
      </c>
      <c r="M410" s="118">
        <f t="shared" si="33"/>
        <v>0</v>
      </c>
      <c r="N410" s="151">
        <f ca="1">VLOOKUP(B410,'All Menu'!B:H,7,0)</f>
        <v>77</v>
      </c>
    </row>
    <row r="411" spans="1:14" s="158" customFormat="1" ht="14.5">
      <c r="A411" s="157" t="s">
        <v>2021</v>
      </c>
      <c r="B411" s="169">
        <v>30206</v>
      </c>
      <c r="C411" s="158" t="s">
        <v>1895</v>
      </c>
      <c r="D411" s="115" t="str">
        <f>VLOOKUP(B411,'All Menu'!B:D,3,0)</f>
        <v>تجهيزات</v>
      </c>
      <c r="E411" s="116">
        <f t="shared" si="34"/>
        <v>3.8</v>
      </c>
      <c r="F411" s="160">
        <v>3.71</v>
      </c>
      <c r="G411" s="161">
        <v>14.097999999999999</v>
      </c>
      <c r="H411" s="115">
        <f>VLOOKUP(B411,'All Menu'!B:J,9,0)</f>
        <v>4.8215285557894729</v>
      </c>
      <c r="I411" s="120">
        <f>VLOOKUP(B411,'All Menu'!B:M,12,0)</f>
        <v>-0.26882330415512451</v>
      </c>
      <c r="J411" s="114">
        <f t="shared" ref="J411:J474" si="35">F411*L411</f>
        <v>14.097999999999999</v>
      </c>
      <c r="K411" s="117">
        <f t="shared" ref="K411:K474" si="36">G411-J411</f>
        <v>0</v>
      </c>
      <c r="L411" s="118">
        <f>VLOOKUP(B411,'All Menu'!B:G,6,0)</f>
        <v>3.8</v>
      </c>
      <c r="M411" s="118">
        <f t="shared" ref="M411:M474" si="37">E411-L411</f>
        <v>0</v>
      </c>
      <c r="N411" s="151">
        <f ca="1">VLOOKUP(B411,'All Menu'!B:H,7,0)</f>
        <v>3.7109999999999999</v>
      </c>
    </row>
    <row r="412" spans="1:14" s="158" customFormat="1" ht="14.5">
      <c r="A412" s="157" t="s">
        <v>2021</v>
      </c>
      <c r="B412" s="169">
        <v>30207</v>
      </c>
      <c r="C412" s="158" t="s">
        <v>1852</v>
      </c>
      <c r="D412" s="115" t="str">
        <f>VLOOKUP(B412,'All Menu'!B:D,3,0)</f>
        <v>تجهيزات</v>
      </c>
      <c r="E412" s="116">
        <f t="shared" si="34"/>
        <v>5.9</v>
      </c>
      <c r="F412" s="160">
        <v>4</v>
      </c>
      <c r="G412" s="161">
        <v>23.6</v>
      </c>
      <c r="H412" s="115">
        <f>VLOOKUP(B412,'All Menu'!B:J,9,0)</f>
        <v>6.4287047410526306</v>
      </c>
      <c r="I412" s="120">
        <f>VLOOKUP(B412,'All Menu'!B:M,12,0)</f>
        <v>-8.9610973059767826E-2</v>
      </c>
      <c r="J412" s="114">
        <f t="shared" si="35"/>
        <v>23.6</v>
      </c>
      <c r="K412" s="117">
        <f t="shared" si="36"/>
        <v>0</v>
      </c>
      <c r="L412" s="118">
        <f>VLOOKUP(B412,'All Menu'!B:G,6,0)</f>
        <v>5.9</v>
      </c>
      <c r="M412" s="118">
        <f t="shared" si="37"/>
        <v>0</v>
      </c>
      <c r="N412" s="151">
        <f ca="1">VLOOKUP(B412,'All Menu'!B:H,7,0)</f>
        <v>4.0010000000000003</v>
      </c>
    </row>
    <row r="413" spans="1:14" s="158" customFormat="1" ht="14.5">
      <c r="A413" s="157" t="s">
        <v>2021</v>
      </c>
      <c r="B413" s="169" t="s">
        <v>1893</v>
      </c>
      <c r="C413" s="158" t="s">
        <v>1894</v>
      </c>
      <c r="D413" s="115" t="str">
        <f>VLOOKUP(B413,'All Menu'!B:D,3,0)</f>
        <v>تجهيزات</v>
      </c>
      <c r="E413" s="116">
        <f t="shared" si="34"/>
        <v>4.32</v>
      </c>
      <c r="F413" s="160">
        <v>5</v>
      </c>
      <c r="G413" s="161">
        <v>21.6</v>
      </c>
      <c r="H413" s="115">
        <f>VLOOKUP(B413,'All Menu'!B:J,9,0)</f>
        <v>2.7208427777777779</v>
      </c>
      <c r="I413" s="120">
        <f>VLOOKUP(B413,'All Menu'!B:M,12,0)</f>
        <v>0.39536827160493826</v>
      </c>
      <c r="J413" s="114">
        <f t="shared" si="35"/>
        <v>22.5</v>
      </c>
      <c r="K413" s="117">
        <f t="shared" si="36"/>
        <v>-0.89999999999999858</v>
      </c>
      <c r="L413" s="118">
        <f>VLOOKUP(B413,'All Menu'!B:G,6,0)</f>
        <v>4.5</v>
      </c>
      <c r="M413" s="118">
        <f t="shared" si="37"/>
        <v>-0.17999999999999972</v>
      </c>
      <c r="N413" s="151">
        <f ca="1">VLOOKUP(B413,'All Menu'!B:H,7,0)</f>
        <v>5</v>
      </c>
    </row>
    <row r="414" spans="1:14" s="158" customFormat="1" ht="14.5">
      <c r="A414" s="157" t="s">
        <v>2021</v>
      </c>
      <c r="B414" s="169" t="s">
        <v>1847</v>
      </c>
      <c r="C414" s="158" t="s">
        <v>1848</v>
      </c>
      <c r="D414" s="115" t="str">
        <f>VLOOKUP(B414,'All Menu'!B:D,3,0)</f>
        <v>خدمات</v>
      </c>
      <c r="E414" s="116">
        <f t="shared" si="34"/>
        <v>0.86206896551724155</v>
      </c>
      <c r="F414" s="160">
        <v>11</v>
      </c>
      <c r="G414" s="161">
        <v>9.4827586206896566</v>
      </c>
      <c r="H414" s="115">
        <f>VLOOKUP(B414,'All Menu'!B:J,9,0)</f>
        <v>0.5</v>
      </c>
      <c r="I414" s="120">
        <f>VLOOKUP(B414,'All Menu'!B:M,12,0)</f>
        <v>0.42000000000000004</v>
      </c>
      <c r="J414" s="114">
        <f t="shared" si="35"/>
        <v>9.4827586206896566</v>
      </c>
      <c r="K414" s="117">
        <f t="shared" si="36"/>
        <v>0</v>
      </c>
      <c r="L414" s="118">
        <f>VLOOKUP(B414,'All Menu'!B:G,6,0)</f>
        <v>0.86206896551724144</v>
      </c>
      <c r="M414" s="118">
        <f t="shared" si="37"/>
        <v>0</v>
      </c>
      <c r="N414" s="151">
        <f ca="1">VLOOKUP(B414,'All Menu'!B:H,7,0)</f>
        <v>11</v>
      </c>
    </row>
    <row r="415" spans="1:14" s="158" customFormat="1" ht="14.5">
      <c r="A415" s="157" t="s">
        <v>2021</v>
      </c>
      <c r="B415" s="169" t="s">
        <v>1494</v>
      </c>
      <c r="C415" s="158" t="s">
        <v>1495</v>
      </c>
      <c r="D415" s="115" t="str">
        <f>VLOOKUP(B415,'All Menu'!B:D,3,0)</f>
        <v>خدمات</v>
      </c>
      <c r="E415" s="116">
        <f t="shared" si="34"/>
        <v>0.86206896551724144</v>
      </c>
      <c r="F415" s="160">
        <v>571.22</v>
      </c>
      <c r="G415" s="161">
        <v>492.43103448275866</v>
      </c>
      <c r="H415" s="115">
        <f>VLOOKUP(B415,'All Menu'!B:J,9,0)</f>
        <v>0.5</v>
      </c>
      <c r="I415" s="120">
        <f>VLOOKUP(B415,'All Menu'!B:M,12,0)</f>
        <v>0.42000000000000004</v>
      </c>
      <c r="J415" s="114">
        <f t="shared" si="35"/>
        <v>492.43103448275866</v>
      </c>
      <c r="K415" s="117">
        <f t="shared" si="36"/>
        <v>0</v>
      </c>
      <c r="L415" s="118">
        <f>VLOOKUP(B415,'All Menu'!B:G,6,0)</f>
        <v>0.86206896551724144</v>
      </c>
      <c r="M415" s="118">
        <f t="shared" si="37"/>
        <v>0</v>
      </c>
      <c r="N415" s="151">
        <f ca="1">VLOOKUP(B415,'All Menu'!B:H,7,0)</f>
        <v>2491.5450000000001</v>
      </c>
    </row>
    <row r="416" spans="1:14" s="158" customFormat="1" ht="14.5">
      <c r="A416" s="157" t="s">
        <v>2021</v>
      </c>
      <c r="B416" s="169" t="s">
        <v>2108</v>
      </c>
      <c r="C416" s="158" t="s">
        <v>2109</v>
      </c>
      <c r="D416" s="115" t="str">
        <f>VLOOKUP(B416,'All Menu'!B:D,3,0)</f>
        <v>خدمات</v>
      </c>
      <c r="E416" s="116">
        <f t="shared" si="34"/>
        <v>0.86206896551724144</v>
      </c>
      <c r="F416" s="160">
        <v>35</v>
      </c>
      <c r="G416" s="161">
        <v>30.172413793103452</v>
      </c>
      <c r="H416" s="115">
        <f>VLOOKUP(B416,'All Menu'!B:J,9,0)</f>
        <v>0.5</v>
      </c>
      <c r="I416" s="120">
        <f>VLOOKUP(B416,'All Menu'!B:M,12,0)</f>
        <v>0.42000000000000004</v>
      </c>
      <c r="J416" s="114">
        <f t="shared" si="35"/>
        <v>30.172413793103452</v>
      </c>
      <c r="K416" s="117">
        <f t="shared" si="36"/>
        <v>0</v>
      </c>
      <c r="L416" s="118">
        <f>VLOOKUP(B416,'All Menu'!B:G,6,0)</f>
        <v>0.86206896551724144</v>
      </c>
      <c r="M416" s="118">
        <f t="shared" si="37"/>
        <v>0</v>
      </c>
      <c r="N416" s="151">
        <f ca="1">VLOOKUP(B416,'All Menu'!B:H,7,0)</f>
        <v>35</v>
      </c>
    </row>
    <row r="417" spans="1:14" s="158" customFormat="1" ht="14.5">
      <c r="A417" s="288" t="s">
        <v>2021</v>
      </c>
      <c r="B417" s="289">
        <v>5285</v>
      </c>
      <c r="C417" s="268" t="s">
        <v>3008</v>
      </c>
      <c r="D417" s="269" t="str">
        <f>VLOOKUP(B417,'All Menu'!B:D,3,0)</f>
        <v>دواجن</v>
      </c>
      <c r="E417" s="116">
        <f t="shared" si="34"/>
        <v>2.5</v>
      </c>
      <c r="F417" s="290">
        <v>4.7</v>
      </c>
      <c r="G417" s="270">
        <v>11.75</v>
      </c>
      <c r="H417" s="115">
        <f>VLOOKUP(B417,'All Menu'!B:J,9,0)</f>
        <v>1.75</v>
      </c>
      <c r="I417" s="120">
        <f>VLOOKUP(B417,'All Menu'!B:M,12,0)</f>
        <v>0.3</v>
      </c>
      <c r="J417" s="114">
        <f t="shared" si="35"/>
        <v>11.75</v>
      </c>
      <c r="K417" s="117">
        <f t="shared" si="36"/>
        <v>0</v>
      </c>
      <c r="L417" s="118">
        <f>VLOOKUP(B417,'All Menu'!B:G,6,0)</f>
        <v>2.5</v>
      </c>
      <c r="M417" s="118">
        <f t="shared" si="37"/>
        <v>0</v>
      </c>
      <c r="N417" s="151">
        <f ca="1">VLOOKUP(B417,'All Menu'!B:H,7,0)</f>
        <v>4.7</v>
      </c>
    </row>
    <row r="418" spans="1:14" s="158" customFormat="1" ht="14.5">
      <c r="A418" s="157" t="s">
        <v>2021</v>
      </c>
      <c r="B418" s="169">
        <v>50001</v>
      </c>
      <c r="C418" s="158" t="s">
        <v>1497</v>
      </c>
      <c r="D418" s="115" t="str">
        <f>VLOOKUP(B418,'All Menu'!B:D,3,0)</f>
        <v>دواجن</v>
      </c>
      <c r="E418" s="116">
        <f t="shared" si="34"/>
        <v>2.7493800438379568</v>
      </c>
      <c r="F418" s="160">
        <v>1587.2090000000001</v>
      </c>
      <c r="G418" s="161">
        <v>4363.8407499999994</v>
      </c>
      <c r="H418" s="115">
        <f>VLOOKUP(B418,'All Menu'!B:J,9,0)</f>
        <v>2.34</v>
      </c>
      <c r="I418" s="120">
        <f>VLOOKUP(B418,'All Menu'!B:M,12,0)</f>
        <v>0.14909090909090914</v>
      </c>
      <c r="J418" s="114">
        <f t="shared" si="35"/>
        <v>4364.8247499999998</v>
      </c>
      <c r="K418" s="117">
        <f t="shared" si="36"/>
        <v>-0.98400000000037835</v>
      </c>
      <c r="L418" s="118">
        <f>VLOOKUP(B418,'All Menu'!B:G,6,0)</f>
        <v>2.75</v>
      </c>
      <c r="M418" s="118">
        <f t="shared" si="37"/>
        <v>-6.1995616204324477E-4</v>
      </c>
      <c r="N418" s="151">
        <f ca="1">VLOOKUP(B418,'All Menu'!B:H,7,0)</f>
        <v>1957.3890000000001</v>
      </c>
    </row>
    <row r="419" spans="1:14" s="158" customFormat="1" ht="14.5">
      <c r="A419" s="157" t="s">
        <v>2021</v>
      </c>
      <c r="B419" s="169">
        <v>50002</v>
      </c>
      <c r="C419" s="158" t="s">
        <v>1497</v>
      </c>
      <c r="D419" s="115" t="str">
        <f>VLOOKUP(B419,'All Menu'!B:D,3,0)</f>
        <v>دواجن</v>
      </c>
      <c r="E419" s="116">
        <f t="shared" si="34"/>
        <v>2.5</v>
      </c>
      <c r="F419" s="160">
        <v>148.88999999999999</v>
      </c>
      <c r="G419" s="161">
        <v>372.22499999999997</v>
      </c>
      <c r="H419" s="115">
        <f>VLOOKUP(B419,'All Menu'!B:J,9,0)</f>
        <v>1.9</v>
      </c>
      <c r="I419" s="120">
        <f>VLOOKUP(B419,'All Menu'!B:M,12,0)</f>
        <v>0.24000000000000005</v>
      </c>
      <c r="J419" s="114">
        <f t="shared" si="35"/>
        <v>372.22499999999997</v>
      </c>
      <c r="K419" s="117">
        <f t="shared" si="36"/>
        <v>0</v>
      </c>
      <c r="L419" s="118">
        <f>VLOOKUP(B419,'All Menu'!B:G,6,0)</f>
        <v>2.5</v>
      </c>
      <c r="M419" s="118">
        <f t="shared" si="37"/>
        <v>0</v>
      </c>
      <c r="N419" s="151">
        <f ca="1">VLOOKUP(B419,'All Menu'!B:H,7,0)</f>
        <v>148.88999999999999</v>
      </c>
    </row>
    <row r="420" spans="1:14" s="158" customFormat="1" ht="14.5">
      <c r="A420" s="157" t="s">
        <v>2021</v>
      </c>
      <c r="B420" s="169">
        <v>50004</v>
      </c>
      <c r="C420" s="158" t="s">
        <v>1498</v>
      </c>
      <c r="D420" s="115" t="str">
        <f>VLOOKUP(B420,'All Menu'!B:D,3,0)</f>
        <v>دواجن</v>
      </c>
      <c r="E420" s="116">
        <f t="shared" si="34"/>
        <v>4.5</v>
      </c>
      <c r="F420" s="160">
        <v>60.66</v>
      </c>
      <c r="G420" s="161">
        <v>272.96999999999997</v>
      </c>
      <c r="H420" s="115">
        <f>VLOOKUP(B420,'All Menu'!B:J,9,0)</f>
        <v>2.95</v>
      </c>
      <c r="I420" s="120">
        <f>VLOOKUP(B420,'All Menu'!B:M,12,0)</f>
        <v>0.34444444444444439</v>
      </c>
      <c r="J420" s="114">
        <f t="shared" si="35"/>
        <v>272.96999999999997</v>
      </c>
      <c r="K420" s="117">
        <f t="shared" si="36"/>
        <v>0</v>
      </c>
      <c r="L420" s="118">
        <f>VLOOKUP(B420,'All Menu'!B:G,6,0)</f>
        <v>4.5</v>
      </c>
      <c r="M420" s="118">
        <f t="shared" si="37"/>
        <v>0</v>
      </c>
      <c r="N420" s="151">
        <f ca="1">VLOOKUP(B420,'All Menu'!B:H,7,0)</f>
        <v>70.864999999999995</v>
      </c>
    </row>
    <row r="421" spans="1:14" s="158" customFormat="1" ht="14.5">
      <c r="A421" s="157" t="s">
        <v>2021</v>
      </c>
      <c r="B421" s="169">
        <v>50005</v>
      </c>
      <c r="C421" s="158" t="s">
        <v>303</v>
      </c>
      <c r="D421" s="115" t="str">
        <f>VLOOKUP(B421,'All Menu'!B:D,3,0)</f>
        <v>دواجن</v>
      </c>
      <c r="E421" s="116">
        <f t="shared" si="34"/>
        <v>7</v>
      </c>
      <c r="F421" s="160">
        <v>350.81</v>
      </c>
      <c r="G421" s="161">
        <v>2455.67</v>
      </c>
      <c r="H421" s="115">
        <f>VLOOKUP(B421,'All Menu'!B:J,9,0)</f>
        <v>5.7</v>
      </c>
      <c r="I421" s="120">
        <f>VLOOKUP(B421,'All Menu'!B:M,12,0)</f>
        <v>0.18571428571428569</v>
      </c>
      <c r="J421" s="114">
        <f t="shared" si="35"/>
        <v>2455.67</v>
      </c>
      <c r="K421" s="117">
        <f t="shared" si="36"/>
        <v>0</v>
      </c>
      <c r="L421" s="118">
        <f>VLOOKUP(B421,'All Menu'!B:G,6,0)</f>
        <v>7</v>
      </c>
      <c r="M421" s="118">
        <f t="shared" si="37"/>
        <v>0</v>
      </c>
      <c r="N421" s="151">
        <f ca="1">VLOOKUP(B421,'All Menu'!B:H,7,0)</f>
        <v>359.99</v>
      </c>
    </row>
    <row r="422" spans="1:14" s="158" customFormat="1" ht="14.5">
      <c r="A422" s="157" t="s">
        <v>2021</v>
      </c>
      <c r="B422" s="169">
        <v>50006</v>
      </c>
      <c r="C422" s="158" t="s">
        <v>1499</v>
      </c>
      <c r="D422" s="115" t="str">
        <f>VLOOKUP(B422,'All Menu'!B:D,3,0)</f>
        <v>دواجن</v>
      </c>
      <c r="E422" s="116">
        <f t="shared" ref="E422:E485" si="38">G422/F422</f>
        <v>5.9964138961524096</v>
      </c>
      <c r="F422" s="160">
        <v>294.47000000000003</v>
      </c>
      <c r="G422" s="161">
        <v>1765.7640000000001</v>
      </c>
      <c r="H422" s="115">
        <f>VLOOKUP(B422,'All Menu'!B:J,9,0)</f>
        <v>4.2</v>
      </c>
      <c r="I422" s="120">
        <f>VLOOKUP(B422,'All Menu'!B:M,12,0)</f>
        <v>0.3</v>
      </c>
      <c r="J422" s="114">
        <f t="shared" si="35"/>
        <v>1766.8200000000002</v>
      </c>
      <c r="K422" s="117">
        <f t="shared" si="36"/>
        <v>-1.05600000000004</v>
      </c>
      <c r="L422" s="118">
        <f>VLOOKUP(B422,'All Menu'!B:G,6,0)</f>
        <v>6</v>
      </c>
      <c r="M422" s="118">
        <f t="shared" si="37"/>
        <v>-3.5861038475903939E-3</v>
      </c>
      <c r="N422" s="151">
        <f ca="1">VLOOKUP(B422,'All Menu'!B:H,7,0)</f>
        <v>467.76500000000004</v>
      </c>
    </row>
    <row r="423" spans="1:14" s="158" customFormat="1" ht="14.5">
      <c r="A423" s="157" t="s">
        <v>2021</v>
      </c>
      <c r="B423" s="169">
        <v>50008</v>
      </c>
      <c r="C423" s="158" t="s">
        <v>1500</v>
      </c>
      <c r="D423" s="115" t="str">
        <f>VLOOKUP(B423,'All Menu'!B:D,3,0)</f>
        <v>دواجن</v>
      </c>
      <c r="E423" s="116">
        <f t="shared" si="38"/>
        <v>3</v>
      </c>
      <c r="F423" s="160">
        <v>168.75</v>
      </c>
      <c r="G423" s="161">
        <v>506.25</v>
      </c>
      <c r="H423" s="115">
        <f>VLOOKUP(B423,'All Menu'!B:J,9,0)</f>
        <v>1.65</v>
      </c>
      <c r="I423" s="120">
        <f>VLOOKUP(B423,'All Menu'!B:M,12,0)</f>
        <v>0.45</v>
      </c>
      <c r="J423" s="114">
        <f t="shared" si="35"/>
        <v>506.25</v>
      </c>
      <c r="K423" s="117">
        <f t="shared" si="36"/>
        <v>0</v>
      </c>
      <c r="L423" s="118">
        <f>VLOOKUP(B423,'All Menu'!B:G,6,0)</f>
        <v>3</v>
      </c>
      <c r="M423" s="118">
        <f t="shared" si="37"/>
        <v>0</v>
      </c>
      <c r="N423" s="151">
        <f ca="1">VLOOKUP(B423,'All Menu'!B:H,7,0)</f>
        <v>187.79</v>
      </c>
    </row>
    <row r="424" spans="1:14" s="158" customFormat="1" ht="14.5">
      <c r="A424" s="157" t="s">
        <v>2021</v>
      </c>
      <c r="B424" s="169">
        <v>50009</v>
      </c>
      <c r="C424" s="158" t="s">
        <v>1501</v>
      </c>
      <c r="D424" s="115" t="str">
        <f>VLOOKUP(B424,'All Menu'!B:D,3,0)</f>
        <v>دواجن</v>
      </c>
      <c r="E424" s="116">
        <f t="shared" si="38"/>
        <v>3</v>
      </c>
      <c r="F424" s="160">
        <v>56.51</v>
      </c>
      <c r="G424" s="161">
        <v>169.53</v>
      </c>
      <c r="H424" s="115">
        <f>VLOOKUP(B424,'All Menu'!B:J,9,0)</f>
        <v>1.8</v>
      </c>
      <c r="I424" s="120">
        <f>VLOOKUP(B424,'All Menu'!B:M,12,0)</f>
        <v>0.39999999999999997</v>
      </c>
      <c r="J424" s="114">
        <f t="shared" si="35"/>
        <v>169.53</v>
      </c>
      <c r="K424" s="117">
        <f t="shared" si="36"/>
        <v>0</v>
      </c>
      <c r="L424" s="118">
        <f>VLOOKUP(B424,'All Menu'!B:G,6,0)</f>
        <v>3</v>
      </c>
      <c r="M424" s="118">
        <f t="shared" si="37"/>
        <v>0</v>
      </c>
      <c r="N424" s="151">
        <f ca="1">VLOOKUP(B424,'All Menu'!B:H,7,0)</f>
        <v>68</v>
      </c>
    </row>
    <row r="425" spans="1:14" s="158" customFormat="1" ht="14.5">
      <c r="A425" s="157" t="s">
        <v>2021</v>
      </c>
      <c r="B425" s="169">
        <v>50010</v>
      </c>
      <c r="C425" s="158" t="s">
        <v>1502</v>
      </c>
      <c r="D425" s="115" t="str">
        <f>VLOOKUP(B425,'All Menu'!B:D,3,0)</f>
        <v>دواجن</v>
      </c>
      <c r="E425" s="116">
        <f t="shared" si="38"/>
        <v>3</v>
      </c>
      <c r="F425" s="160">
        <v>33.42</v>
      </c>
      <c r="G425" s="161">
        <v>100.26</v>
      </c>
      <c r="H425" s="115">
        <f>VLOOKUP(B425,'All Menu'!B:J,9,0)</f>
        <v>1.3</v>
      </c>
      <c r="I425" s="120">
        <f>VLOOKUP(B425,'All Menu'!B:M,12,0)</f>
        <v>0.56666666666666665</v>
      </c>
      <c r="J425" s="114">
        <f t="shared" si="35"/>
        <v>100.26</v>
      </c>
      <c r="K425" s="117">
        <f t="shared" si="36"/>
        <v>0</v>
      </c>
      <c r="L425" s="118">
        <f>VLOOKUP(B425,'All Menu'!B:G,6,0)</f>
        <v>3</v>
      </c>
      <c r="M425" s="118">
        <f t="shared" si="37"/>
        <v>0</v>
      </c>
      <c r="N425" s="151">
        <f ca="1">VLOOKUP(B425,'All Menu'!B:H,7,0)</f>
        <v>42.150000000000006</v>
      </c>
    </row>
    <row r="426" spans="1:14" s="158" customFormat="1" ht="14.5">
      <c r="A426" s="157" t="s">
        <v>2021</v>
      </c>
      <c r="B426" s="169">
        <v>50011</v>
      </c>
      <c r="C426" s="158" t="s">
        <v>404</v>
      </c>
      <c r="D426" s="115" t="str">
        <f>VLOOKUP(B426,'All Menu'!B:D,3,0)</f>
        <v>دواجن</v>
      </c>
      <c r="E426" s="116">
        <f t="shared" si="38"/>
        <v>3</v>
      </c>
      <c r="F426" s="160">
        <v>1</v>
      </c>
      <c r="G426" s="161">
        <v>3</v>
      </c>
      <c r="H426" s="115">
        <f>VLOOKUP(B426,'All Menu'!B:J,9,0)</f>
        <v>0.75</v>
      </c>
      <c r="I426" s="120">
        <f>VLOOKUP(B426,'All Menu'!B:M,12,0)</f>
        <v>0.75</v>
      </c>
      <c r="J426" s="114">
        <f t="shared" si="35"/>
        <v>3</v>
      </c>
      <c r="K426" s="117">
        <f t="shared" si="36"/>
        <v>0</v>
      </c>
      <c r="L426" s="118">
        <f>VLOOKUP(B426,'All Menu'!B:G,6,0)</f>
        <v>3</v>
      </c>
      <c r="M426" s="118">
        <f t="shared" si="37"/>
        <v>0</v>
      </c>
      <c r="N426" s="151">
        <f ca="1">VLOOKUP(B426,'All Menu'!B:H,7,0)</f>
        <v>1</v>
      </c>
    </row>
    <row r="427" spans="1:14" s="158" customFormat="1" ht="14.5">
      <c r="A427" s="157" t="s">
        <v>2021</v>
      </c>
      <c r="B427" s="169">
        <v>50012</v>
      </c>
      <c r="C427" s="158" t="s">
        <v>406</v>
      </c>
      <c r="D427" s="115" t="str">
        <f>VLOOKUP(B427,'All Menu'!B:D,3,0)</f>
        <v>دواجن</v>
      </c>
      <c r="E427" s="116">
        <f t="shared" si="38"/>
        <v>3</v>
      </c>
      <c r="F427" s="160">
        <v>2.48</v>
      </c>
      <c r="G427" s="161">
        <v>7.4399999999999995</v>
      </c>
      <c r="H427" s="115">
        <f>VLOOKUP(B427,'All Menu'!B:J,9,0)</f>
        <v>0.75</v>
      </c>
      <c r="I427" s="120">
        <f>VLOOKUP(B427,'All Menu'!B:M,12,0)</f>
        <v>0.75</v>
      </c>
      <c r="J427" s="114">
        <f t="shared" si="35"/>
        <v>7.4399999999999995</v>
      </c>
      <c r="K427" s="117">
        <f t="shared" si="36"/>
        <v>0</v>
      </c>
      <c r="L427" s="118">
        <f>VLOOKUP(B427,'All Menu'!B:G,6,0)</f>
        <v>3</v>
      </c>
      <c r="M427" s="118">
        <f t="shared" si="37"/>
        <v>0</v>
      </c>
      <c r="N427" s="151">
        <f ca="1">VLOOKUP(B427,'All Menu'!B:H,7,0)</f>
        <v>2.48</v>
      </c>
    </row>
    <row r="428" spans="1:14" s="158" customFormat="1" ht="14.5">
      <c r="A428" s="157" t="s">
        <v>2021</v>
      </c>
      <c r="B428" s="169">
        <v>50046</v>
      </c>
      <c r="C428" s="158" t="s">
        <v>402</v>
      </c>
      <c r="D428" s="115" t="str">
        <f>VLOOKUP(B428,'All Menu'!B:D,3,0)</f>
        <v>دواجن</v>
      </c>
      <c r="E428" s="116">
        <f t="shared" si="38"/>
        <v>4.5</v>
      </c>
      <c r="F428" s="160">
        <v>26.31</v>
      </c>
      <c r="G428" s="161">
        <v>118.395</v>
      </c>
      <c r="H428" s="115">
        <f>VLOOKUP(B428,'All Menu'!B:J,9,0)</f>
        <v>1.6</v>
      </c>
      <c r="I428" s="120">
        <f>VLOOKUP(B428,'All Menu'!B:M,12,0)</f>
        <v>0.64444444444444438</v>
      </c>
      <c r="J428" s="114">
        <f t="shared" si="35"/>
        <v>118.395</v>
      </c>
      <c r="K428" s="117">
        <f t="shared" si="36"/>
        <v>0</v>
      </c>
      <c r="L428" s="118">
        <f>VLOOKUP(B428,'All Menu'!B:G,6,0)</f>
        <v>4.5</v>
      </c>
      <c r="M428" s="118">
        <f t="shared" si="37"/>
        <v>0</v>
      </c>
      <c r="N428" s="151">
        <f ca="1">VLOOKUP(B428,'All Menu'!B:H,7,0)</f>
        <v>27.43</v>
      </c>
    </row>
    <row r="429" spans="1:14" s="158" customFormat="1" ht="14.5">
      <c r="A429" s="157" t="s">
        <v>2021</v>
      </c>
      <c r="B429" s="169">
        <v>50046</v>
      </c>
      <c r="C429" s="158" t="s">
        <v>402</v>
      </c>
      <c r="D429" s="115" t="str">
        <f>VLOOKUP(B429,'All Menu'!B:D,3,0)</f>
        <v>دواجن</v>
      </c>
      <c r="E429" s="116">
        <f t="shared" si="38"/>
        <v>4.5</v>
      </c>
      <c r="F429" s="160">
        <v>1.1200000000000001</v>
      </c>
      <c r="G429" s="161">
        <v>5.0400000000000009</v>
      </c>
      <c r="H429" s="115">
        <f>VLOOKUP(B429,'All Menu'!B:J,9,0)</f>
        <v>1.6</v>
      </c>
      <c r="I429" s="120">
        <f>VLOOKUP(B429,'All Menu'!B:M,12,0)</f>
        <v>0.64444444444444438</v>
      </c>
      <c r="J429" s="114">
        <f t="shared" si="35"/>
        <v>5.0400000000000009</v>
      </c>
      <c r="K429" s="117">
        <f t="shared" si="36"/>
        <v>0</v>
      </c>
      <c r="L429" s="118">
        <f>VLOOKUP(B429,'All Menu'!B:G,6,0)</f>
        <v>4.5</v>
      </c>
      <c r="M429" s="118">
        <f t="shared" si="37"/>
        <v>0</v>
      </c>
      <c r="N429" s="151">
        <f ca="1">VLOOKUP(B429,'All Menu'!B:H,7,0)</f>
        <v>27.43</v>
      </c>
    </row>
    <row r="430" spans="1:14" s="158" customFormat="1" ht="14.5">
      <c r="A430" s="157" t="s">
        <v>2021</v>
      </c>
      <c r="B430" s="169">
        <v>204050</v>
      </c>
      <c r="C430" s="158" t="s">
        <v>1503</v>
      </c>
      <c r="D430" s="115" t="str">
        <f>VLOOKUP(B430,'All Menu'!B:D,3,0)</f>
        <v>سقط</v>
      </c>
      <c r="E430" s="116">
        <f t="shared" si="38"/>
        <v>1</v>
      </c>
      <c r="F430" s="160">
        <v>136.5</v>
      </c>
      <c r="G430" s="161">
        <v>136.5</v>
      </c>
      <c r="H430" s="115">
        <f>VLOOKUP(B430,'All Menu'!B:J,9,0)</f>
        <v>0</v>
      </c>
      <c r="I430" s="120">
        <f>VLOOKUP(B430,'All Menu'!B:M,12,0)</f>
        <v>1</v>
      </c>
      <c r="J430" s="114">
        <f t="shared" si="35"/>
        <v>136.5</v>
      </c>
      <c r="K430" s="117">
        <f t="shared" si="36"/>
        <v>0</v>
      </c>
      <c r="L430" s="118">
        <f>VLOOKUP(B430,'All Menu'!B:G,6,0)</f>
        <v>1</v>
      </c>
      <c r="M430" s="118">
        <f t="shared" si="37"/>
        <v>0</v>
      </c>
      <c r="N430" s="151">
        <f ca="1">VLOOKUP(B430,'All Menu'!B:H,7,0)</f>
        <v>246.5</v>
      </c>
    </row>
    <row r="431" spans="1:14" s="158" customFormat="1" ht="14.5">
      <c r="A431" s="157" t="s">
        <v>2021</v>
      </c>
      <c r="B431" s="169">
        <v>50018</v>
      </c>
      <c r="C431" s="158" t="s">
        <v>1505</v>
      </c>
      <c r="D431" s="115" t="str">
        <f>VLOOKUP(B431,'All Menu'!B:D,3,0)</f>
        <v>سقط</v>
      </c>
      <c r="E431" s="116">
        <f t="shared" si="38"/>
        <v>8</v>
      </c>
      <c r="F431" s="160">
        <v>107.43</v>
      </c>
      <c r="G431" s="161">
        <v>859.44</v>
      </c>
      <c r="H431" s="115">
        <f>VLOOKUP(B431,'All Menu'!B:J,9,0)</f>
        <v>4.5</v>
      </c>
      <c r="I431" s="120">
        <f>VLOOKUP(B431,'All Menu'!B:M,12,0)</f>
        <v>0.4375</v>
      </c>
      <c r="J431" s="114">
        <f t="shared" si="35"/>
        <v>859.44</v>
      </c>
      <c r="K431" s="117">
        <f t="shared" si="36"/>
        <v>0</v>
      </c>
      <c r="L431" s="118">
        <f>VLOOKUP(B431,'All Menu'!B:G,6,0)</f>
        <v>8</v>
      </c>
      <c r="M431" s="118">
        <f t="shared" si="37"/>
        <v>0</v>
      </c>
      <c r="N431" s="151">
        <f ca="1">VLOOKUP(B431,'All Menu'!B:H,7,0)</f>
        <v>122.43</v>
      </c>
    </row>
    <row r="432" spans="1:14" s="158" customFormat="1" ht="14.5">
      <c r="A432" s="157" t="s">
        <v>2021</v>
      </c>
      <c r="B432" s="169">
        <v>50019</v>
      </c>
      <c r="C432" s="158" t="s">
        <v>1506</v>
      </c>
      <c r="D432" s="115" t="str">
        <f>VLOOKUP(B432,'All Menu'!B:D,3,0)</f>
        <v>سقط</v>
      </c>
      <c r="E432" s="116">
        <f t="shared" si="38"/>
        <v>10.97279276517474</v>
      </c>
      <c r="F432" s="160">
        <v>65.239999999999995</v>
      </c>
      <c r="G432" s="161">
        <v>715.86500000000001</v>
      </c>
      <c r="H432" s="115">
        <f>VLOOKUP(B432,'All Menu'!B:J,9,0)</f>
        <v>7</v>
      </c>
      <c r="I432" s="120">
        <f>VLOOKUP(B432,'All Menu'!B:M,12,0)</f>
        <v>0.36363636363636365</v>
      </c>
      <c r="J432" s="114">
        <f t="shared" si="35"/>
        <v>717.64</v>
      </c>
      <c r="K432" s="117">
        <f t="shared" si="36"/>
        <v>-1.7749999999999773</v>
      </c>
      <c r="L432" s="118">
        <f>VLOOKUP(B432,'All Menu'!B:G,6,0)</f>
        <v>11</v>
      </c>
      <c r="M432" s="118">
        <f t="shared" si="37"/>
        <v>-2.7207234825260329E-2</v>
      </c>
      <c r="N432" s="151">
        <f ca="1">VLOOKUP(B432,'All Menu'!B:H,7,0)</f>
        <v>77.504999999999995</v>
      </c>
    </row>
    <row r="433" spans="1:14" s="158" customFormat="1" ht="14.5">
      <c r="A433" s="157" t="s">
        <v>2021</v>
      </c>
      <c r="B433" s="169">
        <v>50020</v>
      </c>
      <c r="C433" s="158" t="s">
        <v>1507</v>
      </c>
      <c r="D433" s="115" t="str">
        <f>VLOOKUP(B433,'All Menu'!B:D,3,0)</f>
        <v>سقط</v>
      </c>
      <c r="E433" s="116">
        <f t="shared" si="38"/>
        <v>8</v>
      </c>
      <c r="F433" s="160">
        <v>56.661999999999999</v>
      </c>
      <c r="G433" s="161">
        <v>453.29599999999999</v>
      </c>
      <c r="H433" s="115">
        <f>VLOOKUP(B433,'All Menu'!B:J,9,0)</f>
        <v>4.5</v>
      </c>
      <c r="I433" s="120">
        <f>VLOOKUP(B433,'All Menu'!B:M,12,0)</f>
        <v>0.4375</v>
      </c>
      <c r="J433" s="114">
        <f t="shared" si="35"/>
        <v>453.29599999999999</v>
      </c>
      <c r="K433" s="117">
        <f t="shared" si="36"/>
        <v>0</v>
      </c>
      <c r="L433" s="118">
        <f>VLOOKUP(B433,'All Menu'!B:G,6,0)</f>
        <v>8</v>
      </c>
      <c r="M433" s="118">
        <f t="shared" si="37"/>
        <v>0</v>
      </c>
      <c r="N433" s="151">
        <f ca="1">VLOOKUP(B433,'All Menu'!B:H,7,0)</f>
        <v>64.807000000000002</v>
      </c>
    </row>
    <row r="434" spans="1:14" s="158" customFormat="1" ht="14.5">
      <c r="A434" s="157" t="s">
        <v>2021</v>
      </c>
      <c r="B434" s="169">
        <v>50021</v>
      </c>
      <c r="C434" s="158" t="s">
        <v>1853</v>
      </c>
      <c r="D434" s="115" t="str">
        <f>VLOOKUP(B434,'All Menu'!B:D,3,0)</f>
        <v>سقط</v>
      </c>
      <c r="E434" s="116">
        <f t="shared" si="38"/>
        <v>10</v>
      </c>
      <c r="F434" s="160">
        <v>2</v>
      </c>
      <c r="G434" s="161">
        <v>20</v>
      </c>
      <c r="H434" s="115">
        <f>VLOOKUP(B434,'All Menu'!B:J,9,0)</f>
        <v>4.1581209137931037</v>
      </c>
      <c r="I434" s="120">
        <f>VLOOKUP(B434,'All Menu'!B:M,12,0)</f>
        <v>0.58418790862068959</v>
      </c>
      <c r="J434" s="114">
        <f t="shared" si="35"/>
        <v>20</v>
      </c>
      <c r="K434" s="117">
        <f t="shared" si="36"/>
        <v>0</v>
      </c>
      <c r="L434" s="118">
        <f>VLOOKUP(B434,'All Menu'!B:G,6,0)</f>
        <v>10</v>
      </c>
      <c r="M434" s="118">
        <f t="shared" si="37"/>
        <v>0</v>
      </c>
      <c r="N434" s="151">
        <f ca="1">VLOOKUP(B434,'All Menu'!B:H,7,0)</f>
        <v>3.3001</v>
      </c>
    </row>
    <row r="435" spans="1:14" s="158" customFormat="1" ht="14.5">
      <c r="A435" s="157" t="s">
        <v>2021</v>
      </c>
      <c r="B435" s="169">
        <v>50022</v>
      </c>
      <c r="C435" s="158" t="s">
        <v>1508</v>
      </c>
      <c r="D435" s="115" t="str">
        <f>VLOOKUP(B435,'All Menu'!B:D,3,0)</f>
        <v>سقط</v>
      </c>
      <c r="E435" s="116">
        <f t="shared" si="38"/>
        <v>7</v>
      </c>
      <c r="F435" s="160">
        <v>28.8</v>
      </c>
      <c r="G435" s="161">
        <v>201.6</v>
      </c>
      <c r="H435" s="115">
        <f>VLOOKUP(B435,'All Menu'!B:J,9,0)</f>
        <v>4.5</v>
      </c>
      <c r="I435" s="120">
        <f>VLOOKUP(B435,'All Menu'!B:M,12,0)</f>
        <v>0.35714285714285715</v>
      </c>
      <c r="J435" s="114">
        <f t="shared" si="35"/>
        <v>201.6</v>
      </c>
      <c r="K435" s="117">
        <f t="shared" si="36"/>
        <v>0</v>
      </c>
      <c r="L435" s="118">
        <f>VLOOKUP(B435,'All Menu'!B:G,6,0)</f>
        <v>7</v>
      </c>
      <c r="M435" s="118">
        <f t="shared" si="37"/>
        <v>0</v>
      </c>
      <c r="N435" s="151">
        <f ca="1">VLOOKUP(B435,'All Menu'!B:H,7,0)</f>
        <v>36.130000000000003</v>
      </c>
    </row>
    <row r="436" spans="1:14" s="158" customFormat="1" ht="14.5">
      <c r="A436" s="157" t="s">
        <v>2021</v>
      </c>
      <c r="B436" s="169">
        <v>50023</v>
      </c>
      <c r="C436" s="158" t="s">
        <v>1509</v>
      </c>
      <c r="D436" s="115" t="str">
        <f>VLOOKUP(B436,'All Menu'!B:D,3,0)</f>
        <v>سقط</v>
      </c>
      <c r="E436" s="116">
        <f t="shared" si="38"/>
        <v>8</v>
      </c>
      <c r="F436" s="160">
        <v>20.95</v>
      </c>
      <c r="G436" s="161">
        <v>167.6</v>
      </c>
      <c r="H436" s="115">
        <f>VLOOKUP(B436,'All Menu'!B:J,9,0)</f>
        <v>4.5</v>
      </c>
      <c r="I436" s="120">
        <f>VLOOKUP(B436,'All Menu'!B:M,12,0)</f>
        <v>0.4375</v>
      </c>
      <c r="J436" s="114">
        <f t="shared" si="35"/>
        <v>167.6</v>
      </c>
      <c r="K436" s="117">
        <f t="shared" si="36"/>
        <v>0</v>
      </c>
      <c r="L436" s="118">
        <f>VLOOKUP(B436,'All Menu'!B:G,6,0)</f>
        <v>8</v>
      </c>
      <c r="M436" s="118">
        <f t="shared" si="37"/>
        <v>0</v>
      </c>
      <c r="N436" s="151">
        <f ca="1">VLOOKUP(B436,'All Menu'!B:H,7,0)</f>
        <v>28.555</v>
      </c>
    </row>
    <row r="437" spans="1:14" s="158" customFormat="1" ht="14.5">
      <c r="A437" s="157" t="s">
        <v>2021</v>
      </c>
      <c r="B437" s="169">
        <v>50024</v>
      </c>
      <c r="C437" s="158" t="s">
        <v>1510</v>
      </c>
      <c r="D437" s="115" t="str">
        <f>VLOOKUP(B437,'All Menu'!B:D,3,0)</f>
        <v>سقط</v>
      </c>
      <c r="E437" s="116">
        <f t="shared" si="38"/>
        <v>2.5</v>
      </c>
      <c r="F437" s="160">
        <v>72</v>
      </c>
      <c r="G437" s="161">
        <v>180</v>
      </c>
      <c r="H437" s="115">
        <f>VLOOKUP(B437,'All Menu'!B:J,9,0)</f>
        <v>1.25</v>
      </c>
      <c r="I437" s="120">
        <f>VLOOKUP(B437,'All Menu'!B:M,12,0)</f>
        <v>0.5</v>
      </c>
      <c r="J437" s="114">
        <f t="shared" si="35"/>
        <v>180</v>
      </c>
      <c r="K437" s="117">
        <f t="shared" si="36"/>
        <v>0</v>
      </c>
      <c r="L437" s="118">
        <f>VLOOKUP(B437,'All Menu'!B:G,6,0)</f>
        <v>2.5</v>
      </c>
      <c r="M437" s="118">
        <f t="shared" si="37"/>
        <v>0</v>
      </c>
      <c r="N437" s="151">
        <f ca="1">VLOOKUP(B437,'All Menu'!B:H,7,0)</f>
        <v>78</v>
      </c>
    </row>
    <row r="438" spans="1:14" s="158" customFormat="1" ht="14.5">
      <c r="A438" s="157" t="s">
        <v>2021</v>
      </c>
      <c r="B438" s="169">
        <v>50025</v>
      </c>
      <c r="C438" s="158" t="s">
        <v>305</v>
      </c>
      <c r="D438" s="115" t="str">
        <f>VLOOKUP(B438,'All Menu'!B:D,3,0)</f>
        <v>سقط</v>
      </c>
      <c r="E438" s="116">
        <f t="shared" si="38"/>
        <v>4.4717282717282716</v>
      </c>
      <c r="F438" s="160">
        <v>20.02</v>
      </c>
      <c r="G438" s="161">
        <v>89.524000000000001</v>
      </c>
      <c r="H438" s="115">
        <f>VLOOKUP(B438,'All Menu'!B:J,9,0)</f>
        <v>2.895620913793103</v>
      </c>
      <c r="I438" s="120">
        <f>VLOOKUP(B438,'All Menu'!B:M,12,0)</f>
        <v>0.35652868582375485</v>
      </c>
      <c r="J438" s="114">
        <f t="shared" si="35"/>
        <v>90.09</v>
      </c>
      <c r="K438" s="117">
        <f t="shared" si="36"/>
        <v>-0.5660000000000025</v>
      </c>
      <c r="L438" s="118">
        <f>VLOOKUP(B438,'All Menu'!B:G,6,0)</f>
        <v>4.5</v>
      </c>
      <c r="M438" s="118">
        <f t="shared" si="37"/>
        <v>-2.8271728271728414E-2</v>
      </c>
      <c r="N438" s="151">
        <f ca="1">VLOOKUP(B438,'All Menu'!B:H,7,0)</f>
        <v>26.02</v>
      </c>
    </row>
    <row r="439" spans="1:14" s="158" customFormat="1" ht="14.5">
      <c r="A439" s="157" t="s">
        <v>2021</v>
      </c>
      <c r="B439" s="169">
        <v>50026</v>
      </c>
      <c r="C439" s="158" t="s">
        <v>1511</v>
      </c>
      <c r="D439" s="115" t="str">
        <f>VLOOKUP(B439,'All Menu'!B:D,3,0)</f>
        <v>سقط</v>
      </c>
      <c r="E439" s="116">
        <f t="shared" si="38"/>
        <v>5.5</v>
      </c>
      <c r="F439" s="160">
        <v>9</v>
      </c>
      <c r="G439" s="161">
        <v>49.5</v>
      </c>
      <c r="H439" s="115">
        <f>VLOOKUP(B439,'All Menu'!B:J,9,0)</f>
        <v>2.895620913793103</v>
      </c>
      <c r="I439" s="120">
        <f>VLOOKUP(B439,'All Menu'!B:M,12,0)</f>
        <v>0.4735234702194358</v>
      </c>
      <c r="J439" s="114">
        <f t="shared" si="35"/>
        <v>49.5</v>
      </c>
      <c r="K439" s="117">
        <f t="shared" si="36"/>
        <v>0</v>
      </c>
      <c r="L439" s="118">
        <f>VLOOKUP(B439,'All Menu'!B:G,6,0)</f>
        <v>5.5</v>
      </c>
      <c r="M439" s="118">
        <f t="shared" si="37"/>
        <v>0</v>
      </c>
      <c r="N439" s="151">
        <f ca="1">VLOOKUP(B439,'All Menu'!B:H,7,0)</f>
        <v>9</v>
      </c>
    </row>
    <row r="440" spans="1:14" s="158" customFormat="1" ht="14.5">
      <c r="A440" s="157" t="s">
        <v>2021</v>
      </c>
      <c r="B440" s="169">
        <v>50027</v>
      </c>
      <c r="C440" s="158" t="s">
        <v>1512</v>
      </c>
      <c r="D440" s="115" t="str">
        <f>VLOOKUP(B440,'All Menu'!B:D,3,0)</f>
        <v>سقط</v>
      </c>
      <c r="E440" s="116">
        <f t="shared" si="38"/>
        <v>6.5</v>
      </c>
      <c r="F440" s="160">
        <v>11.98</v>
      </c>
      <c r="G440" s="161">
        <v>77.87</v>
      </c>
      <c r="H440" s="115">
        <f>VLOOKUP(B440,'All Menu'!B:J,9,0)</f>
        <v>2.5</v>
      </c>
      <c r="I440" s="120">
        <f>VLOOKUP(B440,'All Menu'!B:M,12,0)</f>
        <v>0.61538461538461542</v>
      </c>
      <c r="J440" s="114">
        <f t="shared" si="35"/>
        <v>77.87</v>
      </c>
      <c r="K440" s="117">
        <f t="shared" si="36"/>
        <v>0</v>
      </c>
      <c r="L440" s="118">
        <f>VLOOKUP(B440,'All Menu'!B:G,6,0)</f>
        <v>6.5</v>
      </c>
      <c r="M440" s="118">
        <f t="shared" si="37"/>
        <v>0</v>
      </c>
      <c r="N440" s="151">
        <f ca="1">VLOOKUP(B440,'All Menu'!B:H,7,0)</f>
        <v>11.98</v>
      </c>
    </row>
    <row r="441" spans="1:14" s="158" customFormat="1" ht="14.5">
      <c r="A441" s="157" t="s">
        <v>2021</v>
      </c>
      <c r="B441" s="169">
        <v>50028</v>
      </c>
      <c r="C441" s="158" t="s">
        <v>1734</v>
      </c>
      <c r="D441" s="115" t="str">
        <f>VLOOKUP(B441,'All Menu'!B:D,3,0)</f>
        <v>سقط</v>
      </c>
      <c r="E441" s="116">
        <f t="shared" si="38"/>
        <v>10</v>
      </c>
      <c r="F441" s="160">
        <v>8.24</v>
      </c>
      <c r="G441" s="161">
        <v>82.4</v>
      </c>
      <c r="H441" s="115">
        <f>VLOOKUP(B441,'All Menu'!B:J,9,0)</f>
        <v>4.4081209137931037</v>
      </c>
      <c r="I441" s="120">
        <f>VLOOKUP(B441,'All Menu'!B:M,12,0)</f>
        <v>0.55918790862068968</v>
      </c>
      <c r="J441" s="114">
        <f t="shared" si="35"/>
        <v>82.4</v>
      </c>
      <c r="K441" s="117">
        <f t="shared" si="36"/>
        <v>0</v>
      </c>
      <c r="L441" s="118">
        <f>VLOOKUP(B441,'All Menu'!B:G,6,0)</f>
        <v>10</v>
      </c>
      <c r="M441" s="118">
        <f t="shared" si="37"/>
        <v>0</v>
      </c>
      <c r="N441" s="151">
        <f ca="1">VLOOKUP(B441,'All Menu'!B:H,7,0)</f>
        <v>14.375</v>
      </c>
    </row>
    <row r="442" spans="1:14" s="158" customFormat="1" ht="14.5">
      <c r="A442" s="157" t="s">
        <v>2021</v>
      </c>
      <c r="B442" s="169">
        <v>50029</v>
      </c>
      <c r="C442" s="158" t="s">
        <v>1513</v>
      </c>
      <c r="D442" s="115" t="str">
        <f>VLOOKUP(B442,'All Menu'!B:D,3,0)</f>
        <v>سقط</v>
      </c>
      <c r="E442" s="116">
        <f t="shared" si="38"/>
        <v>7</v>
      </c>
      <c r="F442" s="160">
        <v>21.03</v>
      </c>
      <c r="G442" s="161">
        <v>147.21</v>
      </c>
      <c r="H442" s="115">
        <f>VLOOKUP(B442,'All Menu'!B:J,9,0)</f>
        <v>4.5</v>
      </c>
      <c r="I442" s="120">
        <f>VLOOKUP(B442,'All Menu'!B:M,12,0)</f>
        <v>0.35714285714285715</v>
      </c>
      <c r="J442" s="114">
        <f t="shared" si="35"/>
        <v>147.21</v>
      </c>
      <c r="K442" s="117">
        <f t="shared" si="36"/>
        <v>0</v>
      </c>
      <c r="L442" s="118">
        <f>VLOOKUP(B442,'All Menu'!B:G,6,0)</f>
        <v>7</v>
      </c>
      <c r="M442" s="118">
        <f t="shared" si="37"/>
        <v>0</v>
      </c>
      <c r="N442" s="151">
        <f ca="1">VLOOKUP(B442,'All Menu'!B:H,7,0)</f>
        <v>21.03</v>
      </c>
    </row>
    <row r="443" spans="1:14" s="158" customFormat="1" ht="14.5">
      <c r="A443" s="157" t="s">
        <v>2021</v>
      </c>
      <c r="B443" s="169">
        <v>50030</v>
      </c>
      <c r="C443" s="158" t="s">
        <v>307</v>
      </c>
      <c r="D443" s="115" t="str">
        <f>VLOOKUP(B443,'All Menu'!B:D,3,0)</f>
        <v>سقط</v>
      </c>
      <c r="E443" s="116">
        <f t="shared" si="38"/>
        <v>3</v>
      </c>
      <c r="F443" s="160">
        <v>15</v>
      </c>
      <c r="G443" s="161">
        <v>45</v>
      </c>
      <c r="H443" s="115">
        <f>VLOOKUP(B443,'All Menu'!B:J,9,0)</f>
        <v>2.5</v>
      </c>
      <c r="I443" s="120">
        <f>VLOOKUP(B443,'All Menu'!B:M,12,0)</f>
        <v>0.16666666666666666</v>
      </c>
      <c r="J443" s="114">
        <f t="shared" si="35"/>
        <v>45</v>
      </c>
      <c r="K443" s="117">
        <f t="shared" si="36"/>
        <v>0</v>
      </c>
      <c r="L443" s="118">
        <f>VLOOKUP(B443,'All Menu'!B:G,6,0)</f>
        <v>3</v>
      </c>
      <c r="M443" s="118">
        <f t="shared" si="37"/>
        <v>0</v>
      </c>
      <c r="N443" s="151">
        <f ca="1">VLOOKUP(B443,'All Menu'!B:H,7,0)</f>
        <v>15</v>
      </c>
    </row>
    <row r="444" spans="1:14" s="158" customFormat="1" ht="14.5">
      <c r="A444" s="157" t="s">
        <v>2021</v>
      </c>
      <c r="B444" s="169">
        <v>50031</v>
      </c>
      <c r="C444" s="158" t="s">
        <v>309</v>
      </c>
      <c r="D444" s="115" t="str">
        <f>VLOOKUP(B444,'All Menu'!B:D,3,0)</f>
        <v>سقط</v>
      </c>
      <c r="E444" s="116">
        <f t="shared" si="38"/>
        <v>0.6</v>
      </c>
      <c r="F444" s="160">
        <v>51</v>
      </c>
      <c r="G444" s="161">
        <v>30.599999999999998</v>
      </c>
      <c r="H444" s="115">
        <f>VLOOKUP(B444,'All Menu'!B:J,9,0)</f>
        <v>0.35</v>
      </c>
      <c r="I444" s="120">
        <f>VLOOKUP(B444,'All Menu'!B:M,12,0)</f>
        <v>0.41666666666666669</v>
      </c>
      <c r="J444" s="114">
        <f t="shared" si="35"/>
        <v>30.599999999999998</v>
      </c>
      <c r="K444" s="117">
        <f t="shared" si="36"/>
        <v>0</v>
      </c>
      <c r="L444" s="118">
        <f>VLOOKUP(B444,'All Menu'!B:G,6,0)</f>
        <v>0.6</v>
      </c>
      <c r="M444" s="118">
        <f t="shared" si="37"/>
        <v>0</v>
      </c>
      <c r="N444" s="151">
        <f ca="1">VLOOKUP(B444,'All Menu'!B:H,7,0)</f>
        <v>51</v>
      </c>
    </row>
    <row r="445" spans="1:14" s="158" customFormat="1" ht="14.5">
      <c r="A445" s="157" t="s">
        <v>2021</v>
      </c>
      <c r="B445" s="169">
        <v>50032</v>
      </c>
      <c r="C445" s="158" t="s">
        <v>310</v>
      </c>
      <c r="D445" s="115" t="str">
        <f>VLOOKUP(B445,'All Menu'!B:D,3,0)</f>
        <v>سقط</v>
      </c>
      <c r="E445" s="116">
        <f t="shared" si="38"/>
        <v>5</v>
      </c>
      <c r="F445" s="160">
        <v>8</v>
      </c>
      <c r="G445" s="161">
        <v>40</v>
      </c>
      <c r="H445" s="115">
        <f>VLOOKUP(B445,'All Menu'!B:J,9,0)</f>
        <v>4.5</v>
      </c>
      <c r="I445" s="120">
        <f>VLOOKUP(B445,'All Menu'!B:M,12,0)</f>
        <v>0.1</v>
      </c>
      <c r="J445" s="114">
        <f t="shared" si="35"/>
        <v>40</v>
      </c>
      <c r="K445" s="117">
        <f t="shared" si="36"/>
        <v>0</v>
      </c>
      <c r="L445" s="118">
        <f>VLOOKUP(B445,'All Menu'!B:G,6,0)</f>
        <v>5</v>
      </c>
      <c r="M445" s="118">
        <f t="shared" si="37"/>
        <v>0</v>
      </c>
      <c r="N445" s="151">
        <f ca="1">VLOOKUP(B445,'All Menu'!B:H,7,0)</f>
        <v>8</v>
      </c>
    </row>
    <row r="446" spans="1:14" s="158" customFormat="1" ht="14.5">
      <c r="A446" s="157" t="s">
        <v>2021</v>
      </c>
      <c r="B446" s="169">
        <v>50033</v>
      </c>
      <c r="C446" s="158" t="s">
        <v>312</v>
      </c>
      <c r="D446" s="115" t="str">
        <f>VLOOKUP(B446,'All Menu'!B:D,3,0)</f>
        <v>سقط</v>
      </c>
      <c r="E446" s="116">
        <f t="shared" si="38"/>
        <v>3</v>
      </c>
      <c r="F446" s="160">
        <v>5</v>
      </c>
      <c r="G446" s="161">
        <v>15</v>
      </c>
      <c r="H446" s="115">
        <f>VLOOKUP(B446,'All Menu'!B:J,9,0)</f>
        <v>1</v>
      </c>
      <c r="I446" s="120">
        <f>VLOOKUP(B446,'All Menu'!B:M,12,0)</f>
        <v>0.66666666666666663</v>
      </c>
      <c r="J446" s="114">
        <f t="shared" si="35"/>
        <v>15</v>
      </c>
      <c r="K446" s="117">
        <f t="shared" si="36"/>
        <v>0</v>
      </c>
      <c r="L446" s="118">
        <f>VLOOKUP(B446,'All Menu'!B:G,6,0)</f>
        <v>3</v>
      </c>
      <c r="M446" s="118">
        <f t="shared" si="37"/>
        <v>0</v>
      </c>
      <c r="N446" s="151">
        <f ca="1">VLOOKUP(B446,'All Menu'!B:H,7,0)</f>
        <v>5</v>
      </c>
    </row>
    <row r="447" spans="1:14" s="158" customFormat="1" ht="14.5">
      <c r="A447" s="157" t="s">
        <v>2021</v>
      </c>
      <c r="B447" s="169">
        <v>50034</v>
      </c>
      <c r="C447" s="158" t="s">
        <v>314</v>
      </c>
      <c r="D447" s="115" t="str">
        <f>VLOOKUP(B447,'All Menu'!B:D,3,0)</f>
        <v>سقط</v>
      </c>
      <c r="E447" s="116">
        <f t="shared" si="38"/>
        <v>3</v>
      </c>
      <c r="F447" s="160">
        <v>26</v>
      </c>
      <c r="G447" s="161">
        <v>78</v>
      </c>
      <c r="H447" s="115">
        <f>VLOOKUP(B447,'All Menu'!B:J,9,0)</f>
        <v>0.35</v>
      </c>
      <c r="I447" s="120">
        <f>VLOOKUP(B447,'All Menu'!B:M,12,0)</f>
        <v>0.8833333333333333</v>
      </c>
      <c r="J447" s="114">
        <f t="shared" si="35"/>
        <v>78</v>
      </c>
      <c r="K447" s="117">
        <f t="shared" si="36"/>
        <v>0</v>
      </c>
      <c r="L447" s="118">
        <f>VLOOKUP(B447,'All Menu'!B:G,6,0)</f>
        <v>3</v>
      </c>
      <c r="M447" s="118">
        <f t="shared" si="37"/>
        <v>0</v>
      </c>
      <c r="N447" s="151">
        <f ca="1">VLOOKUP(B447,'All Menu'!B:H,7,0)</f>
        <v>26</v>
      </c>
    </row>
    <row r="448" spans="1:14" s="158" customFormat="1" ht="14.5">
      <c r="A448" s="157" t="s">
        <v>2021</v>
      </c>
      <c r="B448" s="169">
        <v>50035</v>
      </c>
      <c r="C448" s="158" t="s">
        <v>1780</v>
      </c>
      <c r="D448" s="115" t="str">
        <f>VLOOKUP(B448,'All Menu'!B:D,3,0)</f>
        <v>سقط</v>
      </c>
      <c r="E448" s="116">
        <f t="shared" si="38"/>
        <v>7</v>
      </c>
      <c r="F448" s="160">
        <v>4.2</v>
      </c>
      <c r="G448" s="161">
        <v>29.400000000000002</v>
      </c>
      <c r="H448" s="115">
        <f>VLOOKUP(B448,'All Menu'!B:J,9,0)</f>
        <v>5.5</v>
      </c>
      <c r="I448" s="120">
        <f>VLOOKUP(B448,'All Menu'!B:M,12,0)</f>
        <v>0.21428571428571427</v>
      </c>
      <c r="J448" s="114">
        <f t="shared" si="35"/>
        <v>29.400000000000002</v>
      </c>
      <c r="K448" s="117">
        <f t="shared" si="36"/>
        <v>0</v>
      </c>
      <c r="L448" s="118">
        <f>VLOOKUP(B448,'All Menu'!B:G,6,0)</f>
        <v>7</v>
      </c>
      <c r="M448" s="118">
        <f t="shared" si="37"/>
        <v>0</v>
      </c>
      <c r="N448" s="151">
        <f ca="1">VLOOKUP(B448,'All Menu'!B:H,7,0)</f>
        <v>4.2</v>
      </c>
    </row>
    <row r="449" spans="1:14" s="158" customFormat="1" ht="14.5">
      <c r="A449" s="157" t="s">
        <v>2021</v>
      </c>
      <c r="B449" s="169">
        <v>50036</v>
      </c>
      <c r="C449" s="158" t="s">
        <v>308</v>
      </c>
      <c r="D449" s="115" t="str">
        <f>VLOOKUP(B449,'All Menu'!B:D,3,0)</f>
        <v>سقط</v>
      </c>
      <c r="E449" s="116">
        <f t="shared" si="38"/>
        <v>12</v>
      </c>
      <c r="F449" s="160">
        <v>8.1</v>
      </c>
      <c r="G449" s="161">
        <v>97.199999999999989</v>
      </c>
      <c r="H449" s="115">
        <f>VLOOKUP(B449,'All Menu'!B:J,9,0)</f>
        <v>9</v>
      </c>
      <c r="I449" s="120">
        <f>VLOOKUP(B449,'All Menu'!B:M,12,0)</f>
        <v>0.25</v>
      </c>
      <c r="J449" s="114">
        <f t="shared" si="35"/>
        <v>97.199999999999989</v>
      </c>
      <c r="K449" s="117">
        <f t="shared" si="36"/>
        <v>0</v>
      </c>
      <c r="L449" s="118">
        <f>VLOOKUP(B449,'All Menu'!B:G,6,0)</f>
        <v>12</v>
      </c>
      <c r="M449" s="118">
        <f t="shared" si="37"/>
        <v>0</v>
      </c>
      <c r="N449" s="151">
        <f ca="1">VLOOKUP(B449,'All Menu'!B:H,7,0)</f>
        <v>8.1</v>
      </c>
    </row>
    <row r="450" spans="1:14" s="158" customFormat="1" ht="14.5">
      <c r="A450" s="157" t="s">
        <v>2021</v>
      </c>
      <c r="B450" s="169">
        <v>50060</v>
      </c>
      <c r="C450" s="158" t="s">
        <v>1735</v>
      </c>
      <c r="D450" s="115" t="str">
        <f>VLOOKUP(B450,'All Menu'!B:D,3,0)</f>
        <v>سقط</v>
      </c>
      <c r="E450" s="116">
        <f t="shared" si="38"/>
        <v>1</v>
      </c>
      <c r="F450" s="160">
        <v>652</v>
      </c>
      <c r="G450" s="161">
        <v>652</v>
      </c>
      <c r="H450" s="115">
        <f>VLOOKUP(B450,'All Menu'!B:J,9,0)</f>
        <v>1</v>
      </c>
      <c r="I450" s="120">
        <f>VLOOKUP(B450,'All Menu'!B:M,12,0)</f>
        <v>0</v>
      </c>
      <c r="J450" s="114">
        <f t="shared" si="35"/>
        <v>652</v>
      </c>
      <c r="K450" s="117">
        <f t="shared" si="36"/>
        <v>0</v>
      </c>
      <c r="L450" s="118">
        <f>VLOOKUP(B450,'All Menu'!B:G,6,0)</f>
        <v>1</v>
      </c>
      <c r="M450" s="118">
        <f t="shared" si="37"/>
        <v>0</v>
      </c>
      <c r="N450" s="151">
        <f ca="1">VLOOKUP(B450,'All Menu'!B:H,7,0)</f>
        <v>652</v>
      </c>
    </row>
    <row r="451" spans="1:14" s="158" customFormat="1" ht="14.5">
      <c r="A451" s="157" t="s">
        <v>2021</v>
      </c>
      <c r="B451" s="169">
        <v>50061</v>
      </c>
      <c r="C451" s="158" t="s">
        <v>3009</v>
      </c>
      <c r="D451" s="115" t="str">
        <f>VLOOKUP(B451,'All Menu'!B:D,3,0)</f>
        <v>لحوم بلدية</v>
      </c>
      <c r="E451" s="116">
        <f t="shared" si="38"/>
        <v>8</v>
      </c>
      <c r="F451" s="160">
        <v>3.27</v>
      </c>
      <c r="G451" s="161">
        <v>26.16</v>
      </c>
      <c r="H451" s="115">
        <f>VLOOKUP(B451,'All Menu'!B:J,9,0)</f>
        <v>7</v>
      </c>
      <c r="I451" s="120">
        <f>VLOOKUP(B451,'All Menu'!B:M,12,0)</f>
        <v>0.125</v>
      </c>
      <c r="J451" s="114">
        <f t="shared" si="35"/>
        <v>26.16</v>
      </c>
      <c r="K451" s="117">
        <f t="shared" si="36"/>
        <v>0</v>
      </c>
      <c r="L451" s="118">
        <f>VLOOKUP(B451,'All Menu'!B:G,6,0)</f>
        <v>8</v>
      </c>
      <c r="M451" s="118">
        <f t="shared" si="37"/>
        <v>0</v>
      </c>
      <c r="N451" s="151">
        <f ca="1">VLOOKUP(B451,'All Menu'!B:H,7,0)</f>
        <v>3.27</v>
      </c>
    </row>
    <row r="452" spans="1:14" s="158" customFormat="1" ht="14.5">
      <c r="A452" s="157" t="s">
        <v>2021</v>
      </c>
      <c r="B452" s="169">
        <v>50062</v>
      </c>
      <c r="C452" s="158" t="s">
        <v>2152</v>
      </c>
      <c r="D452" s="115" t="str">
        <f>VLOOKUP(B452,'All Menu'!B:D,3,0)</f>
        <v>سقط</v>
      </c>
      <c r="E452" s="116">
        <f t="shared" si="38"/>
        <v>3</v>
      </c>
      <c r="F452" s="160">
        <v>1</v>
      </c>
      <c r="G452" s="161">
        <v>3</v>
      </c>
      <c r="H452" s="115">
        <f>VLOOKUP(B452,'All Menu'!B:J,9,0)</f>
        <v>1.5</v>
      </c>
      <c r="I452" s="120">
        <f>VLOOKUP(B452,'All Menu'!B:M,12,0)</f>
        <v>0.5</v>
      </c>
      <c r="J452" s="114">
        <f t="shared" si="35"/>
        <v>3</v>
      </c>
      <c r="K452" s="117">
        <f t="shared" si="36"/>
        <v>0</v>
      </c>
      <c r="L452" s="118">
        <f>VLOOKUP(B452,'All Menu'!B:G,6,0)</f>
        <v>3</v>
      </c>
      <c r="M452" s="118">
        <f t="shared" si="37"/>
        <v>0</v>
      </c>
      <c r="N452" s="151">
        <f ca="1">VLOOKUP(B452,'All Menu'!B:H,7,0)</f>
        <v>1</v>
      </c>
    </row>
    <row r="453" spans="1:14" s="158" customFormat="1" ht="14.5">
      <c r="A453" s="157" t="s">
        <v>2021</v>
      </c>
      <c r="B453" s="169">
        <v>50063</v>
      </c>
      <c r="C453" s="158" t="s">
        <v>2153</v>
      </c>
      <c r="D453" s="115" t="str">
        <f>VLOOKUP(B453,'All Menu'!B:D,3,0)</f>
        <v>سقط</v>
      </c>
      <c r="E453" s="116">
        <f t="shared" si="38"/>
        <v>3</v>
      </c>
      <c r="F453" s="160">
        <v>1</v>
      </c>
      <c r="G453" s="161">
        <v>3</v>
      </c>
      <c r="H453" s="115">
        <f>VLOOKUP(B453,'All Menu'!B:J,9,0)</f>
        <v>1.5</v>
      </c>
      <c r="I453" s="120">
        <f>VLOOKUP(B453,'All Menu'!B:M,12,0)</f>
        <v>0.5</v>
      </c>
      <c r="J453" s="114">
        <f t="shared" si="35"/>
        <v>3</v>
      </c>
      <c r="K453" s="117">
        <f t="shared" si="36"/>
        <v>0</v>
      </c>
      <c r="L453" s="118">
        <f>VLOOKUP(B453,'All Menu'!B:G,6,0)</f>
        <v>3</v>
      </c>
      <c r="M453" s="118">
        <f t="shared" si="37"/>
        <v>0</v>
      </c>
      <c r="N453" s="151">
        <f ca="1">VLOOKUP(B453,'All Menu'!B:H,7,0)</f>
        <v>1</v>
      </c>
    </row>
    <row r="454" spans="1:14" s="158" customFormat="1" ht="14.5">
      <c r="A454" s="157" t="s">
        <v>2021</v>
      </c>
      <c r="B454" s="169" t="s">
        <v>883</v>
      </c>
      <c r="C454" s="158" t="s">
        <v>1514</v>
      </c>
      <c r="D454" s="115" t="str">
        <f>VLOOKUP(B454,'All Menu'!B:D,3,0)</f>
        <v>سلطات سفري</v>
      </c>
      <c r="E454" s="116">
        <f t="shared" si="38"/>
        <v>1.7241379310344829</v>
      </c>
      <c r="F454" s="160">
        <v>81</v>
      </c>
      <c r="G454" s="161">
        <v>139.65517241379311</v>
      </c>
      <c r="H454" s="115">
        <f>VLOOKUP(B454,'All Menu'!B:J,9,0)</f>
        <v>0.19847362714776634</v>
      </c>
      <c r="I454" s="120">
        <f>VLOOKUP(B454,'All Menu'!B:M,12,0)</f>
        <v>0.88488529625429557</v>
      </c>
      <c r="J454" s="114">
        <f t="shared" si="35"/>
        <v>139.65517241379311</v>
      </c>
      <c r="K454" s="117">
        <f t="shared" si="36"/>
        <v>0</v>
      </c>
      <c r="L454" s="118">
        <f>VLOOKUP(B454,'All Menu'!B:G,6,0)</f>
        <v>1.7241379310344829</v>
      </c>
      <c r="M454" s="118">
        <f t="shared" si="37"/>
        <v>0</v>
      </c>
      <c r="N454" s="151">
        <f ca="1">VLOOKUP(B454,'All Menu'!B:H,7,0)</f>
        <v>245.00110000000001</v>
      </c>
    </row>
    <row r="455" spans="1:14" s="158" customFormat="1" ht="14.5">
      <c r="A455" s="157" t="s">
        <v>2021</v>
      </c>
      <c r="B455" s="169" t="s">
        <v>1030</v>
      </c>
      <c r="C455" s="158" t="s">
        <v>1516</v>
      </c>
      <c r="D455" s="115" t="str">
        <f>VLOOKUP(B455,'All Menu'!B:D,3,0)</f>
        <v>سلطات سفري</v>
      </c>
      <c r="E455" s="116">
        <f t="shared" si="38"/>
        <v>10.129310344827587</v>
      </c>
      <c r="F455" s="160">
        <v>2</v>
      </c>
      <c r="G455" s="161">
        <v>20.258620689655174</v>
      </c>
      <c r="H455" s="115">
        <f>VLOOKUP(B455,'All Menu'!B:J,9,0)</f>
        <v>1.945874705154639</v>
      </c>
      <c r="I455" s="120">
        <f>VLOOKUP(B455,'All Menu'!B:M,12,0)</f>
        <v>0.80789662485281866</v>
      </c>
      <c r="J455" s="114">
        <f t="shared" si="35"/>
        <v>20.258620689655174</v>
      </c>
      <c r="K455" s="117">
        <f t="shared" si="36"/>
        <v>0</v>
      </c>
      <c r="L455" s="118">
        <f>VLOOKUP(B455,'All Menu'!B:G,6,0)</f>
        <v>10.129310344827587</v>
      </c>
      <c r="M455" s="118">
        <f t="shared" si="37"/>
        <v>0</v>
      </c>
      <c r="N455" s="151">
        <f ca="1">VLOOKUP(B455,'All Menu'!B:H,7,0)</f>
        <v>19</v>
      </c>
    </row>
    <row r="456" spans="1:14" s="158" customFormat="1" ht="14.5">
      <c r="A456" s="157" t="s">
        <v>2021</v>
      </c>
      <c r="B456" s="169" t="s">
        <v>886</v>
      </c>
      <c r="C456" s="158" t="s">
        <v>1517</v>
      </c>
      <c r="D456" s="115" t="str">
        <f>VLOOKUP(B456,'All Menu'!B:D,3,0)</f>
        <v>سلطات سفري</v>
      </c>
      <c r="E456" s="116">
        <f t="shared" si="38"/>
        <v>1.6971109040074559</v>
      </c>
      <c r="F456" s="160">
        <v>37</v>
      </c>
      <c r="G456" s="161">
        <v>62.793103448275865</v>
      </c>
      <c r="H456" s="115">
        <f>VLOOKUP(B456,'All Menu'!B:J,9,0)</f>
        <v>0.30728885714285714</v>
      </c>
      <c r="I456" s="120">
        <f>VLOOKUP(B456,'All Menu'!B:M,12,0)</f>
        <v>0.82177246285714289</v>
      </c>
      <c r="J456" s="114">
        <f t="shared" si="35"/>
        <v>63.793103448275865</v>
      </c>
      <c r="K456" s="117">
        <f t="shared" si="36"/>
        <v>-1</v>
      </c>
      <c r="L456" s="118">
        <f>VLOOKUP(B456,'All Menu'!B:G,6,0)</f>
        <v>1.7241379310344829</v>
      </c>
      <c r="M456" s="118">
        <f t="shared" si="37"/>
        <v>-2.7027027027026973E-2</v>
      </c>
      <c r="N456" s="151">
        <f ca="1">VLOOKUP(B456,'All Menu'!B:H,7,0)</f>
        <v>143.001</v>
      </c>
    </row>
    <row r="457" spans="1:14" s="158" customFormat="1" ht="14.5">
      <c r="A457" s="157" t="s">
        <v>2021</v>
      </c>
      <c r="B457" s="169" t="s">
        <v>1029</v>
      </c>
      <c r="C457" s="158" t="s">
        <v>1518</v>
      </c>
      <c r="D457" s="115" t="str">
        <f>VLOOKUP(B457,'All Menu'!B:D,3,0)</f>
        <v>سلطات سفري</v>
      </c>
      <c r="E457" s="116">
        <f t="shared" si="38"/>
        <v>10.129310344827587</v>
      </c>
      <c r="F457" s="160">
        <v>3</v>
      </c>
      <c r="G457" s="161">
        <v>30.387931034482762</v>
      </c>
      <c r="H457" s="115">
        <f>VLOOKUP(B457,'All Menu'!B:J,9,0)</f>
        <v>2.756986233153639</v>
      </c>
      <c r="I457" s="120">
        <f>VLOOKUP(B457,'All Menu'!B:M,12,0)</f>
        <v>0.7278209335780238</v>
      </c>
      <c r="J457" s="114">
        <f t="shared" si="35"/>
        <v>30.387931034482762</v>
      </c>
      <c r="K457" s="117">
        <f t="shared" si="36"/>
        <v>0</v>
      </c>
      <c r="L457" s="118">
        <f>VLOOKUP(B457,'All Menu'!B:G,6,0)</f>
        <v>10.129310344827587</v>
      </c>
      <c r="M457" s="118">
        <f t="shared" si="37"/>
        <v>0</v>
      </c>
      <c r="N457" s="151">
        <f ca="1">VLOOKUP(B457,'All Menu'!B:H,7,0)</f>
        <v>9</v>
      </c>
    </row>
    <row r="458" spans="1:14" s="158" customFormat="1" ht="14.5">
      <c r="A458" s="157" t="s">
        <v>2021</v>
      </c>
      <c r="B458" s="169" t="s">
        <v>888</v>
      </c>
      <c r="C458" s="158" t="s">
        <v>1519</v>
      </c>
      <c r="D458" s="115" t="str">
        <f>VLOOKUP(B458,'All Menu'!B:D,3,0)</f>
        <v>سلطات سفري</v>
      </c>
      <c r="E458" s="116">
        <f t="shared" si="38"/>
        <v>1.7241379310344829</v>
      </c>
      <c r="F458" s="160">
        <v>16</v>
      </c>
      <c r="G458" s="161">
        <v>27.586206896551726</v>
      </c>
      <c r="H458" s="115">
        <f>VLOOKUP(B458,'All Menu'!B:J,9,0)</f>
        <v>0.53857280476190472</v>
      </c>
      <c r="I458" s="120">
        <f>VLOOKUP(B458,'All Menu'!B:M,12,0)</f>
        <v>0.68762777323809532</v>
      </c>
      <c r="J458" s="114">
        <f t="shared" si="35"/>
        <v>27.586206896551726</v>
      </c>
      <c r="K458" s="117">
        <f t="shared" si="36"/>
        <v>0</v>
      </c>
      <c r="L458" s="118">
        <f>VLOOKUP(B458,'All Menu'!B:G,6,0)</f>
        <v>1.7241379310344829</v>
      </c>
      <c r="M458" s="118">
        <f t="shared" si="37"/>
        <v>0</v>
      </c>
      <c r="N458" s="151">
        <f ca="1">VLOOKUP(B458,'All Menu'!B:H,7,0)</f>
        <v>39</v>
      </c>
    </row>
    <row r="459" spans="1:14" s="158" customFormat="1" ht="14.5">
      <c r="A459" s="157" t="s">
        <v>2021</v>
      </c>
      <c r="B459" s="169" t="s">
        <v>889</v>
      </c>
      <c r="C459" s="158" t="s">
        <v>1520</v>
      </c>
      <c r="D459" s="115" t="str">
        <f>VLOOKUP(B459,'All Menu'!B:D,3,0)</f>
        <v>سلطات سفري</v>
      </c>
      <c r="E459" s="116">
        <f t="shared" si="38"/>
        <v>2.5862068965517242</v>
      </c>
      <c r="F459" s="160">
        <v>11</v>
      </c>
      <c r="G459" s="161">
        <v>28.448275862068968</v>
      </c>
      <c r="H459" s="115">
        <f>VLOOKUP(B459,'All Menu'!B:J,9,0)</f>
        <v>1.1090192185550083</v>
      </c>
      <c r="I459" s="120">
        <f>VLOOKUP(B459,'All Menu'!B:M,12,0)</f>
        <v>0.57117923549206351</v>
      </c>
      <c r="J459" s="114">
        <f t="shared" si="35"/>
        <v>28.448275862068968</v>
      </c>
      <c r="K459" s="117">
        <f t="shared" si="36"/>
        <v>0</v>
      </c>
      <c r="L459" s="118">
        <f>VLOOKUP(B459,'All Menu'!B:G,6,0)</f>
        <v>2.5862068965517242</v>
      </c>
      <c r="M459" s="118">
        <f t="shared" si="37"/>
        <v>0</v>
      </c>
      <c r="N459" s="151">
        <f ca="1">VLOOKUP(B459,'All Menu'!B:H,7,0)</f>
        <v>30</v>
      </c>
    </row>
    <row r="460" spans="1:14" s="158" customFormat="1" ht="14.5">
      <c r="A460" s="157" t="s">
        <v>2021</v>
      </c>
      <c r="B460" s="169" t="s">
        <v>890</v>
      </c>
      <c r="C460" s="158" t="s">
        <v>1521</v>
      </c>
      <c r="D460" s="115" t="str">
        <f>VLOOKUP(B460,'All Menu'!B:D,3,0)</f>
        <v>سلطات سفري</v>
      </c>
      <c r="E460" s="116">
        <f t="shared" si="38"/>
        <v>2.5862068965517242</v>
      </c>
      <c r="F460" s="160">
        <v>21</v>
      </c>
      <c r="G460" s="161">
        <v>54.310344827586206</v>
      </c>
      <c r="H460" s="115">
        <f>VLOOKUP(B460,'All Menu'!B:J,9,0)</f>
        <v>0.66348513538748821</v>
      </c>
      <c r="I460" s="120">
        <f>VLOOKUP(B460,'All Menu'!B:M,12,0)</f>
        <v>0.74345241431683795</v>
      </c>
      <c r="J460" s="114">
        <f t="shared" si="35"/>
        <v>54.310344827586206</v>
      </c>
      <c r="K460" s="117">
        <f t="shared" si="36"/>
        <v>0</v>
      </c>
      <c r="L460" s="118">
        <f>VLOOKUP(B460,'All Menu'!B:G,6,0)</f>
        <v>2.5862068965517242</v>
      </c>
      <c r="M460" s="118">
        <f t="shared" si="37"/>
        <v>0</v>
      </c>
      <c r="N460" s="151">
        <f ca="1">VLOOKUP(B460,'All Menu'!B:H,7,0)</f>
        <v>32</v>
      </c>
    </row>
    <row r="461" spans="1:14" s="158" customFormat="1" ht="14.5">
      <c r="A461" s="157" t="s">
        <v>2021</v>
      </c>
      <c r="B461" s="169" t="s">
        <v>885</v>
      </c>
      <c r="C461" s="158" t="s">
        <v>1522</v>
      </c>
      <c r="D461" s="115" t="str">
        <f>VLOOKUP(B461,'All Menu'!B:D,3,0)</f>
        <v>سلطات سفري</v>
      </c>
      <c r="E461" s="116">
        <f t="shared" si="38"/>
        <v>1.2931034482758621</v>
      </c>
      <c r="F461" s="160">
        <v>70</v>
      </c>
      <c r="G461" s="161">
        <v>90.517241379310349</v>
      </c>
      <c r="H461" s="115">
        <f>VLOOKUP(B461,'All Menu'!B:J,9,0)</f>
        <v>0.24234587628865978</v>
      </c>
      <c r="I461" s="120">
        <f>VLOOKUP(B461,'All Menu'!B:M,12,0)</f>
        <v>0.81258585567010322</v>
      </c>
      <c r="J461" s="114">
        <f t="shared" si="35"/>
        <v>90.517241379310349</v>
      </c>
      <c r="K461" s="117">
        <f t="shared" si="36"/>
        <v>0</v>
      </c>
      <c r="L461" s="118">
        <f>VLOOKUP(B461,'All Menu'!B:G,6,0)</f>
        <v>1.2931034482758621</v>
      </c>
      <c r="M461" s="118">
        <f t="shared" si="37"/>
        <v>0</v>
      </c>
      <c r="N461" s="151">
        <f ca="1">VLOOKUP(B461,'All Menu'!B:H,7,0)</f>
        <v>161.001</v>
      </c>
    </row>
    <row r="462" spans="1:14" s="158" customFormat="1" ht="14.5">
      <c r="A462" s="157" t="s">
        <v>2021</v>
      </c>
      <c r="B462" s="169" t="s">
        <v>882</v>
      </c>
      <c r="C462" s="158" t="s">
        <v>1523</v>
      </c>
      <c r="D462" s="115" t="str">
        <f>VLOOKUP(B462,'All Menu'!B:D,3,0)</f>
        <v>سلطات سفري</v>
      </c>
      <c r="E462" s="116">
        <f t="shared" si="38"/>
        <v>1.7241379310344829</v>
      </c>
      <c r="F462" s="160">
        <v>19</v>
      </c>
      <c r="G462" s="161">
        <v>32.758620689655174</v>
      </c>
      <c r="H462" s="115">
        <f>VLOOKUP(B462,'All Menu'!B:J,9,0)</f>
        <v>0.54531407563025203</v>
      </c>
      <c r="I462" s="120">
        <f>VLOOKUP(B462,'All Menu'!B:M,12,0)</f>
        <v>0.68371783613445392</v>
      </c>
      <c r="J462" s="114">
        <f t="shared" si="35"/>
        <v>32.758620689655174</v>
      </c>
      <c r="K462" s="117">
        <f t="shared" si="36"/>
        <v>0</v>
      </c>
      <c r="L462" s="118">
        <f>VLOOKUP(B462,'All Menu'!B:G,6,0)</f>
        <v>1.7241379310344829</v>
      </c>
      <c r="M462" s="118">
        <f t="shared" si="37"/>
        <v>0</v>
      </c>
      <c r="N462" s="151">
        <f ca="1">VLOOKUP(B462,'All Menu'!B:H,7,0)</f>
        <v>57.001000000000005</v>
      </c>
    </row>
    <row r="463" spans="1:14" s="158" customFormat="1" ht="14.5">
      <c r="A463" s="157" t="s">
        <v>2021</v>
      </c>
      <c r="B463" s="169" t="s">
        <v>884</v>
      </c>
      <c r="C463" s="158" t="s">
        <v>1524</v>
      </c>
      <c r="D463" s="115" t="str">
        <f>VLOOKUP(B463,'All Menu'!B:D,3,0)</f>
        <v>سلطات سفري</v>
      </c>
      <c r="E463" s="116">
        <f t="shared" si="38"/>
        <v>1.5086206896551726</v>
      </c>
      <c r="F463" s="160">
        <v>18</v>
      </c>
      <c r="G463" s="161">
        <v>27.155172413793107</v>
      </c>
      <c r="H463" s="115">
        <f>VLOOKUP(B463,'All Menu'!B:J,9,0)</f>
        <v>0.27673545612059258</v>
      </c>
      <c r="I463" s="120">
        <f>VLOOKUP(B463,'All Menu'!B:M,12,0)</f>
        <v>0.81656392622863583</v>
      </c>
      <c r="J463" s="114">
        <f t="shared" si="35"/>
        <v>27.155172413793107</v>
      </c>
      <c r="K463" s="117">
        <f t="shared" si="36"/>
        <v>0</v>
      </c>
      <c r="L463" s="118">
        <f>VLOOKUP(B463,'All Menu'!B:G,6,0)</f>
        <v>1.5086206896551726</v>
      </c>
      <c r="M463" s="118">
        <f t="shared" si="37"/>
        <v>0</v>
      </c>
      <c r="N463" s="151">
        <f ca="1">VLOOKUP(B463,'All Menu'!B:H,7,0)</f>
        <v>59</v>
      </c>
    </row>
    <row r="464" spans="1:14" s="158" customFormat="1" ht="14.5">
      <c r="A464" s="157" t="s">
        <v>2021</v>
      </c>
      <c r="B464" s="169" t="s">
        <v>1031</v>
      </c>
      <c r="C464" s="158" t="s">
        <v>1525</v>
      </c>
      <c r="D464" s="115" t="str">
        <f>VLOOKUP(B464,'All Menu'!B:D,3,0)</f>
        <v>سلطات سفري</v>
      </c>
      <c r="E464" s="116">
        <f t="shared" si="38"/>
        <v>9.0517241379310356</v>
      </c>
      <c r="F464" s="160">
        <v>1</v>
      </c>
      <c r="G464" s="161">
        <v>9.0517241379310356</v>
      </c>
      <c r="H464" s="115">
        <f>VLOOKUP(B464,'All Menu'!B:J,9,0)</f>
        <v>2.4039679628241015</v>
      </c>
      <c r="I464" s="120">
        <f>VLOOKUP(B464,'All Menu'!B:M,12,0)</f>
        <v>0.73441877744038508</v>
      </c>
      <c r="J464" s="114">
        <f t="shared" si="35"/>
        <v>9.0517241379310356</v>
      </c>
      <c r="K464" s="117">
        <f t="shared" si="36"/>
        <v>0</v>
      </c>
      <c r="L464" s="118">
        <f>VLOOKUP(B464,'All Menu'!B:G,6,0)</f>
        <v>9.0517241379310356</v>
      </c>
      <c r="M464" s="118">
        <f t="shared" si="37"/>
        <v>0</v>
      </c>
      <c r="N464" s="151">
        <f ca="1">VLOOKUP(B464,'All Menu'!B:H,7,0)</f>
        <v>3</v>
      </c>
    </row>
    <row r="465" spans="1:14" s="158" customFormat="1" ht="14.5">
      <c r="A465" s="157" t="s">
        <v>2021</v>
      </c>
      <c r="B465" s="169" t="s">
        <v>1231</v>
      </c>
      <c r="C465" s="158" t="s">
        <v>1526</v>
      </c>
      <c r="D465" s="115" t="str">
        <f>VLOOKUP(B465,'All Menu'!B:D,3,0)</f>
        <v>سلطات سفري</v>
      </c>
      <c r="E465" s="116">
        <f t="shared" si="38"/>
        <v>2.5862068965517242</v>
      </c>
      <c r="F465" s="160">
        <v>30</v>
      </c>
      <c r="G465" s="161">
        <v>77.58620689655173</v>
      </c>
      <c r="H465" s="115">
        <f>VLOOKUP(B465,'All Menu'!B:J,9,0)</f>
        <v>0.6959929452541771</v>
      </c>
      <c r="I465" s="120">
        <f>VLOOKUP(B465,'All Menu'!B:M,12,0)</f>
        <v>0.73088272783505148</v>
      </c>
      <c r="J465" s="114">
        <f t="shared" si="35"/>
        <v>77.58620689655173</v>
      </c>
      <c r="K465" s="117">
        <f t="shared" si="36"/>
        <v>0</v>
      </c>
      <c r="L465" s="118">
        <f>VLOOKUP(B465,'All Menu'!B:G,6,0)</f>
        <v>2.5862068965517242</v>
      </c>
      <c r="M465" s="118">
        <f t="shared" si="37"/>
        <v>0</v>
      </c>
      <c r="N465" s="151">
        <f ca="1">VLOOKUP(B465,'All Menu'!B:H,7,0)</f>
        <v>63</v>
      </c>
    </row>
    <row r="466" spans="1:14" s="158" customFormat="1" ht="14.5">
      <c r="A466" s="157" t="s">
        <v>2021</v>
      </c>
      <c r="B466" s="169" t="s">
        <v>903</v>
      </c>
      <c r="C466" s="158" t="s">
        <v>1556</v>
      </c>
      <c r="D466" s="115" t="str">
        <f>VLOOKUP(B466,'All Menu'!B:D,3,0)</f>
        <v>صواني وصجيات سفري</v>
      </c>
      <c r="E466" s="116">
        <f t="shared" si="38"/>
        <v>3.6637931034482762</v>
      </c>
      <c r="F466" s="160">
        <v>2</v>
      </c>
      <c r="G466" s="161">
        <v>7.3275862068965525</v>
      </c>
      <c r="H466" s="115">
        <f>VLOOKUP(B466,'All Menu'!B:J,9,0)</f>
        <v>1.9895221732843555</v>
      </c>
      <c r="I466" s="120">
        <f>VLOOKUP(B466,'All Menu'!B:M,12,0)</f>
        <v>0.45697747740944655</v>
      </c>
      <c r="J466" s="114">
        <f t="shared" si="35"/>
        <v>7.3275862068965525</v>
      </c>
      <c r="K466" s="117">
        <f t="shared" si="36"/>
        <v>0</v>
      </c>
      <c r="L466" s="118">
        <f>VLOOKUP(B466,'All Menu'!B:G,6,0)</f>
        <v>3.6637931034482762</v>
      </c>
      <c r="M466" s="118">
        <f t="shared" si="37"/>
        <v>0</v>
      </c>
      <c r="N466" s="151">
        <f ca="1">VLOOKUP(B466,'All Menu'!B:H,7,0)</f>
        <v>34</v>
      </c>
    </row>
    <row r="467" spans="1:14" s="158" customFormat="1" ht="14.5">
      <c r="A467" s="157" t="s">
        <v>2021</v>
      </c>
      <c r="B467" s="169" t="s">
        <v>912</v>
      </c>
      <c r="C467" s="158" t="s">
        <v>1689</v>
      </c>
      <c r="D467" s="115" t="str">
        <f>VLOOKUP(B467,'All Menu'!B:D,3,0)</f>
        <v>صواني وصجيات سفري</v>
      </c>
      <c r="E467" s="116">
        <f t="shared" si="38"/>
        <v>12.068965517241381</v>
      </c>
      <c r="F467" s="160">
        <v>1.0009999999999999</v>
      </c>
      <c r="G467" s="161">
        <v>12.081034482758621</v>
      </c>
      <c r="H467" s="115">
        <f>VLOOKUP(B467,'All Menu'!B:J,9,0)</f>
        <v>8.1605712158282326</v>
      </c>
      <c r="I467" s="120">
        <f>VLOOKUP(B467,'All Menu'!B:M,12,0)</f>
        <v>0.32383838497423223</v>
      </c>
      <c r="J467" s="114">
        <f t="shared" si="35"/>
        <v>12.081034482758621</v>
      </c>
      <c r="K467" s="117">
        <f t="shared" si="36"/>
        <v>0</v>
      </c>
      <c r="L467" s="118">
        <f>VLOOKUP(B467,'All Menu'!B:G,6,0)</f>
        <v>12.068965517241381</v>
      </c>
      <c r="M467" s="118">
        <f t="shared" si="37"/>
        <v>0</v>
      </c>
      <c r="N467" s="151">
        <f ca="1">VLOOKUP(B467,'All Menu'!B:H,7,0)</f>
        <v>21.501000000000001</v>
      </c>
    </row>
    <row r="468" spans="1:14" s="158" customFormat="1" ht="14.5">
      <c r="A468" s="157" t="s">
        <v>2021</v>
      </c>
      <c r="B468" s="169" t="s">
        <v>913</v>
      </c>
      <c r="C468" s="158" t="s">
        <v>1736</v>
      </c>
      <c r="D468" s="115" t="str">
        <f>VLOOKUP(B468,'All Menu'!B:D,3,0)</f>
        <v>صواني وصجيات سفري</v>
      </c>
      <c r="E468" s="116">
        <f t="shared" si="38"/>
        <v>20.387931034482758</v>
      </c>
      <c r="F468" s="160">
        <v>6.5</v>
      </c>
      <c r="G468" s="161">
        <v>132.52155172413794</v>
      </c>
      <c r="H468" s="115">
        <f>VLOOKUP(B468,'All Menu'!B:J,9,0)</f>
        <v>8.9953980574712649</v>
      </c>
      <c r="I468" s="120">
        <f>VLOOKUP(B468,'All Menu'!B:M,12,0)</f>
        <v>0.55878808682170544</v>
      </c>
      <c r="J468" s="114">
        <f t="shared" si="35"/>
        <v>132.52155172413794</v>
      </c>
      <c r="K468" s="117">
        <f t="shared" si="36"/>
        <v>0</v>
      </c>
      <c r="L468" s="118">
        <f>VLOOKUP(B468,'All Menu'!B:G,6,0)</f>
        <v>20.387931034482758</v>
      </c>
      <c r="M468" s="118">
        <f t="shared" si="37"/>
        <v>0</v>
      </c>
      <c r="N468" s="151">
        <f ca="1">VLOOKUP(B468,'All Menu'!B:H,7,0)</f>
        <v>14</v>
      </c>
    </row>
    <row r="469" spans="1:14" s="158" customFormat="1" ht="14.5">
      <c r="A469" s="157" t="s">
        <v>2021</v>
      </c>
      <c r="B469" s="169" t="s">
        <v>909</v>
      </c>
      <c r="C469" s="158" t="s">
        <v>1820</v>
      </c>
      <c r="D469" s="115" t="str">
        <f>VLOOKUP(B469,'All Menu'!B:D,3,0)</f>
        <v>صواني وصجيات سفري</v>
      </c>
      <c r="E469" s="116">
        <f t="shared" si="38"/>
        <v>3.6637931034482762</v>
      </c>
      <c r="F469" s="160">
        <v>1</v>
      </c>
      <c r="G469" s="161">
        <v>3.6637931034482762</v>
      </c>
      <c r="H469" s="115">
        <f>VLOOKUP(B469,'All Menu'!B:J,9,0)</f>
        <v>2.3623593752052541</v>
      </c>
      <c r="I469" s="120">
        <f>VLOOKUP(B469,'All Menu'!B:M,12,0)</f>
        <v>0.35521485288515425</v>
      </c>
      <c r="J469" s="114">
        <f t="shared" si="35"/>
        <v>3.6637931034482762</v>
      </c>
      <c r="K469" s="117">
        <f t="shared" si="36"/>
        <v>0</v>
      </c>
      <c r="L469" s="118">
        <f>VLOOKUP(B469,'All Menu'!B:G,6,0)</f>
        <v>3.6637931034482762</v>
      </c>
      <c r="M469" s="118">
        <f t="shared" si="37"/>
        <v>0</v>
      </c>
      <c r="N469" s="151">
        <f ca="1">VLOOKUP(B469,'All Menu'!B:H,7,0)</f>
        <v>3</v>
      </c>
    </row>
    <row r="470" spans="1:14" s="158" customFormat="1" ht="14.5">
      <c r="A470" s="157" t="s">
        <v>2021</v>
      </c>
      <c r="B470" s="169" t="s">
        <v>1096</v>
      </c>
      <c r="C470" s="158" t="s">
        <v>1558</v>
      </c>
      <c r="D470" s="115" t="str">
        <f>VLOOKUP(B470,'All Menu'!B:D,3,0)</f>
        <v>صواني وصجيات سفري</v>
      </c>
      <c r="E470" s="116">
        <f t="shared" si="38"/>
        <v>3.6637931034482762</v>
      </c>
      <c r="F470" s="160">
        <v>2</v>
      </c>
      <c r="G470" s="161">
        <v>7.3275862068965525</v>
      </c>
      <c r="H470" s="115">
        <f>VLOOKUP(B470,'All Menu'!B:J,9,0)</f>
        <v>1.4299442846743295</v>
      </c>
      <c r="I470" s="120">
        <f>VLOOKUP(B470,'All Menu'!B:M,12,0)</f>
        <v>0.60970932465359473</v>
      </c>
      <c r="J470" s="114">
        <f t="shared" si="35"/>
        <v>7.3275862068965525</v>
      </c>
      <c r="K470" s="117">
        <f t="shared" si="36"/>
        <v>0</v>
      </c>
      <c r="L470" s="118">
        <f>VLOOKUP(B470,'All Menu'!B:G,6,0)</f>
        <v>3.6637931034482762</v>
      </c>
      <c r="M470" s="118">
        <f t="shared" si="37"/>
        <v>0</v>
      </c>
      <c r="N470" s="151">
        <f ca="1">VLOOKUP(B470,'All Menu'!B:H,7,0)</f>
        <v>7</v>
      </c>
    </row>
    <row r="471" spans="1:14" s="158" customFormat="1" ht="14.5">
      <c r="A471" s="157" t="s">
        <v>2021</v>
      </c>
      <c r="B471" s="169" t="s">
        <v>1098</v>
      </c>
      <c r="C471" s="158" t="s">
        <v>1778</v>
      </c>
      <c r="D471" s="115" t="str">
        <f>VLOOKUP(B471,'All Menu'!B:D,3,0)</f>
        <v>صواني وصجيات سفري</v>
      </c>
      <c r="E471" s="116">
        <f t="shared" si="38"/>
        <v>12.068965517241381</v>
      </c>
      <c r="F471" s="160">
        <v>2</v>
      </c>
      <c r="G471" s="161">
        <v>24.137931034482762</v>
      </c>
      <c r="H471" s="115">
        <f>VLOOKUP(B471,'All Menu'!B:J,9,0)</f>
        <v>6.0648999013100973</v>
      </c>
      <c r="I471" s="120">
        <f>VLOOKUP(B471,'All Menu'!B:M,12,0)</f>
        <v>0.49747972246287769</v>
      </c>
      <c r="J471" s="114">
        <f t="shared" si="35"/>
        <v>24.137931034482762</v>
      </c>
      <c r="K471" s="117">
        <f t="shared" si="36"/>
        <v>0</v>
      </c>
      <c r="L471" s="118">
        <f>VLOOKUP(B471,'All Menu'!B:G,6,0)</f>
        <v>12.068965517241381</v>
      </c>
      <c r="M471" s="118">
        <f t="shared" si="37"/>
        <v>0</v>
      </c>
      <c r="N471" s="151">
        <f ca="1">VLOOKUP(B471,'All Menu'!B:H,7,0)</f>
        <v>6.25</v>
      </c>
    </row>
    <row r="472" spans="1:14" s="158" customFormat="1" ht="14.5">
      <c r="A472" s="157" t="s">
        <v>2021</v>
      </c>
      <c r="B472" s="169" t="s">
        <v>1073</v>
      </c>
      <c r="C472" s="158" t="s">
        <v>1559</v>
      </c>
      <c r="D472" s="115" t="str">
        <f>VLOOKUP(B472,'All Menu'!B:D,3,0)</f>
        <v>صواني وصجيات سفري</v>
      </c>
      <c r="E472" s="116">
        <f t="shared" si="38"/>
        <v>3.6637931034482762</v>
      </c>
      <c r="F472" s="160">
        <v>2</v>
      </c>
      <c r="G472" s="161">
        <v>7.3275862068965525</v>
      </c>
      <c r="H472" s="115">
        <f>VLOOKUP(B472,'All Menu'!B:J,9,0)</f>
        <v>2.1980220273946363</v>
      </c>
      <c r="I472" s="120">
        <f>VLOOKUP(B472,'All Menu'!B:M,12,0)</f>
        <v>0.40006928193464053</v>
      </c>
      <c r="J472" s="114">
        <f t="shared" si="35"/>
        <v>7.3275862068965525</v>
      </c>
      <c r="K472" s="117">
        <f t="shared" si="36"/>
        <v>0</v>
      </c>
      <c r="L472" s="118">
        <f>VLOOKUP(B472,'All Menu'!B:G,6,0)</f>
        <v>3.6637931034482762</v>
      </c>
      <c r="M472" s="118">
        <f t="shared" si="37"/>
        <v>0</v>
      </c>
      <c r="N472" s="151">
        <f ca="1">VLOOKUP(B472,'All Menu'!B:H,7,0)</f>
        <v>16</v>
      </c>
    </row>
    <row r="473" spans="1:14" s="158" customFormat="1" ht="14.5">
      <c r="A473" s="157" t="s">
        <v>2021</v>
      </c>
      <c r="B473" s="169" t="s">
        <v>1105</v>
      </c>
      <c r="C473" s="158" t="s">
        <v>1694</v>
      </c>
      <c r="D473" s="115" t="str">
        <f>VLOOKUP(B473,'All Menu'!B:D,3,0)</f>
        <v>صواني وصجيات سفري</v>
      </c>
      <c r="E473" s="116">
        <f t="shared" si="38"/>
        <v>6.4655172413793105</v>
      </c>
      <c r="F473" s="160">
        <v>2</v>
      </c>
      <c r="G473" s="161">
        <v>12.931034482758621</v>
      </c>
      <c r="H473" s="115">
        <f>VLOOKUP(B473,'All Menu'!B:J,9,0)</f>
        <v>3.7983309847126434</v>
      </c>
      <c r="I473" s="120">
        <f>VLOOKUP(B473,'All Menu'!B:M,12,0)</f>
        <v>0.41252480769777783</v>
      </c>
      <c r="J473" s="114">
        <f t="shared" si="35"/>
        <v>12.931034482758621</v>
      </c>
      <c r="K473" s="117">
        <f t="shared" si="36"/>
        <v>0</v>
      </c>
      <c r="L473" s="118">
        <f>VLOOKUP(B473,'All Menu'!B:G,6,0)</f>
        <v>6.4655172413793105</v>
      </c>
      <c r="M473" s="118">
        <f t="shared" si="37"/>
        <v>0</v>
      </c>
      <c r="N473" s="151">
        <f ca="1">VLOOKUP(B473,'All Menu'!B:H,7,0)</f>
        <v>7</v>
      </c>
    </row>
    <row r="474" spans="1:14" s="158" customFormat="1" ht="14.5">
      <c r="A474" s="157" t="s">
        <v>2021</v>
      </c>
      <c r="B474" s="169" t="s">
        <v>905</v>
      </c>
      <c r="C474" s="158" t="s">
        <v>1696</v>
      </c>
      <c r="D474" s="115" t="str">
        <f>VLOOKUP(B474,'All Menu'!B:D,3,0)</f>
        <v>صواني وصجيات سفري</v>
      </c>
      <c r="E474" s="116">
        <f t="shared" si="38"/>
        <v>3.6637931034482762</v>
      </c>
      <c r="F474" s="160">
        <v>2</v>
      </c>
      <c r="G474" s="161">
        <v>7.3275862068965525</v>
      </c>
      <c r="H474" s="115">
        <f>VLOOKUP(B474,'All Menu'!B:J,9,0)</f>
        <v>1.9931471029819887</v>
      </c>
      <c r="I474" s="120">
        <f>VLOOKUP(B474,'All Menu'!B:M,12,0)</f>
        <v>0.4559880848331514</v>
      </c>
      <c r="J474" s="114">
        <f t="shared" si="35"/>
        <v>7.3275862068965525</v>
      </c>
      <c r="K474" s="117">
        <f t="shared" si="36"/>
        <v>0</v>
      </c>
      <c r="L474" s="118">
        <f>VLOOKUP(B474,'All Menu'!B:G,6,0)</f>
        <v>3.6637931034482762</v>
      </c>
      <c r="M474" s="118">
        <f t="shared" si="37"/>
        <v>0</v>
      </c>
      <c r="N474" s="151">
        <f ca="1">VLOOKUP(B474,'All Menu'!B:H,7,0)</f>
        <v>17</v>
      </c>
    </row>
    <row r="475" spans="1:14" s="158" customFormat="1" ht="14.5">
      <c r="A475" s="157" t="s">
        <v>2021</v>
      </c>
      <c r="B475" s="169" t="s">
        <v>906</v>
      </c>
      <c r="C475" s="158" t="s">
        <v>1697</v>
      </c>
      <c r="D475" s="115" t="str">
        <f>VLOOKUP(B475,'All Menu'!B:D,3,0)</f>
        <v>صواني وصجيات سفري</v>
      </c>
      <c r="E475" s="116">
        <f t="shared" si="38"/>
        <v>6.4655172413793105</v>
      </c>
      <c r="F475" s="160">
        <v>4</v>
      </c>
      <c r="G475" s="161">
        <v>25.862068965517242</v>
      </c>
      <c r="H475" s="115">
        <f>VLOOKUP(B475,'All Menu'!B:J,9,0)</f>
        <v>4.3129671556078018</v>
      </c>
      <c r="I475" s="120">
        <f>VLOOKUP(B475,'All Menu'!B:M,12,0)</f>
        <v>0.33292774659932667</v>
      </c>
      <c r="J475" s="114">
        <f t="shared" ref="J475:J538" si="39">F475*L475</f>
        <v>25.862068965517242</v>
      </c>
      <c r="K475" s="117">
        <f t="shared" ref="K475:K538" si="40">G475-J475</f>
        <v>0</v>
      </c>
      <c r="L475" s="118">
        <f>VLOOKUP(B475,'All Menu'!B:G,6,0)</f>
        <v>6.4655172413793105</v>
      </c>
      <c r="M475" s="118">
        <f t="shared" ref="M475:M538" si="41">E475-L475</f>
        <v>0</v>
      </c>
      <c r="N475" s="151">
        <f ca="1">VLOOKUP(B475,'All Menu'!B:H,7,0)</f>
        <v>13</v>
      </c>
    </row>
    <row r="476" spans="1:14" s="158" customFormat="1" ht="14.5">
      <c r="A476" s="157" t="s">
        <v>2021</v>
      </c>
      <c r="B476" s="169" t="s">
        <v>911</v>
      </c>
      <c r="C476" s="158" t="s">
        <v>1698</v>
      </c>
      <c r="D476" s="115" t="str">
        <f>VLOOKUP(B476,'All Menu'!B:D,3,0)</f>
        <v>صواني وصجيات سفري</v>
      </c>
      <c r="E476" s="116">
        <f t="shared" si="38"/>
        <v>12.068965517241381</v>
      </c>
      <c r="F476" s="160">
        <v>1</v>
      </c>
      <c r="G476" s="161">
        <v>12.068965517241381</v>
      </c>
      <c r="H476" s="115">
        <f>VLOOKUP(B476,'All Menu'!B:J,9,0)</f>
        <v>8.1545283342041106</v>
      </c>
      <c r="I476" s="120">
        <f>VLOOKUP(B476,'All Menu'!B:M,12,0)</f>
        <v>0.32433908088023089</v>
      </c>
      <c r="J476" s="114">
        <f t="shared" si="39"/>
        <v>12.068965517241381</v>
      </c>
      <c r="K476" s="117">
        <f t="shared" si="40"/>
        <v>0</v>
      </c>
      <c r="L476" s="118">
        <f>VLOOKUP(B476,'All Menu'!B:G,6,0)</f>
        <v>12.068965517241381</v>
      </c>
      <c r="M476" s="118">
        <f t="shared" si="41"/>
        <v>0</v>
      </c>
      <c r="N476" s="151">
        <f ca="1">VLOOKUP(B476,'All Menu'!B:H,7,0)</f>
        <v>17.5</v>
      </c>
    </row>
    <row r="477" spans="1:14" s="158" customFormat="1" ht="14.5">
      <c r="A477" s="157" t="s">
        <v>2021</v>
      </c>
      <c r="B477" s="169" t="s">
        <v>922</v>
      </c>
      <c r="C477" s="158" t="s">
        <v>1779</v>
      </c>
      <c r="D477" s="115" t="str">
        <f>VLOOKUP(B477,'All Menu'!B:D,3,0)</f>
        <v>صواني وصجيات سفري</v>
      </c>
      <c r="E477" s="116">
        <f t="shared" si="38"/>
        <v>8.6206896551724146</v>
      </c>
      <c r="F477" s="160">
        <v>1</v>
      </c>
      <c r="G477" s="161">
        <v>8.6206896551724146</v>
      </c>
      <c r="H477" s="115">
        <f>VLOOKUP(B477,'All Menu'!B:J,9,0)</f>
        <v>2.6211459770114947</v>
      </c>
      <c r="I477" s="120">
        <f>VLOOKUP(B477,'All Menu'!B:M,12,0)</f>
        <v>0.69594706666666672</v>
      </c>
      <c r="J477" s="114">
        <f t="shared" si="39"/>
        <v>8.6206896551724146</v>
      </c>
      <c r="K477" s="117">
        <f t="shared" si="40"/>
        <v>0</v>
      </c>
      <c r="L477" s="118">
        <f>VLOOKUP(B477,'All Menu'!B:G,6,0)</f>
        <v>8.6206896551724146</v>
      </c>
      <c r="M477" s="118">
        <f t="shared" si="41"/>
        <v>0</v>
      </c>
      <c r="N477" s="151">
        <f ca="1">VLOOKUP(B477,'All Menu'!B:H,7,0)</f>
        <v>1</v>
      </c>
    </row>
    <row r="478" spans="1:14" s="158" customFormat="1" ht="14.5">
      <c r="A478" s="157" t="s">
        <v>2021</v>
      </c>
      <c r="B478" s="169" t="s">
        <v>923</v>
      </c>
      <c r="C478" s="158" t="s">
        <v>1552</v>
      </c>
      <c r="D478" s="115" t="str">
        <f>VLOOKUP(B478,'All Menu'!B:D,3,0)</f>
        <v>صواني وصجيات سفري</v>
      </c>
      <c r="E478" s="116">
        <f t="shared" si="38"/>
        <v>4.3103448275862073</v>
      </c>
      <c r="F478" s="160">
        <v>1</v>
      </c>
      <c r="G478" s="161">
        <v>4.3103448275862073</v>
      </c>
      <c r="H478" s="115">
        <f>VLOOKUP(B478,'All Menu'!B:J,9,0)</f>
        <v>3.2003989804597706</v>
      </c>
      <c r="I478" s="120">
        <f>VLOOKUP(B478,'All Menu'!B:M,12,0)</f>
        <v>0.2575074365333333</v>
      </c>
      <c r="J478" s="114">
        <f t="shared" si="39"/>
        <v>4.3103448275862073</v>
      </c>
      <c r="K478" s="117">
        <f t="shared" si="40"/>
        <v>0</v>
      </c>
      <c r="L478" s="118">
        <f>VLOOKUP(B478,'All Menu'!B:G,6,0)</f>
        <v>4.3103448275862073</v>
      </c>
      <c r="M478" s="118">
        <f t="shared" si="41"/>
        <v>0</v>
      </c>
      <c r="N478" s="151">
        <f ca="1">VLOOKUP(B478,'All Menu'!B:H,7,0)</f>
        <v>3</v>
      </c>
    </row>
    <row r="479" spans="1:14" s="158" customFormat="1" ht="14.5">
      <c r="A479" s="157" t="s">
        <v>2021</v>
      </c>
      <c r="B479" s="169" t="s">
        <v>1301</v>
      </c>
      <c r="C479" s="158" t="s">
        <v>1784</v>
      </c>
      <c r="D479" s="115" t="str">
        <f>VLOOKUP(B479,'All Menu'!B:D,3,0)</f>
        <v>صواني وصجيات سفري</v>
      </c>
      <c r="E479" s="116">
        <f t="shared" si="38"/>
        <v>12.068965517241381</v>
      </c>
      <c r="F479" s="160">
        <v>4.5</v>
      </c>
      <c r="G479" s="161">
        <v>54.310344827586214</v>
      </c>
      <c r="H479" s="115">
        <f>VLOOKUP(B479,'All Menu'!B:J,9,0)</f>
        <v>7.1477666666666666</v>
      </c>
      <c r="I479" s="120">
        <f>VLOOKUP(B479,'All Menu'!B:M,12,0)</f>
        <v>0.40775647619047628</v>
      </c>
      <c r="J479" s="114">
        <f t="shared" si="39"/>
        <v>54.310344827586214</v>
      </c>
      <c r="K479" s="117">
        <f t="shared" si="40"/>
        <v>0</v>
      </c>
      <c r="L479" s="118">
        <f>VLOOKUP(B479,'All Menu'!B:G,6,0)</f>
        <v>12.068965517241381</v>
      </c>
      <c r="M479" s="118">
        <f t="shared" si="41"/>
        <v>0</v>
      </c>
      <c r="N479" s="151">
        <f ca="1">VLOOKUP(B479,'All Menu'!B:H,7,0)</f>
        <v>6.5</v>
      </c>
    </row>
    <row r="480" spans="1:14" s="158" customFormat="1" ht="14.5">
      <c r="A480" s="157" t="s">
        <v>2021</v>
      </c>
      <c r="B480" s="169" t="s">
        <v>1701</v>
      </c>
      <c r="C480" s="158" t="s">
        <v>1702</v>
      </c>
      <c r="D480" s="115" t="str">
        <f>VLOOKUP(B480,'All Menu'!B:D,3,0)</f>
        <v>صواني وصجيات  سفري</v>
      </c>
      <c r="E480" s="116">
        <f t="shared" si="38"/>
        <v>12.068965517241381</v>
      </c>
      <c r="F480" s="160">
        <v>1</v>
      </c>
      <c r="G480" s="161">
        <v>12.068965517241381</v>
      </c>
      <c r="H480" s="115">
        <f>VLOOKUP(B480,'All Menu'!B:J,9,0)</f>
        <v>5.3013301149425276</v>
      </c>
      <c r="I480" s="120">
        <f>VLOOKUP(B480,'All Menu'!B:M,12,0)</f>
        <v>0.56074693333333347</v>
      </c>
      <c r="J480" s="114">
        <f t="shared" si="39"/>
        <v>12.068965517241381</v>
      </c>
      <c r="K480" s="117">
        <f t="shared" si="40"/>
        <v>0</v>
      </c>
      <c r="L480" s="118">
        <f>VLOOKUP(B480,'All Menu'!B:G,6,0)</f>
        <v>12.068965517241381</v>
      </c>
      <c r="M480" s="118">
        <f t="shared" si="41"/>
        <v>0</v>
      </c>
      <c r="N480" s="151">
        <f ca="1">VLOOKUP(B480,'All Menu'!B:H,7,0)</f>
        <v>1</v>
      </c>
    </row>
    <row r="481" spans="1:14" s="158" customFormat="1" ht="14.5">
      <c r="A481" s="157" t="s">
        <v>2021</v>
      </c>
      <c r="B481" s="169" t="s">
        <v>933</v>
      </c>
      <c r="C481" s="158" t="s">
        <v>1566</v>
      </c>
      <c r="D481" s="115" t="str">
        <f>VLOOKUP(B481,'All Menu'!B:D,3,0)</f>
        <v>عجين سفري</v>
      </c>
      <c r="E481" s="116">
        <f t="shared" si="38"/>
        <v>1.0775862068965518</v>
      </c>
      <c r="F481" s="160">
        <v>43</v>
      </c>
      <c r="G481" s="161">
        <v>46.33620689655173</v>
      </c>
      <c r="H481" s="115">
        <f>VLOOKUP(B481,'All Menu'!B:J,9,0)</f>
        <v>0.41229306694343532</v>
      </c>
      <c r="I481" s="120">
        <f>VLOOKUP(B481,'All Menu'!B:M,12,0)</f>
        <v>0.61739203387649211</v>
      </c>
      <c r="J481" s="114">
        <f t="shared" si="39"/>
        <v>46.33620689655173</v>
      </c>
      <c r="K481" s="117">
        <f t="shared" si="40"/>
        <v>0</v>
      </c>
      <c r="L481" s="118">
        <f>VLOOKUP(B481,'All Menu'!B:G,6,0)</f>
        <v>1.0775862068965518</v>
      </c>
      <c r="M481" s="118">
        <f t="shared" si="41"/>
        <v>0</v>
      </c>
      <c r="N481" s="151">
        <f ca="1">VLOOKUP(B481,'All Menu'!B:H,7,0)</f>
        <v>106</v>
      </c>
    </row>
    <row r="482" spans="1:14" s="158" customFormat="1" ht="14.5">
      <c r="A482" s="157" t="s">
        <v>2021</v>
      </c>
      <c r="B482" s="169" t="s">
        <v>929</v>
      </c>
      <c r="C482" s="158" t="s">
        <v>1567</v>
      </c>
      <c r="D482" s="115" t="str">
        <f>VLOOKUP(B482,'All Menu'!B:D,3,0)</f>
        <v>عجين سفري</v>
      </c>
      <c r="E482" s="116">
        <f t="shared" si="38"/>
        <v>0.60344827586206895</v>
      </c>
      <c r="F482" s="160">
        <v>30</v>
      </c>
      <c r="G482" s="161">
        <v>18.103448275862068</v>
      </c>
      <c r="H482" s="115">
        <f>VLOOKUP(B482,'All Menu'!B:J,9,0)</f>
        <v>0.22324543361010207</v>
      </c>
      <c r="I482" s="120">
        <f>VLOOKUP(B482,'All Menu'!B:M,12,0)</f>
        <v>0.63005042430325942</v>
      </c>
      <c r="J482" s="114">
        <f t="shared" si="39"/>
        <v>18.103448275862068</v>
      </c>
      <c r="K482" s="117">
        <f t="shared" si="40"/>
        <v>0</v>
      </c>
      <c r="L482" s="118">
        <f>VLOOKUP(B482,'All Menu'!B:G,6,0)</f>
        <v>0.60344827586206895</v>
      </c>
      <c r="M482" s="118">
        <f t="shared" si="41"/>
        <v>0</v>
      </c>
      <c r="N482" s="151">
        <f ca="1">VLOOKUP(B482,'All Menu'!B:H,7,0)</f>
        <v>35</v>
      </c>
    </row>
    <row r="483" spans="1:14" s="158" customFormat="1" ht="14.5">
      <c r="A483" s="157" t="s">
        <v>2021</v>
      </c>
      <c r="B483" s="169" t="s">
        <v>930</v>
      </c>
      <c r="C483" s="158" t="s">
        <v>1568</v>
      </c>
      <c r="D483" s="115" t="str">
        <f>VLOOKUP(B483,'All Menu'!B:D,3,0)</f>
        <v>عجين سفري</v>
      </c>
      <c r="E483" s="116">
        <f t="shared" si="38"/>
        <v>1.0775862068965518</v>
      </c>
      <c r="F483" s="160">
        <v>18</v>
      </c>
      <c r="G483" s="161">
        <v>19.396551724137932</v>
      </c>
      <c r="H483" s="115">
        <f>VLOOKUP(B483,'All Menu'!B:J,9,0)</f>
        <v>0.39583829194343534</v>
      </c>
      <c r="I483" s="120">
        <f>VLOOKUP(B483,'All Menu'!B:M,12,0)</f>
        <v>0.63266206507649203</v>
      </c>
      <c r="J483" s="114">
        <f t="shared" si="39"/>
        <v>19.396551724137932</v>
      </c>
      <c r="K483" s="117">
        <f t="shared" si="40"/>
        <v>0</v>
      </c>
      <c r="L483" s="118">
        <f>VLOOKUP(B483,'All Menu'!B:G,6,0)</f>
        <v>1.0775862068965518</v>
      </c>
      <c r="M483" s="118">
        <f t="shared" si="41"/>
        <v>0</v>
      </c>
      <c r="N483" s="151">
        <f ca="1">VLOOKUP(B483,'All Menu'!B:H,7,0)</f>
        <v>61</v>
      </c>
    </row>
    <row r="484" spans="1:14" s="158" customFormat="1" ht="14.5">
      <c r="A484" s="157" t="s">
        <v>2021</v>
      </c>
      <c r="B484" s="169" t="s">
        <v>931</v>
      </c>
      <c r="C484" s="158" t="s">
        <v>1569</v>
      </c>
      <c r="D484" s="115" t="str">
        <f>VLOOKUP(B484,'All Menu'!B:D,3,0)</f>
        <v>عجين سفري</v>
      </c>
      <c r="E484" s="116">
        <f t="shared" si="38"/>
        <v>1.0775862068965518</v>
      </c>
      <c r="F484" s="160">
        <v>8</v>
      </c>
      <c r="G484" s="161">
        <v>8.6206896551724146</v>
      </c>
      <c r="H484" s="115">
        <f>VLOOKUP(B484,'All Menu'!B:J,9,0)</f>
        <v>0.407476733610102</v>
      </c>
      <c r="I484" s="120">
        <f>VLOOKUP(B484,'All Menu'!B:M,12,0)</f>
        <v>0.62186159120982543</v>
      </c>
      <c r="J484" s="114">
        <f t="shared" si="39"/>
        <v>8.6206896551724146</v>
      </c>
      <c r="K484" s="117">
        <f t="shared" si="40"/>
        <v>0</v>
      </c>
      <c r="L484" s="118">
        <f>VLOOKUP(B484,'All Menu'!B:G,6,0)</f>
        <v>1.0775862068965518</v>
      </c>
      <c r="M484" s="118">
        <f t="shared" si="41"/>
        <v>0</v>
      </c>
      <c r="N484" s="151">
        <f ca="1">VLOOKUP(B484,'All Menu'!B:H,7,0)</f>
        <v>23</v>
      </c>
    </row>
    <row r="485" spans="1:14" s="158" customFormat="1" ht="14.5">
      <c r="A485" s="157" t="s">
        <v>2021</v>
      </c>
      <c r="B485" s="169" t="s">
        <v>935</v>
      </c>
      <c r="C485" s="158" t="s">
        <v>1570</v>
      </c>
      <c r="D485" s="115" t="str">
        <f>VLOOKUP(B485,'All Menu'!B:D,3,0)</f>
        <v>عجين سفري</v>
      </c>
      <c r="E485" s="116">
        <f t="shared" si="38"/>
        <v>1.0775862068965518</v>
      </c>
      <c r="F485" s="160">
        <v>7</v>
      </c>
      <c r="G485" s="161">
        <v>7.543103448275863</v>
      </c>
      <c r="H485" s="115">
        <f>VLOOKUP(B485,'All Menu'!B:J,9,0)</f>
        <v>0.43973973361010199</v>
      </c>
      <c r="I485" s="120">
        <f>VLOOKUP(B485,'All Menu'!B:M,12,0)</f>
        <v>0.59192152720982538</v>
      </c>
      <c r="J485" s="114">
        <f t="shared" si="39"/>
        <v>7.543103448275863</v>
      </c>
      <c r="K485" s="117">
        <f t="shared" si="40"/>
        <v>0</v>
      </c>
      <c r="L485" s="118">
        <f>VLOOKUP(B485,'All Menu'!B:G,6,0)</f>
        <v>1.0775862068965518</v>
      </c>
      <c r="M485" s="118">
        <f t="shared" si="41"/>
        <v>0</v>
      </c>
      <c r="N485" s="151">
        <f ca="1">VLOOKUP(B485,'All Menu'!B:H,7,0)</f>
        <v>23</v>
      </c>
    </row>
    <row r="486" spans="1:14" s="158" customFormat="1" ht="14.5">
      <c r="A486" s="157" t="s">
        <v>2021</v>
      </c>
      <c r="B486" s="169" t="s">
        <v>934</v>
      </c>
      <c r="C486" s="158" t="s">
        <v>1571</v>
      </c>
      <c r="D486" s="115" t="str">
        <f>VLOOKUP(B486,'All Menu'!B:D,3,0)</f>
        <v>عجين سفري</v>
      </c>
      <c r="E486" s="116">
        <f t="shared" ref="E486:E549" si="42">G486/F486</f>
        <v>0.60344827586206895</v>
      </c>
      <c r="F486" s="160">
        <v>55</v>
      </c>
      <c r="G486" s="161">
        <v>33.189655172413794</v>
      </c>
      <c r="H486" s="115">
        <f>VLOOKUP(B486,'All Menu'!B:J,9,0)</f>
        <v>0.296879733610102</v>
      </c>
      <c r="I486" s="120">
        <f>VLOOKUP(B486,'All Menu'!B:M,12,0)</f>
        <v>0.50802787001754524</v>
      </c>
      <c r="J486" s="114">
        <f t="shared" si="39"/>
        <v>33.189655172413794</v>
      </c>
      <c r="K486" s="117">
        <f t="shared" si="40"/>
        <v>0</v>
      </c>
      <c r="L486" s="118">
        <f>VLOOKUP(B486,'All Menu'!B:G,6,0)</f>
        <v>0.60344827586206895</v>
      </c>
      <c r="M486" s="118">
        <f t="shared" si="41"/>
        <v>0</v>
      </c>
      <c r="N486" s="151">
        <f ca="1">VLOOKUP(B486,'All Menu'!B:H,7,0)</f>
        <v>64</v>
      </c>
    </row>
    <row r="487" spans="1:14" s="158" customFormat="1" ht="14.5">
      <c r="A487" s="157" t="s">
        <v>2021</v>
      </c>
      <c r="B487" s="169" t="s">
        <v>925</v>
      </c>
      <c r="C487" s="158" t="s">
        <v>1572</v>
      </c>
      <c r="D487" s="115" t="str">
        <f>VLOOKUP(B487,'All Menu'!B:D,3,0)</f>
        <v>عجين سفري</v>
      </c>
      <c r="E487" s="116">
        <f t="shared" si="42"/>
        <v>0.86206896551724144</v>
      </c>
      <c r="F487" s="160">
        <v>98</v>
      </c>
      <c r="G487" s="161">
        <v>84.482758620689665</v>
      </c>
      <c r="H487" s="115">
        <f>VLOOKUP(B487,'All Menu'!B:J,9,0)</f>
        <v>0.59705973361010212</v>
      </c>
      <c r="I487" s="120">
        <f>VLOOKUP(B487,'All Menu'!B:M,12,0)</f>
        <v>0.30741070901228157</v>
      </c>
      <c r="J487" s="114">
        <f t="shared" si="39"/>
        <v>84.482758620689665</v>
      </c>
      <c r="K487" s="117">
        <f t="shared" si="40"/>
        <v>0</v>
      </c>
      <c r="L487" s="118">
        <f>VLOOKUP(B487,'All Menu'!B:G,6,0)</f>
        <v>0.86206896551724144</v>
      </c>
      <c r="M487" s="118">
        <f t="shared" si="41"/>
        <v>0</v>
      </c>
      <c r="N487" s="151">
        <f ca="1">VLOOKUP(B487,'All Menu'!B:H,7,0)</f>
        <v>127.002</v>
      </c>
    </row>
    <row r="488" spans="1:14" s="158" customFormat="1" ht="14.5">
      <c r="A488" s="157" t="s">
        <v>2021</v>
      </c>
      <c r="B488" s="169" t="s">
        <v>928</v>
      </c>
      <c r="C488" s="158" t="s">
        <v>1573</v>
      </c>
      <c r="D488" s="115" t="str">
        <f>VLOOKUP(B488,'All Menu'!B:D,3,0)</f>
        <v>عجين سفري</v>
      </c>
      <c r="E488" s="116">
        <f t="shared" si="42"/>
        <v>0.86206896551724144</v>
      </c>
      <c r="F488" s="160">
        <v>3</v>
      </c>
      <c r="G488" s="161">
        <v>2.5862068965517242</v>
      </c>
      <c r="H488" s="115">
        <f>VLOOKUP(B488,'All Menu'!B:J,9,0)</f>
        <v>0.34831973361010199</v>
      </c>
      <c r="I488" s="120">
        <f>VLOOKUP(B488,'All Menu'!B:M,12,0)</f>
        <v>0.59594910901228182</v>
      </c>
      <c r="J488" s="114">
        <f t="shared" si="39"/>
        <v>2.5862068965517242</v>
      </c>
      <c r="K488" s="117">
        <f t="shared" si="40"/>
        <v>0</v>
      </c>
      <c r="L488" s="118">
        <f>VLOOKUP(B488,'All Menu'!B:G,6,0)</f>
        <v>0.86206896551724144</v>
      </c>
      <c r="M488" s="118">
        <f t="shared" si="41"/>
        <v>0</v>
      </c>
      <c r="N488" s="151">
        <f ca="1">VLOOKUP(B488,'All Menu'!B:H,7,0)</f>
        <v>18</v>
      </c>
    </row>
    <row r="489" spans="1:14" s="158" customFormat="1" ht="14.5">
      <c r="A489" s="157" t="s">
        <v>2021</v>
      </c>
      <c r="B489" s="169" t="s">
        <v>932</v>
      </c>
      <c r="C489" s="158" t="s">
        <v>1739</v>
      </c>
      <c r="D489" s="115" t="str">
        <f>VLOOKUP(B489,'All Menu'!B:D,3,0)</f>
        <v>عجين سفري</v>
      </c>
      <c r="E489" s="116">
        <f t="shared" si="42"/>
        <v>1.5086206896551726</v>
      </c>
      <c r="F489" s="160">
        <v>4</v>
      </c>
      <c r="G489" s="161">
        <v>6.0344827586206904</v>
      </c>
      <c r="H489" s="115">
        <f>VLOOKUP(B489,'All Menu'!B:J,9,0)</f>
        <v>0.82094686391928506</v>
      </c>
      <c r="I489" s="120">
        <f>VLOOKUP(B489,'All Menu'!B:M,12,0)</f>
        <v>0.45582950734493111</v>
      </c>
      <c r="J489" s="114">
        <f t="shared" si="39"/>
        <v>6.0344827586206904</v>
      </c>
      <c r="K489" s="117">
        <f t="shared" si="40"/>
        <v>0</v>
      </c>
      <c r="L489" s="118">
        <f>VLOOKUP(B489,'All Menu'!B:G,6,0)</f>
        <v>1.5086206896551726</v>
      </c>
      <c r="M489" s="118">
        <f t="shared" si="41"/>
        <v>0</v>
      </c>
      <c r="N489" s="151">
        <f ca="1">VLOOKUP(B489,'All Menu'!B:H,7,0)</f>
        <v>8</v>
      </c>
    </row>
    <row r="490" spans="1:14" s="158" customFormat="1" ht="14.5">
      <c r="A490" s="157" t="s">
        <v>2021</v>
      </c>
      <c r="B490" s="169" t="s">
        <v>936</v>
      </c>
      <c r="C490" s="158" t="s">
        <v>1574</v>
      </c>
      <c r="D490" s="115" t="str">
        <f>VLOOKUP(B490,'All Menu'!B:D,3,0)</f>
        <v>عجين سفري</v>
      </c>
      <c r="E490" s="116">
        <f t="shared" si="42"/>
        <v>1.0775862068965518</v>
      </c>
      <c r="F490" s="160">
        <v>27</v>
      </c>
      <c r="G490" s="161">
        <v>29.0948275862069</v>
      </c>
      <c r="H490" s="115">
        <f>VLOOKUP(B490,'All Menu'!B:J,9,0)</f>
        <v>0.51911934899471734</v>
      </c>
      <c r="I490" s="120">
        <f>VLOOKUP(B490,'All Menu'!B:M,12,0)</f>
        <v>0.51825724413290231</v>
      </c>
      <c r="J490" s="114">
        <f t="shared" si="39"/>
        <v>29.0948275862069</v>
      </c>
      <c r="K490" s="117">
        <f t="shared" si="40"/>
        <v>0</v>
      </c>
      <c r="L490" s="118">
        <f>VLOOKUP(B490,'All Menu'!B:G,6,0)</f>
        <v>1.0775862068965518</v>
      </c>
      <c r="M490" s="118">
        <f t="shared" si="41"/>
        <v>0</v>
      </c>
      <c r="N490" s="151">
        <f ca="1">VLOOKUP(B490,'All Menu'!B:H,7,0)</f>
        <v>70</v>
      </c>
    </row>
    <row r="491" spans="1:14" s="158" customFormat="1" ht="14.5">
      <c r="A491" s="157" t="s">
        <v>2021</v>
      </c>
      <c r="B491" s="169" t="s">
        <v>927</v>
      </c>
      <c r="C491" s="158" t="s">
        <v>1575</v>
      </c>
      <c r="D491" s="115" t="str">
        <f>VLOOKUP(B491,'All Menu'!B:D,3,0)</f>
        <v>عجين سفري</v>
      </c>
      <c r="E491" s="116">
        <f t="shared" si="42"/>
        <v>0.60344827586206895</v>
      </c>
      <c r="F491" s="160">
        <v>142</v>
      </c>
      <c r="G491" s="161">
        <v>85.689655172413794</v>
      </c>
      <c r="H491" s="115">
        <f>VLOOKUP(B491,'All Menu'!B:J,9,0)</f>
        <v>0.23578973361010208</v>
      </c>
      <c r="I491" s="120">
        <f>VLOOKUP(B491,'All Menu'!B:M,12,0)</f>
        <v>0.60926272716040231</v>
      </c>
      <c r="J491" s="114">
        <f t="shared" si="39"/>
        <v>85.689655172413794</v>
      </c>
      <c r="K491" s="117">
        <f t="shared" si="40"/>
        <v>0</v>
      </c>
      <c r="L491" s="118">
        <f>VLOOKUP(B491,'All Menu'!B:G,6,0)</f>
        <v>0.60344827586206895</v>
      </c>
      <c r="M491" s="118">
        <f t="shared" si="41"/>
        <v>0</v>
      </c>
      <c r="N491" s="151">
        <f ca="1">VLOOKUP(B491,'All Menu'!B:H,7,0)</f>
        <v>202</v>
      </c>
    </row>
    <row r="492" spans="1:14" s="158" customFormat="1" ht="14.5">
      <c r="A492" s="157" t="s">
        <v>2021</v>
      </c>
      <c r="B492" s="169" t="s">
        <v>945</v>
      </c>
      <c r="C492" s="158" t="s">
        <v>1576</v>
      </c>
      <c r="D492" s="115" t="str">
        <f>VLOOKUP(B492,'All Menu'!B:D,3,0)</f>
        <v>عجين سفري</v>
      </c>
      <c r="E492" s="116">
        <f t="shared" si="42"/>
        <v>3.2327586206896552</v>
      </c>
      <c r="F492" s="160">
        <v>19</v>
      </c>
      <c r="G492" s="161">
        <v>61.422413793103452</v>
      </c>
      <c r="H492" s="115">
        <f>VLOOKUP(B492,'All Menu'!B:J,9,0)</f>
        <v>1.4740713491210082</v>
      </c>
      <c r="I492" s="120">
        <f>VLOOKUP(B492,'All Menu'!B:M,12,0)</f>
        <v>0.54402059600523478</v>
      </c>
      <c r="J492" s="114">
        <f t="shared" si="39"/>
        <v>61.422413793103452</v>
      </c>
      <c r="K492" s="117">
        <f t="shared" si="40"/>
        <v>0</v>
      </c>
      <c r="L492" s="118">
        <f>VLOOKUP(B492,'All Menu'!B:G,6,0)</f>
        <v>3.2327586206896552</v>
      </c>
      <c r="M492" s="118">
        <f t="shared" si="41"/>
        <v>0</v>
      </c>
      <c r="N492" s="151">
        <f ca="1">VLOOKUP(B492,'All Menu'!B:H,7,0)</f>
        <v>52</v>
      </c>
    </row>
    <row r="493" spans="1:14" s="158" customFormat="1" ht="14.5">
      <c r="A493" s="157" t="s">
        <v>2021</v>
      </c>
      <c r="B493" s="169" t="s">
        <v>946</v>
      </c>
      <c r="C493" s="158" t="s">
        <v>1723</v>
      </c>
      <c r="D493" s="115" t="str">
        <f>VLOOKUP(B493,'All Menu'!B:D,3,0)</f>
        <v>عجين سفري</v>
      </c>
      <c r="E493" s="116">
        <f t="shared" si="42"/>
        <v>1.5086206896551724</v>
      </c>
      <c r="F493" s="160">
        <v>15</v>
      </c>
      <c r="G493" s="161">
        <v>22.629310344827587</v>
      </c>
      <c r="H493" s="115">
        <f>VLOOKUP(B493,'All Menu'!B:J,9,0)</f>
        <v>1.2469414581719958</v>
      </c>
      <c r="I493" s="120">
        <f>VLOOKUP(B493,'All Menu'!B:M,12,0)</f>
        <v>0.17345594772599149</v>
      </c>
      <c r="J493" s="114">
        <f t="shared" si="39"/>
        <v>22.629310344827587</v>
      </c>
      <c r="K493" s="117">
        <f t="shared" si="40"/>
        <v>0</v>
      </c>
      <c r="L493" s="118">
        <f>VLOOKUP(B493,'All Menu'!B:G,6,0)</f>
        <v>1.5086206896551726</v>
      </c>
      <c r="M493" s="118">
        <f t="shared" si="41"/>
        <v>0</v>
      </c>
      <c r="N493" s="151">
        <f ca="1">VLOOKUP(B493,'All Menu'!B:H,7,0)</f>
        <v>53</v>
      </c>
    </row>
    <row r="494" spans="1:14" s="158" customFormat="1" ht="14.5">
      <c r="A494" s="157" t="s">
        <v>2021</v>
      </c>
      <c r="B494" s="169" t="s">
        <v>1010</v>
      </c>
      <c r="C494" s="158" t="s">
        <v>1577</v>
      </c>
      <c r="D494" s="115" t="str">
        <f>VLOOKUP(B494,'All Menu'!B:D,3,0)</f>
        <v>عجين سفري</v>
      </c>
      <c r="E494" s="116">
        <f t="shared" si="42"/>
        <v>0.56034482758620696</v>
      </c>
      <c r="F494" s="160">
        <v>151</v>
      </c>
      <c r="G494" s="161">
        <v>84.612068965517253</v>
      </c>
      <c r="H494" s="115">
        <f>VLOOKUP(B494,'All Menu'!B:J,9,0)</f>
        <v>0.41952498492368306</v>
      </c>
      <c r="I494" s="120">
        <f>VLOOKUP(B494,'All Menu'!B:M,12,0)</f>
        <v>0.251309257674658</v>
      </c>
      <c r="J494" s="114">
        <f t="shared" si="39"/>
        <v>84.612068965517253</v>
      </c>
      <c r="K494" s="117">
        <f t="shared" si="40"/>
        <v>0</v>
      </c>
      <c r="L494" s="118">
        <f>VLOOKUP(B494,'All Menu'!B:G,6,0)</f>
        <v>0.56034482758620696</v>
      </c>
      <c r="M494" s="118">
        <f t="shared" si="41"/>
        <v>0</v>
      </c>
      <c r="N494" s="151">
        <f ca="1">VLOOKUP(B494,'All Menu'!B:H,7,0)</f>
        <v>1283.011</v>
      </c>
    </row>
    <row r="495" spans="1:14" s="158" customFormat="1" ht="14.5">
      <c r="A495" s="157" t="s">
        <v>2021</v>
      </c>
      <c r="B495" s="169" t="s">
        <v>1011</v>
      </c>
      <c r="C495" s="158" t="s">
        <v>1578</v>
      </c>
      <c r="D495" s="115" t="str">
        <f>VLOOKUP(B495,'All Menu'!B:D,3,0)</f>
        <v>عجين سفري</v>
      </c>
      <c r="E495" s="116">
        <f t="shared" si="42"/>
        <v>0.43103448275862072</v>
      </c>
      <c r="F495" s="160">
        <v>1792</v>
      </c>
      <c r="G495" s="161">
        <v>772.41379310344837</v>
      </c>
      <c r="H495" s="115">
        <f>VLOOKUP(B495,'All Menu'!B:J,9,0)</f>
        <v>0.22935249871457197</v>
      </c>
      <c r="I495" s="120">
        <f>VLOOKUP(B495,'All Menu'!B:M,12,0)</f>
        <v>0.46790220298219304</v>
      </c>
      <c r="J495" s="114">
        <f t="shared" si="39"/>
        <v>772.41379310344837</v>
      </c>
      <c r="K495" s="117">
        <f t="shared" si="40"/>
        <v>0</v>
      </c>
      <c r="L495" s="118">
        <f>VLOOKUP(B495,'All Menu'!B:G,6,0)</f>
        <v>0.43103448275862072</v>
      </c>
      <c r="M495" s="118">
        <f t="shared" si="41"/>
        <v>0</v>
      </c>
      <c r="N495" s="151">
        <f ca="1">VLOOKUP(B495,'All Menu'!B:H,7,0)</f>
        <v>4589.0619999999999</v>
      </c>
    </row>
    <row r="496" spans="1:14" s="158" customFormat="1" ht="14.5">
      <c r="A496" s="157" t="s">
        <v>2021</v>
      </c>
      <c r="B496" s="169" t="s">
        <v>942</v>
      </c>
      <c r="C496" s="158" t="s">
        <v>1579</v>
      </c>
      <c r="D496" s="115" t="str">
        <f>VLOOKUP(B496,'All Menu'!B:D,3,0)</f>
        <v>عجين سفري</v>
      </c>
      <c r="E496" s="116">
        <f t="shared" si="42"/>
        <v>0.86206896551724144</v>
      </c>
      <c r="F496" s="160">
        <v>1681</v>
      </c>
      <c r="G496" s="161">
        <v>1449.1379310344828</v>
      </c>
      <c r="H496" s="115">
        <f>VLOOKUP(B496,'All Menu'!B:J,9,0)</f>
        <v>0.40754341772151892</v>
      </c>
      <c r="I496" s="120">
        <f>VLOOKUP(B496,'All Menu'!B:M,12,0)</f>
        <v>0.52724963544303804</v>
      </c>
      <c r="J496" s="114">
        <f t="shared" si="39"/>
        <v>1449.1379310344828</v>
      </c>
      <c r="K496" s="117">
        <f t="shared" si="40"/>
        <v>0</v>
      </c>
      <c r="L496" s="118">
        <f>VLOOKUP(B496,'All Menu'!B:G,6,0)</f>
        <v>0.86206896551724144</v>
      </c>
      <c r="M496" s="118">
        <f t="shared" si="41"/>
        <v>0</v>
      </c>
      <c r="N496" s="151">
        <f ca="1">VLOOKUP(B496,'All Menu'!B:H,7,0)</f>
        <v>5842.0020000000004</v>
      </c>
    </row>
    <row r="497" spans="1:14" s="158" customFormat="1" ht="14.5">
      <c r="A497" s="157" t="s">
        <v>2021</v>
      </c>
      <c r="B497" s="169" t="s">
        <v>1021</v>
      </c>
      <c r="C497" s="158" t="s">
        <v>1580</v>
      </c>
      <c r="D497" s="115" t="str">
        <f>VLOOKUP(B497,'All Menu'!B:D,3,0)</f>
        <v>عجين سفري</v>
      </c>
      <c r="E497" s="116">
        <f t="shared" si="42"/>
        <v>15.495727435087238</v>
      </c>
      <c r="F497" s="160">
        <v>62.75</v>
      </c>
      <c r="G497" s="161">
        <v>972.35689655172416</v>
      </c>
      <c r="H497" s="115">
        <f>VLOOKUP(B497,'All Menu'!B:J,9,0)</f>
        <v>8.2136722774908097</v>
      </c>
      <c r="I497" s="120">
        <f>VLOOKUP(B497,'All Menu'!B:M,12,0)</f>
        <v>0.47067445322837004</v>
      </c>
      <c r="J497" s="114">
        <f t="shared" si="39"/>
        <v>973.70689655172418</v>
      </c>
      <c r="K497" s="117">
        <f t="shared" si="40"/>
        <v>-1.3500000000000227</v>
      </c>
      <c r="L497" s="118">
        <f>VLOOKUP(B497,'All Menu'!B:G,6,0)</f>
        <v>15.517241379310345</v>
      </c>
      <c r="M497" s="118">
        <f t="shared" si="41"/>
        <v>-2.1513944223107373E-2</v>
      </c>
      <c r="N497" s="151">
        <f ca="1">VLOOKUP(B497,'All Menu'!B:H,7,0)</f>
        <v>242.51</v>
      </c>
    </row>
    <row r="498" spans="1:14" s="158" customFormat="1" ht="14.5">
      <c r="A498" s="157" t="s">
        <v>2021</v>
      </c>
      <c r="B498" s="169" t="s">
        <v>1020</v>
      </c>
      <c r="C498" s="158" t="s">
        <v>1581</v>
      </c>
      <c r="D498" s="115" t="str">
        <f>VLOOKUP(B498,'All Menu'!B:D,3,0)</f>
        <v>عجين سفري</v>
      </c>
      <c r="E498" s="116">
        <f t="shared" si="42"/>
        <v>17.241379310344829</v>
      </c>
      <c r="F498" s="160">
        <v>7.5</v>
      </c>
      <c r="G498" s="161">
        <v>129.31034482758622</v>
      </c>
      <c r="H498" s="115">
        <f>VLOOKUP(B498,'All Menu'!B:J,9,0)</f>
        <v>15.826002523771082</v>
      </c>
      <c r="I498" s="120">
        <f>VLOOKUP(B498,'All Menu'!B:M,12,0)</f>
        <v>8.20918536212773E-2</v>
      </c>
      <c r="J498" s="114">
        <f t="shared" si="39"/>
        <v>129.31034482758622</v>
      </c>
      <c r="K498" s="117">
        <f t="shared" si="40"/>
        <v>0</v>
      </c>
      <c r="L498" s="118">
        <f>VLOOKUP(B498,'All Menu'!B:G,6,0)</f>
        <v>17.241379310344829</v>
      </c>
      <c r="M498" s="118">
        <f t="shared" si="41"/>
        <v>0</v>
      </c>
      <c r="N498" s="151">
        <f ca="1">VLOOKUP(B498,'All Menu'!B:H,7,0)</f>
        <v>25</v>
      </c>
    </row>
    <row r="499" spans="1:14" s="158" customFormat="1" ht="14.5">
      <c r="A499" s="157" t="s">
        <v>2021</v>
      </c>
      <c r="B499" s="169" t="s">
        <v>939</v>
      </c>
      <c r="C499" s="158" t="s">
        <v>1594</v>
      </c>
      <c r="D499" s="115" t="str">
        <f>VLOOKUP(B499,'All Menu'!B:D,3,0)</f>
        <v>عجين سفري</v>
      </c>
      <c r="E499" s="116">
        <f t="shared" si="42"/>
        <v>3.8793103448275863</v>
      </c>
      <c r="F499" s="160">
        <v>1</v>
      </c>
      <c r="G499" s="161">
        <v>3.8793103448275863</v>
      </c>
      <c r="H499" s="115">
        <f>VLOOKUP(B499,'All Menu'!B:J,9,0)</f>
        <v>1.2558207047223662</v>
      </c>
      <c r="I499" s="120">
        <f>VLOOKUP(B499,'All Menu'!B:M,12,0)</f>
        <v>0.6762773294493456</v>
      </c>
      <c r="J499" s="114">
        <f t="shared" si="39"/>
        <v>3.8793103448275863</v>
      </c>
      <c r="K499" s="117">
        <f t="shared" si="40"/>
        <v>0</v>
      </c>
      <c r="L499" s="118">
        <f>VLOOKUP(B499,'All Menu'!B:G,6,0)</f>
        <v>3.8793103448275863</v>
      </c>
      <c r="M499" s="118">
        <f t="shared" si="41"/>
        <v>0</v>
      </c>
      <c r="N499" s="151">
        <f ca="1">VLOOKUP(B499,'All Menu'!B:H,7,0)</f>
        <v>5</v>
      </c>
    </row>
    <row r="500" spans="1:14" s="158" customFormat="1" ht="14.5">
      <c r="A500" s="157" t="s">
        <v>2021</v>
      </c>
      <c r="B500" s="169" t="s">
        <v>941</v>
      </c>
      <c r="C500" s="158" t="s">
        <v>1592</v>
      </c>
      <c r="D500" s="115" t="str">
        <f>VLOOKUP(B500,'All Menu'!B:D,3,0)</f>
        <v>عجين سفري</v>
      </c>
      <c r="E500" s="116">
        <f t="shared" si="42"/>
        <v>4.3103448275862073</v>
      </c>
      <c r="F500" s="160">
        <v>9</v>
      </c>
      <c r="G500" s="161">
        <v>38.793103448275865</v>
      </c>
      <c r="H500" s="115">
        <f>VLOOKUP(B500,'All Menu'!B:J,9,0)</f>
        <v>1.3464207047223664</v>
      </c>
      <c r="I500" s="120">
        <f>VLOOKUP(B500,'All Menu'!B:M,12,0)</f>
        <v>0.68763039650441105</v>
      </c>
      <c r="J500" s="114">
        <f t="shared" si="39"/>
        <v>38.793103448275865</v>
      </c>
      <c r="K500" s="117">
        <f t="shared" si="40"/>
        <v>0</v>
      </c>
      <c r="L500" s="118">
        <f>VLOOKUP(B500,'All Menu'!B:G,6,0)</f>
        <v>4.3103448275862073</v>
      </c>
      <c r="M500" s="118">
        <f t="shared" si="41"/>
        <v>0</v>
      </c>
      <c r="N500" s="151">
        <f ca="1">VLOOKUP(B500,'All Menu'!B:H,7,0)</f>
        <v>24</v>
      </c>
    </row>
    <row r="501" spans="1:14" s="158" customFormat="1" ht="14.5">
      <c r="A501" s="157" t="s">
        <v>2021</v>
      </c>
      <c r="B501" s="169" t="s">
        <v>1236</v>
      </c>
      <c r="C501" s="158" t="s">
        <v>1817</v>
      </c>
      <c r="D501" s="115" t="str">
        <f>VLOOKUP(B501,'All Menu'!B:D,3,0)</f>
        <v>عجين سفري</v>
      </c>
      <c r="E501" s="116">
        <f t="shared" si="42"/>
        <v>7.7586206896551726</v>
      </c>
      <c r="F501" s="160">
        <v>2</v>
      </c>
      <c r="G501" s="161">
        <v>15.517241379310345</v>
      </c>
      <c r="H501" s="115">
        <f>VLOOKUP(B501,'All Menu'!B:J,9,0)</f>
        <v>4.373430966331612</v>
      </c>
      <c r="I501" s="120">
        <f>VLOOKUP(B501,'All Menu'!B:M,12,0)</f>
        <v>0.43631334211725892</v>
      </c>
      <c r="J501" s="114">
        <f t="shared" si="39"/>
        <v>15.517241379310345</v>
      </c>
      <c r="K501" s="117">
        <f t="shared" si="40"/>
        <v>0</v>
      </c>
      <c r="L501" s="118">
        <f>VLOOKUP(B501,'All Menu'!B:G,6,0)</f>
        <v>7.7586206896551726</v>
      </c>
      <c r="M501" s="118">
        <f t="shared" si="41"/>
        <v>0</v>
      </c>
      <c r="N501" s="151">
        <f ca="1">VLOOKUP(B501,'All Menu'!B:H,7,0)</f>
        <v>239</v>
      </c>
    </row>
    <row r="502" spans="1:14" s="158" customFormat="1" ht="14.5">
      <c r="A502" s="157" t="s">
        <v>2021</v>
      </c>
      <c r="B502" s="169" t="s">
        <v>1177</v>
      </c>
      <c r="C502" s="158" t="s">
        <v>1607</v>
      </c>
      <c r="D502" s="115" t="str">
        <f>VLOOKUP(B502,'All Menu'!B:D,3,0)</f>
        <v>فتات سفري</v>
      </c>
      <c r="E502" s="116">
        <f t="shared" si="42"/>
        <v>3.0172413793103452</v>
      </c>
      <c r="F502" s="160">
        <v>3</v>
      </c>
      <c r="G502" s="161">
        <v>9.0517241379310356</v>
      </c>
      <c r="H502" s="115">
        <f>VLOOKUP(B502,'All Menu'!B:J,9,0)</f>
        <v>2.4346055430311861</v>
      </c>
      <c r="I502" s="120">
        <f>VLOOKUP(B502,'All Menu'!B:M,12,0)</f>
        <v>0.19310216288109269</v>
      </c>
      <c r="J502" s="114">
        <f t="shared" si="39"/>
        <v>9.0517241379310356</v>
      </c>
      <c r="K502" s="117">
        <f t="shared" si="40"/>
        <v>0</v>
      </c>
      <c r="L502" s="118">
        <f>VLOOKUP(B502,'All Menu'!B:G,6,0)</f>
        <v>3.0172413793103452</v>
      </c>
      <c r="M502" s="118">
        <f t="shared" si="41"/>
        <v>0</v>
      </c>
      <c r="N502" s="151">
        <f ca="1">VLOOKUP(B502,'All Menu'!B:H,7,0)</f>
        <v>13</v>
      </c>
    </row>
    <row r="503" spans="1:14" s="158" customFormat="1" ht="14.5">
      <c r="A503" s="157" t="s">
        <v>2021</v>
      </c>
      <c r="B503" s="169">
        <v>60001</v>
      </c>
      <c r="C503" s="158" t="s">
        <v>1932</v>
      </c>
      <c r="D503" s="115" t="str">
        <f>VLOOKUP(B503,'All Menu'!B:D,3,0)</f>
        <v>لحوم بلدية</v>
      </c>
      <c r="E503" s="116">
        <f t="shared" si="42"/>
        <v>13.474789357983529</v>
      </c>
      <c r="F503" s="160">
        <v>421.68700000000001</v>
      </c>
      <c r="G503" s="161">
        <v>5682.1435000000001</v>
      </c>
      <c r="H503" s="115">
        <f>VLOOKUP(B503,'All Menu'!B:J,9,0)</f>
        <v>11.5</v>
      </c>
      <c r="I503" s="120">
        <f>VLOOKUP(B503,'All Menu'!B:M,12,0)</f>
        <v>0.14814814814814814</v>
      </c>
      <c r="J503" s="114">
        <f t="shared" si="39"/>
        <v>5692.7745000000004</v>
      </c>
      <c r="K503" s="117">
        <f t="shared" si="40"/>
        <v>-10.631000000000313</v>
      </c>
      <c r="L503" s="118">
        <f>VLOOKUP(B503,'All Menu'!B:G,6,0)</f>
        <v>13.5</v>
      </c>
      <c r="M503" s="118">
        <f t="shared" si="41"/>
        <v>-2.5210642016471496E-2</v>
      </c>
      <c r="N503" s="151">
        <f ca="1">VLOOKUP(B503,'All Menu'!B:H,7,0)</f>
        <v>497.47180000000003</v>
      </c>
    </row>
    <row r="504" spans="1:14" s="158" customFormat="1" ht="14.5">
      <c r="A504" s="157" t="s">
        <v>2021</v>
      </c>
      <c r="B504" s="169">
        <v>60002</v>
      </c>
      <c r="C504" s="158" t="s">
        <v>1969</v>
      </c>
      <c r="D504" s="115" t="str">
        <f>VLOOKUP(B504,'All Menu'!B:D,3,0)</f>
        <v>لحوم بلدية</v>
      </c>
      <c r="E504" s="116">
        <f t="shared" si="42"/>
        <v>12.471008971491152</v>
      </c>
      <c r="F504" s="160">
        <v>879.34100000000001</v>
      </c>
      <c r="G504" s="161">
        <v>10966.2695</v>
      </c>
      <c r="H504" s="115">
        <f>VLOOKUP(B504,'All Menu'!B:J,9,0)</f>
        <v>11.5</v>
      </c>
      <c r="I504" s="120">
        <f>VLOOKUP(B504,'All Menu'!B:M,12,0)</f>
        <v>0.08</v>
      </c>
      <c r="J504" s="114">
        <f t="shared" si="39"/>
        <v>10991.762500000001</v>
      </c>
      <c r="K504" s="117">
        <f t="shared" si="40"/>
        <v>-25.493000000000393</v>
      </c>
      <c r="L504" s="118">
        <f>VLOOKUP(B504,'All Menu'!B:G,6,0)</f>
        <v>12.5</v>
      </c>
      <c r="M504" s="118">
        <f t="shared" si="41"/>
        <v>-2.899102850884816E-2</v>
      </c>
      <c r="N504" s="151">
        <f ca="1">VLOOKUP(B504,'All Menu'!B:H,7,0)</f>
        <v>1098.8609999999999</v>
      </c>
    </row>
    <row r="505" spans="1:14" s="158" customFormat="1" ht="14.5">
      <c r="A505" s="157" t="s">
        <v>2021</v>
      </c>
      <c r="B505" s="169">
        <v>60002</v>
      </c>
      <c r="C505" s="158" t="s">
        <v>1969</v>
      </c>
      <c r="D505" s="115" t="str">
        <f>VLOOKUP(B505,'All Menu'!B:D,3,0)</f>
        <v>لحوم بلدية</v>
      </c>
      <c r="E505" s="116">
        <f t="shared" si="42"/>
        <v>12.5</v>
      </c>
      <c r="F505" s="160">
        <v>139.22</v>
      </c>
      <c r="G505" s="161">
        <v>1740.25</v>
      </c>
      <c r="H505" s="115">
        <f>VLOOKUP(B505,'All Menu'!B:J,9,0)</f>
        <v>11.5</v>
      </c>
      <c r="I505" s="120">
        <f>VLOOKUP(B505,'All Menu'!B:M,12,0)</f>
        <v>0.08</v>
      </c>
      <c r="J505" s="114">
        <f t="shared" si="39"/>
        <v>1740.25</v>
      </c>
      <c r="K505" s="117">
        <f t="shared" si="40"/>
        <v>0</v>
      </c>
      <c r="L505" s="118">
        <f>VLOOKUP(B505,'All Menu'!B:G,6,0)</f>
        <v>12.5</v>
      </c>
      <c r="M505" s="118">
        <f t="shared" si="41"/>
        <v>0</v>
      </c>
      <c r="N505" s="151">
        <f ca="1">VLOOKUP(B505,'All Menu'!B:H,7,0)</f>
        <v>1098.8609999999999</v>
      </c>
    </row>
    <row r="506" spans="1:14" s="158" customFormat="1" ht="14.5">
      <c r="A506" s="157" t="s">
        <v>2021</v>
      </c>
      <c r="B506" s="169">
        <v>60003</v>
      </c>
      <c r="C506" s="158" t="s">
        <v>2016</v>
      </c>
      <c r="D506" s="115" t="str">
        <f>VLOOKUP(B506,'All Menu'!B:D,3,0)</f>
        <v>لحوم بلدية</v>
      </c>
      <c r="E506" s="116">
        <f t="shared" si="42"/>
        <v>13.5</v>
      </c>
      <c r="F506" s="160">
        <v>1010.907</v>
      </c>
      <c r="G506" s="161">
        <v>13647.244500000001</v>
      </c>
      <c r="H506" s="115">
        <f>VLOOKUP(B506,'All Menu'!B:J,9,0)</f>
        <v>11.039193820514564</v>
      </c>
      <c r="I506" s="120">
        <f>VLOOKUP(B506,'All Menu'!B:M,12,0)</f>
        <v>0.18228193922114341</v>
      </c>
      <c r="J506" s="114">
        <f t="shared" si="39"/>
        <v>13647.244500000001</v>
      </c>
      <c r="K506" s="117">
        <f t="shared" si="40"/>
        <v>0</v>
      </c>
      <c r="L506" s="118">
        <f>VLOOKUP(B506,'All Menu'!B:G,6,0)</f>
        <v>13.5</v>
      </c>
      <c r="M506" s="118">
        <f t="shared" si="41"/>
        <v>0</v>
      </c>
      <c r="N506" s="151">
        <f ca="1">VLOOKUP(B506,'All Menu'!B:H,7,0)</f>
        <v>1746.798</v>
      </c>
    </row>
    <row r="507" spans="1:14" s="158" customFormat="1" ht="14.5">
      <c r="A507" s="157" t="s">
        <v>2021</v>
      </c>
      <c r="B507" s="169">
        <v>60003</v>
      </c>
      <c r="C507" s="158" t="s">
        <v>2016</v>
      </c>
      <c r="D507" s="115" t="str">
        <f>VLOOKUP(B507,'All Menu'!B:D,3,0)</f>
        <v>لحوم بلدية</v>
      </c>
      <c r="E507" s="116">
        <f t="shared" si="42"/>
        <v>13.494326277223692</v>
      </c>
      <c r="F507" s="160">
        <v>589.55999999999995</v>
      </c>
      <c r="G507" s="161">
        <v>7955.7149999999992</v>
      </c>
      <c r="H507" s="115">
        <f>VLOOKUP(B507,'All Menu'!B:J,9,0)</f>
        <v>11.039193820514564</v>
      </c>
      <c r="I507" s="120">
        <f>VLOOKUP(B507,'All Menu'!B:M,12,0)</f>
        <v>0.18228193922114341</v>
      </c>
      <c r="J507" s="114">
        <f t="shared" si="39"/>
        <v>7959.0599999999995</v>
      </c>
      <c r="K507" s="117">
        <f t="shared" si="40"/>
        <v>-3.3450000000002547</v>
      </c>
      <c r="L507" s="118">
        <f>VLOOKUP(B507,'All Menu'!B:G,6,0)</f>
        <v>13.5</v>
      </c>
      <c r="M507" s="118">
        <f t="shared" si="41"/>
        <v>-5.6737227763079545E-3</v>
      </c>
      <c r="N507" s="151">
        <f ca="1">VLOOKUP(B507,'All Menu'!B:H,7,0)</f>
        <v>1746.798</v>
      </c>
    </row>
    <row r="508" spans="1:14" s="158" customFormat="1" ht="14.5">
      <c r="A508" s="157" t="s">
        <v>2021</v>
      </c>
      <c r="B508" s="169">
        <v>60004</v>
      </c>
      <c r="C508" s="158" t="s">
        <v>2017</v>
      </c>
      <c r="D508" s="115" t="str">
        <f>VLOOKUP(B508,'All Menu'!B:D,3,0)</f>
        <v>لحوم بلدية</v>
      </c>
      <c r="E508" s="116">
        <f t="shared" si="42"/>
        <v>15.986226926552213</v>
      </c>
      <c r="F508" s="160">
        <v>154.94</v>
      </c>
      <c r="G508" s="161">
        <v>2476.9059999999999</v>
      </c>
      <c r="H508" s="115">
        <f>VLOOKUP(B508,'All Menu'!B:J,9,0)</f>
        <v>11.039193820514564</v>
      </c>
      <c r="I508" s="120">
        <f>VLOOKUP(B508,'All Menu'!B:M,12,0)</f>
        <v>0.31005038621783976</v>
      </c>
      <c r="J508" s="114">
        <f t="shared" si="39"/>
        <v>2479.04</v>
      </c>
      <c r="K508" s="117">
        <f t="shared" si="40"/>
        <v>-2.1340000000000146</v>
      </c>
      <c r="L508" s="118">
        <f>VLOOKUP(B508,'All Menu'!B:G,6,0)</f>
        <v>16</v>
      </c>
      <c r="M508" s="118">
        <f t="shared" si="41"/>
        <v>-1.3773073447786999E-2</v>
      </c>
      <c r="N508" s="151">
        <f ca="1">VLOOKUP(B508,'All Menu'!B:H,7,0)</f>
        <v>192.85399999999998</v>
      </c>
    </row>
    <row r="509" spans="1:14" s="158" customFormat="1" ht="14.5">
      <c r="A509" s="157" t="s">
        <v>2021</v>
      </c>
      <c r="B509" s="169">
        <v>60005</v>
      </c>
      <c r="C509" s="158" t="s">
        <v>2018</v>
      </c>
      <c r="D509" s="115" t="str">
        <f>VLOOKUP(B509,'All Menu'!B:D,3,0)</f>
        <v>لحوم بلدية</v>
      </c>
      <c r="E509" s="116">
        <f t="shared" si="42"/>
        <v>23.852426528286106</v>
      </c>
      <c r="F509" s="160">
        <v>174.59100000000001</v>
      </c>
      <c r="G509" s="161">
        <v>4164.4189999999999</v>
      </c>
      <c r="H509" s="115">
        <f>VLOOKUP(B509,'All Menu'!B:J,9,0)</f>
        <v>11.039193820514564</v>
      </c>
      <c r="I509" s="120">
        <f>VLOOKUP(B509,'All Menu'!B:M,12,0)</f>
        <v>0.54003359081189317</v>
      </c>
      <c r="J509" s="114">
        <f t="shared" si="39"/>
        <v>4190.1840000000002</v>
      </c>
      <c r="K509" s="117">
        <f t="shared" si="40"/>
        <v>-25.765000000000327</v>
      </c>
      <c r="L509" s="118">
        <f>VLOOKUP(B509,'All Menu'!B:G,6,0)</f>
        <v>24</v>
      </c>
      <c r="M509" s="118">
        <f t="shared" si="41"/>
        <v>-0.14757347171389412</v>
      </c>
      <c r="N509" s="151">
        <f ca="1">VLOOKUP(B509,'All Menu'!B:H,7,0)</f>
        <v>207.21600000000001</v>
      </c>
    </row>
    <row r="510" spans="1:14" s="158" customFormat="1" ht="14.5">
      <c r="A510" s="157" t="s">
        <v>2021</v>
      </c>
      <c r="B510" s="169">
        <v>60009</v>
      </c>
      <c r="C510" s="158" t="s">
        <v>1740</v>
      </c>
      <c r="D510" s="115" t="str">
        <f>VLOOKUP(B510,'All Menu'!B:D,3,0)</f>
        <v>لحوم بلدية</v>
      </c>
      <c r="E510" s="116">
        <f t="shared" si="42"/>
        <v>11</v>
      </c>
      <c r="F510" s="160">
        <v>7.02</v>
      </c>
      <c r="G510" s="161">
        <v>77.22</v>
      </c>
      <c r="H510" s="115">
        <f>VLOOKUP(B510,'All Menu'!B:J,9,0)</f>
        <v>11.039193820514564</v>
      </c>
      <c r="I510" s="120">
        <f>VLOOKUP(B510,'All Menu'!B:M,12,0)</f>
        <v>-3.5630745922330801E-3</v>
      </c>
      <c r="J510" s="114">
        <f t="shared" si="39"/>
        <v>77.22</v>
      </c>
      <c r="K510" s="117">
        <f t="shared" si="40"/>
        <v>0</v>
      </c>
      <c r="L510" s="118">
        <f>VLOOKUP(B510,'All Menu'!B:G,6,0)</f>
        <v>11</v>
      </c>
      <c r="M510" s="118">
        <f t="shared" si="41"/>
        <v>0</v>
      </c>
      <c r="N510" s="151">
        <f ca="1">VLOOKUP(B510,'All Menu'!B:H,7,0)</f>
        <v>7.02</v>
      </c>
    </row>
    <row r="511" spans="1:14" s="158" customFormat="1" ht="14.5">
      <c r="A511" s="157" t="s">
        <v>2021</v>
      </c>
      <c r="B511" s="169">
        <v>60010</v>
      </c>
      <c r="C511" s="158" t="s">
        <v>1741</v>
      </c>
      <c r="D511" s="115" t="str">
        <f>VLOOKUP(B511,'All Menu'!B:D,3,0)</f>
        <v>لحوم بلدية</v>
      </c>
      <c r="E511" s="116">
        <f t="shared" si="42"/>
        <v>16</v>
      </c>
      <c r="F511" s="160">
        <v>0.5</v>
      </c>
      <c r="G511" s="161">
        <v>8</v>
      </c>
      <c r="H511" s="115">
        <f>VLOOKUP(B511,'All Menu'!B:J,9,0)</f>
        <v>11.039193820514564</v>
      </c>
      <c r="I511" s="120">
        <f>VLOOKUP(B511,'All Menu'!B:M,12,0)</f>
        <v>0.31005038621783976</v>
      </c>
      <c r="J511" s="114">
        <f t="shared" si="39"/>
        <v>8</v>
      </c>
      <c r="K511" s="117">
        <f t="shared" si="40"/>
        <v>0</v>
      </c>
      <c r="L511" s="118">
        <f>VLOOKUP(B511,'All Menu'!B:G,6,0)</f>
        <v>16</v>
      </c>
      <c r="M511" s="118">
        <f t="shared" si="41"/>
        <v>0</v>
      </c>
      <c r="N511" s="151">
        <f ca="1">VLOOKUP(B511,'All Menu'!B:H,7,0)</f>
        <v>23.545000000000002</v>
      </c>
    </row>
    <row r="512" spans="1:14" s="158" customFormat="1" ht="14.5">
      <c r="A512" s="157" t="s">
        <v>2021</v>
      </c>
      <c r="B512" s="169">
        <v>60011</v>
      </c>
      <c r="C512" s="158" t="s">
        <v>296</v>
      </c>
      <c r="D512" s="115" t="str">
        <f>VLOOKUP(B512,'All Menu'!B:D,3,0)</f>
        <v>لحوم بلدية</v>
      </c>
      <c r="E512" s="116">
        <f t="shared" si="42"/>
        <v>11</v>
      </c>
      <c r="F512" s="160">
        <v>159.08199999999999</v>
      </c>
      <c r="G512" s="161">
        <v>1749.902</v>
      </c>
      <c r="H512" s="115">
        <f>VLOOKUP(B512,'All Menu'!B:J,9,0)</f>
        <v>9.01</v>
      </c>
      <c r="I512" s="120">
        <f>VLOOKUP(B512,'All Menu'!B:M,12,0)</f>
        <v>0.18090909090909094</v>
      </c>
      <c r="J512" s="114">
        <f t="shared" si="39"/>
        <v>1749.902</v>
      </c>
      <c r="K512" s="117">
        <f t="shared" si="40"/>
        <v>0</v>
      </c>
      <c r="L512" s="118">
        <f>VLOOKUP(B512,'All Menu'!B:G,6,0)</f>
        <v>11</v>
      </c>
      <c r="M512" s="118">
        <f t="shared" si="41"/>
        <v>0</v>
      </c>
      <c r="N512" s="151">
        <f ca="1">VLOOKUP(B512,'All Menu'!B:H,7,0)</f>
        <v>369.41800000000001</v>
      </c>
    </row>
    <row r="513" spans="1:14" s="158" customFormat="1" ht="14.5">
      <c r="A513" s="157" t="s">
        <v>2021</v>
      </c>
      <c r="B513" s="169">
        <v>60012</v>
      </c>
      <c r="C513" s="158" t="s">
        <v>297</v>
      </c>
      <c r="D513" s="115" t="str">
        <f>VLOOKUP(B513,'All Menu'!B:D,3,0)</f>
        <v>لحوم بلدية</v>
      </c>
      <c r="E513" s="116">
        <f t="shared" si="42"/>
        <v>16</v>
      </c>
      <c r="F513" s="160">
        <v>49.1</v>
      </c>
      <c r="G513" s="161">
        <v>785.6</v>
      </c>
      <c r="H513" s="115">
        <f>VLOOKUP(B513,'All Menu'!B:J,9,0)</f>
        <v>12.58</v>
      </c>
      <c r="I513" s="120">
        <f>VLOOKUP(B513,'All Menu'!B:M,12,0)</f>
        <v>0.21375</v>
      </c>
      <c r="J513" s="114">
        <f t="shared" si="39"/>
        <v>785.6</v>
      </c>
      <c r="K513" s="117">
        <f t="shared" si="40"/>
        <v>0</v>
      </c>
      <c r="L513" s="118">
        <f>VLOOKUP(B513,'All Menu'!B:G,6,0)</f>
        <v>16</v>
      </c>
      <c r="M513" s="118">
        <f t="shared" si="41"/>
        <v>0</v>
      </c>
      <c r="N513" s="151">
        <f ca="1">VLOOKUP(B513,'All Menu'!B:H,7,0)</f>
        <v>67.436999999999998</v>
      </c>
    </row>
    <row r="514" spans="1:14" s="158" customFormat="1" ht="14.5">
      <c r="A514" s="157" t="s">
        <v>2021</v>
      </c>
      <c r="B514" s="169">
        <v>60013</v>
      </c>
      <c r="C514" s="158" t="s">
        <v>1742</v>
      </c>
      <c r="D514" s="115" t="str">
        <f>VLOOKUP(B514,'All Menu'!B:D,3,0)</f>
        <v>لحوم بلدية</v>
      </c>
      <c r="E514" s="116">
        <f t="shared" si="42"/>
        <v>16</v>
      </c>
      <c r="F514" s="160">
        <v>1</v>
      </c>
      <c r="G514" s="161">
        <v>16</v>
      </c>
      <c r="H514" s="115">
        <f>VLOOKUP(B514,'All Menu'!B:J,9,0)</f>
        <v>12.58</v>
      </c>
      <c r="I514" s="120">
        <f>VLOOKUP(B514,'All Menu'!B:M,12,0)</f>
        <v>0.21375</v>
      </c>
      <c r="J514" s="114">
        <f t="shared" si="39"/>
        <v>16</v>
      </c>
      <c r="K514" s="117">
        <f t="shared" si="40"/>
        <v>0</v>
      </c>
      <c r="L514" s="118">
        <f>VLOOKUP(B514,'All Menu'!B:G,6,0)</f>
        <v>16</v>
      </c>
      <c r="M514" s="118">
        <f t="shared" si="41"/>
        <v>0</v>
      </c>
      <c r="N514" s="151">
        <f ca="1">VLOOKUP(B514,'All Menu'!B:H,7,0)</f>
        <v>8.0010000000000012</v>
      </c>
    </row>
    <row r="515" spans="1:14" s="158" customFormat="1" ht="14.5">
      <c r="A515" s="157" t="s">
        <v>2021</v>
      </c>
      <c r="B515" s="169">
        <v>60014</v>
      </c>
      <c r="C515" s="158" t="s">
        <v>1971</v>
      </c>
      <c r="D515" s="115" t="str">
        <f>VLOOKUP(B515,'All Menu'!B:D,3,0)</f>
        <v>لحوم بلدية</v>
      </c>
      <c r="E515" s="116">
        <f t="shared" si="42"/>
        <v>20</v>
      </c>
      <c r="F515" s="160">
        <v>7</v>
      </c>
      <c r="G515" s="161">
        <v>140</v>
      </c>
      <c r="H515" s="115">
        <f>VLOOKUP(B515,'All Menu'!B:J,9,0)</f>
        <v>21.5</v>
      </c>
      <c r="I515" s="120">
        <f>VLOOKUP(B515,'All Menu'!B:M,12,0)</f>
        <v>-7.4999999999999997E-2</v>
      </c>
      <c r="J515" s="114">
        <f t="shared" si="39"/>
        <v>140</v>
      </c>
      <c r="K515" s="117">
        <f t="shared" si="40"/>
        <v>0</v>
      </c>
      <c r="L515" s="118">
        <f>VLOOKUP(B515,'All Menu'!B:G,6,0)</f>
        <v>20</v>
      </c>
      <c r="M515" s="118">
        <f t="shared" si="41"/>
        <v>0</v>
      </c>
      <c r="N515" s="151">
        <f ca="1">VLOOKUP(B515,'All Menu'!B:H,7,0)</f>
        <v>9.5</v>
      </c>
    </row>
    <row r="516" spans="1:14" s="158" customFormat="1" ht="14.5">
      <c r="A516" s="157" t="s">
        <v>2021</v>
      </c>
      <c r="B516" s="169">
        <v>60015</v>
      </c>
      <c r="C516" s="158" t="s">
        <v>2019</v>
      </c>
      <c r="D516" s="115" t="str">
        <f>VLOOKUP(B516,'All Menu'!B:D,3,0)</f>
        <v>لحوم بلدية</v>
      </c>
      <c r="E516" s="116">
        <f t="shared" si="42"/>
        <v>20</v>
      </c>
      <c r="F516" s="160">
        <v>23.32</v>
      </c>
      <c r="G516" s="161">
        <v>466.4</v>
      </c>
      <c r="H516" s="115">
        <f>VLOOKUP(B516,'All Menu'!B:J,9,0)</f>
        <v>21.5</v>
      </c>
      <c r="I516" s="120">
        <f>VLOOKUP(B516,'All Menu'!B:M,12,0)</f>
        <v>-7.4999999999999997E-2</v>
      </c>
      <c r="J516" s="114">
        <f t="shared" si="39"/>
        <v>466.4</v>
      </c>
      <c r="K516" s="117">
        <f t="shared" si="40"/>
        <v>0</v>
      </c>
      <c r="L516" s="118">
        <f>VLOOKUP(B516,'All Menu'!B:G,6,0)</f>
        <v>20</v>
      </c>
      <c r="M516" s="118">
        <f t="shared" si="41"/>
        <v>0</v>
      </c>
      <c r="N516" s="151">
        <f ca="1">VLOOKUP(B516,'All Menu'!B:H,7,0)</f>
        <v>28.770099999999999</v>
      </c>
    </row>
    <row r="517" spans="1:14" s="158" customFormat="1" ht="14.5">
      <c r="A517" s="157" t="s">
        <v>2021</v>
      </c>
      <c r="B517" s="169">
        <v>60016</v>
      </c>
      <c r="C517" s="158" t="s">
        <v>2020</v>
      </c>
      <c r="D517" s="115" t="str">
        <f>VLOOKUP(B517,'All Menu'!B:D,3,0)</f>
        <v>لحوم بلدية</v>
      </c>
      <c r="E517" s="116">
        <f t="shared" si="42"/>
        <v>15.890106998772145</v>
      </c>
      <c r="F517" s="160">
        <v>228.04</v>
      </c>
      <c r="G517" s="161">
        <v>3623.58</v>
      </c>
      <c r="H517" s="115">
        <f>VLOOKUP(B517,'All Menu'!B:J,9,0)</f>
        <v>12.58</v>
      </c>
      <c r="I517" s="120">
        <f>VLOOKUP(B517,'All Menu'!B:M,12,0)</f>
        <v>0.21375</v>
      </c>
      <c r="J517" s="114">
        <f t="shared" si="39"/>
        <v>3648.64</v>
      </c>
      <c r="K517" s="117">
        <f t="shared" si="40"/>
        <v>-25.059999999999945</v>
      </c>
      <c r="L517" s="118">
        <f>VLOOKUP(B517,'All Menu'!B:G,6,0)</f>
        <v>16</v>
      </c>
      <c r="M517" s="118">
        <f t="shared" si="41"/>
        <v>-0.10989300122785473</v>
      </c>
      <c r="N517" s="151">
        <f ca="1">VLOOKUP(B517,'All Menu'!B:H,7,0)</f>
        <v>278.84499999999997</v>
      </c>
    </row>
    <row r="518" spans="1:14" s="158" customFormat="1" ht="14.5">
      <c r="A518" s="157" t="s">
        <v>2021</v>
      </c>
      <c r="B518" s="169">
        <v>60016</v>
      </c>
      <c r="C518" s="158" t="s">
        <v>2020</v>
      </c>
      <c r="D518" s="115" t="str">
        <f>VLOOKUP(B518,'All Menu'!B:D,3,0)</f>
        <v>لحوم بلدية</v>
      </c>
      <c r="E518" s="116">
        <f t="shared" si="42"/>
        <v>16</v>
      </c>
      <c r="F518" s="160">
        <v>15.21</v>
      </c>
      <c r="G518" s="161">
        <v>243.36</v>
      </c>
      <c r="H518" s="115">
        <f>VLOOKUP(B518,'All Menu'!B:J,9,0)</f>
        <v>12.58</v>
      </c>
      <c r="I518" s="120">
        <f>VLOOKUP(B518,'All Menu'!B:M,12,0)</f>
        <v>0.21375</v>
      </c>
      <c r="J518" s="114">
        <f t="shared" si="39"/>
        <v>243.36</v>
      </c>
      <c r="K518" s="117">
        <f t="shared" si="40"/>
        <v>0</v>
      </c>
      <c r="L518" s="118">
        <f>VLOOKUP(B518,'All Menu'!B:G,6,0)</f>
        <v>16</v>
      </c>
      <c r="M518" s="118">
        <f t="shared" si="41"/>
        <v>0</v>
      </c>
      <c r="N518" s="151">
        <f ca="1">VLOOKUP(B518,'All Menu'!B:H,7,0)</f>
        <v>278.84499999999997</v>
      </c>
    </row>
    <row r="519" spans="1:14" s="158" customFormat="1" ht="14.5">
      <c r="A519" s="157" t="s">
        <v>2021</v>
      </c>
      <c r="B519" s="169">
        <v>60017</v>
      </c>
      <c r="C519" s="158" t="s">
        <v>1614</v>
      </c>
      <c r="D519" s="115" t="str">
        <f>VLOOKUP(B519,'All Menu'!B:D,3,0)</f>
        <v>لحوم بلدية</v>
      </c>
      <c r="E519" s="116">
        <f t="shared" si="42"/>
        <v>14.000000000000002</v>
      </c>
      <c r="F519" s="160">
        <v>73.92</v>
      </c>
      <c r="G519" s="161">
        <v>1034.8800000000001</v>
      </c>
      <c r="H519" s="115">
        <f>VLOOKUP(B519,'All Menu'!B:J,9,0)</f>
        <v>12.58</v>
      </c>
      <c r="I519" s="120">
        <f>VLOOKUP(B519,'All Menu'!B:M,12,0)</f>
        <v>0.10142857142857142</v>
      </c>
      <c r="J519" s="114">
        <f t="shared" si="39"/>
        <v>1034.8800000000001</v>
      </c>
      <c r="K519" s="117">
        <f t="shared" si="40"/>
        <v>0</v>
      </c>
      <c r="L519" s="118">
        <f>VLOOKUP(B519,'All Menu'!B:G,6,0)</f>
        <v>14</v>
      </c>
      <c r="M519" s="118">
        <f t="shared" si="41"/>
        <v>0</v>
      </c>
      <c r="N519" s="151">
        <f ca="1">VLOOKUP(B519,'All Menu'!B:H,7,0)</f>
        <v>81.42</v>
      </c>
    </row>
    <row r="520" spans="1:14" s="158" customFormat="1" ht="14.5">
      <c r="A520" s="157" t="s">
        <v>2021</v>
      </c>
      <c r="B520" s="169">
        <v>60023</v>
      </c>
      <c r="C520" s="158" t="s">
        <v>301</v>
      </c>
      <c r="D520" s="115" t="str">
        <f>VLOOKUP(B520,'All Menu'!B:D,3,0)</f>
        <v>لحوم بلدية</v>
      </c>
      <c r="E520" s="116">
        <f t="shared" si="42"/>
        <v>12</v>
      </c>
      <c r="F520" s="160">
        <v>1.05</v>
      </c>
      <c r="G520" s="161">
        <v>12.600000000000001</v>
      </c>
      <c r="H520" s="115">
        <f>VLOOKUP(B520,'All Menu'!B:J,9,0)</f>
        <v>9.01</v>
      </c>
      <c r="I520" s="120">
        <f>VLOOKUP(B520,'All Menu'!B:M,12,0)</f>
        <v>0.24916666666666668</v>
      </c>
      <c r="J520" s="114">
        <f t="shared" si="39"/>
        <v>12.600000000000001</v>
      </c>
      <c r="K520" s="117">
        <f t="shared" si="40"/>
        <v>0</v>
      </c>
      <c r="L520" s="118">
        <f>VLOOKUP(B520,'All Menu'!B:G,6,0)</f>
        <v>12</v>
      </c>
      <c r="M520" s="118">
        <f t="shared" si="41"/>
        <v>0</v>
      </c>
      <c r="N520" s="151">
        <f ca="1">VLOOKUP(B520,'All Menu'!B:H,7,0)</f>
        <v>22.17</v>
      </c>
    </row>
    <row r="521" spans="1:14" s="158" customFormat="1" ht="14.5">
      <c r="A521" s="157" t="s">
        <v>2021</v>
      </c>
      <c r="B521" s="169">
        <v>60024</v>
      </c>
      <c r="C521" s="158" t="s">
        <v>1615</v>
      </c>
      <c r="D521" s="115" t="str">
        <f>VLOOKUP(B521,'All Menu'!B:D,3,0)</f>
        <v>لحوم بلدية</v>
      </c>
      <c r="E521" s="116">
        <f t="shared" si="42"/>
        <v>12</v>
      </c>
      <c r="F521" s="160">
        <v>422.96</v>
      </c>
      <c r="G521" s="161">
        <v>5075.5199999999995</v>
      </c>
      <c r="H521" s="115">
        <f>VLOOKUP(B521,'All Menu'!B:J,9,0)</f>
        <v>7.6017209137931037</v>
      </c>
      <c r="I521" s="120">
        <f>VLOOKUP(B521,'All Menu'!B:M,12,0)</f>
        <v>0.36652325718390805</v>
      </c>
      <c r="J521" s="114">
        <f t="shared" si="39"/>
        <v>5075.5199999999995</v>
      </c>
      <c r="K521" s="117">
        <f t="shared" si="40"/>
        <v>0</v>
      </c>
      <c r="L521" s="118">
        <f>VLOOKUP(B521,'All Menu'!B:G,6,0)</f>
        <v>12</v>
      </c>
      <c r="M521" s="118">
        <f t="shared" si="41"/>
        <v>0</v>
      </c>
      <c r="N521" s="151">
        <f ca="1">VLOOKUP(B521,'All Menu'!B:H,7,0)</f>
        <v>507.66099999999994</v>
      </c>
    </row>
    <row r="522" spans="1:14" s="158" customFormat="1" ht="14.5">
      <c r="A522" s="157" t="s">
        <v>2021</v>
      </c>
      <c r="B522" s="169">
        <v>60025</v>
      </c>
      <c r="C522" s="158" t="s">
        <v>1616</v>
      </c>
      <c r="D522" s="115" t="str">
        <f>VLOOKUP(B522,'All Menu'!B:D,3,0)</f>
        <v>لحوم بلدية</v>
      </c>
      <c r="E522" s="116">
        <f t="shared" si="42"/>
        <v>8.6518141539935343</v>
      </c>
      <c r="F522" s="160">
        <v>167.02</v>
      </c>
      <c r="G522" s="161">
        <v>1445.0260000000001</v>
      </c>
      <c r="H522" s="115">
        <f>VLOOKUP(B522,'All Menu'!B:J,9,0)</f>
        <v>5</v>
      </c>
      <c r="I522" s="120">
        <f>VLOOKUP(B522,'All Menu'!B:M,12,0)</f>
        <v>0.5</v>
      </c>
      <c r="J522" s="114">
        <f t="shared" si="39"/>
        <v>1670.2</v>
      </c>
      <c r="K522" s="117">
        <f t="shared" si="40"/>
        <v>-225.17399999999998</v>
      </c>
      <c r="L522" s="118">
        <f>VLOOKUP(B522,'All Menu'!B:G,6,0)</f>
        <v>10</v>
      </c>
      <c r="M522" s="118">
        <f t="shared" si="41"/>
        <v>-1.3481858460064657</v>
      </c>
      <c r="N522" s="151">
        <f ca="1">VLOOKUP(B522,'All Menu'!B:H,7,0)</f>
        <v>170.73000000000002</v>
      </c>
    </row>
    <row r="523" spans="1:14" s="158" customFormat="1" ht="14.5">
      <c r="A523" s="157" t="s">
        <v>2021</v>
      </c>
      <c r="B523" s="169">
        <v>60038</v>
      </c>
      <c r="C523" s="158" t="s">
        <v>537</v>
      </c>
      <c r="D523" s="115" t="str">
        <f>VLOOKUP(B523,'All Menu'!B:D,3,0)</f>
        <v>لحوم بلدية</v>
      </c>
      <c r="E523" s="116">
        <f t="shared" si="42"/>
        <v>14</v>
      </c>
      <c r="F523" s="160">
        <v>2.5</v>
      </c>
      <c r="G523" s="161">
        <v>35</v>
      </c>
      <c r="H523" s="115">
        <f>VLOOKUP(B523,'All Menu'!B:J,9,0)</f>
        <v>5.2698975804597694</v>
      </c>
      <c r="I523" s="120">
        <f>VLOOKUP(B523,'All Menu'!B:M,12,0)</f>
        <v>0.62357874425287363</v>
      </c>
      <c r="J523" s="114">
        <f t="shared" si="39"/>
        <v>35</v>
      </c>
      <c r="K523" s="117">
        <f t="shared" si="40"/>
        <v>0</v>
      </c>
      <c r="L523" s="118">
        <f>VLOOKUP(B523,'All Menu'!B:G,6,0)</f>
        <v>14</v>
      </c>
      <c r="M523" s="118">
        <f t="shared" si="41"/>
        <v>0</v>
      </c>
      <c r="N523" s="151">
        <f ca="1">VLOOKUP(B523,'All Menu'!B:H,7,0)</f>
        <v>8.43</v>
      </c>
    </row>
    <row r="524" spans="1:14" s="158" customFormat="1" ht="14.5">
      <c r="A524" s="157" t="s">
        <v>2021</v>
      </c>
      <c r="B524" s="169">
        <v>60039</v>
      </c>
      <c r="C524" s="158" t="s">
        <v>1617</v>
      </c>
      <c r="D524" s="115" t="str">
        <f>VLOOKUP(B524,'All Menu'!B:D,3,0)</f>
        <v>لحوم بلدية</v>
      </c>
      <c r="E524" s="116">
        <f t="shared" si="42"/>
        <v>12</v>
      </c>
      <c r="F524" s="160">
        <v>77.215999999999994</v>
      </c>
      <c r="G524" s="161">
        <v>926.59199999999987</v>
      </c>
      <c r="H524" s="115">
        <f>VLOOKUP(B524,'All Menu'!B:J,9,0)</f>
        <v>9.2655342471264373</v>
      </c>
      <c r="I524" s="120">
        <f>VLOOKUP(B524,'All Menu'!B:M,12,0)</f>
        <v>0.22787214607279691</v>
      </c>
      <c r="J524" s="114">
        <f t="shared" si="39"/>
        <v>926.59199999999987</v>
      </c>
      <c r="K524" s="117">
        <f t="shared" si="40"/>
        <v>0</v>
      </c>
      <c r="L524" s="118">
        <f>VLOOKUP(B524,'All Menu'!B:G,6,0)</f>
        <v>12</v>
      </c>
      <c r="M524" s="118">
        <f t="shared" si="41"/>
        <v>0</v>
      </c>
      <c r="N524" s="151">
        <f ca="1">VLOOKUP(B524,'All Menu'!B:H,7,0)</f>
        <v>118.01599999999999</v>
      </c>
    </row>
    <row r="525" spans="1:14" s="158" customFormat="1" ht="14.5">
      <c r="A525" s="157" t="s">
        <v>2021</v>
      </c>
      <c r="B525" s="169">
        <v>60049</v>
      </c>
      <c r="C525" s="158" t="s">
        <v>1744</v>
      </c>
      <c r="D525" s="115" t="str">
        <f>VLOOKUP(B525,'All Menu'!B:D,3,0)</f>
        <v>لحوم بلدية</v>
      </c>
      <c r="E525" s="116">
        <f t="shared" si="42"/>
        <v>6</v>
      </c>
      <c r="F525" s="160">
        <v>220.928</v>
      </c>
      <c r="G525" s="161">
        <v>1325.568</v>
      </c>
      <c r="H525" s="115">
        <f>VLOOKUP(B525,'All Menu'!B:J,9,0)</f>
        <v>5.25</v>
      </c>
      <c r="I525" s="120">
        <f>VLOOKUP(B525,'All Menu'!B:M,12,0)</f>
        <v>0.125</v>
      </c>
      <c r="J525" s="114">
        <f t="shared" si="39"/>
        <v>1325.568</v>
      </c>
      <c r="K525" s="117">
        <f t="shared" si="40"/>
        <v>0</v>
      </c>
      <c r="L525" s="118">
        <f>VLOOKUP(B525,'All Menu'!B:G,6,0)</f>
        <v>6</v>
      </c>
      <c r="M525" s="118">
        <f t="shared" si="41"/>
        <v>0</v>
      </c>
      <c r="N525" s="151">
        <f ca="1">VLOOKUP(B525,'All Menu'!B:H,7,0)</f>
        <v>254.59800000000001</v>
      </c>
    </row>
    <row r="526" spans="1:14" s="158" customFormat="1" ht="14.5">
      <c r="A526" s="157" t="s">
        <v>2021</v>
      </c>
      <c r="B526" s="169">
        <v>60050</v>
      </c>
      <c r="C526" s="158" t="s">
        <v>1745</v>
      </c>
      <c r="D526" s="115" t="str">
        <f>VLOOKUP(B526,'All Menu'!B:D,3,0)</f>
        <v>لحوم بلدية</v>
      </c>
      <c r="E526" s="116">
        <f t="shared" si="42"/>
        <v>5.75</v>
      </c>
      <c r="F526" s="160">
        <v>188</v>
      </c>
      <c r="G526" s="161">
        <v>1081</v>
      </c>
      <c r="H526" s="115">
        <f>VLOOKUP(B526,'All Menu'!B:J,9,0)</f>
        <v>5.0999999999999996</v>
      </c>
      <c r="I526" s="120">
        <f>VLOOKUP(B526,'All Menu'!B:M,12,0)</f>
        <v>0.11304347826086962</v>
      </c>
      <c r="J526" s="114">
        <f t="shared" si="39"/>
        <v>1081</v>
      </c>
      <c r="K526" s="117">
        <f t="shared" si="40"/>
        <v>0</v>
      </c>
      <c r="L526" s="118">
        <f>VLOOKUP(B526,'All Menu'!B:G,6,0)</f>
        <v>5.75</v>
      </c>
      <c r="M526" s="118">
        <f t="shared" si="41"/>
        <v>0</v>
      </c>
      <c r="N526" s="151">
        <f ca="1">VLOOKUP(B526,'All Menu'!B:H,7,0)</f>
        <v>213.5</v>
      </c>
    </row>
    <row r="527" spans="1:14" s="158" customFormat="1" ht="14.5">
      <c r="A527" s="157" t="s">
        <v>2021</v>
      </c>
      <c r="B527" s="169">
        <v>60056</v>
      </c>
      <c r="C527" s="158" t="s">
        <v>1849</v>
      </c>
      <c r="D527" s="115" t="str">
        <f>VLOOKUP(B527,'All Menu'!B:D,3,0)</f>
        <v>لحوم بلدية</v>
      </c>
      <c r="E527" s="116">
        <f t="shared" si="42"/>
        <v>26</v>
      </c>
      <c r="F527" s="160">
        <v>23.61</v>
      </c>
      <c r="G527" s="161">
        <v>613.86</v>
      </c>
      <c r="H527" s="115">
        <f>VLOOKUP(B527,'All Menu'!B:J,9,0)</f>
        <v>26.874999999999996</v>
      </c>
      <c r="I527" s="120">
        <f>VLOOKUP(B527,'All Menu'!B:M,12,0)</f>
        <v>-3.365384615384602E-2</v>
      </c>
      <c r="J527" s="114">
        <f t="shared" si="39"/>
        <v>613.86</v>
      </c>
      <c r="K527" s="117">
        <f t="shared" si="40"/>
        <v>0</v>
      </c>
      <c r="L527" s="118">
        <f>VLOOKUP(B527,'All Menu'!B:G,6,0)</f>
        <v>26</v>
      </c>
      <c r="M527" s="118">
        <f t="shared" si="41"/>
        <v>0</v>
      </c>
      <c r="N527" s="151">
        <f ca="1">VLOOKUP(B527,'All Menu'!B:H,7,0)</f>
        <v>23.61</v>
      </c>
    </row>
    <row r="528" spans="1:14" s="158" customFormat="1" ht="14.5">
      <c r="A528" s="157" t="s">
        <v>2021</v>
      </c>
      <c r="B528" s="169">
        <v>60057</v>
      </c>
      <c r="C528" s="158" t="s">
        <v>1795</v>
      </c>
      <c r="D528" s="115" t="str">
        <f>VLOOKUP(B528,'All Menu'!B:D,3,0)</f>
        <v>لحوم بلدية</v>
      </c>
      <c r="E528" s="116">
        <f t="shared" si="42"/>
        <v>19.127437325905291</v>
      </c>
      <c r="F528" s="160">
        <v>7.18</v>
      </c>
      <c r="G528" s="161">
        <v>137.33499999999998</v>
      </c>
      <c r="H528" s="115">
        <f>VLOOKUP(B528,'All Menu'!B:J,9,0)</f>
        <v>17.25</v>
      </c>
      <c r="I528" s="120">
        <f>VLOOKUP(B528,'All Menu'!B:M,12,0)</f>
        <v>0.21590909090909091</v>
      </c>
      <c r="J528" s="114">
        <f t="shared" si="39"/>
        <v>157.95999999999998</v>
      </c>
      <c r="K528" s="117">
        <f t="shared" si="40"/>
        <v>-20.625</v>
      </c>
      <c r="L528" s="118">
        <f>VLOOKUP(B528,'All Menu'!B:G,6,0)</f>
        <v>22</v>
      </c>
      <c r="M528" s="118">
        <f t="shared" si="41"/>
        <v>-2.8725626740947092</v>
      </c>
      <c r="N528" s="151">
        <f ca="1">VLOOKUP(B528,'All Menu'!B:H,7,0)</f>
        <v>7.18</v>
      </c>
    </row>
    <row r="529" spans="1:14" s="158" customFormat="1" ht="14.5">
      <c r="A529" s="157" t="s">
        <v>2021</v>
      </c>
      <c r="B529" s="169">
        <v>60058</v>
      </c>
      <c r="C529" s="158" t="s">
        <v>1850</v>
      </c>
      <c r="D529" s="115" t="str">
        <f>VLOOKUP(B529,'All Menu'!B:D,3,0)</f>
        <v>لحوم بلدية</v>
      </c>
      <c r="E529" s="116">
        <f t="shared" si="42"/>
        <v>24</v>
      </c>
      <c r="F529" s="160">
        <v>0.5</v>
      </c>
      <c r="G529" s="161">
        <v>12</v>
      </c>
      <c r="H529" s="115">
        <f>VLOOKUP(B529,'All Menu'!B:J,9,0)</f>
        <v>26.874999999999996</v>
      </c>
      <c r="I529" s="120">
        <f>VLOOKUP(B529,'All Menu'!B:M,12,0)</f>
        <v>-0.11979166666666652</v>
      </c>
      <c r="J529" s="114">
        <f t="shared" si="39"/>
        <v>12</v>
      </c>
      <c r="K529" s="117">
        <f t="shared" si="40"/>
        <v>0</v>
      </c>
      <c r="L529" s="118">
        <f>VLOOKUP(B529,'All Menu'!B:G,6,0)</f>
        <v>24</v>
      </c>
      <c r="M529" s="118">
        <f t="shared" si="41"/>
        <v>0</v>
      </c>
      <c r="N529" s="151">
        <f ca="1">VLOOKUP(B529,'All Menu'!B:H,7,0)</f>
        <v>0.5</v>
      </c>
    </row>
    <row r="530" spans="1:14" s="158" customFormat="1" ht="14.5">
      <c r="A530" s="157" t="s">
        <v>2021</v>
      </c>
      <c r="B530" s="169">
        <v>60068</v>
      </c>
      <c r="C530" s="158" t="s">
        <v>1746</v>
      </c>
      <c r="D530" s="115" t="str">
        <f>VLOOKUP(B530,'All Menu'!B:D,3,0)</f>
        <v>لحوم بلدية</v>
      </c>
      <c r="E530" s="116">
        <f t="shared" si="42"/>
        <v>9</v>
      </c>
      <c r="F530" s="160">
        <v>1</v>
      </c>
      <c r="G530" s="161">
        <v>9</v>
      </c>
      <c r="H530" s="115">
        <f>VLOOKUP(B530,'All Menu'!B:J,9,0)</f>
        <v>5.3839858563218392</v>
      </c>
      <c r="I530" s="120">
        <f>VLOOKUP(B530,'All Menu'!B:M,12,0)</f>
        <v>0.40177934929757342</v>
      </c>
      <c r="J530" s="114">
        <f t="shared" si="39"/>
        <v>9</v>
      </c>
      <c r="K530" s="117">
        <f t="shared" si="40"/>
        <v>0</v>
      </c>
      <c r="L530" s="118">
        <f>VLOOKUP(B530,'All Menu'!B:G,6,0)</f>
        <v>9</v>
      </c>
      <c r="M530" s="118">
        <f t="shared" si="41"/>
        <v>0</v>
      </c>
      <c r="N530" s="151">
        <f ca="1">VLOOKUP(B530,'All Menu'!B:H,7,0)</f>
        <v>1</v>
      </c>
    </row>
    <row r="531" spans="1:14" s="158" customFormat="1" ht="14.5">
      <c r="A531" s="157" t="s">
        <v>2021</v>
      </c>
      <c r="B531" s="169">
        <v>60085</v>
      </c>
      <c r="C531" s="158" t="s">
        <v>1747</v>
      </c>
      <c r="D531" s="115" t="str">
        <f>VLOOKUP(B531,'All Menu'!B:D,3,0)</f>
        <v>لحوم بلدية</v>
      </c>
      <c r="E531" s="116">
        <f t="shared" si="42"/>
        <v>18</v>
      </c>
      <c r="F531" s="160">
        <v>6.19</v>
      </c>
      <c r="G531" s="161">
        <v>111.42</v>
      </c>
      <c r="H531" s="115">
        <f>VLOOKUP(B531,'All Menu'!B:J,9,0)</f>
        <v>16.958120913793103</v>
      </c>
      <c r="I531" s="120">
        <f>VLOOKUP(B531,'All Menu'!B:M,12,0)</f>
        <v>0.22917632210031352</v>
      </c>
      <c r="J531" s="114">
        <f t="shared" si="39"/>
        <v>136.18</v>
      </c>
      <c r="K531" s="117">
        <f t="shared" si="40"/>
        <v>-24.760000000000005</v>
      </c>
      <c r="L531" s="118">
        <f>VLOOKUP(B531,'All Menu'!B:G,6,0)</f>
        <v>22</v>
      </c>
      <c r="M531" s="118">
        <f t="shared" si="41"/>
        <v>-4</v>
      </c>
      <c r="N531" s="151">
        <f ca="1">VLOOKUP(B531,'All Menu'!B:H,7,0)</f>
        <v>7.8900000000000006</v>
      </c>
    </row>
    <row r="532" spans="1:14" s="158" customFormat="1" ht="14.5">
      <c r="A532" s="157" t="s">
        <v>2021</v>
      </c>
      <c r="B532" s="169">
        <v>60086</v>
      </c>
      <c r="C532" s="158" t="s">
        <v>1748</v>
      </c>
      <c r="D532" s="115" t="str">
        <f>VLOOKUP(B532,'All Menu'!B:D,3,0)</f>
        <v>لحوم بلدية</v>
      </c>
      <c r="E532" s="116">
        <f t="shared" si="42"/>
        <v>14</v>
      </c>
      <c r="F532" s="160">
        <v>9.84</v>
      </c>
      <c r="G532" s="161">
        <v>137.76</v>
      </c>
      <c r="H532" s="115">
        <f>VLOOKUP(B532,'All Menu'!B:J,9,0)</f>
        <v>12.58</v>
      </c>
      <c r="I532" s="120">
        <f>VLOOKUP(B532,'All Menu'!B:M,12,0)</f>
        <v>0.10142857142857142</v>
      </c>
      <c r="J532" s="114">
        <f t="shared" si="39"/>
        <v>137.76</v>
      </c>
      <c r="K532" s="117">
        <f t="shared" si="40"/>
        <v>0</v>
      </c>
      <c r="L532" s="118">
        <f>VLOOKUP(B532,'All Menu'!B:G,6,0)</f>
        <v>14</v>
      </c>
      <c r="M532" s="118">
        <f t="shared" si="41"/>
        <v>0</v>
      </c>
      <c r="N532" s="151">
        <f ca="1">VLOOKUP(B532,'All Menu'!B:H,7,0)</f>
        <v>11.84</v>
      </c>
    </row>
    <row r="533" spans="1:14" s="158" customFormat="1" ht="14.5">
      <c r="A533" s="157" t="s">
        <v>2021</v>
      </c>
      <c r="B533" s="289" t="s">
        <v>1920</v>
      </c>
      <c r="C533" s="268" t="s">
        <v>3010</v>
      </c>
      <c r="D533" s="115" t="e">
        <f>VLOOKUP(B533,'All Menu'!B:D,3,0)</f>
        <v>#N/A</v>
      </c>
      <c r="E533" s="116">
        <f t="shared" si="42"/>
        <v>50</v>
      </c>
      <c r="F533" s="160">
        <v>1</v>
      </c>
      <c r="G533" s="161">
        <v>50</v>
      </c>
      <c r="H533" s="115" t="e">
        <f>VLOOKUP(B533,'All Menu'!B:J,9,0)</f>
        <v>#N/A</v>
      </c>
      <c r="I533" s="120" t="e">
        <f>VLOOKUP(B533,'All Menu'!B:M,12,0)</f>
        <v>#N/A</v>
      </c>
      <c r="J533" s="114" t="e">
        <f t="shared" si="39"/>
        <v>#N/A</v>
      </c>
      <c r="K533" s="117" t="e">
        <f t="shared" si="40"/>
        <v>#N/A</v>
      </c>
      <c r="L533" s="118" t="e">
        <f>VLOOKUP(B533,'All Menu'!B:G,6,0)</f>
        <v>#N/A</v>
      </c>
      <c r="M533" s="118" t="e">
        <f t="shared" si="41"/>
        <v>#N/A</v>
      </c>
      <c r="N533" s="151" t="e">
        <f>VLOOKUP(B533,'All Menu'!B:H,7,0)</f>
        <v>#N/A</v>
      </c>
    </row>
    <row r="534" spans="1:14" s="158" customFormat="1" ht="14.5">
      <c r="A534" s="157" t="s">
        <v>2021</v>
      </c>
      <c r="B534" s="169">
        <v>60006</v>
      </c>
      <c r="C534" s="158" t="s">
        <v>1618</v>
      </c>
      <c r="D534" s="115" t="str">
        <f>VLOOKUP(B534,'All Menu'!B:D,3,0)</f>
        <v>لحوم مستوردة</v>
      </c>
      <c r="E534" s="116">
        <f t="shared" si="42"/>
        <v>11.485796219082136</v>
      </c>
      <c r="F534" s="160">
        <v>572.24199999999996</v>
      </c>
      <c r="G534" s="161">
        <v>6572.6549999999997</v>
      </c>
      <c r="H534" s="115">
        <f>VLOOKUP(B534,'All Menu'!B:J,9,0)</f>
        <v>11.039193820514564</v>
      </c>
      <c r="I534" s="120">
        <f>VLOOKUP(B534,'All Menu'!B:M,12,0)</f>
        <v>4.0070102563950966E-2</v>
      </c>
      <c r="J534" s="114">
        <f t="shared" si="39"/>
        <v>6580.7829999999994</v>
      </c>
      <c r="K534" s="117">
        <f t="shared" si="40"/>
        <v>-8.1279999999997017</v>
      </c>
      <c r="L534" s="118">
        <f>VLOOKUP(B534,'All Menu'!B:G,6,0)</f>
        <v>11.5</v>
      </c>
      <c r="M534" s="118">
        <f t="shared" si="41"/>
        <v>-1.4203780917863895E-2</v>
      </c>
      <c r="N534" s="151">
        <f ca="1">VLOOKUP(B534,'All Menu'!B:H,7,0)</f>
        <v>900.88700000000006</v>
      </c>
    </row>
    <row r="535" spans="1:14" s="158" customFormat="1" ht="14.5">
      <c r="A535" s="157" t="s">
        <v>2021</v>
      </c>
      <c r="B535" s="169">
        <v>60006</v>
      </c>
      <c r="C535" s="158" t="s">
        <v>1618</v>
      </c>
      <c r="D535" s="115" t="str">
        <f>VLOOKUP(B535,'All Menu'!B:D,3,0)</f>
        <v>لحوم مستوردة</v>
      </c>
      <c r="E535" s="116">
        <f t="shared" si="42"/>
        <v>11.462085552865213</v>
      </c>
      <c r="F535" s="160">
        <v>309.75</v>
      </c>
      <c r="G535" s="161">
        <v>3550.3809999999999</v>
      </c>
      <c r="H535" s="115">
        <f>VLOOKUP(B535,'All Menu'!B:J,9,0)</f>
        <v>11.039193820514564</v>
      </c>
      <c r="I535" s="120">
        <f>VLOOKUP(B535,'All Menu'!B:M,12,0)</f>
        <v>4.0070102563950966E-2</v>
      </c>
      <c r="J535" s="114">
        <f t="shared" si="39"/>
        <v>3562.125</v>
      </c>
      <c r="K535" s="117">
        <f t="shared" si="40"/>
        <v>-11.744000000000142</v>
      </c>
      <c r="L535" s="118">
        <f>VLOOKUP(B535,'All Menu'!B:G,6,0)</f>
        <v>11.5</v>
      </c>
      <c r="M535" s="118">
        <f t="shared" si="41"/>
        <v>-3.7914447134786755E-2</v>
      </c>
      <c r="N535" s="151">
        <f ca="1">VLOOKUP(B535,'All Menu'!B:H,7,0)</f>
        <v>900.88700000000006</v>
      </c>
    </row>
    <row r="536" spans="1:14" s="158" customFormat="1" ht="14.5">
      <c r="A536" s="157" t="s">
        <v>2021</v>
      </c>
      <c r="B536" s="169">
        <v>60007</v>
      </c>
      <c r="C536" s="158" t="s">
        <v>1618</v>
      </c>
      <c r="D536" s="115" t="str">
        <f>VLOOKUP(B536,'All Menu'!B:D,3,0)</f>
        <v>لحوم مستوردة</v>
      </c>
      <c r="E536" s="116">
        <f t="shared" si="42"/>
        <v>12.5</v>
      </c>
      <c r="F536" s="160">
        <v>91.52</v>
      </c>
      <c r="G536" s="161">
        <v>1144</v>
      </c>
      <c r="H536" s="115">
        <f>VLOOKUP(B536,'All Menu'!B:J,9,0)</f>
        <v>11.039193820514564</v>
      </c>
      <c r="I536" s="120">
        <f>VLOOKUP(B536,'All Menu'!B:M,12,0)</f>
        <v>0.11686449435883489</v>
      </c>
      <c r="J536" s="114">
        <f t="shared" si="39"/>
        <v>1144</v>
      </c>
      <c r="K536" s="117">
        <f t="shared" si="40"/>
        <v>0</v>
      </c>
      <c r="L536" s="118">
        <f>VLOOKUP(B536,'All Menu'!B:G,6,0)</f>
        <v>12.5</v>
      </c>
      <c r="M536" s="118">
        <f t="shared" si="41"/>
        <v>0</v>
      </c>
      <c r="N536" s="151">
        <f ca="1">VLOOKUP(B536,'All Menu'!B:H,7,0)</f>
        <v>170.255</v>
      </c>
    </row>
    <row r="537" spans="1:14" s="158" customFormat="1" ht="14.5">
      <c r="A537" s="157" t="s">
        <v>2021</v>
      </c>
      <c r="B537" s="169">
        <v>60008</v>
      </c>
      <c r="C537" s="158" t="s">
        <v>1620</v>
      </c>
      <c r="D537" s="115" t="str">
        <f>VLOOKUP(B537,'All Menu'!B:D,3,0)</f>
        <v>لحوم مستوردة</v>
      </c>
      <c r="E537" s="116">
        <f t="shared" si="42"/>
        <v>11</v>
      </c>
      <c r="F537" s="160">
        <v>122.1</v>
      </c>
      <c r="G537" s="161">
        <v>1343.1</v>
      </c>
      <c r="H537" s="115">
        <f>VLOOKUP(B537,'All Menu'!B:J,9,0)</f>
        <v>11.039193820514564</v>
      </c>
      <c r="I537" s="120">
        <f>VLOOKUP(B537,'All Menu'!B:M,12,0)</f>
        <v>-3.5630745922330801E-3</v>
      </c>
      <c r="J537" s="114">
        <f t="shared" si="39"/>
        <v>1343.1</v>
      </c>
      <c r="K537" s="117">
        <f t="shared" si="40"/>
        <v>0</v>
      </c>
      <c r="L537" s="118">
        <f>VLOOKUP(B537,'All Menu'!B:G,6,0)</f>
        <v>11</v>
      </c>
      <c r="M537" s="118">
        <f t="shared" si="41"/>
        <v>0</v>
      </c>
      <c r="N537" s="151">
        <f ca="1">VLOOKUP(B537,'All Menu'!B:H,7,0)</f>
        <v>122.1</v>
      </c>
    </row>
    <row r="538" spans="1:14" s="158" customFormat="1" ht="14.5">
      <c r="A538" s="157" t="s">
        <v>2021</v>
      </c>
      <c r="B538" s="169">
        <v>60018</v>
      </c>
      <c r="C538" s="158" t="s">
        <v>1621</v>
      </c>
      <c r="D538" s="115" t="str">
        <f>VLOOKUP(B538,'All Menu'!B:D,3,0)</f>
        <v>لحوم مستوردة</v>
      </c>
      <c r="E538" s="116">
        <f t="shared" si="42"/>
        <v>11</v>
      </c>
      <c r="F538" s="160">
        <v>25.96</v>
      </c>
      <c r="G538" s="161">
        <v>285.56</v>
      </c>
      <c r="H538" s="115">
        <f>VLOOKUP(B538,'All Menu'!B:J,9,0)</f>
        <v>9.01</v>
      </c>
      <c r="I538" s="120">
        <f>VLOOKUP(B538,'All Menu'!B:M,12,0)</f>
        <v>0.18090909090909094</v>
      </c>
      <c r="J538" s="114">
        <f t="shared" si="39"/>
        <v>285.56</v>
      </c>
      <c r="K538" s="117">
        <f t="shared" si="40"/>
        <v>0</v>
      </c>
      <c r="L538" s="118">
        <f>VLOOKUP(B538,'All Menu'!B:G,6,0)</f>
        <v>11</v>
      </c>
      <c r="M538" s="118">
        <f t="shared" si="41"/>
        <v>0</v>
      </c>
      <c r="N538" s="151">
        <f ca="1">VLOOKUP(B538,'All Menu'!B:H,7,0)</f>
        <v>37.835099999999997</v>
      </c>
    </row>
    <row r="539" spans="1:14" s="158" customFormat="1" ht="14.5">
      <c r="A539" s="157" t="s">
        <v>2021</v>
      </c>
      <c r="B539" s="169">
        <v>60019</v>
      </c>
      <c r="C539" s="158" t="s">
        <v>294</v>
      </c>
      <c r="D539" s="115" t="str">
        <f>VLOOKUP(B539,'All Menu'!B:D,3,0)</f>
        <v>لحوم مستوردة</v>
      </c>
      <c r="E539" s="116">
        <f t="shared" si="42"/>
        <v>14</v>
      </c>
      <c r="F539" s="160">
        <v>1.04</v>
      </c>
      <c r="G539" s="161">
        <v>14.56</v>
      </c>
      <c r="H539" s="115">
        <f>VLOOKUP(B539,'All Menu'!B:J,9,0)</f>
        <v>12.58</v>
      </c>
      <c r="I539" s="120">
        <f>VLOOKUP(B539,'All Menu'!B:M,12,0)</f>
        <v>0.10142857142857142</v>
      </c>
      <c r="J539" s="114">
        <f t="shared" ref="J539:J596" si="43">F539*L539</f>
        <v>14.56</v>
      </c>
      <c r="K539" s="117">
        <f t="shared" ref="K539:K596" si="44">G539-J539</f>
        <v>0</v>
      </c>
      <c r="L539" s="118">
        <f>VLOOKUP(B539,'All Menu'!B:G,6,0)</f>
        <v>14</v>
      </c>
      <c r="M539" s="118">
        <f t="shared" ref="M539:M596" si="45">E539-L539</f>
        <v>0</v>
      </c>
      <c r="N539" s="151">
        <f ca="1">VLOOKUP(B539,'All Menu'!B:H,7,0)</f>
        <v>1.04</v>
      </c>
    </row>
    <row r="540" spans="1:14" s="158" customFormat="1" ht="14.5">
      <c r="A540" s="157" t="s">
        <v>2021</v>
      </c>
      <c r="B540" s="169">
        <v>60022</v>
      </c>
      <c r="C540" s="158" t="s">
        <v>1750</v>
      </c>
      <c r="D540" s="115" t="str">
        <f>VLOOKUP(B540,'All Menu'!B:D,3,0)</f>
        <v>لحوم مستوردة</v>
      </c>
      <c r="E540" s="116">
        <f t="shared" si="42"/>
        <v>10</v>
      </c>
      <c r="F540" s="160">
        <v>4.5</v>
      </c>
      <c r="G540" s="161">
        <v>45</v>
      </c>
      <c r="H540" s="115">
        <f>VLOOKUP(B540,'All Menu'!B:J,9,0)</f>
        <v>9.01</v>
      </c>
      <c r="I540" s="120">
        <f>VLOOKUP(B540,'All Menu'!B:M,12,0)</f>
        <v>9.9000000000000019E-2</v>
      </c>
      <c r="J540" s="114">
        <f t="shared" si="43"/>
        <v>45</v>
      </c>
      <c r="K540" s="117">
        <f t="shared" si="44"/>
        <v>0</v>
      </c>
      <c r="L540" s="118">
        <f>VLOOKUP(B540,'All Menu'!B:G,6,0)</f>
        <v>10</v>
      </c>
      <c r="M540" s="118">
        <f t="shared" si="45"/>
        <v>0</v>
      </c>
      <c r="N540" s="151">
        <f ca="1">VLOOKUP(B540,'All Menu'!B:H,7,0)</f>
        <v>10</v>
      </c>
    </row>
    <row r="541" spans="1:14" s="158" customFormat="1" ht="14.5">
      <c r="A541" s="157" t="s">
        <v>2021</v>
      </c>
      <c r="B541" s="169">
        <v>60053</v>
      </c>
      <c r="C541" s="158" t="s">
        <v>1914</v>
      </c>
      <c r="D541" s="115" t="str">
        <f>VLOOKUP(B541,'All Menu'!B:D,3,0)</f>
        <v>لحوم مستوردة</v>
      </c>
      <c r="E541" s="116">
        <f t="shared" si="42"/>
        <v>9.7941445562671543</v>
      </c>
      <c r="F541" s="160">
        <v>103.83499999999999</v>
      </c>
      <c r="G541" s="161">
        <v>1016.9749999999999</v>
      </c>
      <c r="H541" s="115">
        <f>VLOOKUP(B541,'All Menu'!B:J,9,0)</f>
        <v>9.01</v>
      </c>
      <c r="I541" s="120">
        <f>VLOOKUP(B541,'All Menu'!B:M,12,0)</f>
        <v>9.9000000000000019E-2</v>
      </c>
      <c r="J541" s="114">
        <f t="shared" si="43"/>
        <v>1038.3499999999999</v>
      </c>
      <c r="K541" s="117">
        <f t="shared" si="44"/>
        <v>-21.375</v>
      </c>
      <c r="L541" s="118">
        <f>VLOOKUP(B541,'All Menu'!B:G,6,0)</f>
        <v>10</v>
      </c>
      <c r="M541" s="118">
        <f t="shared" si="45"/>
        <v>-0.2058554437328457</v>
      </c>
      <c r="N541" s="151">
        <f ca="1">VLOOKUP(B541,'All Menu'!B:H,7,0)</f>
        <v>103.83499999999999</v>
      </c>
    </row>
    <row r="542" spans="1:14" s="158" customFormat="1" ht="14.5">
      <c r="A542" s="157" t="s">
        <v>2021</v>
      </c>
      <c r="B542" s="169">
        <v>60059</v>
      </c>
      <c r="C542" s="158" t="s">
        <v>1836</v>
      </c>
      <c r="D542" s="115" t="str">
        <f>VLOOKUP(B542,'All Menu'!B:D,3,0)</f>
        <v>لحوم مستوردة</v>
      </c>
      <c r="E542" s="116">
        <f t="shared" si="42"/>
        <v>11.859476591505931</v>
      </c>
      <c r="F542" s="160">
        <v>220.86</v>
      </c>
      <c r="G542" s="161">
        <v>2619.2840000000001</v>
      </c>
      <c r="H542" s="115">
        <f>VLOOKUP(B542,'All Menu'!B:J,9,0)</f>
        <v>11.039193820514564</v>
      </c>
      <c r="I542" s="120">
        <f>VLOOKUP(B542,'All Menu'!B:M,12,0)</f>
        <v>8.0067181623786343E-2</v>
      </c>
      <c r="J542" s="114">
        <f t="shared" si="43"/>
        <v>2650.32</v>
      </c>
      <c r="K542" s="117">
        <f t="shared" si="44"/>
        <v>-31.036000000000058</v>
      </c>
      <c r="L542" s="118">
        <f>VLOOKUP(B542,'All Menu'!B:G,6,0)</f>
        <v>12</v>
      </c>
      <c r="M542" s="118">
        <f t="shared" si="45"/>
        <v>-0.14052340849406875</v>
      </c>
      <c r="N542" s="151">
        <f ca="1">VLOOKUP(B542,'All Menu'!B:H,7,0)</f>
        <v>222.86100000000002</v>
      </c>
    </row>
    <row r="543" spans="1:14" s="158" customFormat="1" ht="14.5">
      <c r="A543" s="157" t="s">
        <v>2021</v>
      </c>
      <c r="B543" s="169">
        <v>60060</v>
      </c>
      <c r="C543" s="158" t="s">
        <v>1974</v>
      </c>
      <c r="D543" s="115" t="str">
        <f>VLOOKUP(B543,'All Menu'!B:D,3,0)</f>
        <v>لحوم بلدية</v>
      </c>
      <c r="E543" s="116">
        <f t="shared" si="42"/>
        <v>10.959025453659711</v>
      </c>
      <c r="F543" s="160">
        <v>1363.86</v>
      </c>
      <c r="G543" s="161">
        <v>14946.576455228333</v>
      </c>
      <c r="H543" s="115">
        <f>VLOOKUP(B543,'All Menu'!B:J,9,0)</f>
        <v>9.01</v>
      </c>
      <c r="I543" s="120">
        <f>VLOOKUP(B543,'All Menu'!B:M,12,0)</f>
        <v>0.17882877334844177</v>
      </c>
      <c r="J543" s="114">
        <f t="shared" si="43"/>
        <v>14964.453455228333</v>
      </c>
      <c r="K543" s="117">
        <f t="shared" si="44"/>
        <v>-17.877000000000407</v>
      </c>
      <c r="L543" s="118">
        <f>VLOOKUP(B543,'All Menu'!B:G,6,0)</f>
        <v>10.972133104005055</v>
      </c>
      <c r="M543" s="118">
        <f t="shared" si="45"/>
        <v>-1.3107650345343558E-2</v>
      </c>
      <c r="N543" s="151">
        <f ca="1">VLOOKUP(B543,'All Menu'!B:H,7,0)</f>
        <v>1363.86</v>
      </c>
    </row>
    <row r="544" spans="1:14" s="158" customFormat="1" ht="14.5">
      <c r="A544" s="157" t="s">
        <v>2021</v>
      </c>
      <c r="B544" s="169">
        <v>60026</v>
      </c>
      <c r="C544" s="158" t="s">
        <v>1751</v>
      </c>
      <c r="D544" s="115" t="str">
        <f>VLOOKUP(B544,'All Menu'!B:D,3,0)</f>
        <v>لحوم مشكوكة</v>
      </c>
      <c r="E544" s="116">
        <f t="shared" si="42"/>
        <v>25</v>
      </c>
      <c r="F544" s="160">
        <v>56.7</v>
      </c>
      <c r="G544" s="161">
        <v>1417.5</v>
      </c>
      <c r="H544" s="115">
        <f>VLOOKUP(B544,'All Menu'!B:J,9,0)</f>
        <v>20.330211999999996</v>
      </c>
      <c r="I544" s="120">
        <f>VLOOKUP(B544,'All Menu'!B:M,12,0)</f>
        <v>0.18679152000000016</v>
      </c>
      <c r="J544" s="114">
        <f t="shared" si="43"/>
        <v>1417.5</v>
      </c>
      <c r="K544" s="117">
        <f t="shared" si="44"/>
        <v>0</v>
      </c>
      <c r="L544" s="118">
        <f>VLOOKUP(B544,'All Menu'!B:G,6,0)</f>
        <v>25</v>
      </c>
      <c r="M544" s="118">
        <f t="shared" si="45"/>
        <v>0</v>
      </c>
      <c r="N544" s="151">
        <f ca="1">VLOOKUP(B544,'All Menu'!B:H,7,0)</f>
        <v>131.30009999999999</v>
      </c>
    </row>
    <row r="545" spans="1:14" s="158" customFormat="1" ht="14.5">
      <c r="A545" s="157" t="s">
        <v>2021</v>
      </c>
      <c r="B545" s="169">
        <v>60027</v>
      </c>
      <c r="C545" s="158" t="s">
        <v>1623</v>
      </c>
      <c r="D545" s="115" t="str">
        <f>VLOOKUP(B545,'All Menu'!B:D,3,0)</f>
        <v>لحوم مشكوكة</v>
      </c>
      <c r="E545" s="116">
        <f t="shared" si="42"/>
        <v>18.999999999999996</v>
      </c>
      <c r="F545" s="160">
        <v>55.95</v>
      </c>
      <c r="G545" s="161">
        <v>1063.05</v>
      </c>
      <c r="H545" s="115">
        <f>VLOOKUP(B545,'All Menu'!B:J,9,0)</f>
        <v>13.259170242685132</v>
      </c>
      <c r="I545" s="120">
        <f>VLOOKUP(B545,'All Menu'!B:M,12,0)</f>
        <v>0.30214893459551939</v>
      </c>
      <c r="J545" s="114">
        <f t="shared" si="43"/>
        <v>1063.05</v>
      </c>
      <c r="K545" s="117">
        <f t="shared" si="44"/>
        <v>0</v>
      </c>
      <c r="L545" s="118">
        <f>VLOOKUP(B545,'All Menu'!B:G,6,0)</f>
        <v>19</v>
      </c>
      <c r="M545" s="118">
        <f t="shared" si="45"/>
        <v>0</v>
      </c>
      <c r="N545" s="151">
        <f ca="1">VLOOKUP(B545,'All Menu'!B:H,7,0)</f>
        <v>143.90010000000001</v>
      </c>
    </row>
    <row r="546" spans="1:14" s="158" customFormat="1" ht="14.5">
      <c r="A546" s="157" t="s">
        <v>2021</v>
      </c>
      <c r="B546" s="169">
        <v>60028</v>
      </c>
      <c r="C546" s="158" t="s">
        <v>1752</v>
      </c>
      <c r="D546" s="115" t="str">
        <f>VLOOKUP(B546,'All Menu'!B:D,3,0)</f>
        <v>لحوم مشكوكة</v>
      </c>
      <c r="E546" s="116">
        <f t="shared" si="42"/>
        <v>19</v>
      </c>
      <c r="F546" s="160">
        <v>8.5299999999999994</v>
      </c>
      <c r="G546" s="161">
        <v>162.07</v>
      </c>
      <c r="H546" s="115">
        <f>VLOOKUP(B546,'All Menu'!B:J,9,0)</f>
        <v>13.664539434084606</v>
      </c>
      <c r="I546" s="120">
        <f>VLOOKUP(B546,'All Menu'!B:M,12,0)</f>
        <v>0.28081371399554705</v>
      </c>
      <c r="J546" s="114">
        <f t="shared" si="43"/>
        <v>162.07</v>
      </c>
      <c r="K546" s="117">
        <f t="shared" si="44"/>
        <v>0</v>
      </c>
      <c r="L546" s="118">
        <f>VLOOKUP(B546,'All Menu'!B:G,6,0)</f>
        <v>19</v>
      </c>
      <c r="M546" s="118">
        <f t="shared" si="45"/>
        <v>0</v>
      </c>
      <c r="N546" s="151">
        <f ca="1">VLOOKUP(B546,'All Menu'!B:H,7,0)</f>
        <v>27.53</v>
      </c>
    </row>
    <row r="547" spans="1:14" s="158" customFormat="1" ht="14.5">
      <c r="A547" s="157" t="s">
        <v>2021</v>
      </c>
      <c r="B547" s="169">
        <v>60029</v>
      </c>
      <c r="C547" s="158" t="s">
        <v>1625</v>
      </c>
      <c r="D547" s="115" t="str">
        <f>VLOOKUP(B547,'All Menu'!B:D,3,0)</f>
        <v>لحوم مشكوكة</v>
      </c>
      <c r="E547" s="116">
        <f t="shared" si="42"/>
        <v>20</v>
      </c>
      <c r="F547" s="160">
        <v>13</v>
      </c>
      <c r="G547" s="161">
        <v>260</v>
      </c>
      <c r="H547" s="115">
        <f>VLOOKUP(B547,'All Menu'!B:J,9,0)</f>
        <v>12.540785760514565</v>
      </c>
      <c r="I547" s="120">
        <f>VLOOKUP(B547,'All Menu'!B:M,12,0)</f>
        <v>0.37296071197427177</v>
      </c>
      <c r="J547" s="114">
        <f t="shared" si="43"/>
        <v>260</v>
      </c>
      <c r="K547" s="117">
        <f t="shared" si="44"/>
        <v>0</v>
      </c>
      <c r="L547" s="118">
        <f>VLOOKUP(B547,'All Menu'!B:G,6,0)</f>
        <v>20</v>
      </c>
      <c r="M547" s="118">
        <f t="shared" si="45"/>
        <v>0</v>
      </c>
      <c r="N547" s="151">
        <f ca="1">VLOOKUP(B547,'All Menu'!B:H,7,0)</f>
        <v>25.75</v>
      </c>
    </row>
    <row r="548" spans="1:14" s="158" customFormat="1" ht="14.5">
      <c r="A548" s="157" t="s">
        <v>2021</v>
      </c>
      <c r="B548" s="169">
        <v>60032</v>
      </c>
      <c r="C548" s="158" t="s">
        <v>1753</v>
      </c>
      <c r="D548" s="115" t="str">
        <f>VLOOKUP(B548,'All Menu'!B:D,3,0)</f>
        <v>لحوم مشكوكة</v>
      </c>
      <c r="E548" s="116">
        <f t="shared" si="42"/>
        <v>12.000000000000002</v>
      </c>
      <c r="F548" s="160">
        <v>1.44</v>
      </c>
      <c r="G548" s="161">
        <v>17.28</v>
      </c>
      <c r="H548" s="115">
        <f>VLOOKUP(B548,'All Menu'!B:J,9,0)</f>
        <v>6.1582059229208923</v>
      </c>
      <c r="I548" s="120">
        <f>VLOOKUP(B548,'All Menu'!B:M,12,0)</f>
        <v>0.48681617308992564</v>
      </c>
      <c r="J548" s="114">
        <f t="shared" si="43"/>
        <v>17.28</v>
      </c>
      <c r="K548" s="117">
        <f t="shared" si="44"/>
        <v>0</v>
      </c>
      <c r="L548" s="118">
        <f>VLOOKUP(B548,'All Menu'!B:G,6,0)</f>
        <v>12</v>
      </c>
      <c r="M548" s="118">
        <f t="shared" si="45"/>
        <v>0</v>
      </c>
      <c r="N548" s="151">
        <f ca="1">VLOOKUP(B548,'All Menu'!B:H,7,0)</f>
        <v>1.94</v>
      </c>
    </row>
    <row r="549" spans="1:14" s="158" customFormat="1" ht="14.5">
      <c r="A549" s="157" t="s">
        <v>2021</v>
      </c>
      <c r="B549" s="169" t="s">
        <v>1282</v>
      </c>
      <c r="C549" s="158" t="s">
        <v>1755</v>
      </c>
      <c r="D549" s="115" t="str">
        <f>VLOOKUP(B549,'All Menu'!B:D,3,0)</f>
        <v>لحوم مشكوكة</v>
      </c>
      <c r="E549" s="116">
        <f t="shared" si="42"/>
        <v>1.5</v>
      </c>
      <c r="F549" s="160">
        <v>7</v>
      </c>
      <c r="G549" s="161">
        <v>10.5</v>
      </c>
      <c r="H549" s="115">
        <f>VLOOKUP(B549,'All Menu'!B:J,9,0)</f>
        <v>1.5</v>
      </c>
      <c r="I549" s="120">
        <f>VLOOKUP(B549,'All Menu'!B:M,12,0)</f>
        <v>0</v>
      </c>
      <c r="J549" s="114">
        <f t="shared" si="43"/>
        <v>10.5</v>
      </c>
      <c r="K549" s="117">
        <f t="shared" si="44"/>
        <v>0</v>
      </c>
      <c r="L549" s="118">
        <f>VLOOKUP(B549,'All Menu'!B:G,6,0)</f>
        <v>1.5</v>
      </c>
      <c r="M549" s="118">
        <f t="shared" si="45"/>
        <v>0</v>
      </c>
      <c r="N549" s="151">
        <f ca="1">VLOOKUP(B549,'All Menu'!B:H,7,0)</f>
        <v>10</v>
      </c>
    </row>
    <row r="550" spans="1:14" s="158" customFormat="1" ht="14.5">
      <c r="A550" s="157" t="s">
        <v>2021</v>
      </c>
      <c r="B550" s="169" t="s">
        <v>1283</v>
      </c>
      <c r="C550" s="158" t="s">
        <v>1756</v>
      </c>
      <c r="D550" s="115" t="str">
        <f>VLOOKUP(B550,'All Menu'!B:D,3,0)</f>
        <v>لحوم مشكوكة</v>
      </c>
      <c r="E550" s="116">
        <f t="shared" ref="E550:E596" si="46">G550/F550</f>
        <v>4.5</v>
      </c>
      <c r="F550" s="160">
        <v>14</v>
      </c>
      <c r="G550" s="161">
        <v>63</v>
      </c>
      <c r="H550" s="115">
        <f>VLOOKUP(B550,'All Menu'!B:J,9,0)</f>
        <v>2.7160000000000002</v>
      </c>
      <c r="I550" s="120">
        <f>VLOOKUP(B550,'All Menu'!B:M,12,0)</f>
        <v>0.39644444444444438</v>
      </c>
      <c r="J550" s="114">
        <f t="shared" si="43"/>
        <v>63</v>
      </c>
      <c r="K550" s="117">
        <f t="shared" si="44"/>
        <v>0</v>
      </c>
      <c r="L550" s="118">
        <f>VLOOKUP(B550,'All Menu'!B:G,6,0)</f>
        <v>4.5</v>
      </c>
      <c r="M550" s="118">
        <f t="shared" si="45"/>
        <v>0</v>
      </c>
      <c r="N550" s="151">
        <f ca="1">VLOOKUP(B550,'All Menu'!B:H,7,0)</f>
        <v>15</v>
      </c>
    </row>
    <row r="551" spans="1:14" s="158" customFormat="1" ht="14.5">
      <c r="A551" s="157" t="s">
        <v>2021</v>
      </c>
      <c r="B551" s="169" t="s">
        <v>1284</v>
      </c>
      <c r="C551" s="158" t="s">
        <v>1757</v>
      </c>
      <c r="D551" s="115" t="str">
        <f>VLOOKUP(B551,'All Menu'!B:D,3,0)</f>
        <v>لحوم مشكوكة</v>
      </c>
      <c r="E551" s="116">
        <f t="shared" si="46"/>
        <v>7</v>
      </c>
      <c r="F551" s="160">
        <v>12</v>
      </c>
      <c r="G551" s="161">
        <v>84</v>
      </c>
      <c r="H551" s="115">
        <f>VLOOKUP(B551,'All Menu'!B:J,9,0)</f>
        <v>0.3664</v>
      </c>
      <c r="I551" s="120">
        <f>VLOOKUP(B551,'All Menu'!B:M,12,0)</f>
        <v>0.94765714285714286</v>
      </c>
      <c r="J551" s="114">
        <f t="shared" si="43"/>
        <v>84</v>
      </c>
      <c r="K551" s="117">
        <f t="shared" si="44"/>
        <v>0</v>
      </c>
      <c r="L551" s="118">
        <f>VLOOKUP(B551,'All Menu'!B:G,6,0)</f>
        <v>7</v>
      </c>
      <c r="M551" s="118">
        <f t="shared" si="45"/>
        <v>0</v>
      </c>
      <c r="N551" s="151">
        <f ca="1">VLOOKUP(B551,'All Menu'!B:H,7,0)</f>
        <v>12</v>
      </c>
    </row>
    <row r="552" spans="1:14" s="158" customFormat="1" ht="14.5">
      <c r="A552" s="157" t="s">
        <v>2021</v>
      </c>
      <c r="B552" s="169" t="s">
        <v>1285</v>
      </c>
      <c r="C552" s="158" t="s">
        <v>321</v>
      </c>
      <c r="D552" s="115" t="str">
        <f>VLOOKUP(B552,'All Menu'!B:D,3,0)</f>
        <v>لحوم مشكوكة</v>
      </c>
      <c r="E552" s="116">
        <f t="shared" si="46"/>
        <v>1</v>
      </c>
      <c r="F552" s="160">
        <v>12</v>
      </c>
      <c r="G552" s="161">
        <v>12</v>
      </c>
      <c r="H552" s="115">
        <f>VLOOKUP(B552,'All Menu'!B:J,9,0)</f>
        <v>0.79</v>
      </c>
      <c r="I552" s="120">
        <f>VLOOKUP(B552,'All Menu'!B:M,12,0)</f>
        <v>0.20999999999999996</v>
      </c>
      <c r="J552" s="114">
        <f t="shared" si="43"/>
        <v>12</v>
      </c>
      <c r="K552" s="117">
        <f t="shared" si="44"/>
        <v>0</v>
      </c>
      <c r="L552" s="118">
        <f>VLOOKUP(B552,'All Menu'!B:G,6,0)</f>
        <v>1</v>
      </c>
      <c r="M552" s="118">
        <f t="shared" si="45"/>
        <v>0</v>
      </c>
      <c r="N552" s="151">
        <f ca="1">VLOOKUP(B552,'All Menu'!B:H,7,0)</f>
        <v>13</v>
      </c>
    </row>
    <row r="553" spans="1:14" s="158" customFormat="1" ht="14.5">
      <c r="A553" s="157" t="s">
        <v>2021</v>
      </c>
      <c r="B553" s="169" t="s">
        <v>1962</v>
      </c>
      <c r="C553" s="158" t="s">
        <v>2013</v>
      </c>
      <c r="D553" s="115" t="str">
        <f>VLOOKUP(B553,'All Menu'!B:D,3,0)</f>
        <v>لحوم مشكوكة</v>
      </c>
      <c r="E553" s="116">
        <f t="shared" si="46"/>
        <v>9.85</v>
      </c>
      <c r="F553" s="160">
        <v>0.4</v>
      </c>
      <c r="G553" s="161">
        <v>3.94</v>
      </c>
      <c r="H553" s="115">
        <f>VLOOKUP(B553,'All Menu'!B:J,9,0)</f>
        <v>6.6868945417130146</v>
      </c>
      <c r="I553" s="120">
        <f>VLOOKUP(B553,'All Menu'!B:M,12,0)</f>
        <v>0.32112745769411016</v>
      </c>
      <c r="J553" s="114">
        <f t="shared" si="43"/>
        <v>3.94</v>
      </c>
      <c r="K553" s="117">
        <f t="shared" si="44"/>
        <v>0</v>
      </c>
      <c r="L553" s="118">
        <f>VLOOKUP(B553,'All Menu'!B:G,6,0)</f>
        <v>9.85</v>
      </c>
      <c r="M553" s="118">
        <f t="shared" si="45"/>
        <v>0</v>
      </c>
      <c r="N553" s="151">
        <f ca="1">VLOOKUP(B553,'All Menu'!B:H,7,0)</f>
        <v>5.4</v>
      </c>
    </row>
    <row r="554" spans="1:14" s="158" customFormat="1" ht="14.5">
      <c r="A554" s="157" t="s">
        <v>2021</v>
      </c>
      <c r="B554" s="169" t="s">
        <v>1963</v>
      </c>
      <c r="C554" s="158" t="s">
        <v>2014</v>
      </c>
      <c r="D554" s="115" t="str">
        <f>VLOOKUP(B554,'All Menu'!B:D,3,0)</f>
        <v>لحوم مشكوكة</v>
      </c>
      <c r="E554" s="116">
        <f t="shared" si="46"/>
        <v>19.850000000000001</v>
      </c>
      <c r="F554" s="160">
        <v>1.5</v>
      </c>
      <c r="G554" s="161">
        <v>29.775000000000002</v>
      </c>
      <c r="H554" s="115">
        <f>VLOOKUP(B554,'All Menu'!B:J,9,0)</f>
        <v>14.174101438264739</v>
      </c>
      <c r="I554" s="120">
        <f>VLOOKUP(B554,'All Menu'!B:M,12,0)</f>
        <v>0.28593947414283438</v>
      </c>
      <c r="J554" s="114">
        <f t="shared" si="43"/>
        <v>29.775000000000002</v>
      </c>
      <c r="K554" s="117">
        <f t="shared" si="44"/>
        <v>0</v>
      </c>
      <c r="L554" s="118">
        <f>VLOOKUP(B554,'All Menu'!B:G,6,0)</f>
        <v>19.850000000000001</v>
      </c>
      <c r="M554" s="118">
        <f t="shared" si="45"/>
        <v>0</v>
      </c>
      <c r="N554" s="151">
        <f ca="1">VLOOKUP(B554,'All Menu'!B:H,7,0)</f>
        <v>4.5</v>
      </c>
    </row>
    <row r="555" spans="1:14" s="158" customFormat="1" ht="14.5">
      <c r="A555" s="157" t="s">
        <v>2021</v>
      </c>
      <c r="B555" s="169">
        <v>60030</v>
      </c>
      <c r="C555" s="158" t="s">
        <v>1758</v>
      </c>
      <c r="D555" s="115" t="str">
        <f>VLOOKUP(B555,'All Menu'!B:D,3,0)</f>
        <v>لحوم مشكوكة</v>
      </c>
      <c r="E555" s="116">
        <f t="shared" si="46"/>
        <v>22</v>
      </c>
      <c r="F555" s="160">
        <v>4.5999999999999996</v>
      </c>
      <c r="G555" s="161">
        <v>101.19999999999999</v>
      </c>
      <c r="H555" s="115">
        <f>VLOOKUP(B555,'All Menu'!B:J,9,0)</f>
        <v>9.581059597476651</v>
      </c>
      <c r="I555" s="120">
        <f>VLOOKUP(B555,'All Menu'!B:M,12,0)</f>
        <v>0.56449729102378854</v>
      </c>
      <c r="J555" s="114">
        <f t="shared" si="43"/>
        <v>101.19999999999999</v>
      </c>
      <c r="K555" s="117">
        <f t="shared" si="44"/>
        <v>0</v>
      </c>
      <c r="L555" s="118">
        <f>VLOOKUP(B555,'All Menu'!B:G,6,0)</f>
        <v>22</v>
      </c>
      <c r="M555" s="118">
        <f t="shared" si="45"/>
        <v>0</v>
      </c>
      <c r="N555" s="151">
        <f ca="1">VLOOKUP(B555,'All Menu'!B:H,7,0)</f>
        <v>13.32</v>
      </c>
    </row>
    <row r="556" spans="1:14" s="158" customFormat="1" ht="14.5">
      <c r="A556" s="157" t="s">
        <v>2021</v>
      </c>
      <c r="B556" s="169">
        <v>60031</v>
      </c>
      <c r="C556" s="158" t="s">
        <v>1937</v>
      </c>
      <c r="D556" s="115" t="str">
        <f>VLOOKUP(B556,'All Menu'!B:D,3,0)</f>
        <v>لحوم مشكوكة</v>
      </c>
      <c r="E556" s="116">
        <f t="shared" si="46"/>
        <v>22</v>
      </c>
      <c r="F556" s="160">
        <v>3.1</v>
      </c>
      <c r="G556" s="161">
        <v>68.2</v>
      </c>
      <c r="H556" s="115">
        <f>VLOOKUP(B556,'All Menu'!B:J,9,0)</f>
        <v>8.8181905284662339</v>
      </c>
      <c r="I556" s="120">
        <f>VLOOKUP(B556,'All Menu'!B:M,12,0)</f>
        <v>0.59917315779698932</v>
      </c>
      <c r="J556" s="114">
        <f t="shared" si="43"/>
        <v>68.2</v>
      </c>
      <c r="K556" s="117">
        <f t="shared" si="44"/>
        <v>0</v>
      </c>
      <c r="L556" s="118">
        <f>VLOOKUP(B556,'All Menu'!B:G,6,0)</f>
        <v>22</v>
      </c>
      <c r="M556" s="118">
        <f t="shared" si="45"/>
        <v>0</v>
      </c>
      <c r="N556" s="151">
        <f ca="1">VLOOKUP(B556,'All Menu'!B:H,7,0)</f>
        <v>7.5500000000000007</v>
      </c>
    </row>
    <row r="557" spans="1:14" s="158" customFormat="1" ht="14.5">
      <c r="A557" s="157" t="s">
        <v>2021</v>
      </c>
      <c r="B557" s="169" t="s">
        <v>1952</v>
      </c>
      <c r="C557" s="158" t="s">
        <v>1953</v>
      </c>
      <c r="D557" s="115" t="str">
        <f>VLOOKUP(B557,'All Menu'!B:D,3,0)</f>
        <v>لحوم مشكوكة</v>
      </c>
      <c r="E557" s="116">
        <f t="shared" si="46"/>
        <v>1.5</v>
      </c>
      <c r="F557" s="160">
        <v>7</v>
      </c>
      <c r="G557" s="161">
        <v>10.5</v>
      </c>
      <c r="H557" s="115">
        <f>VLOOKUP(B557,'All Menu'!B:J,9,0)</f>
        <v>0.7</v>
      </c>
      <c r="I557" s="120">
        <f>VLOOKUP(B557,'All Menu'!B:M,12,0)</f>
        <v>0.53333333333333333</v>
      </c>
      <c r="J557" s="114">
        <f t="shared" si="43"/>
        <v>10.5</v>
      </c>
      <c r="K557" s="117">
        <f t="shared" si="44"/>
        <v>0</v>
      </c>
      <c r="L557" s="118">
        <f>VLOOKUP(B557,'All Menu'!B:G,6,0)</f>
        <v>1.5</v>
      </c>
      <c r="M557" s="118">
        <f t="shared" si="45"/>
        <v>0</v>
      </c>
      <c r="N557" s="151">
        <f ca="1">VLOOKUP(B557,'All Menu'!B:H,7,0)</f>
        <v>7</v>
      </c>
    </row>
    <row r="558" spans="1:14" s="158" customFormat="1" ht="14.5">
      <c r="A558" s="157" t="s">
        <v>2021</v>
      </c>
      <c r="B558" s="169">
        <v>60033</v>
      </c>
      <c r="C558" s="158" t="s">
        <v>1759</v>
      </c>
      <c r="D558" s="115" t="str">
        <f>VLOOKUP(B558,'All Menu'!B:D,3,0)</f>
        <v>لحوم مشكوكة</v>
      </c>
      <c r="E558" s="116">
        <f t="shared" si="46"/>
        <v>14</v>
      </c>
      <c r="F558" s="160">
        <v>1.4</v>
      </c>
      <c r="G558" s="161">
        <v>19.599999999999998</v>
      </c>
      <c r="H558" s="115">
        <f>VLOOKUP(B558,'All Menu'!B:J,9,0)</f>
        <v>5.7961459229208927</v>
      </c>
      <c r="I558" s="120">
        <f>VLOOKUP(B558,'All Menu'!B:M,12,0)</f>
        <v>0.58598957693422193</v>
      </c>
      <c r="J558" s="114">
        <f t="shared" si="43"/>
        <v>19.599999999999998</v>
      </c>
      <c r="K558" s="117">
        <f t="shared" si="44"/>
        <v>0</v>
      </c>
      <c r="L558" s="118">
        <f>VLOOKUP(B558,'All Menu'!B:G,6,0)</f>
        <v>14</v>
      </c>
      <c r="M558" s="118">
        <f t="shared" si="45"/>
        <v>0</v>
      </c>
      <c r="N558" s="151">
        <f ca="1">VLOOKUP(B558,'All Menu'!B:H,7,0)</f>
        <v>1.4009999999999998</v>
      </c>
    </row>
    <row r="559" spans="1:14" s="158" customFormat="1" ht="14.5">
      <c r="A559" s="157" t="s">
        <v>2021</v>
      </c>
      <c r="B559" s="169">
        <v>60035</v>
      </c>
      <c r="C559" s="158" t="s">
        <v>1760</v>
      </c>
      <c r="D559" s="115" t="str">
        <f>VLOOKUP(B559,'All Menu'!B:D,3,0)</f>
        <v>لحوم مشكوكة</v>
      </c>
      <c r="E559" s="116">
        <f t="shared" si="46"/>
        <v>8</v>
      </c>
      <c r="F559" s="160">
        <v>8</v>
      </c>
      <c r="G559" s="161">
        <v>64</v>
      </c>
      <c r="H559" s="115">
        <f>VLOOKUP(B559,'All Menu'!B:J,9,0)</f>
        <v>3.3015919400000002</v>
      </c>
      <c r="I559" s="120">
        <f>VLOOKUP(B559,'All Menu'!B:M,12,0)</f>
        <v>0.58730100750000003</v>
      </c>
      <c r="J559" s="114">
        <f t="shared" si="43"/>
        <v>64</v>
      </c>
      <c r="K559" s="117">
        <f t="shared" si="44"/>
        <v>0</v>
      </c>
      <c r="L559" s="118">
        <f>VLOOKUP(B559,'All Menu'!B:G,6,0)</f>
        <v>8</v>
      </c>
      <c r="M559" s="118">
        <f t="shared" si="45"/>
        <v>0</v>
      </c>
      <c r="N559" s="151">
        <f ca="1">VLOOKUP(B559,'All Menu'!B:H,7,0)</f>
        <v>8.5</v>
      </c>
    </row>
    <row r="560" spans="1:14" s="158" customFormat="1" ht="14.5">
      <c r="A560" s="157" t="s">
        <v>2021</v>
      </c>
      <c r="B560" s="169">
        <v>60036</v>
      </c>
      <c r="C560" s="158" t="s">
        <v>1626</v>
      </c>
      <c r="D560" s="115" t="str">
        <f>VLOOKUP(B560,'All Menu'!B:D,3,0)</f>
        <v>لحوم مشكوكة</v>
      </c>
      <c r="E560" s="116">
        <f t="shared" si="46"/>
        <v>13</v>
      </c>
      <c r="F560" s="160">
        <v>29.3</v>
      </c>
      <c r="G560" s="161">
        <v>380.90000000000003</v>
      </c>
      <c r="H560" s="115">
        <f>VLOOKUP(B560,'All Menu'!B:J,9,0)</f>
        <v>6.165761303091827</v>
      </c>
      <c r="I560" s="120">
        <f>VLOOKUP(B560,'All Menu'!B:M,12,0)</f>
        <v>0.52571066899293639</v>
      </c>
      <c r="J560" s="114">
        <f t="shared" si="43"/>
        <v>380.90000000000003</v>
      </c>
      <c r="K560" s="117">
        <f t="shared" si="44"/>
        <v>0</v>
      </c>
      <c r="L560" s="118">
        <f>VLOOKUP(B560,'All Menu'!B:G,6,0)</f>
        <v>13</v>
      </c>
      <c r="M560" s="118">
        <f t="shared" si="45"/>
        <v>0</v>
      </c>
      <c r="N560" s="151">
        <f ca="1">VLOOKUP(B560,'All Menu'!B:H,7,0)</f>
        <v>73.9011</v>
      </c>
    </row>
    <row r="561" spans="1:14" s="158" customFormat="1" ht="14.5">
      <c r="A561" s="157" t="s">
        <v>2021</v>
      </c>
      <c r="B561" s="169">
        <v>60037</v>
      </c>
      <c r="C561" s="158" t="s">
        <v>1838</v>
      </c>
      <c r="D561" s="115" t="str">
        <f>VLOOKUP(B561,'All Menu'!B:D,3,0)</f>
        <v>لحوم مشكوكة</v>
      </c>
      <c r="E561" s="116">
        <f t="shared" si="46"/>
        <v>16</v>
      </c>
      <c r="F561" s="160">
        <v>0.7</v>
      </c>
      <c r="G561" s="161">
        <v>11.2</v>
      </c>
      <c r="H561" s="115">
        <f>VLOOKUP(B561,'All Menu'!B:J,9,0)</f>
        <v>8.1582059229208923</v>
      </c>
      <c r="I561" s="120">
        <f>VLOOKUP(B561,'All Menu'!B:M,12,0)</f>
        <v>0.49011212981744423</v>
      </c>
      <c r="J561" s="114">
        <f t="shared" si="43"/>
        <v>11.2</v>
      </c>
      <c r="K561" s="117">
        <f t="shared" si="44"/>
        <v>0</v>
      </c>
      <c r="L561" s="118">
        <f>VLOOKUP(B561,'All Menu'!B:G,6,0)</f>
        <v>16</v>
      </c>
      <c r="M561" s="118">
        <f t="shared" si="45"/>
        <v>0</v>
      </c>
      <c r="N561" s="151">
        <f ca="1">VLOOKUP(B561,'All Menu'!B:H,7,0)</f>
        <v>0.7</v>
      </c>
    </row>
    <row r="562" spans="1:14" s="158" customFormat="1" ht="14.5">
      <c r="A562" s="157" t="s">
        <v>2021</v>
      </c>
      <c r="B562" s="169">
        <v>60041</v>
      </c>
      <c r="C562" s="158" t="s">
        <v>1627</v>
      </c>
      <c r="D562" s="115" t="str">
        <f>VLOOKUP(B562,'All Menu'!B:D,3,0)</f>
        <v>لحوم مشكوكة</v>
      </c>
      <c r="E562" s="116">
        <f t="shared" si="46"/>
        <v>18</v>
      </c>
      <c r="F562" s="160">
        <v>121.367</v>
      </c>
      <c r="G562" s="161">
        <v>2184.6060000000002</v>
      </c>
      <c r="H562" s="115">
        <f>VLOOKUP(B562,'All Menu'!B:J,9,0)</f>
        <v>9.5930438909447719</v>
      </c>
      <c r="I562" s="120">
        <f>VLOOKUP(B562,'All Menu'!B:M,12,0)</f>
        <v>0.46705311716973491</v>
      </c>
      <c r="J562" s="114">
        <f t="shared" si="43"/>
        <v>2184.6060000000002</v>
      </c>
      <c r="K562" s="117">
        <f t="shared" si="44"/>
        <v>0</v>
      </c>
      <c r="L562" s="118">
        <f>VLOOKUP(B562,'All Menu'!B:G,6,0)</f>
        <v>18</v>
      </c>
      <c r="M562" s="118">
        <f t="shared" si="45"/>
        <v>0</v>
      </c>
      <c r="N562" s="151">
        <f ca="1">VLOOKUP(B562,'All Menu'!B:H,7,0)</f>
        <v>349.267</v>
      </c>
    </row>
    <row r="563" spans="1:14" s="158" customFormat="1" ht="14.5">
      <c r="A563" s="157" t="s">
        <v>2021</v>
      </c>
      <c r="B563" s="169">
        <v>60042</v>
      </c>
      <c r="C563" s="158" t="s">
        <v>1628</v>
      </c>
      <c r="D563" s="115" t="str">
        <f>VLOOKUP(B563,'All Menu'!B:D,3,0)</f>
        <v>لحوم مشكوكة</v>
      </c>
      <c r="E563" s="116">
        <f t="shared" si="46"/>
        <v>18</v>
      </c>
      <c r="F563" s="160">
        <v>0.6</v>
      </c>
      <c r="G563" s="161">
        <v>10.799999999999999</v>
      </c>
      <c r="H563" s="115">
        <f>VLOOKUP(B563,'All Menu'!B:J,9,0)</f>
        <v>9.9282559666152714</v>
      </c>
      <c r="I563" s="120">
        <f>VLOOKUP(B563,'All Menu'!B:M,12,0)</f>
        <v>0.44843022407692934</v>
      </c>
      <c r="J563" s="114">
        <f t="shared" si="43"/>
        <v>10.799999999999999</v>
      </c>
      <c r="K563" s="117">
        <f t="shared" si="44"/>
        <v>0</v>
      </c>
      <c r="L563" s="118">
        <f>VLOOKUP(B563,'All Menu'!B:G,6,0)</f>
        <v>18</v>
      </c>
      <c r="M563" s="118">
        <f t="shared" si="45"/>
        <v>0</v>
      </c>
      <c r="N563" s="151">
        <f ca="1">VLOOKUP(B563,'All Menu'!B:H,7,0)</f>
        <v>11.6</v>
      </c>
    </row>
    <row r="564" spans="1:14" s="158" customFormat="1" ht="14.5">
      <c r="A564" s="157" t="s">
        <v>2021</v>
      </c>
      <c r="B564" s="169">
        <v>60043</v>
      </c>
      <c r="C564" s="158" t="s">
        <v>1761</v>
      </c>
      <c r="D564" s="115" t="str">
        <f>VLOOKUP(B564,'All Menu'!B:D,3,0)</f>
        <v>لحوم مشكوكة</v>
      </c>
      <c r="E564" s="116">
        <f t="shared" si="46"/>
        <v>3</v>
      </c>
      <c r="F564" s="160">
        <v>46</v>
      </c>
      <c r="G564" s="161">
        <v>138</v>
      </c>
      <c r="H564" s="115">
        <f>VLOOKUP(B564,'All Menu'!B:J,9,0)</f>
        <v>0.49504962499999999</v>
      </c>
      <c r="I564" s="120">
        <f>VLOOKUP(B564,'All Menu'!B:M,12,0)</f>
        <v>0.83498345833333332</v>
      </c>
      <c r="J564" s="114">
        <f t="shared" si="43"/>
        <v>138</v>
      </c>
      <c r="K564" s="117">
        <f t="shared" si="44"/>
        <v>0</v>
      </c>
      <c r="L564" s="118">
        <f>VLOOKUP(B564,'All Menu'!B:G,6,0)</f>
        <v>3</v>
      </c>
      <c r="M564" s="118">
        <f t="shared" si="45"/>
        <v>0</v>
      </c>
      <c r="N564" s="151">
        <f ca="1">VLOOKUP(B564,'All Menu'!B:H,7,0)</f>
        <v>272.01</v>
      </c>
    </row>
    <row r="565" spans="1:14" s="158" customFormat="1" ht="14.5">
      <c r="A565" s="157" t="s">
        <v>2021</v>
      </c>
      <c r="B565" s="169">
        <v>60044</v>
      </c>
      <c r="C565" s="158" t="s">
        <v>1839</v>
      </c>
      <c r="D565" s="115" t="str">
        <f>VLOOKUP(B565,'All Menu'!B:D,3,0)</f>
        <v>لحوم مشكوكة</v>
      </c>
      <c r="E565" s="116">
        <f t="shared" si="46"/>
        <v>3</v>
      </c>
      <c r="F565" s="160">
        <v>4</v>
      </c>
      <c r="G565" s="161">
        <v>12</v>
      </c>
      <c r="H565" s="115">
        <f>VLOOKUP(B565,'All Menu'!B:J,9,0)</f>
        <v>0.53695113445881237</v>
      </c>
      <c r="I565" s="120">
        <f>VLOOKUP(B565,'All Menu'!B:M,12,0)</f>
        <v>0.82101628851372921</v>
      </c>
      <c r="J565" s="114">
        <f t="shared" si="43"/>
        <v>12</v>
      </c>
      <c r="K565" s="117">
        <f t="shared" si="44"/>
        <v>0</v>
      </c>
      <c r="L565" s="118">
        <f>VLOOKUP(B565,'All Menu'!B:G,6,0)</f>
        <v>3</v>
      </c>
      <c r="M565" s="118">
        <f t="shared" si="45"/>
        <v>0</v>
      </c>
      <c r="N565" s="151">
        <f ca="1">VLOOKUP(B565,'All Menu'!B:H,7,0)</f>
        <v>17</v>
      </c>
    </row>
    <row r="566" spans="1:14" s="158" customFormat="1" ht="14.5">
      <c r="A566" s="157" t="s">
        <v>2021</v>
      </c>
      <c r="B566" s="169">
        <v>60045</v>
      </c>
      <c r="C566" s="158" t="s">
        <v>1726</v>
      </c>
      <c r="D566" s="115" t="str">
        <f>VLOOKUP(B566,'All Menu'!B:D,3,0)</f>
        <v>لحوم مشكوكة</v>
      </c>
      <c r="E566" s="116">
        <f t="shared" si="46"/>
        <v>0.75</v>
      </c>
      <c r="F566" s="160">
        <v>9</v>
      </c>
      <c r="G566" s="161">
        <v>6.75</v>
      </c>
      <c r="H566" s="115">
        <f>VLOOKUP(B566,'All Menu'!B:J,9,0)</f>
        <v>0.11097000000000001</v>
      </c>
      <c r="I566" s="120">
        <f>VLOOKUP(B566,'All Menu'!B:M,12,0)</f>
        <v>0.85204000000000002</v>
      </c>
      <c r="J566" s="114">
        <f t="shared" si="43"/>
        <v>6.75</v>
      </c>
      <c r="K566" s="117">
        <f t="shared" si="44"/>
        <v>0</v>
      </c>
      <c r="L566" s="118">
        <f>VLOOKUP(B566,'All Menu'!B:G,6,0)</f>
        <v>0.75</v>
      </c>
      <c r="M566" s="118">
        <f t="shared" si="45"/>
        <v>0</v>
      </c>
      <c r="N566" s="151">
        <f ca="1">VLOOKUP(B566,'All Menu'!B:H,7,0)</f>
        <v>72</v>
      </c>
    </row>
    <row r="567" spans="1:14" s="158" customFormat="1" ht="14.5">
      <c r="A567" s="157" t="s">
        <v>2021</v>
      </c>
      <c r="B567" s="169">
        <v>60046</v>
      </c>
      <c r="C567" s="158" t="s">
        <v>1727</v>
      </c>
      <c r="D567" s="115" t="str">
        <f>VLOOKUP(B567,'All Menu'!B:D,3,0)</f>
        <v>لحوم مشكوكة</v>
      </c>
      <c r="E567" s="116">
        <f t="shared" si="46"/>
        <v>0.75</v>
      </c>
      <c r="F567" s="160">
        <v>11</v>
      </c>
      <c r="G567" s="161">
        <v>8.25</v>
      </c>
      <c r="H567" s="115">
        <f>VLOOKUP(B567,'All Menu'!B:J,9,0)</f>
        <v>0.12897</v>
      </c>
      <c r="I567" s="120">
        <f>VLOOKUP(B567,'All Menu'!B:M,12,0)</f>
        <v>0.82804</v>
      </c>
      <c r="J567" s="114">
        <f t="shared" si="43"/>
        <v>8.25</v>
      </c>
      <c r="K567" s="117">
        <f t="shared" si="44"/>
        <v>0</v>
      </c>
      <c r="L567" s="118">
        <f>VLOOKUP(B567,'All Menu'!B:G,6,0)</f>
        <v>0.75</v>
      </c>
      <c r="M567" s="118">
        <f t="shared" si="45"/>
        <v>0</v>
      </c>
      <c r="N567" s="151">
        <f ca="1">VLOOKUP(B567,'All Menu'!B:H,7,0)</f>
        <v>68</v>
      </c>
    </row>
    <row r="568" spans="1:14" s="158" customFormat="1" ht="14.5">
      <c r="A568" s="157" t="s">
        <v>2021</v>
      </c>
      <c r="B568" s="169">
        <v>60047</v>
      </c>
      <c r="C568" s="158" t="s">
        <v>1420</v>
      </c>
      <c r="D568" s="115" t="str">
        <f>VLOOKUP(B568,'All Menu'!B:D,3,0)</f>
        <v>لحوم مشكوكة</v>
      </c>
      <c r="E568" s="116">
        <f t="shared" si="46"/>
        <v>2</v>
      </c>
      <c r="F568" s="160">
        <v>10</v>
      </c>
      <c r="G568" s="161">
        <v>20</v>
      </c>
      <c r="H568" s="115">
        <f>VLOOKUP(B568,'All Menu'!B:J,9,0)</f>
        <v>0.56896999999999998</v>
      </c>
      <c r="I568" s="120">
        <f>VLOOKUP(B568,'All Menu'!B:M,12,0)</f>
        <v>0.71551500000000001</v>
      </c>
      <c r="J568" s="114">
        <f t="shared" si="43"/>
        <v>20</v>
      </c>
      <c r="K568" s="117">
        <f t="shared" si="44"/>
        <v>0</v>
      </c>
      <c r="L568" s="118">
        <f>VLOOKUP(B568,'All Menu'!B:G,6,0)</f>
        <v>2</v>
      </c>
      <c r="M568" s="118">
        <f t="shared" si="45"/>
        <v>0</v>
      </c>
      <c r="N568" s="151">
        <f ca="1">VLOOKUP(B568,'All Menu'!B:H,7,0)</f>
        <v>73</v>
      </c>
    </row>
    <row r="569" spans="1:14" s="158" customFormat="1" ht="14.5">
      <c r="A569" s="157" t="s">
        <v>2021</v>
      </c>
      <c r="B569" s="169">
        <v>60048</v>
      </c>
      <c r="C569" s="158" t="s">
        <v>1728</v>
      </c>
      <c r="D569" s="115" t="str">
        <f>VLOOKUP(B569,'All Menu'!B:D,3,0)</f>
        <v>لحوم مشكوكة</v>
      </c>
      <c r="E569" s="116">
        <f t="shared" si="46"/>
        <v>0.75</v>
      </c>
      <c r="F569" s="160">
        <v>5</v>
      </c>
      <c r="G569" s="161">
        <v>3.75</v>
      </c>
      <c r="H569" s="115">
        <f>VLOOKUP(B569,'All Menu'!B:J,9,0)</f>
        <v>0.12397</v>
      </c>
      <c r="I569" s="120">
        <f>VLOOKUP(B569,'All Menu'!B:M,12,0)</f>
        <v>0.8347066666666666</v>
      </c>
      <c r="J569" s="114">
        <f t="shared" si="43"/>
        <v>3.75</v>
      </c>
      <c r="K569" s="117">
        <f t="shared" si="44"/>
        <v>0</v>
      </c>
      <c r="L569" s="118">
        <f>VLOOKUP(B569,'All Menu'!B:G,6,0)</f>
        <v>0.75</v>
      </c>
      <c r="M569" s="118">
        <f t="shared" si="45"/>
        <v>0</v>
      </c>
      <c r="N569" s="151">
        <f ca="1">VLOOKUP(B569,'All Menu'!B:H,7,0)</f>
        <v>32</v>
      </c>
    </row>
    <row r="570" spans="1:14" s="158" customFormat="1" ht="14.5">
      <c r="A570" s="157" t="s">
        <v>2021</v>
      </c>
      <c r="B570" s="169">
        <v>60071</v>
      </c>
      <c r="C570" s="158" t="s">
        <v>1798</v>
      </c>
      <c r="D570" s="115" t="str">
        <f>VLOOKUP(B570,'All Menu'!B:D,3,0)</f>
        <v>لحوم مشكوكة</v>
      </c>
      <c r="E570" s="116">
        <f t="shared" si="46"/>
        <v>14</v>
      </c>
      <c r="F570" s="160">
        <v>0.8</v>
      </c>
      <c r="G570" s="161">
        <v>11.200000000000001</v>
      </c>
      <c r="H570" s="115">
        <f>VLOOKUP(B570,'All Menu'!B:J,9,0)</f>
        <v>8.7466547635841145</v>
      </c>
      <c r="I570" s="120">
        <f>VLOOKUP(B570,'All Menu'!B:M,12,0)</f>
        <v>0.37523894545827752</v>
      </c>
      <c r="J570" s="114">
        <f t="shared" si="43"/>
        <v>11.200000000000001</v>
      </c>
      <c r="K570" s="117">
        <f t="shared" si="44"/>
        <v>0</v>
      </c>
      <c r="L570" s="118">
        <f>VLOOKUP(B570,'All Menu'!B:G,6,0)</f>
        <v>14</v>
      </c>
      <c r="M570" s="118">
        <f t="shared" si="45"/>
        <v>0</v>
      </c>
      <c r="N570" s="151">
        <f ca="1">VLOOKUP(B570,'All Menu'!B:H,7,0)</f>
        <v>1.8</v>
      </c>
    </row>
    <row r="571" spans="1:14" s="158" customFormat="1" ht="14.5">
      <c r="A571" s="157" t="s">
        <v>2021</v>
      </c>
      <c r="B571" s="169">
        <v>60072</v>
      </c>
      <c r="C571" s="158" t="s">
        <v>1842</v>
      </c>
      <c r="D571" s="115" t="str">
        <f>VLOOKUP(B571,'All Menu'!B:D,3,0)</f>
        <v>لحوم مشكوكة</v>
      </c>
      <c r="E571" s="116">
        <f t="shared" si="46"/>
        <v>7.5</v>
      </c>
      <c r="F571" s="160">
        <v>4</v>
      </c>
      <c r="G571" s="161">
        <v>30</v>
      </c>
      <c r="H571" s="115">
        <f>VLOOKUP(B571,'All Menu'!B:J,9,0)</f>
        <v>4.3045469570707064</v>
      </c>
      <c r="I571" s="120">
        <f>VLOOKUP(B571,'All Menu'!B:M,12,0)</f>
        <v>0.4260604057239058</v>
      </c>
      <c r="J571" s="114">
        <f t="shared" si="43"/>
        <v>30</v>
      </c>
      <c r="K571" s="117">
        <f t="shared" si="44"/>
        <v>0</v>
      </c>
      <c r="L571" s="118">
        <f>VLOOKUP(B571,'All Menu'!B:G,6,0)</f>
        <v>7.5</v>
      </c>
      <c r="M571" s="118">
        <f t="shared" si="45"/>
        <v>0</v>
      </c>
      <c r="N571" s="151">
        <f ca="1">VLOOKUP(B571,'All Menu'!B:H,7,0)</f>
        <v>8</v>
      </c>
    </row>
    <row r="572" spans="1:14" s="158" customFormat="1" ht="14.5">
      <c r="A572" s="157" t="s">
        <v>2021</v>
      </c>
      <c r="B572" s="169">
        <v>60073</v>
      </c>
      <c r="C572" s="158" t="s">
        <v>1843</v>
      </c>
      <c r="D572" s="115" t="str">
        <f>VLOOKUP(B572,'All Menu'!B:D,3,0)</f>
        <v>لحوم مشكوكة</v>
      </c>
      <c r="E572" s="116">
        <f t="shared" si="46"/>
        <v>14</v>
      </c>
      <c r="F572" s="160">
        <v>0.4</v>
      </c>
      <c r="G572" s="161">
        <v>5.6000000000000005</v>
      </c>
      <c r="H572" s="115">
        <f>VLOOKUP(B572,'All Menu'!B:J,9,0)</f>
        <v>8.1603612158282317</v>
      </c>
      <c r="I572" s="120">
        <f>VLOOKUP(B572,'All Menu'!B:M,12,0)</f>
        <v>0.41711705601226917</v>
      </c>
      <c r="J572" s="114">
        <f t="shared" si="43"/>
        <v>5.6000000000000005</v>
      </c>
      <c r="K572" s="117">
        <f t="shared" si="44"/>
        <v>0</v>
      </c>
      <c r="L572" s="118">
        <f>VLOOKUP(B572,'All Menu'!B:G,6,0)</f>
        <v>14</v>
      </c>
      <c r="M572" s="118">
        <f t="shared" si="45"/>
        <v>0</v>
      </c>
      <c r="N572" s="151">
        <f ca="1">VLOOKUP(B572,'All Menu'!B:H,7,0)</f>
        <v>1.4</v>
      </c>
    </row>
    <row r="573" spans="1:14" s="158" customFormat="1" ht="14.5">
      <c r="A573" s="157" t="s">
        <v>2021</v>
      </c>
      <c r="B573" s="169">
        <v>60074</v>
      </c>
      <c r="C573" s="158" t="s">
        <v>1792</v>
      </c>
      <c r="D573" s="115" t="str">
        <f>VLOOKUP(B573,'All Menu'!B:D,3,0)</f>
        <v>لحوم مشكوكة</v>
      </c>
      <c r="E573" s="116">
        <f t="shared" si="46"/>
        <v>7.5</v>
      </c>
      <c r="F573" s="160">
        <v>1</v>
      </c>
      <c r="G573" s="161">
        <v>7.5</v>
      </c>
      <c r="H573" s="115">
        <f>VLOOKUP(B573,'All Menu'!B:J,9,0)</f>
        <v>4.4378070831923502</v>
      </c>
      <c r="I573" s="120">
        <f>VLOOKUP(B573,'All Menu'!B:M,12,0)</f>
        <v>0.40829238890768665</v>
      </c>
      <c r="J573" s="114">
        <f t="shared" si="43"/>
        <v>7.5</v>
      </c>
      <c r="K573" s="117">
        <f t="shared" si="44"/>
        <v>0</v>
      </c>
      <c r="L573" s="118">
        <f>VLOOKUP(B573,'All Menu'!B:G,6,0)</f>
        <v>7.5</v>
      </c>
      <c r="M573" s="118">
        <f t="shared" si="45"/>
        <v>0</v>
      </c>
      <c r="N573" s="151">
        <f ca="1">VLOOKUP(B573,'All Menu'!B:H,7,0)</f>
        <v>7</v>
      </c>
    </row>
    <row r="574" spans="1:14" s="158" customFormat="1" ht="14.5">
      <c r="A574" s="157" t="s">
        <v>2021</v>
      </c>
      <c r="B574" s="169">
        <v>60075</v>
      </c>
      <c r="C574" s="158" t="s">
        <v>1762</v>
      </c>
      <c r="D574" s="115" t="str">
        <f>VLOOKUP(B574,'All Menu'!B:D,3,0)</f>
        <v>لحوم مشكوكة</v>
      </c>
      <c r="E574" s="116">
        <f t="shared" si="46"/>
        <v>22</v>
      </c>
      <c r="F574" s="160">
        <v>0.5</v>
      </c>
      <c r="G574" s="161">
        <v>11</v>
      </c>
      <c r="H574" s="115">
        <f>VLOOKUP(B574,'All Menu'!B:J,9,0)</f>
        <v>8.4558017241379293</v>
      </c>
      <c r="I574" s="120">
        <f>VLOOKUP(B574,'All Menu'!B:M,12,0)</f>
        <v>0.61564537617554871</v>
      </c>
      <c r="J574" s="114">
        <f t="shared" si="43"/>
        <v>11</v>
      </c>
      <c r="K574" s="117">
        <f t="shared" si="44"/>
        <v>0</v>
      </c>
      <c r="L574" s="118">
        <f>VLOOKUP(B574,'All Menu'!B:G,6,0)</f>
        <v>22</v>
      </c>
      <c r="M574" s="118">
        <f t="shared" si="45"/>
        <v>0</v>
      </c>
      <c r="N574" s="151">
        <f ca="1">VLOOKUP(B574,'All Menu'!B:H,7,0)</f>
        <v>0.5</v>
      </c>
    </row>
    <row r="575" spans="1:14" s="158" customFormat="1" ht="14.5">
      <c r="A575" s="157" t="s">
        <v>2021</v>
      </c>
      <c r="B575" s="169">
        <v>50014</v>
      </c>
      <c r="C575" s="158" t="s">
        <v>1763</v>
      </c>
      <c r="D575" s="115" t="str">
        <f>VLOOKUP(B575,'All Menu'!B:D,3,0)</f>
        <v>مارنيتد</v>
      </c>
      <c r="E575" s="116">
        <f t="shared" si="46"/>
        <v>4.5</v>
      </c>
      <c r="F575" s="160">
        <v>1</v>
      </c>
      <c r="G575" s="161">
        <v>4.5</v>
      </c>
      <c r="H575" s="115">
        <f>VLOOKUP(B575,'All Menu'!B:J,9,0)</f>
        <v>2.2516335453720506</v>
      </c>
      <c r="I575" s="120">
        <f>VLOOKUP(B575,'All Menu'!B:M,12,0)</f>
        <v>0.49963698991732208</v>
      </c>
      <c r="J575" s="114">
        <f t="shared" si="43"/>
        <v>4.5</v>
      </c>
      <c r="K575" s="117">
        <f t="shared" si="44"/>
        <v>0</v>
      </c>
      <c r="L575" s="118">
        <f>VLOOKUP(B575,'All Menu'!B:G,6,0)</f>
        <v>4.5</v>
      </c>
      <c r="M575" s="118">
        <f t="shared" si="45"/>
        <v>0</v>
      </c>
      <c r="N575" s="151">
        <f ca="1">VLOOKUP(B575,'All Menu'!B:H,7,0)</f>
        <v>1.5899999999999999</v>
      </c>
    </row>
    <row r="576" spans="1:14" s="158" customFormat="1" ht="14.5">
      <c r="A576" s="157" t="s">
        <v>2021</v>
      </c>
      <c r="B576" s="169">
        <v>50016</v>
      </c>
      <c r="C576" s="158" t="s">
        <v>1765</v>
      </c>
      <c r="D576" s="115" t="str">
        <f>VLOOKUP(B576,'All Menu'!B:D,3,0)</f>
        <v>مارنيتد</v>
      </c>
      <c r="E576" s="116">
        <f t="shared" si="46"/>
        <v>4.5</v>
      </c>
      <c r="F576" s="160">
        <v>30.42</v>
      </c>
      <c r="G576" s="161">
        <v>136.89000000000001</v>
      </c>
      <c r="H576" s="115">
        <f>VLOOKUP(B576,'All Menu'!B:J,9,0)</f>
        <v>2.9873086330913488</v>
      </c>
      <c r="I576" s="120">
        <f>VLOOKUP(B576,'All Menu'!B:M,12,0)</f>
        <v>0.33615363709081136</v>
      </c>
      <c r="J576" s="114">
        <f t="shared" si="43"/>
        <v>136.89000000000001</v>
      </c>
      <c r="K576" s="117">
        <f t="shared" si="44"/>
        <v>0</v>
      </c>
      <c r="L576" s="118">
        <f>VLOOKUP(B576,'All Menu'!B:G,6,0)</f>
        <v>4.5</v>
      </c>
      <c r="M576" s="118">
        <f t="shared" si="45"/>
        <v>0</v>
      </c>
      <c r="N576" s="151">
        <f ca="1">VLOOKUP(B576,'All Menu'!B:H,7,0)</f>
        <v>39.050000000000004</v>
      </c>
    </row>
    <row r="577" spans="1:14" s="158" customFormat="1" ht="14.5">
      <c r="A577" s="157" t="s">
        <v>2021</v>
      </c>
      <c r="B577" s="169">
        <v>50017</v>
      </c>
      <c r="C577" s="158" t="s">
        <v>1629</v>
      </c>
      <c r="D577" s="115" t="str">
        <f>VLOOKUP(B577,'All Menu'!B:D,3,0)</f>
        <v>مارنيتد</v>
      </c>
      <c r="E577" s="116">
        <f t="shared" si="46"/>
        <v>5</v>
      </c>
      <c r="F577" s="160">
        <v>10</v>
      </c>
      <c r="G577" s="161">
        <v>50</v>
      </c>
      <c r="H577" s="115">
        <f>VLOOKUP(B577,'All Menu'!B:J,9,0)</f>
        <v>3.4553086330913492</v>
      </c>
      <c r="I577" s="120">
        <f>VLOOKUP(B577,'All Menu'!B:M,12,0)</f>
        <v>0.30893827338173019</v>
      </c>
      <c r="J577" s="114">
        <f t="shared" si="43"/>
        <v>50</v>
      </c>
      <c r="K577" s="117">
        <f t="shared" si="44"/>
        <v>0</v>
      </c>
      <c r="L577" s="118">
        <f>VLOOKUP(B577,'All Menu'!B:G,6,0)</f>
        <v>5</v>
      </c>
      <c r="M577" s="118">
        <f t="shared" si="45"/>
        <v>0</v>
      </c>
      <c r="N577" s="151">
        <f ca="1">VLOOKUP(B577,'All Menu'!B:H,7,0)</f>
        <v>10</v>
      </c>
    </row>
    <row r="578" spans="1:14" s="158" customFormat="1" ht="14.5">
      <c r="A578" s="157" t="s">
        <v>2021</v>
      </c>
      <c r="B578" s="169">
        <v>50037</v>
      </c>
      <c r="C578" s="158" t="s">
        <v>1631</v>
      </c>
      <c r="D578" s="115" t="str">
        <f>VLOOKUP(B578,'All Menu'!B:D,3,0)</f>
        <v>مارنيتد</v>
      </c>
      <c r="E578" s="116">
        <f t="shared" si="46"/>
        <v>14</v>
      </c>
      <c r="F578" s="160">
        <v>138.15</v>
      </c>
      <c r="G578" s="161">
        <v>1934.1000000000001</v>
      </c>
      <c r="H578" s="115">
        <f>VLOOKUP(B578,'All Menu'!B:J,9,0)</f>
        <v>8.3203850798990757</v>
      </c>
      <c r="I578" s="120">
        <f>VLOOKUP(B578,'All Menu'!B:M,12,0)</f>
        <v>0.40568678000720887</v>
      </c>
      <c r="J578" s="114">
        <f t="shared" si="43"/>
        <v>1934.1000000000001</v>
      </c>
      <c r="K578" s="117">
        <f t="shared" si="44"/>
        <v>0</v>
      </c>
      <c r="L578" s="118">
        <f>VLOOKUP(B578,'All Menu'!B:G,6,0)</f>
        <v>14</v>
      </c>
      <c r="M578" s="118">
        <f t="shared" si="45"/>
        <v>0</v>
      </c>
      <c r="N578" s="151">
        <f ca="1">VLOOKUP(B578,'All Menu'!B:H,7,0)</f>
        <v>163.0351</v>
      </c>
    </row>
    <row r="579" spans="1:14" s="158" customFormat="1" ht="14.5">
      <c r="A579" s="157" t="s">
        <v>2021</v>
      </c>
      <c r="B579" s="169">
        <v>50038</v>
      </c>
      <c r="C579" s="158" t="s">
        <v>1766</v>
      </c>
      <c r="D579" s="115" t="str">
        <f>VLOOKUP(B579,'All Menu'!B:D,3,0)</f>
        <v>مارنيتد</v>
      </c>
      <c r="E579" s="116">
        <f t="shared" si="46"/>
        <v>16</v>
      </c>
      <c r="F579" s="160">
        <v>2</v>
      </c>
      <c r="G579" s="161">
        <v>32</v>
      </c>
      <c r="H579" s="115">
        <f>VLOOKUP(B579,'All Menu'!B:J,9,0)</f>
        <v>8.3203850798990757</v>
      </c>
      <c r="I579" s="120">
        <f>VLOOKUP(B579,'All Menu'!B:M,12,0)</f>
        <v>0.47997593250630777</v>
      </c>
      <c r="J579" s="114">
        <f t="shared" si="43"/>
        <v>32</v>
      </c>
      <c r="K579" s="117">
        <f t="shared" si="44"/>
        <v>0</v>
      </c>
      <c r="L579" s="118">
        <f>VLOOKUP(B579,'All Menu'!B:G,6,0)</f>
        <v>16</v>
      </c>
      <c r="M579" s="118">
        <f t="shared" si="45"/>
        <v>0</v>
      </c>
      <c r="N579" s="151">
        <f ca="1">VLOOKUP(B579,'All Menu'!B:H,7,0)</f>
        <v>12.7601</v>
      </c>
    </row>
    <row r="580" spans="1:14" s="158" customFormat="1" ht="14.5">
      <c r="A580" s="157" t="s">
        <v>2021</v>
      </c>
      <c r="B580" s="169">
        <v>50039</v>
      </c>
      <c r="C580" s="158" t="s">
        <v>717</v>
      </c>
      <c r="D580" s="115" t="str">
        <f>VLOOKUP(B580,'All Menu'!B:D,3,0)</f>
        <v>مارنيتد</v>
      </c>
      <c r="E580" s="116">
        <f t="shared" si="46"/>
        <v>9</v>
      </c>
      <c r="F580" s="160">
        <v>30.18</v>
      </c>
      <c r="G580" s="161">
        <v>271.62</v>
      </c>
      <c r="H580" s="115">
        <f>VLOOKUP(B580,'All Menu'!B:J,9,0)</f>
        <v>4.295609075670499</v>
      </c>
      <c r="I580" s="120">
        <f>VLOOKUP(B580,'All Menu'!B:M,12,0)</f>
        <v>0.52271010270327789</v>
      </c>
      <c r="J580" s="114">
        <f t="shared" si="43"/>
        <v>271.62</v>
      </c>
      <c r="K580" s="117">
        <f t="shared" si="44"/>
        <v>0</v>
      </c>
      <c r="L580" s="118">
        <f>VLOOKUP(B580,'All Menu'!B:G,6,0)</f>
        <v>9</v>
      </c>
      <c r="M580" s="118">
        <f t="shared" si="45"/>
        <v>0</v>
      </c>
      <c r="N580" s="151">
        <f ca="1">VLOOKUP(B580,'All Menu'!B:H,7,0)</f>
        <v>40.769999999999996</v>
      </c>
    </row>
    <row r="581" spans="1:14" s="158" customFormat="1" ht="14.5">
      <c r="A581" s="157" t="s">
        <v>2021</v>
      </c>
      <c r="B581" s="169">
        <v>50040</v>
      </c>
      <c r="C581" s="158" t="s">
        <v>719</v>
      </c>
      <c r="D581" s="115" t="str">
        <f>VLOOKUP(B581,'All Menu'!B:D,3,0)</f>
        <v>مارنيتد</v>
      </c>
      <c r="E581" s="116">
        <f t="shared" si="46"/>
        <v>7</v>
      </c>
      <c r="F581" s="160">
        <v>6.19</v>
      </c>
      <c r="G581" s="161">
        <v>43.330000000000005</v>
      </c>
      <c r="H581" s="115">
        <f>VLOOKUP(B581,'All Menu'!B:J,9,0)</f>
        <v>2.5816251162790702</v>
      </c>
      <c r="I581" s="120">
        <f>VLOOKUP(B581,'All Menu'!B:M,12,0)</f>
        <v>0.63119641196013276</v>
      </c>
      <c r="J581" s="114">
        <f t="shared" si="43"/>
        <v>43.330000000000005</v>
      </c>
      <c r="K581" s="117">
        <f t="shared" si="44"/>
        <v>0</v>
      </c>
      <c r="L581" s="118">
        <f>VLOOKUP(B581,'All Menu'!B:G,6,0)</f>
        <v>7</v>
      </c>
      <c r="M581" s="118">
        <f t="shared" si="45"/>
        <v>0</v>
      </c>
      <c r="N581" s="151">
        <f ca="1">VLOOKUP(B581,'All Menu'!B:H,7,0)</f>
        <v>9.82</v>
      </c>
    </row>
    <row r="582" spans="1:14" s="158" customFormat="1" ht="14.5">
      <c r="A582" s="157" t="s">
        <v>2021</v>
      </c>
      <c r="B582" s="169">
        <v>50041</v>
      </c>
      <c r="C582" s="158" t="s">
        <v>1632</v>
      </c>
      <c r="D582" s="115" t="str">
        <f>VLOOKUP(B582,'All Menu'!B:D,3,0)</f>
        <v>مارنيتد</v>
      </c>
      <c r="E582" s="116">
        <f t="shared" si="46"/>
        <v>9</v>
      </c>
      <c r="F582" s="160">
        <v>82.21</v>
      </c>
      <c r="G582" s="161">
        <v>739.89</v>
      </c>
      <c r="H582" s="115">
        <f>VLOOKUP(B582,'All Menu'!B:J,9,0)</f>
        <v>5.3194299361831767</v>
      </c>
      <c r="I582" s="120">
        <f>VLOOKUP(B582,'All Menu'!B:M,12,0)</f>
        <v>0.40895222931298036</v>
      </c>
      <c r="J582" s="114">
        <f t="shared" si="43"/>
        <v>739.89</v>
      </c>
      <c r="K582" s="117">
        <f t="shared" si="44"/>
        <v>0</v>
      </c>
      <c r="L582" s="118">
        <f>VLOOKUP(B582,'All Menu'!B:G,6,0)</f>
        <v>9</v>
      </c>
      <c r="M582" s="118">
        <f t="shared" si="45"/>
        <v>0</v>
      </c>
      <c r="N582" s="151">
        <f ca="1">VLOOKUP(B582,'All Menu'!B:H,7,0)</f>
        <v>109.0855</v>
      </c>
    </row>
    <row r="583" spans="1:14" s="158" customFormat="1" ht="14.5">
      <c r="A583" s="157" t="s">
        <v>2021</v>
      </c>
      <c r="B583" s="169">
        <v>50042</v>
      </c>
      <c r="C583" s="158" t="s">
        <v>799</v>
      </c>
      <c r="D583" s="115" t="str">
        <f>VLOOKUP(B583,'All Menu'!B:D,3,0)</f>
        <v>مارنيتد</v>
      </c>
      <c r="E583" s="116">
        <f t="shared" si="46"/>
        <v>10</v>
      </c>
      <c r="F583" s="160">
        <v>15.69</v>
      </c>
      <c r="G583" s="161">
        <v>156.9</v>
      </c>
      <c r="H583" s="115">
        <f>VLOOKUP(B583,'All Menu'!B:J,9,0)</f>
        <v>3.2840802125553341</v>
      </c>
      <c r="I583" s="120">
        <f>VLOOKUP(B583,'All Menu'!B:M,12,0)</f>
        <v>0.67159197874446652</v>
      </c>
      <c r="J583" s="114">
        <f t="shared" si="43"/>
        <v>156.9</v>
      </c>
      <c r="K583" s="117">
        <f t="shared" si="44"/>
        <v>0</v>
      </c>
      <c r="L583" s="118">
        <f>VLOOKUP(B583,'All Menu'!B:G,6,0)</f>
        <v>10</v>
      </c>
      <c r="M583" s="118">
        <f t="shared" si="45"/>
        <v>0</v>
      </c>
      <c r="N583" s="151">
        <f ca="1">VLOOKUP(B583,'All Menu'!B:H,7,0)</f>
        <v>22.97</v>
      </c>
    </row>
    <row r="584" spans="1:14" s="158" customFormat="1" ht="14.5">
      <c r="A584" s="157" t="s">
        <v>2021</v>
      </c>
      <c r="B584" s="169">
        <v>50048</v>
      </c>
      <c r="C584" s="158" t="s">
        <v>677</v>
      </c>
      <c r="D584" s="115" t="str">
        <f>VLOOKUP(B584,'All Menu'!B:D,3,0)</f>
        <v>دواجن</v>
      </c>
      <c r="E584" s="116">
        <f t="shared" si="46"/>
        <v>8</v>
      </c>
      <c r="F584" s="160">
        <v>16.559999999999999</v>
      </c>
      <c r="G584" s="161">
        <v>132.47999999999999</v>
      </c>
      <c r="H584" s="115">
        <f>VLOOKUP(B584,'All Menu'!B:J,9,0)</f>
        <v>4.186896</v>
      </c>
      <c r="I584" s="120">
        <f>VLOOKUP(B584,'All Menu'!B:M,12,0)</f>
        <v>0.47663800000000001</v>
      </c>
      <c r="J584" s="114">
        <f t="shared" si="43"/>
        <v>132.47999999999999</v>
      </c>
      <c r="K584" s="117">
        <f t="shared" si="44"/>
        <v>0</v>
      </c>
      <c r="L584" s="118">
        <f>VLOOKUP(B584,'All Menu'!B:G,6,0)</f>
        <v>8</v>
      </c>
      <c r="M584" s="118">
        <f t="shared" si="45"/>
        <v>0</v>
      </c>
      <c r="N584" s="151">
        <f ca="1">VLOOKUP(B584,'All Menu'!B:H,7,0)</f>
        <v>22.06</v>
      </c>
    </row>
    <row r="585" spans="1:14" s="158" customFormat="1" ht="14.5">
      <c r="A585" s="157" t="s">
        <v>2021</v>
      </c>
      <c r="B585" s="169">
        <v>60054</v>
      </c>
      <c r="C585" s="158" t="s">
        <v>801</v>
      </c>
      <c r="D585" s="115" t="str">
        <f>VLOOKUP(B585,'All Menu'!B:D,3,0)</f>
        <v>مارنيتد</v>
      </c>
      <c r="E585" s="116">
        <f t="shared" si="46"/>
        <v>10</v>
      </c>
      <c r="F585" s="160">
        <v>2.29</v>
      </c>
      <c r="G585" s="161">
        <v>22.9</v>
      </c>
      <c r="H585" s="115">
        <f>VLOOKUP(B585,'All Menu'!B:J,9,0)</f>
        <v>3.2840802125553341</v>
      </c>
      <c r="I585" s="120">
        <f>VLOOKUP(B585,'All Menu'!B:M,12,0)</f>
        <v>0.67159197874446652</v>
      </c>
      <c r="J585" s="114">
        <f t="shared" si="43"/>
        <v>22.9</v>
      </c>
      <c r="K585" s="117">
        <f t="shared" si="44"/>
        <v>0</v>
      </c>
      <c r="L585" s="118">
        <f>VLOOKUP(B585,'All Menu'!B:G,6,0)</f>
        <v>10</v>
      </c>
      <c r="M585" s="118">
        <f t="shared" si="45"/>
        <v>0</v>
      </c>
      <c r="N585" s="151">
        <f ca="1">VLOOKUP(B585,'All Menu'!B:H,7,0)</f>
        <v>2.29</v>
      </c>
    </row>
    <row r="586" spans="1:14" s="158" customFormat="1" ht="14.5">
      <c r="A586" s="157" t="s">
        <v>2021</v>
      </c>
      <c r="B586" s="169">
        <v>60090</v>
      </c>
      <c r="C586" s="158" t="s">
        <v>1754</v>
      </c>
      <c r="D586" s="115" t="str">
        <f>VLOOKUP(B586,'All Menu'!B:D,3,0)</f>
        <v>لحوم مشكوكة</v>
      </c>
      <c r="E586" s="116">
        <f t="shared" si="46"/>
        <v>20</v>
      </c>
      <c r="F586" s="160">
        <v>2.72</v>
      </c>
      <c r="G586" s="161">
        <v>54.400000000000006</v>
      </c>
      <c r="H586" s="115">
        <f>VLOOKUP(B586,'All Menu'!B:J,9,0)</f>
        <v>8.4789046549479163</v>
      </c>
      <c r="I586" s="120">
        <f>VLOOKUP(B586,'All Menu'!B:M,12,0)</f>
        <v>0.57605476725260418</v>
      </c>
      <c r="J586" s="114">
        <f t="shared" si="43"/>
        <v>54.400000000000006</v>
      </c>
      <c r="K586" s="117">
        <f t="shared" si="44"/>
        <v>0</v>
      </c>
      <c r="L586" s="118">
        <f>VLOOKUP(B586,'All Menu'!B:G,6,0)</f>
        <v>20</v>
      </c>
      <c r="M586" s="118">
        <f t="shared" si="45"/>
        <v>0</v>
      </c>
      <c r="N586" s="151">
        <f ca="1">VLOOKUP(B586,'All Menu'!B:H,7,0)</f>
        <v>2.72</v>
      </c>
    </row>
    <row r="587" spans="1:14" s="158" customFormat="1" ht="14.5">
      <c r="A587" s="157" t="s">
        <v>2021</v>
      </c>
      <c r="B587" s="169">
        <v>60100</v>
      </c>
      <c r="C587" s="158" t="s">
        <v>1846</v>
      </c>
      <c r="D587" s="115" t="str">
        <f>VLOOKUP(B587,'All Menu'!B:D,3,0)</f>
        <v>لحوم مشكوكة</v>
      </c>
      <c r="E587" s="116">
        <f t="shared" si="46"/>
        <v>20</v>
      </c>
      <c r="F587" s="160">
        <v>1.07</v>
      </c>
      <c r="G587" s="161">
        <v>21.400000000000002</v>
      </c>
      <c r="H587" s="115">
        <f>VLOOKUP(B587,'All Menu'!B:J,9,0)</f>
        <v>7.6586855859374996</v>
      </c>
      <c r="I587" s="120">
        <f>VLOOKUP(B587,'All Menu'!B:M,12,0)</f>
        <v>0.61706572070312504</v>
      </c>
      <c r="J587" s="114">
        <f t="shared" si="43"/>
        <v>21.400000000000002</v>
      </c>
      <c r="K587" s="117">
        <f t="shared" si="44"/>
        <v>0</v>
      </c>
      <c r="L587" s="118">
        <f>VLOOKUP(B587,'All Menu'!B:G,6,0)</f>
        <v>20</v>
      </c>
      <c r="M587" s="118">
        <f t="shared" si="45"/>
        <v>0</v>
      </c>
      <c r="N587" s="151">
        <f ca="1">VLOOKUP(B587,'All Menu'!B:H,7,0)</f>
        <v>1.07</v>
      </c>
    </row>
    <row r="588" spans="1:14" s="158" customFormat="1" ht="14.5">
      <c r="A588" s="157" t="s">
        <v>2021</v>
      </c>
      <c r="B588" s="169" t="s">
        <v>1279</v>
      </c>
      <c r="C588" s="158" t="s">
        <v>1767</v>
      </c>
      <c r="D588" s="115" t="str">
        <f>VLOOKUP(B588,'All Menu'!B:D,3,0)</f>
        <v>مارنيتد</v>
      </c>
      <c r="E588" s="116">
        <f t="shared" si="46"/>
        <v>3</v>
      </c>
      <c r="F588" s="160">
        <v>2</v>
      </c>
      <c r="G588" s="161">
        <v>6</v>
      </c>
      <c r="H588" s="115">
        <f>VLOOKUP(B588,'All Menu'!B:J,9,0)</f>
        <v>1.5426662000000002</v>
      </c>
      <c r="I588" s="120">
        <f>VLOOKUP(B588,'All Menu'!B:M,12,0)</f>
        <v>0.48577793333333324</v>
      </c>
      <c r="J588" s="114">
        <f t="shared" si="43"/>
        <v>6</v>
      </c>
      <c r="K588" s="117">
        <f t="shared" si="44"/>
        <v>0</v>
      </c>
      <c r="L588" s="118">
        <f>VLOOKUP(B588,'All Menu'!B:G,6,0)</f>
        <v>3</v>
      </c>
      <c r="M588" s="118">
        <f t="shared" si="45"/>
        <v>0</v>
      </c>
      <c r="N588" s="151">
        <f ca="1">VLOOKUP(B588,'All Menu'!B:H,7,0)</f>
        <v>2</v>
      </c>
    </row>
    <row r="589" spans="1:14" s="158" customFormat="1" ht="14.5">
      <c r="A589" s="157" t="s">
        <v>2021</v>
      </c>
      <c r="B589" s="169" t="s">
        <v>1143</v>
      </c>
      <c r="C589" s="158" t="s">
        <v>1633</v>
      </c>
      <c r="D589" s="115" t="str">
        <f>VLOOKUP(B589,'All Menu'!B:D,3,0)</f>
        <v>مشروبات سفري</v>
      </c>
      <c r="E589" s="116">
        <f t="shared" si="46"/>
        <v>0.30172413793103448</v>
      </c>
      <c r="F589" s="160">
        <v>926.3</v>
      </c>
      <c r="G589" s="161">
        <v>279.48706896551721</v>
      </c>
      <c r="H589" s="115">
        <f>VLOOKUP(B589,'All Menu'!B:J,9,0)</f>
        <v>0.13741666666666666</v>
      </c>
      <c r="I589" s="120">
        <f>VLOOKUP(B589,'All Menu'!B:M,12,0)</f>
        <v>0.5445619047619048</v>
      </c>
      <c r="J589" s="114">
        <f t="shared" si="43"/>
        <v>279.48706896551721</v>
      </c>
      <c r="K589" s="117">
        <f t="shared" si="44"/>
        <v>0</v>
      </c>
      <c r="L589" s="118">
        <f>VLOOKUP(B589,'All Menu'!B:G,6,0)</f>
        <v>0.30172413793103448</v>
      </c>
      <c r="M589" s="118">
        <f t="shared" si="45"/>
        <v>0</v>
      </c>
      <c r="N589" s="151">
        <f ca="1">VLOOKUP(B589,'All Menu'!B:H,7,0)</f>
        <v>1400.1</v>
      </c>
    </row>
    <row r="590" spans="1:14" s="158" customFormat="1" ht="14.5">
      <c r="A590" s="157" t="s">
        <v>2021</v>
      </c>
      <c r="B590" s="169" t="s">
        <v>1144</v>
      </c>
      <c r="C590" s="158" t="s">
        <v>1635</v>
      </c>
      <c r="D590" s="115" t="str">
        <f>VLOOKUP(B590,'All Menu'!B:D,3,0)</f>
        <v>مشروبات سفري</v>
      </c>
      <c r="E590" s="116">
        <f t="shared" si="46"/>
        <v>0.30172413793103448</v>
      </c>
      <c r="F590" s="160">
        <v>5</v>
      </c>
      <c r="G590" s="161">
        <v>1.5086206896551724</v>
      </c>
      <c r="H590" s="115">
        <f>VLOOKUP(B590,'All Menu'!B:J,9,0)</f>
        <v>0.13700000000000001</v>
      </c>
      <c r="I590" s="120">
        <f>VLOOKUP(B590,'All Menu'!B:M,12,0)</f>
        <v>0.54594285714285706</v>
      </c>
      <c r="J590" s="114">
        <f t="shared" si="43"/>
        <v>1.5086206896551724</v>
      </c>
      <c r="K590" s="117">
        <f t="shared" si="44"/>
        <v>0</v>
      </c>
      <c r="L590" s="118">
        <f>VLOOKUP(B590,'All Menu'!B:G,6,0)</f>
        <v>0.30172413793103448</v>
      </c>
      <c r="M590" s="118">
        <f t="shared" si="45"/>
        <v>0</v>
      </c>
      <c r="N590" s="151">
        <f ca="1">VLOOKUP(B590,'All Menu'!B:H,7,0)</f>
        <v>82.86</v>
      </c>
    </row>
    <row r="591" spans="1:14" s="158" customFormat="1" ht="14.5">
      <c r="A591" s="157" t="s">
        <v>2021</v>
      </c>
      <c r="B591" s="169" t="s">
        <v>1145</v>
      </c>
      <c r="C591" s="158" t="s">
        <v>1636</v>
      </c>
      <c r="D591" s="115" t="str">
        <f>VLOOKUP(B591,'All Menu'!B:D,3,0)</f>
        <v>مشروبات سفري</v>
      </c>
      <c r="E591" s="116">
        <f t="shared" si="46"/>
        <v>0.30172413793103448</v>
      </c>
      <c r="F591" s="160">
        <v>17</v>
      </c>
      <c r="G591" s="161">
        <v>5.1293103448275863</v>
      </c>
      <c r="H591" s="115">
        <f>VLOOKUP(B591,'All Menu'!B:J,9,0)</f>
        <v>0.13700000000000001</v>
      </c>
      <c r="I591" s="120">
        <f>VLOOKUP(B591,'All Menu'!B:M,12,0)</f>
        <v>0.54594285714285706</v>
      </c>
      <c r="J591" s="114">
        <f t="shared" si="43"/>
        <v>5.1293103448275863</v>
      </c>
      <c r="K591" s="117">
        <f t="shared" si="44"/>
        <v>0</v>
      </c>
      <c r="L591" s="118">
        <f>VLOOKUP(B591,'All Menu'!B:G,6,0)</f>
        <v>0.30172413793103448</v>
      </c>
      <c r="M591" s="118">
        <f t="shared" si="45"/>
        <v>0</v>
      </c>
      <c r="N591" s="151">
        <f ca="1">VLOOKUP(B591,'All Menu'!B:H,7,0)</f>
        <v>196</v>
      </c>
    </row>
    <row r="592" spans="1:14" s="158" customFormat="1" ht="14.5">
      <c r="A592" s="157" t="s">
        <v>2021</v>
      </c>
      <c r="B592" s="169" t="s">
        <v>1146</v>
      </c>
      <c r="C592" s="158" t="s">
        <v>1637</v>
      </c>
      <c r="D592" s="115" t="str">
        <f>VLOOKUP(B592,'All Menu'!B:D,3,0)</f>
        <v>مشروبات سفري</v>
      </c>
      <c r="E592" s="116">
        <f t="shared" si="46"/>
        <v>0.30172413793103448</v>
      </c>
      <c r="F592" s="160">
        <v>5</v>
      </c>
      <c r="G592" s="161">
        <v>1.5086206896551724</v>
      </c>
      <c r="H592" s="115">
        <f>VLOOKUP(B592,'All Menu'!B:J,9,0)</f>
        <v>0.13700000000000001</v>
      </c>
      <c r="I592" s="120">
        <f>VLOOKUP(B592,'All Menu'!B:M,12,0)</f>
        <v>0.54594285714285706</v>
      </c>
      <c r="J592" s="114">
        <f t="shared" si="43"/>
        <v>1.5086206896551724</v>
      </c>
      <c r="K592" s="117">
        <f t="shared" si="44"/>
        <v>0</v>
      </c>
      <c r="L592" s="118">
        <f>VLOOKUP(B592,'All Menu'!B:G,6,0)</f>
        <v>0.30172413793103448</v>
      </c>
      <c r="M592" s="118">
        <f t="shared" si="45"/>
        <v>0</v>
      </c>
      <c r="N592" s="151">
        <f ca="1">VLOOKUP(B592,'All Menu'!B:H,7,0)</f>
        <v>91.5</v>
      </c>
    </row>
    <row r="593" spans="1:14" s="158" customFormat="1" ht="14.5">
      <c r="A593" s="157" t="s">
        <v>2021</v>
      </c>
      <c r="B593" s="169" t="s">
        <v>1147</v>
      </c>
      <c r="C593" s="158" t="s">
        <v>1638</v>
      </c>
      <c r="D593" s="115" t="str">
        <f>VLOOKUP(B593,'All Menu'!B:D,3,0)</f>
        <v>مشروبات سفري</v>
      </c>
      <c r="E593" s="116">
        <f t="shared" si="46"/>
        <v>0.30172413793103448</v>
      </c>
      <c r="F593" s="160">
        <v>11</v>
      </c>
      <c r="G593" s="161">
        <v>3.318965517241379</v>
      </c>
      <c r="H593" s="115">
        <f>VLOOKUP(B593,'All Menu'!B:J,9,0)</f>
        <v>0.13700000000000001</v>
      </c>
      <c r="I593" s="120">
        <f>VLOOKUP(B593,'All Menu'!B:M,12,0)</f>
        <v>0.54594285714285706</v>
      </c>
      <c r="J593" s="114">
        <f t="shared" si="43"/>
        <v>3.318965517241379</v>
      </c>
      <c r="K593" s="117">
        <f t="shared" si="44"/>
        <v>0</v>
      </c>
      <c r="L593" s="118">
        <f>VLOOKUP(B593,'All Menu'!B:G,6,0)</f>
        <v>0.30172413793103448</v>
      </c>
      <c r="M593" s="118">
        <f t="shared" si="45"/>
        <v>0</v>
      </c>
      <c r="N593" s="151">
        <f ca="1">VLOOKUP(B593,'All Menu'!B:H,7,0)</f>
        <v>33.700000000000003</v>
      </c>
    </row>
    <row r="594" spans="1:14" s="158" customFormat="1" ht="14.5">
      <c r="A594" s="157" t="s">
        <v>2021</v>
      </c>
      <c r="B594" s="169" t="s">
        <v>1149</v>
      </c>
      <c r="C594" s="158" t="s">
        <v>1639</v>
      </c>
      <c r="D594" s="115" t="str">
        <f>VLOOKUP(B594,'All Menu'!B:D,3,0)</f>
        <v>مشروبات سفري</v>
      </c>
      <c r="E594" s="116">
        <f t="shared" si="46"/>
        <v>0.43103448275862072</v>
      </c>
      <c r="F594" s="160">
        <v>506.5</v>
      </c>
      <c r="G594" s="161">
        <v>218.31896551724139</v>
      </c>
      <c r="H594" s="115">
        <f>VLOOKUP(B594,'All Menu'!B:J,9,0)</f>
        <v>0.4</v>
      </c>
      <c r="I594" s="120">
        <f>VLOOKUP(B594,'All Menu'!B:M,12,0)</f>
        <v>7.2000000000000008E-2</v>
      </c>
      <c r="J594" s="114">
        <f t="shared" si="43"/>
        <v>218.31896551724139</v>
      </c>
      <c r="K594" s="117">
        <f t="shared" si="44"/>
        <v>0</v>
      </c>
      <c r="L594" s="118">
        <f>VLOOKUP(B594,'All Menu'!B:G,6,0)</f>
        <v>0.43103448275862072</v>
      </c>
      <c r="M594" s="118">
        <f t="shared" si="45"/>
        <v>0</v>
      </c>
      <c r="N594" s="151">
        <f ca="1">VLOOKUP(B594,'All Menu'!B:H,7,0)</f>
        <v>903.51099999999997</v>
      </c>
    </row>
    <row r="595" spans="1:14" s="158" customFormat="1" ht="14.5">
      <c r="A595" s="157" t="s">
        <v>2021</v>
      </c>
      <c r="B595" s="169" t="s">
        <v>1150</v>
      </c>
      <c r="C595" s="158" t="s">
        <v>1640</v>
      </c>
      <c r="D595" s="115" t="str">
        <f>VLOOKUP(B595,'All Menu'!B:D,3,0)</f>
        <v>مشروبات سفري</v>
      </c>
      <c r="E595" s="116">
        <f t="shared" si="46"/>
        <v>1.2923551039050012</v>
      </c>
      <c r="F595" s="160">
        <v>151</v>
      </c>
      <c r="G595" s="161">
        <v>195.14562068965517</v>
      </c>
      <c r="H595" s="115">
        <f>VLOOKUP(B595,'All Menu'!B:J,9,0)</f>
        <v>0.50141762452107275</v>
      </c>
      <c r="I595" s="120">
        <f>VLOOKUP(B595,'All Menu'!B:M,12,0)</f>
        <v>0.61223703703703714</v>
      </c>
      <c r="J595" s="114">
        <f t="shared" si="43"/>
        <v>195.25862068965517</v>
      </c>
      <c r="K595" s="117">
        <f t="shared" si="44"/>
        <v>-0.11299999999999955</v>
      </c>
      <c r="L595" s="118">
        <f>VLOOKUP(B595,'All Menu'!B:G,6,0)</f>
        <v>1.2931034482758621</v>
      </c>
      <c r="M595" s="118">
        <f t="shared" si="45"/>
        <v>-7.4834437086090944E-4</v>
      </c>
      <c r="N595" s="151">
        <f ca="1">VLOOKUP(B595,'All Menu'!B:H,7,0)</f>
        <v>324.75</v>
      </c>
    </row>
    <row r="596" spans="1:14" s="158" customFormat="1" ht="14.5">
      <c r="A596" s="157" t="s">
        <v>2021</v>
      </c>
      <c r="B596" s="169" t="s">
        <v>1142</v>
      </c>
      <c r="C596" s="158" t="s">
        <v>1479</v>
      </c>
      <c r="D596" s="115" t="str">
        <f>VLOOKUP(B596,'All Menu'!B:D,3,0)</f>
        <v>مشروبات سفري</v>
      </c>
      <c r="E596" s="116">
        <f t="shared" si="46"/>
        <v>0.30172413793103442</v>
      </c>
      <c r="F596" s="160">
        <v>109</v>
      </c>
      <c r="G596" s="161">
        <v>32.887931034482754</v>
      </c>
      <c r="H596" s="115">
        <f>VLOOKUP(B596,'All Menu'!B:J,9,0)</f>
        <v>8.9833333333333334E-2</v>
      </c>
      <c r="I596" s="120">
        <f>VLOOKUP(B596,'All Menu'!B:M,12,0)</f>
        <v>0.70226666666666671</v>
      </c>
      <c r="J596" s="114">
        <f t="shared" si="43"/>
        <v>32.887931034482754</v>
      </c>
      <c r="K596" s="117">
        <f t="shared" si="44"/>
        <v>0</v>
      </c>
      <c r="L596" s="118">
        <f>VLOOKUP(B596,'All Menu'!B:G,6,0)</f>
        <v>0.30172413793103448</v>
      </c>
      <c r="M596" s="118">
        <f t="shared" si="45"/>
        <v>0</v>
      </c>
      <c r="N596" s="151">
        <f ca="1">VLOOKUP(B596,'All Menu'!B:H,7,0)</f>
        <v>174.4</v>
      </c>
    </row>
    <row r="597" spans="1:14" s="158" customFormat="1" ht="14.5">
      <c r="A597" s="157" t="s">
        <v>2021</v>
      </c>
      <c r="B597" s="169" t="s">
        <v>1217</v>
      </c>
      <c r="C597" s="158" t="s">
        <v>1768</v>
      </c>
      <c r="D597" s="115" t="str">
        <f>VLOOKUP(B597,'All Menu'!B:D,3,0)</f>
        <v>مشروبات سفري</v>
      </c>
      <c r="E597" s="116">
        <f t="shared" ref="E597:E605" si="47">G597/F597</f>
        <v>0.51724137931034486</v>
      </c>
      <c r="F597" s="160">
        <v>7</v>
      </c>
      <c r="G597" s="161">
        <v>3.6206896551724141</v>
      </c>
      <c r="H597" s="115">
        <f>VLOOKUP(B597,'All Menu'!B:J,9,0)</f>
        <v>0.39200000000000002</v>
      </c>
      <c r="I597" s="120">
        <f>VLOOKUP(B597,'All Menu'!B:M,12,0)</f>
        <v>0.24213333333333337</v>
      </c>
      <c r="J597" s="114">
        <f t="shared" ref="J597:J605" si="48">F597*L597</f>
        <v>3.6206896551724141</v>
      </c>
      <c r="K597" s="117">
        <f t="shared" ref="K597:K605" si="49">G597-J597</f>
        <v>0</v>
      </c>
      <c r="L597" s="118">
        <f>VLOOKUP(B597,'All Menu'!B:G,6,0)</f>
        <v>0.51724137931034486</v>
      </c>
      <c r="M597" s="118">
        <f t="shared" ref="M597:M605" si="50">E597-L597</f>
        <v>0</v>
      </c>
      <c r="N597" s="151">
        <f ca="1">VLOOKUP(B597,'All Menu'!B:H,7,0)</f>
        <v>23.3</v>
      </c>
    </row>
    <row r="598" spans="1:14" s="158" customFormat="1" ht="14.5">
      <c r="A598" s="157" t="s">
        <v>2021</v>
      </c>
      <c r="B598" s="169" t="s">
        <v>1218</v>
      </c>
      <c r="C598" s="158" t="s">
        <v>1480</v>
      </c>
      <c r="D598" s="115" t="str">
        <f>VLOOKUP(B598,'All Menu'!B:D,3,0)</f>
        <v>مشروبات سفري</v>
      </c>
      <c r="E598" s="116">
        <f t="shared" si="47"/>
        <v>0.51724137931034486</v>
      </c>
      <c r="F598" s="160">
        <v>5</v>
      </c>
      <c r="G598" s="161">
        <v>2.5862068965517242</v>
      </c>
      <c r="H598" s="115">
        <f>VLOOKUP(B598,'All Menu'!B:J,9,0)</f>
        <v>0.32</v>
      </c>
      <c r="I598" s="120">
        <f>VLOOKUP(B598,'All Menu'!B:M,12,0)</f>
        <v>0.38133333333333336</v>
      </c>
      <c r="J598" s="114">
        <f t="shared" si="48"/>
        <v>2.5862068965517242</v>
      </c>
      <c r="K598" s="117">
        <f t="shared" si="49"/>
        <v>0</v>
      </c>
      <c r="L598" s="118">
        <f>VLOOKUP(B598,'All Menu'!B:G,6,0)</f>
        <v>0.51724137931034486</v>
      </c>
      <c r="M598" s="118">
        <f t="shared" si="50"/>
        <v>0</v>
      </c>
      <c r="N598" s="151">
        <f ca="1">VLOOKUP(B598,'All Menu'!B:H,7,0)</f>
        <v>11</v>
      </c>
    </row>
    <row r="599" spans="1:14" s="158" customFormat="1" ht="14.5">
      <c r="A599" s="157" t="s">
        <v>2021</v>
      </c>
      <c r="B599" s="169" t="s">
        <v>1219</v>
      </c>
      <c r="C599" s="158" t="s">
        <v>1482</v>
      </c>
      <c r="D599" s="115" t="str">
        <f>VLOOKUP(B599,'All Menu'!B:D,3,0)</f>
        <v>مشروبات سفري</v>
      </c>
      <c r="E599" s="116">
        <f t="shared" si="47"/>
        <v>0.51724137931034486</v>
      </c>
      <c r="F599" s="160">
        <v>72</v>
      </c>
      <c r="G599" s="161">
        <v>37.241379310344833</v>
      </c>
      <c r="H599" s="115">
        <f>VLOOKUP(B599,'All Menu'!B:J,9,0)</f>
        <v>0.39200000000000002</v>
      </c>
      <c r="I599" s="120">
        <f>VLOOKUP(B599,'All Menu'!B:M,12,0)</f>
        <v>0.24213333333333337</v>
      </c>
      <c r="J599" s="114">
        <f t="shared" si="48"/>
        <v>37.241379310344833</v>
      </c>
      <c r="K599" s="117">
        <f t="shared" si="49"/>
        <v>0</v>
      </c>
      <c r="L599" s="118">
        <f>VLOOKUP(B599,'All Menu'!B:G,6,0)</f>
        <v>0.51724137931034486</v>
      </c>
      <c r="M599" s="118">
        <f t="shared" si="50"/>
        <v>0</v>
      </c>
      <c r="N599" s="151">
        <f ca="1">VLOOKUP(B599,'All Menu'!B:H,7,0)</f>
        <v>101</v>
      </c>
    </row>
    <row r="600" spans="1:14" s="158" customFormat="1" ht="14.5">
      <c r="A600" s="157" t="s">
        <v>2021</v>
      </c>
      <c r="B600" s="169" t="s">
        <v>1220</v>
      </c>
      <c r="C600" s="158" t="s">
        <v>1641</v>
      </c>
      <c r="D600" s="115" t="str">
        <f>VLOOKUP(B600,'All Menu'!B:D,3,0)</f>
        <v>مشروبات سفري</v>
      </c>
      <c r="E600" s="116">
        <f t="shared" si="47"/>
        <v>0.51724137931034486</v>
      </c>
      <c r="F600" s="160">
        <v>17</v>
      </c>
      <c r="G600" s="161">
        <v>8.793103448275863</v>
      </c>
      <c r="H600" s="115">
        <f>VLOOKUP(B600,'All Menu'!B:J,9,0)</f>
        <v>0.32</v>
      </c>
      <c r="I600" s="120">
        <f>VLOOKUP(B600,'All Menu'!B:M,12,0)</f>
        <v>0.38133333333333336</v>
      </c>
      <c r="J600" s="114">
        <f t="shared" si="48"/>
        <v>8.793103448275863</v>
      </c>
      <c r="K600" s="117">
        <f t="shared" si="49"/>
        <v>0</v>
      </c>
      <c r="L600" s="118">
        <f>VLOOKUP(B600,'All Menu'!B:G,6,0)</f>
        <v>0.51724137931034486</v>
      </c>
      <c r="M600" s="118">
        <f t="shared" si="50"/>
        <v>0</v>
      </c>
      <c r="N600" s="151">
        <f ca="1">VLOOKUP(B600,'All Menu'!B:H,7,0)</f>
        <v>20</v>
      </c>
    </row>
    <row r="601" spans="1:14" s="158" customFormat="1" ht="14.5">
      <c r="A601" s="157" t="s">
        <v>2021</v>
      </c>
      <c r="B601" s="169" t="s">
        <v>1290</v>
      </c>
      <c r="C601" s="158" t="s">
        <v>332</v>
      </c>
      <c r="D601" s="115" t="str">
        <f>VLOOKUP(B601,'All Menu'!B:D,3,0)</f>
        <v>مشروبات سفري</v>
      </c>
      <c r="E601" s="116">
        <f t="shared" si="47"/>
        <v>2.1551724137931036</v>
      </c>
      <c r="F601" s="160">
        <v>20</v>
      </c>
      <c r="G601" s="161">
        <v>43.103448275862071</v>
      </c>
      <c r="H601" s="115">
        <f>VLOOKUP(B601,'All Menu'!B:J,9,0)</f>
        <v>1.6</v>
      </c>
      <c r="I601" s="120">
        <f>VLOOKUP(B601,'All Menu'!B:M,12,0)</f>
        <v>0.25760000000000005</v>
      </c>
      <c r="J601" s="114">
        <f t="shared" si="48"/>
        <v>43.103448275862071</v>
      </c>
      <c r="K601" s="117">
        <f t="shared" si="49"/>
        <v>0</v>
      </c>
      <c r="L601" s="118">
        <f>VLOOKUP(B601,'All Menu'!B:G,6,0)</f>
        <v>2.1551724137931036</v>
      </c>
      <c r="M601" s="118">
        <f t="shared" si="50"/>
        <v>0</v>
      </c>
      <c r="N601" s="151">
        <f ca="1">VLOOKUP(B601,'All Menu'!B:H,7,0)</f>
        <v>20</v>
      </c>
    </row>
    <row r="602" spans="1:14" s="158" customFormat="1" ht="14.5">
      <c r="A602" s="157" t="s">
        <v>2021</v>
      </c>
      <c r="B602" s="169" t="s">
        <v>2111</v>
      </c>
      <c r="C602" s="158" t="s">
        <v>3006</v>
      </c>
      <c r="D602" s="115" t="str">
        <f>VLOOKUP(B602,'All Menu'!B:D,3,0)</f>
        <v>مشروبات سفري</v>
      </c>
      <c r="E602" s="116">
        <f t="shared" si="47"/>
        <v>0.43103448275862072</v>
      </c>
      <c r="F602" s="160">
        <v>66</v>
      </c>
      <c r="G602" s="161">
        <v>28.448275862068968</v>
      </c>
      <c r="H602" s="115">
        <f>VLOOKUP(B602,'All Menu'!B:J,9,0)</f>
        <v>0.2155</v>
      </c>
      <c r="I602" s="120">
        <f>VLOOKUP(B602,'All Menu'!B:M,12,0)</f>
        <v>0.50004000000000004</v>
      </c>
      <c r="J602" s="114">
        <f t="shared" si="48"/>
        <v>28.448275862068968</v>
      </c>
      <c r="K602" s="117">
        <f t="shared" si="49"/>
        <v>0</v>
      </c>
      <c r="L602" s="118">
        <f>VLOOKUP(B602,'All Menu'!B:G,6,0)</f>
        <v>0.43103448275862072</v>
      </c>
      <c r="M602" s="118">
        <f t="shared" si="50"/>
        <v>0</v>
      </c>
      <c r="N602" s="151">
        <f ca="1">VLOOKUP(B602,'All Menu'!B:H,7,0)</f>
        <v>143</v>
      </c>
    </row>
    <row r="603" spans="1:14" s="158" customFormat="1" ht="14.5">
      <c r="A603" s="157" t="s">
        <v>2021</v>
      </c>
      <c r="B603" s="169" t="s">
        <v>2113</v>
      </c>
      <c r="C603" s="158" t="s">
        <v>2114</v>
      </c>
      <c r="D603" s="115" t="str">
        <f>VLOOKUP(B603,'All Menu'!B:D,3,0)</f>
        <v>مشروبات سفري</v>
      </c>
      <c r="E603" s="116">
        <f t="shared" si="47"/>
        <v>0.43103448275862072</v>
      </c>
      <c r="F603" s="160">
        <v>4</v>
      </c>
      <c r="G603" s="161">
        <v>1.7241379310344829</v>
      </c>
      <c r="H603" s="115">
        <f>VLOOKUP(B603,'All Menu'!B:J,9,0)</f>
        <v>0.2155</v>
      </c>
      <c r="I603" s="120">
        <f>VLOOKUP(B603,'All Menu'!B:M,12,0)</f>
        <v>0.50004000000000004</v>
      </c>
      <c r="J603" s="114">
        <f t="shared" si="48"/>
        <v>1.7241379310344829</v>
      </c>
      <c r="K603" s="117">
        <f t="shared" si="49"/>
        <v>0</v>
      </c>
      <c r="L603" s="118">
        <f>VLOOKUP(B603,'All Menu'!B:G,6,0)</f>
        <v>0.43103448275862072</v>
      </c>
      <c r="M603" s="118">
        <f t="shared" si="50"/>
        <v>0</v>
      </c>
      <c r="N603" s="151">
        <f ca="1">VLOOKUP(B603,'All Menu'!B:H,7,0)</f>
        <v>7</v>
      </c>
    </row>
    <row r="604" spans="1:14" s="158" customFormat="1" ht="14.5">
      <c r="A604" s="157" t="s">
        <v>2021</v>
      </c>
      <c r="B604" s="169" t="s">
        <v>2115</v>
      </c>
      <c r="C604" s="158" t="s">
        <v>2116</v>
      </c>
      <c r="D604" s="115" t="str">
        <f>VLOOKUP(B604,'All Menu'!B:D,3,0)</f>
        <v>مشروبات سفري</v>
      </c>
      <c r="E604" s="116">
        <f t="shared" si="47"/>
        <v>0.43103448275862072</v>
      </c>
      <c r="F604" s="160">
        <v>16</v>
      </c>
      <c r="G604" s="161">
        <v>6.8965517241379315</v>
      </c>
      <c r="H604" s="115">
        <f>VLOOKUP(B604,'All Menu'!B:J,9,0)</f>
        <v>0.2155</v>
      </c>
      <c r="I604" s="120">
        <f>VLOOKUP(B604,'All Menu'!B:M,12,0)</f>
        <v>0.50004000000000004</v>
      </c>
      <c r="J604" s="114">
        <f t="shared" si="48"/>
        <v>6.8965517241379315</v>
      </c>
      <c r="K604" s="117">
        <f t="shared" si="49"/>
        <v>0</v>
      </c>
      <c r="L604" s="118">
        <f>VLOOKUP(B604,'All Menu'!B:G,6,0)</f>
        <v>0.43103448275862072</v>
      </c>
      <c r="M604" s="118">
        <f t="shared" si="50"/>
        <v>0</v>
      </c>
      <c r="N604" s="151">
        <f ca="1">VLOOKUP(B604,'All Menu'!B:H,7,0)</f>
        <v>42</v>
      </c>
    </row>
    <row r="605" spans="1:14" s="158" customFormat="1" ht="14.5">
      <c r="A605" s="157" t="s">
        <v>2021</v>
      </c>
      <c r="B605" s="169" t="s">
        <v>2117</v>
      </c>
      <c r="C605" s="158" t="s">
        <v>3007</v>
      </c>
      <c r="D605" s="115" t="str">
        <f>VLOOKUP(B605,'All Menu'!B:D,3,0)</f>
        <v>مشروبات سفري</v>
      </c>
      <c r="E605" s="116">
        <f t="shared" si="47"/>
        <v>0.43103448275862072</v>
      </c>
      <c r="F605" s="160">
        <v>4</v>
      </c>
      <c r="G605" s="161">
        <v>1.7241379310344829</v>
      </c>
      <c r="H605" s="115">
        <f>VLOOKUP(B605,'All Menu'!B:J,9,0)</f>
        <v>0.2155</v>
      </c>
      <c r="I605" s="120">
        <f>VLOOKUP(B605,'All Menu'!B:M,12,0)</f>
        <v>0.50004000000000004</v>
      </c>
      <c r="J605" s="114">
        <f t="shared" si="48"/>
        <v>1.7241379310344829</v>
      </c>
      <c r="K605" s="117">
        <f t="shared" si="49"/>
        <v>0</v>
      </c>
      <c r="L605" s="118">
        <f>VLOOKUP(B605,'All Menu'!B:G,6,0)</f>
        <v>0.43103448275862072</v>
      </c>
      <c r="M605" s="118">
        <f t="shared" si="50"/>
        <v>0</v>
      </c>
      <c r="N605" s="151">
        <f ca="1">VLOOKUP(B605,'All Menu'!B:H,7,0)</f>
        <v>6</v>
      </c>
    </row>
    <row r="606" spans="1:14" s="113" customFormat="1" ht="14.5">
      <c r="A606" s="156" t="s">
        <v>2022</v>
      </c>
      <c r="B606" s="166" t="s">
        <v>995</v>
      </c>
      <c r="C606" s="113" t="s">
        <v>1333</v>
      </c>
      <c r="D606" s="115" t="str">
        <f>VLOOKUP(B606,'All Menu'!B:D,3,0)</f>
        <v>اطباق اليوم صالة</v>
      </c>
      <c r="E606" s="116">
        <f t="shared" ref="E606:E669" si="51">G606/F606</f>
        <v>3.2327586206896552</v>
      </c>
      <c r="F606" s="119">
        <v>1</v>
      </c>
      <c r="G606" s="116">
        <v>3.2327586206896552</v>
      </c>
      <c r="H606" s="115">
        <f>VLOOKUP(B606,'All Menu'!B:J,9,0)</f>
        <v>1.2211814431156764</v>
      </c>
      <c r="I606" s="120">
        <f>VLOOKUP(B606,'All Menu'!B:M,12,0)</f>
        <v>0.62224787359621736</v>
      </c>
      <c r="J606" s="114">
        <f t="shared" ref="J606:J668" si="52">F606*L606</f>
        <v>3.2327586206896552</v>
      </c>
      <c r="K606" s="117">
        <f t="shared" ref="K606:K668" si="53">G606-J606</f>
        <v>0</v>
      </c>
      <c r="L606" s="118">
        <f>VLOOKUP(B606,'All Menu'!B:G,6,0)</f>
        <v>3.2327586206896552</v>
      </c>
      <c r="M606" s="118">
        <f t="shared" ref="M606:M668" si="54">E606-L606</f>
        <v>0</v>
      </c>
      <c r="N606" s="151">
        <f ca="1">VLOOKUP(B606,'All Menu'!B:H,7,0)</f>
        <v>1</v>
      </c>
    </row>
    <row r="607" spans="1:14" s="113" customFormat="1" ht="14.5">
      <c r="A607" s="156" t="s">
        <v>2022</v>
      </c>
      <c r="B607" s="166" t="s">
        <v>1039</v>
      </c>
      <c r="C607" s="113" t="s">
        <v>1335</v>
      </c>
      <c r="D607" s="115" t="str">
        <f>VLOOKUP(B607,'All Menu'!B:D,3,0)</f>
        <v>اطباق اليوم صالة</v>
      </c>
      <c r="E607" s="116">
        <f t="shared" si="51"/>
        <v>5.1293103448275863</v>
      </c>
      <c r="F607" s="119">
        <v>2</v>
      </c>
      <c r="G607" s="116">
        <v>10.258620689655173</v>
      </c>
      <c r="H607" s="115">
        <f>VLOOKUP(B607,'All Menu'!B:J,9,0)</f>
        <v>1.4571450580459773</v>
      </c>
      <c r="I607" s="120">
        <f>VLOOKUP(B607,'All Menu'!B:M,12,0)</f>
        <v>0.71591793826330519</v>
      </c>
      <c r="J607" s="114">
        <f t="shared" si="52"/>
        <v>10.258620689655173</v>
      </c>
      <c r="K607" s="117">
        <f t="shared" si="53"/>
        <v>0</v>
      </c>
      <c r="L607" s="118">
        <f>VLOOKUP(B607,'All Menu'!B:G,6,0)</f>
        <v>5.1293103448275863</v>
      </c>
      <c r="M607" s="118">
        <f t="shared" si="54"/>
        <v>0</v>
      </c>
      <c r="N607" s="151">
        <f ca="1">VLOOKUP(B607,'All Menu'!B:H,7,0)</f>
        <v>2</v>
      </c>
    </row>
    <row r="608" spans="1:14" s="113" customFormat="1" ht="14.5">
      <c r="A608" s="156" t="s">
        <v>2022</v>
      </c>
      <c r="B608" s="166" t="s">
        <v>1007</v>
      </c>
      <c r="C608" s="113" t="s">
        <v>1336</v>
      </c>
      <c r="D608" s="115" t="str">
        <f>VLOOKUP(B608,'All Menu'!B:D,3,0)</f>
        <v>اطباق اليوم صالة</v>
      </c>
      <c r="E608" s="116">
        <f t="shared" si="51"/>
        <v>3.2327586206896552</v>
      </c>
      <c r="F608" s="119">
        <v>2</v>
      </c>
      <c r="G608" s="116">
        <v>6.4655172413793105</v>
      </c>
      <c r="H608" s="115">
        <f>VLOOKUP(B608,'All Menu'!B:J,9,0)</f>
        <v>1.5578187180102518</v>
      </c>
      <c r="I608" s="120">
        <f>VLOOKUP(B608,'All Menu'!B:M,12,0)</f>
        <v>0.51811474322882878</v>
      </c>
      <c r="J608" s="114">
        <f t="shared" si="52"/>
        <v>6.4655172413793105</v>
      </c>
      <c r="K608" s="117">
        <f t="shared" si="53"/>
        <v>0</v>
      </c>
      <c r="L608" s="118">
        <f>VLOOKUP(B608,'All Menu'!B:G,6,0)</f>
        <v>3.2327586206896552</v>
      </c>
      <c r="M608" s="118">
        <f t="shared" si="54"/>
        <v>0</v>
      </c>
      <c r="N608" s="151">
        <f ca="1">VLOOKUP(B608,'All Menu'!B:H,7,0)</f>
        <v>2</v>
      </c>
    </row>
    <row r="609" spans="1:14" s="113" customFormat="1" ht="14.5">
      <c r="A609" s="156" t="s">
        <v>2022</v>
      </c>
      <c r="B609" s="166" t="s">
        <v>1015</v>
      </c>
      <c r="C609" s="113" t="s">
        <v>1337</v>
      </c>
      <c r="D609" s="115" t="str">
        <f>VLOOKUP(B609,'All Menu'!B:D,3,0)</f>
        <v>اطباق اليوم صالة</v>
      </c>
      <c r="E609" s="116">
        <f t="shared" si="51"/>
        <v>4.4396551724137936</v>
      </c>
      <c r="F609" s="119">
        <v>4</v>
      </c>
      <c r="G609" s="116">
        <v>17.758620689655174</v>
      </c>
      <c r="H609" s="115">
        <f>VLOOKUP(B609,'All Menu'!B:J,9,0)</f>
        <v>1.7893961972969561</v>
      </c>
      <c r="I609" s="120">
        <f>VLOOKUP(B609,'All Menu'!B:M,12,0)</f>
        <v>0.59695153614282159</v>
      </c>
      <c r="J609" s="114">
        <f t="shared" si="52"/>
        <v>17.758620689655174</v>
      </c>
      <c r="K609" s="117">
        <f t="shared" si="53"/>
        <v>0</v>
      </c>
      <c r="L609" s="118">
        <f>VLOOKUP(B609,'All Menu'!B:G,6,0)</f>
        <v>4.4396551724137936</v>
      </c>
      <c r="M609" s="118">
        <f t="shared" si="54"/>
        <v>0</v>
      </c>
      <c r="N609" s="151">
        <f ca="1">VLOOKUP(B609,'All Menu'!B:H,7,0)</f>
        <v>4</v>
      </c>
    </row>
    <row r="610" spans="1:14" s="113" customFormat="1" ht="14.5">
      <c r="A610" s="156" t="s">
        <v>2022</v>
      </c>
      <c r="B610" s="166" t="s">
        <v>876</v>
      </c>
      <c r="C610" s="113" t="s">
        <v>1339</v>
      </c>
      <c r="D610" s="115" t="str">
        <f>VLOOKUP(B610,'All Menu'!B:D,3,0)</f>
        <v>اطباق اليوم صالة</v>
      </c>
      <c r="E610" s="116">
        <f t="shared" si="51"/>
        <v>3.2327586206896552</v>
      </c>
      <c r="F610" s="119">
        <v>2</v>
      </c>
      <c r="G610" s="116">
        <v>6.4655172413793105</v>
      </c>
      <c r="H610" s="115">
        <f>VLOOKUP(B610,'All Menu'!B:J,9,0)</f>
        <v>1.2367311555555558</v>
      </c>
      <c r="I610" s="120">
        <f>VLOOKUP(B610,'All Menu'!B:M,12,0)</f>
        <v>0.61743782921481472</v>
      </c>
      <c r="J610" s="114">
        <f t="shared" si="52"/>
        <v>6.4655172413793105</v>
      </c>
      <c r="K610" s="117">
        <f t="shared" si="53"/>
        <v>0</v>
      </c>
      <c r="L610" s="118">
        <f>VLOOKUP(B610,'All Menu'!B:G,6,0)</f>
        <v>3.2327586206896552</v>
      </c>
      <c r="M610" s="118">
        <f t="shared" si="54"/>
        <v>0</v>
      </c>
      <c r="N610" s="151">
        <f ca="1">VLOOKUP(B610,'All Menu'!B:H,7,0)</f>
        <v>2</v>
      </c>
    </row>
    <row r="611" spans="1:14" s="113" customFormat="1" ht="14.5">
      <c r="A611" s="156" t="s">
        <v>2022</v>
      </c>
      <c r="B611" s="166" t="s">
        <v>1012</v>
      </c>
      <c r="C611" s="113" t="s">
        <v>1340</v>
      </c>
      <c r="D611" s="115" t="str">
        <f>VLOOKUP(B611,'All Menu'!B:D,3,0)</f>
        <v>اطباق اليوم صالة</v>
      </c>
      <c r="E611" s="116">
        <f t="shared" si="51"/>
        <v>4.9568965517241379</v>
      </c>
      <c r="F611" s="119">
        <v>5</v>
      </c>
      <c r="G611" s="116">
        <v>24.78448275862069</v>
      </c>
      <c r="H611" s="115">
        <f>VLOOKUP(B611,'All Menu'!B:J,9,0)</f>
        <v>1.6953586547619046</v>
      </c>
      <c r="I611" s="120">
        <f>VLOOKUP(B611,'All Menu'!B:M,12,0)</f>
        <v>0.65797981921325055</v>
      </c>
      <c r="J611" s="114">
        <f t="shared" si="52"/>
        <v>24.78448275862069</v>
      </c>
      <c r="K611" s="117">
        <f t="shared" si="53"/>
        <v>0</v>
      </c>
      <c r="L611" s="118">
        <f>VLOOKUP(B611,'All Menu'!B:G,6,0)</f>
        <v>4.9568965517241379</v>
      </c>
      <c r="M611" s="118">
        <f t="shared" si="54"/>
        <v>0</v>
      </c>
      <c r="N611" s="151">
        <f ca="1">VLOOKUP(B611,'All Menu'!B:H,7,0)</f>
        <v>5</v>
      </c>
    </row>
    <row r="612" spans="1:14" s="113" customFormat="1" ht="14.5">
      <c r="A612" s="156" t="s">
        <v>2022</v>
      </c>
      <c r="B612" s="166" t="s">
        <v>1050</v>
      </c>
      <c r="C612" s="113" t="s">
        <v>1341</v>
      </c>
      <c r="D612" s="115" t="str">
        <f>VLOOKUP(B612,'All Menu'!B:D,3,0)</f>
        <v>اطباق اليوم صالة</v>
      </c>
      <c r="E612" s="116">
        <f t="shared" si="51"/>
        <v>4.5283965517241382</v>
      </c>
      <c r="F612" s="119">
        <v>2</v>
      </c>
      <c r="G612" s="116">
        <v>9.0567931034482765</v>
      </c>
      <c r="H612" s="115">
        <f>VLOOKUP(B612,'All Menu'!B:J,9,0)</f>
        <v>1.5768962186742286</v>
      </c>
      <c r="I612" s="120">
        <f>VLOOKUP(B612,'All Menu'!B:M,12,0)</f>
        <v>0.68187832805876436</v>
      </c>
      <c r="J612" s="114">
        <f t="shared" si="52"/>
        <v>9.9137931034482758</v>
      </c>
      <c r="K612" s="117">
        <f t="shared" si="53"/>
        <v>-0.85699999999999932</v>
      </c>
      <c r="L612" s="118">
        <f>VLOOKUP(B612,'All Menu'!B:G,6,0)</f>
        <v>4.9568965517241379</v>
      </c>
      <c r="M612" s="118">
        <f t="shared" si="54"/>
        <v>-0.42849999999999966</v>
      </c>
      <c r="N612" s="151">
        <f ca="1">VLOOKUP(B612,'All Menu'!B:H,7,0)</f>
        <v>2</v>
      </c>
    </row>
    <row r="613" spans="1:14" s="113" customFormat="1" ht="14.5">
      <c r="A613" s="156" t="s">
        <v>2022</v>
      </c>
      <c r="B613" s="166" t="s">
        <v>1006</v>
      </c>
      <c r="C613" s="113" t="s">
        <v>1342</v>
      </c>
      <c r="D613" s="115" t="str">
        <f>VLOOKUP(B613,'All Menu'!B:D,3,0)</f>
        <v>اطباق اليوم صالة</v>
      </c>
      <c r="E613" s="116">
        <f t="shared" si="51"/>
        <v>4.5258620689655178</v>
      </c>
      <c r="F613" s="119">
        <v>5</v>
      </c>
      <c r="G613" s="116">
        <v>22.629310344827587</v>
      </c>
      <c r="H613" s="115">
        <f>VLOOKUP(B613,'All Menu'!B:J,9,0)</f>
        <v>1.2227484885003888</v>
      </c>
      <c r="I613" s="120">
        <f>VLOOKUP(B613,'All Menu'!B:M,12,0)</f>
        <v>0.72983081015991413</v>
      </c>
      <c r="J613" s="114">
        <f t="shared" si="52"/>
        <v>22.629310344827587</v>
      </c>
      <c r="K613" s="117">
        <f t="shared" si="53"/>
        <v>0</v>
      </c>
      <c r="L613" s="118">
        <f>VLOOKUP(B613,'All Menu'!B:G,6,0)</f>
        <v>4.5258620689655178</v>
      </c>
      <c r="M613" s="118">
        <f t="shared" si="54"/>
        <v>0</v>
      </c>
      <c r="N613" s="151">
        <f ca="1">VLOOKUP(B613,'All Menu'!B:H,7,0)</f>
        <v>5</v>
      </c>
    </row>
    <row r="614" spans="1:14" s="113" customFormat="1" ht="14.5">
      <c r="A614" s="156" t="s">
        <v>2022</v>
      </c>
      <c r="B614" s="166" t="s">
        <v>1049</v>
      </c>
      <c r="C614" s="113" t="s">
        <v>1344</v>
      </c>
      <c r="D614" s="115" t="str">
        <f>VLOOKUP(B614,'All Menu'!B:D,3,0)</f>
        <v>اطباق اليوم صالة</v>
      </c>
      <c r="E614" s="116">
        <f t="shared" si="51"/>
        <v>4.5258620689655178</v>
      </c>
      <c r="F614" s="119">
        <v>28</v>
      </c>
      <c r="G614" s="116">
        <v>126.72413793103451</v>
      </c>
      <c r="H614" s="115">
        <f>VLOOKUP(B614,'All Menu'!B:J,9,0)</f>
        <v>0.74261713191919199</v>
      </c>
      <c r="I614" s="120">
        <f>VLOOKUP(B614,'All Menu'!B:M,12,0)</f>
        <v>0.83591697656642616</v>
      </c>
      <c r="J614" s="114">
        <f t="shared" si="52"/>
        <v>126.72413793103451</v>
      </c>
      <c r="K614" s="117">
        <f t="shared" si="53"/>
        <v>0</v>
      </c>
      <c r="L614" s="118">
        <f>VLOOKUP(B614,'All Menu'!B:G,6,0)</f>
        <v>4.5258620689655178</v>
      </c>
      <c r="M614" s="118">
        <f t="shared" si="54"/>
        <v>0</v>
      </c>
      <c r="N614" s="151">
        <f ca="1">VLOOKUP(B614,'All Menu'!B:H,7,0)</f>
        <v>28</v>
      </c>
    </row>
    <row r="615" spans="1:14" s="113" customFormat="1" ht="14.5">
      <c r="A615" s="156" t="s">
        <v>2022</v>
      </c>
      <c r="B615" s="166" t="s">
        <v>1241</v>
      </c>
      <c r="C615" s="113" t="s">
        <v>1345</v>
      </c>
      <c r="D615" s="115" t="str">
        <f>VLOOKUP(B615,'All Menu'!B:D,3,0)</f>
        <v>اطباق اليوم صالة</v>
      </c>
      <c r="E615" s="116">
        <f t="shared" si="51"/>
        <v>9.3534482758620694</v>
      </c>
      <c r="F615" s="119">
        <v>41</v>
      </c>
      <c r="G615" s="116">
        <v>383.49137931034483</v>
      </c>
      <c r="H615" s="115">
        <f>VLOOKUP(B615,'All Menu'!B:J,9,0)</f>
        <v>4.7515965374298501</v>
      </c>
      <c r="I615" s="120">
        <f>VLOOKUP(B615,'All Menu'!B:M,12,0)</f>
        <v>0.49199520890150916</v>
      </c>
      <c r="J615" s="114">
        <f t="shared" si="52"/>
        <v>383.49137931034483</v>
      </c>
      <c r="K615" s="117">
        <f t="shared" si="53"/>
        <v>0</v>
      </c>
      <c r="L615" s="118">
        <f>VLOOKUP(B615,'All Menu'!B:G,6,0)</f>
        <v>9.3534482758620694</v>
      </c>
      <c r="M615" s="118">
        <f t="shared" si="54"/>
        <v>0</v>
      </c>
      <c r="N615" s="151">
        <f ca="1">VLOOKUP(B615,'All Menu'!B:H,7,0)</f>
        <v>41</v>
      </c>
    </row>
    <row r="616" spans="1:14" s="113" customFormat="1" ht="14.5">
      <c r="A616" s="156" t="s">
        <v>2022</v>
      </c>
      <c r="B616" s="166" t="s">
        <v>1061</v>
      </c>
      <c r="C616" s="113" t="s">
        <v>797</v>
      </c>
      <c r="D616" s="115" t="str">
        <f>VLOOKUP(B616,'All Menu'!B:D,3,0)</f>
        <v>اطباق اليوم صالة</v>
      </c>
      <c r="E616" s="116">
        <f t="shared" si="51"/>
        <v>1.9396551724137931</v>
      </c>
      <c r="F616" s="119">
        <v>40</v>
      </c>
      <c r="G616" s="116">
        <v>77.58620689655173</v>
      </c>
      <c r="H616" s="115">
        <f>VLOOKUP(B616,'All Menu'!B:J,9,0)</f>
        <v>0.40657245833333328</v>
      </c>
      <c r="I616" s="120">
        <f>VLOOKUP(B616,'All Menu'!B:M,12,0)</f>
        <v>0.79038931037037041</v>
      </c>
      <c r="J616" s="114">
        <f t="shared" si="52"/>
        <v>77.58620689655173</v>
      </c>
      <c r="K616" s="117">
        <f t="shared" si="53"/>
        <v>0</v>
      </c>
      <c r="L616" s="118">
        <f>VLOOKUP(B616,'All Menu'!B:G,6,0)</f>
        <v>1.9396551724137931</v>
      </c>
      <c r="M616" s="118">
        <f t="shared" si="54"/>
        <v>0</v>
      </c>
      <c r="N616" s="151">
        <f ca="1">VLOOKUP(B616,'All Menu'!B:H,7,0)</f>
        <v>40</v>
      </c>
    </row>
    <row r="617" spans="1:14" s="113" customFormat="1" ht="14.5">
      <c r="A617" s="156" t="s">
        <v>2022</v>
      </c>
      <c r="B617" s="166" t="s">
        <v>879</v>
      </c>
      <c r="C617" s="113" t="s">
        <v>1346</v>
      </c>
      <c r="D617" s="115" t="str">
        <f>VLOOKUP(B617,'All Menu'!B:D,3,0)</f>
        <v>اطباق اليوم صالة</v>
      </c>
      <c r="E617" s="116">
        <f t="shared" si="51"/>
        <v>5.1293103448275863</v>
      </c>
      <c r="F617" s="119">
        <v>4</v>
      </c>
      <c r="G617" s="116">
        <v>20.517241379310345</v>
      </c>
      <c r="H617" s="115">
        <f>VLOOKUP(B617,'All Menu'!B:J,9,0)</f>
        <v>1.4003961103322768</v>
      </c>
      <c r="I617" s="120">
        <f>VLOOKUP(B617,'All Menu'!B:M,12,0)</f>
        <v>0.72698159865790901</v>
      </c>
      <c r="J617" s="114">
        <f t="shared" si="52"/>
        <v>20.517241379310345</v>
      </c>
      <c r="K617" s="117">
        <f t="shared" si="53"/>
        <v>0</v>
      </c>
      <c r="L617" s="118">
        <f>VLOOKUP(B617,'All Menu'!B:G,6,0)</f>
        <v>5.1293103448275863</v>
      </c>
      <c r="M617" s="118">
        <f t="shared" si="54"/>
        <v>0</v>
      </c>
      <c r="N617" s="151">
        <f ca="1">VLOOKUP(B617,'All Menu'!B:H,7,0)</f>
        <v>4</v>
      </c>
    </row>
    <row r="618" spans="1:14" s="113" customFormat="1" ht="14.5">
      <c r="A618" s="156" t="s">
        <v>2022</v>
      </c>
      <c r="B618" s="166" t="s">
        <v>1214</v>
      </c>
      <c r="C618" s="113" t="s">
        <v>1347</v>
      </c>
      <c r="D618" s="115" t="str">
        <f>VLOOKUP(B618,'All Menu'!B:D,3,0)</f>
        <v>اطباق اليوم صالة</v>
      </c>
      <c r="E618" s="116">
        <f t="shared" si="51"/>
        <v>6.0344827586206913</v>
      </c>
      <c r="F618" s="119">
        <v>43</v>
      </c>
      <c r="G618" s="116">
        <v>259.48275862068971</v>
      </c>
      <c r="H618" s="115">
        <f>VLOOKUP(B618,'All Menu'!B:J,9,0)</f>
        <v>6.1012255959427097</v>
      </c>
      <c r="I618" s="120">
        <f>VLOOKUP(B618,'All Menu'!B:M,12,0)</f>
        <v>-1.1060241613363206E-2</v>
      </c>
      <c r="J618" s="114">
        <f t="shared" si="52"/>
        <v>259.48275862068971</v>
      </c>
      <c r="K618" s="117">
        <f t="shared" si="53"/>
        <v>0</v>
      </c>
      <c r="L618" s="118">
        <f>VLOOKUP(B618,'All Menu'!B:G,6,0)</f>
        <v>6.0344827586206904</v>
      </c>
      <c r="M618" s="118">
        <f t="shared" si="54"/>
        <v>0</v>
      </c>
      <c r="N618" s="151">
        <f ca="1">VLOOKUP(B618,'All Menu'!B:H,7,0)</f>
        <v>43</v>
      </c>
    </row>
    <row r="619" spans="1:14" s="113" customFormat="1" ht="14.5">
      <c r="A619" s="156" t="s">
        <v>2022</v>
      </c>
      <c r="B619" s="166" t="s">
        <v>1132</v>
      </c>
      <c r="C619" s="113" t="s">
        <v>1349</v>
      </c>
      <c r="D619" s="115" t="str">
        <f>VLOOKUP(B619,'All Menu'!B:D,3,0)</f>
        <v>اطباق اليوم صالة</v>
      </c>
      <c r="E619" s="116">
        <f t="shared" si="51"/>
        <v>6.4655172413793105</v>
      </c>
      <c r="F619" s="119">
        <v>1</v>
      </c>
      <c r="G619" s="116">
        <v>6.4655172413793105</v>
      </c>
      <c r="H619" s="115">
        <f>VLOOKUP(B619,'All Menu'!B:J,9,0)</f>
        <v>1.1225369733119268</v>
      </c>
      <c r="I619" s="120">
        <f>VLOOKUP(B619,'All Menu'!B:M,12,0)</f>
        <v>0.82638094812775542</v>
      </c>
      <c r="J619" s="114">
        <f t="shared" si="52"/>
        <v>6.4655172413793105</v>
      </c>
      <c r="K619" s="117">
        <f t="shared" si="53"/>
        <v>0</v>
      </c>
      <c r="L619" s="118">
        <f>VLOOKUP(B619,'All Menu'!B:G,6,0)</f>
        <v>6.4655172413793105</v>
      </c>
      <c r="M619" s="118">
        <f t="shared" si="54"/>
        <v>0</v>
      </c>
      <c r="N619" s="151">
        <f ca="1">VLOOKUP(B619,'All Menu'!B:H,7,0)</f>
        <v>1</v>
      </c>
    </row>
    <row r="620" spans="1:14" s="113" customFormat="1" ht="14.5">
      <c r="A620" s="156" t="s">
        <v>2022</v>
      </c>
      <c r="B620" s="166" t="s">
        <v>878</v>
      </c>
      <c r="C620" s="113" t="s">
        <v>1350</v>
      </c>
      <c r="D620" s="115" t="str">
        <f>VLOOKUP(B620,'All Menu'!B:D,3,0)</f>
        <v>اطباق اليوم صالة</v>
      </c>
      <c r="E620" s="116">
        <f t="shared" si="51"/>
        <v>9.2515958168456773</v>
      </c>
      <c r="F620" s="119">
        <v>61</v>
      </c>
      <c r="G620" s="116">
        <v>564.34734482758631</v>
      </c>
      <c r="H620" s="115">
        <f>VLOOKUP(B620,'All Menu'!B:J,9,0)</f>
        <v>4.7421068886412456</v>
      </c>
      <c r="I620" s="120">
        <f>VLOOKUP(B620,'All Menu'!B:M,12,0)</f>
        <v>0.49300977043098204</v>
      </c>
      <c r="J620" s="114">
        <f t="shared" si="52"/>
        <v>570.56034482758628</v>
      </c>
      <c r="K620" s="117">
        <f t="shared" si="53"/>
        <v>-6.2129999999999654</v>
      </c>
      <c r="L620" s="118">
        <f>VLOOKUP(B620,'All Menu'!B:G,6,0)</f>
        <v>9.3534482758620694</v>
      </c>
      <c r="M620" s="118">
        <f t="shared" si="54"/>
        <v>-0.10185245901639206</v>
      </c>
      <c r="N620" s="151">
        <f ca="1">VLOOKUP(B620,'All Menu'!B:H,7,0)</f>
        <v>61</v>
      </c>
    </row>
    <row r="621" spans="1:14" s="113" customFormat="1" ht="14.5">
      <c r="A621" s="156" t="s">
        <v>2022</v>
      </c>
      <c r="B621" s="166" t="s">
        <v>1013</v>
      </c>
      <c r="C621" s="113" t="s">
        <v>1351</v>
      </c>
      <c r="D621" s="115" t="str">
        <f>VLOOKUP(B621,'All Menu'!B:D,3,0)</f>
        <v>اطباق اليوم صالة</v>
      </c>
      <c r="E621" s="116">
        <f t="shared" si="51"/>
        <v>4.5258620689655178</v>
      </c>
      <c r="F621" s="119">
        <v>55</v>
      </c>
      <c r="G621" s="116">
        <v>248.92241379310349</v>
      </c>
      <c r="H621" s="115">
        <f>VLOOKUP(B621,'All Menu'!B:J,9,0)</f>
        <v>1.7070253255555554</v>
      </c>
      <c r="I621" s="120">
        <f>VLOOKUP(B621,'All Menu'!B:M,12,0)</f>
        <v>0.62282868997248675</v>
      </c>
      <c r="J621" s="114">
        <f t="shared" si="52"/>
        <v>248.92241379310349</v>
      </c>
      <c r="K621" s="117">
        <f t="shared" si="53"/>
        <v>0</v>
      </c>
      <c r="L621" s="118">
        <f>VLOOKUP(B621,'All Menu'!B:G,6,0)</f>
        <v>4.5258620689655178</v>
      </c>
      <c r="M621" s="118">
        <f t="shared" si="54"/>
        <v>0</v>
      </c>
      <c r="N621" s="151">
        <f ca="1">VLOOKUP(B621,'All Menu'!B:H,7,0)</f>
        <v>55</v>
      </c>
    </row>
    <row r="622" spans="1:14" s="113" customFormat="1" ht="14.5">
      <c r="A622" s="156" t="s">
        <v>2022</v>
      </c>
      <c r="B622" s="166" t="s">
        <v>997</v>
      </c>
      <c r="C622" s="113" t="s">
        <v>1352</v>
      </c>
      <c r="D622" s="115" t="str">
        <f>VLOOKUP(B622,'All Menu'!B:D,3,0)</f>
        <v>اطباق اليوم صالة</v>
      </c>
      <c r="E622" s="116">
        <f t="shared" si="51"/>
        <v>4.5258620689655178</v>
      </c>
      <c r="F622" s="119">
        <v>33</v>
      </c>
      <c r="G622" s="116">
        <v>149.35344827586209</v>
      </c>
      <c r="H622" s="115">
        <f>VLOOKUP(B622,'All Menu'!B:J,9,0)</f>
        <v>2.0869322880320169</v>
      </c>
      <c r="I622" s="120">
        <f>VLOOKUP(B622,'All Menu'!B:M,12,0)</f>
        <v>0.53888734207292588</v>
      </c>
      <c r="J622" s="114">
        <f t="shared" si="52"/>
        <v>149.35344827586209</v>
      </c>
      <c r="K622" s="117">
        <f t="shared" si="53"/>
        <v>0</v>
      </c>
      <c r="L622" s="118">
        <f>VLOOKUP(B622,'All Menu'!B:G,6,0)</f>
        <v>4.5258620689655178</v>
      </c>
      <c r="M622" s="118">
        <f t="shared" si="54"/>
        <v>0</v>
      </c>
      <c r="N622" s="151">
        <f ca="1">VLOOKUP(B622,'All Menu'!B:H,7,0)</f>
        <v>33</v>
      </c>
    </row>
    <row r="623" spans="1:14" s="113" customFormat="1" ht="14.5">
      <c r="A623" s="156" t="s">
        <v>2022</v>
      </c>
      <c r="B623" s="166" t="s">
        <v>877</v>
      </c>
      <c r="C623" s="113" t="s">
        <v>547</v>
      </c>
      <c r="D623" s="115" t="str">
        <f>VLOOKUP(B623,'All Menu'!B:D,3,0)</f>
        <v>اطباق اليوم صالة</v>
      </c>
      <c r="E623" s="116">
        <f t="shared" si="51"/>
        <v>4.6120689655172411</v>
      </c>
      <c r="F623" s="119">
        <v>4</v>
      </c>
      <c r="G623" s="116">
        <v>18.448275862068964</v>
      </c>
      <c r="H623" s="115">
        <f>VLOOKUP(B623,'All Menu'!B:J,9,0)</f>
        <v>1.5280409233983929</v>
      </c>
      <c r="I623" s="120">
        <f>VLOOKUP(B623,'All Menu'!B:M,12,0)</f>
        <v>0.66868645399212412</v>
      </c>
      <c r="J623" s="114">
        <f t="shared" si="52"/>
        <v>18.448275862068964</v>
      </c>
      <c r="K623" s="117">
        <f t="shared" si="53"/>
        <v>0</v>
      </c>
      <c r="L623" s="118">
        <f>VLOOKUP(B623,'All Menu'!B:G,6,0)</f>
        <v>4.6120689655172411</v>
      </c>
      <c r="M623" s="118">
        <f t="shared" si="54"/>
        <v>0</v>
      </c>
      <c r="N623" s="151">
        <f ca="1">VLOOKUP(B623,'All Menu'!B:H,7,0)</f>
        <v>4</v>
      </c>
    </row>
    <row r="624" spans="1:14" s="113" customFormat="1" ht="14.5">
      <c r="A624" s="156" t="s">
        <v>2022</v>
      </c>
      <c r="B624" s="166" t="s">
        <v>881</v>
      </c>
      <c r="C624" s="113" t="s">
        <v>1353</v>
      </c>
      <c r="D624" s="115" t="str">
        <f>VLOOKUP(B624,'All Menu'!B:D,3,0)</f>
        <v>اطباق اليوم صالة</v>
      </c>
      <c r="E624" s="116">
        <f t="shared" si="51"/>
        <v>3.2127943349753698</v>
      </c>
      <c r="F624" s="119">
        <v>28</v>
      </c>
      <c r="G624" s="116">
        <v>89.958241379310351</v>
      </c>
      <c r="H624" s="115">
        <f>VLOOKUP(B624,'All Menu'!B:J,9,0)</f>
        <v>1.292666686956522</v>
      </c>
      <c r="I624" s="120">
        <f>VLOOKUP(B624,'All Menu'!B:M,12,0)</f>
        <v>0.6001351048347825</v>
      </c>
      <c r="J624" s="114">
        <f t="shared" si="52"/>
        <v>90.517241379310349</v>
      </c>
      <c r="K624" s="117">
        <f t="shared" si="53"/>
        <v>-0.5589999999999975</v>
      </c>
      <c r="L624" s="118">
        <f>VLOOKUP(B624,'All Menu'!B:G,6,0)</f>
        <v>3.2327586206896552</v>
      </c>
      <c r="M624" s="118">
        <f t="shared" si="54"/>
        <v>-1.9964285714285435E-2</v>
      </c>
      <c r="N624" s="151">
        <f ca="1">VLOOKUP(B624,'All Menu'!B:H,7,0)</f>
        <v>28</v>
      </c>
    </row>
    <row r="625" spans="1:14" s="113" customFormat="1" ht="14.5">
      <c r="A625" s="156" t="s">
        <v>2022</v>
      </c>
      <c r="B625" s="166" t="s">
        <v>880</v>
      </c>
      <c r="C625" s="113" t="s">
        <v>555</v>
      </c>
      <c r="D625" s="115" t="str">
        <f>VLOOKUP(B625,'All Menu'!B:D,3,0)</f>
        <v>اطباق اليوم صالة</v>
      </c>
      <c r="E625" s="116">
        <f t="shared" si="51"/>
        <v>3.2327586206896552</v>
      </c>
      <c r="F625" s="119">
        <v>33</v>
      </c>
      <c r="G625" s="116">
        <v>106.68103448275862</v>
      </c>
      <c r="H625" s="115">
        <f>VLOOKUP(B625,'All Menu'!B:J,9,0)</f>
        <v>1.6103971404182633</v>
      </c>
      <c r="I625" s="120">
        <f>VLOOKUP(B625,'All Menu'!B:M,12,0)</f>
        <v>0.50185048456395054</v>
      </c>
      <c r="J625" s="114">
        <f t="shared" si="52"/>
        <v>106.68103448275862</v>
      </c>
      <c r="K625" s="117">
        <f t="shared" si="53"/>
        <v>0</v>
      </c>
      <c r="L625" s="118">
        <f>VLOOKUP(B625,'All Menu'!B:G,6,0)</f>
        <v>3.2327586206896552</v>
      </c>
      <c r="M625" s="118">
        <f t="shared" si="54"/>
        <v>0</v>
      </c>
      <c r="N625" s="151">
        <f ca="1">VLOOKUP(B625,'All Menu'!B:H,7,0)</f>
        <v>33</v>
      </c>
    </row>
    <row r="626" spans="1:14" s="113" customFormat="1" ht="14.5">
      <c r="A626" s="156" t="s">
        <v>2022</v>
      </c>
      <c r="B626" s="166" t="s">
        <v>1169</v>
      </c>
      <c r="C626" s="113" t="s">
        <v>1462</v>
      </c>
      <c r="D626" s="115" t="str">
        <f>VLOOKUP(B626,'All Menu'!B:D,3,0)</f>
        <v>اطباق اليوم صالة</v>
      </c>
      <c r="E626" s="116">
        <f t="shared" si="51"/>
        <v>6.4655172413793105</v>
      </c>
      <c r="F626" s="119">
        <v>2</v>
      </c>
      <c r="G626" s="116">
        <v>12.931034482758621</v>
      </c>
      <c r="H626" s="115">
        <f>VLOOKUP(B626,'All Menu'!B:J,9,0)</f>
        <v>4.3100288079022997</v>
      </c>
      <c r="I626" s="120">
        <f>VLOOKUP(B626,'All Menu'!B:M,12,0)</f>
        <v>0.33338221104444432</v>
      </c>
      <c r="J626" s="114">
        <f t="shared" si="52"/>
        <v>12.931034482758621</v>
      </c>
      <c r="K626" s="117">
        <f t="shared" si="53"/>
        <v>0</v>
      </c>
      <c r="L626" s="118">
        <f>VLOOKUP(B626,'All Menu'!B:G,6,0)</f>
        <v>6.4655172413793105</v>
      </c>
      <c r="M626" s="118">
        <f t="shared" si="54"/>
        <v>0</v>
      </c>
      <c r="N626" s="151">
        <f ca="1">VLOOKUP(B626,'All Menu'!B:H,7,0)</f>
        <v>2</v>
      </c>
    </row>
    <row r="627" spans="1:14" s="113" customFormat="1" ht="14.5">
      <c r="A627" s="156" t="s">
        <v>2022</v>
      </c>
      <c r="B627" s="166" t="s">
        <v>1079</v>
      </c>
      <c r="C627" s="113" t="s">
        <v>1354</v>
      </c>
      <c r="D627" s="115" t="str">
        <f>VLOOKUP(B627,'All Menu'!B:D,3,0)</f>
        <v>اطباق اليوم صالة</v>
      </c>
      <c r="E627" s="116">
        <f t="shared" si="51"/>
        <v>6.0344827586206904</v>
      </c>
      <c r="F627" s="119">
        <v>14.5</v>
      </c>
      <c r="G627" s="116">
        <v>87.500000000000014</v>
      </c>
      <c r="H627" s="115">
        <f>VLOOKUP(B627,'All Menu'!B:J,9,0)</f>
        <v>4.0654226055971554</v>
      </c>
      <c r="I627" s="120">
        <f>VLOOKUP(B627,'All Menu'!B:M,12,0)</f>
        <v>0.32630139678675718</v>
      </c>
      <c r="J627" s="114">
        <f t="shared" si="52"/>
        <v>87.500000000000014</v>
      </c>
      <c r="K627" s="117">
        <f t="shared" si="53"/>
        <v>0</v>
      </c>
      <c r="L627" s="118">
        <f>VLOOKUP(B627,'All Menu'!B:G,6,0)</f>
        <v>6.0344827586206904</v>
      </c>
      <c r="M627" s="118">
        <f t="shared" si="54"/>
        <v>0</v>
      </c>
      <c r="N627" s="151">
        <f ca="1">VLOOKUP(B627,'All Menu'!B:H,7,0)</f>
        <v>14.5</v>
      </c>
    </row>
    <row r="628" spans="1:14" s="113" customFormat="1" ht="14.5">
      <c r="A628" s="156" t="s">
        <v>2022</v>
      </c>
      <c r="B628" s="166" t="s">
        <v>1126</v>
      </c>
      <c r="C628" s="113" t="s">
        <v>1355</v>
      </c>
      <c r="D628" s="115" t="str">
        <f>VLOOKUP(B628,'All Menu'!B:D,3,0)</f>
        <v>اطباق اليوم صالة</v>
      </c>
      <c r="E628" s="116">
        <f t="shared" si="51"/>
        <v>1.5086206896551726</v>
      </c>
      <c r="F628" s="119">
        <v>6</v>
      </c>
      <c r="G628" s="116">
        <v>9.0517241379310356</v>
      </c>
      <c r="H628" s="115">
        <f>VLOOKUP(B628,'All Menu'!B:J,9,0)</f>
        <v>0.7713331000000001</v>
      </c>
      <c r="I628" s="120">
        <f>VLOOKUP(B628,'All Menu'!B:M,12,0)</f>
        <v>0.48871634514285711</v>
      </c>
      <c r="J628" s="114">
        <f t="shared" si="52"/>
        <v>9.0517241379310356</v>
      </c>
      <c r="K628" s="117">
        <f t="shared" si="53"/>
        <v>0</v>
      </c>
      <c r="L628" s="118">
        <f>VLOOKUP(B628,'All Menu'!B:G,6,0)</f>
        <v>1.5086206896551726</v>
      </c>
      <c r="M628" s="118">
        <f t="shared" si="54"/>
        <v>0</v>
      </c>
      <c r="N628" s="151">
        <f ca="1">VLOOKUP(B628,'All Menu'!B:H,7,0)</f>
        <v>6</v>
      </c>
    </row>
    <row r="629" spans="1:14" s="113" customFormat="1" ht="14.5">
      <c r="A629" s="156" t="s">
        <v>2022</v>
      </c>
      <c r="B629" s="166" t="s">
        <v>1128</v>
      </c>
      <c r="C629" s="113" t="s">
        <v>1356</v>
      </c>
      <c r="D629" s="115" t="str">
        <f>VLOOKUP(B629,'All Menu'!B:D,3,0)</f>
        <v>اطباق اليوم صالة</v>
      </c>
      <c r="E629" s="116">
        <f t="shared" si="51"/>
        <v>12.931034482758621</v>
      </c>
      <c r="F629" s="119">
        <v>19</v>
      </c>
      <c r="G629" s="116">
        <v>245.68965517241381</v>
      </c>
      <c r="H629" s="115">
        <f>VLOOKUP(B629,'All Menu'!B:J,9,0)</f>
        <v>4.2482629196360158</v>
      </c>
      <c r="I629" s="120">
        <f>VLOOKUP(B629,'All Menu'!B:M,12,0)</f>
        <v>0.67146766754814813</v>
      </c>
      <c r="J629" s="114">
        <f t="shared" si="52"/>
        <v>245.68965517241381</v>
      </c>
      <c r="K629" s="117">
        <f t="shared" si="53"/>
        <v>0</v>
      </c>
      <c r="L629" s="118">
        <f>VLOOKUP(B629,'All Menu'!B:G,6,0)</f>
        <v>12.931034482758621</v>
      </c>
      <c r="M629" s="118">
        <f t="shared" si="54"/>
        <v>0</v>
      </c>
      <c r="N629" s="151">
        <f ca="1">VLOOKUP(B629,'All Menu'!B:H,7,0)</f>
        <v>19</v>
      </c>
    </row>
    <row r="630" spans="1:14" s="113" customFormat="1" ht="14.5">
      <c r="A630" s="156" t="s">
        <v>2022</v>
      </c>
      <c r="B630" s="166" t="s">
        <v>1127</v>
      </c>
      <c r="C630" s="113" t="s">
        <v>1357</v>
      </c>
      <c r="D630" s="115" t="str">
        <f>VLOOKUP(B630,'All Menu'!B:D,3,0)</f>
        <v>اطباق اليوم صالة</v>
      </c>
      <c r="E630" s="116">
        <f t="shared" si="51"/>
        <v>21.263774137931033</v>
      </c>
      <c r="F630" s="119">
        <v>40</v>
      </c>
      <c r="G630" s="116">
        <v>850.55096551724137</v>
      </c>
      <c r="H630" s="115">
        <f>VLOOKUP(B630,'All Menu'!B:J,9,0)</f>
        <v>13.566721674174687</v>
      </c>
      <c r="I630" s="120">
        <f>VLOOKUP(B630,'All Menu'!B:M,12,0)</f>
        <v>0.37050411431829455</v>
      </c>
      <c r="J630" s="114">
        <f t="shared" si="52"/>
        <v>862.06896551724139</v>
      </c>
      <c r="K630" s="117">
        <f t="shared" si="53"/>
        <v>-11.518000000000029</v>
      </c>
      <c r="L630" s="118">
        <f>VLOOKUP(B630,'All Menu'!B:G,6,0)</f>
        <v>21.551724137931036</v>
      </c>
      <c r="M630" s="118">
        <f t="shared" si="54"/>
        <v>-0.28795000000000215</v>
      </c>
      <c r="N630" s="151">
        <f ca="1">VLOOKUP(B630,'All Menu'!B:H,7,0)</f>
        <v>40</v>
      </c>
    </row>
    <row r="631" spans="1:14" s="113" customFormat="1" ht="14.5">
      <c r="A631" s="156" t="s">
        <v>2022</v>
      </c>
      <c r="B631" s="166" t="s">
        <v>1192</v>
      </c>
      <c r="C631" s="113" t="s">
        <v>1358</v>
      </c>
      <c r="D631" s="115" t="str">
        <f>VLOOKUP(B631,'All Menu'!B:D,3,0)</f>
        <v>اطباق اليوم صالة</v>
      </c>
      <c r="E631" s="116">
        <f t="shared" si="51"/>
        <v>6.0344827586206904</v>
      </c>
      <c r="F631" s="119">
        <v>3.2000000476836998</v>
      </c>
      <c r="G631" s="116">
        <v>19.310345115332673</v>
      </c>
      <c r="H631" s="115">
        <f>VLOOKUP(B631,'All Menu'!B:J,9,0)</f>
        <v>4.2159421050491357</v>
      </c>
      <c r="I631" s="120">
        <f>VLOOKUP(B631,'All Menu'!B:M,12,0)</f>
        <v>0.30135816544900046</v>
      </c>
      <c r="J631" s="114">
        <f t="shared" si="52"/>
        <v>19.310345115332673</v>
      </c>
      <c r="K631" s="117">
        <f t="shared" si="53"/>
        <v>0</v>
      </c>
      <c r="L631" s="118">
        <f>VLOOKUP(B631,'All Menu'!B:G,6,0)</f>
        <v>6.0344827586206904</v>
      </c>
      <c r="M631" s="118">
        <f t="shared" si="54"/>
        <v>0</v>
      </c>
      <c r="N631" s="151">
        <f ca="1">VLOOKUP(B631,'All Menu'!B:H,7,0)</f>
        <v>3.2000000476836998</v>
      </c>
    </row>
    <row r="632" spans="1:14" s="113" customFormat="1" ht="14.5">
      <c r="A632" s="156" t="s">
        <v>2022</v>
      </c>
      <c r="B632" s="166" t="s">
        <v>1201</v>
      </c>
      <c r="C632" s="113" t="s">
        <v>1362</v>
      </c>
      <c r="D632" s="115" t="str">
        <f>VLOOKUP(B632,'All Menu'!B:D,3,0)</f>
        <v>اطباق اليوم صالة</v>
      </c>
      <c r="E632" s="116">
        <f t="shared" si="51"/>
        <v>7.7586206896551726</v>
      </c>
      <c r="F632" s="119">
        <v>2</v>
      </c>
      <c r="G632" s="116">
        <v>15.517241379310345</v>
      </c>
      <c r="H632" s="115">
        <f>VLOOKUP(B632,'All Menu'!B:J,9,0)</f>
        <v>7.049924653346979</v>
      </c>
      <c r="I632" s="120">
        <f>VLOOKUP(B632,'All Menu'!B:M,12,0)</f>
        <v>9.1343044679722721E-2</v>
      </c>
      <c r="J632" s="114">
        <f t="shared" si="52"/>
        <v>15.517241379310345</v>
      </c>
      <c r="K632" s="117">
        <f t="shared" si="53"/>
        <v>0</v>
      </c>
      <c r="L632" s="118">
        <f>VLOOKUP(B632,'All Menu'!B:G,6,0)</f>
        <v>7.7586206896551726</v>
      </c>
      <c r="M632" s="118">
        <f t="shared" si="54"/>
        <v>0</v>
      </c>
      <c r="N632" s="151">
        <f ca="1">VLOOKUP(B632,'All Menu'!B:H,7,0)</f>
        <v>2</v>
      </c>
    </row>
    <row r="633" spans="1:14" s="113" customFormat="1" ht="14.5">
      <c r="A633" s="156" t="s">
        <v>2022</v>
      </c>
      <c r="B633" s="166" t="s">
        <v>1988</v>
      </c>
      <c r="C633" s="113" t="s">
        <v>1999</v>
      </c>
      <c r="D633" s="115" t="str">
        <f>VLOOKUP(B633,'All Menu'!B:D,3,0)</f>
        <v>أطباق اليوم صالة</v>
      </c>
      <c r="E633" s="116">
        <f t="shared" si="51"/>
        <v>15.517241379310345</v>
      </c>
      <c r="F633" s="119">
        <v>28</v>
      </c>
      <c r="G633" s="116">
        <v>434.48275862068965</v>
      </c>
      <c r="H633" s="115">
        <f>VLOOKUP(B633,'All Menu'!B:J,9,0)</f>
        <v>9.316249632592255</v>
      </c>
      <c r="I633" s="120">
        <f>VLOOKUP(B633,'All Menu'!B:M,12,0)</f>
        <v>0.39961946812183247</v>
      </c>
      <c r="J633" s="114">
        <f t="shared" si="52"/>
        <v>434.48275862068965</v>
      </c>
      <c r="K633" s="117">
        <f t="shared" si="53"/>
        <v>0</v>
      </c>
      <c r="L633" s="118">
        <f>VLOOKUP(B633,'All Menu'!B:G,6,0)</f>
        <v>15.517241379310345</v>
      </c>
      <c r="M633" s="118">
        <f t="shared" si="54"/>
        <v>0</v>
      </c>
      <c r="N633" s="151">
        <f ca="1">VLOOKUP(B633,'All Menu'!B:H,7,0)</f>
        <v>28</v>
      </c>
    </row>
    <row r="634" spans="1:14" s="113" customFormat="1" ht="14.5">
      <c r="A634" s="156" t="s">
        <v>2022</v>
      </c>
      <c r="B634" s="166" t="s">
        <v>1107</v>
      </c>
      <c r="C634" s="113" t="s">
        <v>1365</v>
      </c>
      <c r="D634" s="115" t="str">
        <f>VLOOKUP(B634,'All Menu'!B:D,3,0)</f>
        <v>التواصي سفري</v>
      </c>
      <c r="E634" s="116">
        <f t="shared" si="51"/>
        <v>18.62298727641527</v>
      </c>
      <c r="F634" s="119">
        <v>93.5</v>
      </c>
      <c r="G634" s="116">
        <v>1741.2493103448278</v>
      </c>
      <c r="H634" s="115">
        <f>VLOOKUP(B634,'All Menu'!B:J,9,0)</f>
        <v>13.950857516551945</v>
      </c>
      <c r="I634" s="120">
        <f>VLOOKUP(B634,'All Menu'!B:M,12,0)</f>
        <v>0.29639153394781492</v>
      </c>
      <c r="J634" s="114">
        <f t="shared" si="52"/>
        <v>1853.8793103448277</v>
      </c>
      <c r="K634" s="117">
        <f t="shared" si="53"/>
        <v>-112.62999999999988</v>
      </c>
      <c r="L634" s="118">
        <f>VLOOKUP(B634,'All Menu'!B:G,6,0)</f>
        <v>19.827586206896552</v>
      </c>
      <c r="M634" s="118">
        <f t="shared" si="54"/>
        <v>-1.2045989304812821</v>
      </c>
      <c r="N634" s="151">
        <f ca="1">VLOOKUP(B634,'All Menu'!B:H,7,0)</f>
        <v>224.5</v>
      </c>
    </row>
    <row r="635" spans="1:14" s="113" customFormat="1" ht="14.5">
      <c r="A635" s="156" t="s">
        <v>2022</v>
      </c>
      <c r="B635" s="166" t="s">
        <v>1108</v>
      </c>
      <c r="C635" s="113" t="s">
        <v>1367</v>
      </c>
      <c r="D635" s="115" t="str">
        <f>VLOOKUP(B635,'All Menu'!B:D,3,0)</f>
        <v>التواصي سفري</v>
      </c>
      <c r="E635" s="116">
        <f t="shared" si="51"/>
        <v>19.827586206896552</v>
      </c>
      <c r="F635" s="119">
        <v>2.0001000000000002</v>
      </c>
      <c r="G635" s="116">
        <v>39.657155172413795</v>
      </c>
      <c r="H635" s="115">
        <f>VLOOKUP(B635,'All Menu'!B:J,9,0)</f>
        <v>13.757561773390021</v>
      </c>
      <c r="I635" s="120">
        <f>VLOOKUP(B635,'All Menu'!B:M,12,0)</f>
        <v>0.30614036273337286</v>
      </c>
      <c r="J635" s="114">
        <f t="shared" si="52"/>
        <v>39.657155172413795</v>
      </c>
      <c r="K635" s="117">
        <f t="shared" si="53"/>
        <v>0</v>
      </c>
      <c r="L635" s="118">
        <f>VLOOKUP(B635,'All Menu'!B:G,6,0)</f>
        <v>19.827586206896552</v>
      </c>
      <c r="M635" s="118">
        <f t="shared" si="54"/>
        <v>0</v>
      </c>
      <c r="N635" s="151">
        <f ca="1">VLOOKUP(B635,'All Menu'!B:H,7,0)</f>
        <v>12.0001</v>
      </c>
    </row>
    <row r="636" spans="1:14" s="113" customFormat="1" ht="14.5">
      <c r="A636" s="156" t="s">
        <v>2022</v>
      </c>
      <c r="B636" s="166" t="s">
        <v>1120</v>
      </c>
      <c r="C636" s="113" t="s">
        <v>1368</v>
      </c>
      <c r="D636" s="115" t="str">
        <f>VLOOKUP(B636,'All Menu'!B:D,3,0)</f>
        <v>التواصي سفري</v>
      </c>
      <c r="E636" s="116">
        <f t="shared" si="51"/>
        <v>19.827586206896552</v>
      </c>
      <c r="F636" s="119">
        <v>1.0009999999999999</v>
      </c>
      <c r="G636" s="116">
        <v>19.847413793103446</v>
      </c>
      <c r="H636" s="115">
        <f>VLOOKUP(B636,'All Menu'!B:J,9,0)</f>
        <v>14.043502748753404</v>
      </c>
      <c r="I636" s="120">
        <f>VLOOKUP(B636,'All Menu'!B:M,12,0)</f>
        <v>0.29171899180200223</v>
      </c>
      <c r="J636" s="114">
        <f t="shared" si="52"/>
        <v>19.847413793103446</v>
      </c>
      <c r="K636" s="117">
        <f t="shared" si="53"/>
        <v>0</v>
      </c>
      <c r="L636" s="118">
        <f>VLOOKUP(B636,'All Menu'!B:G,6,0)</f>
        <v>19.827586206896552</v>
      </c>
      <c r="M636" s="118">
        <f t="shared" si="54"/>
        <v>0</v>
      </c>
      <c r="N636" s="151">
        <f ca="1">VLOOKUP(B636,'All Menu'!B:H,7,0)</f>
        <v>9.0009999999999994</v>
      </c>
    </row>
    <row r="637" spans="1:14" s="113" customFormat="1" ht="14.5">
      <c r="A637" s="156" t="s">
        <v>2022</v>
      </c>
      <c r="B637" s="166" t="s">
        <v>1121</v>
      </c>
      <c r="C637" s="113" t="s">
        <v>1650</v>
      </c>
      <c r="D637" s="115" t="str">
        <f>VLOOKUP(B637,'All Menu'!B:D,3,0)</f>
        <v>التواصي سفري</v>
      </c>
      <c r="E637" s="116">
        <f t="shared" si="51"/>
        <v>19.827586206896552</v>
      </c>
      <c r="F637" s="119">
        <v>8</v>
      </c>
      <c r="G637" s="116">
        <v>158.62068965517241</v>
      </c>
      <c r="H637" s="115">
        <f>VLOOKUP(B637,'All Menu'!B:J,9,0)</f>
        <v>14.851071923993471</v>
      </c>
      <c r="I637" s="120">
        <f>VLOOKUP(B637,'All Menu'!B:M,12,0)</f>
        <v>0.2509894160072858</v>
      </c>
      <c r="J637" s="114">
        <f t="shared" si="52"/>
        <v>158.62068965517241</v>
      </c>
      <c r="K637" s="117">
        <f t="shared" si="53"/>
        <v>0</v>
      </c>
      <c r="L637" s="118">
        <f>VLOOKUP(B637,'All Menu'!B:G,6,0)</f>
        <v>19.827586206896552</v>
      </c>
      <c r="M637" s="118">
        <f t="shared" si="54"/>
        <v>0</v>
      </c>
      <c r="N637" s="151">
        <f ca="1">VLOOKUP(B637,'All Menu'!B:H,7,0)</f>
        <v>24.5</v>
      </c>
    </row>
    <row r="638" spans="1:14" s="113" customFormat="1" ht="14.5">
      <c r="A638" s="156" t="s">
        <v>2022</v>
      </c>
      <c r="B638" s="166" t="s">
        <v>1109</v>
      </c>
      <c r="C638" s="113" t="s">
        <v>1369</v>
      </c>
      <c r="D638" s="115" t="str">
        <f>VLOOKUP(B638,'All Menu'!B:D,3,0)</f>
        <v>التواصي سفري</v>
      </c>
      <c r="E638" s="116">
        <f t="shared" si="51"/>
        <v>19.827586206896552</v>
      </c>
      <c r="F638" s="119">
        <v>4</v>
      </c>
      <c r="G638" s="116">
        <v>79.310344827586206</v>
      </c>
      <c r="H638" s="115">
        <f>VLOOKUP(B638,'All Menu'!B:J,9,0)</f>
        <v>13.546738353772389</v>
      </c>
      <c r="I638" s="120">
        <f>VLOOKUP(B638,'All Menu'!B:M,12,0)</f>
        <v>0.31677319607060994</v>
      </c>
      <c r="J638" s="114">
        <f t="shared" si="52"/>
        <v>79.310344827586206</v>
      </c>
      <c r="K638" s="117">
        <f t="shared" si="53"/>
        <v>0</v>
      </c>
      <c r="L638" s="118">
        <f>VLOOKUP(B638,'All Menu'!B:G,6,0)</f>
        <v>19.827586206896552</v>
      </c>
      <c r="M638" s="118">
        <f t="shared" si="54"/>
        <v>0</v>
      </c>
      <c r="N638" s="151">
        <f ca="1">VLOOKUP(B638,'All Menu'!B:H,7,0)</f>
        <v>58</v>
      </c>
    </row>
    <row r="639" spans="1:14" s="113" customFormat="1" ht="14.5">
      <c r="A639" s="156" t="s">
        <v>2022</v>
      </c>
      <c r="B639" s="166" t="s">
        <v>1110</v>
      </c>
      <c r="C639" s="113" t="s">
        <v>1652</v>
      </c>
      <c r="D639" s="115" t="str">
        <f>VLOOKUP(B639,'All Menu'!B:D,3,0)</f>
        <v>التواصي سفري</v>
      </c>
      <c r="E639" s="116">
        <f t="shared" si="51"/>
        <v>19.827586206896552</v>
      </c>
      <c r="F639" s="119">
        <v>1E-3</v>
      </c>
      <c r="G639" s="116">
        <v>1.9827586206896553E-2</v>
      </c>
      <c r="H639" s="115">
        <f>VLOOKUP(B639,'All Menu'!B:J,9,0)</f>
        <v>13.501379535676035</v>
      </c>
      <c r="I639" s="120">
        <f>VLOOKUP(B639,'All Menu'!B:M,12,0)</f>
        <v>0.31906085820068691</v>
      </c>
      <c r="J639" s="114">
        <f t="shared" si="52"/>
        <v>1.9827586206896553E-2</v>
      </c>
      <c r="K639" s="117">
        <f t="shared" si="53"/>
        <v>0</v>
      </c>
      <c r="L639" s="118">
        <f>VLOOKUP(B639,'All Menu'!B:G,6,0)</f>
        <v>19.827586206896552</v>
      </c>
      <c r="M639" s="118">
        <f t="shared" si="54"/>
        <v>0</v>
      </c>
      <c r="N639" s="151">
        <f ca="1">VLOOKUP(B639,'All Menu'!B:H,7,0)</f>
        <v>19.501000000000001</v>
      </c>
    </row>
    <row r="640" spans="1:14" s="113" customFormat="1" ht="14.5">
      <c r="A640" s="156" t="s">
        <v>2022</v>
      </c>
      <c r="B640" s="166" t="s">
        <v>1115</v>
      </c>
      <c r="C640" s="113" t="s">
        <v>1370</v>
      </c>
      <c r="D640" s="115" t="str">
        <f>VLOOKUP(B640,'All Menu'!B:D,3,0)</f>
        <v>التواصي سفري</v>
      </c>
      <c r="E640" s="116">
        <f t="shared" si="51"/>
        <v>8.6069829885057469</v>
      </c>
      <c r="F640" s="119">
        <v>37.5</v>
      </c>
      <c r="G640" s="116">
        <v>322.76186206896551</v>
      </c>
      <c r="H640" s="115">
        <f>VLOOKUP(B640,'All Menu'!B:J,9,0)</f>
        <v>5.0302467650168321</v>
      </c>
      <c r="I640" s="120">
        <f>VLOOKUP(B640,'All Menu'!B:M,12,0)</f>
        <v>0.41649137525804752</v>
      </c>
      <c r="J640" s="114">
        <f t="shared" si="52"/>
        <v>323.27586206896552</v>
      </c>
      <c r="K640" s="117">
        <f t="shared" si="53"/>
        <v>-0.51400000000001</v>
      </c>
      <c r="L640" s="118">
        <f>VLOOKUP(B640,'All Menu'!B:G,6,0)</f>
        <v>8.6206896551724146</v>
      </c>
      <c r="M640" s="118">
        <f t="shared" si="54"/>
        <v>-1.3706666666667644E-2</v>
      </c>
      <c r="N640" s="151">
        <f ca="1">VLOOKUP(B640,'All Menu'!B:H,7,0)</f>
        <v>196</v>
      </c>
    </row>
    <row r="641" spans="1:14" s="113" customFormat="1" ht="14.5">
      <c r="A641" s="156" t="s">
        <v>2022</v>
      </c>
      <c r="B641" s="166" t="s">
        <v>1123</v>
      </c>
      <c r="C641" s="113" t="s">
        <v>1371</v>
      </c>
      <c r="D641" s="115" t="str">
        <f>VLOOKUP(B641,'All Menu'!B:D,3,0)</f>
        <v>التواصي سفري</v>
      </c>
      <c r="E641" s="116">
        <f t="shared" si="51"/>
        <v>8.6206896551724146</v>
      </c>
      <c r="F641" s="119">
        <v>0.5</v>
      </c>
      <c r="G641" s="116">
        <v>4.3103448275862073</v>
      </c>
      <c r="H641" s="115">
        <f>VLOOKUP(B641,'All Menu'!B:J,9,0)</f>
        <v>4.7769910334942951</v>
      </c>
      <c r="I641" s="120">
        <f>VLOOKUP(B641,'All Menu'!B:M,12,0)</f>
        <v>0.44586904011466183</v>
      </c>
      <c r="J641" s="114">
        <f t="shared" si="52"/>
        <v>4.3103448275862073</v>
      </c>
      <c r="K641" s="117">
        <f t="shared" si="53"/>
        <v>0</v>
      </c>
      <c r="L641" s="118">
        <f>VLOOKUP(B641,'All Menu'!B:G,6,0)</f>
        <v>8.6206896551724146</v>
      </c>
      <c r="M641" s="118">
        <f t="shared" si="54"/>
        <v>0</v>
      </c>
      <c r="N641" s="151">
        <f ca="1">VLOOKUP(B641,'All Menu'!B:H,7,0)</f>
        <v>4</v>
      </c>
    </row>
    <row r="642" spans="1:14" s="113" customFormat="1" ht="14.5">
      <c r="A642" s="156" t="s">
        <v>2022</v>
      </c>
      <c r="B642" s="166" t="s">
        <v>1113</v>
      </c>
      <c r="C642" s="113" t="s">
        <v>1372</v>
      </c>
      <c r="D642" s="115" t="str">
        <f>VLOOKUP(B642,'All Menu'!B:D,3,0)</f>
        <v>التواصي سفري</v>
      </c>
      <c r="E642" s="116">
        <f t="shared" si="51"/>
        <v>8.379975369458128</v>
      </c>
      <c r="F642" s="119">
        <v>7</v>
      </c>
      <c r="G642" s="116">
        <v>58.659827586206902</v>
      </c>
      <c r="H642" s="115">
        <f>VLOOKUP(B642,'All Menu'!B:J,9,0)</f>
        <v>5.2035958953401833</v>
      </c>
      <c r="I642" s="120">
        <f>VLOOKUP(B642,'All Menu'!B:M,12,0)</f>
        <v>0.3963828761405388</v>
      </c>
      <c r="J642" s="114">
        <f t="shared" si="52"/>
        <v>60.344827586206904</v>
      </c>
      <c r="K642" s="117">
        <f t="shared" si="53"/>
        <v>-1.6850000000000023</v>
      </c>
      <c r="L642" s="118">
        <f>VLOOKUP(B642,'All Menu'!B:G,6,0)</f>
        <v>8.6206896551724146</v>
      </c>
      <c r="M642" s="118">
        <f t="shared" si="54"/>
        <v>-0.24071428571428655</v>
      </c>
      <c r="N642" s="151">
        <f ca="1">VLOOKUP(B642,'All Menu'!B:H,7,0)</f>
        <v>49</v>
      </c>
    </row>
    <row r="643" spans="1:14" s="113" customFormat="1" ht="15.75" customHeight="1">
      <c r="A643" s="156" t="s">
        <v>2022</v>
      </c>
      <c r="B643" s="170" t="s">
        <v>1114</v>
      </c>
      <c r="C643" s="113" t="s">
        <v>1373</v>
      </c>
      <c r="D643" s="115" t="str">
        <f>VLOOKUP(B643,'All Menu'!B:D,3,0)</f>
        <v>التواصي سفري</v>
      </c>
      <c r="E643" s="116">
        <f t="shared" si="51"/>
        <v>8.5571047495120371</v>
      </c>
      <c r="F643" s="119">
        <v>26.5</v>
      </c>
      <c r="G643" s="119">
        <v>226.76327586206898</v>
      </c>
      <c r="H643" s="115">
        <f>VLOOKUP(B643,'All Menu'!B:J,9,0)</f>
        <v>5.5432276917402739</v>
      </c>
      <c r="I643" s="120">
        <f>VLOOKUP(B643,'All Menu'!B:M,12,0)</f>
        <v>0.35698558775812828</v>
      </c>
      <c r="J643" s="114">
        <f t="shared" si="52"/>
        <v>228.44827586206898</v>
      </c>
      <c r="K643" s="117">
        <f t="shared" si="53"/>
        <v>-1.6850000000000023</v>
      </c>
      <c r="L643" s="118">
        <f>VLOOKUP(B643,'All Menu'!B:G,6,0)</f>
        <v>8.6206896551724146</v>
      </c>
      <c r="M643" s="118">
        <f t="shared" si="54"/>
        <v>-6.3584905660377444E-2</v>
      </c>
      <c r="N643" s="151">
        <f ca="1">VLOOKUP(B643,'All Menu'!B:H,7,0)</f>
        <v>139.5</v>
      </c>
    </row>
    <row r="644" spans="1:14" s="113" customFormat="1" ht="15.75" customHeight="1">
      <c r="A644" s="156" t="s">
        <v>2022</v>
      </c>
      <c r="B644" s="170" t="s">
        <v>1111</v>
      </c>
      <c r="C644" s="113" t="s">
        <v>1374</v>
      </c>
      <c r="D644" s="115" t="str">
        <f>VLOOKUP(B644,'All Menu'!B:D,3,0)</f>
        <v>التواصي سفري</v>
      </c>
      <c r="E644" s="116">
        <f t="shared" si="51"/>
        <v>10.344827586206897</v>
      </c>
      <c r="F644" s="119">
        <v>6.5</v>
      </c>
      <c r="G644" s="119">
        <v>67.241379310344826</v>
      </c>
      <c r="H644" s="115">
        <f>VLOOKUP(B644,'All Menu'!B:J,9,0)</f>
        <v>5.9247479696645087</v>
      </c>
      <c r="I644" s="120">
        <f>VLOOKUP(B644,'All Menu'!B:M,12,0)</f>
        <v>0.42727436293243082</v>
      </c>
      <c r="J644" s="114">
        <f t="shared" si="52"/>
        <v>67.241379310344826</v>
      </c>
      <c r="K644" s="117">
        <f t="shared" si="53"/>
        <v>0</v>
      </c>
      <c r="L644" s="118">
        <f>VLOOKUP(B644,'All Menu'!B:G,6,0)</f>
        <v>10.344827586206897</v>
      </c>
      <c r="M644" s="118">
        <f t="shared" si="54"/>
        <v>0</v>
      </c>
      <c r="N644" s="151">
        <f ca="1">VLOOKUP(B644,'All Menu'!B:H,7,0)</f>
        <v>54.5</v>
      </c>
    </row>
    <row r="645" spans="1:14" s="113" customFormat="1" ht="15.75" customHeight="1">
      <c r="A645" s="156" t="s">
        <v>2022</v>
      </c>
      <c r="B645" s="170" t="s">
        <v>1124</v>
      </c>
      <c r="C645" s="113" t="s">
        <v>1653</v>
      </c>
      <c r="D645" s="115" t="str">
        <f>VLOOKUP(B645,'All Menu'!B:D,3,0)</f>
        <v>التواصي سفري</v>
      </c>
      <c r="E645" s="116">
        <f t="shared" si="51"/>
        <v>8.6206896551724146</v>
      </c>
      <c r="F645" s="119">
        <v>1</v>
      </c>
      <c r="G645" s="119">
        <v>8.6206896551724146</v>
      </c>
      <c r="H645" s="115">
        <f>VLOOKUP(B645,'All Menu'!B:J,9,0)</f>
        <v>4.8236401708139338</v>
      </c>
      <c r="I645" s="120">
        <f>VLOOKUP(B645,'All Menu'!B:M,12,0)</f>
        <v>0.4404577401855837</v>
      </c>
      <c r="J645" s="114">
        <f t="shared" si="52"/>
        <v>8.6206896551724146</v>
      </c>
      <c r="K645" s="117">
        <f t="shared" si="53"/>
        <v>0</v>
      </c>
      <c r="L645" s="118">
        <f>VLOOKUP(B645,'All Menu'!B:G,6,0)</f>
        <v>8.6206896551724146</v>
      </c>
      <c r="M645" s="118">
        <f t="shared" si="54"/>
        <v>0</v>
      </c>
      <c r="N645" s="151">
        <f ca="1">VLOOKUP(B645,'All Menu'!B:H,7,0)</f>
        <v>10</v>
      </c>
    </row>
    <row r="646" spans="1:14" s="113" customFormat="1" ht="15.75" customHeight="1">
      <c r="A646" s="156" t="s">
        <v>2022</v>
      </c>
      <c r="B646" s="170" t="s">
        <v>1116</v>
      </c>
      <c r="C646" s="113" t="s">
        <v>1375</v>
      </c>
      <c r="D646" s="115" t="str">
        <f>VLOOKUP(B646,'All Menu'!B:D,3,0)</f>
        <v>التواصي سفري</v>
      </c>
      <c r="E646" s="116">
        <f t="shared" si="51"/>
        <v>8.6206896551724146</v>
      </c>
      <c r="F646" s="119">
        <v>18.5</v>
      </c>
      <c r="G646" s="119">
        <v>159.48275862068968</v>
      </c>
      <c r="H646" s="115">
        <f>VLOOKUP(B646,'All Menu'!B:J,9,0)</f>
        <v>4.8086526805122087</v>
      </c>
      <c r="I646" s="120">
        <f>VLOOKUP(B646,'All Menu'!B:M,12,0)</f>
        <v>0.44219628906058384</v>
      </c>
      <c r="J646" s="114">
        <f t="shared" si="52"/>
        <v>159.48275862068968</v>
      </c>
      <c r="K646" s="117">
        <f t="shared" si="53"/>
        <v>0</v>
      </c>
      <c r="L646" s="118">
        <f>VLOOKUP(B646,'All Menu'!B:G,6,0)</f>
        <v>8.6206896551724146</v>
      </c>
      <c r="M646" s="118">
        <f t="shared" si="54"/>
        <v>0</v>
      </c>
      <c r="N646" s="151">
        <f ca="1">VLOOKUP(B646,'All Menu'!B:H,7,0)</f>
        <v>65</v>
      </c>
    </row>
    <row r="647" spans="1:14" s="113" customFormat="1" ht="15.75" customHeight="1">
      <c r="A647" s="156" t="s">
        <v>2022</v>
      </c>
      <c r="B647" s="170" t="s">
        <v>1112</v>
      </c>
      <c r="C647" s="113" t="s">
        <v>1377</v>
      </c>
      <c r="D647" s="115" t="str">
        <f>VLOOKUP(B647,'All Menu'!B:D,3,0)</f>
        <v>التواصي سفري</v>
      </c>
      <c r="E647" s="116">
        <f t="shared" si="51"/>
        <v>10.344827586206897</v>
      </c>
      <c r="F647" s="119">
        <v>2.5</v>
      </c>
      <c r="G647" s="119">
        <v>25.862068965517242</v>
      </c>
      <c r="H647" s="115">
        <f>VLOOKUP(B647,'All Menu'!B:J,9,0)</f>
        <v>1.7921716750954024</v>
      </c>
      <c r="I647" s="120">
        <f>VLOOKUP(B647,'All Menu'!B:M,12,0)</f>
        <v>0.82675673807411099</v>
      </c>
      <c r="J647" s="114">
        <f t="shared" si="52"/>
        <v>25.862068965517242</v>
      </c>
      <c r="K647" s="117">
        <f t="shared" si="53"/>
        <v>0</v>
      </c>
      <c r="L647" s="118">
        <f>VLOOKUP(B647,'All Menu'!B:G,6,0)</f>
        <v>10.344827586206897</v>
      </c>
      <c r="M647" s="118">
        <f t="shared" si="54"/>
        <v>0</v>
      </c>
      <c r="N647" s="151">
        <f ca="1">VLOOKUP(B647,'All Menu'!B:H,7,0)</f>
        <v>9.5</v>
      </c>
    </row>
    <row r="648" spans="1:14" s="113" customFormat="1" ht="15.75" customHeight="1">
      <c r="A648" s="156" t="s">
        <v>2022</v>
      </c>
      <c r="B648" s="170" t="s">
        <v>1323</v>
      </c>
      <c r="C648" s="113" t="s">
        <v>1660</v>
      </c>
      <c r="D648" s="115" t="str">
        <f>VLOOKUP(B648,'All Menu'!B:D,3,0)</f>
        <v>التواصي سفري</v>
      </c>
      <c r="E648" s="116">
        <f t="shared" si="51"/>
        <v>17.241379310344829</v>
      </c>
      <c r="F648" s="119">
        <v>7</v>
      </c>
      <c r="G648" s="119">
        <v>120.68965517241381</v>
      </c>
      <c r="H648" s="115">
        <f>VLOOKUP(B648,'All Menu'!B:J,9,0)</f>
        <v>10.837016193463239</v>
      </c>
      <c r="I648" s="120">
        <f>VLOOKUP(B648,'All Menu'!B:M,12,0)</f>
        <v>0.3714530607791322</v>
      </c>
      <c r="J648" s="114">
        <f t="shared" si="52"/>
        <v>120.68965517241381</v>
      </c>
      <c r="K648" s="117">
        <f t="shared" si="53"/>
        <v>0</v>
      </c>
      <c r="L648" s="118">
        <f>VLOOKUP(B648,'All Menu'!B:G,6,0)</f>
        <v>17.241379310344829</v>
      </c>
      <c r="M648" s="118">
        <f t="shared" si="54"/>
        <v>0</v>
      </c>
      <c r="N648" s="151">
        <f ca="1">VLOOKUP(B648,'All Menu'!B:H,7,0)</f>
        <v>44</v>
      </c>
    </row>
    <row r="649" spans="1:14" s="113" customFormat="1" ht="15.75" customHeight="1">
      <c r="A649" s="156" t="s">
        <v>2022</v>
      </c>
      <c r="B649" s="170" t="s">
        <v>1159</v>
      </c>
      <c r="C649" s="113" t="s">
        <v>1657</v>
      </c>
      <c r="D649" s="115" t="str">
        <f>VLOOKUP(B649,'All Menu'!B:D,3,0)</f>
        <v>التواصي سفري2</v>
      </c>
      <c r="E649" s="116">
        <f t="shared" si="51"/>
        <v>17.241379310344829</v>
      </c>
      <c r="F649" s="119">
        <v>1.5</v>
      </c>
      <c r="G649" s="119">
        <v>25.862068965517246</v>
      </c>
      <c r="H649" s="115">
        <f>VLOOKUP(B649,'All Menu'!B:J,9,0)</f>
        <v>12.916885874910252</v>
      </c>
      <c r="I649" s="120">
        <f>VLOOKUP(B649,'All Menu'!B:M,12,0)</f>
        <v>0.25082061925520549</v>
      </c>
      <c r="J649" s="114">
        <f t="shared" si="52"/>
        <v>25.862068965517246</v>
      </c>
      <c r="K649" s="117">
        <f t="shared" si="53"/>
        <v>0</v>
      </c>
      <c r="L649" s="118">
        <f>VLOOKUP(B649,'All Menu'!B:G,6,0)</f>
        <v>17.241379310344829</v>
      </c>
      <c r="M649" s="118">
        <f t="shared" si="54"/>
        <v>0</v>
      </c>
      <c r="N649" s="151">
        <f ca="1">VLOOKUP(B649,'All Menu'!B:H,7,0)</f>
        <v>299.80099999999999</v>
      </c>
    </row>
    <row r="650" spans="1:14" s="113" customFormat="1" ht="15.75" customHeight="1">
      <c r="A650" s="156" t="s">
        <v>2022</v>
      </c>
      <c r="B650" s="170" t="s">
        <v>1159</v>
      </c>
      <c r="C650" s="113" t="s">
        <v>1657</v>
      </c>
      <c r="D650" s="115" t="str">
        <f>VLOOKUP(B650,'All Menu'!B:D,3,0)</f>
        <v>التواصي سفري2</v>
      </c>
      <c r="E650" s="116">
        <f t="shared" si="51"/>
        <v>17.241379310344829</v>
      </c>
      <c r="F650" s="119">
        <v>73.301000000000002</v>
      </c>
      <c r="G650" s="119">
        <v>1263.8103448275863</v>
      </c>
      <c r="H650" s="115">
        <f>VLOOKUP(B650,'All Menu'!B:J,9,0)</f>
        <v>12.916885874910252</v>
      </c>
      <c r="I650" s="120">
        <f>VLOOKUP(B650,'All Menu'!B:M,12,0)</f>
        <v>0.25082061925520549</v>
      </c>
      <c r="J650" s="114">
        <f t="shared" si="52"/>
        <v>1263.8103448275863</v>
      </c>
      <c r="K650" s="117">
        <f t="shared" si="53"/>
        <v>0</v>
      </c>
      <c r="L650" s="118">
        <f>VLOOKUP(B650,'All Menu'!B:G,6,0)</f>
        <v>17.241379310344829</v>
      </c>
      <c r="M650" s="118">
        <f t="shared" si="54"/>
        <v>0</v>
      </c>
      <c r="N650" s="151">
        <f ca="1">VLOOKUP(B650,'All Menu'!B:H,7,0)</f>
        <v>299.80099999999999</v>
      </c>
    </row>
    <row r="651" spans="1:14" s="113" customFormat="1" ht="15.75" customHeight="1">
      <c r="A651" s="156" t="s">
        <v>2022</v>
      </c>
      <c r="B651" s="170" t="s">
        <v>1161</v>
      </c>
      <c r="C651" s="113" t="s">
        <v>1380</v>
      </c>
      <c r="D651" s="115" t="str">
        <f>VLOOKUP(B651,'All Menu'!B:D,3,0)</f>
        <v>التواصي سفري2</v>
      </c>
      <c r="E651" s="116">
        <f t="shared" si="51"/>
        <v>17.241379310344829</v>
      </c>
      <c r="F651" s="119">
        <v>11.002000000000001</v>
      </c>
      <c r="G651" s="119">
        <v>189.68965517241384</v>
      </c>
      <c r="H651" s="115">
        <f>VLOOKUP(B651,'All Menu'!B:J,9,0)</f>
        <v>11.692330356220895</v>
      </c>
      <c r="I651" s="120">
        <f>VLOOKUP(B651,'All Menu'!B:M,12,0)</f>
        <v>0.32184483933918817</v>
      </c>
      <c r="J651" s="114">
        <f t="shared" si="52"/>
        <v>189.68965517241384</v>
      </c>
      <c r="K651" s="117">
        <f t="shared" si="53"/>
        <v>0</v>
      </c>
      <c r="L651" s="118">
        <f>VLOOKUP(B651,'All Menu'!B:G,6,0)</f>
        <v>17.241379310344829</v>
      </c>
      <c r="M651" s="118">
        <f t="shared" si="54"/>
        <v>0</v>
      </c>
      <c r="N651" s="151">
        <f ca="1">VLOOKUP(B651,'All Menu'!B:H,7,0)</f>
        <v>55.002000000000002</v>
      </c>
    </row>
    <row r="652" spans="1:14" s="113" customFormat="1" ht="15.75" customHeight="1">
      <c r="A652" s="156" t="s">
        <v>2022</v>
      </c>
      <c r="B652" s="170" t="s">
        <v>1161</v>
      </c>
      <c r="C652" s="113" t="s">
        <v>1380</v>
      </c>
      <c r="D652" s="115" t="str">
        <f>VLOOKUP(B652,'All Menu'!B:D,3,0)</f>
        <v>التواصي سفري2</v>
      </c>
      <c r="E652" s="116">
        <f t="shared" si="51"/>
        <v>17.241379310344829</v>
      </c>
      <c r="F652" s="119">
        <v>6</v>
      </c>
      <c r="G652" s="119">
        <v>103.44827586206898</v>
      </c>
      <c r="H652" s="115">
        <f>VLOOKUP(B652,'All Menu'!B:J,9,0)</f>
        <v>11.692330356220895</v>
      </c>
      <c r="I652" s="120">
        <f>VLOOKUP(B652,'All Menu'!B:M,12,0)</f>
        <v>0.32184483933918817</v>
      </c>
      <c r="J652" s="114">
        <f t="shared" si="52"/>
        <v>103.44827586206898</v>
      </c>
      <c r="K652" s="117">
        <f t="shared" si="53"/>
        <v>0</v>
      </c>
      <c r="L652" s="118">
        <f>VLOOKUP(B652,'All Menu'!B:G,6,0)</f>
        <v>17.241379310344829</v>
      </c>
      <c r="M652" s="118">
        <f t="shared" si="54"/>
        <v>0</v>
      </c>
      <c r="N652" s="151">
        <f ca="1">VLOOKUP(B652,'All Menu'!B:H,7,0)</f>
        <v>55.002000000000002</v>
      </c>
    </row>
    <row r="653" spans="1:14" s="113" customFormat="1" ht="15.75" customHeight="1">
      <c r="A653" s="156" t="s">
        <v>2022</v>
      </c>
      <c r="B653" s="170" t="s">
        <v>1240</v>
      </c>
      <c r="C653" s="113" t="s">
        <v>1658</v>
      </c>
      <c r="D653" s="115" t="str">
        <f>VLOOKUP(B653,'All Menu'!B:D,3,0)</f>
        <v>التواصي سفري2</v>
      </c>
      <c r="E653" s="116">
        <f t="shared" si="51"/>
        <v>14.925017241379313</v>
      </c>
      <c r="F653" s="119">
        <v>4</v>
      </c>
      <c r="G653" s="119">
        <v>59.700068965517254</v>
      </c>
      <c r="H653" s="115">
        <f>VLOOKUP(B653,'All Menu'!B:J,9,0)</f>
        <v>14.227830759766878</v>
      </c>
      <c r="I653" s="120">
        <f>VLOOKUP(B653,'All Menu'!B:M,12,0)</f>
        <v>0.249805287212292</v>
      </c>
      <c r="J653" s="114">
        <f t="shared" si="52"/>
        <v>75.862068965517253</v>
      </c>
      <c r="K653" s="117">
        <f t="shared" si="53"/>
        <v>-16.161999999999999</v>
      </c>
      <c r="L653" s="118">
        <f>VLOOKUP(B653,'All Menu'!B:G,6,0)</f>
        <v>18.965517241379313</v>
      </c>
      <c r="M653" s="118">
        <f t="shared" si="54"/>
        <v>-4.0404999999999998</v>
      </c>
      <c r="N653" s="151">
        <f ca="1">VLOOKUP(B653,'All Menu'!B:H,7,0)</f>
        <v>39.5</v>
      </c>
    </row>
    <row r="654" spans="1:14" s="113" customFormat="1" ht="15.75" customHeight="1">
      <c r="A654" s="156" t="s">
        <v>2022</v>
      </c>
      <c r="B654" s="170" t="s">
        <v>1325</v>
      </c>
      <c r="C654" s="113" t="s">
        <v>1383</v>
      </c>
      <c r="D654" s="115" t="str">
        <f>VLOOKUP(B654,'All Menu'!B:D,3,0)</f>
        <v>التواصي سفري2</v>
      </c>
      <c r="E654" s="116">
        <f t="shared" si="51"/>
        <v>14.210979310344829</v>
      </c>
      <c r="F654" s="119">
        <v>5</v>
      </c>
      <c r="G654" s="119">
        <v>71.054896551724141</v>
      </c>
      <c r="H654" s="115">
        <f>VLOOKUP(B654,'All Menu'!B:J,9,0)</f>
        <v>13.955534387552717</v>
      </c>
      <c r="I654" s="120">
        <f>VLOOKUP(B654,'All Menu'!B:M,12,0)</f>
        <v>0.19057900552194249</v>
      </c>
      <c r="J654" s="114">
        <f t="shared" si="52"/>
        <v>86.206896551724142</v>
      </c>
      <c r="K654" s="117">
        <f t="shared" si="53"/>
        <v>-15.152000000000001</v>
      </c>
      <c r="L654" s="118">
        <f>VLOOKUP(B654,'All Menu'!B:G,6,0)</f>
        <v>17.241379310344829</v>
      </c>
      <c r="M654" s="118">
        <f t="shared" si="54"/>
        <v>-3.0304000000000002</v>
      </c>
      <c r="N654" s="151">
        <f ca="1">VLOOKUP(B654,'All Menu'!B:H,7,0)</f>
        <v>7.25</v>
      </c>
    </row>
    <row r="655" spans="1:14" s="113" customFormat="1" ht="15.75" customHeight="1">
      <c r="A655" s="156" t="s">
        <v>2022</v>
      </c>
      <c r="B655" s="170" t="s">
        <v>1325</v>
      </c>
      <c r="C655" s="113" t="s">
        <v>1383</v>
      </c>
      <c r="D655" s="115" t="str">
        <f>VLOOKUP(B655,'All Menu'!B:D,3,0)</f>
        <v>التواصي سفري2</v>
      </c>
      <c r="E655" s="116">
        <f t="shared" si="51"/>
        <v>17.241379310344829</v>
      </c>
      <c r="F655" s="119">
        <v>2.25</v>
      </c>
      <c r="G655" s="119">
        <v>38.793103448275865</v>
      </c>
      <c r="H655" s="115">
        <f>VLOOKUP(B655,'All Menu'!B:J,9,0)</f>
        <v>13.955534387552717</v>
      </c>
      <c r="I655" s="120">
        <f>VLOOKUP(B655,'All Menu'!B:M,12,0)</f>
        <v>0.19057900552194249</v>
      </c>
      <c r="J655" s="114">
        <f t="shared" si="52"/>
        <v>38.793103448275865</v>
      </c>
      <c r="K655" s="117">
        <f t="shared" si="53"/>
        <v>0</v>
      </c>
      <c r="L655" s="118">
        <f>VLOOKUP(B655,'All Menu'!B:G,6,0)</f>
        <v>17.241379310344829</v>
      </c>
      <c r="M655" s="118">
        <f t="shared" si="54"/>
        <v>0</v>
      </c>
      <c r="N655" s="151">
        <f ca="1">VLOOKUP(B655,'All Menu'!B:H,7,0)</f>
        <v>7.25</v>
      </c>
    </row>
    <row r="656" spans="1:14" s="113" customFormat="1" ht="15.75" customHeight="1">
      <c r="A656" s="156" t="s">
        <v>2022</v>
      </c>
      <c r="B656" s="170" t="s">
        <v>1168</v>
      </c>
      <c r="C656" s="113" t="s">
        <v>1385</v>
      </c>
      <c r="D656" s="115" t="str">
        <f>VLOOKUP(B656,'All Menu'!B:D,3,0)</f>
        <v>التواصي سفري</v>
      </c>
      <c r="E656" s="116">
        <f t="shared" si="51"/>
        <v>9.3636662958843164</v>
      </c>
      <c r="F656" s="119">
        <v>46.5</v>
      </c>
      <c r="G656" s="119">
        <v>435.41048275862067</v>
      </c>
      <c r="H656" s="115">
        <f>VLOOKUP(B656,'All Menu'!B:J,9,0)</f>
        <v>5.4543656023286697</v>
      </c>
      <c r="I656" s="120">
        <f>VLOOKUP(B656,'All Menu'!B:M,12,0)</f>
        <v>0.47274465844156194</v>
      </c>
      <c r="J656" s="114">
        <f t="shared" si="52"/>
        <v>481.0344827586207</v>
      </c>
      <c r="K656" s="117">
        <f t="shared" si="53"/>
        <v>-45.624000000000024</v>
      </c>
      <c r="L656" s="118">
        <f>VLOOKUP(B656,'All Menu'!B:G,6,0)</f>
        <v>10.344827586206897</v>
      </c>
      <c r="M656" s="118">
        <f t="shared" si="54"/>
        <v>-0.98116129032258037</v>
      </c>
      <c r="N656" s="151">
        <f ca="1">VLOOKUP(B656,'All Menu'!B:H,7,0)</f>
        <v>172.5</v>
      </c>
    </row>
    <row r="657" spans="1:14" s="113" customFormat="1" ht="15.75" customHeight="1">
      <c r="A657" s="156" t="s">
        <v>2022</v>
      </c>
      <c r="B657" s="170" t="s">
        <v>1212</v>
      </c>
      <c r="C657" s="113" t="s">
        <v>1659</v>
      </c>
      <c r="D657" s="115" t="str">
        <f>VLOOKUP(B657,'All Menu'!B:D,3,0)</f>
        <v>التواصي سفري</v>
      </c>
      <c r="E657" s="116">
        <f t="shared" si="51"/>
        <v>5.1724137931034484</v>
      </c>
      <c r="F657" s="119">
        <v>4</v>
      </c>
      <c r="G657" s="119">
        <v>20.689655172413794</v>
      </c>
      <c r="H657" s="115">
        <f>VLOOKUP(B657,'All Menu'!B:J,9,0)</f>
        <v>3.1807436133539184</v>
      </c>
      <c r="I657" s="120">
        <f>VLOOKUP(B657,'All Menu'!B:M,12,0)</f>
        <v>0.3850562347515758</v>
      </c>
      <c r="J657" s="114">
        <f t="shared" si="52"/>
        <v>20.689655172413794</v>
      </c>
      <c r="K657" s="117">
        <f t="shared" si="53"/>
        <v>0</v>
      </c>
      <c r="L657" s="118">
        <f>VLOOKUP(B657,'All Menu'!B:G,6,0)</f>
        <v>5.1724137931034484</v>
      </c>
      <c r="M657" s="118">
        <f t="shared" si="54"/>
        <v>0</v>
      </c>
      <c r="N657" s="151">
        <f ca="1">VLOOKUP(B657,'All Menu'!B:H,7,0)</f>
        <v>26</v>
      </c>
    </row>
    <row r="658" spans="1:14" s="113" customFormat="1" ht="15.75" customHeight="1">
      <c r="A658" s="156" t="s">
        <v>2022</v>
      </c>
      <c r="B658" s="170" t="s">
        <v>1117</v>
      </c>
      <c r="C658" s="113" t="s">
        <v>1386</v>
      </c>
      <c r="D658" s="115" t="str">
        <f>VLOOKUP(B658,'All Menu'!B:D,3,0)</f>
        <v>التواصي سفري2</v>
      </c>
      <c r="E658" s="116">
        <f t="shared" si="51"/>
        <v>15.517241379310345</v>
      </c>
      <c r="F658" s="119">
        <v>2</v>
      </c>
      <c r="G658" s="119">
        <v>31.03448275862069</v>
      </c>
      <c r="H658" s="115">
        <f>VLOOKUP(B658,'All Menu'!B:J,9,0)</f>
        <v>3.7891944031919045</v>
      </c>
      <c r="I658" s="120">
        <f>VLOOKUP(B658,'All Menu'!B:M,12,0)</f>
        <v>0.75580747179429941</v>
      </c>
      <c r="J658" s="114">
        <f t="shared" si="52"/>
        <v>31.03448275862069</v>
      </c>
      <c r="K658" s="117">
        <f t="shared" si="53"/>
        <v>0</v>
      </c>
      <c r="L658" s="118">
        <f>VLOOKUP(B658,'All Menu'!B:G,6,0)</f>
        <v>15.517241379310345</v>
      </c>
      <c r="M658" s="118">
        <f t="shared" si="54"/>
        <v>0</v>
      </c>
      <c r="N658" s="151">
        <f ca="1">VLOOKUP(B658,'All Menu'!B:H,7,0)</f>
        <v>19.5</v>
      </c>
    </row>
    <row r="659" spans="1:14" s="113" customFormat="1" ht="15.75" customHeight="1">
      <c r="A659" s="156" t="s">
        <v>2022</v>
      </c>
      <c r="B659" s="170" t="s">
        <v>1117</v>
      </c>
      <c r="C659" s="113" t="s">
        <v>1386</v>
      </c>
      <c r="D659" s="115" t="str">
        <f>VLOOKUP(B659,'All Menu'!B:D,3,0)</f>
        <v>التواصي سفري2</v>
      </c>
      <c r="E659" s="116">
        <f t="shared" si="51"/>
        <v>15.517241379310345</v>
      </c>
      <c r="F659" s="119">
        <v>7</v>
      </c>
      <c r="G659" s="119">
        <v>108.62068965517241</v>
      </c>
      <c r="H659" s="115">
        <f>VLOOKUP(B659,'All Menu'!B:J,9,0)</f>
        <v>3.7891944031919045</v>
      </c>
      <c r="I659" s="120">
        <f>VLOOKUP(B659,'All Menu'!B:M,12,0)</f>
        <v>0.75580747179429941</v>
      </c>
      <c r="J659" s="114">
        <f t="shared" si="52"/>
        <v>108.62068965517241</v>
      </c>
      <c r="K659" s="117">
        <f t="shared" si="53"/>
        <v>0</v>
      </c>
      <c r="L659" s="118">
        <f>VLOOKUP(B659,'All Menu'!B:G,6,0)</f>
        <v>15.517241379310345</v>
      </c>
      <c r="M659" s="118">
        <f t="shared" si="54"/>
        <v>0</v>
      </c>
      <c r="N659" s="151">
        <f ca="1">VLOOKUP(B659,'All Menu'!B:H,7,0)</f>
        <v>19.5</v>
      </c>
    </row>
    <row r="660" spans="1:14" s="113" customFormat="1" ht="15.75" customHeight="1">
      <c r="A660" s="156" t="s">
        <v>2022</v>
      </c>
      <c r="B660" s="170" t="s">
        <v>1118</v>
      </c>
      <c r="C660" s="113" t="s">
        <v>1661</v>
      </c>
      <c r="D660" s="115" t="str">
        <f>VLOOKUP(B660,'All Menu'!B:D,3,0)</f>
        <v>التواصي سفري2</v>
      </c>
      <c r="E660" s="116">
        <f t="shared" si="51"/>
        <v>12.068965517241381</v>
      </c>
      <c r="F660" s="119">
        <v>1</v>
      </c>
      <c r="G660" s="119">
        <v>12.068965517241381</v>
      </c>
      <c r="H660" s="115">
        <f>VLOOKUP(B660,'All Menu'!B:J,9,0)</f>
        <v>3.0870830769230766</v>
      </c>
      <c r="I660" s="120">
        <f>VLOOKUP(B660,'All Menu'!B:M,12,0)</f>
        <v>0.74421311648351662</v>
      </c>
      <c r="J660" s="114">
        <f t="shared" si="52"/>
        <v>12.068965517241381</v>
      </c>
      <c r="K660" s="117">
        <f t="shared" si="53"/>
        <v>0</v>
      </c>
      <c r="L660" s="118">
        <f>VLOOKUP(B660,'All Menu'!B:G,6,0)</f>
        <v>12.068965517241381</v>
      </c>
      <c r="M660" s="118">
        <f t="shared" si="54"/>
        <v>0</v>
      </c>
      <c r="N660" s="151">
        <f ca="1">VLOOKUP(B660,'All Menu'!B:H,7,0)</f>
        <v>9</v>
      </c>
    </row>
    <row r="661" spans="1:14" s="113" customFormat="1" ht="15.75" customHeight="1">
      <c r="A661" s="156" t="s">
        <v>2022</v>
      </c>
      <c r="B661" s="170" t="s">
        <v>1118</v>
      </c>
      <c r="C661" s="113" t="s">
        <v>1661</v>
      </c>
      <c r="D661" s="115" t="str">
        <f>VLOOKUP(B661,'All Menu'!B:D,3,0)</f>
        <v>التواصي سفري2</v>
      </c>
      <c r="E661" s="116">
        <f t="shared" si="51"/>
        <v>12.068965517241381</v>
      </c>
      <c r="F661" s="119">
        <v>5</v>
      </c>
      <c r="G661" s="119">
        <v>60.344827586206904</v>
      </c>
      <c r="H661" s="115">
        <f>VLOOKUP(B661,'All Menu'!B:J,9,0)</f>
        <v>3.0870830769230766</v>
      </c>
      <c r="I661" s="120">
        <f>VLOOKUP(B661,'All Menu'!B:M,12,0)</f>
        <v>0.74421311648351662</v>
      </c>
      <c r="J661" s="114">
        <f t="shared" si="52"/>
        <v>60.344827586206904</v>
      </c>
      <c r="K661" s="117">
        <f t="shared" si="53"/>
        <v>0</v>
      </c>
      <c r="L661" s="118">
        <f>VLOOKUP(B661,'All Menu'!B:G,6,0)</f>
        <v>12.068965517241381</v>
      </c>
      <c r="M661" s="118">
        <f t="shared" si="54"/>
        <v>0</v>
      </c>
      <c r="N661" s="151">
        <f ca="1">VLOOKUP(B661,'All Menu'!B:H,7,0)</f>
        <v>9</v>
      </c>
    </row>
    <row r="662" spans="1:14" s="113" customFormat="1" ht="15.75" customHeight="1">
      <c r="A662" s="156" t="s">
        <v>2022</v>
      </c>
      <c r="B662" s="170" t="s">
        <v>1156</v>
      </c>
      <c r="C662" s="113" t="s">
        <v>1387</v>
      </c>
      <c r="D662" s="115" t="str">
        <f>VLOOKUP(B662,'All Menu'!B:D,3,0)</f>
        <v>التواصي سفري2</v>
      </c>
      <c r="E662" s="116">
        <f t="shared" si="51"/>
        <v>37.126436781609193</v>
      </c>
      <c r="F662" s="119">
        <v>3</v>
      </c>
      <c r="G662" s="119">
        <v>111.37931034482759</v>
      </c>
      <c r="H662" s="115">
        <f>VLOOKUP(B662,'All Menu'!B:J,9,0)</f>
        <v>23.594877294476447</v>
      </c>
      <c r="I662" s="120">
        <f>VLOOKUP(B662,'All Menu'!B:M,12,0)</f>
        <v>0.39177649640905166</v>
      </c>
      <c r="J662" s="114">
        <f t="shared" si="52"/>
        <v>116.37931034482759</v>
      </c>
      <c r="K662" s="117">
        <f t="shared" si="53"/>
        <v>-5</v>
      </c>
      <c r="L662" s="118">
        <f>VLOOKUP(B662,'All Menu'!B:G,6,0)</f>
        <v>38.793103448275865</v>
      </c>
      <c r="M662" s="118">
        <f t="shared" si="54"/>
        <v>-1.6666666666666714</v>
      </c>
      <c r="N662" s="151">
        <f ca="1">VLOOKUP(B662,'All Menu'!B:H,7,0)</f>
        <v>10</v>
      </c>
    </row>
    <row r="663" spans="1:14" s="113" customFormat="1" ht="15.75" customHeight="1">
      <c r="A663" s="156" t="s">
        <v>2022</v>
      </c>
      <c r="B663" s="170" t="s">
        <v>1119</v>
      </c>
      <c r="C663" s="113" t="s">
        <v>1662</v>
      </c>
      <c r="D663" s="115" t="str">
        <f>VLOOKUP(B663,'All Menu'!B:D,3,0)</f>
        <v>التواصي سفري2</v>
      </c>
      <c r="E663" s="116">
        <f t="shared" si="51"/>
        <v>21.551724137931036</v>
      </c>
      <c r="F663" s="119">
        <v>8</v>
      </c>
      <c r="G663" s="119">
        <v>172.41379310344828</v>
      </c>
      <c r="H663" s="115">
        <f>VLOOKUP(B663,'All Menu'!B:J,9,0)</f>
        <v>9.8006828329379871</v>
      </c>
      <c r="I663" s="120">
        <f>VLOOKUP(B663,'All Menu'!B:M,12,0)</f>
        <v>0.54524831655167738</v>
      </c>
      <c r="J663" s="114">
        <f t="shared" si="52"/>
        <v>172.41379310344828</v>
      </c>
      <c r="K663" s="117">
        <f t="shared" si="53"/>
        <v>0</v>
      </c>
      <c r="L663" s="118">
        <f>VLOOKUP(B663,'All Menu'!B:G,6,0)</f>
        <v>21.551724137931036</v>
      </c>
      <c r="M663" s="118">
        <f t="shared" si="54"/>
        <v>0</v>
      </c>
      <c r="N663" s="151">
        <f ca="1">VLOOKUP(B663,'All Menu'!B:H,7,0)</f>
        <v>29</v>
      </c>
    </row>
    <row r="664" spans="1:14" s="113" customFormat="1" ht="15.75" customHeight="1">
      <c r="A664" s="156" t="s">
        <v>2022</v>
      </c>
      <c r="B664" s="170" t="s">
        <v>1299</v>
      </c>
      <c r="C664" s="113" t="s">
        <v>1388</v>
      </c>
      <c r="D664" s="115" t="str">
        <f>VLOOKUP(B664,'All Menu'!B:D,3,0)</f>
        <v>التواصي سفري2</v>
      </c>
      <c r="E664" s="116">
        <f t="shared" si="51"/>
        <v>17.241379310344829</v>
      </c>
      <c r="F664" s="119">
        <v>3.5</v>
      </c>
      <c r="G664" s="119">
        <v>60.344827586206904</v>
      </c>
      <c r="H664" s="115">
        <f>VLOOKUP(B664,'All Menu'!B:J,9,0)</f>
        <v>9.9595579060900263</v>
      </c>
      <c r="I664" s="120">
        <f>VLOOKUP(B664,'All Menu'!B:M,12,0)</f>
        <v>0.42234564144677855</v>
      </c>
      <c r="J664" s="114">
        <f t="shared" si="52"/>
        <v>60.344827586206904</v>
      </c>
      <c r="K664" s="117">
        <f t="shared" si="53"/>
        <v>0</v>
      </c>
      <c r="L664" s="118">
        <f>VLOOKUP(B664,'All Menu'!B:G,6,0)</f>
        <v>17.241379310344829</v>
      </c>
      <c r="M664" s="118">
        <f t="shared" si="54"/>
        <v>0</v>
      </c>
      <c r="N664" s="151">
        <f ca="1">VLOOKUP(B664,'All Menu'!B:H,7,0)</f>
        <v>13</v>
      </c>
    </row>
    <row r="665" spans="1:14" s="113" customFormat="1" ht="15.75" customHeight="1">
      <c r="A665" s="156" t="s">
        <v>2022</v>
      </c>
      <c r="B665" s="170" t="s">
        <v>1324</v>
      </c>
      <c r="C665" s="113" t="s">
        <v>1667</v>
      </c>
      <c r="D665" s="115" t="str">
        <f>VLOOKUP(B665,'All Menu'!B:D,3,0)</f>
        <v>التواصي سفري2</v>
      </c>
      <c r="E665" s="116">
        <f t="shared" si="51"/>
        <v>17.241379310344829</v>
      </c>
      <c r="F665" s="119">
        <v>14</v>
      </c>
      <c r="G665" s="119">
        <v>241.37931034482762</v>
      </c>
      <c r="H665" s="115">
        <f>VLOOKUP(B665,'All Menu'!B:J,9,0)</f>
        <v>11.864188957746478</v>
      </c>
      <c r="I665" s="120">
        <f>VLOOKUP(B665,'All Menu'!B:M,12,0)</f>
        <v>0.31187704045070436</v>
      </c>
      <c r="J665" s="114">
        <f t="shared" si="52"/>
        <v>241.37931034482762</v>
      </c>
      <c r="K665" s="117">
        <f t="shared" si="53"/>
        <v>0</v>
      </c>
      <c r="L665" s="118">
        <f>VLOOKUP(B665,'All Menu'!B:G,6,0)</f>
        <v>17.241379310344829</v>
      </c>
      <c r="M665" s="118">
        <f t="shared" si="54"/>
        <v>0</v>
      </c>
      <c r="N665" s="151">
        <f ca="1">VLOOKUP(B665,'All Menu'!B:H,7,0)</f>
        <v>14</v>
      </c>
    </row>
    <row r="666" spans="1:14" s="113" customFormat="1" ht="15.75" customHeight="1">
      <c r="A666" s="156" t="s">
        <v>2022</v>
      </c>
      <c r="B666" s="170" t="s">
        <v>1322</v>
      </c>
      <c r="C666" s="113" t="s">
        <v>1834</v>
      </c>
      <c r="D666" s="115" t="str">
        <f>VLOOKUP(B666,'All Menu'!B:D,3,0)</f>
        <v>التواصي سفري2</v>
      </c>
      <c r="E666" s="116">
        <f t="shared" si="51"/>
        <v>4.3103448275862073</v>
      </c>
      <c r="F666" s="119">
        <v>12</v>
      </c>
      <c r="G666" s="119">
        <v>51.724137931034491</v>
      </c>
      <c r="H666" s="115">
        <f>VLOOKUP(B666,'All Menu'!B:J,9,0)</f>
        <v>2.3343672426090403</v>
      </c>
      <c r="I666" s="120">
        <f>VLOOKUP(B666,'All Menu'!B:M,12,0)</f>
        <v>0.45842679971470268</v>
      </c>
      <c r="J666" s="114">
        <f t="shared" si="52"/>
        <v>51.724137931034491</v>
      </c>
      <c r="K666" s="117">
        <f t="shared" si="53"/>
        <v>0</v>
      </c>
      <c r="L666" s="118">
        <f>VLOOKUP(B666,'All Menu'!B:G,6,0)</f>
        <v>4.3103448275862073</v>
      </c>
      <c r="M666" s="118">
        <f t="shared" si="54"/>
        <v>0</v>
      </c>
      <c r="N666" s="151">
        <f ca="1">VLOOKUP(B666,'All Menu'!B:H,7,0)</f>
        <v>24</v>
      </c>
    </row>
    <row r="667" spans="1:14" s="113" customFormat="1" ht="15.75" customHeight="1">
      <c r="A667" s="156" t="s">
        <v>2022</v>
      </c>
      <c r="B667" s="170" t="s">
        <v>966</v>
      </c>
      <c r="C667" s="113" t="s">
        <v>1392</v>
      </c>
      <c r="D667" s="115" t="str">
        <f>VLOOKUP(B667,'All Menu'!B:D,3,0)</f>
        <v>المشاوي سفري</v>
      </c>
      <c r="E667" s="116">
        <f t="shared" si="51"/>
        <v>5.9913793103448283</v>
      </c>
      <c r="F667" s="119">
        <v>5.0010000000000003</v>
      </c>
      <c r="G667" s="119">
        <v>29.962887931034487</v>
      </c>
      <c r="H667" s="115">
        <f>VLOOKUP(B667,'All Menu'!B:J,9,0)</f>
        <v>3.6686979324224152</v>
      </c>
      <c r="I667" s="120">
        <f>VLOOKUP(B667,'All Menu'!B:M,12,0)</f>
        <v>0.38767056091942431</v>
      </c>
      <c r="J667" s="114">
        <f t="shared" si="52"/>
        <v>29.962887931034487</v>
      </c>
      <c r="K667" s="117">
        <f t="shared" si="53"/>
        <v>0</v>
      </c>
      <c r="L667" s="118">
        <f>VLOOKUP(B667,'All Menu'!B:G,6,0)</f>
        <v>5.9913793103448283</v>
      </c>
      <c r="M667" s="118">
        <f t="shared" si="54"/>
        <v>0</v>
      </c>
      <c r="N667" s="151">
        <f ca="1">VLOOKUP(B667,'All Menu'!B:H,7,0)</f>
        <v>25.001000000000001</v>
      </c>
    </row>
    <row r="668" spans="1:14" s="113" customFormat="1" ht="15.75" customHeight="1">
      <c r="A668" s="156" t="s">
        <v>2022</v>
      </c>
      <c r="B668" s="170" t="s">
        <v>964</v>
      </c>
      <c r="C668" s="113" t="s">
        <v>1393</v>
      </c>
      <c r="D668" s="115" t="str">
        <f>VLOOKUP(B668,'All Menu'!B:D,3,0)</f>
        <v>المشاوي سفري</v>
      </c>
      <c r="E668" s="116">
        <f t="shared" si="51"/>
        <v>5.6896551724137936</v>
      </c>
      <c r="F668" s="119">
        <v>7</v>
      </c>
      <c r="G668" s="119">
        <v>39.827586206896555</v>
      </c>
      <c r="H668" s="115">
        <f>VLOOKUP(B668,'All Menu'!B:J,9,0)</f>
        <v>3.7688742119978325</v>
      </c>
      <c r="I668" s="120">
        <f>VLOOKUP(B668,'All Menu'!B:M,12,0)</f>
        <v>0.33759180516401738</v>
      </c>
      <c r="J668" s="114">
        <f t="shared" si="52"/>
        <v>39.827586206896555</v>
      </c>
      <c r="K668" s="117">
        <f t="shared" si="53"/>
        <v>0</v>
      </c>
      <c r="L668" s="118">
        <f>VLOOKUP(B668,'All Menu'!B:G,6,0)</f>
        <v>5.6896551724137936</v>
      </c>
      <c r="M668" s="118">
        <f t="shared" si="54"/>
        <v>0</v>
      </c>
      <c r="N668" s="151">
        <f ca="1">VLOOKUP(B668,'All Menu'!B:H,7,0)</f>
        <v>55</v>
      </c>
    </row>
    <row r="669" spans="1:14" s="113" customFormat="1" ht="15.75" customHeight="1">
      <c r="A669" s="156" t="s">
        <v>2022</v>
      </c>
      <c r="B669" s="170" t="s">
        <v>967</v>
      </c>
      <c r="C669" s="113" t="s">
        <v>1394</v>
      </c>
      <c r="D669" s="115" t="str">
        <f>VLOOKUP(B669,'All Menu'!B:D,3,0)</f>
        <v>المشاوي سفري</v>
      </c>
      <c r="E669" s="116">
        <f t="shared" si="51"/>
        <v>7.1120689655172411</v>
      </c>
      <c r="F669" s="119">
        <v>5</v>
      </c>
      <c r="G669" s="119">
        <v>35.560344827586206</v>
      </c>
      <c r="H669" s="115">
        <f>VLOOKUP(B669,'All Menu'!B:J,9,0)</f>
        <v>6.3656279160317544</v>
      </c>
      <c r="I669" s="120">
        <f>VLOOKUP(B669,'All Menu'!B:M,12,0)</f>
        <v>0.10495413544280795</v>
      </c>
      <c r="J669" s="114">
        <f t="shared" ref="J669:J732" si="55">F669*L669</f>
        <v>35.560344827586206</v>
      </c>
      <c r="K669" s="117">
        <f t="shared" ref="K669:K732" si="56">G669-J669</f>
        <v>0</v>
      </c>
      <c r="L669" s="118">
        <f>VLOOKUP(B669,'All Menu'!B:G,6,0)</f>
        <v>7.112068965517242</v>
      </c>
      <c r="M669" s="118">
        <f t="shared" ref="M669:M732" si="57">E669-L669</f>
        <v>0</v>
      </c>
      <c r="N669" s="151">
        <f ca="1">VLOOKUP(B669,'All Menu'!B:H,7,0)</f>
        <v>54</v>
      </c>
    </row>
    <row r="670" spans="1:14" s="113" customFormat="1" ht="15.75" customHeight="1">
      <c r="A670" s="156" t="s">
        <v>2022</v>
      </c>
      <c r="B670" s="170" t="s">
        <v>965</v>
      </c>
      <c r="C670" s="113" t="s">
        <v>1395</v>
      </c>
      <c r="D670" s="115" t="str">
        <f>VLOOKUP(B670,'All Menu'!B:D,3,0)</f>
        <v>المشاوي سفري</v>
      </c>
      <c r="E670" s="116">
        <f t="shared" ref="E670:E733" si="58">G670/F670</f>
        <v>4.7413793103448283</v>
      </c>
      <c r="F670" s="119">
        <v>10.000999999999999</v>
      </c>
      <c r="G670" s="119">
        <v>47.418534482758623</v>
      </c>
      <c r="H670" s="115">
        <f>VLOOKUP(B670,'All Menu'!B:J,9,0)</f>
        <v>1.6773279540549295</v>
      </c>
      <c r="I670" s="120">
        <f>VLOOKUP(B670,'All Menu'!B:M,12,0)</f>
        <v>0.64623628605386951</v>
      </c>
      <c r="J670" s="114">
        <f t="shared" si="55"/>
        <v>47.418534482758623</v>
      </c>
      <c r="K670" s="117">
        <f t="shared" si="56"/>
        <v>0</v>
      </c>
      <c r="L670" s="118">
        <f>VLOOKUP(B670,'All Menu'!B:G,6,0)</f>
        <v>4.7413793103448283</v>
      </c>
      <c r="M670" s="118">
        <f t="shared" si="57"/>
        <v>0</v>
      </c>
      <c r="N670" s="151">
        <f ca="1">VLOOKUP(B670,'All Menu'!B:H,7,0)</f>
        <v>59.000999999999998</v>
      </c>
    </row>
    <row r="671" spans="1:14" s="113" customFormat="1" ht="15.75" customHeight="1">
      <c r="A671" s="156" t="s">
        <v>2022</v>
      </c>
      <c r="B671" s="170" t="s">
        <v>1068</v>
      </c>
      <c r="C671" s="113" t="s">
        <v>1396</v>
      </c>
      <c r="D671" s="115" t="str">
        <f>VLOOKUP(B671,'All Menu'!B:D,3,0)</f>
        <v>المشاوي سفري</v>
      </c>
      <c r="E671" s="116">
        <f t="shared" si="58"/>
        <v>10.129310344827587</v>
      </c>
      <c r="F671" s="119">
        <v>12</v>
      </c>
      <c r="G671" s="119">
        <v>121.55172413793105</v>
      </c>
      <c r="H671" s="115">
        <f>VLOOKUP(B671,'All Menu'!B:J,9,0)</f>
        <v>8.5399233888278197</v>
      </c>
      <c r="I671" s="120">
        <f>VLOOKUP(B671,'All Menu'!B:M,12,0)</f>
        <v>0.1569096909752962</v>
      </c>
      <c r="J671" s="114">
        <f t="shared" si="55"/>
        <v>121.55172413793105</v>
      </c>
      <c r="K671" s="117">
        <f t="shared" si="56"/>
        <v>0</v>
      </c>
      <c r="L671" s="118">
        <f>VLOOKUP(B671,'All Menu'!B:G,6,0)</f>
        <v>10.129310344827587</v>
      </c>
      <c r="M671" s="118">
        <f t="shared" si="57"/>
        <v>0</v>
      </c>
      <c r="N671" s="151">
        <f ca="1">VLOOKUP(B671,'All Menu'!B:H,7,0)</f>
        <v>44</v>
      </c>
    </row>
    <row r="672" spans="1:14" s="113" customFormat="1" ht="15.75" customHeight="1">
      <c r="A672" s="156" t="s">
        <v>2022</v>
      </c>
      <c r="B672" s="170" t="s">
        <v>1067</v>
      </c>
      <c r="C672" s="113" t="s">
        <v>1397</v>
      </c>
      <c r="D672" s="115" t="str">
        <f>VLOOKUP(B672,'All Menu'!B:D,3,0)</f>
        <v>المشاوي سفري</v>
      </c>
      <c r="E672" s="116">
        <f t="shared" si="58"/>
        <v>18.53448275862069</v>
      </c>
      <c r="F672" s="119">
        <v>27</v>
      </c>
      <c r="G672" s="119">
        <v>500.43103448275866</v>
      </c>
      <c r="H672" s="115">
        <f>VLOOKUP(B672,'All Menu'!B:J,9,0)</f>
        <v>13.396247348151649</v>
      </c>
      <c r="I672" s="120">
        <f>VLOOKUP(B672,'All Menu'!B:M,12,0)</f>
        <v>0.27722572447181804</v>
      </c>
      <c r="J672" s="114">
        <f t="shared" si="55"/>
        <v>500.43103448275866</v>
      </c>
      <c r="K672" s="117">
        <f t="shared" si="56"/>
        <v>0</v>
      </c>
      <c r="L672" s="118">
        <f>VLOOKUP(B672,'All Menu'!B:G,6,0)</f>
        <v>18.53448275862069</v>
      </c>
      <c r="M672" s="118">
        <f t="shared" si="57"/>
        <v>0</v>
      </c>
      <c r="N672" s="151">
        <f ca="1">VLOOKUP(B672,'All Menu'!B:H,7,0)</f>
        <v>184</v>
      </c>
    </row>
    <row r="673" spans="1:14" s="113" customFormat="1" ht="15.75" customHeight="1">
      <c r="A673" s="156" t="s">
        <v>2022</v>
      </c>
      <c r="B673" s="170" t="s">
        <v>957</v>
      </c>
      <c r="C673" s="113" t="s">
        <v>1398</v>
      </c>
      <c r="D673" s="115" t="str">
        <f>VLOOKUP(B673,'All Menu'!B:D,3,0)</f>
        <v>المشاوي سفري</v>
      </c>
      <c r="E673" s="116">
        <f t="shared" si="58"/>
        <v>12.5</v>
      </c>
      <c r="F673" s="119">
        <v>6.0010000000000003</v>
      </c>
      <c r="G673" s="119">
        <v>75.012500000000003</v>
      </c>
      <c r="H673" s="115">
        <f>VLOOKUP(B673,'All Menu'!B:J,9,0)</f>
        <v>9.7921151018464965</v>
      </c>
      <c r="I673" s="120">
        <f>VLOOKUP(B673,'All Menu'!B:M,12,0)</f>
        <v>0.21663079185228029</v>
      </c>
      <c r="J673" s="114">
        <f t="shared" si="55"/>
        <v>75.012500000000003</v>
      </c>
      <c r="K673" s="117">
        <f t="shared" si="56"/>
        <v>0</v>
      </c>
      <c r="L673" s="118">
        <f>VLOOKUP(B673,'All Menu'!B:G,6,0)</f>
        <v>12.5</v>
      </c>
      <c r="M673" s="118">
        <f t="shared" si="57"/>
        <v>0</v>
      </c>
      <c r="N673" s="151">
        <f ca="1">VLOOKUP(B673,'All Menu'!B:H,7,0)</f>
        <v>74.801000000000002</v>
      </c>
    </row>
    <row r="674" spans="1:14" s="113" customFormat="1" ht="15.75" customHeight="1">
      <c r="A674" s="156" t="s">
        <v>2022</v>
      </c>
      <c r="B674" s="170" t="s">
        <v>950</v>
      </c>
      <c r="C674" s="113" t="s">
        <v>1399</v>
      </c>
      <c r="D674" s="115" t="str">
        <f>VLOOKUP(B674,'All Menu'!B:D,3,0)</f>
        <v>المشاوي سفري</v>
      </c>
      <c r="E674" s="116">
        <f t="shared" si="58"/>
        <v>23.706896551724139</v>
      </c>
      <c r="F674" s="119">
        <v>3.0001000000000002</v>
      </c>
      <c r="G674" s="119">
        <v>71.123060344827593</v>
      </c>
      <c r="H674" s="115">
        <f>VLOOKUP(B674,'All Menu'!B:J,9,0)</f>
        <v>21.859353332193056</v>
      </c>
      <c r="I674" s="120">
        <f>VLOOKUP(B674,'All Menu'!B:M,12,0)</f>
        <v>7.7932732169311139E-2</v>
      </c>
      <c r="J674" s="114">
        <f t="shared" si="55"/>
        <v>71.123060344827593</v>
      </c>
      <c r="K674" s="117">
        <f t="shared" si="56"/>
        <v>0</v>
      </c>
      <c r="L674" s="118">
        <f>VLOOKUP(B674,'All Menu'!B:G,6,0)</f>
        <v>23.706896551724139</v>
      </c>
      <c r="M674" s="118">
        <f t="shared" si="57"/>
        <v>0</v>
      </c>
      <c r="N674" s="151">
        <f ca="1">VLOOKUP(B674,'All Menu'!B:H,7,0)</f>
        <v>88.350099999999998</v>
      </c>
    </row>
    <row r="675" spans="1:14" s="113" customFormat="1" ht="15.75" customHeight="1">
      <c r="A675" s="156" t="s">
        <v>2022</v>
      </c>
      <c r="B675" s="170" t="s">
        <v>959</v>
      </c>
      <c r="C675" s="113" t="s">
        <v>1400</v>
      </c>
      <c r="D675" s="115" t="str">
        <f>VLOOKUP(B675,'All Menu'!B:D,3,0)</f>
        <v>المشاوي سفري</v>
      </c>
      <c r="E675" s="116">
        <f t="shared" si="58"/>
        <v>9.4827586206896566</v>
      </c>
      <c r="F675" s="119">
        <v>11</v>
      </c>
      <c r="G675" s="119">
        <v>104.31034482758622</v>
      </c>
      <c r="H675" s="115">
        <f>VLOOKUP(B675,'All Menu'!B:J,9,0)</f>
        <v>6.4946902839713658</v>
      </c>
      <c r="I675" s="120">
        <f>VLOOKUP(B675,'All Menu'!B:M,12,0)</f>
        <v>0.31510538823574696</v>
      </c>
      <c r="J675" s="114">
        <f t="shared" si="55"/>
        <v>104.31034482758622</v>
      </c>
      <c r="K675" s="117">
        <f t="shared" si="56"/>
        <v>0</v>
      </c>
      <c r="L675" s="118">
        <f>VLOOKUP(B675,'All Menu'!B:G,6,0)</f>
        <v>9.4827586206896566</v>
      </c>
      <c r="M675" s="118">
        <f t="shared" si="57"/>
        <v>0</v>
      </c>
      <c r="N675" s="151">
        <f ca="1">VLOOKUP(B675,'All Menu'!B:H,7,0)</f>
        <v>113.8</v>
      </c>
    </row>
    <row r="676" spans="1:14" s="113" customFormat="1" ht="15.75" customHeight="1">
      <c r="A676" s="156" t="s">
        <v>2022</v>
      </c>
      <c r="B676" s="170" t="s">
        <v>952</v>
      </c>
      <c r="C676" s="113" t="s">
        <v>1401</v>
      </c>
      <c r="D676" s="115" t="str">
        <f>VLOOKUP(B676,'All Menu'!B:D,3,0)</f>
        <v>المشاوي سفري</v>
      </c>
      <c r="E676" s="116">
        <f t="shared" si="58"/>
        <v>17.569378493586417</v>
      </c>
      <c r="F676" s="119">
        <v>9.0010999999999992</v>
      </c>
      <c r="G676" s="119">
        <v>158.14373275862067</v>
      </c>
      <c r="H676" s="115">
        <f>VLOOKUP(B676,'All Menu'!B:J,9,0)</f>
        <v>12.512937550011697</v>
      </c>
      <c r="I676" s="120">
        <f>VLOOKUP(B676,'All Menu'!B:M,12,0)</f>
        <v>0.32488336939471774</v>
      </c>
      <c r="J676" s="114">
        <f t="shared" si="55"/>
        <v>166.83073275862068</v>
      </c>
      <c r="K676" s="117">
        <f t="shared" si="56"/>
        <v>-8.6870000000000118</v>
      </c>
      <c r="L676" s="118">
        <f>VLOOKUP(B676,'All Menu'!B:G,6,0)</f>
        <v>18.53448275862069</v>
      </c>
      <c r="M676" s="118">
        <f t="shared" si="57"/>
        <v>-0.96510426503427382</v>
      </c>
      <c r="N676" s="151">
        <f ca="1">VLOOKUP(B676,'All Menu'!B:H,7,0)</f>
        <v>174.75110000000001</v>
      </c>
    </row>
    <row r="677" spans="1:14" s="113" customFormat="1" ht="15.75" customHeight="1">
      <c r="A677" s="156" t="s">
        <v>2022</v>
      </c>
      <c r="B677" s="170" t="s">
        <v>960</v>
      </c>
      <c r="C677" s="113" t="s">
        <v>1672</v>
      </c>
      <c r="D677" s="115" t="str">
        <f>VLOOKUP(B677,'All Menu'!B:D,3,0)</f>
        <v>المشاوي سفري</v>
      </c>
      <c r="E677" s="116">
        <f t="shared" si="58"/>
        <v>7.7586206896551726</v>
      </c>
      <c r="F677" s="119">
        <v>3.0009999999999999</v>
      </c>
      <c r="G677" s="119">
        <v>23.283620689655173</v>
      </c>
      <c r="H677" s="115">
        <f>VLOOKUP(B677,'All Menu'!B:J,9,0)</f>
        <v>3.136900159373992</v>
      </c>
      <c r="I677" s="120">
        <f>VLOOKUP(B677,'All Menu'!B:M,12,0)</f>
        <v>0.59568842390290766</v>
      </c>
      <c r="J677" s="114">
        <f t="shared" si="55"/>
        <v>23.283620689655173</v>
      </c>
      <c r="K677" s="117">
        <f t="shared" si="56"/>
        <v>0</v>
      </c>
      <c r="L677" s="118">
        <f>VLOOKUP(B677,'All Menu'!B:G,6,0)</f>
        <v>7.7586206896551726</v>
      </c>
      <c r="M677" s="118">
        <f t="shared" si="57"/>
        <v>0</v>
      </c>
      <c r="N677" s="151">
        <f ca="1">VLOOKUP(B677,'All Menu'!B:H,7,0)</f>
        <v>56.250999999999998</v>
      </c>
    </row>
    <row r="678" spans="1:14" s="113" customFormat="1" ht="15.75" customHeight="1">
      <c r="A678" s="156" t="s">
        <v>2022</v>
      </c>
      <c r="B678" s="170" t="s">
        <v>954</v>
      </c>
      <c r="C678" s="113" t="s">
        <v>1402</v>
      </c>
      <c r="D678" s="115" t="str">
        <f>VLOOKUP(B678,'All Menu'!B:D,3,0)</f>
        <v>المشاوي سفري</v>
      </c>
      <c r="E678" s="116">
        <f t="shared" si="58"/>
        <v>14.655172413793105</v>
      </c>
      <c r="F678" s="119">
        <v>4</v>
      </c>
      <c r="G678" s="119">
        <v>58.62068965517242</v>
      </c>
      <c r="H678" s="115">
        <f>VLOOKUP(B678,'All Menu'!B:J,9,0)</f>
        <v>5.6704266024752172</v>
      </c>
      <c r="I678" s="120">
        <f>VLOOKUP(B678,'All Menu'!B:M,12,0)</f>
        <v>0.61307677300757346</v>
      </c>
      <c r="J678" s="114">
        <f t="shared" si="55"/>
        <v>58.62068965517242</v>
      </c>
      <c r="K678" s="117">
        <f t="shared" si="56"/>
        <v>0</v>
      </c>
      <c r="L678" s="118">
        <f>VLOOKUP(B678,'All Menu'!B:G,6,0)</f>
        <v>14.655172413793105</v>
      </c>
      <c r="M678" s="118">
        <f t="shared" si="57"/>
        <v>0</v>
      </c>
      <c r="N678" s="151">
        <f ca="1">VLOOKUP(B678,'All Menu'!B:H,7,0)</f>
        <v>61.2</v>
      </c>
    </row>
    <row r="679" spans="1:14" s="113" customFormat="1" ht="15.75" customHeight="1">
      <c r="A679" s="156" t="s">
        <v>2022</v>
      </c>
      <c r="B679" s="170" t="s">
        <v>961</v>
      </c>
      <c r="C679" s="113" t="s">
        <v>1403</v>
      </c>
      <c r="D679" s="115" t="str">
        <f>VLOOKUP(B679,'All Menu'!B:D,3,0)</f>
        <v>المشاوي سفري</v>
      </c>
      <c r="E679" s="116">
        <f t="shared" si="58"/>
        <v>11.63793103448276</v>
      </c>
      <c r="F679" s="119">
        <v>3</v>
      </c>
      <c r="G679" s="119">
        <v>34.913793103448278</v>
      </c>
      <c r="H679" s="115">
        <f>VLOOKUP(B679,'All Menu'!B:J,9,0)</f>
        <v>7.7324063313202105</v>
      </c>
      <c r="I679" s="120">
        <f>VLOOKUP(B679,'All Menu'!B:M,12,0)</f>
        <v>0.33558582634581902</v>
      </c>
      <c r="J679" s="114">
        <f t="shared" si="55"/>
        <v>34.913793103448278</v>
      </c>
      <c r="K679" s="117">
        <f t="shared" si="56"/>
        <v>0</v>
      </c>
      <c r="L679" s="118">
        <f>VLOOKUP(B679,'All Menu'!B:G,6,0)</f>
        <v>11.63793103448276</v>
      </c>
      <c r="M679" s="118">
        <f t="shared" si="57"/>
        <v>0</v>
      </c>
      <c r="N679" s="151">
        <f ca="1">VLOOKUP(B679,'All Menu'!B:H,7,0)</f>
        <v>16</v>
      </c>
    </row>
    <row r="680" spans="1:14" s="113" customFormat="1" ht="15.75" customHeight="1">
      <c r="A680" s="156" t="s">
        <v>2022</v>
      </c>
      <c r="B680" s="170" t="s">
        <v>953</v>
      </c>
      <c r="C680" s="113" t="s">
        <v>1673</v>
      </c>
      <c r="D680" s="115" t="str">
        <f>VLOOKUP(B680,'All Menu'!B:D,3,0)</f>
        <v>المشاوي سفري</v>
      </c>
      <c r="E680" s="116">
        <f t="shared" si="58"/>
        <v>21.551724137931039</v>
      </c>
      <c r="F680" s="119">
        <v>1E-4</v>
      </c>
      <c r="G680" s="119">
        <v>2.1551724137931039E-3</v>
      </c>
      <c r="H680" s="115">
        <f>VLOOKUP(B680,'All Menu'!B:J,9,0)</f>
        <v>14.858878515880367</v>
      </c>
      <c r="I680" s="120">
        <f>VLOOKUP(B680,'All Menu'!B:M,12,0)</f>
        <v>0.31054803686315102</v>
      </c>
      <c r="J680" s="114">
        <f t="shared" si="55"/>
        <v>2.1551724137931039E-3</v>
      </c>
      <c r="K680" s="117">
        <f t="shared" si="56"/>
        <v>0</v>
      </c>
      <c r="L680" s="118">
        <f>VLOOKUP(B680,'All Menu'!B:G,6,0)</f>
        <v>21.551724137931036</v>
      </c>
      <c r="M680" s="118">
        <f t="shared" si="57"/>
        <v>0</v>
      </c>
      <c r="N680" s="151">
        <f ca="1">VLOOKUP(B680,'All Menu'!B:H,7,0)</f>
        <v>20.900099999999998</v>
      </c>
    </row>
    <row r="681" spans="1:14" s="113" customFormat="1" ht="15.75" customHeight="1">
      <c r="A681" s="156" t="s">
        <v>2022</v>
      </c>
      <c r="B681" s="170" t="s">
        <v>958</v>
      </c>
      <c r="C681" s="113" t="s">
        <v>1769</v>
      </c>
      <c r="D681" s="115" t="str">
        <f>VLOOKUP(B681,'All Menu'!B:D,3,0)</f>
        <v>المشاوي سفري</v>
      </c>
      <c r="E681" s="116">
        <f t="shared" si="58"/>
        <v>7.7586206896551726</v>
      </c>
      <c r="F681" s="119">
        <v>1</v>
      </c>
      <c r="G681" s="119">
        <v>7.7586206896551726</v>
      </c>
      <c r="H681" s="115">
        <f>VLOOKUP(B681,'All Menu'!B:J,9,0)</f>
        <v>3.1783996947637747</v>
      </c>
      <c r="I681" s="120">
        <f>VLOOKUP(B681,'All Menu'!B:M,12,0)</f>
        <v>0.59033959489711352</v>
      </c>
      <c r="J681" s="114">
        <f t="shared" si="55"/>
        <v>7.7586206896551726</v>
      </c>
      <c r="K681" s="117">
        <f t="shared" si="56"/>
        <v>0</v>
      </c>
      <c r="L681" s="118">
        <f>VLOOKUP(B681,'All Menu'!B:G,6,0)</f>
        <v>7.7586206896551726</v>
      </c>
      <c r="M681" s="118">
        <f t="shared" si="57"/>
        <v>0</v>
      </c>
      <c r="N681" s="151">
        <f ca="1">VLOOKUP(B681,'All Menu'!B:H,7,0)</f>
        <v>4</v>
      </c>
    </row>
    <row r="682" spans="1:14" s="113" customFormat="1" ht="15.75" customHeight="1">
      <c r="A682" s="156" t="s">
        <v>2022</v>
      </c>
      <c r="B682" s="170" t="s">
        <v>951</v>
      </c>
      <c r="C682" s="113" t="s">
        <v>1674</v>
      </c>
      <c r="D682" s="115" t="str">
        <f>VLOOKUP(B682,'All Menu'!B:D,3,0)</f>
        <v>المشاوي سفري</v>
      </c>
      <c r="E682" s="116">
        <f t="shared" si="58"/>
        <v>13.793103448275863</v>
      </c>
      <c r="F682" s="119">
        <v>1</v>
      </c>
      <c r="G682" s="119">
        <v>13.793103448275863</v>
      </c>
      <c r="H682" s="115">
        <f>VLOOKUP(B682,'All Menu'!B:J,9,0)</f>
        <v>5.2933006210056091</v>
      </c>
      <c r="I682" s="120">
        <f>VLOOKUP(B682,'All Menu'!B:M,12,0)</f>
        <v>0.61623570497709346</v>
      </c>
      <c r="J682" s="114">
        <f t="shared" si="55"/>
        <v>13.793103448275863</v>
      </c>
      <c r="K682" s="117">
        <f t="shared" si="56"/>
        <v>0</v>
      </c>
      <c r="L682" s="118">
        <f>VLOOKUP(B682,'All Menu'!B:G,6,0)</f>
        <v>13.793103448275863</v>
      </c>
      <c r="M682" s="118">
        <f t="shared" si="57"/>
        <v>0</v>
      </c>
      <c r="N682" s="151">
        <f ca="1">VLOOKUP(B682,'All Menu'!B:H,7,0)</f>
        <v>5</v>
      </c>
    </row>
    <row r="683" spans="1:14" s="113" customFormat="1" ht="15.75" customHeight="1">
      <c r="A683" s="156" t="s">
        <v>2022</v>
      </c>
      <c r="B683" s="170" t="s">
        <v>963</v>
      </c>
      <c r="C683" s="113" t="s">
        <v>1404</v>
      </c>
      <c r="D683" s="115" t="str">
        <f>VLOOKUP(B683,'All Menu'!B:D,3,0)</f>
        <v>المشاوي سفري</v>
      </c>
      <c r="E683" s="116">
        <f t="shared" si="58"/>
        <v>3.4396092160371707</v>
      </c>
      <c r="F683" s="119">
        <v>42.000100000000003</v>
      </c>
      <c r="G683" s="119">
        <v>144.46393103448278</v>
      </c>
      <c r="H683" s="115">
        <f>VLOOKUP(B683,'All Menu'!B:J,9,0)</f>
        <v>2.7230676011278017</v>
      </c>
      <c r="I683" s="120">
        <f>VLOOKUP(B683,'All Menu'!B:M,12,0)</f>
        <v>0.21031039567293758</v>
      </c>
      <c r="J683" s="114">
        <f t="shared" si="55"/>
        <v>144.82793103448279</v>
      </c>
      <c r="K683" s="117">
        <f t="shared" si="56"/>
        <v>-0.36400000000000432</v>
      </c>
      <c r="L683" s="118">
        <f>VLOOKUP(B683,'All Menu'!B:G,6,0)</f>
        <v>3.4482758620689657</v>
      </c>
      <c r="M683" s="118">
        <f t="shared" si="57"/>
        <v>-8.6666460317950111E-3</v>
      </c>
      <c r="N683" s="151">
        <f ca="1">VLOOKUP(B683,'All Menu'!B:H,7,0)</f>
        <v>511.00009999999997</v>
      </c>
    </row>
    <row r="684" spans="1:14" s="113" customFormat="1" ht="15.75" customHeight="1">
      <c r="A684" s="156" t="s">
        <v>2022</v>
      </c>
      <c r="B684" s="170" t="s">
        <v>956</v>
      </c>
      <c r="C684" s="113" t="s">
        <v>1405</v>
      </c>
      <c r="D684" s="115" t="str">
        <f>VLOOKUP(B684,'All Menu'!B:D,3,0)</f>
        <v>المشاوي سفري</v>
      </c>
      <c r="E684" s="116">
        <f t="shared" si="58"/>
        <v>6.0108316047140367</v>
      </c>
      <c r="F684" s="119">
        <v>89.001999999999995</v>
      </c>
      <c r="G684" s="119">
        <v>534.97603448275868</v>
      </c>
      <c r="H684" s="115">
        <f>VLOOKUP(B684,'All Menu'!B:J,9,0)</f>
        <v>4.8935270251662928</v>
      </c>
      <c r="I684" s="120">
        <f>VLOOKUP(B684,'All Menu'!B:M,12,0)</f>
        <v>0.18907266440101445</v>
      </c>
      <c r="J684" s="114">
        <f t="shared" si="55"/>
        <v>537.0810344827587</v>
      </c>
      <c r="K684" s="117">
        <f t="shared" si="56"/>
        <v>-2.1050000000000182</v>
      </c>
      <c r="L684" s="118">
        <f>VLOOKUP(B684,'All Menu'!B:G,6,0)</f>
        <v>6.0344827586206904</v>
      </c>
      <c r="M684" s="118">
        <f t="shared" si="57"/>
        <v>-2.3651153906653732E-2</v>
      </c>
      <c r="N684" s="151">
        <f ca="1">VLOOKUP(B684,'All Menu'!B:H,7,0)</f>
        <v>771.00199999999995</v>
      </c>
    </row>
    <row r="685" spans="1:14" s="113" customFormat="1" ht="15.75" customHeight="1">
      <c r="A685" s="156" t="s">
        <v>2022</v>
      </c>
      <c r="B685" s="170" t="s">
        <v>978</v>
      </c>
      <c r="C685" s="113" t="s">
        <v>1389</v>
      </c>
      <c r="D685" s="115" t="str">
        <f>VLOOKUP(B685,'All Menu'!B:D,3,0)</f>
        <v>المشاوي سفري2</v>
      </c>
      <c r="E685" s="116">
        <f t="shared" si="58"/>
        <v>1.7241379310344829</v>
      </c>
      <c r="F685" s="119">
        <v>2</v>
      </c>
      <c r="G685" s="119">
        <v>3.4482758620689657</v>
      </c>
      <c r="H685" s="115">
        <f>VLOOKUP(B685,'All Menu'!B:J,9,0)</f>
        <v>0.99520715447080943</v>
      </c>
      <c r="I685" s="120">
        <f>VLOOKUP(B685,'All Menu'!B:M,12,0)</f>
        <v>0.42277985040693056</v>
      </c>
      <c r="J685" s="114">
        <f t="shared" si="55"/>
        <v>3.4482758620689657</v>
      </c>
      <c r="K685" s="117">
        <f t="shared" si="56"/>
        <v>0</v>
      </c>
      <c r="L685" s="118">
        <f>VLOOKUP(B685,'All Menu'!B:G,6,0)</f>
        <v>1.7241379310344829</v>
      </c>
      <c r="M685" s="118">
        <f t="shared" si="57"/>
        <v>0</v>
      </c>
      <c r="N685" s="151">
        <f ca="1">VLOOKUP(B685,'All Menu'!B:H,7,0)</f>
        <v>23</v>
      </c>
    </row>
    <row r="686" spans="1:14" s="113" customFormat="1" ht="15.75" customHeight="1">
      <c r="A686" s="156" t="s">
        <v>2022</v>
      </c>
      <c r="B686" s="170" t="s">
        <v>981</v>
      </c>
      <c r="C686" s="113" t="s">
        <v>1771</v>
      </c>
      <c r="D686" s="115" t="str">
        <f>VLOOKUP(B686,'All Menu'!B:D,3,0)</f>
        <v>المشاوي سفري2</v>
      </c>
      <c r="E686" s="116">
        <f t="shared" si="58"/>
        <v>2.7586206896551726</v>
      </c>
      <c r="F686" s="119">
        <v>1</v>
      </c>
      <c r="G686" s="119">
        <v>2.7586206896551726</v>
      </c>
      <c r="H686" s="115">
        <f>VLOOKUP(B686,'All Menu'!B:J,9,0)</f>
        <v>1.2831405478838851</v>
      </c>
      <c r="I686" s="120">
        <f>VLOOKUP(B686,'All Menu'!B:M,12,0)</f>
        <v>0.53486155139209168</v>
      </c>
      <c r="J686" s="114">
        <f t="shared" si="55"/>
        <v>2.7586206896551726</v>
      </c>
      <c r="K686" s="117">
        <f t="shared" si="56"/>
        <v>0</v>
      </c>
      <c r="L686" s="118">
        <f>VLOOKUP(B686,'All Menu'!B:G,6,0)</f>
        <v>2.7586206896551726</v>
      </c>
      <c r="M686" s="118">
        <f t="shared" si="57"/>
        <v>0</v>
      </c>
      <c r="N686" s="151">
        <f ca="1">VLOOKUP(B686,'All Menu'!B:H,7,0)</f>
        <v>1</v>
      </c>
    </row>
    <row r="687" spans="1:14" s="113" customFormat="1" ht="15.75" customHeight="1">
      <c r="A687" s="156" t="s">
        <v>2022</v>
      </c>
      <c r="B687" s="170" t="s">
        <v>971</v>
      </c>
      <c r="C687" s="113" t="s">
        <v>1407</v>
      </c>
      <c r="D687" s="115" t="str">
        <f>VLOOKUP(B687,'All Menu'!B:D,3,0)</f>
        <v>المشاوي سفري2</v>
      </c>
      <c r="E687" s="116">
        <f t="shared" si="58"/>
        <v>1.9351278991884022</v>
      </c>
      <c r="F687" s="119">
        <v>146.00399999999999</v>
      </c>
      <c r="G687" s="119">
        <v>282.53641379310346</v>
      </c>
      <c r="H687" s="115">
        <f>VLOOKUP(B687,'All Menu'!B:J,9,0)</f>
        <v>0.9825894471323211</v>
      </c>
      <c r="I687" s="120">
        <f>VLOOKUP(B687,'All Menu'!B:M,12,0)</f>
        <v>0.49342055170067001</v>
      </c>
      <c r="J687" s="114">
        <f t="shared" si="55"/>
        <v>283.19741379310346</v>
      </c>
      <c r="K687" s="117">
        <f t="shared" si="56"/>
        <v>-0.66100000000000136</v>
      </c>
      <c r="L687" s="118">
        <f>VLOOKUP(B687,'All Menu'!B:G,6,0)</f>
        <v>1.9396551724137931</v>
      </c>
      <c r="M687" s="118">
        <f t="shared" si="57"/>
        <v>-4.5272732253909265E-3</v>
      </c>
      <c r="N687" s="151">
        <f ca="1">VLOOKUP(B687,'All Menu'!B:H,7,0)</f>
        <v>1296.0039999999999</v>
      </c>
    </row>
    <row r="688" spans="1:14" s="113" customFormat="1" ht="15.75" customHeight="1">
      <c r="A688" s="156" t="s">
        <v>2022</v>
      </c>
      <c r="B688" s="170" t="s">
        <v>975</v>
      </c>
      <c r="C688" s="113" t="s">
        <v>1408</v>
      </c>
      <c r="D688" s="115" t="str">
        <f>VLOOKUP(B688,'All Menu'!B:D,3,0)</f>
        <v>المشاوي سفري2</v>
      </c>
      <c r="E688" s="116">
        <f t="shared" si="58"/>
        <v>2.8017241379310347</v>
      </c>
      <c r="F688" s="119">
        <v>27</v>
      </c>
      <c r="G688" s="119">
        <v>75.646551724137936</v>
      </c>
      <c r="H688" s="115">
        <f>VLOOKUP(B688,'All Menu'!B:J,9,0)</f>
        <v>1.7564933001329548</v>
      </c>
      <c r="I688" s="120">
        <f>VLOOKUP(B688,'All Menu'!B:M,12,0)</f>
        <v>0.37306700672177617</v>
      </c>
      <c r="J688" s="114">
        <f t="shared" si="55"/>
        <v>75.646551724137936</v>
      </c>
      <c r="K688" s="117">
        <f t="shared" si="56"/>
        <v>0</v>
      </c>
      <c r="L688" s="118">
        <f>VLOOKUP(B688,'All Menu'!B:G,6,0)</f>
        <v>2.8017241379310347</v>
      </c>
      <c r="M688" s="118">
        <f t="shared" si="57"/>
        <v>0</v>
      </c>
      <c r="N688" s="151">
        <f ca="1">VLOOKUP(B688,'All Menu'!B:H,7,0)</f>
        <v>303</v>
      </c>
    </row>
    <row r="689" spans="1:14" s="113" customFormat="1" ht="15.75" customHeight="1">
      <c r="A689" s="156" t="s">
        <v>2022</v>
      </c>
      <c r="B689" s="170" t="s">
        <v>976</v>
      </c>
      <c r="C689" s="113" t="s">
        <v>1409</v>
      </c>
      <c r="D689" s="115" t="str">
        <f>VLOOKUP(B689,'All Menu'!B:D,3,0)</f>
        <v>المشاوي سفري2</v>
      </c>
      <c r="E689" s="116">
        <f t="shared" si="58"/>
        <v>2.8017241379310347</v>
      </c>
      <c r="F689" s="119">
        <v>12.001099999999999</v>
      </c>
      <c r="G689" s="119">
        <v>33.62377155172414</v>
      </c>
      <c r="H689" s="115">
        <f>VLOOKUP(B689,'All Menu'!B:J,9,0)</f>
        <v>2.3988635967239338</v>
      </c>
      <c r="I689" s="120">
        <f>VLOOKUP(B689,'All Menu'!B:M,12,0)</f>
        <v>0.14379022393853447</v>
      </c>
      <c r="J689" s="114">
        <f t="shared" si="55"/>
        <v>33.62377155172414</v>
      </c>
      <c r="K689" s="117">
        <f t="shared" si="56"/>
        <v>0</v>
      </c>
      <c r="L689" s="118">
        <f>VLOOKUP(B689,'All Menu'!B:G,6,0)</f>
        <v>2.8017241379310347</v>
      </c>
      <c r="M689" s="118">
        <f t="shared" si="57"/>
        <v>0</v>
      </c>
      <c r="N689" s="151">
        <f ca="1">VLOOKUP(B689,'All Menu'!B:H,7,0)</f>
        <v>202.00110000000001</v>
      </c>
    </row>
    <row r="690" spans="1:14" s="113" customFormat="1" ht="15.75" customHeight="1">
      <c r="A690" s="156" t="s">
        <v>2022</v>
      </c>
      <c r="B690" s="170" t="s">
        <v>982</v>
      </c>
      <c r="C690" s="113" t="s">
        <v>1410</v>
      </c>
      <c r="D690" s="115" t="str">
        <f>VLOOKUP(B690,'All Menu'!B:D,3,0)</f>
        <v>المشاوي سفري2</v>
      </c>
      <c r="E690" s="116">
        <f t="shared" si="58"/>
        <v>4.9568965517241379</v>
      </c>
      <c r="F690" s="119">
        <v>1E-4</v>
      </c>
      <c r="G690" s="119">
        <v>4.9568965517241383E-4</v>
      </c>
      <c r="H690" s="115">
        <f>VLOOKUP(B690,'All Menu'!B:J,9,0)</f>
        <v>4.4283782633905995</v>
      </c>
      <c r="I690" s="120">
        <f>VLOOKUP(B690,'All Menu'!B:M,12,0)</f>
        <v>0.10662281990728775</v>
      </c>
      <c r="J690" s="114">
        <f t="shared" si="55"/>
        <v>4.9568965517241383E-4</v>
      </c>
      <c r="K690" s="117">
        <f t="shared" si="56"/>
        <v>0</v>
      </c>
      <c r="L690" s="118">
        <f>VLOOKUP(B690,'All Menu'!B:G,6,0)</f>
        <v>4.9568965517241379</v>
      </c>
      <c r="M690" s="118">
        <f t="shared" si="57"/>
        <v>0</v>
      </c>
      <c r="N690" s="151">
        <f ca="1">VLOOKUP(B690,'All Menu'!B:H,7,0)</f>
        <v>40.000100000000003</v>
      </c>
    </row>
    <row r="691" spans="1:14" s="113" customFormat="1" ht="15.75" customHeight="1">
      <c r="A691" s="156" t="s">
        <v>2022</v>
      </c>
      <c r="B691" s="170" t="s">
        <v>979</v>
      </c>
      <c r="C691" s="113" t="s">
        <v>1411</v>
      </c>
      <c r="D691" s="115" t="str">
        <f>VLOOKUP(B691,'All Menu'!B:D,3,0)</f>
        <v>المشاوي سفري2</v>
      </c>
      <c r="E691" s="116">
        <f t="shared" si="58"/>
        <v>1.9259462061316683</v>
      </c>
      <c r="F691" s="119">
        <v>110.001</v>
      </c>
      <c r="G691" s="119">
        <v>211.85600862068966</v>
      </c>
      <c r="H691" s="115">
        <f>VLOOKUP(B691,'All Menu'!B:J,9,0)</f>
        <v>0.77954251079060299</v>
      </c>
      <c r="I691" s="120">
        <f>VLOOKUP(B691,'All Menu'!B:M,12,0)</f>
        <v>0.59810252777017803</v>
      </c>
      <c r="J691" s="114">
        <f t="shared" si="55"/>
        <v>213.36400862068967</v>
      </c>
      <c r="K691" s="117">
        <f t="shared" si="56"/>
        <v>-1.5080000000000098</v>
      </c>
      <c r="L691" s="118">
        <f>VLOOKUP(B691,'All Menu'!B:G,6,0)</f>
        <v>1.9396551724137931</v>
      </c>
      <c r="M691" s="118">
        <f t="shared" si="57"/>
        <v>-1.3708966282124813E-2</v>
      </c>
      <c r="N691" s="151">
        <f ca="1">VLOOKUP(B691,'All Menu'!B:H,7,0)</f>
        <v>782.00099999999998</v>
      </c>
    </row>
    <row r="692" spans="1:14" s="113" customFormat="1" ht="15.75" customHeight="1">
      <c r="A692" s="156" t="s">
        <v>2022</v>
      </c>
      <c r="B692" s="170" t="s">
        <v>983</v>
      </c>
      <c r="C692" s="113" t="s">
        <v>1412</v>
      </c>
      <c r="D692" s="115" t="str">
        <f>VLOOKUP(B692,'All Menu'!B:D,3,0)</f>
        <v>المشاوي سفري2</v>
      </c>
      <c r="E692" s="116">
        <f t="shared" si="58"/>
        <v>3.2327586206896552</v>
      </c>
      <c r="F692" s="119">
        <v>26.001000000000001</v>
      </c>
      <c r="G692" s="119">
        <v>84.05495689655173</v>
      </c>
      <c r="H692" s="115">
        <f>VLOOKUP(B692,'All Menu'!B:J,9,0)</f>
        <v>1.2707311640531975</v>
      </c>
      <c r="I692" s="120">
        <f>VLOOKUP(B692,'All Menu'!B:M,12,0)</f>
        <v>0.60692049325287756</v>
      </c>
      <c r="J692" s="114">
        <f t="shared" si="55"/>
        <v>84.05495689655173</v>
      </c>
      <c r="K692" s="117">
        <f t="shared" si="56"/>
        <v>0</v>
      </c>
      <c r="L692" s="118">
        <f>VLOOKUP(B692,'All Menu'!B:G,6,0)</f>
        <v>3.2327586206896552</v>
      </c>
      <c r="M692" s="118">
        <f t="shared" si="57"/>
        <v>0</v>
      </c>
      <c r="N692" s="151">
        <f ca="1">VLOOKUP(B692,'All Menu'!B:H,7,0)</f>
        <v>132.001</v>
      </c>
    </row>
    <row r="693" spans="1:14" s="113" customFormat="1" ht="15.75" customHeight="1">
      <c r="A693" s="156" t="s">
        <v>2022</v>
      </c>
      <c r="B693" s="170" t="s">
        <v>972</v>
      </c>
      <c r="C693" s="113" t="s">
        <v>1413</v>
      </c>
      <c r="D693" s="115" t="str">
        <f>VLOOKUP(B693,'All Menu'!B:D,3,0)</f>
        <v>المشاوي سفري2</v>
      </c>
      <c r="E693" s="116">
        <f t="shared" si="58"/>
        <v>1.2931034482758621</v>
      </c>
      <c r="F693" s="119">
        <v>10</v>
      </c>
      <c r="G693" s="119">
        <v>12.931034482758621</v>
      </c>
      <c r="H693" s="115">
        <f>VLOOKUP(B693,'All Menu'!B:J,9,0)</f>
        <v>0.70647592238991186</v>
      </c>
      <c r="I693" s="120">
        <f>VLOOKUP(B693,'All Menu'!B:M,12,0)</f>
        <v>0.45365862001846818</v>
      </c>
      <c r="J693" s="114">
        <f t="shared" si="55"/>
        <v>12.931034482758621</v>
      </c>
      <c r="K693" s="117">
        <f t="shared" si="56"/>
        <v>0</v>
      </c>
      <c r="L693" s="118">
        <f>VLOOKUP(B693,'All Menu'!B:G,6,0)</f>
        <v>1.2931034482758621</v>
      </c>
      <c r="M693" s="118">
        <f t="shared" si="57"/>
        <v>0</v>
      </c>
      <c r="N693" s="151">
        <f ca="1">VLOOKUP(B693,'All Menu'!B:H,7,0)</f>
        <v>37</v>
      </c>
    </row>
    <row r="694" spans="1:14" s="113" customFormat="1" ht="15.75" customHeight="1">
      <c r="A694" s="156" t="s">
        <v>2022</v>
      </c>
      <c r="B694" s="170" t="s">
        <v>977</v>
      </c>
      <c r="C694" s="113" t="s">
        <v>1414</v>
      </c>
      <c r="D694" s="115" t="str">
        <f>VLOOKUP(B694,'All Menu'!B:D,3,0)</f>
        <v>المشاوي سفري2</v>
      </c>
      <c r="E694" s="116">
        <f t="shared" si="58"/>
        <v>3.6637931034482762</v>
      </c>
      <c r="F694" s="119">
        <v>10</v>
      </c>
      <c r="G694" s="119">
        <v>36.637931034482762</v>
      </c>
      <c r="H694" s="115">
        <f>VLOOKUP(B694,'All Menu'!B:J,9,0)</f>
        <v>3.1797157827930547</v>
      </c>
      <c r="I694" s="120">
        <f>VLOOKUP(B694,'All Menu'!B:M,12,0)</f>
        <v>0.13212463340236635</v>
      </c>
      <c r="J694" s="114">
        <f t="shared" si="55"/>
        <v>36.637931034482762</v>
      </c>
      <c r="K694" s="117">
        <f t="shared" si="56"/>
        <v>0</v>
      </c>
      <c r="L694" s="118">
        <f>VLOOKUP(B694,'All Menu'!B:G,6,0)</f>
        <v>3.6637931034482762</v>
      </c>
      <c r="M694" s="118">
        <f t="shared" si="57"/>
        <v>0</v>
      </c>
      <c r="N694" s="151">
        <f ca="1">VLOOKUP(B694,'All Menu'!B:H,7,0)</f>
        <v>108</v>
      </c>
    </row>
    <row r="695" spans="1:14" s="113" customFormat="1" ht="15.75" customHeight="1">
      <c r="A695" s="156" t="s">
        <v>2022</v>
      </c>
      <c r="B695" s="170" t="s">
        <v>985</v>
      </c>
      <c r="C695" s="113" t="s">
        <v>1415</v>
      </c>
      <c r="D695" s="115" t="str">
        <f>VLOOKUP(B695,'All Menu'!B:D,3,0)</f>
        <v>المشاوي سفري2</v>
      </c>
      <c r="E695" s="116">
        <f t="shared" si="58"/>
        <v>3.0172413793103452</v>
      </c>
      <c r="F695" s="119">
        <v>4</v>
      </c>
      <c r="G695" s="119">
        <v>12.068965517241381</v>
      </c>
      <c r="H695" s="115">
        <f>VLOOKUP(B695,'All Menu'!B:J,9,0)</f>
        <v>2.8033576186383069</v>
      </c>
      <c r="I695" s="120">
        <f>VLOOKUP(B695,'All Menu'!B:M,12,0)</f>
        <v>7.0887189251304106E-2</v>
      </c>
      <c r="J695" s="114">
        <f t="shared" si="55"/>
        <v>12.068965517241381</v>
      </c>
      <c r="K695" s="117">
        <f t="shared" si="56"/>
        <v>0</v>
      </c>
      <c r="L695" s="118">
        <f>VLOOKUP(B695,'All Menu'!B:G,6,0)</f>
        <v>3.0172413793103452</v>
      </c>
      <c r="M695" s="118">
        <f t="shared" si="57"/>
        <v>0</v>
      </c>
      <c r="N695" s="151">
        <f ca="1">VLOOKUP(B695,'All Menu'!B:H,7,0)</f>
        <v>12</v>
      </c>
    </row>
    <row r="696" spans="1:14" s="113" customFormat="1" ht="15.75" customHeight="1">
      <c r="A696" s="156" t="s">
        <v>2022</v>
      </c>
      <c r="B696" s="170" t="s">
        <v>1206</v>
      </c>
      <c r="C696" s="113" t="s">
        <v>1675</v>
      </c>
      <c r="D696" s="115" t="str">
        <f>VLOOKUP(B696,'All Menu'!B:D,3,0)</f>
        <v>المشاوي سفري2</v>
      </c>
      <c r="E696" s="116">
        <f t="shared" si="58"/>
        <v>2.3706896551724141</v>
      </c>
      <c r="F696" s="119">
        <v>4</v>
      </c>
      <c r="G696" s="119">
        <v>9.4827586206896566</v>
      </c>
      <c r="H696" s="115">
        <f>VLOOKUP(B696,'All Menu'!B:J,9,0)</f>
        <v>2.0415146666666666</v>
      </c>
      <c r="I696" s="120">
        <f>VLOOKUP(B696,'All Menu'!B:M,12,0)</f>
        <v>0.13885199515151531</v>
      </c>
      <c r="J696" s="114">
        <f t="shared" si="55"/>
        <v>9.4827586206896566</v>
      </c>
      <c r="K696" s="117">
        <f t="shared" si="56"/>
        <v>0</v>
      </c>
      <c r="L696" s="118">
        <f>VLOOKUP(B696,'All Menu'!B:G,6,0)</f>
        <v>2.3706896551724141</v>
      </c>
      <c r="M696" s="118">
        <f t="shared" si="57"/>
        <v>0</v>
      </c>
      <c r="N696" s="151">
        <f ca="1">VLOOKUP(B696,'All Menu'!B:H,7,0)</f>
        <v>23</v>
      </c>
    </row>
    <row r="697" spans="1:14" s="113" customFormat="1" ht="15.75" customHeight="1">
      <c r="A697" s="156" t="s">
        <v>2022</v>
      </c>
      <c r="B697" s="170" t="s">
        <v>1136</v>
      </c>
      <c r="C697" s="113" t="s">
        <v>1680</v>
      </c>
      <c r="D697" s="115" t="str">
        <f>VLOOKUP(B697,'All Menu'!B:D,3,0)</f>
        <v>المشاوي سفري2</v>
      </c>
      <c r="E697" s="116">
        <f t="shared" si="58"/>
        <v>1.9396551724137931</v>
      </c>
      <c r="F697" s="119">
        <v>7</v>
      </c>
      <c r="G697" s="119">
        <v>13.577586206896552</v>
      </c>
      <c r="H697" s="115">
        <f>VLOOKUP(B697,'All Menu'!B:J,9,0)</f>
        <v>1.1636090242685133</v>
      </c>
      <c r="I697" s="120">
        <f>VLOOKUP(B697,'All Menu'!B:M,12,0)</f>
        <v>0.4000949030437887</v>
      </c>
      <c r="J697" s="114">
        <f t="shared" si="55"/>
        <v>13.577586206896552</v>
      </c>
      <c r="K697" s="117">
        <f t="shared" si="56"/>
        <v>0</v>
      </c>
      <c r="L697" s="118">
        <f>VLOOKUP(B697,'All Menu'!B:G,6,0)</f>
        <v>1.9396551724137931</v>
      </c>
      <c r="M697" s="118">
        <f t="shared" si="57"/>
        <v>0</v>
      </c>
      <c r="N697" s="151">
        <f ca="1">VLOOKUP(B697,'All Menu'!B:H,7,0)</f>
        <v>65</v>
      </c>
    </row>
    <row r="698" spans="1:14" s="113" customFormat="1" ht="15.75" customHeight="1">
      <c r="A698" s="156" t="s">
        <v>2022</v>
      </c>
      <c r="B698" s="170" t="s">
        <v>1137</v>
      </c>
      <c r="C698" s="113" t="s">
        <v>1420</v>
      </c>
      <c r="D698" s="115" t="str">
        <f>VLOOKUP(B698,'All Menu'!B:D,3,0)</f>
        <v>المشاوي سفري2</v>
      </c>
      <c r="E698" s="116">
        <f t="shared" si="58"/>
        <v>1.7241379310344829</v>
      </c>
      <c r="F698" s="119">
        <v>3.0030000000000001</v>
      </c>
      <c r="G698" s="119">
        <v>5.1775862068965521</v>
      </c>
      <c r="H698" s="115">
        <f>VLOOKUP(B698,'All Menu'!B:J,9,0)</f>
        <v>0.5</v>
      </c>
      <c r="I698" s="120">
        <f>VLOOKUP(B698,'All Menu'!B:M,12,0)</f>
        <v>0.71</v>
      </c>
      <c r="J698" s="114">
        <f t="shared" si="55"/>
        <v>5.1775862068965521</v>
      </c>
      <c r="K698" s="117">
        <f t="shared" si="56"/>
        <v>0</v>
      </c>
      <c r="L698" s="118">
        <f>VLOOKUP(B698,'All Menu'!B:G,6,0)</f>
        <v>1.7241379310344829</v>
      </c>
      <c r="M698" s="118">
        <f t="shared" si="57"/>
        <v>0</v>
      </c>
      <c r="N698" s="151">
        <f ca="1">VLOOKUP(B698,'All Menu'!B:H,7,0)</f>
        <v>14.003</v>
      </c>
    </row>
    <row r="699" spans="1:14" s="113" customFormat="1" ht="15.75" customHeight="1">
      <c r="A699" s="156" t="s">
        <v>2022</v>
      </c>
      <c r="B699" s="170" t="s">
        <v>1139</v>
      </c>
      <c r="C699" s="113" t="s">
        <v>1676</v>
      </c>
      <c r="D699" s="115" t="str">
        <f>VLOOKUP(B699,'All Menu'!B:D,3,0)</f>
        <v>المشاوي سفري2</v>
      </c>
      <c r="E699" s="116">
        <f t="shared" si="58"/>
        <v>1.2931034482758621</v>
      </c>
      <c r="F699" s="119">
        <v>2</v>
      </c>
      <c r="G699" s="119">
        <v>2.5862068965517242</v>
      </c>
      <c r="H699" s="115">
        <f>VLOOKUP(B699,'All Menu'!B:J,9,0)</f>
        <v>0.70000000000000007</v>
      </c>
      <c r="I699" s="120">
        <f>VLOOKUP(B699,'All Menu'!B:M,12,0)</f>
        <v>0.45866666666666661</v>
      </c>
      <c r="J699" s="114">
        <f t="shared" si="55"/>
        <v>2.5862068965517242</v>
      </c>
      <c r="K699" s="117">
        <f t="shared" si="56"/>
        <v>0</v>
      </c>
      <c r="L699" s="118">
        <f>VLOOKUP(B699,'All Menu'!B:G,6,0)</f>
        <v>1.2931034482758621</v>
      </c>
      <c r="M699" s="118">
        <f t="shared" si="57"/>
        <v>0</v>
      </c>
      <c r="N699" s="151">
        <f ca="1">VLOOKUP(B699,'All Menu'!B:H,7,0)</f>
        <v>4</v>
      </c>
    </row>
    <row r="700" spans="1:14" s="113" customFormat="1" ht="15.75" customHeight="1">
      <c r="A700" s="156" t="s">
        <v>2022</v>
      </c>
      <c r="B700" s="170" t="s">
        <v>1141</v>
      </c>
      <c r="C700" s="113" t="s">
        <v>1677</v>
      </c>
      <c r="D700" s="115" t="str">
        <f>VLOOKUP(B700,'All Menu'!B:D,3,0)</f>
        <v>المشاوي سفري2</v>
      </c>
      <c r="E700" s="116">
        <f t="shared" si="58"/>
        <v>0.64655172413793105</v>
      </c>
      <c r="F700" s="119">
        <v>0.501</v>
      </c>
      <c r="G700" s="119">
        <v>0.32392241379310344</v>
      </c>
      <c r="H700" s="115">
        <f>VLOOKUP(B700,'All Menu'!B:J,9,0)</f>
        <v>0.11697</v>
      </c>
      <c r="I700" s="120">
        <f>VLOOKUP(B700,'All Menu'!B:M,12,0)</f>
        <v>0.81908639999999999</v>
      </c>
      <c r="J700" s="114">
        <f t="shared" si="55"/>
        <v>0.32392241379310344</v>
      </c>
      <c r="K700" s="117">
        <f t="shared" si="56"/>
        <v>0</v>
      </c>
      <c r="L700" s="118">
        <f>VLOOKUP(B700,'All Menu'!B:G,6,0)</f>
        <v>0.64655172413793105</v>
      </c>
      <c r="M700" s="118">
        <f t="shared" si="57"/>
        <v>0</v>
      </c>
      <c r="N700" s="151">
        <f ca="1">VLOOKUP(B700,'All Menu'!B:H,7,0)</f>
        <v>2.5009999999999999</v>
      </c>
    </row>
    <row r="701" spans="1:14" s="113" customFormat="1" ht="15.75" customHeight="1">
      <c r="A701" s="156" t="s">
        <v>2022</v>
      </c>
      <c r="B701" s="170" t="s">
        <v>1140</v>
      </c>
      <c r="C701" s="113" t="s">
        <v>1678</v>
      </c>
      <c r="D701" s="115" t="str">
        <f>VLOOKUP(B701,'All Menu'!B:D,3,0)</f>
        <v>المشاوي سفري2</v>
      </c>
      <c r="E701" s="116">
        <f t="shared" si="58"/>
        <v>0.64655172413793105</v>
      </c>
      <c r="F701" s="119">
        <v>0.5</v>
      </c>
      <c r="G701" s="119">
        <v>0.32327586206896552</v>
      </c>
      <c r="H701" s="115">
        <f>VLOOKUP(B701,'All Menu'!B:J,9,0)</f>
        <v>0.11097000000000001</v>
      </c>
      <c r="I701" s="120">
        <f>VLOOKUP(B701,'All Menu'!B:M,12,0)</f>
        <v>0.82836639999999995</v>
      </c>
      <c r="J701" s="114">
        <f t="shared" si="55"/>
        <v>0.32327586206896552</v>
      </c>
      <c r="K701" s="117">
        <f t="shared" si="56"/>
        <v>0</v>
      </c>
      <c r="L701" s="118">
        <f>VLOOKUP(B701,'All Menu'!B:G,6,0)</f>
        <v>0.64655172413793105</v>
      </c>
      <c r="M701" s="118">
        <f t="shared" si="57"/>
        <v>0</v>
      </c>
      <c r="N701" s="151">
        <f ca="1">VLOOKUP(B701,'All Menu'!B:H,7,0)</f>
        <v>17.5</v>
      </c>
    </row>
    <row r="702" spans="1:14" s="113" customFormat="1" ht="15.75" customHeight="1">
      <c r="A702" s="156" t="s">
        <v>2022</v>
      </c>
      <c r="B702" s="170" t="s">
        <v>1207</v>
      </c>
      <c r="C702" s="113" t="s">
        <v>1416</v>
      </c>
      <c r="D702" s="115" t="str">
        <f>VLOOKUP(B702,'All Menu'!B:D,3,0)</f>
        <v>المشاوي سفري2</v>
      </c>
      <c r="E702" s="116">
        <f t="shared" si="58"/>
        <v>2.5862068965517242</v>
      </c>
      <c r="F702" s="119">
        <v>2</v>
      </c>
      <c r="G702" s="119">
        <v>5.1724137931034484</v>
      </c>
      <c r="H702" s="115">
        <f>VLOOKUP(B702,'All Menu'!B:J,9,0)</f>
        <v>0.97973570949744626</v>
      </c>
      <c r="I702" s="120">
        <f>VLOOKUP(B702,'All Menu'!B:M,12,0)</f>
        <v>0.62116885899432073</v>
      </c>
      <c r="J702" s="114">
        <f t="shared" si="55"/>
        <v>5.1724137931034484</v>
      </c>
      <c r="K702" s="117">
        <f t="shared" si="56"/>
        <v>0</v>
      </c>
      <c r="L702" s="118">
        <f>VLOOKUP(B702,'All Menu'!B:G,6,0)</f>
        <v>2.5862068965517242</v>
      </c>
      <c r="M702" s="118">
        <f t="shared" si="57"/>
        <v>0</v>
      </c>
      <c r="N702" s="151">
        <f ca="1">VLOOKUP(B702,'All Menu'!B:H,7,0)</f>
        <v>15</v>
      </c>
    </row>
    <row r="703" spans="1:14" s="113" customFormat="1" ht="15.75" customHeight="1">
      <c r="A703" s="156" t="s">
        <v>2022</v>
      </c>
      <c r="B703" s="170" t="s">
        <v>1208</v>
      </c>
      <c r="C703" s="113" t="s">
        <v>1772</v>
      </c>
      <c r="D703" s="115" t="str">
        <f>VLOOKUP(B703,'All Menu'!B:D,3,0)</f>
        <v>المشاوي سفري2</v>
      </c>
      <c r="E703" s="116">
        <f t="shared" si="58"/>
        <v>2.8017241379310347</v>
      </c>
      <c r="F703" s="119">
        <v>1</v>
      </c>
      <c r="G703" s="119">
        <v>2.8017241379310347</v>
      </c>
      <c r="H703" s="115">
        <f>VLOOKUP(B703,'All Menu'!B:J,9,0)</f>
        <v>1.5244993528768931</v>
      </c>
      <c r="I703" s="120">
        <f>VLOOKUP(B703,'All Menu'!B:M,12,0)</f>
        <v>0.45587100020393972</v>
      </c>
      <c r="J703" s="114">
        <f t="shared" si="55"/>
        <v>2.8017241379310347</v>
      </c>
      <c r="K703" s="117">
        <f t="shared" si="56"/>
        <v>0</v>
      </c>
      <c r="L703" s="118">
        <f>VLOOKUP(B703,'All Menu'!B:G,6,0)</f>
        <v>2.8017241379310347</v>
      </c>
      <c r="M703" s="118">
        <f t="shared" si="57"/>
        <v>0</v>
      </c>
      <c r="N703" s="151">
        <f ca="1">VLOOKUP(B703,'All Menu'!B:H,7,0)</f>
        <v>9</v>
      </c>
    </row>
    <row r="704" spans="1:14" s="113" customFormat="1" ht="15.75" customHeight="1">
      <c r="A704" s="156" t="s">
        <v>2022</v>
      </c>
      <c r="B704" s="170" t="s">
        <v>1275</v>
      </c>
      <c r="C704" s="113" t="s">
        <v>1773</v>
      </c>
      <c r="D704" s="115" t="str">
        <f>VLOOKUP(B704,'All Menu'!B:D,3,0)</f>
        <v>المشاوي سفري2</v>
      </c>
      <c r="E704" s="116">
        <f t="shared" si="58"/>
        <v>0.12931034482758622</v>
      </c>
      <c r="F704" s="119">
        <v>1</v>
      </c>
      <c r="G704" s="119">
        <v>0.12931034482758622</v>
      </c>
      <c r="H704" s="115">
        <f>VLOOKUP(B704,'All Menu'!B:J,9,0)</f>
        <v>3.9698754838709674E-2</v>
      </c>
      <c r="I704" s="120">
        <f>VLOOKUP(B704,'All Menu'!B:M,12,0)</f>
        <v>0.69299629591397849</v>
      </c>
      <c r="J704" s="114">
        <f t="shared" si="55"/>
        <v>0.12931034482758622</v>
      </c>
      <c r="K704" s="117">
        <f t="shared" si="56"/>
        <v>0</v>
      </c>
      <c r="L704" s="118">
        <f>VLOOKUP(B704,'All Menu'!B:G,6,0)</f>
        <v>0.12931034482758622</v>
      </c>
      <c r="M704" s="118">
        <f t="shared" si="57"/>
        <v>0</v>
      </c>
      <c r="N704" s="151">
        <f ca="1">VLOOKUP(B704,'All Menu'!B:H,7,0)</f>
        <v>18</v>
      </c>
    </row>
    <row r="705" spans="1:14" s="113" customFormat="1" ht="15.75" customHeight="1">
      <c r="A705" s="156" t="s">
        <v>2022</v>
      </c>
      <c r="B705" s="170" t="s">
        <v>1289</v>
      </c>
      <c r="C705" s="113" t="s">
        <v>1774</v>
      </c>
      <c r="D705" s="115" t="str">
        <f>VLOOKUP(B705,'All Menu'!B:D,3,0)</f>
        <v>المشاوي سفري2</v>
      </c>
      <c r="E705" s="116">
        <f t="shared" si="58"/>
        <v>0.12931034482758622</v>
      </c>
      <c r="F705" s="119">
        <v>2</v>
      </c>
      <c r="G705" s="119">
        <v>0.25862068965517243</v>
      </c>
      <c r="H705" s="115">
        <f>VLOOKUP(B705,'All Menu'!B:J,9,0)</f>
        <v>1.1955E-2</v>
      </c>
      <c r="I705" s="120">
        <f>VLOOKUP(B705,'All Menu'!B:M,12,0)</f>
        <v>0.90754800000000002</v>
      </c>
      <c r="J705" s="114">
        <f t="shared" si="55"/>
        <v>0.25862068965517243</v>
      </c>
      <c r="K705" s="117">
        <f t="shared" si="56"/>
        <v>0</v>
      </c>
      <c r="L705" s="118">
        <f>VLOOKUP(B705,'All Menu'!B:G,6,0)</f>
        <v>0.12931034482758622</v>
      </c>
      <c r="M705" s="118">
        <f t="shared" si="57"/>
        <v>0</v>
      </c>
      <c r="N705" s="151">
        <f ca="1">VLOOKUP(B705,'All Menu'!B:H,7,0)</f>
        <v>12</v>
      </c>
    </row>
    <row r="706" spans="1:14" s="113" customFormat="1" ht="15.75" customHeight="1">
      <c r="A706" s="156" t="s">
        <v>2022</v>
      </c>
      <c r="B706" s="170" t="s">
        <v>1297</v>
      </c>
      <c r="C706" s="113" t="s">
        <v>1791</v>
      </c>
      <c r="D706" s="115" t="str">
        <f>VLOOKUP(B706,'All Menu'!B:D,3,0)</f>
        <v>المشاوي سفري2</v>
      </c>
      <c r="E706" s="116">
        <f t="shared" si="58"/>
        <v>1.7241379310344829</v>
      </c>
      <c r="F706" s="119">
        <v>3</v>
      </c>
      <c r="G706" s="119">
        <v>5.1724137931034484</v>
      </c>
      <c r="H706" s="115">
        <f>VLOOKUP(B706,'All Menu'!B:J,9,0)</f>
        <v>0.83102372051401119</v>
      </c>
      <c r="I706" s="120">
        <f>VLOOKUP(B706,'All Menu'!B:M,12,0)</f>
        <v>0.51800624210187352</v>
      </c>
      <c r="J706" s="114">
        <f t="shared" si="55"/>
        <v>5.1724137931034484</v>
      </c>
      <c r="K706" s="117">
        <f t="shared" si="56"/>
        <v>0</v>
      </c>
      <c r="L706" s="118">
        <f>VLOOKUP(B706,'All Menu'!B:G,6,0)</f>
        <v>1.7241379310344829</v>
      </c>
      <c r="M706" s="118">
        <f t="shared" si="57"/>
        <v>0</v>
      </c>
      <c r="N706" s="151">
        <f ca="1">VLOOKUP(B706,'All Menu'!B:H,7,0)</f>
        <v>4</v>
      </c>
    </row>
    <row r="707" spans="1:14" s="113" customFormat="1" ht="15.75" customHeight="1">
      <c r="A707" s="156" t="s">
        <v>2022</v>
      </c>
      <c r="B707" s="170" t="s">
        <v>1899</v>
      </c>
      <c r="C707" s="113" t="s">
        <v>1901</v>
      </c>
      <c r="D707" s="115" t="str">
        <f>VLOOKUP(B707,'All Menu'!B:D,3,0)</f>
        <v>المشاوي سفري2</v>
      </c>
      <c r="E707" s="116">
        <f t="shared" si="58"/>
        <v>5.531573275862069</v>
      </c>
      <c r="F707" s="119">
        <v>96</v>
      </c>
      <c r="G707" s="119">
        <v>531.03103448275863</v>
      </c>
      <c r="H707" s="115">
        <f>VLOOKUP(B707,'All Menu'!B:J,9,0)</f>
        <v>3.3664918850821848</v>
      </c>
      <c r="I707" s="120">
        <f>VLOOKUP(B707,'All Menu'!B:M,12,0)</f>
        <v>0.39921067896994861</v>
      </c>
      <c r="J707" s="114">
        <f t="shared" si="55"/>
        <v>537.93103448275861</v>
      </c>
      <c r="K707" s="117">
        <f t="shared" si="56"/>
        <v>-6.8999999999999773</v>
      </c>
      <c r="L707" s="118">
        <f>VLOOKUP(B707,'All Menu'!B:G,6,0)</f>
        <v>5.6034482758620694</v>
      </c>
      <c r="M707" s="118">
        <f t="shared" si="57"/>
        <v>-7.1875000000000355E-2</v>
      </c>
      <c r="N707" s="151">
        <f ca="1">VLOOKUP(B707,'All Menu'!B:H,7,0)</f>
        <v>154</v>
      </c>
    </row>
    <row r="708" spans="1:14" s="113" customFormat="1" ht="15.75" customHeight="1">
      <c r="A708" s="156" t="s">
        <v>2022</v>
      </c>
      <c r="B708" s="170" t="s">
        <v>1900</v>
      </c>
      <c r="C708" s="113" t="s">
        <v>1924</v>
      </c>
      <c r="D708" s="115" t="str">
        <f>VLOOKUP(B708,'All Menu'!B:D,3,0)</f>
        <v>المشاوي سفري2</v>
      </c>
      <c r="E708" s="116">
        <f t="shared" si="58"/>
        <v>3.2327586206896552</v>
      </c>
      <c r="F708" s="119">
        <v>85</v>
      </c>
      <c r="G708" s="119">
        <v>274.7844827586207</v>
      </c>
      <c r="H708" s="115">
        <f>VLOOKUP(B708,'All Menu'!B:J,9,0)</f>
        <v>2.039611748992705</v>
      </c>
      <c r="I708" s="120">
        <f>VLOOKUP(B708,'All Menu'!B:M,12,0)</f>
        <v>0.36908009897825661</v>
      </c>
      <c r="J708" s="114">
        <f t="shared" si="55"/>
        <v>274.7844827586207</v>
      </c>
      <c r="K708" s="117">
        <f t="shared" si="56"/>
        <v>0</v>
      </c>
      <c r="L708" s="118">
        <f>VLOOKUP(B708,'All Menu'!B:G,6,0)</f>
        <v>3.2327586206896552</v>
      </c>
      <c r="M708" s="118">
        <f t="shared" si="57"/>
        <v>0</v>
      </c>
      <c r="N708" s="151">
        <f ca="1">VLOOKUP(B708,'All Menu'!B:H,7,0)</f>
        <v>134</v>
      </c>
    </row>
    <row r="709" spans="1:14" s="113" customFormat="1" ht="15.75" customHeight="1">
      <c r="A709" s="156" t="s">
        <v>2022</v>
      </c>
      <c r="B709" s="170" t="s">
        <v>1066</v>
      </c>
      <c r="C709" s="113" t="s">
        <v>1421</v>
      </c>
      <c r="D709" s="115" t="str">
        <f>VLOOKUP(B709,'All Menu'!B:D,3,0)</f>
        <v>المشاوي صالة</v>
      </c>
      <c r="E709" s="116">
        <f t="shared" si="58"/>
        <v>11.120689655172415</v>
      </c>
      <c r="F709" s="119">
        <v>45</v>
      </c>
      <c r="G709" s="119">
        <v>500.43103448275866</v>
      </c>
      <c r="H709" s="115">
        <f>VLOOKUP(B709,'All Menu'!B:J,9,0)</f>
        <v>7.4588675786491541</v>
      </c>
      <c r="I709" s="120">
        <f>VLOOKUP(B709,'All Menu'!B:M,12,0)</f>
        <v>0.32928012471061874</v>
      </c>
      <c r="J709" s="114">
        <f t="shared" si="55"/>
        <v>500.43103448275866</v>
      </c>
      <c r="K709" s="117">
        <f t="shared" si="56"/>
        <v>0</v>
      </c>
      <c r="L709" s="118">
        <f>VLOOKUP(B709,'All Menu'!B:G,6,0)</f>
        <v>11.120689655172415</v>
      </c>
      <c r="M709" s="118">
        <f t="shared" si="57"/>
        <v>0</v>
      </c>
      <c r="N709" s="151">
        <f ca="1">VLOOKUP(B709,'All Menu'!B:H,7,0)</f>
        <v>45</v>
      </c>
    </row>
    <row r="710" spans="1:14" s="113" customFormat="1" ht="15.75" customHeight="1">
      <c r="A710" s="156" t="s">
        <v>2022</v>
      </c>
      <c r="B710" s="170" t="s">
        <v>1065</v>
      </c>
      <c r="C710" s="113" t="s">
        <v>1423</v>
      </c>
      <c r="D710" s="115" t="str">
        <f>VLOOKUP(B710,'All Menu'!B:D,3,0)</f>
        <v>المشاوي صالة</v>
      </c>
      <c r="E710" s="116">
        <f t="shared" si="58"/>
        <v>20.387931034482758</v>
      </c>
      <c r="F710" s="119">
        <v>54.5</v>
      </c>
      <c r="G710" s="119">
        <v>1111.1422413793102</v>
      </c>
      <c r="H710" s="115">
        <f>VLOOKUP(B710,'All Menu'!B:J,9,0)</f>
        <v>13.161944941010617</v>
      </c>
      <c r="I710" s="120">
        <f>VLOOKUP(B710,'All Menu'!B:M,12,0)</f>
        <v>0.35442468788277731</v>
      </c>
      <c r="J710" s="114">
        <f t="shared" si="55"/>
        <v>1111.1422413793102</v>
      </c>
      <c r="K710" s="117">
        <f t="shared" si="56"/>
        <v>0</v>
      </c>
      <c r="L710" s="118">
        <f>VLOOKUP(B710,'All Menu'!B:G,6,0)</f>
        <v>20.387931034482758</v>
      </c>
      <c r="M710" s="118">
        <f t="shared" si="57"/>
        <v>0</v>
      </c>
      <c r="N710" s="151">
        <f ca="1">VLOOKUP(B710,'All Menu'!B:H,7,0)</f>
        <v>54.5</v>
      </c>
    </row>
    <row r="711" spans="1:14" s="113" customFormat="1" ht="15.75" customHeight="1">
      <c r="A711" s="156" t="s">
        <v>2022</v>
      </c>
      <c r="B711" s="170" t="s">
        <v>868</v>
      </c>
      <c r="C711" s="113" t="s">
        <v>1424</v>
      </c>
      <c r="D711" s="115" t="str">
        <f>VLOOKUP(B711,'All Menu'!B:D,3,0)</f>
        <v>المشاوي صالة</v>
      </c>
      <c r="E711" s="116">
        <f t="shared" si="58"/>
        <v>13.75</v>
      </c>
      <c r="F711" s="119">
        <v>45</v>
      </c>
      <c r="G711" s="119">
        <v>618.75</v>
      </c>
      <c r="H711" s="115">
        <f>VLOOKUP(B711,'All Menu'!B:J,9,0)</f>
        <v>10.388044298797791</v>
      </c>
      <c r="I711" s="120">
        <f>VLOOKUP(B711,'All Menu'!B:M,12,0)</f>
        <v>0.24450586917834249</v>
      </c>
      <c r="J711" s="114">
        <f t="shared" si="55"/>
        <v>618.75</v>
      </c>
      <c r="K711" s="117">
        <f t="shared" si="56"/>
        <v>0</v>
      </c>
      <c r="L711" s="118">
        <f>VLOOKUP(B711,'All Menu'!B:G,6,0)</f>
        <v>13.75</v>
      </c>
      <c r="M711" s="118">
        <f t="shared" si="57"/>
        <v>0</v>
      </c>
      <c r="N711" s="151">
        <f ca="1">VLOOKUP(B711,'All Menu'!B:H,7,0)</f>
        <v>45</v>
      </c>
    </row>
    <row r="712" spans="1:14" s="113" customFormat="1" ht="15.75" customHeight="1">
      <c r="A712" s="156" t="s">
        <v>2022</v>
      </c>
      <c r="B712" s="170" t="s">
        <v>862</v>
      </c>
      <c r="C712" s="113" t="s">
        <v>1425</v>
      </c>
      <c r="D712" s="115" t="str">
        <f>VLOOKUP(B712,'All Menu'!B:D,3,0)</f>
        <v>المشاوي صالة</v>
      </c>
      <c r="E712" s="116">
        <f t="shared" si="58"/>
        <v>26.077586206896555</v>
      </c>
      <c r="F712" s="119">
        <v>10.25</v>
      </c>
      <c r="G712" s="119">
        <v>267.29525862068971</v>
      </c>
      <c r="H712" s="115">
        <f>VLOOKUP(B712,'All Menu'!B:J,9,0)</f>
        <v>20.819963946834338</v>
      </c>
      <c r="I712" s="120">
        <f>VLOOKUP(B712,'All Menu'!B:M,12,0)</f>
        <v>0.20161460567511308</v>
      </c>
      <c r="J712" s="114">
        <f t="shared" si="55"/>
        <v>267.29525862068971</v>
      </c>
      <c r="K712" s="117">
        <f t="shared" si="56"/>
        <v>0</v>
      </c>
      <c r="L712" s="118">
        <f>VLOOKUP(B712,'All Menu'!B:G,6,0)</f>
        <v>26.077586206896555</v>
      </c>
      <c r="M712" s="118">
        <f t="shared" si="57"/>
        <v>0</v>
      </c>
      <c r="N712" s="151">
        <f ca="1">VLOOKUP(B712,'All Menu'!B:H,7,0)</f>
        <v>10.25</v>
      </c>
    </row>
    <row r="713" spans="1:14" s="113" customFormat="1" ht="15.75" customHeight="1">
      <c r="A713" s="156" t="s">
        <v>2022</v>
      </c>
      <c r="B713" s="170" t="s">
        <v>870</v>
      </c>
      <c r="C713" s="113" t="s">
        <v>1426</v>
      </c>
      <c r="D713" s="115" t="str">
        <f>VLOOKUP(B713,'All Menu'!B:D,3,0)</f>
        <v>المشاوي صالة</v>
      </c>
      <c r="E713" s="116">
        <f t="shared" si="58"/>
        <v>10.431034482758621</v>
      </c>
      <c r="F713" s="119">
        <v>45</v>
      </c>
      <c r="G713" s="119">
        <v>469.39655172413796</v>
      </c>
      <c r="H713" s="115">
        <f>VLOOKUP(B713,'All Menu'!B:J,9,0)</f>
        <v>5.699519252649293</v>
      </c>
      <c r="I713" s="120">
        <f>VLOOKUP(B713,'All Menu'!B:M,12,0)</f>
        <v>0.45359980718403475</v>
      </c>
      <c r="J713" s="114">
        <f t="shared" si="55"/>
        <v>469.39655172413796</v>
      </c>
      <c r="K713" s="117">
        <f t="shared" si="56"/>
        <v>0</v>
      </c>
      <c r="L713" s="118">
        <f>VLOOKUP(B713,'All Menu'!B:G,6,0)</f>
        <v>10.431034482758621</v>
      </c>
      <c r="M713" s="118">
        <f t="shared" si="57"/>
        <v>0</v>
      </c>
      <c r="N713" s="151">
        <f ca="1">VLOOKUP(B713,'All Menu'!B:H,7,0)</f>
        <v>45</v>
      </c>
    </row>
    <row r="714" spans="1:14" s="113" customFormat="1" ht="15.75" customHeight="1">
      <c r="A714" s="156" t="s">
        <v>2022</v>
      </c>
      <c r="B714" s="170" t="s">
        <v>864</v>
      </c>
      <c r="C714" s="113" t="s">
        <v>1427</v>
      </c>
      <c r="D714" s="115" t="str">
        <f>VLOOKUP(B714,'All Menu'!B:D,3,0)</f>
        <v>المشاوي صالة</v>
      </c>
      <c r="E714" s="116">
        <f t="shared" si="58"/>
        <v>20.387931034482758</v>
      </c>
      <c r="F714" s="119">
        <v>16.75</v>
      </c>
      <c r="G714" s="119">
        <v>341.49784482758622</v>
      </c>
      <c r="H714" s="115">
        <f>VLOOKUP(B714,'All Menu'!B:J,9,0)</f>
        <v>11.863700692697115</v>
      </c>
      <c r="I714" s="120">
        <f>VLOOKUP(B714,'All Menu'!B:M,12,0)</f>
        <v>0.41810178420597655</v>
      </c>
      <c r="J714" s="114">
        <f t="shared" si="55"/>
        <v>341.49784482758622</v>
      </c>
      <c r="K714" s="117">
        <f t="shared" si="56"/>
        <v>0</v>
      </c>
      <c r="L714" s="118">
        <f>VLOOKUP(B714,'All Menu'!B:G,6,0)</f>
        <v>20.387931034482758</v>
      </c>
      <c r="M714" s="118">
        <f t="shared" si="57"/>
        <v>0</v>
      </c>
      <c r="N714" s="151">
        <f ca="1">VLOOKUP(B714,'All Menu'!B:H,7,0)</f>
        <v>16.75</v>
      </c>
    </row>
    <row r="715" spans="1:14" s="113" customFormat="1" ht="15.75" customHeight="1">
      <c r="A715" s="156" t="s">
        <v>2022</v>
      </c>
      <c r="B715" s="170" t="s">
        <v>871</v>
      </c>
      <c r="C715" s="113" t="s">
        <v>1428</v>
      </c>
      <c r="D715" s="115" t="str">
        <f>VLOOKUP(B715,'All Menu'!B:D,3,0)</f>
        <v>المشاوي صالة</v>
      </c>
      <c r="E715" s="116">
        <f t="shared" si="58"/>
        <v>8.5344827586206904</v>
      </c>
      <c r="F715" s="119">
        <v>8</v>
      </c>
      <c r="G715" s="119">
        <v>68.275862068965523</v>
      </c>
      <c r="H715" s="115">
        <f>VLOOKUP(B715,'All Menu'!B:J,9,0)</f>
        <v>2.5677258153746889</v>
      </c>
      <c r="I715" s="120">
        <f>VLOOKUP(B715,'All Menu'!B:M,12,0)</f>
        <v>0.69913515698640016</v>
      </c>
      <c r="J715" s="114">
        <f t="shared" si="55"/>
        <v>68.275862068965523</v>
      </c>
      <c r="K715" s="117">
        <f t="shared" si="56"/>
        <v>0</v>
      </c>
      <c r="L715" s="118">
        <f>VLOOKUP(B715,'All Menu'!B:G,6,0)</f>
        <v>8.5344827586206904</v>
      </c>
      <c r="M715" s="118">
        <f t="shared" si="57"/>
        <v>0</v>
      </c>
      <c r="N715" s="151">
        <f ca="1">VLOOKUP(B715,'All Menu'!B:H,7,0)</f>
        <v>8</v>
      </c>
    </row>
    <row r="716" spans="1:14" s="113" customFormat="1" ht="15.75" customHeight="1">
      <c r="A716" s="156" t="s">
        <v>2022</v>
      </c>
      <c r="B716" s="170" t="s">
        <v>865</v>
      </c>
      <c r="C716" s="113" t="s">
        <v>1429</v>
      </c>
      <c r="D716" s="115" t="str">
        <f>VLOOKUP(B716,'All Menu'!B:D,3,0)</f>
        <v>المشاوي صالة</v>
      </c>
      <c r="E716" s="116">
        <f t="shared" si="58"/>
        <v>16.120689655172413</v>
      </c>
      <c r="F716" s="119">
        <v>1</v>
      </c>
      <c r="G716" s="119">
        <v>16.120689655172413</v>
      </c>
      <c r="H716" s="115">
        <f>VLOOKUP(B716,'All Menu'!B:J,9,0)</f>
        <v>5.0645528621415128</v>
      </c>
      <c r="I716" s="120">
        <f>VLOOKUP(B716,'All Menu'!B:M,12,0)</f>
        <v>0.68583522352491144</v>
      </c>
      <c r="J716" s="114">
        <f t="shared" si="55"/>
        <v>16.120689655172413</v>
      </c>
      <c r="K716" s="117">
        <f t="shared" si="56"/>
        <v>0</v>
      </c>
      <c r="L716" s="118">
        <f>VLOOKUP(B716,'All Menu'!B:G,6,0)</f>
        <v>16.120689655172413</v>
      </c>
      <c r="M716" s="118">
        <f t="shared" si="57"/>
        <v>0</v>
      </c>
      <c r="N716" s="151">
        <f ca="1">VLOOKUP(B716,'All Menu'!B:H,7,0)</f>
        <v>1</v>
      </c>
    </row>
    <row r="717" spans="1:14" s="113" customFormat="1" ht="15.75" customHeight="1">
      <c r="A717" s="156" t="s">
        <v>2022</v>
      </c>
      <c r="B717" s="170" t="s">
        <v>873</v>
      </c>
      <c r="C717" s="113" t="s">
        <v>1434</v>
      </c>
      <c r="D717" s="115" t="str">
        <f>VLOOKUP(B717,'All Menu'!B:D,3,0)</f>
        <v>المشاوي صالة</v>
      </c>
      <c r="E717" s="116">
        <f t="shared" si="58"/>
        <v>6.8965517241379315</v>
      </c>
      <c r="F717" s="119">
        <v>4.1499999761581403</v>
      </c>
      <c r="G717" s="119">
        <v>28.620689490745796</v>
      </c>
      <c r="H717" s="115">
        <f>VLOOKUP(B717,'All Menu'!B:J,9,0)</f>
        <v>3.6495342694937616</v>
      </c>
      <c r="I717" s="120">
        <f>VLOOKUP(B717,'All Menu'!B:M,12,0)</f>
        <v>0.47081753092340461</v>
      </c>
      <c r="J717" s="114">
        <f t="shared" si="55"/>
        <v>28.620689490745796</v>
      </c>
      <c r="K717" s="117">
        <f t="shared" si="56"/>
        <v>0</v>
      </c>
      <c r="L717" s="118">
        <f>VLOOKUP(B717,'All Menu'!B:G,6,0)</f>
        <v>6.8965517241379315</v>
      </c>
      <c r="M717" s="118">
        <f t="shared" si="57"/>
        <v>0</v>
      </c>
      <c r="N717" s="151">
        <f ca="1">VLOOKUP(B717,'All Menu'!B:H,7,0)</f>
        <v>4.1499999761581403</v>
      </c>
    </row>
    <row r="718" spans="1:14" s="113" customFormat="1" ht="15.75" customHeight="1">
      <c r="A718" s="156" t="s">
        <v>2022</v>
      </c>
      <c r="B718" s="170" t="s">
        <v>867</v>
      </c>
      <c r="C718" s="113" t="s">
        <v>1869</v>
      </c>
      <c r="D718" s="115" t="str">
        <f>VLOOKUP(B718,'All Menu'!B:D,3,0)</f>
        <v>المشاوي صالة</v>
      </c>
      <c r="E718" s="116">
        <f t="shared" si="58"/>
        <v>12.068965517241381</v>
      </c>
      <c r="F718" s="119">
        <v>1</v>
      </c>
      <c r="G718" s="119">
        <v>12.068965517241381</v>
      </c>
      <c r="H718" s="115">
        <f>VLOOKUP(B718,'All Menu'!B:J,9,0)</f>
        <v>7.26576208737462</v>
      </c>
      <c r="I718" s="120">
        <f>VLOOKUP(B718,'All Menu'!B:M,12,0)</f>
        <v>0.39797971276038868</v>
      </c>
      <c r="J718" s="114">
        <f t="shared" si="55"/>
        <v>12.068965517241381</v>
      </c>
      <c r="K718" s="117">
        <f t="shared" si="56"/>
        <v>0</v>
      </c>
      <c r="L718" s="118">
        <f>VLOOKUP(B718,'All Menu'!B:G,6,0)</f>
        <v>12.068965517241381</v>
      </c>
      <c r="M718" s="118">
        <f t="shared" si="57"/>
        <v>0</v>
      </c>
      <c r="N718" s="151">
        <f ca="1">VLOOKUP(B718,'All Menu'!B:H,7,0)</f>
        <v>1</v>
      </c>
    </row>
    <row r="719" spans="1:14" s="113" customFormat="1" ht="15.75" customHeight="1">
      <c r="A719" s="156" t="s">
        <v>2022</v>
      </c>
      <c r="B719" s="170" t="s">
        <v>874</v>
      </c>
      <c r="C719" s="113" t="s">
        <v>1435</v>
      </c>
      <c r="D719" s="115" t="str">
        <f>VLOOKUP(B719,'All Menu'!B:D,3,0)</f>
        <v>المشاوي صالة</v>
      </c>
      <c r="E719" s="116">
        <f t="shared" si="58"/>
        <v>3.75</v>
      </c>
      <c r="F719" s="119">
        <v>80</v>
      </c>
      <c r="G719" s="119">
        <v>300</v>
      </c>
      <c r="H719" s="115">
        <f>VLOOKUP(B719,'All Menu'!B:J,9,0)</f>
        <v>2.021245083926154</v>
      </c>
      <c r="I719" s="120">
        <f>VLOOKUP(B719,'All Menu'!B:M,12,0)</f>
        <v>0.4610013109530256</v>
      </c>
      <c r="J719" s="114">
        <f t="shared" si="55"/>
        <v>300</v>
      </c>
      <c r="K719" s="117">
        <f t="shared" si="56"/>
        <v>0</v>
      </c>
      <c r="L719" s="118">
        <f>VLOOKUP(B719,'All Menu'!B:G,6,0)</f>
        <v>3.75</v>
      </c>
      <c r="M719" s="118">
        <f t="shared" si="57"/>
        <v>0</v>
      </c>
      <c r="N719" s="151">
        <f ca="1">VLOOKUP(B719,'All Menu'!B:H,7,0)</f>
        <v>80</v>
      </c>
    </row>
    <row r="720" spans="1:14" s="113" customFormat="1" ht="15.75" customHeight="1">
      <c r="A720" s="156" t="s">
        <v>2022</v>
      </c>
      <c r="B720" s="170" t="s">
        <v>1294</v>
      </c>
      <c r="C720" s="113" t="s">
        <v>1436</v>
      </c>
      <c r="D720" s="115" t="str">
        <f>VLOOKUP(B720,'All Menu'!B:D,3,0)</f>
        <v>المشاوي صالة</v>
      </c>
      <c r="E720" s="116">
        <f t="shared" si="58"/>
        <v>13.793103448275863</v>
      </c>
      <c r="F720" s="119">
        <v>0.5</v>
      </c>
      <c r="G720" s="119">
        <v>6.8965517241379315</v>
      </c>
      <c r="H720" s="115">
        <f>VLOOKUP(B720,'All Menu'!B:J,9,0)</f>
        <v>4.862065290999138</v>
      </c>
      <c r="I720" s="120">
        <f>VLOOKUP(B720,'All Menu'!B:M,12,0)</f>
        <v>0.64750026640256242</v>
      </c>
      <c r="J720" s="114">
        <f t="shared" si="55"/>
        <v>6.8965517241379315</v>
      </c>
      <c r="K720" s="117">
        <f t="shared" si="56"/>
        <v>0</v>
      </c>
      <c r="L720" s="118">
        <f>VLOOKUP(B720,'All Menu'!B:G,6,0)</f>
        <v>13.793103448275863</v>
      </c>
      <c r="M720" s="118">
        <f t="shared" si="57"/>
        <v>0</v>
      </c>
      <c r="N720" s="151">
        <f ca="1">VLOOKUP(B720,'All Menu'!B:H,7,0)</f>
        <v>0.5</v>
      </c>
    </row>
    <row r="721" spans="1:14" s="113" customFormat="1" ht="15.75" customHeight="1">
      <c r="A721" s="156" t="s">
        <v>2022</v>
      </c>
      <c r="B721" s="170" t="s">
        <v>872</v>
      </c>
      <c r="C721" s="113" t="s">
        <v>1437</v>
      </c>
      <c r="D721" s="115" t="str">
        <f>VLOOKUP(B721,'All Menu'!B:D,3,0)</f>
        <v>المشاوي صالة</v>
      </c>
      <c r="E721" s="116">
        <f t="shared" si="58"/>
        <v>11.63793103448276</v>
      </c>
      <c r="F721" s="119">
        <v>17</v>
      </c>
      <c r="G721" s="119">
        <v>197.84482758620692</v>
      </c>
      <c r="H721" s="115">
        <f>VLOOKUP(B721,'All Menu'!B:J,9,0)</f>
        <v>7.1069459361604279</v>
      </c>
      <c r="I721" s="120">
        <f>VLOOKUP(B721,'All Menu'!B:M,12,0)</f>
        <v>0.38932908992991883</v>
      </c>
      <c r="J721" s="114">
        <f t="shared" si="55"/>
        <v>197.84482758620692</v>
      </c>
      <c r="K721" s="117">
        <f t="shared" si="56"/>
        <v>0</v>
      </c>
      <c r="L721" s="118">
        <f>VLOOKUP(B721,'All Menu'!B:G,6,0)</f>
        <v>11.63793103448276</v>
      </c>
      <c r="M721" s="118">
        <f t="shared" si="57"/>
        <v>0</v>
      </c>
      <c r="N721" s="151">
        <f ca="1">VLOOKUP(B721,'All Menu'!B:H,7,0)</f>
        <v>17</v>
      </c>
    </row>
    <row r="722" spans="1:14" s="113" customFormat="1" ht="15.75" customHeight="1">
      <c r="A722" s="156" t="s">
        <v>2022</v>
      </c>
      <c r="B722" s="170" t="s">
        <v>866</v>
      </c>
      <c r="C722" s="113" t="s">
        <v>1438</v>
      </c>
      <c r="D722" s="115" t="str">
        <f>VLOOKUP(B722,'All Menu'!B:D,3,0)</f>
        <v>المشاوي صالة</v>
      </c>
      <c r="E722" s="116">
        <f t="shared" si="58"/>
        <v>21.551724137931032</v>
      </c>
      <c r="F722" s="119">
        <v>6.75</v>
      </c>
      <c r="G722" s="119">
        <v>145.47413793103448</v>
      </c>
      <c r="H722" s="115">
        <f>VLOOKUP(B722,'All Menu'!B:J,9,0)</f>
        <v>14.195085420707953</v>
      </c>
      <c r="I722" s="120">
        <f>VLOOKUP(B722,'All Menu'!B:M,12,0)</f>
        <v>0.34134803647915102</v>
      </c>
      <c r="J722" s="114">
        <f t="shared" si="55"/>
        <v>145.47413793103448</v>
      </c>
      <c r="K722" s="117">
        <f t="shared" si="56"/>
        <v>0</v>
      </c>
      <c r="L722" s="118">
        <f>VLOOKUP(B722,'All Menu'!B:G,6,0)</f>
        <v>21.551724137931036</v>
      </c>
      <c r="M722" s="118">
        <f t="shared" si="57"/>
        <v>0</v>
      </c>
      <c r="N722" s="151">
        <f ca="1">VLOOKUP(B722,'All Menu'!B:H,7,0)</f>
        <v>6.75</v>
      </c>
    </row>
    <row r="723" spans="1:14" s="113" customFormat="1" ht="15.75" customHeight="1">
      <c r="A723" s="156" t="s">
        <v>2022</v>
      </c>
      <c r="B723" s="170" t="s">
        <v>1134</v>
      </c>
      <c r="C723" s="113" t="s">
        <v>1439</v>
      </c>
      <c r="D723" s="115" t="str">
        <f>VLOOKUP(B723,'All Menu'!B:D,3,0)</f>
        <v>المشاوي صالة</v>
      </c>
      <c r="E723" s="116">
        <f t="shared" si="58"/>
        <v>3.4482758620689657</v>
      </c>
      <c r="F723" s="119">
        <v>4.5</v>
      </c>
      <c r="G723" s="119">
        <v>15.517241379310345</v>
      </c>
      <c r="H723" s="115">
        <f>VLOOKUP(B723,'All Menu'!B:J,9,0)</f>
        <v>1.6512612694937623</v>
      </c>
      <c r="I723" s="120">
        <f>VLOOKUP(B723,'All Menu'!B:M,12,0)</f>
        <v>0.52113423184680896</v>
      </c>
      <c r="J723" s="114">
        <f t="shared" si="55"/>
        <v>15.517241379310345</v>
      </c>
      <c r="K723" s="117">
        <f t="shared" si="56"/>
        <v>0</v>
      </c>
      <c r="L723" s="118">
        <f>VLOOKUP(B723,'All Menu'!B:G,6,0)</f>
        <v>3.4482758620689657</v>
      </c>
      <c r="M723" s="118">
        <f t="shared" si="57"/>
        <v>0</v>
      </c>
      <c r="N723" s="151">
        <f ca="1">VLOOKUP(B723,'All Menu'!B:H,7,0)</f>
        <v>4.5</v>
      </c>
    </row>
    <row r="724" spans="1:14" s="113" customFormat="1" ht="15.75" customHeight="1">
      <c r="A724" s="156" t="s">
        <v>2022</v>
      </c>
      <c r="B724" s="170" t="s">
        <v>1135</v>
      </c>
      <c r="C724" s="113" t="s">
        <v>1440</v>
      </c>
      <c r="D724" s="115" t="str">
        <f>VLOOKUP(B724,'All Menu'!B:D,3,0)</f>
        <v>المشاوي صالة</v>
      </c>
      <c r="E724" s="116">
        <f t="shared" si="58"/>
        <v>3.2327586206896557</v>
      </c>
      <c r="F724" s="119">
        <v>47</v>
      </c>
      <c r="G724" s="119">
        <v>151.93965517241381</v>
      </c>
      <c r="H724" s="115">
        <f>VLOOKUP(B724,'All Menu'!B:J,9,0)</f>
        <v>0.76029620253164554</v>
      </c>
      <c r="I724" s="120">
        <f>VLOOKUP(B724,'All Menu'!B:M,12,0)</f>
        <v>0.76481504135021094</v>
      </c>
      <c r="J724" s="114">
        <f t="shared" si="55"/>
        <v>151.93965517241381</v>
      </c>
      <c r="K724" s="117">
        <f t="shared" si="56"/>
        <v>0</v>
      </c>
      <c r="L724" s="118">
        <f>VLOOKUP(B724,'All Menu'!B:G,6,0)</f>
        <v>3.2327586206896552</v>
      </c>
      <c r="M724" s="118">
        <f t="shared" si="57"/>
        <v>0</v>
      </c>
      <c r="N724" s="151">
        <f ca="1">VLOOKUP(B724,'All Menu'!B:H,7,0)</f>
        <v>47</v>
      </c>
    </row>
    <row r="725" spans="1:14" s="113" customFormat="1" ht="15.75" customHeight="1">
      <c r="A725" s="156" t="s">
        <v>2022</v>
      </c>
      <c r="B725" s="170" t="s">
        <v>1040</v>
      </c>
      <c r="C725" s="113" t="s">
        <v>1441</v>
      </c>
      <c r="D725" s="115" t="str">
        <f>VLOOKUP(B725,'All Menu'!B:D,3,0)</f>
        <v>المشاوي صالة</v>
      </c>
      <c r="E725" s="116">
        <f t="shared" si="58"/>
        <v>2.1120689655172415</v>
      </c>
      <c r="F725" s="119">
        <v>4</v>
      </c>
      <c r="G725" s="119">
        <v>8.4482758620689662</v>
      </c>
      <c r="H725" s="115">
        <f>VLOOKUP(B725,'All Menu'!B:J,9,0)</f>
        <v>0.86512044713232117</v>
      </c>
      <c r="I725" s="120">
        <f>VLOOKUP(B725,'All Menu'!B:M,12,0)</f>
        <v>0.59039195156183988</v>
      </c>
      <c r="J725" s="114">
        <f t="shared" si="55"/>
        <v>8.4482758620689662</v>
      </c>
      <c r="K725" s="117">
        <f t="shared" si="56"/>
        <v>0</v>
      </c>
      <c r="L725" s="118">
        <f>VLOOKUP(B725,'All Menu'!B:G,6,0)</f>
        <v>2.1120689655172415</v>
      </c>
      <c r="M725" s="118">
        <f t="shared" si="57"/>
        <v>0</v>
      </c>
      <c r="N725" s="151">
        <f ca="1">VLOOKUP(B725,'All Menu'!B:H,7,0)</f>
        <v>4</v>
      </c>
    </row>
    <row r="726" spans="1:14" s="113" customFormat="1" ht="15.75" customHeight="1">
      <c r="A726" s="156" t="s">
        <v>2022</v>
      </c>
      <c r="B726" s="170" t="s">
        <v>1041</v>
      </c>
      <c r="C726" s="113" t="s">
        <v>1408</v>
      </c>
      <c r="D726" s="115" t="str">
        <f>VLOOKUP(B726,'All Menu'!B:D,3,0)</f>
        <v>المشاوي صالة</v>
      </c>
      <c r="E726" s="116">
        <f t="shared" si="58"/>
        <v>3.4482758620689657</v>
      </c>
      <c r="F726" s="119">
        <v>2</v>
      </c>
      <c r="G726" s="119">
        <v>6.8965517241379315</v>
      </c>
      <c r="H726" s="115">
        <f>VLOOKUP(B726,'All Menu'!B:J,9,0)</f>
        <v>1.5984724463398512</v>
      </c>
      <c r="I726" s="120">
        <f>VLOOKUP(B726,'All Menu'!B:M,12,0)</f>
        <v>0.53644299056144318</v>
      </c>
      <c r="J726" s="114">
        <f t="shared" si="55"/>
        <v>6.8965517241379315</v>
      </c>
      <c r="K726" s="117">
        <f t="shared" si="56"/>
        <v>0</v>
      </c>
      <c r="L726" s="118">
        <f>VLOOKUP(B726,'All Menu'!B:G,6,0)</f>
        <v>3.4482758620689657</v>
      </c>
      <c r="M726" s="118">
        <f t="shared" si="57"/>
        <v>0</v>
      </c>
      <c r="N726" s="151">
        <f ca="1">VLOOKUP(B726,'All Menu'!B:H,7,0)</f>
        <v>2</v>
      </c>
    </row>
    <row r="727" spans="1:14" s="113" customFormat="1" ht="15.75" customHeight="1">
      <c r="A727" s="156" t="s">
        <v>2022</v>
      </c>
      <c r="B727" s="170" t="s">
        <v>1042</v>
      </c>
      <c r="C727" s="113" t="s">
        <v>1442</v>
      </c>
      <c r="D727" s="115" t="str">
        <f>VLOOKUP(B727,'All Menu'!B:D,3,0)</f>
        <v>المشاوي صالة</v>
      </c>
      <c r="E727" s="116">
        <f t="shared" si="58"/>
        <v>2.1120689655172415</v>
      </c>
      <c r="F727" s="119">
        <v>1</v>
      </c>
      <c r="G727" s="119">
        <v>2.1120689655172415</v>
      </c>
      <c r="H727" s="115">
        <f>VLOOKUP(B727,'All Menu'!B:J,9,0)</f>
        <v>0.65352174672911134</v>
      </c>
      <c r="I727" s="120">
        <f>VLOOKUP(B727,'All Menu'!B:M,12,0)</f>
        <v>0.69057745869152276</v>
      </c>
      <c r="J727" s="114">
        <f t="shared" si="55"/>
        <v>2.1120689655172415</v>
      </c>
      <c r="K727" s="117">
        <f t="shared" si="56"/>
        <v>0</v>
      </c>
      <c r="L727" s="118">
        <f>VLOOKUP(B727,'All Menu'!B:G,6,0)</f>
        <v>2.1120689655172415</v>
      </c>
      <c r="M727" s="118">
        <f t="shared" si="57"/>
        <v>0</v>
      </c>
      <c r="N727" s="151">
        <f ca="1">VLOOKUP(B727,'All Menu'!B:H,7,0)</f>
        <v>1</v>
      </c>
    </row>
    <row r="728" spans="1:14" s="113" customFormat="1" ht="15.75" customHeight="1">
      <c r="A728" s="156" t="s">
        <v>2022</v>
      </c>
      <c r="B728" s="170" t="s">
        <v>1043</v>
      </c>
      <c r="C728" s="113" t="s">
        <v>1412</v>
      </c>
      <c r="D728" s="115" t="str">
        <f>VLOOKUP(B728,'All Menu'!B:D,3,0)</f>
        <v>المشاوي صالة</v>
      </c>
      <c r="E728" s="116">
        <f t="shared" si="58"/>
        <v>3.4482758620689657</v>
      </c>
      <c r="F728" s="119">
        <v>4</v>
      </c>
      <c r="G728" s="119">
        <v>13.793103448275863</v>
      </c>
      <c r="H728" s="115">
        <f>VLOOKUP(B728,'All Menu'!B:J,9,0)</f>
        <v>1.1629861640531975</v>
      </c>
      <c r="I728" s="120">
        <f>VLOOKUP(B728,'All Menu'!B:M,12,0)</f>
        <v>0.66273401242457275</v>
      </c>
      <c r="J728" s="114">
        <f t="shared" si="55"/>
        <v>13.793103448275863</v>
      </c>
      <c r="K728" s="117">
        <f t="shared" si="56"/>
        <v>0</v>
      </c>
      <c r="L728" s="118">
        <f>VLOOKUP(B728,'All Menu'!B:G,6,0)</f>
        <v>3.4482758620689657</v>
      </c>
      <c r="M728" s="118">
        <f t="shared" si="57"/>
        <v>0</v>
      </c>
      <c r="N728" s="151">
        <f ca="1">VLOOKUP(B728,'All Menu'!B:H,7,0)</f>
        <v>4</v>
      </c>
    </row>
    <row r="729" spans="1:14" s="113" customFormat="1" ht="15.75" customHeight="1">
      <c r="A729" s="156" t="s">
        <v>2022</v>
      </c>
      <c r="B729" s="170" t="s">
        <v>1045</v>
      </c>
      <c r="C729" s="113" t="s">
        <v>1443</v>
      </c>
      <c r="D729" s="115" t="str">
        <f>VLOOKUP(B729,'All Menu'!B:D,3,0)</f>
        <v>المشاوي صالة</v>
      </c>
      <c r="E729" s="116">
        <f t="shared" si="58"/>
        <v>4.7413793103448283</v>
      </c>
      <c r="F729" s="119">
        <v>1</v>
      </c>
      <c r="G729" s="119">
        <v>4.7413793103448283</v>
      </c>
      <c r="H729" s="115">
        <f>VLOOKUP(B729,'All Menu'!B:J,9,0)</f>
        <v>2.8009835985035014</v>
      </c>
      <c r="I729" s="120">
        <f>VLOOKUP(B729,'All Menu'!B:M,12,0)</f>
        <v>0.40924709558835254</v>
      </c>
      <c r="J729" s="114">
        <f t="shared" si="55"/>
        <v>4.7413793103448283</v>
      </c>
      <c r="K729" s="117">
        <f t="shared" si="56"/>
        <v>0</v>
      </c>
      <c r="L729" s="118">
        <f>VLOOKUP(B729,'All Menu'!B:G,6,0)</f>
        <v>4.7413793103448283</v>
      </c>
      <c r="M729" s="118">
        <f t="shared" si="57"/>
        <v>0</v>
      </c>
      <c r="N729" s="151">
        <f ca="1">VLOOKUP(B729,'All Menu'!B:H,7,0)</f>
        <v>1</v>
      </c>
    </row>
    <row r="730" spans="1:14" s="113" customFormat="1" ht="15.75" customHeight="1">
      <c r="A730" s="156" t="s">
        <v>2022</v>
      </c>
      <c r="B730" s="170" t="s">
        <v>1052</v>
      </c>
      <c r="C730" s="113" t="s">
        <v>1444</v>
      </c>
      <c r="D730" s="115" t="str">
        <f>VLOOKUP(B730,'All Menu'!B:D,3,0)</f>
        <v>المشاوي صالة</v>
      </c>
      <c r="E730" s="116">
        <f t="shared" si="58"/>
        <v>6.2931034482758621</v>
      </c>
      <c r="F730" s="119">
        <v>16</v>
      </c>
      <c r="G730" s="119">
        <v>100.68965517241379</v>
      </c>
      <c r="H730" s="115">
        <f>VLOOKUP(B730,'All Menu'!B:J,9,0)</f>
        <v>3.6395480382699978</v>
      </c>
      <c r="I730" s="120">
        <f>VLOOKUP(B730,'All Menu'!B:M,12,0)</f>
        <v>0.42166085967216471</v>
      </c>
      <c r="J730" s="114">
        <f t="shared" si="55"/>
        <v>100.68965517241379</v>
      </c>
      <c r="K730" s="117">
        <f t="shared" si="56"/>
        <v>0</v>
      </c>
      <c r="L730" s="118">
        <f>VLOOKUP(B730,'All Menu'!B:G,6,0)</f>
        <v>6.2931034482758621</v>
      </c>
      <c r="M730" s="118">
        <f t="shared" si="57"/>
        <v>0</v>
      </c>
      <c r="N730" s="151">
        <f ca="1">VLOOKUP(B730,'All Menu'!B:H,7,0)</f>
        <v>16</v>
      </c>
    </row>
    <row r="731" spans="1:14" s="113" customFormat="1" ht="15.75" customHeight="1">
      <c r="A731" s="156" t="s">
        <v>2022</v>
      </c>
      <c r="B731" s="170" t="s">
        <v>1051</v>
      </c>
      <c r="C731" s="113" t="s">
        <v>1445</v>
      </c>
      <c r="D731" s="115" t="str">
        <f>VLOOKUP(B731,'All Menu'!B:D,3,0)</f>
        <v>المشاوي صالة</v>
      </c>
      <c r="E731" s="116">
        <f t="shared" si="58"/>
        <v>5.1724137931034484</v>
      </c>
      <c r="F731" s="119">
        <v>17</v>
      </c>
      <c r="G731" s="119">
        <v>87.931034482758619</v>
      </c>
      <c r="H731" s="115">
        <f>VLOOKUP(B731,'All Menu'!B:J,9,0)</f>
        <v>1.5378015547563235</v>
      </c>
      <c r="I731" s="120">
        <f>VLOOKUP(B731,'All Menu'!B:M,12,0)</f>
        <v>0.70269169941377752</v>
      </c>
      <c r="J731" s="114">
        <f t="shared" si="55"/>
        <v>87.931034482758619</v>
      </c>
      <c r="K731" s="117">
        <f t="shared" si="56"/>
        <v>0</v>
      </c>
      <c r="L731" s="118">
        <f>VLOOKUP(B731,'All Menu'!B:G,6,0)</f>
        <v>5.1724137931034484</v>
      </c>
      <c r="M731" s="118">
        <f t="shared" si="57"/>
        <v>0</v>
      </c>
      <c r="N731" s="151">
        <f ca="1">VLOOKUP(B731,'All Menu'!B:H,7,0)</f>
        <v>17</v>
      </c>
    </row>
    <row r="732" spans="1:14" s="113" customFormat="1" ht="15.75" customHeight="1">
      <c r="A732" s="156" t="s">
        <v>2022</v>
      </c>
      <c r="B732" s="170" t="s">
        <v>1053</v>
      </c>
      <c r="C732" s="113" t="s">
        <v>1446</v>
      </c>
      <c r="D732" s="115" t="str">
        <f>VLOOKUP(B732,'All Menu'!B:D,3,0)</f>
        <v>المشاوي صالة</v>
      </c>
      <c r="E732" s="116">
        <f t="shared" si="58"/>
        <v>6.6379310344827589</v>
      </c>
      <c r="F732" s="119">
        <v>25</v>
      </c>
      <c r="G732" s="119">
        <v>165.94827586206898</v>
      </c>
      <c r="H732" s="115">
        <f>VLOOKUP(B732,'All Menu'!B:J,9,0)</f>
        <v>3.8082288492555931</v>
      </c>
      <c r="I732" s="120">
        <f>VLOOKUP(B732,'All Menu'!B:M,12,0)</f>
        <v>0.42629279673552106</v>
      </c>
      <c r="J732" s="114">
        <f t="shared" si="55"/>
        <v>165.94827586206898</v>
      </c>
      <c r="K732" s="117">
        <f t="shared" si="56"/>
        <v>0</v>
      </c>
      <c r="L732" s="118">
        <f>VLOOKUP(B732,'All Menu'!B:G,6,0)</f>
        <v>6.6379310344827589</v>
      </c>
      <c r="M732" s="118">
        <f t="shared" si="57"/>
        <v>0</v>
      </c>
      <c r="N732" s="151">
        <f ca="1">VLOOKUP(B732,'All Menu'!B:H,7,0)</f>
        <v>25</v>
      </c>
    </row>
    <row r="733" spans="1:14" s="113" customFormat="1" ht="15.75" customHeight="1">
      <c r="A733" s="156" t="s">
        <v>2022</v>
      </c>
      <c r="B733" s="170" t="s">
        <v>1129</v>
      </c>
      <c r="C733" s="113" t="s">
        <v>1394</v>
      </c>
      <c r="D733" s="115" t="str">
        <f>VLOOKUP(B733,'All Menu'!B:D,3,0)</f>
        <v>المشاوي صالة</v>
      </c>
      <c r="E733" s="116">
        <f t="shared" si="58"/>
        <v>7.7586206896551717</v>
      </c>
      <c r="F733" s="119">
        <v>22.950000047683801</v>
      </c>
      <c r="G733" s="119">
        <v>178.06034519754672</v>
      </c>
      <c r="H733" s="115">
        <f>VLOOKUP(B733,'All Menu'!B:J,9,0)</f>
        <v>6.2355327073999414</v>
      </c>
      <c r="I733" s="120">
        <f>VLOOKUP(B733,'All Menu'!B:M,12,0)</f>
        <v>0.19630911771289647</v>
      </c>
      <c r="J733" s="114">
        <f t="shared" ref="J733:J796" si="59">F733*L733</f>
        <v>178.06034519754672</v>
      </c>
      <c r="K733" s="117">
        <f t="shared" ref="K733:K796" si="60">G733-J733</f>
        <v>0</v>
      </c>
      <c r="L733" s="118">
        <f>VLOOKUP(B733,'All Menu'!B:G,6,0)</f>
        <v>7.7586206896551726</v>
      </c>
      <c r="M733" s="118">
        <f t="shared" ref="M733:M796" si="61">E733-L733</f>
        <v>0</v>
      </c>
      <c r="N733" s="151">
        <f ca="1">VLOOKUP(B733,'All Menu'!B:H,7,0)</f>
        <v>22.950000047683801</v>
      </c>
    </row>
    <row r="734" spans="1:14" s="113" customFormat="1" ht="15.75" customHeight="1">
      <c r="A734" s="156" t="s">
        <v>2022</v>
      </c>
      <c r="B734" s="170" t="s">
        <v>1130</v>
      </c>
      <c r="C734" s="113" t="s">
        <v>1417</v>
      </c>
      <c r="D734" s="115" t="str">
        <f>VLOOKUP(B734,'All Menu'!B:D,3,0)</f>
        <v>المشاوي صالة</v>
      </c>
      <c r="E734" s="116">
        <f t="shared" ref="E734:E797" si="62">G734/F734</f>
        <v>7.7586206896551726</v>
      </c>
      <c r="F734" s="119">
        <v>12.600000023841901</v>
      </c>
      <c r="G734" s="119">
        <v>97.75862087463544</v>
      </c>
      <c r="H734" s="115">
        <f>VLOOKUP(B734,'All Menu'!B:J,9,0)</f>
        <v>4.2666394845475253</v>
      </c>
      <c r="I734" s="120">
        <f>VLOOKUP(B734,'All Menu'!B:M,12,0)</f>
        <v>0.45007757754720784</v>
      </c>
      <c r="J734" s="114">
        <f t="shared" si="59"/>
        <v>97.75862087463544</v>
      </c>
      <c r="K734" s="117">
        <f t="shared" si="60"/>
        <v>0</v>
      </c>
      <c r="L734" s="118">
        <f>VLOOKUP(B734,'All Menu'!B:G,6,0)</f>
        <v>7.7586206896551726</v>
      </c>
      <c r="M734" s="118">
        <f t="shared" si="61"/>
        <v>0</v>
      </c>
      <c r="N734" s="151">
        <f ca="1">VLOOKUP(B734,'All Menu'!B:H,7,0)</f>
        <v>12.600000023841901</v>
      </c>
    </row>
    <row r="735" spans="1:14" s="113" customFormat="1" ht="15.75" customHeight="1">
      <c r="A735" s="156" t="s">
        <v>2022</v>
      </c>
      <c r="B735" s="170" t="s">
        <v>1138</v>
      </c>
      <c r="C735" s="113" t="s">
        <v>1420</v>
      </c>
      <c r="D735" s="115" t="str">
        <f>VLOOKUP(B735,'All Menu'!B:D,3,0)</f>
        <v>المشاوي صالة</v>
      </c>
      <c r="E735" s="116">
        <f t="shared" si="62"/>
        <v>1.8965517241379313</v>
      </c>
      <c r="F735" s="119">
        <v>15</v>
      </c>
      <c r="G735" s="119">
        <v>28.448275862068968</v>
      </c>
      <c r="H735" s="115">
        <f>VLOOKUP(B735,'All Menu'!B:J,9,0)</f>
        <v>0.5</v>
      </c>
      <c r="I735" s="120">
        <f>VLOOKUP(B735,'All Menu'!B:M,12,0)</f>
        <v>0.73636363636363644</v>
      </c>
      <c r="J735" s="114">
        <f t="shared" si="59"/>
        <v>28.448275862068968</v>
      </c>
      <c r="K735" s="117">
        <f t="shared" si="60"/>
        <v>0</v>
      </c>
      <c r="L735" s="118">
        <f>VLOOKUP(B735,'All Menu'!B:G,6,0)</f>
        <v>1.8965517241379313</v>
      </c>
      <c r="M735" s="118">
        <f t="shared" si="61"/>
        <v>0</v>
      </c>
      <c r="N735" s="151">
        <f ca="1">VLOOKUP(B735,'All Menu'!B:H,7,0)</f>
        <v>15</v>
      </c>
    </row>
    <row r="736" spans="1:14" s="113" customFormat="1" ht="15.75" customHeight="1">
      <c r="A736" s="156" t="s">
        <v>2022</v>
      </c>
      <c r="B736" s="170" t="s">
        <v>1986</v>
      </c>
      <c r="C736" s="113" t="s">
        <v>1901</v>
      </c>
      <c r="D736" s="115" t="str">
        <f>VLOOKUP(B736,'All Menu'!B:D,3,0)</f>
        <v>المشاوي صالة</v>
      </c>
      <c r="E736" s="116">
        <f t="shared" si="62"/>
        <v>6.25</v>
      </c>
      <c r="F736" s="119">
        <v>1</v>
      </c>
      <c r="G736" s="119">
        <v>6.25</v>
      </c>
      <c r="H736" s="115">
        <f>VLOOKUP(B736,'All Menu'!B:J,9,0)</f>
        <v>3.3754918850821847</v>
      </c>
      <c r="I736" s="120">
        <f>VLOOKUP(B736,'All Menu'!B:M,12,0)</f>
        <v>0.45992129838685047</v>
      </c>
      <c r="J736" s="114">
        <f t="shared" si="59"/>
        <v>6.25</v>
      </c>
      <c r="K736" s="117">
        <f t="shared" si="60"/>
        <v>0</v>
      </c>
      <c r="L736" s="118">
        <f>VLOOKUP(B736,'All Menu'!B:G,6,0)</f>
        <v>6.25</v>
      </c>
      <c r="M736" s="118">
        <f t="shared" si="61"/>
        <v>0</v>
      </c>
      <c r="N736" s="151">
        <f ca="1">VLOOKUP(B736,'All Menu'!B:H,7,0)</f>
        <v>1</v>
      </c>
    </row>
    <row r="737" spans="1:14" s="113" customFormat="1" ht="15.75" customHeight="1">
      <c r="A737" s="156" t="s">
        <v>2022</v>
      </c>
      <c r="B737" s="170" t="s">
        <v>1987</v>
      </c>
      <c r="C737" s="113" t="s">
        <v>2110</v>
      </c>
      <c r="D737" s="115" t="str">
        <f>VLOOKUP(B737,'All Menu'!B:D,3,0)</f>
        <v>المشاوي صالة</v>
      </c>
      <c r="E737" s="116">
        <f t="shared" si="62"/>
        <v>3.4482758620689657</v>
      </c>
      <c r="F737" s="119">
        <v>37</v>
      </c>
      <c r="G737" s="119">
        <v>127.58620689655173</v>
      </c>
      <c r="H737" s="115">
        <f>VLOOKUP(B737,'All Menu'!B:J,9,0)</f>
        <v>1.6041717489927052</v>
      </c>
      <c r="I737" s="120">
        <f>VLOOKUP(B737,'All Menu'!B:M,12,0)</f>
        <v>0.53479019279211548</v>
      </c>
      <c r="J737" s="114">
        <f t="shared" si="59"/>
        <v>127.58620689655173</v>
      </c>
      <c r="K737" s="117">
        <f t="shared" si="60"/>
        <v>0</v>
      </c>
      <c r="L737" s="118">
        <f>VLOOKUP(B737,'All Menu'!B:G,6,0)</f>
        <v>3.4482758620689657</v>
      </c>
      <c r="M737" s="118">
        <f t="shared" si="61"/>
        <v>0</v>
      </c>
      <c r="N737" s="151">
        <f ca="1">VLOOKUP(B737,'All Menu'!B:H,7,0)</f>
        <v>37</v>
      </c>
    </row>
    <row r="738" spans="1:14" s="113" customFormat="1" ht="15.75" customHeight="1">
      <c r="A738" s="156" t="s">
        <v>2022</v>
      </c>
      <c r="B738" s="170" t="s">
        <v>1069</v>
      </c>
      <c r="C738" s="113" t="s">
        <v>1447</v>
      </c>
      <c r="D738" s="115" t="str">
        <f>VLOOKUP(B738,'All Menu'!B:D,3,0)</f>
        <v>المقبلات سفري</v>
      </c>
      <c r="E738" s="116">
        <f t="shared" si="62"/>
        <v>5.1724137931034493</v>
      </c>
      <c r="F738" s="119">
        <v>14</v>
      </c>
      <c r="G738" s="119">
        <v>72.413793103448285</v>
      </c>
      <c r="H738" s="115">
        <f>VLOOKUP(B738,'All Menu'!B:J,9,0)</f>
        <v>2.1146906785521877</v>
      </c>
      <c r="I738" s="120">
        <f>VLOOKUP(B738,'All Menu'!B:M,12,0)</f>
        <v>0.59115980214657704</v>
      </c>
      <c r="J738" s="114">
        <f t="shared" si="59"/>
        <v>72.413793103448285</v>
      </c>
      <c r="K738" s="117">
        <f t="shared" si="60"/>
        <v>0</v>
      </c>
      <c r="L738" s="118">
        <f>VLOOKUP(B738,'All Menu'!B:G,6,0)</f>
        <v>5.1724137931034484</v>
      </c>
      <c r="M738" s="118">
        <f t="shared" si="61"/>
        <v>0</v>
      </c>
      <c r="N738" s="151">
        <f ca="1">VLOOKUP(B738,'All Menu'!B:H,7,0)</f>
        <v>65</v>
      </c>
    </row>
    <row r="739" spans="1:14" s="113" customFormat="1" ht="15.75" customHeight="1">
      <c r="A739" s="156" t="s">
        <v>2022</v>
      </c>
      <c r="B739" s="170" t="s">
        <v>892</v>
      </c>
      <c r="C739" s="113" t="s">
        <v>1449</v>
      </c>
      <c r="D739" s="115" t="str">
        <f>VLOOKUP(B739,'All Menu'!B:D,3,0)</f>
        <v>المقبلات سفري</v>
      </c>
      <c r="E739" s="116">
        <f t="shared" si="62"/>
        <v>2.5862068965517242</v>
      </c>
      <c r="F739" s="119">
        <v>44.000999999999998</v>
      </c>
      <c r="G739" s="119">
        <v>113.79568965517241</v>
      </c>
      <c r="H739" s="115">
        <f>VLOOKUP(B739,'All Menu'!B:J,9,0)</f>
        <v>0.47319357762056669</v>
      </c>
      <c r="I739" s="120">
        <f>VLOOKUP(B739,'All Menu'!B:M,12,0)</f>
        <v>0.81703181665338087</v>
      </c>
      <c r="J739" s="114">
        <f t="shared" si="59"/>
        <v>113.79568965517241</v>
      </c>
      <c r="K739" s="117">
        <f t="shared" si="60"/>
        <v>0</v>
      </c>
      <c r="L739" s="118">
        <f>VLOOKUP(B739,'All Menu'!B:G,6,0)</f>
        <v>2.5862068965517242</v>
      </c>
      <c r="M739" s="118">
        <f t="shared" si="61"/>
        <v>0</v>
      </c>
      <c r="N739" s="151">
        <f ca="1">VLOOKUP(B739,'All Menu'!B:H,7,0)</f>
        <v>147.001</v>
      </c>
    </row>
    <row r="740" spans="1:14" s="113" customFormat="1" ht="15.75" customHeight="1">
      <c r="A740" s="156" t="s">
        <v>2022</v>
      </c>
      <c r="B740" s="170" t="s">
        <v>898</v>
      </c>
      <c r="C740" s="113" t="s">
        <v>571</v>
      </c>
      <c r="D740" s="115" t="str">
        <f>VLOOKUP(B740,'All Menu'!B:D,3,0)</f>
        <v>المقبلات سفري</v>
      </c>
      <c r="E740" s="116">
        <f t="shared" si="62"/>
        <v>1.7241379310344829</v>
      </c>
      <c r="F740" s="119">
        <v>10</v>
      </c>
      <c r="G740" s="119">
        <v>17.241379310344829</v>
      </c>
      <c r="H740" s="115">
        <f>VLOOKUP(B740,'All Menu'!B:J,9,0)</f>
        <v>0.32659275311949881</v>
      </c>
      <c r="I740" s="120">
        <f>VLOOKUP(B740,'All Menu'!B:M,12,0)</f>
        <v>0.81057620319069068</v>
      </c>
      <c r="J740" s="114">
        <f t="shared" si="59"/>
        <v>17.241379310344829</v>
      </c>
      <c r="K740" s="117">
        <f t="shared" si="60"/>
        <v>0</v>
      </c>
      <c r="L740" s="118">
        <f>VLOOKUP(B740,'All Menu'!B:G,6,0)</f>
        <v>1.7241379310344829</v>
      </c>
      <c r="M740" s="118">
        <f t="shared" si="61"/>
        <v>0</v>
      </c>
      <c r="N740" s="151">
        <f ca="1">VLOOKUP(B740,'All Menu'!B:H,7,0)</f>
        <v>122</v>
      </c>
    </row>
    <row r="741" spans="1:14" s="113" customFormat="1" ht="15.75" customHeight="1">
      <c r="A741" s="156" t="s">
        <v>2022</v>
      </c>
      <c r="B741" s="170" t="s">
        <v>891</v>
      </c>
      <c r="C741" s="113" t="s">
        <v>515</v>
      </c>
      <c r="D741" s="115" t="str">
        <f>VLOOKUP(B741,'All Menu'!B:D,3,0)</f>
        <v>المقبلات سفري</v>
      </c>
      <c r="E741" s="116">
        <f t="shared" si="62"/>
        <v>1.7241379310344829</v>
      </c>
      <c r="F741" s="119">
        <v>23.0002</v>
      </c>
      <c r="G741" s="119">
        <v>39.655517241379314</v>
      </c>
      <c r="H741" s="115">
        <f>VLOOKUP(B741,'All Menu'!B:J,9,0)</f>
        <v>0.32280166723763842</v>
      </c>
      <c r="I741" s="120">
        <f>VLOOKUP(B741,'All Menu'!B:M,12,0)</f>
        <v>0.8127750330021698</v>
      </c>
      <c r="J741" s="114">
        <f t="shared" si="59"/>
        <v>39.655517241379314</v>
      </c>
      <c r="K741" s="117">
        <f t="shared" si="60"/>
        <v>0</v>
      </c>
      <c r="L741" s="118">
        <f>VLOOKUP(B741,'All Menu'!B:G,6,0)</f>
        <v>1.7241379310344829</v>
      </c>
      <c r="M741" s="118">
        <f t="shared" si="61"/>
        <v>0</v>
      </c>
      <c r="N741" s="151">
        <f ca="1">VLOOKUP(B741,'All Menu'!B:H,7,0)</f>
        <v>222.00020000000001</v>
      </c>
    </row>
    <row r="742" spans="1:14" s="113" customFormat="1" ht="15.75" customHeight="1">
      <c r="A742" s="156" t="s">
        <v>2022</v>
      </c>
      <c r="B742" s="170" t="s">
        <v>895</v>
      </c>
      <c r="C742" s="113" t="s">
        <v>489</v>
      </c>
      <c r="D742" s="115" t="str">
        <f>VLOOKUP(B742,'All Menu'!B:D,3,0)</f>
        <v>المقبلات سفري</v>
      </c>
      <c r="E742" s="116">
        <f t="shared" si="62"/>
        <v>1.7241379310344829</v>
      </c>
      <c r="F742" s="119">
        <v>82</v>
      </c>
      <c r="G742" s="119">
        <v>141.37931034482759</v>
      </c>
      <c r="H742" s="115">
        <f>VLOOKUP(B742,'All Menu'!B:J,9,0)</f>
        <v>0.37273836559139784</v>
      </c>
      <c r="I742" s="120">
        <f>VLOOKUP(B742,'All Menu'!B:M,12,0)</f>
        <v>0.78381174795698927</v>
      </c>
      <c r="J742" s="114">
        <f t="shared" si="59"/>
        <v>141.37931034482759</v>
      </c>
      <c r="K742" s="117">
        <f t="shared" si="60"/>
        <v>0</v>
      </c>
      <c r="L742" s="118">
        <f>VLOOKUP(B742,'All Menu'!B:G,6,0)</f>
        <v>1.7241379310344829</v>
      </c>
      <c r="M742" s="118">
        <f t="shared" si="61"/>
        <v>0</v>
      </c>
      <c r="N742" s="151">
        <f ca="1">VLOOKUP(B742,'All Menu'!B:H,7,0)</f>
        <v>350</v>
      </c>
    </row>
    <row r="743" spans="1:14" s="113" customFormat="1" ht="15.75" customHeight="1">
      <c r="A743" s="156" t="s">
        <v>2022</v>
      </c>
      <c r="B743" s="170" t="s">
        <v>887</v>
      </c>
      <c r="C743" s="113" t="s">
        <v>567</v>
      </c>
      <c r="D743" s="115" t="str">
        <f>VLOOKUP(B743,'All Menu'!B:D,3,0)</f>
        <v>المقبلات سفري</v>
      </c>
      <c r="E743" s="116">
        <f t="shared" si="62"/>
        <v>1.2931034482758621</v>
      </c>
      <c r="F743" s="119">
        <v>19.71</v>
      </c>
      <c r="G743" s="119">
        <v>25.487068965517242</v>
      </c>
      <c r="H743" s="115">
        <f>VLOOKUP(B743,'All Menu'!B:J,9,0)</f>
        <v>0.6310778979497047</v>
      </c>
      <c r="I743" s="120">
        <f>VLOOKUP(B743,'All Menu'!B:M,12,0)</f>
        <v>0.51196642558556171</v>
      </c>
      <c r="J743" s="114">
        <f t="shared" si="59"/>
        <v>25.487068965517242</v>
      </c>
      <c r="K743" s="117">
        <f t="shared" si="60"/>
        <v>0</v>
      </c>
      <c r="L743" s="118">
        <f>VLOOKUP(B743,'All Menu'!B:G,6,0)</f>
        <v>1.2931034482758621</v>
      </c>
      <c r="M743" s="118">
        <f t="shared" si="61"/>
        <v>0</v>
      </c>
      <c r="N743" s="151">
        <f ca="1">VLOOKUP(B743,'All Menu'!B:H,7,0)</f>
        <v>91.710000000000008</v>
      </c>
    </row>
    <row r="744" spans="1:14" s="113" customFormat="1" ht="15.75" customHeight="1">
      <c r="A744" s="156" t="s">
        <v>2022</v>
      </c>
      <c r="B744" s="170" t="s">
        <v>1179</v>
      </c>
      <c r="C744" s="113" t="s">
        <v>579</v>
      </c>
      <c r="D744" s="115" t="str">
        <f>VLOOKUP(B744,'All Menu'!B:D,3,0)</f>
        <v>المقبلات سفري</v>
      </c>
      <c r="E744" s="116">
        <f t="shared" si="62"/>
        <v>0.20700111234705229</v>
      </c>
      <c r="F744" s="119">
        <v>31</v>
      </c>
      <c r="G744" s="119">
        <v>6.4170344827586208</v>
      </c>
      <c r="H744" s="115">
        <f>VLOOKUP(B744,'All Menu'!B:J,9,0)</f>
        <v>6.0440000000000001E-2</v>
      </c>
      <c r="I744" s="120">
        <f>VLOOKUP(B744,'All Menu'!B:M,12,0)</f>
        <v>0.71955840000000004</v>
      </c>
      <c r="J744" s="114">
        <f t="shared" si="59"/>
        <v>6.681034482758621</v>
      </c>
      <c r="K744" s="117">
        <f t="shared" si="60"/>
        <v>-0.26400000000000023</v>
      </c>
      <c r="L744" s="118">
        <f>VLOOKUP(B744,'All Menu'!B:G,6,0)</f>
        <v>0.21551724137931036</v>
      </c>
      <c r="M744" s="118">
        <f t="shared" si="61"/>
        <v>-8.5161290322580685E-3</v>
      </c>
      <c r="N744" s="151">
        <f ca="1">VLOOKUP(B744,'All Menu'!B:H,7,0)</f>
        <v>330.22</v>
      </c>
    </row>
    <row r="745" spans="1:14" s="113" customFormat="1" ht="15.75" customHeight="1">
      <c r="A745" s="156" t="s">
        <v>2022</v>
      </c>
      <c r="B745" s="170" t="s">
        <v>1179</v>
      </c>
      <c r="C745" s="113" t="s">
        <v>579</v>
      </c>
      <c r="D745" s="115" t="str">
        <f>VLOOKUP(B745,'All Menu'!B:D,3,0)</f>
        <v>المقبلات سفري</v>
      </c>
      <c r="E745" s="116">
        <f t="shared" si="62"/>
        <v>0.21551724137931036</v>
      </c>
      <c r="F745" s="119">
        <v>1.22</v>
      </c>
      <c r="G745" s="119">
        <v>0.26293103448275862</v>
      </c>
      <c r="H745" s="115">
        <f>VLOOKUP(B745,'All Menu'!B:J,9,0)</f>
        <v>6.0440000000000001E-2</v>
      </c>
      <c r="I745" s="120">
        <f>VLOOKUP(B745,'All Menu'!B:M,12,0)</f>
        <v>0.71955840000000004</v>
      </c>
      <c r="J745" s="114">
        <f t="shared" si="59"/>
        <v>0.26293103448275862</v>
      </c>
      <c r="K745" s="117">
        <f t="shared" si="60"/>
        <v>0</v>
      </c>
      <c r="L745" s="118">
        <f>VLOOKUP(B745,'All Menu'!B:G,6,0)</f>
        <v>0.21551724137931036</v>
      </c>
      <c r="M745" s="118">
        <f t="shared" si="61"/>
        <v>0</v>
      </c>
      <c r="N745" s="151">
        <f ca="1">VLOOKUP(B745,'All Menu'!B:H,7,0)</f>
        <v>330.22</v>
      </c>
    </row>
    <row r="746" spans="1:14" s="113" customFormat="1" ht="15.75" customHeight="1">
      <c r="A746" s="156" t="s">
        <v>2022</v>
      </c>
      <c r="B746" s="170" t="s">
        <v>1100</v>
      </c>
      <c r="C746" s="113" t="s">
        <v>1781</v>
      </c>
      <c r="D746" s="115" t="str">
        <f>VLOOKUP(B746,'All Menu'!B:D,3,0)</f>
        <v>المقبلات سفري</v>
      </c>
      <c r="E746" s="116">
        <f t="shared" si="62"/>
        <v>0.64655172413793105</v>
      </c>
      <c r="F746" s="119">
        <v>16.001000000000001</v>
      </c>
      <c r="G746" s="119">
        <v>10.345474137931035</v>
      </c>
      <c r="H746" s="115">
        <f>VLOOKUP(B746,'All Menu'!B:J,9,0)</f>
        <v>0.11478613834173157</v>
      </c>
      <c r="I746" s="120">
        <f>VLOOKUP(B746,'All Menu'!B:M,12,0)</f>
        <v>0.82246410603145514</v>
      </c>
      <c r="J746" s="114">
        <f t="shared" si="59"/>
        <v>10.345474137931035</v>
      </c>
      <c r="K746" s="117">
        <f t="shared" si="60"/>
        <v>0</v>
      </c>
      <c r="L746" s="118">
        <f>VLOOKUP(B746,'All Menu'!B:G,6,0)</f>
        <v>0.64655172413793105</v>
      </c>
      <c r="M746" s="118">
        <f t="shared" si="61"/>
        <v>0</v>
      </c>
      <c r="N746" s="151">
        <f ca="1">VLOOKUP(B746,'All Menu'!B:H,7,0)</f>
        <v>168.001</v>
      </c>
    </row>
    <row r="747" spans="1:14" s="113" customFormat="1" ht="15.75" customHeight="1">
      <c r="A747" s="156" t="s">
        <v>2022</v>
      </c>
      <c r="B747" s="170" t="s">
        <v>1018</v>
      </c>
      <c r="C747" s="113" t="s">
        <v>1782</v>
      </c>
      <c r="D747" s="115" t="str">
        <f>VLOOKUP(B747,'All Menu'!B:D,3,0)</f>
        <v>المقبلات سفري</v>
      </c>
      <c r="E747" s="116">
        <f t="shared" si="62"/>
        <v>0.34482758620689657</v>
      </c>
      <c r="F747" s="119">
        <v>50.7</v>
      </c>
      <c r="G747" s="119">
        <v>17.482758620689658</v>
      </c>
      <c r="H747" s="115">
        <f>VLOOKUP(B747,'All Menu'!B:J,9,0)</f>
        <v>0.16</v>
      </c>
      <c r="I747" s="120">
        <f>VLOOKUP(B747,'All Menu'!B:M,12,0)</f>
        <v>0.53600000000000003</v>
      </c>
      <c r="J747" s="114">
        <f t="shared" si="59"/>
        <v>17.482758620689658</v>
      </c>
      <c r="K747" s="117">
        <f t="shared" si="60"/>
        <v>0</v>
      </c>
      <c r="L747" s="118">
        <f>VLOOKUP(B747,'All Menu'!B:G,6,0)</f>
        <v>0.34482758620689657</v>
      </c>
      <c r="M747" s="118">
        <f t="shared" si="61"/>
        <v>0</v>
      </c>
      <c r="N747" s="151">
        <f ca="1">VLOOKUP(B747,'All Menu'!B:H,7,0)</f>
        <v>324.39999999999998</v>
      </c>
    </row>
    <row r="748" spans="1:14" s="113" customFormat="1" ht="15.75" customHeight="1">
      <c r="A748" s="156" t="s">
        <v>2022</v>
      </c>
      <c r="B748" s="170" t="s">
        <v>1083</v>
      </c>
      <c r="C748" s="113" t="s">
        <v>1452</v>
      </c>
      <c r="D748" s="115" t="str">
        <f>VLOOKUP(B748,'All Menu'!B:D,3,0)</f>
        <v>المقبلات سفري</v>
      </c>
      <c r="E748" s="116">
        <f t="shared" si="62"/>
        <v>0.34482758620689657</v>
      </c>
      <c r="F748" s="119">
        <v>17</v>
      </c>
      <c r="G748" s="119">
        <v>5.862068965517242</v>
      </c>
      <c r="H748" s="115">
        <f>VLOOKUP(B748,'All Menu'!B:J,9,0)</f>
        <v>0.12825673611111113</v>
      </c>
      <c r="I748" s="120">
        <f>VLOOKUP(B748,'All Menu'!B:M,12,0)</f>
        <v>0.62805546527777778</v>
      </c>
      <c r="J748" s="114">
        <f t="shared" si="59"/>
        <v>5.862068965517242</v>
      </c>
      <c r="K748" s="117">
        <f t="shared" si="60"/>
        <v>0</v>
      </c>
      <c r="L748" s="118">
        <f>VLOOKUP(B748,'All Menu'!B:G,6,0)</f>
        <v>0.34482758620689657</v>
      </c>
      <c r="M748" s="118">
        <f t="shared" si="61"/>
        <v>0</v>
      </c>
      <c r="N748" s="151">
        <f ca="1">VLOOKUP(B748,'All Menu'!B:H,7,0)</f>
        <v>39</v>
      </c>
    </row>
    <row r="749" spans="1:14" s="113" customFormat="1" ht="15.75" customHeight="1">
      <c r="A749" s="156" t="s">
        <v>2022</v>
      </c>
      <c r="B749" s="170" t="s">
        <v>897</v>
      </c>
      <c r="C749" s="113" t="s">
        <v>573</v>
      </c>
      <c r="D749" s="115" t="str">
        <f>VLOOKUP(B749,'All Menu'!B:D,3,0)</f>
        <v>المقبلات سفري</v>
      </c>
      <c r="E749" s="116">
        <f t="shared" si="62"/>
        <v>1.0775862068965518</v>
      </c>
      <c r="F749" s="119">
        <v>50</v>
      </c>
      <c r="G749" s="119">
        <v>53.879310344827594</v>
      </c>
      <c r="H749" s="115">
        <f>VLOOKUP(B749,'All Menu'!B:J,9,0)</f>
        <v>0.56669403004883445</v>
      </c>
      <c r="I749" s="120">
        <f>VLOOKUP(B749,'All Menu'!B:M,12,0)</f>
        <v>0.47410794011468166</v>
      </c>
      <c r="J749" s="114">
        <f t="shared" si="59"/>
        <v>53.879310344827594</v>
      </c>
      <c r="K749" s="117">
        <f t="shared" si="60"/>
        <v>0</v>
      </c>
      <c r="L749" s="118">
        <f>VLOOKUP(B749,'All Menu'!B:G,6,0)</f>
        <v>1.0775862068965518</v>
      </c>
      <c r="M749" s="118">
        <f t="shared" si="61"/>
        <v>0</v>
      </c>
      <c r="N749" s="151">
        <f ca="1">VLOOKUP(B749,'All Menu'!B:H,7,0)</f>
        <v>670.00099999999998</v>
      </c>
    </row>
    <row r="750" spans="1:14" s="113" customFormat="1" ht="15.75" customHeight="1">
      <c r="A750" s="156" t="s">
        <v>2022</v>
      </c>
      <c r="B750" s="170" t="s">
        <v>897</v>
      </c>
      <c r="C750" s="113" t="s">
        <v>573</v>
      </c>
      <c r="D750" s="115" t="str">
        <f>VLOOKUP(B750,'All Menu'!B:D,3,0)</f>
        <v>المقبلات سفري</v>
      </c>
      <c r="E750" s="116">
        <f t="shared" si="62"/>
        <v>0.75241365565565144</v>
      </c>
      <c r="F750" s="119">
        <v>143.001</v>
      </c>
      <c r="G750" s="119">
        <v>107.59590517241381</v>
      </c>
      <c r="H750" s="115">
        <f>VLOOKUP(B750,'All Menu'!B:J,9,0)</f>
        <v>0.56669403004883445</v>
      </c>
      <c r="I750" s="120">
        <f>VLOOKUP(B750,'All Menu'!B:M,12,0)</f>
        <v>0.47410794011468166</v>
      </c>
      <c r="J750" s="114">
        <f t="shared" si="59"/>
        <v>154.09590517241381</v>
      </c>
      <c r="K750" s="117">
        <f t="shared" si="60"/>
        <v>-46.5</v>
      </c>
      <c r="L750" s="118">
        <f>VLOOKUP(B750,'All Menu'!B:G,6,0)</f>
        <v>1.0775862068965518</v>
      </c>
      <c r="M750" s="118">
        <f t="shared" si="61"/>
        <v>-0.32517255124090039</v>
      </c>
      <c r="N750" s="151">
        <f ca="1">VLOOKUP(B750,'All Menu'!B:H,7,0)</f>
        <v>670.00099999999998</v>
      </c>
    </row>
    <row r="751" spans="1:14" s="113" customFormat="1" ht="15.75" customHeight="1">
      <c r="A751" s="156" t="s">
        <v>2022</v>
      </c>
      <c r="B751" s="170" t="s">
        <v>893</v>
      </c>
      <c r="C751" s="113" t="s">
        <v>569</v>
      </c>
      <c r="D751" s="115" t="str">
        <f>VLOOKUP(B751,'All Menu'!B:D,3,0)</f>
        <v>المقبلات سفري</v>
      </c>
      <c r="E751" s="116">
        <f t="shared" si="62"/>
        <v>0.64522936190530167</v>
      </c>
      <c r="F751" s="119">
        <v>340.30009999999999</v>
      </c>
      <c r="G751" s="119">
        <v>219.57161637931034</v>
      </c>
      <c r="H751" s="115">
        <f>VLOOKUP(B751,'All Menu'!B:J,9,0)</f>
        <v>0.74333047410526309</v>
      </c>
      <c r="I751" s="120">
        <f>VLOOKUP(B751,'All Menu'!B:M,12,0)</f>
        <v>-0.14968446661614024</v>
      </c>
      <c r="J751" s="114">
        <f t="shared" si="59"/>
        <v>220.02161637931033</v>
      </c>
      <c r="K751" s="117">
        <f t="shared" si="60"/>
        <v>-0.44999999999998863</v>
      </c>
      <c r="L751" s="118">
        <f>VLOOKUP(B751,'All Menu'!B:G,6,0)</f>
        <v>0.64655172413793105</v>
      </c>
      <c r="M751" s="118">
        <f t="shared" si="61"/>
        <v>-1.3223622326293816E-3</v>
      </c>
      <c r="N751" s="151">
        <f ca="1">VLOOKUP(B751,'All Menu'!B:H,7,0)</f>
        <v>1510.3000999999999</v>
      </c>
    </row>
    <row r="752" spans="1:14" s="113" customFormat="1" ht="15.75" customHeight="1">
      <c r="A752" s="156" t="s">
        <v>2022</v>
      </c>
      <c r="B752" s="170" t="s">
        <v>947</v>
      </c>
      <c r="C752" s="113" t="s">
        <v>1453</v>
      </c>
      <c r="D752" s="115" t="str">
        <f>VLOOKUP(B752,'All Menu'!B:D,3,0)</f>
        <v>المقبلات سفري</v>
      </c>
      <c r="E752" s="116">
        <f t="shared" si="62"/>
        <v>0.64655172413793105</v>
      </c>
      <c r="F752" s="119">
        <v>134.0001</v>
      </c>
      <c r="G752" s="119">
        <v>86.63799568965517</v>
      </c>
      <c r="H752" s="115">
        <f>VLOOKUP(B752,'All Menu'!B:J,9,0)</f>
        <v>0.19348933333333332</v>
      </c>
      <c r="I752" s="120">
        <f>VLOOKUP(B752,'All Menu'!B:M,12,0)</f>
        <v>0.7007364977777778</v>
      </c>
      <c r="J752" s="114">
        <f t="shared" si="59"/>
        <v>86.63799568965517</v>
      </c>
      <c r="K752" s="117">
        <f t="shared" si="60"/>
        <v>0</v>
      </c>
      <c r="L752" s="118">
        <f>VLOOKUP(B752,'All Menu'!B:G,6,0)</f>
        <v>0.64655172413793105</v>
      </c>
      <c r="M752" s="118">
        <f t="shared" si="61"/>
        <v>0</v>
      </c>
      <c r="N752" s="151">
        <f ca="1">VLOOKUP(B752,'All Menu'!B:H,7,0)</f>
        <v>688.00009999999997</v>
      </c>
    </row>
    <row r="753" spans="1:14" s="113" customFormat="1" ht="15.75" customHeight="1">
      <c r="A753" s="156" t="s">
        <v>2022</v>
      </c>
      <c r="B753" s="170" t="s">
        <v>969</v>
      </c>
      <c r="C753" s="113" t="s">
        <v>1454</v>
      </c>
      <c r="D753" s="115" t="str">
        <f>VLOOKUP(B753,'All Menu'!B:D,3,0)</f>
        <v>المقبلات سفري</v>
      </c>
      <c r="E753" s="116">
        <f t="shared" si="62"/>
        <v>0.86206896551724155</v>
      </c>
      <c r="F753" s="119">
        <v>83.5</v>
      </c>
      <c r="G753" s="119">
        <v>71.982758620689665</v>
      </c>
      <c r="H753" s="115">
        <f>VLOOKUP(B753,'All Menu'!B:J,9,0)</f>
        <v>0.19719300000000001</v>
      </c>
      <c r="I753" s="120">
        <f>VLOOKUP(B753,'All Menu'!B:M,12,0)</f>
        <v>0.77125611999999999</v>
      </c>
      <c r="J753" s="114">
        <f t="shared" si="59"/>
        <v>71.982758620689665</v>
      </c>
      <c r="K753" s="117">
        <f t="shared" si="60"/>
        <v>0</v>
      </c>
      <c r="L753" s="118">
        <f>VLOOKUP(B753,'All Menu'!B:G,6,0)</f>
        <v>0.86206896551724144</v>
      </c>
      <c r="M753" s="118">
        <f t="shared" si="61"/>
        <v>0</v>
      </c>
      <c r="N753" s="151">
        <f ca="1">VLOOKUP(B753,'All Menu'!B:H,7,0)</f>
        <v>564.5</v>
      </c>
    </row>
    <row r="754" spans="1:14" s="113" customFormat="1" ht="15.75" customHeight="1">
      <c r="A754" s="156" t="s">
        <v>2022</v>
      </c>
      <c r="B754" s="170" t="s">
        <v>937</v>
      </c>
      <c r="C754" s="113" t="s">
        <v>1455</v>
      </c>
      <c r="D754" s="115" t="str">
        <f>VLOOKUP(B754,'All Menu'!B:D,3,0)</f>
        <v>المقبلات سفري</v>
      </c>
      <c r="E754" s="116">
        <f t="shared" si="62"/>
        <v>0.64199417738292552</v>
      </c>
      <c r="F754" s="119">
        <v>330.00209999999998</v>
      </c>
      <c r="G754" s="119">
        <v>211.85942672413793</v>
      </c>
      <c r="H754" s="115">
        <f>VLOOKUP(B754,'All Menu'!B:J,9,0)</f>
        <v>0.2584178695286195</v>
      </c>
      <c r="I754" s="120">
        <f>VLOOKUP(B754,'All Menu'!B:M,12,0)</f>
        <v>0.60031369512906851</v>
      </c>
      <c r="J754" s="114">
        <f t="shared" si="59"/>
        <v>213.36342672413792</v>
      </c>
      <c r="K754" s="117">
        <f t="shared" si="60"/>
        <v>-1.5039999999999907</v>
      </c>
      <c r="L754" s="118">
        <f>VLOOKUP(B754,'All Menu'!B:G,6,0)</f>
        <v>0.64655172413793105</v>
      </c>
      <c r="M754" s="118">
        <f t="shared" si="61"/>
        <v>-4.557546755005526E-3</v>
      </c>
      <c r="N754" s="151">
        <f ca="1">VLOOKUP(B754,'All Menu'!B:H,7,0)</f>
        <v>1726.0020999999999</v>
      </c>
    </row>
    <row r="755" spans="1:14" s="113" customFormat="1" ht="15.75" customHeight="1">
      <c r="A755" s="156" t="s">
        <v>2022</v>
      </c>
      <c r="B755" s="170" t="s">
        <v>938</v>
      </c>
      <c r="C755" s="113" t="s">
        <v>1456</v>
      </c>
      <c r="D755" s="115" t="str">
        <f>VLOOKUP(B755,'All Menu'!B:D,3,0)</f>
        <v>المقبلات سفري</v>
      </c>
      <c r="E755" s="116">
        <f t="shared" si="62"/>
        <v>0.77586206896551735</v>
      </c>
      <c r="F755" s="119">
        <v>250.001</v>
      </c>
      <c r="G755" s="119">
        <v>193.96629310344829</v>
      </c>
      <c r="H755" s="115">
        <f>VLOOKUP(B755,'All Menu'!B:J,9,0)</f>
        <v>0.46852673828030816</v>
      </c>
      <c r="I755" s="120">
        <f>VLOOKUP(B755,'All Menu'!B:M,12,0)</f>
        <v>0.39612109288315844</v>
      </c>
      <c r="J755" s="114">
        <f t="shared" si="59"/>
        <v>193.96629310344829</v>
      </c>
      <c r="K755" s="117">
        <f t="shared" si="60"/>
        <v>0</v>
      </c>
      <c r="L755" s="118">
        <f>VLOOKUP(B755,'All Menu'!B:G,6,0)</f>
        <v>0.77586206896551735</v>
      </c>
      <c r="M755" s="118">
        <f t="shared" si="61"/>
        <v>0</v>
      </c>
      <c r="N755" s="151">
        <f ca="1">VLOOKUP(B755,'All Menu'!B:H,7,0)</f>
        <v>1139.001</v>
      </c>
    </row>
    <row r="756" spans="1:14" s="113" customFormat="1" ht="15.75" customHeight="1">
      <c r="A756" s="156" t="s">
        <v>2022</v>
      </c>
      <c r="B756" s="170" t="s">
        <v>1047</v>
      </c>
      <c r="C756" s="113" t="s">
        <v>1457</v>
      </c>
      <c r="D756" s="115" t="str">
        <f>VLOOKUP(B756,'All Menu'!B:D,3,0)</f>
        <v>المقبلات سفري</v>
      </c>
      <c r="E756" s="116">
        <f t="shared" si="62"/>
        <v>0.21551724137931036</v>
      </c>
      <c r="F756" s="119">
        <v>152.03200000000001</v>
      </c>
      <c r="G756" s="119">
        <v>32.765517241379314</v>
      </c>
      <c r="H756" s="115">
        <f>VLOOKUP(B756,'All Menu'!B:J,9,0)</f>
        <v>6.620838217338218E-2</v>
      </c>
      <c r="I756" s="120">
        <f>VLOOKUP(B756,'All Menu'!B:M,12,0)</f>
        <v>0.69279310671550676</v>
      </c>
      <c r="J756" s="114">
        <f t="shared" si="59"/>
        <v>32.765517241379314</v>
      </c>
      <c r="K756" s="117">
        <f t="shared" si="60"/>
        <v>0</v>
      </c>
      <c r="L756" s="118">
        <f>VLOOKUP(B756,'All Menu'!B:G,6,0)</f>
        <v>0.21551724137931036</v>
      </c>
      <c r="M756" s="118">
        <f t="shared" si="61"/>
        <v>0</v>
      </c>
      <c r="N756" s="151">
        <f ca="1">VLOOKUP(B756,'All Menu'!B:H,7,0)</f>
        <v>197.03200000000001</v>
      </c>
    </row>
    <row r="757" spans="1:14" s="113" customFormat="1" ht="15.75" customHeight="1">
      <c r="A757" s="156" t="s">
        <v>2022</v>
      </c>
      <c r="B757" s="170" t="s">
        <v>1048</v>
      </c>
      <c r="C757" s="113" t="s">
        <v>1458</v>
      </c>
      <c r="D757" s="115" t="str">
        <f>VLOOKUP(B757,'All Menu'!B:D,3,0)</f>
        <v>المقبلات سفري</v>
      </c>
      <c r="E757" s="116">
        <f t="shared" si="62"/>
        <v>0.17780295566502466</v>
      </c>
      <c r="F757" s="119">
        <v>7</v>
      </c>
      <c r="G757" s="119">
        <v>1.2446206896551726</v>
      </c>
      <c r="H757" s="115">
        <f>VLOOKUP(B757,'All Menu'!B:J,9,0)</f>
        <v>8.7399999999999992E-2</v>
      </c>
      <c r="I757" s="120">
        <f>VLOOKUP(B757,'All Menu'!B:M,12,0)</f>
        <v>0.59446399999999999</v>
      </c>
      <c r="J757" s="114">
        <f t="shared" si="59"/>
        <v>1.5086206896551726</v>
      </c>
      <c r="K757" s="117">
        <f t="shared" si="60"/>
        <v>-0.26400000000000001</v>
      </c>
      <c r="L757" s="118">
        <f>VLOOKUP(B757,'All Menu'!B:G,6,0)</f>
        <v>0.21551724137931036</v>
      </c>
      <c r="M757" s="118">
        <f t="shared" si="61"/>
        <v>-3.77142857142857E-2</v>
      </c>
      <c r="N757" s="151">
        <f ca="1">VLOOKUP(B757,'All Menu'!B:H,7,0)</f>
        <v>217</v>
      </c>
    </row>
    <row r="758" spans="1:14" s="113" customFormat="1" ht="15.75" customHeight="1">
      <c r="A758" s="156" t="s">
        <v>2022</v>
      </c>
      <c r="B758" s="170" t="s">
        <v>1180</v>
      </c>
      <c r="C758" s="113" t="s">
        <v>1787</v>
      </c>
      <c r="D758" s="115" t="str">
        <f>VLOOKUP(B758,'All Menu'!B:D,3,0)</f>
        <v>المقبلات سفري</v>
      </c>
      <c r="E758" s="116">
        <f t="shared" si="62"/>
        <v>0.21551724137931036</v>
      </c>
      <c r="F758" s="119">
        <v>5.0010000000000003</v>
      </c>
      <c r="G758" s="119">
        <v>1.0778017241379312</v>
      </c>
      <c r="H758" s="115">
        <f>VLOOKUP(B758,'All Menu'!B:J,9,0)</f>
        <v>8.0269227668346321E-2</v>
      </c>
      <c r="I758" s="120">
        <f>VLOOKUP(B758,'All Menu'!B:M,12,0)</f>
        <v>0.62755078361887306</v>
      </c>
      <c r="J758" s="114">
        <f t="shared" si="59"/>
        <v>1.0778017241379312</v>
      </c>
      <c r="K758" s="117">
        <f t="shared" si="60"/>
        <v>0</v>
      </c>
      <c r="L758" s="118">
        <f>VLOOKUP(B758,'All Menu'!B:G,6,0)</f>
        <v>0.21551724137931036</v>
      </c>
      <c r="M758" s="118">
        <f t="shared" si="61"/>
        <v>0</v>
      </c>
      <c r="N758" s="151">
        <f ca="1">VLOOKUP(B758,'All Menu'!B:H,7,0)</f>
        <v>23.001000000000001</v>
      </c>
    </row>
    <row r="759" spans="1:14" s="113" customFormat="1" ht="15.75" customHeight="1">
      <c r="A759" s="156" t="s">
        <v>2022</v>
      </c>
      <c r="B759" s="170" t="s">
        <v>1274</v>
      </c>
      <c r="C759" s="113" t="s">
        <v>1786</v>
      </c>
      <c r="D759" s="115" t="str">
        <f>VLOOKUP(B759,'All Menu'!B:D,3,0)</f>
        <v>المقبلات سفري</v>
      </c>
      <c r="E759" s="116">
        <f t="shared" si="62"/>
        <v>1.2931034482758621</v>
      </c>
      <c r="F759" s="119">
        <v>10</v>
      </c>
      <c r="G759" s="119">
        <v>12.931034482758621</v>
      </c>
      <c r="H759" s="115">
        <f>VLOOKUP(B759,'All Menu'!B:J,9,0)</f>
        <v>0.27506122685185186</v>
      </c>
      <c r="I759" s="120">
        <f>VLOOKUP(B759,'All Menu'!B:M,12,0)</f>
        <v>0.78728598456790111</v>
      </c>
      <c r="J759" s="114">
        <f t="shared" si="59"/>
        <v>12.931034482758621</v>
      </c>
      <c r="K759" s="117">
        <f t="shared" si="60"/>
        <v>0</v>
      </c>
      <c r="L759" s="118">
        <f>VLOOKUP(B759,'All Menu'!B:G,6,0)</f>
        <v>1.2931034482758621</v>
      </c>
      <c r="M759" s="118">
        <f t="shared" si="61"/>
        <v>0</v>
      </c>
      <c r="N759" s="151">
        <f ca="1">VLOOKUP(B759,'All Menu'!B:H,7,0)</f>
        <v>46</v>
      </c>
    </row>
    <row r="760" spans="1:14" s="113" customFormat="1" ht="15.75" customHeight="1">
      <c r="A760" s="156" t="s">
        <v>2022</v>
      </c>
      <c r="B760" s="170" t="s">
        <v>1308</v>
      </c>
      <c r="C760" s="113" t="s">
        <v>1794</v>
      </c>
      <c r="D760" s="115" t="str">
        <f>VLOOKUP(B760,'All Menu'!B:D,3,0)</f>
        <v>المقبلات سفري</v>
      </c>
      <c r="E760" s="116">
        <f t="shared" si="62"/>
        <v>2.5862068965517242</v>
      </c>
      <c r="F760" s="119">
        <v>1</v>
      </c>
      <c r="G760" s="119">
        <v>2.5862068965517242</v>
      </c>
      <c r="H760" s="115">
        <f>VLOOKUP(B760,'All Menu'!B:J,9,0)</f>
        <v>0.95152662777020813</v>
      </c>
      <c r="I760" s="120">
        <f>VLOOKUP(B760,'All Menu'!B:M,12,0)</f>
        <v>0.63207637059551958</v>
      </c>
      <c r="J760" s="114">
        <f t="shared" si="59"/>
        <v>2.5862068965517242</v>
      </c>
      <c r="K760" s="117">
        <f t="shared" si="60"/>
        <v>0</v>
      </c>
      <c r="L760" s="118">
        <f>VLOOKUP(B760,'All Menu'!B:G,6,0)</f>
        <v>2.5862068965517242</v>
      </c>
      <c r="M760" s="118">
        <f t="shared" si="61"/>
        <v>0</v>
      </c>
      <c r="N760" s="151">
        <f ca="1">VLOOKUP(B760,'All Menu'!B:H,7,0)</f>
        <v>12</v>
      </c>
    </row>
    <row r="761" spans="1:14" s="113" customFormat="1" ht="15.75" customHeight="1">
      <c r="A761" s="156" t="s">
        <v>2022</v>
      </c>
      <c r="B761" s="170" t="s">
        <v>991</v>
      </c>
      <c r="C761" s="113" t="s">
        <v>1350</v>
      </c>
      <c r="D761" s="115" t="str">
        <f>VLOOKUP(B761,'All Menu'!B:D,3,0)</f>
        <v>الوجبات اليومية سفري</v>
      </c>
      <c r="E761" s="116">
        <f t="shared" si="62"/>
        <v>7.7586206896551726</v>
      </c>
      <c r="F761" s="119">
        <v>46.000999999999998</v>
      </c>
      <c r="G761" s="119">
        <v>356.90431034482759</v>
      </c>
      <c r="H761" s="115">
        <f>VLOOKUP(B761,'All Menu'!B:J,9,0)</f>
        <v>5.2935268537167888</v>
      </c>
      <c r="I761" s="120">
        <f>VLOOKUP(B761,'All Menu'!B:M,12,0)</f>
        <v>0.31772320552094724</v>
      </c>
      <c r="J761" s="114">
        <f t="shared" si="59"/>
        <v>356.90431034482759</v>
      </c>
      <c r="K761" s="117">
        <f t="shared" si="60"/>
        <v>0</v>
      </c>
      <c r="L761" s="118">
        <f>VLOOKUP(B761,'All Menu'!B:G,6,0)</f>
        <v>7.7586206896551726</v>
      </c>
      <c r="M761" s="118">
        <f t="shared" si="61"/>
        <v>0</v>
      </c>
      <c r="N761" s="151">
        <f ca="1">VLOOKUP(B761,'All Menu'!B:H,7,0)</f>
        <v>130.001</v>
      </c>
    </row>
    <row r="762" spans="1:14" s="113" customFormat="1" ht="15.75" customHeight="1">
      <c r="A762" s="156" t="s">
        <v>2022</v>
      </c>
      <c r="B762" s="170" t="s">
        <v>1014</v>
      </c>
      <c r="C762" s="113" t="s">
        <v>1351</v>
      </c>
      <c r="D762" s="115" t="str">
        <f>VLOOKUP(B762,'All Menu'!B:D,3,0)</f>
        <v>الوجبات اليومية سفري</v>
      </c>
      <c r="E762" s="116">
        <f t="shared" si="62"/>
        <v>3.4451911685891945</v>
      </c>
      <c r="F762" s="119">
        <v>118.002</v>
      </c>
      <c r="G762" s="119">
        <v>406.53944827586213</v>
      </c>
      <c r="H762" s="115">
        <f>VLOOKUP(B762,'All Menu'!B:J,9,0)</f>
        <v>2.1404005324521074</v>
      </c>
      <c r="I762" s="120">
        <f>VLOOKUP(B762,'All Menu'!B:M,12,0)</f>
        <v>0.37928384558888889</v>
      </c>
      <c r="J762" s="114">
        <f t="shared" si="59"/>
        <v>406.9034482758621</v>
      </c>
      <c r="K762" s="117">
        <f t="shared" si="60"/>
        <v>-0.3639999999999759</v>
      </c>
      <c r="L762" s="118">
        <f>VLOOKUP(B762,'All Menu'!B:G,6,0)</f>
        <v>3.4482758620689657</v>
      </c>
      <c r="M762" s="118">
        <f t="shared" si="61"/>
        <v>-3.08469347977125E-3</v>
      </c>
      <c r="N762" s="151">
        <f ca="1">VLOOKUP(B762,'All Menu'!B:H,7,0)</f>
        <v>350.00200000000001</v>
      </c>
    </row>
    <row r="763" spans="1:14" s="113" customFormat="1" ht="15.75" customHeight="1">
      <c r="A763" s="156" t="s">
        <v>2022</v>
      </c>
      <c r="B763" s="170" t="s">
        <v>996</v>
      </c>
      <c r="C763" s="113" t="s">
        <v>1352</v>
      </c>
      <c r="D763" s="115" t="str">
        <f>VLOOKUP(B763,'All Menu'!B:D,3,0)</f>
        <v>الوجبات اليومية سفري</v>
      </c>
      <c r="E763" s="116">
        <f t="shared" si="62"/>
        <v>3.4482758620689657</v>
      </c>
      <c r="F763" s="119">
        <v>75</v>
      </c>
      <c r="G763" s="119">
        <v>258.62068965517244</v>
      </c>
      <c r="H763" s="115">
        <f>VLOOKUP(B763,'All Menu'!B:J,9,0)</f>
        <v>2.3936093603117103</v>
      </c>
      <c r="I763" s="120">
        <f>VLOOKUP(B763,'All Menu'!B:M,12,0)</f>
        <v>0.30585328550960406</v>
      </c>
      <c r="J763" s="114">
        <f t="shared" si="59"/>
        <v>258.62068965517244</v>
      </c>
      <c r="K763" s="117">
        <f t="shared" si="60"/>
        <v>0</v>
      </c>
      <c r="L763" s="118">
        <f>VLOOKUP(B763,'All Menu'!B:G,6,0)</f>
        <v>3.4482758620689657</v>
      </c>
      <c r="M763" s="118">
        <f t="shared" si="61"/>
        <v>0</v>
      </c>
      <c r="N763" s="151">
        <f ca="1">VLOOKUP(B763,'All Menu'!B:H,7,0)</f>
        <v>151</v>
      </c>
    </row>
    <row r="764" spans="1:14" s="113" customFormat="1" ht="15.75" customHeight="1">
      <c r="A764" s="156" t="s">
        <v>2022</v>
      </c>
      <c r="B764" s="170" t="s">
        <v>987</v>
      </c>
      <c r="C764" s="113" t="s">
        <v>1353</v>
      </c>
      <c r="D764" s="115" t="str">
        <f>VLOOKUP(B764,'All Menu'!B:D,3,0)</f>
        <v>الوجبات اليومية سفري</v>
      </c>
      <c r="E764" s="116">
        <f t="shared" si="62"/>
        <v>2.5862068965517242</v>
      </c>
      <c r="F764" s="119">
        <v>161.68010000000001</v>
      </c>
      <c r="G764" s="119">
        <v>418.13818965517243</v>
      </c>
      <c r="H764" s="115">
        <f>VLOOKUP(B764,'All Menu'!B:J,9,0)</f>
        <v>1.54633723868066</v>
      </c>
      <c r="I764" s="120">
        <f>VLOOKUP(B764,'All Menu'!B:M,12,0)</f>
        <v>0.40208293437681147</v>
      </c>
      <c r="J764" s="114">
        <f t="shared" si="59"/>
        <v>418.13818965517243</v>
      </c>
      <c r="K764" s="117">
        <f t="shared" si="60"/>
        <v>0</v>
      </c>
      <c r="L764" s="118">
        <f>VLOOKUP(B764,'All Menu'!B:G,6,0)</f>
        <v>2.5862068965517242</v>
      </c>
      <c r="M764" s="118">
        <f t="shared" si="61"/>
        <v>0</v>
      </c>
      <c r="N764" s="151">
        <f ca="1">VLOOKUP(B764,'All Menu'!B:H,7,0)</f>
        <v>449.68010000000004</v>
      </c>
    </row>
    <row r="765" spans="1:14" s="113" customFormat="1" ht="15.75" customHeight="1">
      <c r="A765" s="156" t="s">
        <v>2022</v>
      </c>
      <c r="B765" s="170" t="s">
        <v>988</v>
      </c>
      <c r="C765" s="113" t="s">
        <v>555</v>
      </c>
      <c r="D765" s="115" t="str">
        <f>VLOOKUP(B765,'All Menu'!B:D,3,0)</f>
        <v>الوجبات اليومية سفري</v>
      </c>
      <c r="E765" s="116">
        <f t="shared" si="62"/>
        <v>2.5842142103669516</v>
      </c>
      <c r="F765" s="119">
        <v>137.001</v>
      </c>
      <c r="G765" s="119">
        <v>354.03993103448278</v>
      </c>
      <c r="H765" s="115">
        <f>VLOOKUP(B765,'All Menu'!B:J,9,0)</f>
        <v>1.7098010721424013</v>
      </c>
      <c r="I765" s="120">
        <f>VLOOKUP(B765,'All Menu'!B:M,12,0)</f>
        <v>0.33887691877160486</v>
      </c>
      <c r="J765" s="114">
        <f t="shared" si="59"/>
        <v>354.3129310344828</v>
      </c>
      <c r="K765" s="117">
        <f t="shared" si="60"/>
        <v>-0.27300000000002456</v>
      </c>
      <c r="L765" s="118">
        <f>VLOOKUP(B765,'All Menu'!B:G,6,0)</f>
        <v>2.5862068965517242</v>
      </c>
      <c r="M765" s="118">
        <f t="shared" si="61"/>
        <v>-1.9926861847725519E-3</v>
      </c>
      <c r="N765" s="151">
        <f ca="1">VLOOKUP(B765,'All Menu'!B:H,7,0)</f>
        <v>355.00099999999998</v>
      </c>
    </row>
    <row r="766" spans="1:14" s="113" customFormat="1" ht="15.75" customHeight="1">
      <c r="A766" s="156" t="s">
        <v>2022</v>
      </c>
      <c r="B766" s="170" t="s">
        <v>994</v>
      </c>
      <c r="C766" s="113" t="s">
        <v>1333</v>
      </c>
      <c r="D766" s="115" t="str">
        <f>VLOOKUP(B766,'All Menu'!B:D,3,0)</f>
        <v>الوجبات اليومية سفري</v>
      </c>
      <c r="E766" s="116">
        <f t="shared" si="62"/>
        <v>2.5862068965517242</v>
      </c>
      <c r="F766" s="119">
        <v>11</v>
      </c>
      <c r="G766" s="119">
        <v>28.448275862068968</v>
      </c>
      <c r="H766" s="115">
        <f>VLOOKUP(B766,'All Menu'!B:J,9,0)</f>
        <v>1.4196795810467109</v>
      </c>
      <c r="I766" s="120">
        <f>VLOOKUP(B766,'All Menu'!B:M,12,0)</f>
        <v>0.45105722866193848</v>
      </c>
      <c r="J766" s="114">
        <f t="shared" si="59"/>
        <v>28.448275862068968</v>
      </c>
      <c r="K766" s="117">
        <f t="shared" si="60"/>
        <v>0</v>
      </c>
      <c r="L766" s="118">
        <f>VLOOKUP(B766,'All Menu'!B:G,6,0)</f>
        <v>2.5862068965517242</v>
      </c>
      <c r="M766" s="118">
        <f t="shared" si="61"/>
        <v>0</v>
      </c>
      <c r="N766" s="151">
        <f ca="1">VLOOKUP(B766,'All Menu'!B:H,7,0)</f>
        <v>18</v>
      </c>
    </row>
    <row r="767" spans="1:14" s="113" customFormat="1" ht="15.75" customHeight="1">
      <c r="A767" s="156" t="s">
        <v>2022</v>
      </c>
      <c r="B767" s="170" t="s">
        <v>1002</v>
      </c>
      <c r="C767" s="113" t="s">
        <v>1460</v>
      </c>
      <c r="D767" s="115" t="str">
        <f>VLOOKUP(B767,'All Menu'!B:D,3,0)</f>
        <v>الوجبات اليومية سفري</v>
      </c>
      <c r="E767" s="116">
        <f t="shared" si="62"/>
        <v>3.4482758620689657</v>
      </c>
      <c r="F767" s="119">
        <v>2</v>
      </c>
      <c r="G767" s="119">
        <v>6.8965517241379315</v>
      </c>
      <c r="H767" s="115">
        <f>VLOOKUP(B767,'All Menu'!B:J,9,0)</f>
        <v>2.6462827183908053</v>
      </c>
      <c r="I767" s="120">
        <f>VLOOKUP(B767,'All Menu'!B:M,12,0)</f>
        <v>0.2325780116666665</v>
      </c>
      <c r="J767" s="114">
        <f t="shared" si="59"/>
        <v>6.8965517241379315</v>
      </c>
      <c r="K767" s="117">
        <f t="shared" si="60"/>
        <v>0</v>
      </c>
      <c r="L767" s="118">
        <f>VLOOKUP(B767,'All Menu'!B:G,6,0)</f>
        <v>3.4482758620689657</v>
      </c>
      <c r="M767" s="118">
        <f t="shared" si="61"/>
        <v>0</v>
      </c>
      <c r="N767" s="151">
        <f ca="1">VLOOKUP(B767,'All Menu'!B:H,7,0)</f>
        <v>18</v>
      </c>
    </row>
    <row r="768" spans="1:14" s="113" customFormat="1" ht="15.75" customHeight="1">
      <c r="A768" s="156" t="s">
        <v>2022</v>
      </c>
      <c r="B768" s="170" t="s">
        <v>1008</v>
      </c>
      <c r="C768" s="113" t="s">
        <v>1461</v>
      </c>
      <c r="D768" s="115" t="str">
        <f>VLOOKUP(B768,'All Menu'!B:D,3,0)</f>
        <v>الوجبات اليومية سفري</v>
      </c>
      <c r="E768" s="116">
        <f t="shared" si="62"/>
        <v>2.5862068965517246</v>
      </c>
      <c r="F768" s="119">
        <v>14</v>
      </c>
      <c r="G768" s="119">
        <v>36.206896551724142</v>
      </c>
      <c r="H768" s="115">
        <f>VLOOKUP(B768,'All Menu'!B:J,9,0)</f>
        <v>1.8114892697343898</v>
      </c>
      <c r="I768" s="120">
        <f>VLOOKUP(B768,'All Menu'!B:M,12,0)</f>
        <v>0.2995574823693693</v>
      </c>
      <c r="J768" s="114">
        <f t="shared" si="59"/>
        <v>36.206896551724142</v>
      </c>
      <c r="K768" s="117">
        <f t="shared" si="60"/>
        <v>0</v>
      </c>
      <c r="L768" s="118">
        <f>VLOOKUP(B768,'All Menu'!B:G,6,0)</f>
        <v>2.5862068965517242</v>
      </c>
      <c r="M768" s="118">
        <f t="shared" si="61"/>
        <v>0</v>
      </c>
      <c r="N768" s="151">
        <f ca="1">VLOOKUP(B768,'All Menu'!B:H,7,0)</f>
        <v>50</v>
      </c>
    </row>
    <row r="769" spans="1:14" s="113" customFormat="1" ht="15.75" customHeight="1">
      <c r="A769" s="156" t="s">
        <v>2022</v>
      </c>
      <c r="B769" s="170" t="s">
        <v>1027</v>
      </c>
      <c r="C769" s="113" t="s">
        <v>1462</v>
      </c>
      <c r="D769" s="115" t="str">
        <f>VLOOKUP(B769,'All Menu'!B:D,3,0)</f>
        <v>الوجبات اليومية سفري</v>
      </c>
      <c r="E769" s="116">
        <f t="shared" si="62"/>
        <v>4.3103448275862073</v>
      </c>
      <c r="F769" s="119">
        <v>2</v>
      </c>
      <c r="G769" s="119">
        <v>8.6206896551724146</v>
      </c>
      <c r="H769" s="115">
        <f>VLOOKUP(B769,'All Menu'!B:J,9,0)</f>
        <v>4.4403028079022997</v>
      </c>
      <c r="I769" s="120">
        <f>VLOOKUP(B769,'All Menu'!B:M,12,0)</f>
        <v>-3.0150251433333435E-2</v>
      </c>
      <c r="J769" s="114">
        <f t="shared" si="59"/>
        <v>8.6206896551724146</v>
      </c>
      <c r="K769" s="117">
        <f t="shared" si="60"/>
        <v>0</v>
      </c>
      <c r="L769" s="118">
        <f>VLOOKUP(B769,'All Menu'!B:G,6,0)</f>
        <v>4.3103448275862073</v>
      </c>
      <c r="M769" s="118">
        <f t="shared" si="61"/>
        <v>0</v>
      </c>
      <c r="N769" s="151">
        <f ca="1">VLOOKUP(B769,'All Menu'!B:H,7,0)</f>
        <v>27</v>
      </c>
    </row>
    <row r="770" spans="1:14" s="113" customFormat="1" ht="15.75" customHeight="1">
      <c r="A770" s="156" t="s">
        <v>2022</v>
      </c>
      <c r="B770" s="170" t="s">
        <v>1099</v>
      </c>
      <c r="C770" s="113" t="s">
        <v>1338</v>
      </c>
      <c r="D770" s="115" t="str">
        <f>VLOOKUP(B770,'All Menu'!B:D,3,0)</f>
        <v>الوجبات اليومية سفري</v>
      </c>
      <c r="E770" s="116">
        <f t="shared" si="62"/>
        <v>3.4119122257053296</v>
      </c>
      <c r="F770" s="119">
        <v>11</v>
      </c>
      <c r="G770" s="119">
        <v>37.531034482758628</v>
      </c>
      <c r="H770" s="115">
        <f>VLOOKUP(B770,'All Menu'!B:J,9,0)</f>
        <v>1.3523687902456958</v>
      </c>
      <c r="I770" s="120">
        <f>VLOOKUP(B770,'All Menu'!B:M,12,0)</f>
        <v>0.60781305082874826</v>
      </c>
      <c r="J770" s="114">
        <f t="shared" si="59"/>
        <v>37.931034482758626</v>
      </c>
      <c r="K770" s="117">
        <f t="shared" si="60"/>
        <v>-0.39999999999999858</v>
      </c>
      <c r="L770" s="118">
        <f>VLOOKUP(B770,'All Menu'!B:G,6,0)</f>
        <v>3.4482758620689657</v>
      </c>
      <c r="M770" s="118">
        <f t="shared" si="61"/>
        <v>-3.6363636363636154E-2</v>
      </c>
      <c r="N770" s="151">
        <f ca="1">VLOOKUP(B770,'All Menu'!B:H,7,0)</f>
        <v>49</v>
      </c>
    </row>
    <row r="771" spans="1:14" s="113" customFormat="1" ht="15.75" customHeight="1">
      <c r="A771" s="156" t="s">
        <v>2022</v>
      </c>
      <c r="B771" s="170" t="s">
        <v>989</v>
      </c>
      <c r="C771" s="113" t="s">
        <v>1339</v>
      </c>
      <c r="D771" s="115" t="str">
        <f>VLOOKUP(B771,'All Menu'!B:D,3,0)</f>
        <v>الوجبات اليومية سفري</v>
      </c>
      <c r="E771" s="116">
        <f t="shared" si="62"/>
        <v>2.5862068965517242</v>
      </c>
      <c r="F771" s="119">
        <v>8</v>
      </c>
      <c r="G771" s="119">
        <v>20.689655172413794</v>
      </c>
      <c r="H771" s="115">
        <f>VLOOKUP(B771,'All Menu'!B:J,9,0)</f>
        <v>1.4352292934865902</v>
      </c>
      <c r="I771" s="120">
        <f>VLOOKUP(B771,'All Menu'!B:M,12,0)</f>
        <v>0.44504467318518515</v>
      </c>
      <c r="J771" s="114">
        <f t="shared" si="59"/>
        <v>20.689655172413794</v>
      </c>
      <c r="K771" s="117">
        <f t="shared" si="60"/>
        <v>0</v>
      </c>
      <c r="L771" s="118">
        <f>VLOOKUP(B771,'All Menu'!B:G,6,0)</f>
        <v>2.5862068965517242</v>
      </c>
      <c r="M771" s="118">
        <f t="shared" si="61"/>
        <v>0</v>
      </c>
      <c r="N771" s="151">
        <f ca="1">VLOOKUP(B771,'All Menu'!B:H,7,0)</f>
        <v>38</v>
      </c>
    </row>
    <row r="772" spans="1:14" s="113" customFormat="1" ht="15.75" customHeight="1">
      <c r="A772" s="156" t="s">
        <v>2022</v>
      </c>
      <c r="B772" s="170" t="s">
        <v>1004</v>
      </c>
      <c r="C772" s="113" t="s">
        <v>651</v>
      </c>
      <c r="D772" s="115" t="str">
        <f>VLOOKUP(B772,'All Menu'!B:D,3,0)</f>
        <v>الوجبات اليومية سفري</v>
      </c>
      <c r="E772" s="116">
        <f t="shared" si="62"/>
        <v>3.4482758620689657</v>
      </c>
      <c r="F772" s="119">
        <v>7</v>
      </c>
      <c r="G772" s="119">
        <v>24.137931034482762</v>
      </c>
      <c r="H772" s="115">
        <f>VLOOKUP(B772,'All Menu'!B:J,9,0)</f>
        <v>1.7860472019766636</v>
      </c>
      <c r="I772" s="120">
        <f>VLOOKUP(B772,'All Menu'!B:M,12,0)</f>
        <v>0.48204631142676763</v>
      </c>
      <c r="J772" s="114">
        <f t="shared" si="59"/>
        <v>24.137931034482762</v>
      </c>
      <c r="K772" s="117">
        <f t="shared" si="60"/>
        <v>0</v>
      </c>
      <c r="L772" s="118">
        <f>VLOOKUP(B772,'All Menu'!B:G,6,0)</f>
        <v>3.4482758620689657</v>
      </c>
      <c r="M772" s="118">
        <f t="shared" si="61"/>
        <v>0</v>
      </c>
      <c r="N772" s="151">
        <f ca="1">VLOOKUP(B772,'All Menu'!B:H,7,0)</f>
        <v>25</v>
      </c>
    </row>
    <row r="773" spans="1:14" s="113" customFormat="1" ht="15.75" customHeight="1">
      <c r="A773" s="156" t="s">
        <v>2022</v>
      </c>
      <c r="B773" s="170" t="s">
        <v>1009</v>
      </c>
      <c r="C773" s="113" t="s">
        <v>1340</v>
      </c>
      <c r="D773" s="115" t="str">
        <f>VLOOKUP(B773,'All Menu'!B:D,3,0)</f>
        <v>الوجبات اليومية سفري</v>
      </c>
      <c r="E773" s="116">
        <f t="shared" si="62"/>
        <v>3.4482758620689657</v>
      </c>
      <c r="F773" s="119">
        <v>21.25</v>
      </c>
      <c r="G773" s="119">
        <v>73.275862068965523</v>
      </c>
      <c r="H773" s="115">
        <f>VLOOKUP(B773,'All Menu'!B:J,9,0)</f>
        <v>1.8122227068343535</v>
      </c>
      <c r="I773" s="120">
        <f>VLOOKUP(B773,'All Menu'!B:M,12,0)</f>
        <v>0.47445541501803751</v>
      </c>
      <c r="J773" s="114">
        <f t="shared" si="59"/>
        <v>73.275862068965523</v>
      </c>
      <c r="K773" s="117">
        <f t="shared" si="60"/>
        <v>0</v>
      </c>
      <c r="L773" s="118">
        <f>VLOOKUP(B773,'All Menu'!B:G,6,0)</f>
        <v>3.4482758620689657</v>
      </c>
      <c r="M773" s="118">
        <f t="shared" si="61"/>
        <v>0</v>
      </c>
      <c r="N773" s="151">
        <f ca="1">VLOOKUP(B773,'All Menu'!B:H,7,0)</f>
        <v>46.25</v>
      </c>
    </row>
    <row r="774" spans="1:14" s="113" customFormat="1" ht="15.75" customHeight="1">
      <c r="A774" s="156" t="s">
        <v>2022</v>
      </c>
      <c r="B774" s="170" t="s">
        <v>1071</v>
      </c>
      <c r="C774" s="113" t="s">
        <v>1341</v>
      </c>
      <c r="D774" s="115" t="str">
        <f>VLOOKUP(B774,'All Menu'!B:D,3,0)</f>
        <v>الوجبات اليومية سفري</v>
      </c>
      <c r="E774" s="116">
        <f t="shared" si="62"/>
        <v>3.4482758620689657</v>
      </c>
      <c r="F774" s="119">
        <v>40.008099999999999</v>
      </c>
      <c r="G774" s="119">
        <v>137.95896551724138</v>
      </c>
      <c r="H774" s="115">
        <f>VLOOKUP(B774,'All Menu'!B:J,9,0)</f>
        <v>1.873932684539781</v>
      </c>
      <c r="I774" s="120">
        <f>VLOOKUP(B774,'All Menu'!B:M,12,0)</f>
        <v>0.45655952148346352</v>
      </c>
      <c r="J774" s="114">
        <f t="shared" si="59"/>
        <v>137.95896551724138</v>
      </c>
      <c r="K774" s="117">
        <f t="shared" si="60"/>
        <v>0</v>
      </c>
      <c r="L774" s="118">
        <f>VLOOKUP(B774,'All Menu'!B:G,6,0)</f>
        <v>3.4482758620689657</v>
      </c>
      <c r="M774" s="118">
        <f t="shared" si="61"/>
        <v>0</v>
      </c>
      <c r="N774" s="151">
        <f ca="1">VLOOKUP(B774,'All Menu'!B:H,7,0)</f>
        <v>52.008099999999999</v>
      </c>
    </row>
    <row r="775" spans="1:14" s="113" customFormat="1" ht="15.75" customHeight="1">
      <c r="A775" s="156" t="s">
        <v>2022</v>
      </c>
      <c r="B775" s="170" t="s">
        <v>1005</v>
      </c>
      <c r="C775" s="113" t="s">
        <v>1342</v>
      </c>
      <c r="D775" s="115" t="str">
        <f>VLOOKUP(B775,'All Menu'!B:D,3,0)</f>
        <v>الوجبات اليومية سفري</v>
      </c>
      <c r="E775" s="116">
        <f t="shared" si="62"/>
        <v>3.4482758620689657</v>
      </c>
      <c r="F775" s="119">
        <v>19</v>
      </c>
      <c r="G775" s="119">
        <v>65.517241379310349</v>
      </c>
      <c r="H775" s="115">
        <f>VLOOKUP(B775,'All Menu'!B:J,9,0)</f>
        <v>1.6030531260831127</v>
      </c>
      <c r="I775" s="120">
        <f>VLOOKUP(B775,'All Menu'!B:M,12,0)</f>
        <v>0.5351145934358974</v>
      </c>
      <c r="J775" s="114">
        <f t="shared" si="59"/>
        <v>65.517241379310349</v>
      </c>
      <c r="K775" s="117">
        <f t="shared" si="60"/>
        <v>0</v>
      </c>
      <c r="L775" s="118">
        <f>VLOOKUP(B775,'All Menu'!B:G,6,0)</f>
        <v>3.4482758620689657</v>
      </c>
      <c r="M775" s="118">
        <f t="shared" si="61"/>
        <v>0</v>
      </c>
      <c r="N775" s="151">
        <f ca="1">VLOOKUP(B775,'All Menu'!B:H,7,0)</f>
        <v>60</v>
      </c>
    </row>
    <row r="776" spans="1:14" s="113" customFormat="1" ht="15.75" customHeight="1">
      <c r="A776" s="156" t="s">
        <v>2022</v>
      </c>
      <c r="B776" s="170" t="s">
        <v>998</v>
      </c>
      <c r="C776" s="113" t="s">
        <v>1343</v>
      </c>
      <c r="D776" s="115" t="str">
        <f>VLOOKUP(B776,'All Menu'!B:D,3,0)</f>
        <v>الوجبات اليومية سفري</v>
      </c>
      <c r="E776" s="116">
        <f t="shared" si="62"/>
        <v>2.5862068965517242</v>
      </c>
      <c r="F776" s="119">
        <v>10</v>
      </c>
      <c r="G776" s="119">
        <v>25.862068965517242</v>
      </c>
      <c r="H776" s="115">
        <f>VLOOKUP(B776,'All Menu'!B:J,9,0)</f>
        <v>1.4302334633860154</v>
      </c>
      <c r="I776" s="120">
        <f>VLOOKUP(B776,'All Menu'!B:M,12,0)</f>
        <v>0.44697639415740736</v>
      </c>
      <c r="J776" s="114">
        <f t="shared" si="59"/>
        <v>25.862068965517242</v>
      </c>
      <c r="K776" s="117">
        <f t="shared" si="60"/>
        <v>0</v>
      </c>
      <c r="L776" s="118">
        <f>VLOOKUP(B776,'All Menu'!B:G,6,0)</f>
        <v>2.5862068965517242</v>
      </c>
      <c r="M776" s="118">
        <f t="shared" si="61"/>
        <v>0</v>
      </c>
      <c r="N776" s="151">
        <f ca="1">VLOOKUP(B776,'All Menu'!B:H,7,0)</f>
        <v>21</v>
      </c>
    </row>
    <row r="777" spans="1:14" s="113" customFormat="1" ht="15.75" customHeight="1">
      <c r="A777" s="156" t="s">
        <v>2022</v>
      </c>
      <c r="B777" s="170" t="s">
        <v>1000</v>
      </c>
      <c r="C777" s="113" t="s">
        <v>1463</v>
      </c>
      <c r="D777" s="115" t="str">
        <f>VLOOKUP(B777,'All Menu'!B:D,3,0)</f>
        <v>الوجبات اليومية سفري</v>
      </c>
      <c r="E777" s="116">
        <f t="shared" si="62"/>
        <v>3.4482758620689657</v>
      </c>
      <c r="F777" s="119">
        <v>15</v>
      </c>
      <c r="G777" s="119">
        <v>51.724137931034484</v>
      </c>
      <c r="H777" s="115">
        <f>VLOOKUP(B777,'All Menu'!B:J,9,0)</f>
        <v>1.6513425658655527</v>
      </c>
      <c r="I777" s="120">
        <f>VLOOKUP(B777,'All Menu'!B:M,12,0)</f>
        <v>0.52111065589898975</v>
      </c>
      <c r="J777" s="114">
        <f t="shared" si="59"/>
        <v>51.724137931034484</v>
      </c>
      <c r="K777" s="117">
        <f t="shared" si="60"/>
        <v>0</v>
      </c>
      <c r="L777" s="118">
        <f>VLOOKUP(B777,'All Menu'!B:G,6,0)</f>
        <v>3.4482758620689657</v>
      </c>
      <c r="M777" s="118">
        <f t="shared" si="61"/>
        <v>0</v>
      </c>
      <c r="N777" s="151">
        <f ca="1">VLOOKUP(B777,'All Menu'!B:H,7,0)</f>
        <v>38</v>
      </c>
    </row>
    <row r="778" spans="1:14" s="113" customFormat="1" ht="15.75" customHeight="1">
      <c r="A778" s="156" t="s">
        <v>2022</v>
      </c>
      <c r="B778" s="170" t="s">
        <v>1072</v>
      </c>
      <c r="C778" s="113" t="s">
        <v>1464</v>
      </c>
      <c r="D778" s="115" t="str">
        <f>VLOOKUP(B778,'All Menu'!B:D,3,0)</f>
        <v>الوجبات اليومية سفري</v>
      </c>
      <c r="E778" s="116">
        <f t="shared" si="62"/>
        <v>3.4482758620689657</v>
      </c>
      <c r="F778" s="119">
        <v>18</v>
      </c>
      <c r="G778" s="119">
        <v>62.068965517241381</v>
      </c>
      <c r="H778" s="115">
        <f>VLOOKUP(B778,'All Menu'!B:J,9,0)</f>
        <v>1.0812876836433301</v>
      </c>
      <c r="I778" s="120">
        <f>VLOOKUP(B778,'All Menu'!B:M,12,0)</f>
        <v>0.68642657174343435</v>
      </c>
      <c r="J778" s="114">
        <f t="shared" si="59"/>
        <v>62.068965517241381</v>
      </c>
      <c r="K778" s="117">
        <f t="shared" si="60"/>
        <v>0</v>
      </c>
      <c r="L778" s="118">
        <f>VLOOKUP(B778,'All Menu'!B:G,6,0)</f>
        <v>3.4482758620689657</v>
      </c>
      <c r="M778" s="118">
        <f t="shared" si="61"/>
        <v>0</v>
      </c>
      <c r="N778" s="151">
        <f ca="1">VLOOKUP(B778,'All Menu'!B:H,7,0)</f>
        <v>67</v>
      </c>
    </row>
    <row r="779" spans="1:14" s="113" customFormat="1" ht="15.75" customHeight="1">
      <c r="A779" s="156" t="s">
        <v>2022</v>
      </c>
      <c r="B779" s="170" t="s">
        <v>1023</v>
      </c>
      <c r="C779" s="113" t="s">
        <v>1355</v>
      </c>
      <c r="D779" s="115" t="str">
        <f>VLOOKUP(B779,'All Menu'!B:D,3,0)</f>
        <v>الوجبات اليومية سفري</v>
      </c>
      <c r="E779" s="116">
        <f t="shared" si="62"/>
        <v>1.2931034482758621</v>
      </c>
      <c r="F779" s="119">
        <v>82.5</v>
      </c>
      <c r="G779" s="119">
        <v>106.68103448275862</v>
      </c>
      <c r="H779" s="115">
        <f>VLOOKUP(B779,'All Menu'!B:J,9,0)</f>
        <v>0.7713331000000001</v>
      </c>
      <c r="I779" s="120">
        <f>VLOOKUP(B779,'All Menu'!B:M,12,0)</f>
        <v>0.40350240266666659</v>
      </c>
      <c r="J779" s="114">
        <f t="shared" si="59"/>
        <v>106.68103448275862</v>
      </c>
      <c r="K779" s="117">
        <f t="shared" si="60"/>
        <v>0</v>
      </c>
      <c r="L779" s="118">
        <f>VLOOKUP(B779,'All Menu'!B:G,6,0)</f>
        <v>1.2931034482758621</v>
      </c>
      <c r="M779" s="118">
        <f t="shared" si="61"/>
        <v>0</v>
      </c>
      <c r="N779" s="151">
        <f ca="1">VLOOKUP(B779,'All Menu'!B:H,7,0)</f>
        <v>195.5</v>
      </c>
    </row>
    <row r="780" spans="1:14" s="113" customFormat="1" ht="15.75" customHeight="1">
      <c r="A780" s="156" t="s">
        <v>2022</v>
      </c>
      <c r="B780" s="170" t="s">
        <v>1022</v>
      </c>
      <c r="C780" s="113" t="s">
        <v>1465</v>
      </c>
      <c r="D780" s="115" t="str">
        <f>VLOOKUP(B780,'All Menu'!B:D,3,0)</f>
        <v>الوجبات اليومية سفري</v>
      </c>
      <c r="E780" s="116">
        <f t="shared" si="62"/>
        <v>0.86206896551724144</v>
      </c>
      <c r="F780" s="119">
        <v>56.75</v>
      </c>
      <c r="G780" s="119">
        <v>48.922413793103452</v>
      </c>
      <c r="H780" s="115">
        <f>VLOOKUP(B780,'All Menu'!B:J,9,0)</f>
        <v>0.46080630459770117</v>
      </c>
      <c r="I780" s="120">
        <f>VLOOKUP(B780,'All Menu'!B:M,12,0)</f>
        <v>0.46546468666666668</v>
      </c>
      <c r="J780" s="114">
        <f t="shared" si="59"/>
        <v>48.922413793103452</v>
      </c>
      <c r="K780" s="117">
        <f t="shared" si="60"/>
        <v>0</v>
      </c>
      <c r="L780" s="118">
        <f>VLOOKUP(B780,'All Menu'!B:G,6,0)</f>
        <v>0.86206896551724144</v>
      </c>
      <c r="M780" s="118">
        <f t="shared" si="61"/>
        <v>0</v>
      </c>
      <c r="N780" s="151">
        <f ca="1">VLOOKUP(B780,'All Menu'!B:H,7,0)</f>
        <v>246.75</v>
      </c>
    </row>
    <row r="781" spans="1:14" s="113" customFormat="1" ht="15.75" customHeight="1">
      <c r="A781" s="156" t="s">
        <v>2022</v>
      </c>
      <c r="B781" s="170" t="s">
        <v>1026</v>
      </c>
      <c r="C781" s="113" t="s">
        <v>1466</v>
      </c>
      <c r="D781" s="115" t="str">
        <f>VLOOKUP(B781,'All Menu'!B:D,3,0)</f>
        <v>الوجبات اليومية سفري</v>
      </c>
      <c r="E781" s="116">
        <f t="shared" si="62"/>
        <v>1.2931034482758621</v>
      </c>
      <c r="F781" s="119">
        <v>20</v>
      </c>
      <c r="G781" s="119">
        <v>25.862068965517242</v>
      </c>
      <c r="H781" s="115">
        <f>VLOOKUP(B781,'All Menu'!B:J,9,0)</f>
        <v>0.42057486725663717</v>
      </c>
      <c r="I781" s="120">
        <f>VLOOKUP(B781,'All Menu'!B:M,12,0)</f>
        <v>0.67475543598820065</v>
      </c>
      <c r="J781" s="114">
        <f t="shared" si="59"/>
        <v>25.862068965517242</v>
      </c>
      <c r="K781" s="117">
        <f t="shared" si="60"/>
        <v>0</v>
      </c>
      <c r="L781" s="118">
        <f>VLOOKUP(B781,'All Menu'!B:G,6,0)</f>
        <v>1.2931034482758621</v>
      </c>
      <c r="M781" s="118">
        <f t="shared" si="61"/>
        <v>0</v>
      </c>
      <c r="N781" s="151">
        <f ca="1">VLOOKUP(B781,'All Menu'!B:H,7,0)</f>
        <v>109.90010000000001</v>
      </c>
    </row>
    <row r="782" spans="1:14" s="113" customFormat="1" ht="15.75" customHeight="1">
      <c r="A782" s="156" t="s">
        <v>2022</v>
      </c>
      <c r="B782" s="170" t="s">
        <v>1026</v>
      </c>
      <c r="C782" s="113" t="s">
        <v>1466</v>
      </c>
      <c r="D782" s="115" t="str">
        <f>VLOOKUP(B782,'All Menu'!B:D,3,0)</f>
        <v>الوجبات اليومية سفري</v>
      </c>
      <c r="E782" s="116">
        <f t="shared" si="62"/>
        <v>1.2931034482758621</v>
      </c>
      <c r="F782" s="119">
        <v>40.900100000000002</v>
      </c>
      <c r="G782" s="119">
        <v>52.888060344827593</v>
      </c>
      <c r="H782" s="115">
        <f>VLOOKUP(B782,'All Menu'!B:J,9,0)</f>
        <v>0.42057486725663717</v>
      </c>
      <c r="I782" s="120">
        <f>VLOOKUP(B782,'All Menu'!B:M,12,0)</f>
        <v>0.67475543598820065</v>
      </c>
      <c r="J782" s="114">
        <f t="shared" si="59"/>
        <v>52.888060344827593</v>
      </c>
      <c r="K782" s="117">
        <f t="shared" si="60"/>
        <v>0</v>
      </c>
      <c r="L782" s="118">
        <f>VLOOKUP(B782,'All Menu'!B:G,6,0)</f>
        <v>1.2931034482758621</v>
      </c>
      <c r="M782" s="118">
        <f t="shared" si="61"/>
        <v>0</v>
      </c>
      <c r="N782" s="151">
        <f ca="1">VLOOKUP(B782,'All Menu'!B:H,7,0)</f>
        <v>109.90010000000001</v>
      </c>
    </row>
    <row r="783" spans="1:14" s="113" customFormat="1" ht="15.75" customHeight="1">
      <c r="A783" s="156" t="s">
        <v>2022</v>
      </c>
      <c r="B783" s="170" t="s">
        <v>1070</v>
      </c>
      <c r="C783" s="113" t="s">
        <v>797</v>
      </c>
      <c r="D783" s="115" t="str">
        <f>VLOOKUP(B783,'All Menu'!B:D,3,0)</f>
        <v>الوجبات اليومية سفري</v>
      </c>
      <c r="E783" s="116">
        <f t="shared" si="62"/>
        <v>1.2931034482758621</v>
      </c>
      <c r="F783" s="119">
        <v>90.01</v>
      </c>
      <c r="G783" s="119">
        <v>116.39224137931035</v>
      </c>
      <c r="H783" s="115">
        <f>VLOOKUP(B783,'All Menu'!B:J,9,0)</f>
        <v>0.80777525143678153</v>
      </c>
      <c r="I783" s="120">
        <f>VLOOKUP(B783,'All Menu'!B:M,12,0)</f>
        <v>0.37532047222222231</v>
      </c>
      <c r="J783" s="114">
        <f t="shared" si="59"/>
        <v>116.39224137931035</v>
      </c>
      <c r="K783" s="117">
        <f t="shared" si="60"/>
        <v>0</v>
      </c>
      <c r="L783" s="118">
        <f>VLOOKUP(B783,'All Menu'!B:G,6,0)</f>
        <v>1.2931034482758621</v>
      </c>
      <c r="M783" s="118">
        <f t="shared" si="61"/>
        <v>0</v>
      </c>
      <c r="N783" s="151">
        <f ca="1">VLOOKUP(B783,'All Menu'!B:H,7,0)</f>
        <v>294.01</v>
      </c>
    </row>
    <row r="784" spans="1:14" s="113" customFormat="1" ht="15.75" customHeight="1">
      <c r="A784" s="156" t="s">
        <v>2022</v>
      </c>
      <c r="B784" s="170" t="s">
        <v>992</v>
      </c>
      <c r="C784" s="113" t="s">
        <v>1346</v>
      </c>
      <c r="D784" s="115" t="str">
        <f>VLOOKUP(B784,'All Menu'!B:D,3,0)</f>
        <v>الوجبات اليومية سفري</v>
      </c>
      <c r="E784" s="116">
        <f t="shared" si="62"/>
        <v>3.0172413793103452</v>
      </c>
      <c r="F784" s="119">
        <v>41.01</v>
      </c>
      <c r="G784" s="119">
        <v>123.73706896551725</v>
      </c>
      <c r="H784" s="115">
        <f>VLOOKUP(B784,'All Menu'!B:J,9,0)</f>
        <v>1.9395633214233041</v>
      </c>
      <c r="I784" s="120">
        <f>VLOOKUP(B784,'All Menu'!B:M,12,0)</f>
        <v>0.35717329918541929</v>
      </c>
      <c r="J784" s="114">
        <f t="shared" si="59"/>
        <v>123.73706896551725</v>
      </c>
      <c r="K784" s="117">
        <f t="shared" si="60"/>
        <v>0</v>
      </c>
      <c r="L784" s="118">
        <f>VLOOKUP(B784,'All Menu'!B:G,6,0)</f>
        <v>3.0172413793103452</v>
      </c>
      <c r="M784" s="118">
        <f t="shared" si="61"/>
        <v>0</v>
      </c>
      <c r="N784" s="151">
        <f ca="1">VLOOKUP(B784,'All Menu'!B:H,7,0)</f>
        <v>148.01</v>
      </c>
    </row>
    <row r="785" spans="1:14" s="113" customFormat="1" ht="15.75" customHeight="1">
      <c r="A785" s="156" t="s">
        <v>2022</v>
      </c>
      <c r="B785" s="170" t="s">
        <v>1025</v>
      </c>
      <c r="C785" s="113" t="s">
        <v>1467</v>
      </c>
      <c r="D785" s="115" t="str">
        <f>VLOOKUP(B785,'All Menu'!B:D,3,0)</f>
        <v>الوجبات اليومية سفري</v>
      </c>
      <c r="E785" s="116">
        <f t="shared" si="62"/>
        <v>5.1724137931034484</v>
      </c>
      <c r="F785" s="119">
        <v>16.251000000000001</v>
      </c>
      <c r="G785" s="119">
        <v>84.056896551724151</v>
      </c>
      <c r="H785" s="115">
        <f>VLOOKUP(B785,'All Menu'!B:J,9,0)</f>
        <v>4.0654226055971554</v>
      </c>
      <c r="I785" s="120">
        <f>VLOOKUP(B785,'All Menu'!B:M,12,0)</f>
        <v>0.21401829625121663</v>
      </c>
      <c r="J785" s="114">
        <f t="shared" si="59"/>
        <v>84.056896551724151</v>
      </c>
      <c r="K785" s="117">
        <f t="shared" si="60"/>
        <v>0</v>
      </c>
      <c r="L785" s="118">
        <f>VLOOKUP(B785,'All Menu'!B:G,6,0)</f>
        <v>5.1724137931034484</v>
      </c>
      <c r="M785" s="118">
        <f t="shared" si="61"/>
        <v>0</v>
      </c>
      <c r="N785" s="151">
        <f ca="1">VLOOKUP(B785,'All Menu'!B:H,7,0)</f>
        <v>36.251000000000005</v>
      </c>
    </row>
    <row r="786" spans="1:14" s="113" customFormat="1" ht="15.75" customHeight="1">
      <c r="A786" s="156" t="s">
        <v>2022</v>
      </c>
      <c r="B786" s="170" t="s">
        <v>1167</v>
      </c>
      <c r="C786" s="113" t="s">
        <v>1337</v>
      </c>
      <c r="D786" s="115" t="str">
        <f>VLOOKUP(B786,'All Menu'!B:D,3,0)</f>
        <v>الوجبات اليومية سفري</v>
      </c>
      <c r="E786" s="116">
        <f t="shared" si="62"/>
        <v>3.4482758620689657</v>
      </c>
      <c r="F786" s="119">
        <v>25</v>
      </c>
      <c r="G786" s="119">
        <v>86.206896551724142</v>
      </c>
      <c r="H786" s="115">
        <f>VLOOKUP(B786,'All Menu'!B:J,9,0)</f>
        <v>2.4372080066786665</v>
      </c>
      <c r="I786" s="120">
        <f>VLOOKUP(B786,'All Menu'!B:M,12,0)</f>
        <v>0.29320967806318676</v>
      </c>
      <c r="J786" s="114">
        <f t="shared" si="59"/>
        <v>86.206896551724142</v>
      </c>
      <c r="K786" s="117">
        <f t="shared" si="60"/>
        <v>0</v>
      </c>
      <c r="L786" s="118">
        <f>VLOOKUP(B786,'All Menu'!B:G,6,0)</f>
        <v>3.4482758620689657</v>
      </c>
      <c r="M786" s="118">
        <f t="shared" si="61"/>
        <v>0</v>
      </c>
      <c r="N786" s="151">
        <f ca="1">VLOOKUP(B786,'All Menu'!B:H,7,0)</f>
        <v>78</v>
      </c>
    </row>
    <row r="787" spans="1:14" s="113" customFormat="1" ht="15.75" customHeight="1">
      <c r="A787" s="156" t="s">
        <v>2022</v>
      </c>
      <c r="B787" s="170" t="s">
        <v>1028</v>
      </c>
      <c r="C787" s="113" t="s">
        <v>1335</v>
      </c>
      <c r="D787" s="115" t="str">
        <f>VLOOKUP(B787,'All Menu'!B:D,3,0)</f>
        <v>الوجبات اليومية سفري</v>
      </c>
      <c r="E787" s="116">
        <f t="shared" si="62"/>
        <v>2.8017241379310343</v>
      </c>
      <c r="F787" s="119">
        <v>12</v>
      </c>
      <c r="G787" s="119">
        <v>33.620689655172413</v>
      </c>
      <c r="H787" s="115">
        <f>VLOOKUP(B787,'All Menu'!B:J,9,0)</f>
        <v>1.6974376402298856</v>
      </c>
      <c r="I787" s="120">
        <f>VLOOKUP(B787,'All Menu'!B:M,12,0)</f>
        <v>0.39414533456410239</v>
      </c>
      <c r="J787" s="114">
        <f t="shared" si="59"/>
        <v>33.620689655172413</v>
      </c>
      <c r="K787" s="117">
        <f t="shared" si="60"/>
        <v>0</v>
      </c>
      <c r="L787" s="118">
        <f>VLOOKUP(B787,'All Menu'!B:G,6,0)</f>
        <v>2.8017241379310347</v>
      </c>
      <c r="M787" s="118">
        <f t="shared" si="61"/>
        <v>0</v>
      </c>
      <c r="N787" s="151">
        <f ca="1">VLOOKUP(B787,'All Menu'!B:H,7,0)</f>
        <v>37</v>
      </c>
    </row>
    <row r="788" spans="1:14" s="113" customFormat="1" ht="15.75" customHeight="1">
      <c r="A788" s="156" t="s">
        <v>2022</v>
      </c>
      <c r="B788" s="170" t="s">
        <v>1155</v>
      </c>
      <c r="C788" s="113" t="s">
        <v>1361</v>
      </c>
      <c r="D788" s="115" t="str">
        <f>VLOOKUP(B788,'All Menu'!B:D,3,0)</f>
        <v>الوجبات اليومية سفري</v>
      </c>
      <c r="E788" s="116">
        <f t="shared" si="62"/>
        <v>3.4482758620689657</v>
      </c>
      <c r="F788" s="119">
        <v>9</v>
      </c>
      <c r="G788" s="119">
        <v>31.03448275862069</v>
      </c>
      <c r="H788" s="115">
        <f>VLOOKUP(B788,'All Menu'!B:J,9,0)</f>
        <v>1.6677253566004877</v>
      </c>
      <c r="I788" s="120">
        <f>VLOOKUP(B788,'All Menu'!B:M,12,0)</f>
        <v>0.51635964658585864</v>
      </c>
      <c r="J788" s="114">
        <f t="shared" si="59"/>
        <v>31.03448275862069</v>
      </c>
      <c r="K788" s="117">
        <f t="shared" si="60"/>
        <v>0</v>
      </c>
      <c r="L788" s="118">
        <f>VLOOKUP(B788,'All Menu'!B:G,6,0)</f>
        <v>3.4482758620689657</v>
      </c>
      <c r="M788" s="118">
        <f t="shared" si="61"/>
        <v>0</v>
      </c>
      <c r="N788" s="151">
        <f ca="1">VLOOKUP(B788,'All Menu'!B:H,7,0)</f>
        <v>18</v>
      </c>
    </row>
    <row r="789" spans="1:14" s="113" customFormat="1" ht="15.75" customHeight="1">
      <c r="A789" s="156" t="s">
        <v>2022</v>
      </c>
      <c r="B789" s="170" t="s">
        <v>1131</v>
      </c>
      <c r="C789" s="113" t="s">
        <v>1468</v>
      </c>
      <c r="D789" s="115" t="str">
        <f>VLOOKUP(B789,'All Menu'!B:D,3,0)</f>
        <v>الوجبات اليومية سفري</v>
      </c>
      <c r="E789" s="116">
        <f t="shared" si="62"/>
        <v>6.0344827586206904</v>
      </c>
      <c r="F789" s="119">
        <v>2.0009999999999999</v>
      </c>
      <c r="G789" s="119">
        <v>12.075000000000001</v>
      </c>
      <c r="H789" s="115">
        <f>VLOOKUP(B789,'All Menu'!B:J,9,0)</f>
        <v>1.336207525036065</v>
      </c>
      <c r="I789" s="120">
        <f>VLOOKUP(B789,'All Menu'!B:M,12,0)</f>
        <v>0.77857132442259491</v>
      </c>
      <c r="J789" s="114">
        <f t="shared" si="59"/>
        <v>12.075000000000001</v>
      </c>
      <c r="K789" s="117">
        <f t="shared" si="60"/>
        <v>0</v>
      </c>
      <c r="L789" s="118">
        <f>VLOOKUP(B789,'All Menu'!B:G,6,0)</f>
        <v>6.0344827586206904</v>
      </c>
      <c r="M789" s="118">
        <f t="shared" si="61"/>
        <v>0</v>
      </c>
      <c r="N789" s="151">
        <f ca="1">VLOOKUP(B789,'All Menu'!B:H,7,0)</f>
        <v>6.0009999999999994</v>
      </c>
    </row>
    <row r="790" spans="1:14" s="113" customFormat="1" ht="15.75" customHeight="1">
      <c r="A790" s="156" t="s">
        <v>2022</v>
      </c>
      <c r="B790" s="170" t="s">
        <v>1175</v>
      </c>
      <c r="C790" s="113" t="s">
        <v>1358</v>
      </c>
      <c r="D790" s="115" t="str">
        <f>VLOOKUP(B790,'All Menu'!B:D,3,0)</f>
        <v>الوجبات اليومية سفري</v>
      </c>
      <c r="E790" s="116">
        <f t="shared" si="62"/>
        <v>5.6034482758620694</v>
      </c>
      <c r="F790" s="119">
        <v>8</v>
      </c>
      <c r="G790" s="119">
        <v>44.827586206896555</v>
      </c>
      <c r="H790" s="115">
        <f>VLOOKUP(B790,'All Menu'!B:J,9,0)</f>
        <v>4.3739662429801713</v>
      </c>
      <c r="I790" s="120">
        <f>VLOOKUP(B790,'All Menu'!B:M,12,0)</f>
        <v>0.21941525509892332</v>
      </c>
      <c r="J790" s="114">
        <f t="shared" si="59"/>
        <v>44.827586206896555</v>
      </c>
      <c r="K790" s="117">
        <f t="shared" si="60"/>
        <v>0</v>
      </c>
      <c r="L790" s="118">
        <f>VLOOKUP(B790,'All Menu'!B:G,6,0)</f>
        <v>5.6034482758620694</v>
      </c>
      <c r="M790" s="118">
        <f t="shared" si="61"/>
        <v>0</v>
      </c>
      <c r="N790" s="151">
        <f ca="1">VLOOKUP(B790,'All Menu'!B:H,7,0)</f>
        <v>18</v>
      </c>
    </row>
    <row r="791" spans="1:14" s="113" customFormat="1" ht="15.75" customHeight="1">
      <c r="A791" s="156" t="s">
        <v>2022</v>
      </c>
      <c r="B791" s="170" t="s">
        <v>1470</v>
      </c>
      <c r="C791" s="113" t="s">
        <v>1471</v>
      </c>
      <c r="D791" s="115" t="str">
        <f>VLOOKUP(B791,'All Menu'!B:D,3,0)</f>
        <v>الوجبات اليومية سفري</v>
      </c>
      <c r="E791" s="116">
        <f t="shared" si="62"/>
        <v>0.21551724137931036</v>
      </c>
      <c r="F791" s="119">
        <v>216.00200000000001</v>
      </c>
      <c r="G791" s="119">
        <v>46.552155172413798</v>
      </c>
      <c r="H791" s="115">
        <f>VLOOKUP(B791,'All Menu'!B:J,9,0)</f>
        <v>0</v>
      </c>
      <c r="I791" s="120">
        <f>VLOOKUP(B791,'All Menu'!B:M,12,0)</f>
        <v>1</v>
      </c>
      <c r="J791" s="114">
        <f t="shared" si="59"/>
        <v>46.552155172413798</v>
      </c>
      <c r="K791" s="117">
        <f t="shared" si="60"/>
        <v>0</v>
      </c>
      <c r="L791" s="118">
        <f>VLOOKUP(B791,'All Menu'!B:G,6,0)</f>
        <v>0.21551724137931036</v>
      </c>
      <c r="M791" s="118">
        <f t="shared" si="61"/>
        <v>0</v>
      </c>
      <c r="N791" s="151">
        <f ca="1">VLOOKUP(B791,'All Menu'!B:H,7,0)</f>
        <v>705.00199999999995</v>
      </c>
    </row>
    <row r="792" spans="1:14" s="113" customFormat="1" ht="15.75" customHeight="1">
      <c r="A792" s="156" t="s">
        <v>2022</v>
      </c>
      <c r="B792" s="170" t="s">
        <v>1270</v>
      </c>
      <c r="C792" s="113" t="s">
        <v>1345</v>
      </c>
      <c r="D792" s="115" t="str">
        <f>VLOOKUP(B792,'All Menu'!B:D,3,0)</f>
        <v>الوجبات اليومية سفري2</v>
      </c>
      <c r="E792" s="116">
        <f t="shared" si="62"/>
        <v>6.8965517241379315</v>
      </c>
      <c r="F792" s="119">
        <v>40</v>
      </c>
      <c r="G792" s="119">
        <v>275.86206896551727</v>
      </c>
      <c r="H792" s="115">
        <f>VLOOKUP(B792,'All Menu'!B:J,9,0)</f>
        <v>4.7272690639304891</v>
      </c>
      <c r="I792" s="120">
        <f>VLOOKUP(B792,'All Menu'!B:M,12,0)</f>
        <v>0.31454598573007914</v>
      </c>
      <c r="J792" s="114">
        <f t="shared" si="59"/>
        <v>275.86206896551727</v>
      </c>
      <c r="K792" s="117">
        <f t="shared" si="60"/>
        <v>0</v>
      </c>
      <c r="L792" s="118">
        <f>VLOOKUP(B792,'All Menu'!B:G,6,0)</f>
        <v>6.8965517241379315</v>
      </c>
      <c r="M792" s="118">
        <f t="shared" si="61"/>
        <v>0</v>
      </c>
      <c r="N792" s="151">
        <f ca="1">VLOOKUP(B792,'All Menu'!B:H,7,0)</f>
        <v>111</v>
      </c>
    </row>
    <row r="793" spans="1:14" s="113" customFormat="1" ht="15.75" customHeight="1">
      <c r="A793" s="156" t="s">
        <v>2022</v>
      </c>
      <c r="B793" s="170" t="s">
        <v>1197</v>
      </c>
      <c r="C793" s="113" t="s">
        <v>1473</v>
      </c>
      <c r="D793" s="115" t="str">
        <f>VLOOKUP(B793,'All Menu'!B:D,3,0)</f>
        <v>الوجبات اليومية سفري2</v>
      </c>
      <c r="E793" s="116">
        <f t="shared" si="62"/>
        <v>8.3189655172413808</v>
      </c>
      <c r="F793" s="119">
        <v>1</v>
      </c>
      <c r="G793" s="119">
        <v>8.3189655172413808</v>
      </c>
      <c r="H793" s="115">
        <f>VLOOKUP(B793,'All Menu'!B:J,9,0)</f>
        <v>4.5732503939393929</v>
      </c>
      <c r="I793" s="120">
        <f>VLOOKUP(B793,'All Menu'!B:M,12,0)</f>
        <v>0.45026212881143057</v>
      </c>
      <c r="J793" s="114">
        <f t="shared" si="59"/>
        <v>8.3189655172413808</v>
      </c>
      <c r="K793" s="117">
        <f t="shared" si="60"/>
        <v>0</v>
      </c>
      <c r="L793" s="118">
        <f>VLOOKUP(B793,'All Menu'!B:G,6,0)</f>
        <v>8.3189655172413808</v>
      </c>
      <c r="M793" s="118">
        <f t="shared" si="61"/>
        <v>0</v>
      </c>
      <c r="N793" s="151">
        <f ca="1">VLOOKUP(B793,'All Menu'!B:H,7,0)</f>
        <v>1</v>
      </c>
    </row>
    <row r="794" spans="1:14" s="113" customFormat="1" ht="15.75" customHeight="1">
      <c r="A794" s="156" t="s">
        <v>2022</v>
      </c>
      <c r="B794" s="170" t="s">
        <v>1198</v>
      </c>
      <c r="C794" s="113" t="s">
        <v>1474</v>
      </c>
      <c r="D794" s="115" t="str">
        <f>VLOOKUP(B794,'All Menu'!B:D,3,0)</f>
        <v>الوجبات اليومية سفري2</v>
      </c>
      <c r="E794" s="116">
        <f t="shared" si="62"/>
        <v>5.6034482758620694</v>
      </c>
      <c r="F794" s="119">
        <v>8</v>
      </c>
      <c r="G794" s="119">
        <v>44.827586206896555</v>
      </c>
      <c r="H794" s="115">
        <f>VLOOKUP(B794,'All Menu'!B:J,9,0)</f>
        <v>3.1462601484907435</v>
      </c>
      <c r="I794" s="120">
        <f>VLOOKUP(B794,'All Menu'!B:M,12,0)</f>
        <v>0.4385135735001135</v>
      </c>
      <c r="J794" s="114">
        <f t="shared" si="59"/>
        <v>44.827586206896555</v>
      </c>
      <c r="K794" s="117">
        <f t="shared" si="60"/>
        <v>0</v>
      </c>
      <c r="L794" s="118">
        <f>VLOOKUP(B794,'All Menu'!B:G,6,0)</f>
        <v>5.6034482758620694</v>
      </c>
      <c r="M794" s="118">
        <f t="shared" si="61"/>
        <v>0</v>
      </c>
      <c r="N794" s="151">
        <f ca="1">VLOOKUP(B794,'All Menu'!B:H,7,0)</f>
        <v>45</v>
      </c>
    </row>
    <row r="795" spans="1:14" s="113" customFormat="1" ht="15.75" customHeight="1">
      <c r="A795" s="156" t="s">
        <v>2022</v>
      </c>
      <c r="B795" s="170" t="s">
        <v>1199</v>
      </c>
      <c r="C795" s="113" t="s">
        <v>1362</v>
      </c>
      <c r="D795" s="115" t="str">
        <f>VLOOKUP(B795,'All Menu'!B:D,3,0)</f>
        <v>الوجبات اليومية سفري2</v>
      </c>
      <c r="E795" s="116">
        <f t="shared" si="62"/>
        <v>7.7586206896551726</v>
      </c>
      <c r="F795" s="119">
        <v>1</v>
      </c>
      <c r="G795" s="119">
        <v>7.7586206896551726</v>
      </c>
      <c r="H795" s="115">
        <f>VLOOKUP(B795,'All Menu'!B:J,9,0)</f>
        <v>7.1847246533469793</v>
      </c>
      <c r="I795" s="120">
        <f>VLOOKUP(B795,'All Menu'!B:M,12,0)</f>
        <v>7.3968822457500472E-2</v>
      </c>
      <c r="J795" s="114">
        <f t="shared" si="59"/>
        <v>7.7586206896551726</v>
      </c>
      <c r="K795" s="117">
        <f t="shared" si="60"/>
        <v>0</v>
      </c>
      <c r="L795" s="118">
        <f>VLOOKUP(B795,'All Menu'!B:G,6,0)</f>
        <v>7.7586206896551726</v>
      </c>
      <c r="M795" s="118">
        <f t="shared" si="61"/>
        <v>0</v>
      </c>
      <c r="N795" s="151">
        <f ca="1">VLOOKUP(B795,'All Menu'!B:H,7,0)</f>
        <v>3</v>
      </c>
    </row>
    <row r="796" spans="1:14" s="113" customFormat="1" ht="15.75" customHeight="1">
      <c r="A796" s="156" t="s">
        <v>2022</v>
      </c>
      <c r="B796" s="170" t="s">
        <v>1223</v>
      </c>
      <c r="C796" s="113" t="s">
        <v>1968</v>
      </c>
      <c r="D796" s="115" t="str">
        <f>VLOOKUP(B796,'All Menu'!B:D,3,0)</f>
        <v>الوجبات اليومية سفري2</v>
      </c>
      <c r="E796" s="116">
        <f t="shared" si="62"/>
        <v>4.3103448275862073</v>
      </c>
      <c r="F796" s="119">
        <v>25</v>
      </c>
      <c r="G796" s="119">
        <v>107.75862068965519</v>
      </c>
      <c r="H796" s="115">
        <f>VLOOKUP(B796,'All Menu'!B:J,9,0)</f>
        <v>3.0970324568917231</v>
      </c>
      <c r="I796" s="120">
        <f>VLOOKUP(B796,'All Menu'!B:M,12,0)</f>
        <v>0.28148847000112032</v>
      </c>
      <c r="J796" s="114">
        <f t="shared" si="59"/>
        <v>107.75862068965519</v>
      </c>
      <c r="K796" s="117">
        <f t="shared" si="60"/>
        <v>0</v>
      </c>
      <c r="L796" s="118">
        <f>VLOOKUP(B796,'All Menu'!B:G,6,0)</f>
        <v>4.3103448275862073</v>
      </c>
      <c r="M796" s="118">
        <f t="shared" si="61"/>
        <v>0</v>
      </c>
      <c r="N796" s="151">
        <f ca="1">VLOOKUP(B796,'All Menu'!B:H,7,0)</f>
        <v>68</v>
      </c>
    </row>
    <row r="797" spans="1:14" s="113" customFormat="1" ht="15.75" customHeight="1">
      <c r="A797" s="156" t="s">
        <v>2022</v>
      </c>
      <c r="B797" s="170" t="s">
        <v>1202</v>
      </c>
      <c r="C797" s="113" t="s">
        <v>1475</v>
      </c>
      <c r="D797" s="115" t="str">
        <f>VLOOKUP(B797,'All Menu'!B:D,3,0)</f>
        <v>الوجبات اليومية سفري2</v>
      </c>
      <c r="E797" s="116">
        <f t="shared" si="62"/>
        <v>3.0172413793103452</v>
      </c>
      <c r="F797" s="119">
        <v>8.0009999999999994</v>
      </c>
      <c r="G797" s="119">
        <v>24.140948275862069</v>
      </c>
      <c r="H797" s="115">
        <f>VLOOKUP(B797,'All Menu'!B:J,9,0)</f>
        <v>3.0299511211920569</v>
      </c>
      <c r="I797" s="120">
        <f>VLOOKUP(B797,'All Menu'!B:M,12,0)</f>
        <v>-4.212371595081592E-3</v>
      </c>
      <c r="J797" s="114">
        <f t="shared" ref="J797:J860" si="63">F797*L797</f>
        <v>24.140948275862069</v>
      </c>
      <c r="K797" s="117">
        <f t="shared" ref="K797:K860" si="64">G797-J797</f>
        <v>0</v>
      </c>
      <c r="L797" s="118">
        <f>VLOOKUP(B797,'All Menu'!B:G,6,0)</f>
        <v>3.0172413793103452</v>
      </c>
      <c r="M797" s="118">
        <f t="shared" ref="M797:M860" si="65">E797-L797</f>
        <v>0</v>
      </c>
      <c r="N797" s="151">
        <f ca="1">VLOOKUP(B797,'All Menu'!B:H,7,0)</f>
        <v>8.0009999999999994</v>
      </c>
    </row>
    <row r="798" spans="1:14" s="113" customFormat="1" ht="15.75" customHeight="1">
      <c r="A798" s="156" t="s">
        <v>2022</v>
      </c>
      <c r="B798" s="170" t="s">
        <v>1204</v>
      </c>
      <c r="C798" s="113" t="s">
        <v>1682</v>
      </c>
      <c r="D798" s="115" t="str">
        <f>VLOOKUP(B798,'All Menu'!B:D,3,0)</f>
        <v>الوجبات اليومية سفري2</v>
      </c>
      <c r="E798" s="116">
        <f t="shared" ref="E798:E861" si="66">G798/F798</f>
        <v>4.3103448275862073</v>
      </c>
      <c r="F798" s="119">
        <v>4</v>
      </c>
      <c r="G798" s="119">
        <v>17.241379310344829</v>
      </c>
      <c r="H798" s="115">
        <f>VLOOKUP(B798,'All Menu'!B:J,9,0)</f>
        <v>0.90323429216094819</v>
      </c>
      <c r="I798" s="120">
        <f>VLOOKUP(B798,'All Menu'!B:M,12,0)</f>
        <v>0.79044964421866004</v>
      </c>
      <c r="J798" s="114">
        <f t="shared" si="63"/>
        <v>17.241379310344829</v>
      </c>
      <c r="K798" s="117">
        <f t="shared" si="64"/>
        <v>0</v>
      </c>
      <c r="L798" s="118">
        <f>VLOOKUP(B798,'All Menu'!B:G,6,0)</f>
        <v>4.3103448275862073</v>
      </c>
      <c r="M798" s="118">
        <f t="shared" si="65"/>
        <v>0</v>
      </c>
      <c r="N798" s="151">
        <f ca="1">VLOOKUP(B798,'All Menu'!B:H,7,0)</f>
        <v>24</v>
      </c>
    </row>
    <row r="799" spans="1:14" s="113" customFormat="1" ht="15.75" customHeight="1">
      <c r="A799" s="156" t="s">
        <v>2022</v>
      </c>
      <c r="B799" s="170" t="s">
        <v>1125</v>
      </c>
      <c r="C799" s="113" t="s">
        <v>795</v>
      </c>
      <c r="D799" s="115" t="str">
        <f>VLOOKUP(B799,'All Menu'!B:D,3,0)</f>
        <v>الوجبات اليومية سفري2</v>
      </c>
      <c r="E799" s="116">
        <f t="shared" si="66"/>
        <v>3.0172413793103452</v>
      </c>
      <c r="F799" s="119">
        <v>1E-3</v>
      </c>
      <c r="G799" s="119">
        <v>3.0172413793103452E-3</v>
      </c>
      <c r="H799" s="115">
        <f>VLOOKUP(B799,'All Menu'!B:J,9,0)</f>
        <v>1.4509442375212858</v>
      </c>
      <c r="I799" s="120">
        <f>VLOOKUP(B799,'All Menu'!B:M,12,0)</f>
        <v>0.51911562413580248</v>
      </c>
      <c r="J799" s="114">
        <f t="shared" si="63"/>
        <v>3.0172413793103452E-3</v>
      </c>
      <c r="K799" s="117">
        <f t="shared" si="64"/>
        <v>0</v>
      </c>
      <c r="L799" s="118">
        <f>VLOOKUP(B799,'All Menu'!B:G,6,0)</f>
        <v>3.0172413793103452</v>
      </c>
      <c r="M799" s="118">
        <f t="shared" si="65"/>
        <v>0</v>
      </c>
      <c r="N799" s="151">
        <f ca="1">VLOOKUP(B799,'All Menu'!B:H,7,0)</f>
        <v>1E-3</v>
      </c>
    </row>
    <row r="800" spans="1:14" s="113" customFormat="1" ht="15.75" customHeight="1">
      <c r="A800" s="156" t="s">
        <v>2022</v>
      </c>
      <c r="B800" s="170" t="s">
        <v>1178</v>
      </c>
      <c r="C800" s="113" t="s">
        <v>1347</v>
      </c>
      <c r="D800" s="115" t="str">
        <f>VLOOKUP(B800,'All Menu'!B:D,3,0)</f>
        <v>الوجبات اليومية سفري2</v>
      </c>
      <c r="E800" s="116">
        <f t="shared" si="66"/>
        <v>6.0344827586206904</v>
      </c>
      <c r="F800" s="119">
        <v>59</v>
      </c>
      <c r="G800" s="119">
        <v>356.03448275862075</v>
      </c>
      <c r="H800" s="115">
        <f>VLOOKUP(B800,'All Menu'!B:J,9,0)</f>
        <v>6.2484995959427092</v>
      </c>
      <c r="I800" s="120">
        <f>VLOOKUP(B800,'All Menu'!B:M,12,0)</f>
        <v>-3.5465647327648828E-2</v>
      </c>
      <c r="J800" s="114">
        <f t="shared" si="63"/>
        <v>356.03448275862075</v>
      </c>
      <c r="K800" s="117">
        <f t="shared" si="64"/>
        <v>0</v>
      </c>
      <c r="L800" s="118">
        <f>VLOOKUP(B800,'All Menu'!B:G,6,0)</f>
        <v>6.0344827586206904</v>
      </c>
      <c r="M800" s="118">
        <f t="shared" si="65"/>
        <v>0</v>
      </c>
      <c r="N800" s="151">
        <f ca="1">VLOOKUP(B800,'All Menu'!B:H,7,0)</f>
        <v>127</v>
      </c>
    </row>
    <row r="801" spans="1:14" s="113" customFormat="1" ht="15.75" customHeight="1">
      <c r="A801" s="156" t="s">
        <v>2022</v>
      </c>
      <c r="B801" s="170" t="s">
        <v>1226</v>
      </c>
      <c r="C801" s="113" t="s">
        <v>1348</v>
      </c>
      <c r="D801" s="115" t="str">
        <f>VLOOKUP(B801,'All Menu'!B:D,3,0)</f>
        <v>الوجبات اليومية سفري2</v>
      </c>
      <c r="E801" s="116">
        <f t="shared" si="66"/>
        <v>12.931034482758621</v>
      </c>
      <c r="F801" s="119">
        <v>4</v>
      </c>
      <c r="G801" s="119">
        <v>51.724137931034484</v>
      </c>
      <c r="H801" s="115">
        <f>VLOOKUP(B801,'All Menu'!B:J,9,0)</f>
        <v>9.0042398265418075</v>
      </c>
      <c r="I801" s="120">
        <f>VLOOKUP(B801,'All Menu'!B:M,12,0)</f>
        <v>0.30367212008076688</v>
      </c>
      <c r="J801" s="114">
        <f t="shared" si="63"/>
        <v>51.724137931034484</v>
      </c>
      <c r="K801" s="117">
        <f t="shared" si="64"/>
        <v>0</v>
      </c>
      <c r="L801" s="118">
        <f>VLOOKUP(B801,'All Menu'!B:G,6,0)</f>
        <v>12.931034482758621</v>
      </c>
      <c r="M801" s="118">
        <f t="shared" si="65"/>
        <v>0</v>
      </c>
      <c r="N801" s="151">
        <f ca="1">VLOOKUP(B801,'All Menu'!B:H,7,0)</f>
        <v>77</v>
      </c>
    </row>
    <row r="802" spans="1:14" s="113" customFormat="1" ht="15.75" customHeight="1">
      <c r="A802" s="156" t="s">
        <v>2022</v>
      </c>
      <c r="B802" s="170" t="s">
        <v>1152</v>
      </c>
      <c r="C802" s="113" t="s">
        <v>1477</v>
      </c>
      <c r="D802" s="115" t="str">
        <f>VLOOKUP(B802,'All Menu'!B:D,3,0)</f>
        <v>باريستا صالة</v>
      </c>
      <c r="E802" s="116">
        <f t="shared" si="66"/>
        <v>0.73192954935721921</v>
      </c>
      <c r="F802" s="119">
        <v>743</v>
      </c>
      <c r="G802" s="119">
        <v>543.82365517241385</v>
      </c>
      <c r="H802" s="115">
        <f>VLOOKUP(B802,'All Menu'!B:J,9,0)</f>
        <v>0.13741666666666666</v>
      </c>
      <c r="I802" s="120">
        <f>VLOOKUP(B802,'All Menu'!B:M,12,0)</f>
        <v>0.81246666666666678</v>
      </c>
      <c r="J802" s="114">
        <f t="shared" si="63"/>
        <v>544.43965517241384</v>
      </c>
      <c r="K802" s="117">
        <f t="shared" si="64"/>
        <v>-0.61599999999998545</v>
      </c>
      <c r="L802" s="118">
        <f>VLOOKUP(B802,'All Menu'!B:G,6,0)</f>
        <v>0.73275862068965525</v>
      </c>
      <c r="M802" s="118">
        <f t="shared" si="65"/>
        <v>-8.290713324360377E-4</v>
      </c>
      <c r="N802" s="151">
        <f ca="1">VLOOKUP(B802,'All Menu'!B:H,7,0)</f>
        <v>743</v>
      </c>
    </row>
    <row r="803" spans="1:14" s="113" customFormat="1" ht="15.75" customHeight="1">
      <c r="A803" s="156" t="s">
        <v>2022</v>
      </c>
      <c r="B803" s="170" t="s">
        <v>1153</v>
      </c>
      <c r="C803" s="113" t="s">
        <v>1479</v>
      </c>
      <c r="D803" s="115" t="str">
        <f>VLOOKUP(B803,'All Menu'!B:D,3,0)</f>
        <v>باريستا صالة</v>
      </c>
      <c r="E803" s="116">
        <f t="shared" si="66"/>
        <v>0.73176863404079007</v>
      </c>
      <c r="F803" s="119">
        <v>1498</v>
      </c>
      <c r="G803" s="119">
        <v>1096.1894137931035</v>
      </c>
      <c r="H803" s="115">
        <f>VLOOKUP(B803,'All Menu'!B:J,9,0)</f>
        <v>8.9833333333333334E-2</v>
      </c>
      <c r="I803" s="120">
        <f>VLOOKUP(B803,'All Menu'!B:M,12,0)</f>
        <v>0.87740392156862745</v>
      </c>
      <c r="J803" s="114">
        <f t="shared" si="63"/>
        <v>1097.6724137931035</v>
      </c>
      <c r="K803" s="117">
        <f t="shared" si="64"/>
        <v>-1.4829999999999472</v>
      </c>
      <c r="L803" s="118">
        <f>VLOOKUP(B803,'All Menu'!B:G,6,0)</f>
        <v>0.73275862068965525</v>
      </c>
      <c r="M803" s="118">
        <f t="shared" si="65"/>
        <v>-9.8998664886518206E-4</v>
      </c>
      <c r="N803" s="151">
        <f ca="1">VLOOKUP(B803,'All Menu'!B:H,7,0)</f>
        <v>1498</v>
      </c>
    </row>
    <row r="804" spans="1:14" s="113" customFormat="1" ht="15.75" customHeight="1">
      <c r="A804" s="156" t="s">
        <v>2022</v>
      </c>
      <c r="B804" s="170" t="s">
        <v>1154</v>
      </c>
      <c r="C804" s="113" t="s">
        <v>275</v>
      </c>
      <c r="D804" s="115" t="str">
        <f>VLOOKUP(B804,'All Menu'!B:D,3,0)</f>
        <v>باريستا صالة</v>
      </c>
      <c r="E804" s="116">
        <f t="shared" si="66"/>
        <v>1.163793103448276</v>
      </c>
      <c r="F804" s="119">
        <v>155</v>
      </c>
      <c r="G804" s="119">
        <v>180.38793103448279</v>
      </c>
      <c r="H804" s="115">
        <f>VLOOKUP(B804,'All Menu'!B:J,9,0)</f>
        <v>0.126</v>
      </c>
      <c r="I804" s="120">
        <f>VLOOKUP(B804,'All Menu'!B:M,12,0)</f>
        <v>0.89173333333333327</v>
      </c>
      <c r="J804" s="114">
        <f t="shared" si="63"/>
        <v>180.38793103448279</v>
      </c>
      <c r="K804" s="117">
        <f t="shared" si="64"/>
        <v>0</v>
      </c>
      <c r="L804" s="118">
        <f>VLOOKUP(B804,'All Menu'!B:G,6,0)</f>
        <v>1.163793103448276</v>
      </c>
      <c r="M804" s="118">
        <f t="shared" si="65"/>
        <v>0</v>
      </c>
      <c r="N804" s="151">
        <f ca="1">VLOOKUP(B804,'All Menu'!B:H,7,0)</f>
        <v>155</v>
      </c>
    </row>
    <row r="805" spans="1:14" s="113" customFormat="1" ht="15.75" customHeight="1">
      <c r="A805" s="156" t="s">
        <v>2022</v>
      </c>
      <c r="B805" s="170" t="s">
        <v>1089</v>
      </c>
      <c r="C805" s="113" t="s">
        <v>1480</v>
      </c>
      <c r="D805" s="115" t="str">
        <f>VLOOKUP(B805,'All Menu'!B:D,3,0)</f>
        <v>باريستا صالة</v>
      </c>
      <c r="E805" s="116">
        <f t="shared" si="66"/>
        <v>2.4568965517241383</v>
      </c>
      <c r="F805" s="119">
        <v>6</v>
      </c>
      <c r="G805" s="119">
        <v>14.741379310344829</v>
      </c>
      <c r="H805" s="115">
        <f>VLOOKUP(B805,'All Menu'!B:J,9,0)</f>
        <v>1.8515524999999997</v>
      </c>
      <c r="I805" s="120">
        <f>VLOOKUP(B805,'All Menu'!B:M,12,0)</f>
        <v>0.24638564912280725</v>
      </c>
      <c r="J805" s="114">
        <f t="shared" si="63"/>
        <v>14.741379310344829</v>
      </c>
      <c r="K805" s="117">
        <f t="shared" si="64"/>
        <v>0</v>
      </c>
      <c r="L805" s="118">
        <f>VLOOKUP(B805,'All Menu'!B:G,6,0)</f>
        <v>2.4568965517241383</v>
      </c>
      <c r="M805" s="118">
        <f t="shared" si="65"/>
        <v>0</v>
      </c>
      <c r="N805" s="151">
        <f ca="1">VLOOKUP(B805,'All Menu'!B:H,7,0)</f>
        <v>6</v>
      </c>
    </row>
    <row r="806" spans="1:14" s="113" customFormat="1" ht="15.75" customHeight="1">
      <c r="A806" s="156" t="s">
        <v>2022</v>
      </c>
      <c r="B806" s="170" t="s">
        <v>1093</v>
      </c>
      <c r="C806" s="113" t="s">
        <v>1481</v>
      </c>
      <c r="D806" s="115" t="str">
        <f>VLOOKUP(B806,'All Menu'!B:D,3,0)</f>
        <v>باريستا صالة</v>
      </c>
      <c r="E806" s="116">
        <f t="shared" si="66"/>
        <v>2.4568965517241383</v>
      </c>
      <c r="F806" s="119">
        <v>68</v>
      </c>
      <c r="G806" s="119">
        <v>167.06896551724139</v>
      </c>
      <c r="H806" s="115">
        <f>VLOOKUP(B806,'All Menu'!B:J,9,0)</f>
        <v>0.92580249999999997</v>
      </c>
      <c r="I806" s="120">
        <f>VLOOKUP(B806,'All Menu'!B:M,12,0)</f>
        <v>0.62318214035087727</v>
      </c>
      <c r="J806" s="114">
        <f t="shared" si="63"/>
        <v>167.06896551724139</v>
      </c>
      <c r="K806" s="117">
        <f t="shared" si="64"/>
        <v>0</v>
      </c>
      <c r="L806" s="118">
        <f>VLOOKUP(B806,'All Menu'!B:G,6,0)</f>
        <v>2.4568965517241383</v>
      </c>
      <c r="M806" s="118">
        <f t="shared" si="65"/>
        <v>0</v>
      </c>
      <c r="N806" s="151">
        <f ca="1">VLOOKUP(B806,'All Menu'!B:H,7,0)</f>
        <v>68</v>
      </c>
    </row>
    <row r="807" spans="1:14" s="113" customFormat="1" ht="15.75" customHeight="1">
      <c r="A807" s="156" t="s">
        <v>2022</v>
      </c>
      <c r="B807" s="170" t="s">
        <v>1088</v>
      </c>
      <c r="C807" s="113" t="s">
        <v>1482</v>
      </c>
      <c r="D807" s="115" t="str">
        <f>VLOOKUP(B807,'All Menu'!B:D,3,0)</f>
        <v>باريستا صالة</v>
      </c>
      <c r="E807" s="116">
        <f t="shared" si="66"/>
        <v>2.4568965517241383</v>
      </c>
      <c r="F807" s="119">
        <v>58</v>
      </c>
      <c r="G807" s="119">
        <v>142.50000000000003</v>
      </c>
      <c r="H807" s="115">
        <f>VLOOKUP(B807,'All Menu'!B:J,9,0)</f>
        <v>0.6</v>
      </c>
      <c r="I807" s="120">
        <f>VLOOKUP(B807,'All Menu'!B:M,12,0)</f>
        <v>0.75578947368421057</v>
      </c>
      <c r="J807" s="114">
        <f t="shared" si="63"/>
        <v>142.50000000000003</v>
      </c>
      <c r="K807" s="117">
        <f t="shared" si="64"/>
        <v>0</v>
      </c>
      <c r="L807" s="118">
        <f>VLOOKUP(B807,'All Menu'!B:G,6,0)</f>
        <v>2.4568965517241383</v>
      </c>
      <c r="M807" s="118">
        <f t="shared" si="65"/>
        <v>0</v>
      </c>
      <c r="N807" s="151">
        <f ca="1">VLOOKUP(B807,'All Menu'!B:H,7,0)</f>
        <v>58</v>
      </c>
    </row>
    <row r="808" spans="1:14" s="113" customFormat="1" ht="15.75" customHeight="1">
      <c r="A808" s="156" t="s">
        <v>2022</v>
      </c>
      <c r="B808" s="170" t="s">
        <v>1091</v>
      </c>
      <c r="C808" s="113" t="s">
        <v>1483</v>
      </c>
      <c r="D808" s="115" t="str">
        <f>VLOOKUP(B808,'All Menu'!B:D,3,0)</f>
        <v>باريستا صالة</v>
      </c>
      <c r="E808" s="116">
        <f t="shared" si="66"/>
        <v>1.2931034482758621</v>
      </c>
      <c r="F808" s="119">
        <v>85</v>
      </c>
      <c r="G808" s="119">
        <v>109.91379310344828</v>
      </c>
      <c r="H808" s="115">
        <f>VLOOKUP(B808,'All Menu'!B:J,9,0)</f>
        <v>9.0524000000000007E-2</v>
      </c>
      <c r="I808" s="120">
        <f>VLOOKUP(B808,'All Menu'!B:M,12,0)</f>
        <v>0.92999477333333325</v>
      </c>
      <c r="J808" s="114">
        <f t="shared" si="63"/>
        <v>109.91379310344828</v>
      </c>
      <c r="K808" s="117">
        <f t="shared" si="64"/>
        <v>0</v>
      </c>
      <c r="L808" s="118">
        <f>VLOOKUP(B808,'All Menu'!B:G,6,0)</f>
        <v>1.2931034482758621</v>
      </c>
      <c r="M808" s="118">
        <f t="shared" si="65"/>
        <v>0</v>
      </c>
      <c r="N808" s="151">
        <f ca="1">VLOOKUP(B808,'All Menu'!B:H,7,0)</f>
        <v>85</v>
      </c>
    </row>
    <row r="809" spans="1:14" s="113" customFormat="1" ht="15.75" customHeight="1">
      <c r="A809" s="156" t="s">
        <v>2022</v>
      </c>
      <c r="B809" s="170" t="s">
        <v>1104</v>
      </c>
      <c r="C809" s="113" t="s">
        <v>1484</v>
      </c>
      <c r="D809" s="115" t="str">
        <f>VLOOKUP(B809,'All Menu'!B:D,3,0)</f>
        <v>باريستا صالة</v>
      </c>
      <c r="E809" s="116">
        <f t="shared" si="66"/>
        <v>2.1551724137931036</v>
      </c>
      <c r="F809" s="119">
        <v>29</v>
      </c>
      <c r="G809" s="119">
        <v>62.500000000000007</v>
      </c>
      <c r="H809" s="115">
        <f>VLOOKUP(B809,'All Menu'!B:J,9,0)</f>
        <v>0.19398000000000001</v>
      </c>
      <c r="I809" s="120">
        <f>VLOOKUP(B809,'All Menu'!B:M,12,0)</f>
        <v>0.90999328000000002</v>
      </c>
      <c r="J809" s="114">
        <f t="shared" si="63"/>
        <v>62.500000000000007</v>
      </c>
      <c r="K809" s="117">
        <f t="shared" si="64"/>
        <v>0</v>
      </c>
      <c r="L809" s="118">
        <f>VLOOKUP(B809,'All Menu'!B:G,6,0)</f>
        <v>2.1551724137931036</v>
      </c>
      <c r="M809" s="118">
        <f t="shared" si="65"/>
        <v>0</v>
      </c>
      <c r="N809" s="151">
        <f ca="1">VLOOKUP(B809,'All Menu'!B:H,7,0)</f>
        <v>29</v>
      </c>
    </row>
    <row r="810" spans="1:14" s="113" customFormat="1" ht="15.75" customHeight="1">
      <c r="A810" s="156" t="s">
        <v>2022</v>
      </c>
      <c r="B810" s="170" t="s">
        <v>1090</v>
      </c>
      <c r="C810" s="113" t="s">
        <v>1485</v>
      </c>
      <c r="D810" s="115" t="str">
        <f>VLOOKUP(B810,'All Menu'!B:D,3,0)</f>
        <v>باريستا صالة</v>
      </c>
      <c r="E810" s="116">
        <f t="shared" si="66"/>
        <v>0.73275862068965525</v>
      </c>
      <c r="F810" s="119">
        <v>78</v>
      </c>
      <c r="G810" s="119">
        <v>57.15517241379311</v>
      </c>
      <c r="H810" s="115">
        <f>VLOOKUP(B810,'All Menu'!B:J,9,0)</f>
        <v>3.80075E-2</v>
      </c>
      <c r="I810" s="120">
        <f>VLOOKUP(B810,'All Menu'!B:M,12,0)</f>
        <v>0.94813094117647068</v>
      </c>
      <c r="J810" s="114">
        <f t="shared" si="63"/>
        <v>57.15517241379311</v>
      </c>
      <c r="K810" s="117">
        <f t="shared" si="64"/>
        <v>0</v>
      </c>
      <c r="L810" s="118">
        <f>VLOOKUP(B810,'All Menu'!B:G,6,0)</f>
        <v>0.73275862068965525</v>
      </c>
      <c r="M810" s="118">
        <f t="shared" si="65"/>
        <v>0</v>
      </c>
      <c r="N810" s="151">
        <f ca="1">VLOOKUP(B810,'All Menu'!B:H,7,0)</f>
        <v>78</v>
      </c>
    </row>
    <row r="811" spans="1:14" s="113" customFormat="1" ht="15.75" customHeight="1">
      <c r="A811" s="156" t="s">
        <v>2022</v>
      </c>
      <c r="B811" s="170" t="s">
        <v>1162</v>
      </c>
      <c r="C811" s="113" t="s">
        <v>1486</v>
      </c>
      <c r="D811" s="115" t="str">
        <f>VLOOKUP(B811,'All Menu'!B:D,3,0)</f>
        <v>باستا صالة</v>
      </c>
      <c r="E811" s="116">
        <f t="shared" si="66"/>
        <v>4.8706896551724146</v>
      </c>
      <c r="F811" s="119">
        <v>19</v>
      </c>
      <c r="G811" s="119">
        <v>92.543103448275872</v>
      </c>
      <c r="H811" s="115">
        <f>VLOOKUP(B811,'All Menu'!B:J,9,0)</f>
        <v>1.6385478850574715</v>
      </c>
      <c r="I811" s="120">
        <f>VLOOKUP(B811,'All Menu'!B:M,12,0)</f>
        <v>0.6635901687315634</v>
      </c>
      <c r="J811" s="114">
        <f t="shared" si="63"/>
        <v>92.543103448275872</v>
      </c>
      <c r="K811" s="117">
        <f t="shared" si="64"/>
        <v>0</v>
      </c>
      <c r="L811" s="118">
        <f>VLOOKUP(B811,'All Menu'!B:G,6,0)</f>
        <v>4.8706896551724146</v>
      </c>
      <c r="M811" s="118">
        <f t="shared" si="65"/>
        <v>0</v>
      </c>
      <c r="N811" s="151">
        <f ca="1">VLOOKUP(B811,'All Menu'!B:H,7,0)</f>
        <v>19</v>
      </c>
    </row>
    <row r="812" spans="1:14" s="113" customFormat="1" ht="15.75" customHeight="1">
      <c r="A812" s="156" t="s">
        <v>2022</v>
      </c>
      <c r="B812" s="170" t="s">
        <v>1317</v>
      </c>
      <c r="C812" s="113" t="s">
        <v>1489</v>
      </c>
      <c r="D812" s="115" t="str">
        <f>VLOOKUP(B812,'All Menu'!B:D,3,0)</f>
        <v>باستا صالة</v>
      </c>
      <c r="E812" s="116">
        <f t="shared" si="66"/>
        <v>6.7672413793103452</v>
      </c>
      <c r="F812" s="119">
        <v>3</v>
      </c>
      <c r="G812" s="119">
        <v>20.301724137931036</v>
      </c>
      <c r="H812" s="115">
        <f>VLOOKUP(B812,'All Menu'!B:J,9,0)</f>
        <v>3.3204440952380945</v>
      </c>
      <c r="I812" s="120">
        <f>VLOOKUP(B812,'All Menu'!B:M,12,0)</f>
        <v>0.50933564962086764</v>
      </c>
      <c r="J812" s="114">
        <f t="shared" si="63"/>
        <v>20.301724137931036</v>
      </c>
      <c r="K812" s="117">
        <f t="shared" si="64"/>
        <v>0</v>
      </c>
      <c r="L812" s="118">
        <f>VLOOKUP(B812,'All Menu'!B:G,6,0)</f>
        <v>6.7672413793103452</v>
      </c>
      <c r="M812" s="118">
        <f t="shared" si="65"/>
        <v>0</v>
      </c>
      <c r="N812" s="151">
        <f ca="1">VLOOKUP(B812,'All Menu'!B:H,7,0)</f>
        <v>3</v>
      </c>
    </row>
    <row r="813" spans="1:14" s="113" customFormat="1" ht="15.75" customHeight="1">
      <c r="A813" s="156" t="s">
        <v>2022</v>
      </c>
      <c r="B813" s="170" t="s">
        <v>1316</v>
      </c>
      <c r="C813" s="113" t="s">
        <v>1490</v>
      </c>
      <c r="D813" s="115" t="str">
        <f>VLOOKUP(B813,'All Menu'!B:D,3,0)</f>
        <v>باستا صالة</v>
      </c>
      <c r="E813" s="116">
        <f t="shared" si="66"/>
        <v>10.646551724137931</v>
      </c>
      <c r="F813" s="119">
        <v>10</v>
      </c>
      <c r="G813" s="119">
        <v>106.4655172413793</v>
      </c>
      <c r="H813" s="115">
        <f>VLOOKUP(B813,'All Menu'!B:J,9,0)</f>
        <v>7.8683973684210518</v>
      </c>
      <c r="I813" s="120">
        <f>VLOOKUP(B813,'All Menu'!B:M,12,0)</f>
        <v>0.26094405284466232</v>
      </c>
      <c r="J813" s="114">
        <f t="shared" si="63"/>
        <v>106.4655172413793</v>
      </c>
      <c r="K813" s="117">
        <f t="shared" si="64"/>
        <v>0</v>
      </c>
      <c r="L813" s="118">
        <f>VLOOKUP(B813,'All Menu'!B:G,6,0)</f>
        <v>10.646551724137931</v>
      </c>
      <c r="M813" s="118">
        <f t="shared" si="65"/>
        <v>0</v>
      </c>
      <c r="N813" s="151">
        <f ca="1">VLOOKUP(B813,'All Menu'!B:H,7,0)</f>
        <v>10</v>
      </c>
    </row>
    <row r="814" spans="1:14" s="113" customFormat="1" ht="15.75" customHeight="1">
      <c r="A814" s="156" t="s">
        <v>2022</v>
      </c>
      <c r="B814" s="170" t="s">
        <v>1315</v>
      </c>
      <c r="C814" s="113" t="s">
        <v>1491</v>
      </c>
      <c r="D814" s="115" t="str">
        <f>VLOOKUP(B814,'All Menu'!B:D,3,0)</f>
        <v>باستا صالة</v>
      </c>
      <c r="E814" s="116">
        <f t="shared" si="66"/>
        <v>6.5948275862068977</v>
      </c>
      <c r="F814" s="119">
        <v>4.0010000000000003</v>
      </c>
      <c r="G814" s="119">
        <v>26.3859051724138</v>
      </c>
      <c r="H814" s="115">
        <f>VLOOKUP(B814,'All Menu'!B:J,9,0)</f>
        <v>1.5996492499999999</v>
      </c>
      <c r="I814" s="120">
        <f>VLOOKUP(B814,'All Menu'!B:M,12,0)</f>
        <v>0.75743880653594775</v>
      </c>
      <c r="J814" s="114">
        <f t="shared" si="63"/>
        <v>26.3859051724138</v>
      </c>
      <c r="K814" s="117">
        <f t="shared" si="64"/>
        <v>0</v>
      </c>
      <c r="L814" s="118">
        <f>VLOOKUP(B814,'All Menu'!B:G,6,0)</f>
        <v>6.5948275862068977</v>
      </c>
      <c r="M814" s="118">
        <f t="shared" si="65"/>
        <v>0</v>
      </c>
      <c r="N814" s="151">
        <f ca="1">VLOOKUP(B814,'All Menu'!B:H,7,0)</f>
        <v>4.0010000000000003</v>
      </c>
    </row>
    <row r="815" spans="1:14" s="113" customFormat="1" ht="15.75" customHeight="1">
      <c r="A815" s="156" t="s">
        <v>2022</v>
      </c>
      <c r="B815" s="170">
        <v>30206</v>
      </c>
      <c r="C815" s="113" t="s">
        <v>1895</v>
      </c>
      <c r="D815" s="115" t="str">
        <f>VLOOKUP(B815,'All Menu'!B:D,3,0)</f>
        <v>تجهيزات</v>
      </c>
      <c r="E815" s="116">
        <f t="shared" si="66"/>
        <v>3.8</v>
      </c>
      <c r="F815" s="119">
        <v>1E-3</v>
      </c>
      <c r="G815" s="119">
        <v>3.8E-3</v>
      </c>
      <c r="H815" s="115">
        <f>VLOOKUP(B815,'All Menu'!B:J,9,0)</f>
        <v>4.8215285557894729</v>
      </c>
      <c r="I815" s="120">
        <f>VLOOKUP(B815,'All Menu'!B:M,12,0)</f>
        <v>-0.26882330415512451</v>
      </c>
      <c r="J815" s="114">
        <f t="shared" si="63"/>
        <v>3.8E-3</v>
      </c>
      <c r="K815" s="117">
        <f t="shared" si="64"/>
        <v>0</v>
      </c>
      <c r="L815" s="118">
        <f>VLOOKUP(B815,'All Menu'!B:G,6,0)</f>
        <v>3.8</v>
      </c>
      <c r="M815" s="118">
        <f t="shared" si="65"/>
        <v>0</v>
      </c>
      <c r="N815" s="151">
        <f ca="1">VLOOKUP(B815,'All Menu'!B:H,7,0)</f>
        <v>3.7109999999999999</v>
      </c>
    </row>
    <row r="816" spans="1:14" s="113" customFormat="1" ht="15.75" customHeight="1">
      <c r="A816" s="156" t="s">
        <v>2022</v>
      </c>
      <c r="B816" s="170">
        <v>30207</v>
      </c>
      <c r="C816" s="113" t="s">
        <v>1852</v>
      </c>
      <c r="D816" s="115" t="str">
        <f>VLOOKUP(B816,'All Menu'!B:D,3,0)</f>
        <v>تجهيزات</v>
      </c>
      <c r="E816" s="116">
        <f t="shared" si="66"/>
        <v>5.9</v>
      </c>
      <c r="F816" s="119">
        <v>1E-3</v>
      </c>
      <c r="G816" s="119">
        <v>5.9000000000000007E-3</v>
      </c>
      <c r="H816" s="115">
        <f>VLOOKUP(B816,'All Menu'!B:J,9,0)</f>
        <v>6.4287047410526306</v>
      </c>
      <c r="I816" s="120">
        <f>VLOOKUP(B816,'All Menu'!B:M,12,0)</f>
        <v>-8.9610973059767826E-2</v>
      </c>
      <c r="J816" s="114">
        <f t="shared" si="63"/>
        <v>5.9000000000000007E-3</v>
      </c>
      <c r="K816" s="117">
        <f t="shared" si="64"/>
        <v>0</v>
      </c>
      <c r="L816" s="118">
        <f>VLOOKUP(B816,'All Menu'!B:G,6,0)</f>
        <v>5.9</v>
      </c>
      <c r="M816" s="118">
        <f t="shared" si="65"/>
        <v>0</v>
      </c>
      <c r="N816" s="151">
        <f ca="1">VLOOKUP(B816,'All Menu'!B:H,7,0)</f>
        <v>4.0010000000000003</v>
      </c>
    </row>
    <row r="817" spans="1:14" s="113" customFormat="1" ht="15.75" customHeight="1">
      <c r="A817" s="156" t="s">
        <v>2022</v>
      </c>
      <c r="B817" s="170" t="s">
        <v>1092</v>
      </c>
      <c r="C817" s="113" t="s">
        <v>1492</v>
      </c>
      <c r="D817" s="115" t="str">
        <f>VLOOKUP(B817,'All Menu'!B:D,3,0)</f>
        <v>حلويات صالة</v>
      </c>
      <c r="E817" s="116">
        <f t="shared" si="66"/>
        <v>3.0172413793103448</v>
      </c>
      <c r="F817" s="119">
        <v>12.800000190735</v>
      </c>
      <c r="G817" s="119">
        <v>38.62069023066595</v>
      </c>
      <c r="H817" s="115">
        <f>VLOOKUP(B817,'All Menu'!B:J,9,0)</f>
        <v>0.49158024137931045</v>
      </c>
      <c r="I817" s="120">
        <f>VLOOKUP(B817,'All Menu'!B:M,12,0)</f>
        <v>0.83707626285714287</v>
      </c>
      <c r="J817" s="114">
        <f t="shared" si="63"/>
        <v>38.62069023066595</v>
      </c>
      <c r="K817" s="117">
        <f t="shared" si="64"/>
        <v>0</v>
      </c>
      <c r="L817" s="118">
        <f>VLOOKUP(B817,'All Menu'!B:G,6,0)</f>
        <v>3.0172413793103452</v>
      </c>
      <c r="M817" s="118">
        <f t="shared" si="65"/>
        <v>0</v>
      </c>
      <c r="N817" s="151">
        <f ca="1">VLOOKUP(B817,'All Menu'!B:H,7,0)</f>
        <v>12.800000190735</v>
      </c>
    </row>
    <row r="818" spans="1:14" s="113" customFormat="1" ht="15.75" customHeight="1">
      <c r="A818" s="156" t="s">
        <v>2022</v>
      </c>
      <c r="B818" s="170" t="s">
        <v>1494</v>
      </c>
      <c r="C818" s="113" t="s">
        <v>1495</v>
      </c>
      <c r="D818" s="115" t="str">
        <f>VLOOKUP(B818,'All Menu'!B:D,3,0)</f>
        <v>خدمات</v>
      </c>
      <c r="E818" s="116">
        <f t="shared" si="66"/>
        <v>0.85810725167753399</v>
      </c>
      <c r="F818" s="119">
        <v>608.57500000000005</v>
      </c>
      <c r="G818" s="119">
        <v>522.22262068965529</v>
      </c>
      <c r="H818" s="115">
        <f>VLOOKUP(B818,'All Menu'!B:J,9,0)</f>
        <v>0.5</v>
      </c>
      <c r="I818" s="120">
        <f>VLOOKUP(B818,'All Menu'!B:M,12,0)</f>
        <v>0.42000000000000004</v>
      </c>
      <c r="J818" s="114">
        <f t="shared" si="63"/>
        <v>524.63362068965523</v>
      </c>
      <c r="K818" s="117">
        <f t="shared" si="64"/>
        <v>-2.4109999999999445</v>
      </c>
      <c r="L818" s="118">
        <f>VLOOKUP(B818,'All Menu'!B:G,6,0)</f>
        <v>0.86206896551724144</v>
      </c>
      <c r="M818" s="118">
        <f t="shared" si="65"/>
        <v>-3.9617138397074481E-3</v>
      </c>
      <c r="N818" s="151">
        <f ca="1">VLOOKUP(B818,'All Menu'!B:H,7,0)</f>
        <v>2491.5450000000001</v>
      </c>
    </row>
    <row r="819" spans="1:14" s="113" customFormat="1" ht="15.75" customHeight="1">
      <c r="A819" s="156" t="s">
        <v>2022</v>
      </c>
      <c r="B819" s="170" t="s">
        <v>1494</v>
      </c>
      <c r="C819" s="113" t="s">
        <v>1495</v>
      </c>
      <c r="D819" s="115" t="str">
        <f>VLOOKUP(B819,'All Menu'!B:D,3,0)</f>
        <v>خدمات</v>
      </c>
      <c r="E819" s="116">
        <f t="shared" si="66"/>
        <v>0.86206896551724144</v>
      </c>
      <c r="F819" s="119">
        <v>3</v>
      </c>
      <c r="G819" s="119">
        <v>2.5862068965517242</v>
      </c>
      <c r="H819" s="115">
        <f>VLOOKUP(B819,'All Menu'!B:J,9,0)</f>
        <v>0.5</v>
      </c>
      <c r="I819" s="120">
        <f>VLOOKUP(B819,'All Menu'!B:M,12,0)</f>
        <v>0.42000000000000004</v>
      </c>
      <c r="J819" s="114">
        <f t="shared" si="63"/>
        <v>2.5862068965517242</v>
      </c>
      <c r="K819" s="117">
        <f t="shared" si="64"/>
        <v>0</v>
      </c>
      <c r="L819" s="118">
        <f>VLOOKUP(B819,'All Menu'!B:G,6,0)</f>
        <v>0.86206896551724144</v>
      </c>
      <c r="M819" s="118">
        <f t="shared" si="65"/>
        <v>0</v>
      </c>
      <c r="N819" s="151">
        <f ca="1">VLOOKUP(B819,'All Menu'!B:H,7,0)</f>
        <v>2491.5450000000001</v>
      </c>
    </row>
    <row r="820" spans="1:14" s="113" customFormat="1" ht="15.75" customHeight="1">
      <c r="A820" s="156" t="s">
        <v>2022</v>
      </c>
      <c r="B820" s="170" t="s">
        <v>1494</v>
      </c>
      <c r="C820" s="113" t="s">
        <v>1495</v>
      </c>
      <c r="D820" s="115" t="str">
        <f>VLOOKUP(B820,'All Menu'!B:D,3,0)</f>
        <v>خدمات</v>
      </c>
      <c r="E820" s="116">
        <f t="shared" si="66"/>
        <v>0.86206896551724144</v>
      </c>
      <c r="F820" s="119">
        <v>0.5</v>
      </c>
      <c r="G820" s="119">
        <v>0.43103448275862072</v>
      </c>
      <c r="H820" s="115">
        <f>VLOOKUP(B820,'All Menu'!B:J,9,0)</f>
        <v>0.5</v>
      </c>
      <c r="I820" s="120">
        <f>VLOOKUP(B820,'All Menu'!B:M,12,0)</f>
        <v>0.42000000000000004</v>
      </c>
      <c r="J820" s="114">
        <f t="shared" si="63"/>
        <v>0.43103448275862072</v>
      </c>
      <c r="K820" s="117">
        <f t="shared" si="64"/>
        <v>0</v>
      </c>
      <c r="L820" s="118">
        <f>VLOOKUP(B820,'All Menu'!B:G,6,0)</f>
        <v>0.86206896551724144</v>
      </c>
      <c r="M820" s="118">
        <f t="shared" si="65"/>
        <v>0</v>
      </c>
      <c r="N820" s="151">
        <f ca="1">VLOOKUP(B820,'All Menu'!B:H,7,0)</f>
        <v>2491.5450000000001</v>
      </c>
    </row>
    <row r="821" spans="1:14" s="113" customFormat="1" ht="15.75" customHeight="1">
      <c r="A821" s="156" t="s">
        <v>2022</v>
      </c>
      <c r="B821" s="170" t="s">
        <v>1494</v>
      </c>
      <c r="C821" s="113" t="s">
        <v>1495</v>
      </c>
      <c r="D821" s="115" t="str">
        <f>VLOOKUP(B821,'All Menu'!B:D,3,0)</f>
        <v>خدمات</v>
      </c>
      <c r="E821" s="116">
        <f t="shared" si="66"/>
        <v>0.86206896551724144</v>
      </c>
      <c r="F821" s="119">
        <v>0.5</v>
      </c>
      <c r="G821" s="119">
        <v>0.43103448275862072</v>
      </c>
      <c r="H821" s="115">
        <f>VLOOKUP(B821,'All Menu'!B:J,9,0)</f>
        <v>0.5</v>
      </c>
      <c r="I821" s="120">
        <f>VLOOKUP(B821,'All Menu'!B:M,12,0)</f>
        <v>0.42000000000000004</v>
      </c>
      <c r="J821" s="114">
        <f t="shared" si="63"/>
        <v>0.43103448275862072</v>
      </c>
      <c r="K821" s="117">
        <f t="shared" si="64"/>
        <v>0</v>
      </c>
      <c r="L821" s="118">
        <f>VLOOKUP(B821,'All Menu'!B:G,6,0)</f>
        <v>0.86206896551724144</v>
      </c>
      <c r="M821" s="118">
        <f t="shared" si="65"/>
        <v>0</v>
      </c>
      <c r="N821" s="151">
        <f ca="1">VLOOKUP(B821,'All Menu'!B:H,7,0)</f>
        <v>2491.5450000000001</v>
      </c>
    </row>
    <row r="822" spans="1:14" s="113" customFormat="1" ht="15.75" customHeight="1">
      <c r="A822" s="156" t="s">
        <v>2022</v>
      </c>
      <c r="B822" s="170">
        <v>50001</v>
      </c>
      <c r="C822" s="113" t="s">
        <v>1497</v>
      </c>
      <c r="D822" s="115" t="str">
        <f>VLOOKUP(B822,'All Menu'!B:D,3,0)</f>
        <v>دواجن</v>
      </c>
      <c r="E822" s="116">
        <f t="shared" si="66"/>
        <v>2.7449375979253334</v>
      </c>
      <c r="F822" s="119">
        <v>370.18</v>
      </c>
      <c r="G822" s="119">
        <v>1016.121</v>
      </c>
      <c r="H822" s="115">
        <f>VLOOKUP(B822,'All Menu'!B:J,9,0)</f>
        <v>2.34</v>
      </c>
      <c r="I822" s="120">
        <f>VLOOKUP(B822,'All Menu'!B:M,12,0)</f>
        <v>0.14909090909090914</v>
      </c>
      <c r="J822" s="114">
        <f t="shared" si="63"/>
        <v>1017.995</v>
      </c>
      <c r="K822" s="117">
        <f t="shared" si="64"/>
        <v>-1.8740000000000236</v>
      </c>
      <c r="L822" s="118">
        <f>VLOOKUP(B822,'All Menu'!B:G,6,0)</f>
        <v>2.75</v>
      </c>
      <c r="M822" s="118">
        <f t="shared" si="65"/>
        <v>-5.0624020746665721E-3</v>
      </c>
      <c r="N822" s="151">
        <f ca="1">VLOOKUP(B822,'All Menu'!B:H,7,0)</f>
        <v>1957.3890000000001</v>
      </c>
    </row>
    <row r="823" spans="1:14" s="113" customFormat="1" ht="15.75" customHeight="1">
      <c r="A823" s="156" t="s">
        <v>2022</v>
      </c>
      <c r="B823" s="170">
        <v>50004</v>
      </c>
      <c r="C823" s="113" t="s">
        <v>1498</v>
      </c>
      <c r="D823" s="115" t="str">
        <f>VLOOKUP(B823,'All Menu'!B:D,3,0)</f>
        <v>دواجن</v>
      </c>
      <c r="E823" s="116">
        <f t="shared" si="66"/>
        <v>4.5</v>
      </c>
      <c r="F823" s="119">
        <v>10.205</v>
      </c>
      <c r="G823" s="119">
        <v>45.922499999999999</v>
      </c>
      <c r="H823" s="115">
        <f>VLOOKUP(B823,'All Menu'!B:J,9,0)</f>
        <v>2.95</v>
      </c>
      <c r="I823" s="120">
        <f>VLOOKUP(B823,'All Menu'!B:M,12,0)</f>
        <v>0.34444444444444439</v>
      </c>
      <c r="J823" s="114">
        <f t="shared" si="63"/>
        <v>45.922499999999999</v>
      </c>
      <c r="K823" s="117">
        <f t="shared" si="64"/>
        <v>0</v>
      </c>
      <c r="L823" s="118">
        <f>VLOOKUP(B823,'All Menu'!B:G,6,0)</f>
        <v>4.5</v>
      </c>
      <c r="M823" s="118">
        <f t="shared" si="65"/>
        <v>0</v>
      </c>
      <c r="N823" s="151">
        <f ca="1">VLOOKUP(B823,'All Menu'!B:H,7,0)</f>
        <v>70.864999999999995</v>
      </c>
    </row>
    <row r="824" spans="1:14" s="113" customFormat="1" ht="15.75" customHeight="1">
      <c r="A824" s="156" t="s">
        <v>2022</v>
      </c>
      <c r="B824" s="170">
        <v>50005</v>
      </c>
      <c r="C824" s="113" t="s">
        <v>303</v>
      </c>
      <c r="D824" s="115" t="str">
        <f>VLOOKUP(B824,'All Menu'!B:D,3,0)</f>
        <v>دواجن</v>
      </c>
      <c r="E824" s="116">
        <f t="shared" si="66"/>
        <v>6.9999999999999991</v>
      </c>
      <c r="F824" s="119">
        <v>9.18</v>
      </c>
      <c r="G824" s="119">
        <v>64.259999999999991</v>
      </c>
      <c r="H824" s="115">
        <f>VLOOKUP(B824,'All Menu'!B:J,9,0)</f>
        <v>5.7</v>
      </c>
      <c r="I824" s="120">
        <f>VLOOKUP(B824,'All Menu'!B:M,12,0)</f>
        <v>0.18571428571428569</v>
      </c>
      <c r="J824" s="114">
        <f t="shared" si="63"/>
        <v>64.259999999999991</v>
      </c>
      <c r="K824" s="117">
        <f t="shared" si="64"/>
        <v>0</v>
      </c>
      <c r="L824" s="118">
        <f>VLOOKUP(B824,'All Menu'!B:G,6,0)</f>
        <v>7</v>
      </c>
      <c r="M824" s="118">
        <f t="shared" si="65"/>
        <v>0</v>
      </c>
      <c r="N824" s="151">
        <f ca="1">VLOOKUP(B824,'All Menu'!B:H,7,0)</f>
        <v>359.99</v>
      </c>
    </row>
    <row r="825" spans="1:14" s="113" customFormat="1" ht="15.75" customHeight="1">
      <c r="A825" s="156" t="s">
        <v>2022</v>
      </c>
      <c r="B825" s="170">
        <v>50006</v>
      </c>
      <c r="C825" s="113" t="s">
        <v>1499</v>
      </c>
      <c r="D825" s="115" t="str">
        <f>VLOOKUP(B825,'All Menu'!B:D,3,0)</f>
        <v>دواجن</v>
      </c>
      <c r="E825" s="116">
        <f t="shared" si="66"/>
        <v>5.9999999999999991</v>
      </c>
      <c r="F825" s="119">
        <v>0.99</v>
      </c>
      <c r="G825" s="119">
        <v>5.9399999999999995</v>
      </c>
      <c r="H825" s="115">
        <f>VLOOKUP(B825,'All Menu'!B:J,9,0)</f>
        <v>4.2</v>
      </c>
      <c r="I825" s="120">
        <f>VLOOKUP(B825,'All Menu'!B:M,12,0)</f>
        <v>0.3</v>
      </c>
      <c r="J825" s="114">
        <f t="shared" si="63"/>
        <v>5.9399999999999995</v>
      </c>
      <c r="K825" s="117">
        <f t="shared" si="64"/>
        <v>0</v>
      </c>
      <c r="L825" s="118">
        <f>VLOOKUP(B825,'All Menu'!B:G,6,0)</f>
        <v>6</v>
      </c>
      <c r="M825" s="118">
        <f t="shared" si="65"/>
        <v>0</v>
      </c>
      <c r="N825" s="151">
        <f ca="1">VLOOKUP(B825,'All Menu'!B:H,7,0)</f>
        <v>467.76500000000004</v>
      </c>
    </row>
    <row r="826" spans="1:14" s="113" customFormat="1" ht="15.75" customHeight="1">
      <c r="A826" s="156" t="s">
        <v>2022</v>
      </c>
      <c r="B826" s="170">
        <v>50006</v>
      </c>
      <c r="C826" s="113" t="s">
        <v>1499</v>
      </c>
      <c r="D826" s="115" t="str">
        <f>VLOOKUP(B826,'All Menu'!B:D,3,0)</f>
        <v>دواجن</v>
      </c>
      <c r="E826" s="116">
        <f t="shared" si="66"/>
        <v>5.9934650764632478</v>
      </c>
      <c r="F826" s="119">
        <v>172.30500000000001</v>
      </c>
      <c r="G826" s="119">
        <v>1032.704</v>
      </c>
      <c r="H826" s="115">
        <f>VLOOKUP(B826,'All Menu'!B:J,9,0)</f>
        <v>4.2</v>
      </c>
      <c r="I826" s="120">
        <f>VLOOKUP(B826,'All Menu'!B:M,12,0)</f>
        <v>0.3</v>
      </c>
      <c r="J826" s="114">
        <f t="shared" si="63"/>
        <v>1033.83</v>
      </c>
      <c r="K826" s="117">
        <f t="shared" si="64"/>
        <v>-1.1259999999999764</v>
      </c>
      <c r="L826" s="118">
        <f>VLOOKUP(B826,'All Menu'!B:G,6,0)</f>
        <v>6</v>
      </c>
      <c r="M826" s="118">
        <f t="shared" si="65"/>
        <v>-6.534923536752224E-3</v>
      </c>
      <c r="N826" s="151">
        <f ca="1">VLOOKUP(B826,'All Menu'!B:H,7,0)</f>
        <v>467.76500000000004</v>
      </c>
    </row>
    <row r="827" spans="1:14" s="113" customFormat="1" ht="15.75" customHeight="1">
      <c r="A827" s="156" t="s">
        <v>2022</v>
      </c>
      <c r="B827" s="170">
        <v>50008</v>
      </c>
      <c r="C827" s="113" t="s">
        <v>1500</v>
      </c>
      <c r="D827" s="115" t="str">
        <f>VLOOKUP(B827,'All Menu'!B:D,3,0)</f>
        <v>دواجن</v>
      </c>
      <c r="E827" s="116">
        <f t="shared" si="66"/>
        <v>3</v>
      </c>
      <c r="F827" s="119">
        <v>19.04</v>
      </c>
      <c r="G827" s="119">
        <v>57.12</v>
      </c>
      <c r="H827" s="115">
        <f>VLOOKUP(B827,'All Menu'!B:J,9,0)</f>
        <v>1.65</v>
      </c>
      <c r="I827" s="120">
        <f>VLOOKUP(B827,'All Menu'!B:M,12,0)</f>
        <v>0.45</v>
      </c>
      <c r="J827" s="114">
        <f t="shared" si="63"/>
        <v>57.12</v>
      </c>
      <c r="K827" s="117">
        <f t="shared" si="64"/>
        <v>0</v>
      </c>
      <c r="L827" s="118">
        <f>VLOOKUP(B827,'All Menu'!B:G,6,0)</f>
        <v>3</v>
      </c>
      <c r="M827" s="118">
        <f t="shared" si="65"/>
        <v>0</v>
      </c>
      <c r="N827" s="151">
        <f ca="1">VLOOKUP(B827,'All Menu'!B:H,7,0)</f>
        <v>187.79</v>
      </c>
    </row>
    <row r="828" spans="1:14" s="113" customFormat="1" ht="15.75" customHeight="1">
      <c r="A828" s="156" t="s">
        <v>2022</v>
      </c>
      <c r="B828" s="170">
        <v>50009</v>
      </c>
      <c r="C828" s="113" t="s">
        <v>1501</v>
      </c>
      <c r="D828" s="115" t="str">
        <f>VLOOKUP(B828,'All Menu'!B:D,3,0)</f>
        <v>دواجن</v>
      </c>
      <c r="E828" s="116">
        <f t="shared" si="66"/>
        <v>3</v>
      </c>
      <c r="F828" s="119">
        <v>11.49</v>
      </c>
      <c r="G828" s="119">
        <v>34.47</v>
      </c>
      <c r="H828" s="115">
        <f>VLOOKUP(B828,'All Menu'!B:J,9,0)</f>
        <v>1.8</v>
      </c>
      <c r="I828" s="120">
        <f>VLOOKUP(B828,'All Menu'!B:M,12,0)</f>
        <v>0.39999999999999997</v>
      </c>
      <c r="J828" s="114">
        <f t="shared" si="63"/>
        <v>34.47</v>
      </c>
      <c r="K828" s="117">
        <f t="shared" si="64"/>
        <v>0</v>
      </c>
      <c r="L828" s="118">
        <f>VLOOKUP(B828,'All Menu'!B:G,6,0)</f>
        <v>3</v>
      </c>
      <c r="M828" s="118">
        <f t="shared" si="65"/>
        <v>0</v>
      </c>
      <c r="N828" s="151">
        <f ca="1">VLOOKUP(B828,'All Menu'!B:H,7,0)</f>
        <v>68</v>
      </c>
    </row>
    <row r="829" spans="1:14" s="113" customFormat="1" ht="15.75" customHeight="1">
      <c r="A829" s="156" t="s">
        <v>2022</v>
      </c>
      <c r="B829" s="170">
        <v>50010</v>
      </c>
      <c r="C829" s="113" t="s">
        <v>1502</v>
      </c>
      <c r="D829" s="115" t="str">
        <f>VLOOKUP(B829,'All Menu'!B:D,3,0)</f>
        <v>دواجن</v>
      </c>
      <c r="E829" s="116">
        <f t="shared" si="66"/>
        <v>3</v>
      </c>
      <c r="F829" s="119">
        <v>8.73</v>
      </c>
      <c r="G829" s="119">
        <v>26.19</v>
      </c>
      <c r="H829" s="115">
        <f>VLOOKUP(B829,'All Menu'!B:J,9,0)</f>
        <v>1.3</v>
      </c>
      <c r="I829" s="120">
        <f>VLOOKUP(B829,'All Menu'!B:M,12,0)</f>
        <v>0.56666666666666665</v>
      </c>
      <c r="J829" s="114">
        <f t="shared" si="63"/>
        <v>26.19</v>
      </c>
      <c r="K829" s="117">
        <f t="shared" si="64"/>
        <v>0</v>
      </c>
      <c r="L829" s="118">
        <f>VLOOKUP(B829,'All Menu'!B:G,6,0)</f>
        <v>3</v>
      </c>
      <c r="M829" s="118">
        <f t="shared" si="65"/>
        <v>0</v>
      </c>
      <c r="N829" s="151">
        <f ca="1">VLOOKUP(B829,'All Menu'!B:H,7,0)</f>
        <v>42.150000000000006</v>
      </c>
    </row>
    <row r="830" spans="1:14" s="113" customFormat="1" ht="15.75" customHeight="1">
      <c r="A830" s="156" t="s">
        <v>2022</v>
      </c>
      <c r="B830" s="170">
        <v>50048</v>
      </c>
      <c r="C830" s="113" t="s">
        <v>677</v>
      </c>
      <c r="D830" s="115" t="str">
        <f>VLOOKUP(B830,'All Menu'!B:D,3,0)</f>
        <v>دواجن</v>
      </c>
      <c r="E830" s="116">
        <f t="shared" si="66"/>
        <v>8</v>
      </c>
      <c r="F830" s="119">
        <v>5.5</v>
      </c>
      <c r="G830" s="119">
        <v>44</v>
      </c>
      <c r="H830" s="115">
        <f>VLOOKUP(B830,'All Menu'!B:J,9,0)</f>
        <v>4.186896</v>
      </c>
      <c r="I830" s="120">
        <f>VLOOKUP(B830,'All Menu'!B:M,12,0)</f>
        <v>0.47663800000000001</v>
      </c>
      <c r="J830" s="114">
        <f t="shared" si="63"/>
        <v>44</v>
      </c>
      <c r="K830" s="117">
        <f t="shared" si="64"/>
        <v>0</v>
      </c>
      <c r="L830" s="118">
        <f>VLOOKUP(B830,'All Menu'!B:G,6,0)</f>
        <v>8</v>
      </c>
      <c r="M830" s="118">
        <f t="shared" si="65"/>
        <v>0</v>
      </c>
      <c r="N830" s="151">
        <f ca="1">VLOOKUP(B830,'All Menu'!B:H,7,0)</f>
        <v>22.06</v>
      </c>
    </row>
    <row r="831" spans="1:14" s="113" customFormat="1" ht="15.75" customHeight="1">
      <c r="A831" s="156" t="s">
        <v>2022</v>
      </c>
      <c r="B831" s="170">
        <v>204050</v>
      </c>
      <c r="C831" s="113" t="s">
        <v>1503</v>
      </c>
      <c r="D831" s="115" t="str">
        <f>VLOOKUP(B831,'All Menu'!B:D,3,0)</f>
        <v>سقط</v>
      </c>
      <c r="E831" s="116">
        <f t="shared" si="66"/>
        <v>1</v>
      </c>
      <c r="F831" s="119">
        <v>110</v>
      </c>
      <c r="G831" s="119">
        <v>110</v>
      </c>
      <c r="H831" s="115">
        <f>VLOOKUP(B831,'All Menu'!B:J,9,0)</f>
        <v>0</v>
      </c>
      <c r="I831" s="120">
        <f>VLOOKUP(B831,'All Menu'!B:M,12,0)</f>
        <v>1</v>
      </c>
      <c r="J831" s="114">
        <f t="shared" si="63"/>
        <v>110</v>
      </c>
      <c r="K831" s="117">
        <f t="shared" si="64"/>
        <v>0</v>
      </c>
      <c r="L831" s="118">
        <f>VLOOKUP(B831,'All Menu'!B:G,6,0)</f>
        <v>1</v>
      </c>
      <c r="M831" s="118">
        <f t="shared" si="65"/>
        <v>0</v>
      </c>
      <c r="N831" s="151">
        <f ca="1">VLOOKUP(B831,'All Menu'!B:H,7,0)</f>
        <v>246.5</v>
      </c>
    </row>
    <row r="832" spans="1:14" s="113" customFormat="1" ht="15.75" customHeight="1">
      <c r="A832" s="156" t="s">
        <v>2022</v>
      </c>
      <c r="B832" s="170">
        <v>50018</v>
      </c>
      <c r="C832" s="113" t="s">
        <v>1505</v>
      </c>
      <c r="D832" s="115" t="str">
        <f>VLOOKUP(B832,'All Menu'!B:D,3,0)</f>
        <v>سقط</v>
      </c>
      <c r="E832" s="116">
        <f t="shared" si="66"/>
        <v>8</v>
      </c>
      <c r="F832" s="119">
        <v>15</v>
      </c>
      <c r="G832" s="119">
        <v>120</v>
      </c>
      <c r="H832" s="115">
        <f>VLOOKUP(B832,'All Menu'!B:J,9,0)</f>
        <v>4.5</v>
      </c>
      <c r="I832" s="120">
        <f>VLOOKUP(B832,'All Menu'!B:M,12,0)</f>
        <v>0.4375</v>
      </c>
      <c r="J832" s="114">
        <f t="shared" si="63"/>
        <v>120</v>
      </c>
      <c r="K832" s="117">
        <f t="shared" si="64"/>
        <v>0</v>
      </c>
      <c r="L832" s="118">
        <f>VLOOKUP(B832,'All Menu'!B:G,6,0)</f>
        <v>8</v>
      </c>
      <c r="M832" s="118">
        <f t="shared" si="65"/>
        <v>0</v>
      </c>
      <c r="N832" s="151">
        <f ca="1">VLOOKUP(B832,'All Menu'!B:H,7,0)</f>
        <v>122.43</v>
      </c>
    </row>
    <row r="833" spans="1:14" s="113" customFormat="1" ht="15.75" customHeight="1">
      <c r="A833" s="156" t="s">
        <v>2022</v>
      </c>
      <c r="B833" s="170">
        <v>50019</v>
      </c>
      <c r="C833" s="113" t="s">
        <v>1506</v>
      </c>
      <c r="D833" s="115" t="str">
        <f>VLOOKUP(B833,'All Menu'!B:D,3,0)</f>
        <v>سقط</v>
      </c>
      <c r="E833" s="116">
        <f t="shared" si="66"/>
        <v>11.000000000000002</v>
      </c>
      <c r="F833" s="119">
        <v>12.265000000000001</v>
      </c>
      <c r="G833" s="119">
        <v>134.91500000000002</v>
      </c>
      <c r="H833" s="115">
        <f>VLOOKUP(B833,'All Menu'!B:J,9,0)</f>
        <v>7</v>
      </c>
      <c r="I833" s="120">
        <f>VLOOKUP(B833,'All Menu'!B:M,12,0)</f>
        <v>0.36363636363636365</v>
      </c>
      <c r="J833" s="114">
        <f t="shared" si="63"/>
        <v>134.91500000000002</v>
      </c>
      <c r="K833" s="117">
        <f t="shared" si="64"/>
        <v>0</v>
      </c>
      <c r="L833" s="118">
        <f>VLOOKUP(B833,'All Menu'!B:G,6,0)</f>
        <v>11</v>
      </c>
      <c r="M833" s="118">
        <f t="shared" si="65"/>
        <v>0</v>
      </c>
      <c r="N833" s="151">
        <f ca="1">VLOOKUP(B833,'All Menu'!B:H,7,0)</f>
        <v>77.504999999999995</v>
      </c>
    </row>
    <row r="834" spans="1:14" s="113" customFormat="1" ht="15.75" customHeight="1">
      <c r="A834" s="156" t="s">
        <v>2022</v>
      </c>
      <c r="B834" s="170">
        <v>50020</v>
      </c>
      <c r="C834" s="113" t="s">
        <v>1507</v>
      </c>
      <c r="D834" s="115" t="str">
        <f>VLOOKUP(B834,'All Menu'!B:D,3,0)</f>
        <v>سقط</v>
      </c>
      <c r="E834" s="116">
        <f t="shared" si="66"/>
        <v>8</v>
      </c>
      <c r="F834" s="119">
        <v>8.1449999999999996</v>
      </c>
      <c r="G834" s="119">
        <v>65.16</v>
      </c>
      <c r="H834" s="115">
        <f>VLOOKUP(B834,'All Menu'!B:J,9,0)</f>
        <v>4.5</v>
      </c>
      <c r="I834" s="120">
        <f>VLOOKUP(B834,'All Menu'!B:M,12,0)</f>
        <v>0.4375</v>
      </c>
      <c r="J834" s="114">
        <f t="shared" si="63"/>
        <v>65.16</v>
      </c>
      <c r="K834" s="117">
        <f t="shared" si="64"/>
        <v>0</v>
      </c>
      <c r="L834" s="118">
        <f>VLOOKUP(B834,'All Menu'!B:G,6,0)</f>
        <v>8</v>
      </c>
      <c r="M834" s="118">
        <f t="shared" si="65"/>
        <v>0</v>
      </c>
      <c r="N834" s="151">
        <f ca="1">VLOOKUP(B834,'All Menu'!B:H,7,0)</f>
        <v>64.807000000000002</v>
      </c>
    </row>
    <row r="835" spans="1:14" s="113" customFormat="1" ht="15.75" customHeight="1">
      <c r="A835" s="156" t="s">
        <v>2022</v>
      </c>
      <c r="B835" s="170">
        <v>50021</v>
      </c>
      <c r="C835" s="113" t="s">
        <v>1853</v>
      </c>
      <c r="D835" s="115" t="str">
        <f>VLOOKUP(B835,'All Menu'!B:D,3,0)</f>
        <v>سقط</v>
      </c>
      <c r="E835" s="116">
        <f t="shared" si="66"/>
        <v>10</v>
      </c>
      <c r="F835" s="119">
        <v>1.3001</v>
      </c>
      <c r="G835" s="119">
        <v>13.001000000000001</v>
      </c>
      <c r="H835" s="115">
        <f>VLOOKUP(B835,'All Menu'!B:J,9,0)</f>
        <v>4.1581209137931037</v>
      </c>
      <c r="I835" s="120">
        <f>VLOOKUP(B835,'All Menu'!B:M,12,0)</f>
        <v>0.58418790862068959</v>
      </c>
      <c r="J835" s="114">
        <f t="shared" si="63"/>
        <v>13.001000000000001</v>
      </c>
      <c r="K835" s="117">
        <f t="shared" si="64"/>
        <v>0</v>
      </c>
      <c r="L835" s="118">
        <f>VLOOKUP(B835,'All Menu'!B:G,6,0)</f>
        <v>10</v>
      </c>
      <c r="M835" s="118">
        <f t="shared" si="65"/>
        <v>0</v>
      </c>
      <c r="N835" s="151">
        <f ca="1">VLOOKUP(B835,'All Menu'!B:H,7,0)</f>
        <v>3.3001</v>
      </c>
    </row>
    <row r="836" spans="1:14" s="113" customFormat="1" ht="15.75" customHeight="1">
      <c r="A836" s="156" t="s">
        <v>2022</v>
      </c>
      <c r="B836" s="170">
        <v>50022</v>
      </c>
      <c r="C836" s="113" t="s">
        <v>1508</v>
      </c>
      <c r="D836" s="115" t="str">
        <f>VLOOKUP(B836,'All Menu'!B:D,3,0)</f>
        <v>سقط</v>
      </c>
      <c r="E836" s="116">
        <f t="shared" si="66"/>
        <v>7</v>
      </c>
      <c r="F836" s="119">
        <v>7.33</v>
      </c>
      <c r="G836" s="119">
        <v>51.31</v>
      </c>
      <c r="H836" s="115">
        <f>VLOOKUP(B836,'All Menu'!B:J,9,0)</f>
        <v>4.5</v>
      </c>
      <c r="I836" s="120">
        <f>VLOOKUP(B836,'All Menu'!B:M,12,0)</f>
        <v>0.35714285714285715</v>
      </c>
      <c r="J836" s="114">
        <f t="shared" si="63"/>
        <v>51.31</v>
      </c>
      <c r="K836" s="117">
        <f t="shared" si="64"/>
        <v>0</v>
      </c>
      <c r="L836" s="118">
        <f>VLOOKUP(B836,'All Menu'!B:G,6,0)</f>
        <v>7</v>
      </c>
      <c r="M836" s="118">
        <f t="shared" si="65"/>
        <v>0</v>
      </c>
      <c r="N836" s="151">
        <f ca="1">VLOOKUP(B836,'All Menu'!B:H,7,0)</f>
        <v>36.130000000000003</v>
      </c>
    </row>
    <row r="837" spans="1:14" s="113" customFormat="1" ht="15.75" customHeight="1">
      <c r="A837" s="156" t="s">
        <v>2022</v>
      </c>
      <c r="B837" s="170">
        <v>50023</v>
      </c>
      <c r="C837" s="113" t="s">
        <v>1509</v>
      </c>
      <c r="D837" s="115" t="str">
        <f>VLOOKUP(B837,'All Menu'!B:D,3,0)</f>
        <v>سقط</v>
      </c>
      <c r="E837" s="116">
        <f t="shared" si="66"/>
        <v>8</v>
      </c>
      <c r="F837" s="119">
        <v>7.6050000000000004</v>
      </c>
      <c r="G837" s="119">
        <v>60.84</v>
      </c>
      <c r="H837" s="115">
        <f>VLOOKUP(B837,'All Menu'!B:J,9,0)</f>
        <v>4.5</v>
      </c>
      <c r="I837" s="120">
        <f>VLOOKUP(B837,'All Menu'!B:M,12,0)</f>
        <v>0.4375</v>
      </c>
      <c r="J837" s="114">
        <f t="shared" si="63"/>
        <v>60.84</v>
      </c>
      <c r="K837" s="117">
        <f t="shared" si="64"/>
        <v>0</v>
      </c>
      <c r="L837" s="118">
        <f>VLOOKUP(B837,'All Menu'!B:G,6,0)</f>
        <v>8</v>
      </c>
      <c r="M837" s="118">
        <f t="shared" si="65"/>
        <v>0</v>
      </c>
      <c r="N837" s="151">
        <f ca="1">VLOOKUP(B837,'All Menu'!B:H,7,0)</f>
        <v>28.555</v>
      </c>
    </row>
    <row r="838" spans="1:14" s="113" customFormat="1" ht="15.75" customHeight="1">
      <c r="A838" s="156" t="s">
        <v>2022</v>
      </c>
      <c r="B838" s="170">
        <v>50024</v>
      </c>
      <c r="C838" s="113" t="s">
        <v>1510</v>
      </c>
      <c r="D838" s="115" t="str">
        <f>VLOOKUP(B838,'All Menu'!B:D,3,0)</f>
        <v>سقط</v>
      </c>
      <c r="E838" s="116">
        <f t="shared" si="66"/>
        <v>2.5</v>
      </c>
      <c r="F838" s="119">
        <v>6</v>
      </c>
      <c r="G838" s="119">
        <v>15</v>
      </c>
      <c r="H838" s="115">
        <f>VLOOKUP(B838,'All Menu'!B:J,9,0)</f>
        <v>1.25</v>
      </c>
      <c r="I838" s="120">
        <f>VLOOKUP(B838,'All Menu'!B:M,12,0)</f>
        <v>0.5</v>
      </c>
      <c r="J838" s="114">
        <f t="shared" si="63"/>
        <v>15</v>
      </c>
      <c r="K838" s="117">
        <f t="shared" si="64"/>
        <v>0</v>
      </c>
      <c r="L838" s="118">
        <f>VLOOKUP(B838,'All Menu'!B:G,6,0)</f>
        <v>2.5</v>
      </c>
      <c r="M838" s="118">
        <f t="shared" si="65"/>
        <v>0</v>
      </c>
      <c r="N838" s="151">
        <f ca="1">VLOOKUP(B838,'All Menu'!B:H,7,0)</f>
        <v>78</v>
      </c>
    </row>
    <row r="839" spans="1:14" s="113" customFormat="1" ht="15.75" customHeight="1">
      <c r="A839" s="156" t="s">
        <v>2022</v>
      </c>
      <c r="B839" s="170">
        <v>50025</v>
      </c>
      <c r="C839" s="113" t="s">
        <v>305</v>
      </c>
      <c r="D839" s="115" t="str">
        <f>VLOOKUP(B839,'All Menu'!B:D,3,0)</f>
        <v>سقط</v>
      </c>
      <c r="E839" s="116">
        <f t="shared" si="66"/>
        <v>4.4744999999999999</v>
      </c>
      <c r="F839" s="119">
        <v>6</v>
      </c>
      <c r="G839" s="119">
        <v>26.847000000000001</v>
      </c>
      <c r="H839" s="115">
        <f>VLOOKUP(B839,'All Menu'!B:J,9,0)</f>
        <v>2.895620913793103</v>
      </c>
      <c r="I839" s="120">
        <f>VLOOKUP(B839,'All Menu'!B:M,12,0)</f>
        <v>0.35652868582375485</v>
      </c>
      <c r="J839" s="114">
        <f t="shared" si="63"/>
        <v>27</v>
      </c>
      <c r="K839" s="117">
        <f t="shared" si="64"/>
        <v>-0.15299999999999869</v>
      </c>
      <c r="L839" s="118">
        <f>VLOOKUP(B839,'All Menu'!B:G,6,0)</f>
        <v>4.5</v>
      </c>
      <c r="M839" s="118">
        <f t="shared" si="65"/>
        <v>-2.5500000000000078E-2</v>
      </c>
      <c r="N839" s="151">
        <f ca="1">VLOOKUP(B839,'All Menu'!B:H,7,0)</f>
        <v>26.02</v>
      </c>
    </row>
    <row r="840" spans="1:14" s="113" customFormat="1" ht="15.75" customHeight="1">
      <c r="A840" s="156" t="s">
        <v>2022</v>
      </c>
      <c r="B840" s="170">
        <v>50028</v>
      </c>
      <c r="C840" s="113" t="s">
        <v>1734</v>
      </c>
      <c r="D840" s="115" t="str">
        <f>VLOOKUP(B840,'All Menu'!B:D,3,0)</f>
        <v>سقط</v>
      </c>
      <c r="E840" s="116">
        <f t="shared" si="66"/>
        <v>9.9419722901385477</v>
      </c>
      <c r="F840" s="119">
        <v>6.1349999999999998</v>
      </c>
      <c r="G840" s="119">
        <v>60.993999999999993</v>
      </c>
      <c r="H840" s="115">
        <f>VLOOKUP(B840,'All Menu'!B:J,9,0)</f>
        <v>4.4081209137931037</v>
      </c>
      <c r="I840" s="120">
        <f>VLOOKUP(B840,'All Menu'!B:M,12,0)</f>
        <v>0.55918790862068968</v>
      </c>
      <c r="J840" s="114">
        <f t="shared" si="63"/>
        <v>61.349999999999994</v>
      </c>
      <c r="K840" s="117">
        <f t="shared" si="64"/>
        <v>-0.35600000000000165</v>
      </c>
      <c r="L840" s="118">
        <f>VLOOKUP(B840,'All Menu'!B:G,6,0)</f>
        <v>10</v>
      </c>
      <c r="M840" s="118">
        <f t="shared" si="65"/>
        <v>-5.8027709861452337E-2</v>
      </c>
      <c r="N840" s="151">
        <f ca="1">VLOOKUP(B840,'All Menu'!B:H,7,0)</f>
        <v>14.375</v>
      </c>
    </row>
    <row r="841" spans="1:14" s="113" customFormat="1" ht="15.75" customHeight="1">
      <c r="A841" s="156" t="s">
        <v>2022</v>
      </c>
      <c r="B841" s="170" t="s">
        <v>883</v>
      </c>
      <c r="C841" s="113" t="s">
        <v>1514</v>
      </c>
      <c r="D841" s="115" t="str">
        <f>VLOOKUP(B841,'All Menu'!B:D,3,0)</f>
        <v>سلطات سفري</v>
      </c>
      <c r="E841" s="116">
        <f t="shared" si="66"/>
        <v>1.7241379310344829</v>
      </c>
      <c r="F841" s="119">
        <v>35.001100000000001</v>
      </c>
      <c r="G841" s="119">
        <v>60.346724137931041</v>
      </c>
      <c r="H841" s="115">
        <f>VLOOKUP(B841,'All Menu'!B:J,9,0)</f>
        <v>0.19847362714776634</v>
      </c>
      <c r="I841" s="120">
        <f>VLOOKUP(B841,'All Menu'!B:M,12,0)</f>
        <v>0.88488529625429557</v>
      </c>
      <c r="J841" s="114">
        <f t="shared" si="63"/>
        <v>60.346724137931041</v>
      </c>
      <c r="K841" s="117">
        <f t="shared" si="64"/>
        <v>0</v>
      </c>
      <c r="L841" s="118">
        <f>VLOOKUP(B841,'All Menu'!B:G,6,0)</f>
        <v>1.7241379310344829</v>
      </c>
      <c r="M841" s="118">
        <f t="shared" si="65"/>
        <v>0</v>
      </c>
      <c r="N841" s="151">
        <f ca="1">VLOOKUP(B841,'All Menu'!B:H,7,0)</f>
        <v>245.00110000000001</v>
      </c>
    </row>
    <row r="842" spans="1:14" s="113" customFormat="1" ht="15.75" customHeight="1">
      <c r="A842" s="156" t="s">
        <v>2022</v>
      </c>
      <c r="B842" s="170" t="s">
        <v>886</v>
      </c>
      <c r="C842" s="113" t="s">
        <v>1517</v>
      </c>
      <c r="D842" s="115" t="str">
        <f>VLOOKUP(B842,'All Menu'!B:D,3,0)</f>
        <v>سلطات سفري</v>
      </c>
      <c r="E842" s="116">
        <f t="shared" si="66"/>
        <v>1.7241379310344829</v>
      </c>
      <c r="F842" s="119">
        <v>26.001000000000001</v>
      </c>
      <c r="G842" s="119">
        <v>44.82931034482759</v>
      </c>
      <c r="H842" s="115">
        <f>VLOOKUP(B842,'All Menu'!B:J,9,0)</f>
        <v>0.30728885714285714</v>
      </c>
      <c r="I842" s="120">
        <f>VLOOKUP(B842,'All Menu'!B:M,12,0)</f>
        <v>0.82177246285714289</v>
      </c>
      <c r="J842" s="114">
        <f t="shared" si="63"/>
        <v>44.82931034482759</v>
      </c>
      <c r="K842" s="117">
        <f t="shared" si="64"/>
        <v>0</v>
      </c>
      <c r="L842" s="118">
        <f>VLOOKUP(B842,'All Menu'!B:G,6,0)</f>
        <v>1.7241379310344829</v>
      </c>
      <c r="M842" s="118">
        <f t="shared" si="65"/>
        <v>0</v>
      </c>
      <c r="N842" s="151">
        <f ca="1">VLOOKUP(B842,'All Menu'!B:H,7,0)</f>
        <v>143.001</v>
      </c>
    </row>
    <row r="843" spans="1:14" s="113" customFormat="1" ht="15.75" customHeight="1">
      <c r="A843" s="156" t="s">
        <v>2022</v>
      </c>
      <c r="B843" s="170" t="s">
        <v>1029</v>
      </c>
      <c r="C843" s="113" t="s">
        <v>1518</v>
      </c>
      <c r="D843" s="115" t="str">
        <f>VLOOKUP(B843,'All Menu'!B:D,3,0)</f>
        <v>سلطات سفري</v>
      </c>
      <c r="E843" s="116">
        <f t="shared" si="66"/>
        <v>10.129310344827587</v>
      </c>
      <c r="F843" s="119">
        <v>1</v>
      </c>
      <c r="G843" s="119">
        <v>10.129310344827587</v>
      </c>
      <c r="H843" s="115">
        <f>VLOOKUP(B843,'All Menu'!B:J,9,0)</f>
        <v>2.756986233153639</v>
      </c>
      <c r="I843" s="120">
        <f>VLOOKUP(B843,'All Menu'!B:M,12,0)</f>
        <v>0.7278209335780238</v>
      </c>
      <c r="J843" s="114">
        <f t="shared" si="63"/>
        <v>10.129310344827587</v>
      </c>
      <c r="K843" s="117">
        <f t="shared" si="64"/>
        <v>0</v>
      </c>
      <c r="L843" s="118">
        <f>VLOOKUP(B843,'All Menu'!B:G,6,0)</f>
        <v>10.129310344827587</v>
      </c>
      <c r="M843" s="118">
        <f t="shared" si="65"/>
        <v>0</v>
      </c>
      <c r="N843" s="151">
        <f ca="1">VLOOKUP(B843,'All Menu'!B:H,7,0)</f>
        <v>9</v>
      </c>
    </row>
    <row r="844" spans="1:14" s="113" customFormat="1" ht="15.75" customHeight="1">
      <c r="A844" s="156" t="s">
        <v>2022</v>
      </c>
      <c r="B844" s="170" t="s">
        <v>888</v>
      </c>
      <c r="C844" s="113" t="s">
        <v>1519</v>
      </c>
      <c r="D844" s="115" t="str">
        <f>VLOOKUP(B844,'All Menu'!B:D,3,0)</f>
        <v>سلطات سفري</v>
      </c>
      <c r="E844" s="116">
        <f t="shared" si="66"/>
        <v>1.7241379310344829</v>
      </c>
      <c r="F844" s="119">
        <v>14</v>
      </c>
      <c r="G844" s="119">
        <v>24.137931034482762</v>
      </c>
      <c r="H844" s="115">
        <f>VLOOKUP(B844,'All Menu'!B:J,9,0)</f>
        <v>0.53857280476190472</v>
      </c>
      <c r="I844" s="120">
        <f>VLOOKUP(B844,'All Menu'!B:M,12,0)</f>
        <v>0.68762777323809532</v>
      </c>
      <c r="J844" s="114">
        <f t="shared" si="63"/>
        <v>24.137931034482762</v>
      </c>
      <c r="K844" s="117">
        <f t="shared" si="64"/>
        <v>0</v>
      </c>
      <c r="L844" s="118">
        <f>VLOOKUP(B844,'All Menu'!B:G,6,0)</f>
        <v>1.7241379310344829</v>
      </c>
      <c r="M844" s="118">
        <f t="shared" si="65"/>
        <v>0</v>
      </c>
      <c r="N844" s="151">
        <f ca="1">VLOOKUP(B844,'All Menu'!B:H,7,0)</f>
        <v>39</v>
      </c>
    </row>
    <row r="845" spans="1:14" s="113" customFormat="1" ht="15.75" customHeight="1">
      <c r="A845" s="156" t="s">
        <v>2022</v>
      </c>
      <c r="B845" s="170" t="s">
        <v>888</v>
      </c>
      <c r="C845" s="113" t="s">
        <v>1519</v>
      </c>
      <c r="D845" s="115" t="str">
        <f>VLOOKUP(B845,'All Menu'!B:D,3,0)</f>
        <v>سلطات سفري</v>
      </c>
      <c r="E845" s="116">
        <f t="shared" si="66"/>
        <v>1.7241379310344829</v>
      </c>
      <c r="F845" s="119">
        <v>3</v>
      </c>
      <c r="G845" s="119">
        <v>5.1724137931034484</v>
      </c>
      <c r="H845" s="115">
        <f>VLOOKUP(B845,'All Menu'!B:J,9,0)</f>
        <v>0.53857280476190472</v>
      </c>
      <c r="I845" s="120">
        <f>VLOOKUP(B845,'All Menu'!B:M,12,0)</f>
        <v>0.68762777323809532</v>
      </c>
      <c r="J845" s="114">
        <f t="shared" si="63"/>
        <v>5.1724137931034484</v>
      </c>
      <c r="K845" s="117">
        <f t="shared" si="64"/>
        <v>0</v>
      </c>
      <c r="L845" s="118">
        <f>VLOOKUP(B845,'All Menu'!B:G,6,0)</f>
        <v>1.7241379310344829</v>
      </c>
      <c r="M845" s="118">
        <f t="shared" si="65"/>
        <v>0</v>
      </c>
      <c r="N845" s="151">
        <f ca="1">VLOOKUP(B845,'All Menu'!B:H,7,0)</f>
        <v>39</v>
      </c>
    </row>
    <row r="846" spans="1:14" s="113" customFormat="1" ht="15.75" customHeight="1">
      <c r="A846" s="156" t="s">
        <v>2022</v>
      </c>
      <c r="B846" s="170" t="s">
        <v>889</v>
      </c>
      <c r="C846" s="113" t="s">
        <v>1520</v>
      </c>
      <c r="D846" s="115" t="str">
        <f>VLOOKUP(B846,'All Menu'!B:D,3,0)</f>
        <v>سلطات سفري</v>
      </c>
      <c r="E846" s="116">
        <f t="shared" si="66"/>
        <v>2.5862068965517242</v>
      </c>
      <c r="F846" s="119">
        <v>13</v>
      </c>
      <c r="G846" s="119">
        <v>33.620689655172413</v>
      </c>
      <c r="H846" s="115">
        <f>VLOOKUP(B846,'All Menu'!B:J,9,0)</f>
        <v>1.1090192185550083</v>
      </c>
      <c r="I846" s="120">
        <f>VLOOKUP(B846,'All Menu'!B:M,12,0)</f>
        <v>0.57117923549206351</v>
      </c>
      <c r="J846" s="114">
        <f t="shared" si="63"/>
        <v>33.620689655172413</v>
      </c>
      <c r="K846" s="117">
        <f t="shared" si="64"/>
        <v>0</v>
      </c>
      <c r="L846" s="118">
        <f>VLOOKUP(B846,'All Menu'!B:G,6,0)</f>
        <v>2.5862068965517242</v>
      </c>
      <c r="M846" s="118">
        <f t="shared" si="65"/>
        <v>0</v>
      </c>
      <c r="N846" s="151">
        <f ca="1">VLOOKUP(B846,'All Menu'!B:H,7,0)</f>
        <v>30</v>
      </c>
    </row>
    <row r="847" spans="1:14" s="113" customFormat="1" ht="15.75" customHeight="1">
      <c r="A847" s="156" t="s">
        <v>2022</v>
      </c>
      <c r="B847" s="170" t="s">
        <v>890</v>
      </c>
      <c r="C847" s="113" t="s">
        <v>1521</v>
      </c>
      <c r="D847" s="115" t="str">
        <f>VLOOKUP(B847,'All Menu'!B:D,3,0)</f>
        <v>سلطات سفري</v>
      </c>
      <c r="E847" s="116">
        <f t="shared" si="66"/>
        <v>2.5862068965517242</v>
      </c>
      <c r="F847" s="119">
        <v>9</v>
      </c>
      <c r="G847" s="119">
        <v>23.275862068965516</v>
      </c>
      <c r="H847" s="115">
        <f>VLOOKUP(B847,'All Menu'!B:J,9,0)</f>
        <v>0.66348513538748821</v>
      </c>
      <c r="I847" s="120">
        <f>VLOOKUP(B847,'All Menu'!B:M,12,0)</f>
        <v>0.74345241431683795</v>
      </c>
      <c r="J847" s="114">
        <f t="shared" si="63"/>
        <v>23.275862068965516</v>
      </c>
      <c r="K847" s="117">
        <f t="shared" si="64"/>
        <v>0</v>
      </c>
      <c r="L847" s="118">
        <f>VLOOKUP(B847,'All Menu'!B:G,6,0)</f>
        <v>2.5862068965517242</v>
      </c>
      <c r="M847" s="118">
        <f t="shared" si="65"/>
        <v>0</v>
      </c>
      <c r="N847" s="151">
        <f ca="1">VLOOKUP(B847,'All Menu'!B:H,7,0)</f>
        <v>32</v>
      </c>
    </row>
    <row r="848" spans="1:14" s="113" customFormat="1" ht="15.75" customHeight="1">
      <c r="A848" s="156" t="s">
        <v>2022</v>
      </c>
      <c r="B848" s="170" t="s">
        <v>1081</v>
      </c>
      <c r="C848" s="113" t="s">
        <v>489</v>
      </c>
      <c r="D848" s="115" t="str">
        <f>VLOOKUP(B848,'All Menu'!B:D,3,0)</f>
        <v>سلطات سفري</v>
      </c>
      <c r="E848" s="116">
        <f t="shared" si="66"/>
        <v>14.439655172413794</v>
      </c>
      <c r="F848" s="119">
        <v>1E-4</v>
      </c>
      <c r="G848" s="119">
        <v>1.4439655172413795E-3</v>
      </c>
      <c r="H848" s="115">
        <f>VLOOKUP(B848,'All Menu'!B:J,9,0)</f>
        <v>3.9666160971055087</v>
      </c>
      <c r="I848" s="120">
        <f>VLOOKUP(B848,'All Menu'!B:M,12,0)</f>
        <v>0.72529703446911109</v>
      </c>
      <c r="J848" s="114">
        <f t="shared" si="63"/>
        <v>1.4439655172413795E-3</v>
      </c>
      <c r="K848" s="117">
        <f t="shared" si="64"/>
        <v>0</v>
      </c>
      <c r="L848" s="118">
        <f>VLOOKUP(B848,'All Menu'!B:G,6,0)</f>
        <v>14.439655172413794</v>
      </c>
      <c r="M848" s="118">
        <f t="shared" si="65"/>
        <v>0</v>
      </c>
      <c r="N848" s="151">
        <f ca="1">VLOOKUP(B848,'All Menu'!B:H,7,0)</f>
        <v>1E-4</v>
      </c>
    </row>
    <row r="849" spans="1:14" s="113" customFormat="1" ht="15.75" customHeight="1">
      <c r="A849" s="156" t="s">
        <v>2022</v>
      </c>
      <c r="B849" s="170" t="s">
        <v>885</v>
      </c>
      <c r="C849" s="113" t="s">
        <v>1522</v>
      </c>
      <c r="D849" s="115" t="str">
        <f>VLOOKUP(B849,'All Menu'!B:D,3,0)</f>
        <v>سلطات سفري</v>
      </c>
      <c r="E849" s="116">
        <f t="shared" si="66"/>
        <v>1.2931034482758621</v>
      </c>
      <c r="F849" s="119">
        <v>47.000999999999998</v>
      </c>
      <c r="G849" s="119">
        <v>60.777155172413792</v>
      </c>
      <c r="H849" s="115">
        <f>VLOOKUP(B849,'All Menu'!B:J,9,0)</f>
        <v>0.24234587628865978</v>
      </c>
      <c r="I849" s="120">
        <f>VLOOKUP(B849,'All Menu'!B:M,12,0)</f>
        <v>0.81258585567010322</v>
      </c>
      <c r="J849" s="114">
        <f t="shared" si="63"/>
        <v>60.777155172413792</v>
      </c>
      <c r="K849" s="117">
        <f t="shared" si="64"/>
        <v>0</v>
      </c>
      <c r="L849" s="118">
        <f>VLOOKUP(B849,'All Menu'!B:G,6,0)</f>
        <v>1.2931034482758621</v>
      </c>
      <c r="M849" s="118">
        <f t="shared" si="65"/>
        <v>0</v>
      </c>
      <c r="N849" s="151">
        <f ca="1">VLOOKUP(B849,'All Menu'!B:H,7,0)</f>
        <v>161.001</v>
      </c>
    </row>
    <row r="850" spans="1:14" s="113" customFormat="1" ht="15.75" customHeight="1">
      <c r="A850" s="156" t="s">
        <v>2022</v>
      </c>
      <c r="B850" s="170" t="s">
        <v>1032</v>
      </c>
      <c r="C850" s="113" t="s">
        <v>1516</v>
      </c>
      <c r="D850" s="115" t="str">
        <f>VLOOKUP(B850,'All Menu'!B:D,3,0)</f>
        <v>سلطات سفري</v>
      </c>
      <c r="E850" s="116">
        <f t="shared" si="66"/>
        <v>7.9741379310344831</v>
      </c>
      <c r="F850" s="119">
        <v>3</v>
      </c>
      <c r="G850" s="119">
        <v>23.922413793103448</v>
      </c>
      <c r="H850" s="115">
        <f>VLOOKUP(B850,'All Menu'!B:J,9,0)</f>
        <v>2.174355095729013</v>
      </c>
      <c r="I850" s="120">
        <f>VLOOKUP(B850,'All Menu'!B:M,12,0)</f>
        <v>0.72732411772479399</v>
      </c>
      <c r="J850" s="114">
        <f t="shared" si="63"/>
        <v>23.922413793103448</v>
      </c>
      <c r="K850" s="117">
        <f t="shared" si="64"/>
        <v>0</v>
      </c>
      <c r="L850" s="118">
        <f>VLOOKUP(B850,'All Menu'!B:G,6,0)</f>
        <v>7.9741379310344831</v>
      </c>
      <c r="M850" s="118">
        <f t="shared" si="65"/>
        <v>0</v>
      </c>
      <c r="N850" s="151">
        <f ca="1">VLOOKUP(B850,'All Menu'!B:H,7,0)</f>
        <v>3</v>
      </c>
    </row>
    <row r="851" spans="1:14" s="113" customFormat="1" ht="15.75" customHeight="1">
      <c r="A851" s="156" t="s">
        <v>2022</v>
      </c>
      <c r="B851" s="170" t="s">
        <v>882</v>
      </c>
      <c r="C851" s="113" t="s">
        <v>1523</v>
      </c>
      <c r="D851" s="115" t="str">
        <f>VLOOKUP(B851,'All Menu'!B:D,3,0)</f>
        <v>سلطات سفري</v>
      </c>
      <c r="E851" s="116">
        <f t="shared" si="66"/>
        <v>1.7241379310344829</v>
      </c>
      <c r="F851" s="119">
        <v>16.001000000000001</v>
      </c>
      <c r="G851" s="119">
        <v>27.587931034482761</v>
      </c>
      <c r="H851" s="115">
        <f>VLOOKUP(B851,'All Menu'!B:J,9,0)</f>
        <v>0.54531407563025203</v>
      </c>
      <c r="I851" s="120">
        <f>VLOOKUP(B851,'All Menu'!B:M,12,0)</f>
        <v>0.68371783613445392</v>
      </c>
      <c r="J851" s="114">
        <f t="shared" si="63"/>
        <v>27.587931034482761</v>
      </c>
      <c r="K851" s="117">
        <f t="shared" si="64"/>
        <v>0</v>
      </c>
      <c r="L851" s="118">
        <f>VLOOKUP(B851,'All Menu'!B:G,6,0)</f>
        <v>1.7241379310344829</v>
      </c>
      <c r="M851" s="118">
        <f t="shared" si="65"/>
        <v>0</v>
      </c>
      <c r="N851" s="151">
        <f ca="1">VLOOKUP(B851,'All Menu'!B:H,7,0)</f>
        <v>57.001000000000005</v>
      </c>
    </row>
    <row r="852" spans="1:14" s="113" customFormat="1" ht="15.75" customHeight="1">
      <c r="A852" s="156" t="s">
        <v>2022</v>
      </c>
      <c r="B852" s="170" t="s">
        <v>884</v>
      </c>
      <c r="C852" s="113" t="s">
        <v>1524</v>
      </c>
      <c r="D852" s="115" t="str">
        <f>VLOOKUP(B852,'All Menu'!B:D,3,0)</f>
        <v>سلطات سفري</v>
      </c>
      <c r="E852" s="116">
        <f t="shared" si="66"/>
        <v>1.5086206896551726</v>
      </c>
      <c r="F852" s="119">
        <v>4</v>
      </c>
      <c r="G852" s="119">
        <v>6.0344827586206904</v>
      </c>
      <c r="H852" s="115">
        <f>VLOOKUP(B852,'All Menu'!B:J,9,0)</f>
        <v>0.27673545612059258</v>
      </c>
      <c r="I852" s="120">
        <f>VLOOKUP(B852,'All Menu'!B:M,12,0)</f>
        <v>0.81656392622863583</v>
      </c>
      <c r="J852" s="114">
        <f t="shared" si="63"/>
        <v>6.0344827586206904</v>
      </c>
      <c r="K852" s="117">
        <f t="shared" si="64"/>
        <v>0</v>
      </c>
      <c r="L852" s="118">
        <f>VLOOKUP(B852,'All Menu'!B:G,6,0)</f>
        <v>1.5086206896551726</v>
      </c>
      <c r="M852" s="118">
        <f t="shared" si="65"/>
        <v>0</v>
      </c>
      <c r="N852" s="151">
        <f ca="1">VLOOKUP(B852,'All Menu'!B:H,7,0)</f>
        <v>59</v>
      </c>
    </row>
    <row r="853" spans="1:14" s="113" customFormat="1" ht="15.75" customHeight="1">
      <c r="A853" s="156" t="s">
        <v>2022</v>
      </c>
      <c r="B853" s="170" t="s">
        <v>1230</v>
      </c>
      <c r="C853" s="113" t="s">
        <v>1686</v>
      </c>
      <c r="D853" s="115" t="str">
        <f>VLOOKUP(B853,'All Menu'!B:D,3,0)</f>
        <v>سلطات سفري</v>
      </c>
      <c r="E853" s="116">
        <f t="shared" si="66"/>
        <v>12.068965517241381</v>
      </c>
      <c r="F853" s="119">
        <v>1.0009999999999999</v>
      </c>
      <c r="G853" s="119">
        <v>12.081034482758621</v>
      </c>
      <c r="H853" s="115">
        <f>VLOOKUP(B853,'All Menu'!B:J,9,0)</f>
        <v>9.1579092857142861</v>
      </c>
      <c r="I853" s="120">
        <f>VLOOKUP(B853,'All Menu'!B:M,12,0)</f>
        <v>0.2412018020408164</v>
      </c>
      <c r="J853" s="114">
        <f t="shared" si="63"/>
        <v>12.081034482758621</v>
      </c>
      <c r="K853" s="117">
        <f t="shared" si="64"/>
        <v>0</v>
      </c>
      <c r="L853" s="118">
        <f>VLOOKUP(B853,'All Menu'!B:G,6,0)</f>
        <v>12.068965517241381</v>
      </c>
      <c r="M853" s="118">
        <f t="shared" si="65"/>
        <v>0</v>
      </c>
      <c r="N853" s="151">
        <f ca="1">VLOOKUP(B853,'All Menu'!B:H,7,0)</f>
        <v>1.0009999999999999</v>
      </c>
    </row>
    <row r="854" spans="1:14" s="113" customFormat="1" ht="15.75" customHeight="1">
      <c r="A854" s="156" t="s">
        <v>2022</v>
      </c>
      <c r="B854" s="170" t="s">
        <v>1231</v>
      </c>
      <c r="C854" s="113" t="s">
        <v>1526</v>
      </c>
      <c r="D854" s="115" t="str">
        <f>VLOOKUP(B854,'All Menu'!B:D,3,0)</f>
        <v>سلطات سفري</v>
      </c>
      <c r="E854" s="116">
        <f t="shared" si="66"/>
        <v>2.5862068965517242</v>
      </c>
      <c r="F854" s="119">
        <v>9</v>
      </c>
      <c r="G854" s="119">
        <v>23.275862068965516</v>
      </c>
      <c r="H854" s="115">
        <f>VLOOKUP(B854,'All Menu'!B:J,9,0)</f>
        <v>0.6959929452541771</v>
      </c>
      <c r="I854" s="120">
        <f>VLOOKUP(B854,'All Menu'!B:M,12,0)</f>
        <v>0.73088272783505148</v>
      </c>
      <c r="J854" s="114">
        <f t="shared" si="63"/>
        <v>23.275862068965516</v>
      </c>
      <c r="K854" s="117">
        <f t="shared" si="64"/>
        <v>0</v>
      </c>
      <c r="L854" s="118">
        <f>VLOOKUP(B854,'All Menu'!B:G,6,0)</f>
        <v>2.5862068965517242</v>
      </c>
      <c r="M854" s="118">
        <f t="shared" si="65"/>
        <v>0</v>
      </c>
      <c r="N854" s="151">
        <f ca="1">VLOOKUP(B854,'All Menu'!B:H,7,0)</f>
        <v>63</v>
      </c>
    </row>
    <row r="855" spans="1:14" s="113" customFormat="1" ht="15.75" customHeight="1">
      <c r="A855" s="156" t="s">
        <v>2022</v>
      </c>
      <c r="B855" s="170" t="s">
        <v>1046</v>
      </c>
      <c r="C855" s="113" t="s">
        <v>1527</v>
      </c>
      <c r="D855" s="115" t="str">
        <f>VLOOKUP(B855,'All Menu'!B:D,3,0)</f>
        <v>سلطات صالة</v>
      </c>
      <c r="E855" s="116">
        <f t="shared" si="66"/>
        <v>2.7959503284072249</v>
      </c>
      <c r="F855" s="119">
        <v>84</v>
      </c>
      <c r="G855" s="119">
        <v>234.8598275862069</v>
      </c>
      <c r="H855" s="115">
        <f>VLOOKUP(B855,'All Menu'!B:J,9,0)</f>
        <v>0.27696159999999997</v>
      </c>
      <c r="I855" s="120">
        <f>VLOOKUP(B855,'All Menu'!B:M,12,0)</f>
        <v>0.90114601353846158</v>
      </c>
      <c r="J855" s="114">
        <f t="shared" si="63"/>
        <v>235.34482758620692</v>
      </c>
      <c r="K855" s="117">
        <f t="shared" si="64"/>
        <v>-0.48500000000001364</v>
      </c>
      <c r="L855" s="118">
        <f>VLOOKUP(B855,'All Menu'!B:G,6,0)</f>
        <v>2.8017241379310347</v>
      </c>
      <c r="M855" s="118">
        <f t="shared" si="65"/>
        <v>-5.773809523809792E-3</v>
      </c>
      <c r="N855" s="151">
        <f ca="1">VLOOKUP(B855,'All Menu'!B:H,7,0)</f>
        <v>84</v>
      </c>
    </row>
    <row r="856" spans="1:14" s="113" customFormat="1" ht="15.75" customHeight="1">
      <c r="A856" s="156" t="s">
        <v>2022</v>
      </c>
      <c r="B856" s="170" t="s">
        <v>861</v>
      </c>
      <c r="C856" s="113" t="s">
        <v>1529</v>
      </c>
      <c r="D856" s="115" t="str">
        <f>VLOOKUP(B856,'All Menu'!B:D,3,0)</f>
        <v>سلطات صالة</v>
      </c>
      <c r="E856" s="116">
        <f t="shared" si="66"/>
        <v>2.8017241379310347</v>
      </c>
      <c r="F856" s="119">
        <v>104</v>
      </c>
      <c r="G856" s="119">
        <v>291.37931034482762</v>
      </c>
      <c r="H856" s="115">
        <f>VLOOKUP(B856,'All Menu'!B:J,9,0)</f>
        <v>0.42878500000000003</v>
      </c>
      <c r="I856" s="120">
        <f>VLOOKUP(B856,'All Menu'!B:M,12,0)</f>
        <v>0.84695673846153852</v>
      </c>
      <c r="J856" s="114">
        <f t="shared" si="63"/>
        <v>291.37931034482762</v>
      </c>
      <c r="K856" s="117">
        <f t="shared" si="64"/>
        <v>0</v>
      </c>
      <c r="L856" s="118">
        <f>VLOOKUP(B856,'All Menu'!B:G,6,0)</f>
        <v>2.8017241379310347</v>
      </c>
      <c r="M856" s="118">
        <f t="shared" si="65"/>
        <v>0</v>
      </c>
      <c r="N856" s="151">
        <f ca="1">VLOOKUP(B856,'All Menu'!B:H,7,0)</f>
        <v>104</v>
      </c>
    </row>
    <row r="857" spans="1:14" s="113" customFormat="1" ht="15.75" customHeight="1">
      <c r="A857" s="156" t="s">
        <v>2022</v>
      </c>
      <c r="B857" s="170" t="s">
        <v>859</v>
      </c>
      <c r="C857" s="113" t="s">
        <v>1530</v>
      </c>
      <c r="D857" s="115" t="str">
        <f>VLOOKUP(B857,'All Menu'!B:D,3,0)</f>
        <v>سلطات صالة</v>
      </c>
      <c r="E857" s="116">
        <f t="shared" si="66"/>
        <v>2.8017241379310347</v>
      </c>
      <c r="F857" s="119">
        <v>2</v>
      </c>
      <c r="G857" s="119">
        <v>5.6034482758620694</v>
      </c>
      <c r="H857" s="115">
        <f>VLOOKUP(B857,'All Menu'!B:J,9,0)</f>
        <v>0.51544915944170766</v>
      </c>
      <c r="I857" s="120">
        <f>VLOOKUP(B857,'All Menu'!B:M,12,0)</f>
        <v>0.81602430001465209</v>
      </c>
      <c r="J857" s="114">
        <f t="shared" si="63"/>
        <v>5.6034482758620694</v>
      </c>
      <c r="K857" s="117">
        <f t="shared" si="64"/>
        <v>0</v>
      </c>
      <c r="L857" s="118">
        <f>VLOOKUP(B857,'All Menu'!B:G,6,0)</f>
        <v>2.8017241379310347</v>
      </c>
      <c r="M857" s="118">
        <f t="shared" si="65"/>
        <v>0</v>
      </c>
      <c r="N857" s="151">
        <f ca="1">VLOOKUP(B857,'All Menu'!B:H,7,0)</f>
        <v>2</v>
      </c>
    </row>
    <row r="858" spans="1:14" s="113" customFormat="1" ht="15.75" customHeight="1">
      <c r="A858" s="156" t="s">
        <v>2022</v>
      </c>
      <c r="B858" s="170" t="s">
        <v>860</v>
      </c>
      <c r="C858" s="113" t="s">
        <v>1531</v>
      </c>
      <c r="D858" s="115" t="str">
        <f>VLOOKUP(B858,'All Menu'!B:D,3,0)</f>
        <v>سلطات صالة</v>
      </c>
      <c r="E858" s="116">
        <f t="shared" si="66"/>
        <v>4.0948275862068968</v>
      </c>
      <c r="F858" s="119">
        <v>47</v>
      </c>
      <c r="G858" s="119">
        <v>192.45689655172416</v>
      </c>
      <c r="H858" s="115">
        <f>VLOOKUP(B858,'All Menu'!B:J,9,0)</f>
        <v>2.108837571428571</v>
      </c>
      <c r="I858" s="120">
        <f>VLOOKUP(B858,'All Menu'!B:M,12,0)</f>
        <v>0.48499966676691741</v>
      </c>
      <c r="J858" s="114">
        <f t="shared" si="63"/>
        <v>192.45689655172416</v>
      </c>
      <c r="K858" s="117">
        <f t="shared" si="64"/>
        <v>0</v>
      </c>
      <c r="L858" s="118">
        <f>VLOOKUP(B858,'All Menu'!B:G,6,0)</f>
        <v>4.0948275862068968</v>
      </c>
      <c r="M858" s="118">
        <f t="shared" si="65"/>
        <v>0</v>
      </c>
      <c r="N858" s="151">
        <f ca="1">VLOOKUP(B858,'All Menu'!B:H,7,0)</f>
        <v>47</v>
      </c>
    </row>
    <row r="859" spans="1:14" s="113" customFormat="1" ht="15.75" customHeight="1">
      <c r="A859" s="156" t="s">
        <v>2022</v>
      </c>
      <c r="B859" s="170" t="s">
        <v>858</v>
      </c>
      <c r="C859" s="113" t="s">
        <v>1532</v>
      </c>
      <c r="D859" s="115" t="str">
        <f>VLOOKUP(B859,'All Menu'!B:D,3,0)</f>
        <v>سلطات صالة</v>
      </c>
      <c r="E859" s="116">
        <f t="shared" si="66"/>
        <v>1.9396551724137931</v>
      </c>
      <c r="F859" s="119">
        <v>38</v>
      </c>
      <c r="G859" s="119">
        <v>73.706896551724142</v>
      </c>
      <c r="H859" s="115">
        <f>VLOOKUP(B859,'All Menu'!B:J,9,0)</f>
        <v>0.26944133333333331</v>
      </c>
      <c r="I859" s="120">
        <f>VLOOKUP(B859,'All Menu'!B:M,12,0)</f>
        <v>0.86108802370370363</v>
      </c>
      <c r="J859" s="114">
        <f t="shared" si="63"/>
        <v>73.706896551724142</v>
      </c>
      <c r="K859" s="117">
        <f t="shared" si="64"/>
        <v>0</v>
      </c>
      <c r="L859" s="118">
        <f>VLOOKUP(B859,'All Menu'!B:G,6,0)</f>
        <v>1.9396551724137931</v>
      </c>
      <c r="M859" s="118">
        <f t="shared" si="65"/>
        <v>0</v>
      </c>
      <c r="N859" s="151">
        <f ca="1">VLOOKUP(B859,'All Menu'!B:H,7,0)</f>
        <v>38</v>
      </c>
    </row>
    <row r="860" spans="1:14" s="113" customFormat="1" ht="15.75" customHeight="1">
      <c r="A860" s="156" t="s">
        <v>2022</v>
      </c>
      <c r="B860" s="170" t="s">
        <v>894</v>
      </c>
      <c r="C860" s="113" t="s">
        <v>571</v>
      </c>
      <c r="D860" s="115" t="str">
        <f>VLOOKUP(B860,'All Menu'!B:D,3,0)</f>
        <v>سلطات صالة</v>
      </c>
      <c r="E860" s="116">
        <f t="shared" si="66"/>
        <v>1.9396551724137931</v>
      </c>
      <c r="F860" s="119">
        <v>8</v>
      </c>
      <c r="G860" s="119">
        <v>15.517241379310345</v>
      </c>
      <c r="H860" s="115">
        <f>VLOOKUP(B860,'All Menu'!B:J,9,0)</f>
        <v>0.2346927531194988</v>
      </c>
      <c r="I860" s="120">
        <f>VLOOKUP(B860,'All Menu'!B:M,12,0)</f>
        <v>0.87900284728061395</v>
      </c>
      <c r="J860" s="114">
        <f t="shared" si="63"/>
        <v>15.517241379310345</v>
      </c>
      <c r="K860" s="117">
        <f t="shared" si="64"/>
        <v>0</v>
      </c>
      <c r="L860" s="118">
        <f>VLOOKUP(B860,'All Menu'!B:G,6,0)</f>
        <v>1.9396551724137931</v>
      </c>
      <c r="M860" s="118">
        <f t="shared" si="65"/>
        <v>0</v>
      </c>
      <c r="N860" s="151">
        <f ca="1">VLOOKUP(B860,'All Menu'!B:H,7,0)</f>
        <v>8</v>
      </c>
    </row>
    <row r="861" spans="1:14" s="113" customFormat="1" ht="15.75" customHeight="1">
      <c r="A861" s="156" t="s">
        <v>2022</v>
      </c>
      <c r="B861" s="170" t="s">
        <v>1060</v>
      </c>
      <c r="C861" s="113" t="s">
        <v>1533</v>
      </c>
      <c r="D861" s="115" t="str">
        <f>VLOOKUP(B861,'All Menu'!B:D,3,0)</f>
        <v>سلطات صالة</v>
      </c>
      <c r="E861" s="116">
        <f t="shared" si="66"/>
        <v>2.8017241379310347</v>
      </c>
      <c r="F861" s="119">
        <v>21</v>
      </c>
      <c r="G861" s="119">
        <v>58.83620689655173</v>
      </c>
      <c r="H861" s="115">
        <f>VLOOKUP(B861,'All Menu'!B:J,9,0)</f>
        <v>0.81227168801313632</v>
      </c>
      <c r="I861" s="120">
        <f>VLOOKUP(B861,'All Menu'!B:M,12,0)</f>
        <v>0.71008148981684982</v>
      </c>
      <c r="J861" s="114">
        <f t="shared" ref="J861:J924" si="67">F861*L861</f>
        <v>58.83620689655173</v>
      </c>
      <c r="K861" s="117">
        <f t="shared" ref="K861:K924" si="68">G861-J861</f>
        <v>0</v>
      </c>
      <c r="L861" s="118">
        <f>VLOOKUP(B861,'All Menu'!B:G,6,0)</f>
        <v>2.8017241379310347</v>
      </c>
      <c r="M861" s="118">
        <f t="shared" ref="M861:M924" si="69">E861-L861</f>
        <v>0</v>
      </c>
      <c r="N861" s="151">
        <f ca="1">VLOOKUP(B861,'All Menu'!B:H,7,0)</f>
        <v>21</v>
      </c>
    </row>
    <row r="862" spans="1:14" s="113" customFormat="1" ht="15.75" customHeight="1">
      <c r="A862" s="156" t="s">
        <v>2022</v>
      </c>
      <c r="B862" s="170" t="s">
        <v>1019</v>
      </c>
      <c r="C862" s="113" t="s">
        <v>561</v>
      </c>
      <c r="D862" s="115" t="str">
        <f>VLOOKUP(B862,'All Menu'!B:D,3,0)</f>
        <v>سلطات صالة</v>
      </c>
      <c r="E862" s="116">
        <f t="shared" ref="E862:E925" si="70">G862/F862</f>
        <v>2.8017241379310347</v>
      </c>
      <c r="F862" s="119">
        <v>10</v>
      </c>
      <c r="G862" s="119">
        <v>28.017241379310349</v>
      </c>
      <c r="H862" s="115">
        <f>VLOOKUP(B862,'All Menu'!B:J,9,0)</f>
        <v>0.37036449579831926</v>
      </c>
      <c r="I862" s="120">
        <f>VLOOKUP(B862,'All Menu'!B:M,12,0)</f>
        <v>0.86780836457659993</v>
      </c>
      <c r="J862" s="114">
        <f t="shared" si="67"/>
        <v>28.017241379310349</v>
      </c>
      <c r="K862" s="117">
        <f t="shared" si="68"/>
        <v>0</v>
      </c>
      <c r="L862" s="118">
        <f>VLOOKUP(B862,'All Menu'!B:G,6,0)</f>
        <v>2.8017241379310347</v>
      </c>
      <c r="M862" s="118">
        <f t="shared" si="69"/>
        <v>0</v>
      </c>
      <c r="N862" s="151">
        <f ca="1">VLOOKUP(B862,'All Menu'!B:H,7,0)</f>
        <v>10</v>
      </c>
    </row>
    <row r="863" spans="1:14" s="113" customFormat="1" ht="15.75" customHeight="1">
      <c r="A863" s="156" t="s">
        <v>2022</v>
      </c>
      <c r="B863" s="170" t="s">
        <v>1087</v>
      </c>
      <c r="C863" s="113" t="s">
        <v>1534</v>
      </c>
      <c r="D863" s="115" t="str">
        <f>VLOOKUP(B863,'All Menu'!B:D,3,0)</f>
        <v>سلطات صالة</v>
      </c>
      <c r="E863" s="116">
        <f t="shared" si="70"/>
        <v>4.0948275862068968</v>
      </c>
      <c r="F863" s="119">
        <v>15</v>
      </c>
      <c r="G863" s="119">
        <v>61.422413793103452</v>
      </c>
      <c r="H863" s="115">
        <f>VLOOKUP(B863,'All Menu'!B:J,9,0)</f>
        <v>0.9354491594417077</v>
      </c>
      <c r="I863" s="120">
        <f>VLOOKUP(B863,'All Menu'!B:M,12,0)</f>
        <v>0.77155346843107775</v>
      </c>
      <c r="J863" s="114">
        <f t="shared" si="67"/>
        <v>61.422413793103452</v>
      </c>
      <c r="K863" s="117">
        <f t="shared" si="68"/>
        <v>0</v>
      </c>
      <c r="L863" s="118">
        <f>VLOOKUP(B863,'All Menu'!B:G,6,0)</f>
        <v>4.0948275862068968</v>
      </c>
      <c r="M863" s="118">
        <f t="shared" si="69"/>
        <v>0</v>
      </c>
      <c r="N863" s="151">
        <f ca="1">VLOOKUP(B863,'All Menu'!B:H,7,0)</f>
        <v>15</v>
      </c>
    </row>
    <row r="864" spans="1:14" s="113" customFormat="1" ht="15.75" customHeight="1">
      <c r="A864" s="156" t="s">
        <v>2022</v>
      </c>
      <c r="B864" s="170" t="s">
        <v>1248</v>
      </c>
      <c r="C864" s="113" t="s">
        <v>1927</v>
      </c>
      <c r="D864" s="115" t="str">
        <f>VLOOKUP(B864,'All Menu'!B:D,3,0)</f>
        <v>سلطات صالة</v>
      </c>
      <c r="E864" s="116">
        <f t="shared" si="70"/>
        <v>3.6140283975659235</v>
      </c>
      <c r="F864" s="119">
        <v>17</v>
      </c>
      <c r="G864" s="119">
        <v>61.438482758620701</v>
      </c>
      <c r="H864" s="115">
        <f>VLOOKUP(B864,'All Menu'!B:J,9,0)</f>
        <v>0.72674533333333335</v>
      </c>
      <c r="I864" s="120">
        <f>VLOOKUP(B864,'All Menu'!B:M,12,0)</f>
        <v>0.80164127372549032</v>
      </c>
      <c r="J864" s="114">
        <f t="shared" si="67"/>
        <v>62.284482758620697</v>
      </c>
      <c r="K864" s="117">
        <f t="shared" si="68"/>
        <v>-0.84599999999999653</v>
      </c>
      <c r="L864" s="118">
        <f>VLOOKUP(B864,'All Menu'!B:G,6,0)</f>
        <v>3.6637931034482762</v>
      </c>
      <c r="M864" s="118">
        <f t="shared" si="69"/>
        <v>-4.9764705882352711E-2</v>
      </c>
      <c r="N864" s="151">
        <f ca="1">VLOOKUP(B864,'All Menu'!B:H,7,0)</f>
        <v>17</v>
      </c>
    </row>
    <row r="865" spans="1:14" s="113" customFormat="1" ht="15.75" customHeight="1">
      <c r="A865" s="156" t="s">
        <v>2022</v>
      </c>
      <c r="B865" s="170" t="s">
        <v>1314</v>
      </c>
      <c r="C865" s="113" t="s">
        <v>1902</v>
      </c>
      <c r="D865" s="115" t="str">
        <f>VLOOKUP(B865,'All Menu'!B:D,3,0)</f>
        <v>سلطات صالة</v>
      </c>
      <c r="E865" s="116">
        <f t="shared" si="70"/>
        <v>3.2327586206896557</v>
      </c>
      <c r="F865" s="119">
        <v>20</v>
      </c>
      <c r="G865" s="119">
        <v>64.65517241379311</v>
      </c>
      <c r="H865" s="115">
        <f>VLOOKUP(B865,'All Menu'!B:J,9,0)</f>
        <v>0.33024154103855807</v>
      </c>
      <c r="I865" s="120">
        <f>VLOOKUP(B865,'All Menu'!B:M,12,0)</f>
        <v>0.89784528330540603</v>
      </c>
      <c r="J865" s="114">
        <f t="shared" si="67"/>
        <v>64.65517241379311</v>
      </c>
      <c r="K865" s="117">
        <f t="shared" si="68"/>
        <v>0</v>
      </c>
      <c r="L865" s="118">
        <f>VLOOKUP(B865,'All Menu'!B:G,6,0)</f>
        <v>3.2327586206896552</v>
      </c>
      <c r="M865" s="118">
        <f t="shared" si="69"/>
        <v>0</v>
      </c>
      <c r="N865" s="151">
        <f ca="1">VLOOKUP(B865,'All Menu'!B:H,7,0)</f>
        <v>20</v>
      </c>
    </row>
    <row r="866" spans="1:14" s="113" customFormat="1" ht="15.75" customHeight="1">
      <c r="A866" s="156" t="s">
        <v>2022</v>
      </c>
      <c r="B866" s="170" t="s">
        <v>1883</v>
      </c>
      <c r="C866" s="113" t="s">
        <v>1884</v>
      </c>
      <c r="D866" s="115" t="str">
        <f>VLOOKUP(B866,'All Menu'!B:D,3,0)</f>
        <v>سلطات صالة</v>
      </c>
      <c r="E866" s="116">
        <f t="shared" si="70"/>
        <v>3.4051724137931036</v>
      </c>
      <c r="F866" s="119">
        <v>18</v>
      </c>
      <c r="G866" s="119">
        <v>61.293103448275865</v>
      </c>
      <c r="H866" s="115">
        <f>VLOOKUP(B866,'All Menu'!B:J,9,0)</f>
        <v>8.847975000000001E-2</v>
      </c>
      <c r="I866" s="120">
        <f>VLOOKUP(B866,'All Menu'!B:M,12,0)</f>
        <v>0.97401607341772156</v>
      </c>
      <c r="J866" s="114">
        <f t="shared" si="67"/>
        <v>61.293103448275865</v>
      </c>
      <c r="K866" s="117">
        <f t="shared" si="68"/>
        <v>0</v>
      </c>
      <c r="L866" s="118">
        <f>VLOOKUP(B866,'All Menu'!B:G,6,0)</f>
        <v>3.4051724137931036</v>
      </c>
      <c r="M866" s="118">
        <f t="shared" si="69"/>
        <v>0</v>
      </c>
      <c r="N866" s="151">
        <f ca="1">VLOOKUP(B866,'All Menu'!B:H,7,0)</f>
        <v>18</v>
      </c>
    </row>
    <row r="867" spans="1:14" s="113" customFormat="1" ht="15.75" customHeight="1">
      <c r="A867" s="156" t="s">
        <v>2022</v>
      </c>
      <c r="B867" s="170" t="s">
        <v>1885</v>
      </c>
      <c r="C867" s="113" t="s">
        <v>1886</v>
      </c>
      <c r="D867" s="115" t="str">
        <f>VLOOKUP(B867,'All Menu'!B:D,3,0)</f>
        <v>سلطات صالة</v>
      </c>
      <c r="E867" s="116">
        <f t="shared" si="70"/>
        <v>1.9396551724137931</v>
      </c>
      <c r="F867" s="119">
        <v>4</v>
      </c>
      <c r="G867" s="119">
        <v>7.7586206896551726</v>
      </c>
      <c r="H867" s="115">
        <f>VLOOKUP(B867,'All Menu'!B:J,9,0)</f>
        <v>0.18631746031746033</v>
      </c>
      <c r="I867" s="120">
        <f>VLOOKUP(B867,'All Menu'!B:M,12,0)</f>
        <v>0.90394299823633151</v>
      </c>
      <c r="J867" s="114">
        <f t="shared" si="67"/>
        <v>7.7586206896551726</v>
      </c>
      <c r="K867" s="117">
        <f t="shared" si="68"/>
        <v>0</v>
      </c>
      <c r="L867" s="118">
        <f>VLOOKUP(B867,'All Menu'!B:G,6,0)</f>
        <v>1.9396551724137931</v>
      </c>
      <c r="M867" s="118">
        <f t="shared" si="69"/>
        <v>0</v>
      </c>
      <c r="N867" s="151">
        <f ca="1">VLOOKUP(B867,'All Menu'!B:H,7,0)</f>
        <v>4</v>
      </c>
    </row>
    <row r="868" spans="1:14" s="113" customFormat="1" ht="15.75" customHeight="1">
      <c r="A868" s="156" t="s">
        <v>2022</v>
      </c>
      <c r="B868" s="170" t="s">
        <v>1888</v>
      </c>
      <c r="C868" s="113" t="s">
        <v>1887</v>
      </c>
      <c r="D868" s="115" t="str">
        <f>VLOOKUP(B868,'All Menu'!B:D,3,0)</f>
        <v>سلطات صالة</v>
      </c>
      <c r="E868" s="116">
        <f t="shared" si="70"/>
        <v>1.9396551724137931</v>
      </c>
      <c r="F868" s="119">
        <v>4</v>
      </c>
      <c r="G868" s="119">
        <v>7.7586206896551726</v>
      </c>
      <c r="H868" s="115">
        <f>VLOOKUP(B868,'All Menu'!B:J,9,0)</f>
        <v>0.18411110052910051</v>
      </c>
      <c r="I868" s="120">
        <f>VLOOKUP(B868,'All Menu'!B:M,12,0)</f>
        <v>0.9050804992827749</v>
      </c>
      <c r="J868" s="114">
        <f t="shared" si="67"/>
        <v>7.7586206896551726</v>
      </c>
      <c r="K868" s="117">
        <f t="shared" si="68"/>
        <v>0</v>
      </c>
      <c r="L868" s="118">
        <f>VLOOKUP(B868,'All Menu'!B:G,6,0)</f>
        <v>1.9396551724137931</v>
      </c>
      <c r="M868" s="118">
        <f t="shared" si="69"/>
        <v>0</v>
      </c>
      <c r="N868" s="151">
        <f ca="1">VLOOKUP(B868,'All Menu'!B:H,7,0)</f>
        <v>4</v>
      </c>
    </row>
    <row r="869" spans="1:14" s="113" customFormat="1" ht="15.75" customHeight="1">
      <c r="A869" s="156" t="s">
        <v>2022</v>
      </c>
      <c r="B869" s="170" t="s">
        <v>1232</v>
      </c>
      <c r="C869" s="113" t="s">
        <v>631</v>
      </c>
      <c r="D869" s="115" t="str">
        <f>VLOOKUP(B869,'All Menu'!B:D,3,0)</f>
        <v>شوربات سفري</v>
      </c>
      <c r="E869" s="116">
        <f t="shared" si="70"/>
        <v>1.2931034482758621</v>
      </c>
      <c r="F869" s="119">
        <v>2</v>
      </c>
      <c r="G869" s="119">
        <v>2.5862068965517242</v>
      </c>
      <c r="H869" s="115">
        <f>VLOOKUP(B869,'All Menu'!B:J,9,0)</f>
        <v>0.33484549999999996</v>
      </c>
      <c r="I869" s="120">
        <f>VLOOKUP(B869,'All Menu'!B:M,12,0)</f>
        <v>0.74105281333333339</v>
      </c>
      <c r="J869" s="114">
        <f t="shared" si="67"/>
        <v>2.5862068965517242</v>
      </c>
      <c r="K869" s="117">
        <f t="shared" si="68"/>
        <v>0</v>
      </c>
      <c r="L869" s="118">
        <f>VLOOKUP(B869,'All Menu'!B:G,6,0)</f>
        <v>1.2931034482758621</v>
      </c>
      <c r="M869" s="118">
        <f t="shared" si="69"/>
        <v>0</v>
      </c>
      <c r="N869" s="151">
        <f ca="1">VLOOKUP(B869,'All Menu'!B:H,7,0)</f>
        <v>2</v>
      </c>
    </row>
    <row r="870" spans="1:14" s="113" customFormat="1" ht="15.75" customHeight="1">
      <c r="A870" s="156" t="s">
        <v>2022</v>
      </c>
      <c r="B870" s="170" t="s">
        <v>1151</v>
      </c>
      <c r="C870" s="113" t="s">
        <v>1382</v>
      </c>
      <c r="D870" s="115" t="str">
        <f>VLOOKUP(B870,'All Menu'!B:D,3,0)</f>
        <v>شوربات صالة</v>
      </c>
      <c r="E870" s="116">
        <f t="shared" si="70"/>
        <v>2.3706896551724141</v>
      </c>
      <c r="F870" s="119">
        <v>15</v>
      </c>
      <c r="G870" s="119">
        <v>35.560344827586214</v>
      </c>
      <c r="H870" s="115">
        <f>VLOOKUP(B870,'All Menu'!B:J,9,0)</f>
        <v>0.53183653448275869</v>
      </c>
      <c r="I870" s="120">
        <f>VLOOKUP(B870,'All Menu'!B:M,12,0)</f>
        <v>0.77566168000000002</v>
      </c>
      <c r="J870" s="114">
        <f t="shared" si="67"/>
        <v>35.560344827586214</v>
      </c>
      <c r="K870" s="117">
        <f t="shared" si="68"/>
        <v>0</v>
      </c>
      <c r="L870" s="118">
        <f>VLOOKUP(B870,'All Menu'!B:G,6,0)</f>
        <v>2.3706896551724141</v>
      </c>
      <c r="M870" s="118">
        <f t="shared" si="69"/>
        <v>0</v>
      </c>
      <c r="N870" s="151">
        <f ca="1">VLOOKUP(B870,'All Menu'!B:H,7,0)</f>
        <v>15</v>
      </c>
    </row>
    <row r="871" spans="1:14" s="113" customFormat="1" ht="15.75" customHeight="1">
      <c r="A871" s="156" t="s">
        <v>2022</v>
      </c>
      <c r="B871" s="170" t="s">
        <v>1095</v>
      </c>
      <c r="C871" s="113" t="s">
        <v>633</v>
      </c>
      <c r="D871" s="115" t="str">
        <f>VLOOKUP(B871,'All Menu'!B:D,3,0)</f>
        <v>شوربات صالة</v>
      </c>
      <c r="E871" s="116">
        <f t="shared" si="70"/>
        <v>1.6810344827586208</v>
      </c>
      <c r="F871" s="119">
        <v>7</v>
      </c>
      <c r="G871" s="119">
        <v>11.767241379310345</v>
      </c>
      <c r="H871" s="115">
        <f>VLOOKUP(B871,'All Menu'!B:J,9,0)</f>
        <v>6.7103849425287368E-2</v>
      </c>
      <c r="I871" s="120">
        <f>VLOOKUP(B871,'All Menu'!B:M,12,0)</f>
        <v>0.96008181264957271</v>
      </c>
      <c r="J871" s="114">
        <f t="shared" si="67"/>
        <v>11.767241379310345</v>
      </c>
      <c r="K871" s="117">
        <f t="shared" si="68"/>
        <v>0</v>
      </c>
      <c r="L871" s="118">
        <f>VLOOKUP(B871,'All Menu'!B:G,6,0)</f>
        <v>1.6810344827586208</v>
      </c>
      <c r="M871" s="118">
        <f t="shared" si="69"/>
        <v>0</v>
      </c>
      <c r="N871" s="151">
        <f ca="1">VLOOKUP(B871,'All Menu'!B:H,7,0)</f>
        <v>7</v>
      </c>
    </row>
    <row r="872" spans="1:14" s="113" customFormat="1" ht="15.75" customHeight="1">
      <c r="A872" s="156" t="s">
        <v>2022</v>
      </c>
      <c r="B872" s="170" t="s">
        <v>1094</v>
      </c>
      <c r="C872" s="113" t="s">
        <v>631</v>
      </c>
      <c r="D872" s="115" t="str">
        <f>VLOOKUP(B872,'All Menu'!B:D,3,0)</f>
        <v>شوربات صالة</v>
      </c>
      <c r="E872" s="116">
        <f t="shared" si="70"/>
        <v>1.5086206896551726</v>
      </c>
      <c r="F872" s="119">
        <v>34</v>
      </c>
      <c r="G872" s="119">
        <v>51.293103448275872</v>
      </c>
      <c r="H872" s="115">
        <f>VLOOKUP(B872,'All Menu'!B:J,9,0)</f>
        <v>0.12943499999999999</v>
      </c>
      <c r="I872" s="120">
        <f>VLOOKUP(B872,'All Menu'!B:M,12,0)</f>
        <v>0.91420308571428577</v>
      </c>
      <c r="J872" s="114">
        <f t="shared" si="67"/>
        <v>51.293103448275872</v>
      </c>
      <c r="K872" s="117">
        <f t="shared" si="68"/>
        <v>0</v>
      </c>
      <c r="L872" s="118">
        <f>VLOOKUP(B872,'All Menu'!B:G,6,0)</f>
        <v>1.5086206896551726</v>
      </c>
      <c r="M872" s="118">
        <f t="shared" si="69"/>
        <v>0</v>
      </c>
      <c r="N872" s="151">
        <f ca="1">VLOOKUP(B872,'All Menu'!B:H,7,0)</f>
        <v>34</v>
      </c>
    </row>
    <row r="873" spans="1:14" s="113" customFormat="1" ht="15.75" customHeight="1">
      <c r="A873" s="156" t="s">
        <v>2022</v>
      </c>
      <c r="B873" s="170" t="s">
        <v>1321</v>
      </c>
      <c r="C873" s="113" t="s">
        <v>1538</v>
      </c>
      <c r="D873" s="115" t="str">
        <f>VLOOKUP(B873,'All Menu'!B:D,3,0)</f>
        <v>شوربات صالة</v>
      </c>
      <c r="E873" s="116">
        <f t="shared" si="70"/>
        <v>2.3706896551724141</v>
      </c>
      <c r="F873" s="119">
        <v>15</v>
      </c>
      <c r="G873" s="119">
        <v>35.560344827586214</v>
      </c>
      <c r="H873" s="115">
        <f>VLOOKUP(B873,'All Menu'!B:J,9,0)</f>
        <v>0.23196670804597699</v>
      </c>
      <c r="I873" s="120">
        <f>VLOOKUP(B873,'All Menu'!B:M,12,0)</f>
        <v>0.90215222496969705</v>
      </c>
      <c r="J873" s="114">
        <f t="shared" si="67"/>
        <v>35.560344827586214</v>
      </c>
      <c r="K873" s="117">
        <f t="shared" si="68"/>
        <v>0</v>
      </c>
      <c r="L873" s="118">
        <f>VLOOKUP(B873,'All Menu'!B:G,6,0)</f>
        <v>2.3706896551724141</v>
      </c>
      <c r="M873" s="118">
        <f t="shared" si="69"/>
        <v>0</v>
      </c>
      <c r="N873" s="151">
        <f ca="1">VLOOKUP(B873,'All Menu'!B:H,7,0)</f>
        <v>15</v>
      </c>
    </row>
    <row r="874" spans="1:14" s="113" customFormat="1" ht="15.75" customHeight="1">
      <c r="A874" s="156" t="s">
        <v>2022</v>
      </c>
      <c r="B874" s="170" t="s">
        <v>1216</v>
      </c>
      <c r="C874" s="113" t="s">
        <v>1539</v>
      </c>
      <c r="D874" s="115" t="str">
        <f>VLOOKUP(B874,'All Menu'!B:D,3,0)</f>
        <v>شوربات صالة</v>
      </c>
      <c r="E874" s="116">
        <f t="shared" si="70"/>
        <v>2.3706896551724141</v>
      </c>
      <c r="F874" s="119">
        <v>20</v>
      </c>
      <c r="G874" s="119">
        <v>47.413793103448285</v>
      </c>
      <c r="H874" s="115">
        <f>VLOOKUP(B874,'All Menu'!B:J,9,0)</f>
        <v>1.3250853793103448</v>
      </c>
      <c r="I874" s="120">
        <f>VLOOKUP(B874,'All Menu'!B:M,12,0)</f>
        <v>0.44105489454545466</v>
      </c>
      <c r="J874" s="114">
        <f t="shared" si="67"/>
        <v>47.413793103448285</v>
      </c>
      <c r="K874" s="117">
        <f t="shared" si="68"/>
        <v>0</v>
      </c>
      <c r="L874" s="118">
        <f>VLOOKUP(B874,'All Menu'!B:G,6,0)</f>
        <v>2.3706896551724141</v>
      </c>
      <c r="M874" s="118">
        <f t="shared" si="69"/>
        <v>0</v>
      </c>
      <c r="N874" s="151">
        <f ca="1">VLOOKUP(B874,'All Menu'!B:H,7,0)</f>
        <v>20</v>
      </c>
    </row>
    <row r="875" spans="1:14" s="113" customFormat="1" ht="15.75" customHeight="1">
      <c r="A875" s="156" t="s">
        <v>2022</v>
      </c>
      <c r="B875" s="170" t="s">
        <v>830</v>
      </c>
      <c r="C875" s="113" t="s">
        <v>1540</v>
      </c>
      <c r="D875" s="115" t="str">
        <f>VLOOKUP(B875,'All Menu'!B:D,3,0)</f>
        <v>صواني وصاجيات صالة</v>
      </c>
      <c r="E875" s="116">
        <f t="shared" si="70"/>
        <v>4.0948275862068968</v>
      </c>
      <c r="F875" s="119">
        <v>14</v>
      </c>
      <c r="G875" s="119">
        <v>57.327586206896555</v>
      </c>
      <c r="H875" s="115">
        <f>VLOOKUP(B875,'All Menu'!B:J,9,0)</f>
        <v>1.54124592776907</v>
      </c>
      <c r="I875" s="120">
        <f>VLOOKUP(B875,'All Menu'!B:M,12,0)</f>
        <v>0.62361152079744819</v>
      </c>
      <c r="J875" s="114">
        <f t="shared" si="67"/>
        <v>57.327586206896555</v>
      </c>
      <c r="K875" s="117">
        <f t="shared" si="68"/>
        <v>0</v>
      </c>
      <c r="L875" s="118">
        <f>VLOOKUP(B875,'All Menu'!B:G,6,0)</f>
        <v>4.0948275862068968</v>
      </c>
      <c r="M875" s="118">
        <f t="shared" si="69"/>
        <v>0</v>
      </c>
      <c r="N875" s="151">
        <f ca="1">VLOOKUP(B875,'All Menu'!B:H,7,0)</f>
        <v>14</v>
      </c>
    </row>
    <row r="876" spans="1:14" s="113" customFormat="1" ht="15.75" customHeight="1">
      <c r="A876" s="156" t="s">
        <v>2022</v>
      </c>
      <c r="B876" s="170" t="s">
        <v>836</v>
      </c>
      <c r="C876" s="113" t="s">
        <v>1542</v>
      </c>
      <c r="D876" s="115" t="str">
        <f>VLOOKUP(B876,'All Menu'!B:D,3,0)</f>
        <v>صواني وصاجيات صالة</v>
      </c>
      <c r="E876" s="116">
        <f t="shared" si="70"/>
        <v>4.0948275862068968</v>
      </c>
      <c r="F876" s="119">
        <v>28</v>
      </c>
      <c r="G876" s="119">
        <v>114.65517241379311</v>
      </c>
      <c r="H876" s="115">
        <f>VLOOKUP(B876,'All Menu'!B:J,9,0)</f>
        <v>2.0160055530904279</v>
      </c>
      <c r="I876" s="120">
        <f>VLOOKUP(B876,'All Menu'!B:M,12,0)</f>
        <v>0.50767022282423235</v>
      </c>
      <c r="J876" s="114">
        <f t="shared" si="67"/>
        <v>114.65517241379311</v>
      </c>
      <c r="K876" s="117">
        <f t="shared" si="68"/>
        <v>0</v>
      </c>
      <c r="L876" s="118">
        <f>VLOOKUP(B876,'All Menu'!B:G,6,0)</f>
        <v>4.0948275862068968</v>
      </c>
      <c r="M876" s="118">
        <f t="shared" si="69"/>
        <v>0</v>
      </c>
      <c r="N876" s="151">
        <f ca="1">VLOOKUP(B876,'All Menu'!B:H,7,0)</f>
        <v>28</v>
      </c>
    </row>
    <row r="877" spans="1:14" s="113" customFormat="1" ht="15.75" customHeight="1">
      <c r="A877" s="156" t="s">
        <v>2022</v>
      </c>
      <c r="B877" s="170" t="s">
        <v>1313</v>
      </c>
      <c r="C877" s="113" t="s">
        <v>1543</v>
      </c>
      <c r="D877" s="115" t="str">
        <f>VLOOKUP(B877,'All Menu'!B:D,3,0)</f>
        <v>صواني وصاجيات صالة</v>
      </c>
      <c r="E877" s="116">
        <f t="shared" si="70"/>
        <v>7.4568965517241388</v>
      </c>
      <c r="F877" s="119">
        <v>16</v>
      </c>
      <c r="G877" s="119">
        <v>119.31034482758622</v>
      </c>
      <c r="H877" s="115">
        <f>VLOOKUP(B877,'All Menu'!B:J,9,0)</f>
        <v>2.6919823333333328</v>
      </c>
      <c r="I877" s="120">
        <f>VLOOKUP(B877,'All Menu'!B:M,12,0)</f>
        <v>0.63899427668593456</v>
      </c>
      <c r="J877" s="114">
        <f t="shared" si="67"/>
        <v>119.31034482758622</v>
      </c>
      <c r="K877" s="117">
        <f t="shared" si="68"/>
        <v>0</v>
      </c>
      <c r="L877" s="118">
        <f>VLOOKUP(B877,'All Menu'!B:G,6,0)</f>
        <v>7.4568965517241388</v>
      </c>
      <c r="M877" s="118">
        <f t="shared" si="69"/>
        <v>0</v>
      </c>
      <c r="N877" s="151">
        <f ca="1">VLOOKUP(B877,'All Menu'!B:H,7,0)</f>
        <v>16</v>
      </c>
    </row>
    <row r="878" spans="1:14" s="113" customFormat="1" ht="15.75" customHeight="1">
      <c r="A878" s="156" t="s">
        <v>2022</v>
      </c>
      <c r="B878" s="170" t="s">
        <v>840</v>
      </c>
      <c r="C878" s="113" t="s">
        <v>1544</v>
      </c>
      <c r="D878" s="115" t="str">
        <f>VLOOKUP(B878,'All Menu'!B:D,3,0)</f>
        <v>صواني وصاجيات صالة</v>
      </c>
      <c r="E878" s="116">
        <f t="shared" si="70"/>
        <v>4.0948275862068968</v>
      </c>
      <c r="F878" s="119">
        <v>8</v>
      </c>
      <c r="G878" s="119">
        <v>32.758620689655174</v>
      </c>
      <c r="H878" s="115">
        <f>VLOOKUP(B878,'All Menu'!B:J,9,0)</f>
        <v>1.0846270777777778</v>
      </c>
      <c r="I878" s="120">
        <f>VLOOKUP(B878,'All Menu'!B:M,12,0)</f>
        <v>0.73512265047953218</v>
      </c>
      <c r="J878" s="114">
        <f t="shared" si="67"/>
        <v>32.758620689655174</v>
      </c>
      <c r="K878" s="117">
        <f t="shared" si="68"/>
        <v>0</v>
      </c>
      <c r="L878" s="118">
        <f>VLOOKUP(B878,'All Menu'!B:G,6,0)</f>
        <v>4.0948275862068968</v>
      </c>
      <c r="M878" s="118">
        <f t="shared" si="69"/>
        <v>0</v>
      </c>
      <c r="N878" s="151">
        <f ca="1">VLOOKUP(B878,'All Menu'!B:H,7,0)</f>
        <v>8</v>
      </c>
    </row>
    <row r="879" spans="1:14" s="113" customFormat="1" ht="15.75" customHeight="1">
      <c r="A879" s="156" t="s">
        <v>2022</v>
      </c>
      <c r="B879" s="170" t="s">
        <v>829</v>
      </c>
      <c r="C879" s="113" t="s">
        <v>1545</v>
      </c>
      <c r="D879" s="115" t="str">
        <f>VLOOKUP(B879,'All Menu'!B:D,3,0)</f>
        <v>صواني وصاجيات صالة</v>
      </c>
      <c r="E879" s="116">
        <f t="shared" si="70"/>
        <v>4.0948275862068968</v>
      </c>
      <c r="F879" s="119">
        <v>5</v>
      </c>
      <c r="G879" s="119">
        <v>20.474137931034484</v>
      </c>
      <c r="H879" s="115">
        <f>VLOOKUP(B879,'All Menu'!B:J,9,0)</f>
        <v>1.9949415476190473</v>
      </c>
      <c r="I879" s="120">
        <f>VLOOKUP(B879,'All Menu'!B:M,12,0)</f>
        <v>0.51281427468671692</v>
      </c>
      <c r="J879" s="114">
        <f t="shared" si="67"/>
        <v>20.474137931034484</v>
      </c>
      <c r="K879" s="117">
        <f t="shared" si="68"/>
        <v>0</v>
      </c>
      <c r="L879" s="118">
        <f>VLOOKUP(B879,'All Menu'!B:G,6,0)</f>
        <v>4.0948275862068968</v>
      </c>
      <c r="M879" s="118">
        <f t="shared" si="69"/>
        <v>0</v>
      </c>
      <c r="N879" s="151">
        <f ca="1">VLOOKUP(B879,'All Menu'!B:H,7,0)</f>
        <v>5</v>
      </c>
    </row>
    <row r="880" spans="1:14" s="113" customFormat="1" ht="15.75" customHeight="1">
      <c r="A880" s="156" t="s">
        <v>2022</v>
      </c>
      <c r="B880" s="170" t="s">
        <v>838</v>
      </c>
      <c r="C880" s="113" t="s">
        <v>1546</v>
      </c>
      <c r="D880" s="115" t="str">
        <f>VLOOKUP(B880,'All Menu'!B:D,3,0)</f>
        <v>صواني وصاجيات صالة</v>
      </c>
      <c r="E880" s="116">
        <f t="shared" si="70"/>
        <v>2.8017241379310343</v>
      </c>
      <c r="F880" s="119">
        <v>3</v>
      </c>
      <c r="G880" s="119">
        <v>8.4051724137931032</v>
      </c>
      <c r="H880" s="115">
        <f>VLOOKUP(B880,'All Menu'!B:J,9,0)</f>
        <v>0.93807133333333326</v>
      </c>
      <c r="I880" s="120">
        <f>VLOOKUP(B880,'All Menu'!B:M,12,0)</f>
        <v>0.66518069333333341</v>
      </c>
      <c r="J880" s="114">
        <f t="shared" si="67"/>
        <v>8.4051724137931032</v>
      </c>
      <c r="K880" s="117">
        <f t="shared" si="68"/>
        <v>0</v>
      </c>
      <c r="L880" s="118">
        <f>VLOOKUP(B880,'All Menu'!B:G,6,0)</f>
        <v>2.8017241379310347</v>
      </c>
      <c r="M880" s="118">
        <f t="shared" si="69"/>
        <v>0</v>
      </c>
      <c r="N880" s="151">
        <f ca="1">VLOOKUP(B880,'All Menu'!B:H,7,0)</f>
        <v>3</v>
      </c>
    </row>
    <row r="881" spans="1:14" s="113" customFormat="1" ht="15.75" customHeight="1">
      <c r="A881" s="156" t="s">
        <v>2022</v>
      </c>
      <c r="B881" s="170" t="s">
        <v>1062</v>
      </c>
      <c r="C881" s="113" t="s">
        <v>1547</v>
      </c>
      <c r="D881" s="115" t="str">
        <f>VLOOKUP(B881,'All Menu'!B:D,3,0)</f>
        <v>صواني وصاجيات صالة</v>
      </c>
      <c r="E881" s="116">
        <f t="shared" si="70"/>
        <v>4.9568965517241379</v>
      </c>
      <c r="F881" s="119">
        <v>15</v>
      </c>
      <c r="G881" s="119">
        <v>74.353448275862064</v>
      </c>
      <c r="H881" s="115">
        <f>VLOOKUP(B881,'All Menu'!B:J,9,0)</f>
        <v>1.9318031998084291</v>
      </c>
      <c r="I881" s="120">
        <f>VLOOKUP(B881,'All Menu'!B:M,12,0)</f>
        <v>0.610279702299517</v>
      </c>
      <c r="J881" s="114">
        <f t="shared" si="67"/>
        <v>74.353448275862064</v>
      </c>
      <c r="K881" s="117">
        <f t="shared" si="68"/>
        <v>0</v>
      </c>
      <c r="L881" s="118">
        <f>VLOOKUP(B881,'All Menu'!B:G,6,0)</f>
        <v>4.9568965517241379</v>
      </c>
      <c r="M881" s="118">
        <f t="shared" si="69"/>
        <v>0</v>
      </c>
      <c r="N881" s="151">
        <f ca="1">VLOOKUP(B881,'All Menu'!B:H,7,0)</f>
        <v>15</v>
      </c>
    </row>
    <row r="882" spans="1:14" s="113" customFormat="1" ht="15.75" customHeight="1">
      <c r="A882" s="156" t="s">
        <v>2022</v>
      </c>
      <c r="B882" s="170" t="s">
        <v>841</v>
      </c>
      <c r="C882" s="113" t="s">
        <v>1548</v>
      </c>
      <c r="D882" s="115" t="str">
        <f>VLOOKUP(B882,'All Menu'!B:D,3,0)</f>
        <v>صواني وصاجيات صالة</v>
      </c>
      <c r="E882" s="116">
        <f t="shared" si="70"/>
        <v>4.0948275862068968</v>
      </c>
      <c r="F882" s="119">
        <v>3</v>
      </c>
      <c r="G882" s="119">
        <v>12.28448275862069</v>
      </c>
      <c r="H882" s="115">
        <f>VLOOKUP(B882,'All Menu'!B:J,9,0)</f>
        <v>1.1253883528735633</v>
      </c>
      <c r="I882" s="120">
        <f>VLOOKUP(B882,'All Menu'!B:M,12,0)</f>
        <v>0.72516831803508774</v>
      </c>
      <c r="J882" s="114">
        <f t="shared" si="67"/>
        <v>12.28448275862069</v>
      </c>
      <c r="K882" s="117">
        <f t="shared" si="68"/>
        <v>0</v>
      </c>
      <c r="L882" s="118">
        <f>VLOOKUP(B882,'All Menu'!B:G,6,0)</f>
        <v>4.0948275862068968</v>
      </c>
      <c r="M882" s="118">
        <f t="shared" si="69"/>
        <v>0</v>
      </c>
      <c r="N882" s="151">
        <f ca="1">VLOOKUP(B882,'All Menu'!B:H,7,0)</f>
        <v>3</v>
      </c>
    </row>
    <row r="883" spans="1:14" s="113" customFormat="1" ht="15.75" customHeight="1">
      <c r="A883" s="156" t="s">
        <v>2022</v>
      </c>
      <c r="B883" s="170" t="s">
        <v>837</v>
      </c>
      <c r="C883" s="113" t="s">
        <v>1549</v>
      </c>
      <c r="D883" s="115" t="str">
        <f>VLOOKUP(B883,'All Menu'!B:D,3,0)</f>
        <v>صواني وصاجيات صالة</v>
      </c>
      <c r="E883" s="116">
        <f t="shared" si="70"/>
        <v>4.0948275862068968</v>
      </c>
      <c r="F883" s="119">
        <v>6</v>
      </c>
      <c r="G883" s="119">
        <v>24.568965517241381</v>
      </c>
      <c r="H883" s="115">
        <f>VLOOKUP(B883,'All Menu'!B:J,9,0)</f>
        <v>3.4925383333333331</v>
      </c>
      <c r="I883" s="120">
        <f>VLOOKUP(B883,'All Menu'!B:M,12,0)</f>
        <v>0.14708537543859659</v>
      </c>
      <c r="J883" s="114">
        <f t="shared" si="67"/>
        <v>24.568965517241381</v>
      </c>
      <c r="K883" s="117">
        <f t="shared" si="68"/>
        <v>0</v>
      </c>
      <c r="L883" s="118">
        <f>VLOOKUP(B883,'All Menu'!B:G,6,0)</f>
        <v>4.0948275862068968</v>
      </c>
      <c r="M883" s="118">
        <f t="shared" si="69"/>
        <v>0</v>
      </c>
      <c r="N883" s="151">
        <f ca="1">VLOOKUP(B883,'All Menu'!B:H,7,0)</f>
        <v>6</v>
      </c>
    </row>
    <row r="884" spans="1:14" s="113" customFormat="1" ht="15.75" customHeight="1">
      <c r="A884" s="156" t="s">
        <v>2022</v>
      </c>
      <c r="B884" s="170" t="s">
        <v>834</v>
      </c>
      <c r="C884" s="113" t="s">
        <v>1550</v>
      </c>
      <c r="D884" s="115" t="str">
        <f>VLOOKUP(B884,'All Menu'!B:D,3,0)</f>
        <v>صواني وصاجيات صالة</v>
      </c>
      <c r="E884" s="116">
        <f t="shared" si="70"/>
        <v>3.0172413793103452</v>
      </c>
      <c r="F884" s="119">
        <v>5</v>
      </c>
      <c r="G884" s="119">
        <v>15.086206896551726</v>
      </c>
      <c r="H884" s="115">
        <f>VLOOKUP(B884,'All Menu'!B:J,9,0)</f>
        <v>0.48392810714285717</v>
      </c>
      <c r="I884" s="120">
        <f>VLOOKUP(B884,'All Menu'!B:M,12,0)</f>
        <v>0.8396123987755103</v>
      </c>
      <c r="J884" s="114">
        <f t="shared" si="67"/>
        <v>15.086206896551726</v>
      </c>
      <c r="K884" s="117">
        <f t="shared" si="68"/>
        <v>0</v>
      </c>
      <c r="L884" s="118">
        <f>VLOOKUP(B884,'All Menu'!B:G,6,0)</f>
        <v>3.0172413793103452</v>
      </c>
      <c r="M884" s="118">
        <f t="shared" si="69"/>
        <v>0</v>
      </c>
      <c r="N884" s="151">
        <f ca="1">VLOOKUP(B884,'All Menu'!B:H,7,0)</f>
        <v>5</v>
      </c>
    </row>
    <row r="885" spans="1:14" s="113" customFormat="1" ht="15.75" customHeight="1">
      <c r="A885" s="156" t="s">
        <v>2022</v>
      </c>
      <c r="B885" s="170" t="s">
        <v>839</v>
      </c>
      <c r="C885" s="113" t="s">
        <v>1551</v>
      </c>
      <c r="D885" s="115" t="str">
        <f>VLOOKUP(B885,'All Menu'!B:D,3,0)</f>
        <v>صواني وصاجيات صالة</v>
      </c>
      <c r="E885" s="116">
        <f t="shared" si="70"/>
        <v>4.9048965517241374</v>
      </c>
      <c r="F885" s="119">
        <v>22</v>
      </c>
      <c r="G885" s="119">
        <v>107.90772413793103</v>
      </c>
      <c r="H885" s="115">
        <f>VLOOKUP(B885,'All Menu'!B:J,9,0)</f>
        <v>2.0830749024904209</v>
      </c>
      <c r="I885" s="120">
        <f>VLOOKUP(B885,'All Menu'!B:M,12,0)</f>
        <v>0.57976228054106294</v>
      </c>
      <c r="J885" s="114">
        <f t="shared" si="67"/>
        <v>109.05172413793103</v>
      </c>
      <c r="K885" s="117">
        <f t="shared" si="68"/>
        <v>-1.1440000000000055</v>
      </c>
      <c r="L885" s="118">
        <f>VLOOKUP(B885,'All Menu'!B:G,6,0)</f>
        <v>4.9568965517241379</v>
      </c>
      <c r="M885" s="118">
        <f t="shared" si="69"/>
        <v>-5.200000000000049E-2</v>
      </c>
      <c r="N885" s="151">
        <f ca="1">VLOOKUP(B885,'All Menu'!B:H,7,0)</f>
        <v>22</v>
      </c>
    </row>
    <row r="886" spans="1:14" s="113" customFormat="1" ht="15.75" customHeight="1">
      <c r="A886" s="156" t="s">
        <v>2022</v>
      </c>
      <c r="B886" s="170" t="s">
        <v>824</v>
      </c>
      <c r="C886" s="113" t="s">
        <v>1552</v>
      </c>
      <c r="D886" s="115" t="str">
        <f>VLOOKUP(B886,'All Menu'!B:D,3,0)</f>
        <v>صواني وصاجيات صالة</v>
      </c>
      <c r="E886" s="116">
        <f t="shared" si="70"/>
        <v>4.7662298850574709</v>
      </c>
      <c r="F886" s="119">
        <v>6</v>
      </c>
      <c r="G886" s="119">
        <v>28.597379310344827</v>
      </c>
      <c r="H886" s="115">
        <f>VLOOKUP(B886,'All Menu'!B:J,9,0)</f>
        <v>2.8441841528735639</v>
      </c>
      <c r="I886" s="120">
        <f>VLOOKUP(B886,'All Menu'!B:M,12,0)</f>
        <v>0.42621676220289839</v>
      </c>
      <c r="J886" s="114">
        <f t="shared" si="67"/>
        <v>29.741379310344826</v>
      </c>
      <c r="K886" s="117">
        <f t="shared" si="68"/>
        <v>-1.1439999999999984</v>
      </c>
      <c r="L886" s="118">
        <f>VLOOKUP(B886,'All Menu'!B:G,6,0)</f>
        <v>4.9568965517241379</v>
      </c>
      <c r="M886" s="118">
        <f t="shared" si="69"/>
        <v>-0.19066666666666698</v>
      </c>
      <c r="N886" s="151">
        <f ca="1">VLOOKUP(B886,'All Menu'!B:H,7,0)</f>
        <v>6</v>
      </c>
    </row>
    <row r="887" spans="1:14" s="113" customFormat="1" ht="15.75" customHeight="1">
      <c r="A887" s="156" t="s">
        <v>2022</v>
      </c>
      <c r="B887" s="170" t="s">
        <v>831</v>
      </c>
      <c r="C887" s="113" t="s">
        <v>1553</v>
      </c>
      <c r="D887" s="115" t="str">
        <f>VLOOKUP(B887,'All Menu'!B:D,3,0)</f>
        <v>صواني وصاجيات صالة</v>
      </c>
      <c r="E887" s="116">
        <f t="shared" si="70"/>
        <v>4.7413793103448283</v>
      </c>
      <c r="F887" s="119">
        <v>15</v>
      </c>
      <c r="G887" s="119">
        <v>71.120689655172427</v>
      </c>
      <c r="H887" s="115">
        <f>VLOOKUP(B887,'All Menu'!B:J,9,0)</f>
        <v>4.4457026935298476</v>
      </c>
      <c r="I887" s="120">
        <f>VLOOKUP(B887,'All Menu'!B:M,12,0)</f>
        <v>6.2360886455523193E-2</v>
      </c>
      <c r="J887" s="114">
        <f t="shared" si="67"/>
        <v>71.120689655172427</v>
      </c>
      <c r="K887" s="117">
        <f t="shared" si="68"/>
        <v>0</v>
      </c>
      <c r="L887" s="118">
        <f>VLOOKUP(B887,'All Menu'!B:G,6,0)</f>
        <v>4.7413793103448283</v>
      </c>
      <c r="M887" s="118">
        <f t="shared" si="69"/>
        <v>0</v>
      </c>
      <c r="N887" s="151">
        <f ca="1">VLOOKUP(B887,'All Menu'!B:H,7,0)</f>
        <v>15</v>
      </c>
    </row>
    <row r="888" spans="1:14" s="113" customFormat="1" ht="15.75" customHeight="1">
      <c r="A888" s="156" t="s">
        <v>2022</v>
      </c>
      <c r="B888" s="170" t="s">
        <v>832</v>
      </c>
      <c r="C888" s="113" t="s">
        <v>1554</v>
      </c>
      <c r="D888" s="115" t="str">
        <f>VLOOKUP(B888,'All Menu'!B:D,3,0)</f>
        <v>صواني وصاجيات صالة</v>
      </c>
      <c r="E888" s="116">
        <f t="shared" si="70"/>
        <v>3.2327586206896552</v>
      </c>
      <c r="F888" s="119">
        <v>1</v>
      </c>
      <c r="G888" s="119">
        <v>3.2327586206896552</v>
      </c>
      <c r="H888" s="115">
        <f>VLOOKUP(B888,'All Menu'!B:J,9,0)</f>
        <v>1.2147992528735629</v>
      </c>
      <c r="I888" s="120">
        <f>VLOOKUP(B888,'All Menu'!B:M,12,0)</f>
        <v>0.62422209777777793</v>
      </c>
      <c r="J888" s="114">
        <f t="shared" si="67"/>
        <v>3.2327586206896552</v>
      </c>
      <c r="K888" s="117">
        <f t="shared" si="68"/>
        <v>0</v>
      </c>
      <c r="L888" s="118">
        <f>VLOOKUP(B888,'All Menu'!B:G,6,0)</f>
        <v>3.2327586206896552</v>
      </c>
      <c r="M888" s="118">
        <f t="shared" si="69"/>
        <v>0</v>
      </c>
      <c r="N888" s="151">
        <f ca="1">VLOOKUP(B888,'All Menu'!B:H,7,0)</f>
        <v>1</v>
      </c>
    </row>
    <row r="889" spans="1:14" s="113" customFormat="1" ht="15.75" customHeight="1">
      <c r="A889" s="156" t="s">
        <v>2022</v>
      </c>
      <c r="B889" s="170" t="s">
        <v>827</v>
      </c>
      <c r="C889" s="113" t="s">
        <v>1866</v>
      </c>
      <c r="D889" s="115" t="str">
        <f>VLOOKUP(B889,'All Menu'!B:D,3,0)</f>
        <v>صواني وصاجيات صالة</v>
      </c>
      <c r="E889" s="116">
        <f t="shared" si="70"/>
        <v>3.2327586206896552</v>
      </c>
      <c r="F889" s="119">
        <v>1</v>
      </c>
      <c r="G889" s="119">
        <v>3.2327586206896552</v>
      </c>
      <c r="H889" s="115">
        <f>VLOOKUP(B889,'All Menu'!B:J,9,0)</f>
        <v>0.69967000000000001</v>
      </c>
      <c r="I889" s="120">
        <f>VLOOKUP(B889,'All Menu'!B:M,12,0)</f>
        <v>0.78356874666666676</v>
      </c>
      <c r="J889" s="114">
        <f t="shared" si="67"/>
        <v>3.2327586206896552</v>
      </c>
      <c r="K889" s="117">
        <f t="shared" si="68"/>
        <v>0</v>
      </c>
      <c r="L889" s="118">
        <f>VLOOKUP(B889,'All Menu'!B:G,6,0)</f>
        <v>3.2327586206896552</v>
      </c>
      <c r="M889" s="118">
        <f t="shared" si="69"/>
        <v>0</v>
      </c>
      <c r="N889" s="151">
        <f ca="1">VLOOKUP(B889,'All Menu'!B:H,7,0)</f>
        <v>1</v>
      </c>
    </row>
    <row r="890" spans="1:14" s="113" customFormat="1" ht="15.75" customHeight="1">
      <c r="A890" s="156" t="s">
        <v>2022</v>
      </c>
      <c r="B890" s="170" t="s">
        <v>1246</v>
      </c>
      <c r="C890" s="113" t="s">
        <v>1555</v>
      </c>
      <c r="D890" s="115" t="str">
        <f>VLOOKUP(B890,'All Menu'!B:D,3,0)</f>
        <v>صواني وصاجيات صالة</v>
      </c>
      <c r="E890" s="116">
        <f t="shared" si="70"/>
        <v>7.9741379310344831</v>
      </c>
      <c r="F890" s="119">
        <v>6</v>
      </c>
      <c r="G890" s="119">
        <v>47.844827586206897</v>
      </c>
      <c r="H890" s="115">
        <f>VLOOKUP(B890,'All Menu'!B:J,9,0)</f>
        <v>5.9854053357715076</v>
      </c>
      <c r="I890" s="120">
        <f>VLOOKUP(B890,'All Menu'!B:M,12,0)</f>
        <v>0.24939781735189745</v>
      </c>
      <c r="J890" s="114">
        <f t="shared" si="67"/>
        <v>47.844827586206897</v>
      </c>
      <c r="K890" s="117">
        <f t="shared" si="68"/>
        <v>0</v>
      </c>
      <c r="L890" s="118">
        <f>VLOOKUP(B890,'All Menu'!B:G,6,0)</f>
        <v>7.9741379310344831</v>
      </c>
      <c r="M890" s="118">
        <f t="shared" si="69"/>
        <v>0</v>
      </c>
      <c r="N890" s="151">
        <f ca="1">VLOOKUP(B890,'All Menu'!B:H,7,0)</f>
        <v>6</v>
      </c>
    </row>
    <row r="891" spans="1:14" s="113" customFormat="1" ht="15.75" customHeight="1">
      <c r="A891" s="156" t="s">
        <v>2022</v>
      </c>
      <c r="B891" s="170" t="s">
        <v>924</v>
      </c>
      <c r="C891" s="113" t="s">
        <v>1819</v>
      </c>
      <c r="D891" s="115" t="str">
        <f>VLOOKUP(B891,'All Menu'!B:D,3,0)</f>
        <v>صواني وصجيات سفري</v>
      </c>
      <c r="E891" s="116">
        <f t="shared" si="70"/>
        <v>3.2327586206896552</v>
      </c>
      <c r="F891" s="119">
        <v>1</v>
      </c>
      <c r="G891" s="119">
        <v>3.2327586206896552</v>
      </c>
      <c r="H891" s="115">
        <f>VLOOKUP(B891,'All Menu'!B:J,9,0)</f>
        <v>1.0210398275862069</v>
      </c>
      <c r="I891" s="120">
        <f>VLOOKUP(B891,'All Menu'!B:M,12,0)</f>
        <v>0.68415834666666664</v>
      </c>
      <c r="J891" s="114">
        <f t="shared" si="67"/>
        <v>3.2327586206896552</v>
      </c>
      <c r="K891" s="117">
        <f t="shared" si="68"/>
        <v>0</v>
      </c>
      <c r="L891" s="118">
        <f>VLOOKUP(B891,'All Menu'!B:G,6,0)</f>
        <v>3.2327586206896552</v>
      </c>
      <c r="M891" s="118">
        <f t="shared" si="69"/>
        <v>0</v>
      </c>
      <c r="N891" s="151">
        <f ca="1">VLOOKUP(B891,'All Menu'!B:H,7,0)</f>
        <v>3</v>
      </c>
    </row>
    <row r="892" spans="1:14" s="113" customFormat="1" ht="15.75" customHeight="1">
      <c r="A892" s="156" t="s">
        <v>2022</v>
      </c>
      <c r="B892" s="170" t="s">
        <v>903</v>
      </c>
      <c r="C892" s="113" t="s">
        <v>1556</v>
      </c>
      <c r="D892" s="115" t="str">
        <f>VLOOKUP(B892,'All Menu'!B:D,3,0)</f>
        <v>صواني وصجيات سفري</v>
      </c>
      <c r="E892" s="116">
        <f t="shared" si="70"/>
        <v>3.6637931034482762</v>
      </c>
      <c r="F892" s="119">
        <v>3</v>
      </c>
      <c r="G892" s="119">
        <v>10.991379310344829</v>
      </c>
      <c r="H892" s="115">
        <f>VLOOKUP(B892,'All Menu'!B:J,9,0)</f>
        <v>1.9895221732843555</v>
      </c>
      <c r="I892" s="120">
        <f>VLOOKUP(B892,'All Menu'!B:M,12,0)</f>
        <v>0.45697747740944655</v>
      </c>
      <c r="J892" s="114">
        <f t="shared" si="67"/>
        <v>10.991379310344829</v>
      </c>
      <c r="K892" s="117">
        <f t="shared" si="68"/>
        <v>0</v>
      </c>
      <c r="L892" s="118">
        <f>VLOOKUP(B892,'All Menu'!B:G,6,0)</f>
        <v>3.6637931034482762</v>
      </c>
      <c r="M892" s="118">
        <f t="shared" si="69"/>
        <v>0</v>
      </c>
      <c r="N892" s="151">
        <f ca="1">VLOOKUP(B892,'All Menu'!B:H,7,0)</f>
        <v>34</v>
      </c>
    </row>
    <row r="893" spans="1:14" s="113" customFormat="1" ht="15.75" customHeight="1">
      <c r="A893" s="156" t="s">
        <v>2022</v>
      </c>
      <c r="B893" s="170" t="s">
        <v>907</v>
      </c>
      <c r="C893" s="113" t="s">
        <v>1688</v>
      </c>
      <c r="D893" s="115" t="str">
        <f>VLOOKUP(B893,'All Menu'!B:D,3,0)</f>
        <v>صواني وصجيات سفري</v>
      </c>
      <c r="E893" s="116">
        <f t="shared" si="70"/>
        <v>6.4655172413793105</v>
      </c>
      <c r="F893" s="119">
        <v>6</v>
      </c>
      <c r="G893" s="119">
        <v>38.793103448275865</v>
      </c>
      <c r="H893" s="115">
        <f>VLOOKUP(B893,'All Menu'!B:J,9,0)</f>
        <v>4.4380170831923502</v>
      </c>
      <c r="I893" s="120">
        <f>VLOOKUP(B893,'All Menu'!B:M,12,0)</f>
        <v>0.31358669113291654</v>
      </c>
      <c r="J893" s="114">
        <f t="shared" si="67"/>
        <v>38.793103448275865</v>
      </c>
      <c r="K893" s="117">
        <f t="shared" si="68"/>
        <v>0</v>
      </c>
      <c r="L893" s="118">
        <f>VLOOKUP(B893,'All Menu'!B:G,6,0)</f>
        <v>6.4655172413793105</v>
      </c>
      <c r="M893" s="118">
        <f t="shared" si="69"/>
        <v>0</v>
      </c>
      <c r="N893" s="151">
        <f ca="1">VLOOKUP(B893,'All Menu'!B:H,7,0)</f>
        <v>24</v>
      </c>
    </row>
    <row r="894" spans="1:14" s="113" customFormat="1" ht="15.75" customHeight="1">
      <c r="A894" s="156" t="s">
        <v>2022</v>
      </c>
      <c r="B894" s="170" t="s">
        <v>901</v>
      </c>
      <c r="C894" s="113" t="s">
        <v>1690</v>
      </c>
      <c r="D894" s="115" t="str">
        <f>VLOOKUP(B894,'All Menu'!B:D,3,0)</f>
        <v>صواني وصجيات سفري</v>
      </c>
      <c r="E894" s="116">
        <f t="shared" si="70"/>
        <v>6.5948275862068986</v>
      </c>
      <c r="F894" s="119">
        <v>2.5</v>
      </c>
      <c r="G894" s="119">
        <v>16.487068965517246</v>
      </c>
      <c r="H894" s="115">
        <f>VLOOKUP(B894,'All Menu'!B:J,9,0)</f>
        <v>2.9481771609195397</v>
      </c>
      <c r="I894" s="120">
        <f>VLOOKUP(B894,'All Menu'!B:M,12,0)</f>
        <v>0.5529561429193901</v>
      </c>
      <c r="J894" s="114">
        <f t="shared" si="67"/>
        <v>16.487068965517246</v>
      </c>
      <c r="K894" s="117">
        <f t="shared" si="68"/>
        <v>0</v>
      </c>
      <c r="L894" s="118">
        <f>VLOOKUP(B894,'All Menu'!B:G,6,0)</f>
        <v>6.5948275862068977</v>
      </c>
      <c r="M894" s="118">
        <f t="shared" si="69"/>
        <v>0</v>
      </c>
      <c r="N894" s="151">
        <f ca="1">VLOOKUP(B894,'All Menu'!B:H,7,0)</f>
        <v>5.5</v>
      </c>
    </row>
    <row r="895" spans="1:14" s="113" customFormat="1" ht="15.75" customHeight="1">
      <c r="A895" s="156" t="s">
        <v>2022</v>
      </c>
      <c r="B895" s="170" t="s">
        <v>908</v>
      </c>
      <c r="C895" s="113" t="s">
        <v>1776</v>
      </c>
      <c r="D895" s="115" t="str">
        <f>VLOOKUP(B895,'All Menu'!B:D,3,0)</f>
        <v>صواني وصجيات سفري</v>
      </c>
      <c r="E895" s="116">
        <f t="shared" si="70"/>
        <v>11.939655172413794</v>
      </c>
      <c r="F895" s="119">
        <v>2</v>
      </c>
      <c r="G895" s="119">
        <v>23.879310344827587</v>
      </c>
      <c r="H895" s="115">
        <f>VLOOKUP(B895,'All Menu'!B:J,9,0)</f>
        <v>5.543466643678161</v>
      </c>
      <c r="I895" s="120">
        <f>VLOOKUP(B895,'All Menu'!B:M,12,0)</f>
        <v>0.53570965294825512</v>
      </c>
      <c r="J895" s="114">
        <f t="shared" si="67"/>
        <v>23.879310344827587</v>
      </c>
      <c r="K895" s="117">
        <f t="shared" si="68"/>
        <v>0</v>
      </c>
      <c r="L895" s="118">
        <f>VLOOKUP(B895,'All Menu'!B:G,6,0)</f>
        <v>11.939655172413794</v>
      </c>
      <c r="M895" s="118">
        <f t="shared" si="69"/>
        <v>0</v>
      </c>
      <c r="N895" s="151">
        <f ca="1">VLOOKUP(B895,'All Menu'!B:H,7,0)</f>
        <v>9</v>
      </c>
    </row>
    <row r="896" spans="1:14" s="113" customFormat="1" ht="15.75" customHeight="1">
      <c r="A896" s="156" t="s">
        <v>2022</v>
      </c>
      <c r="B896" s="170" t="s">
        <v>1073</v>
      </c>
      <c r="C896" s="113" t="s">
        <v>1559</v>
      </c>
      <c r="D896" s="115" t="str">
        <f>VLOOKUP(B896,'All Menu'!B:D,3,0)</f>
        <v>صواني وصجيات سفري</v>
      </c>
      <c r="E896" s="116">
        <f t="shared" si="70"/>
        <v>3.6637931034482762</v>
      </c>
      <c r="F896" s="119">
        <v>7</v>
      </c>
      <c r="G896" s="119">
        <v>25.646551724137932</v>
      </c>
      <c r="H896" s="115">
        <f>VLOOKUP(B896,'All Menu'!B:J,9,0)</f>
        <v>2.1980220273946363</v>
      </c>
      <c r="I896" s="120">
        <f>VLOOKUP(B896,'All Menu'!B:M,12,0)</f>
        <v>0.40006928193464053</v>
      </c>
      <c r="J896" s="114">
        <f t="shared" si="67"/>
        <v>25.646551724137932</v>
      </c>
      <c r="K896" s="117">
        <f t="shared" si="68"/>
        <v>0</v>
      </c>
      <c r="L896" s="118">
        <f>VLOOKUP(B896,'All Menu'!B:G,6,0)</f>
        <v>3.6637931034482762</v>
      </c>
      <c r="M896" s="118">
        <f t="shared" si="69"/>
        <v>0</v>
      </c>
      <c r="N896" s="151">
        <f ca="1">VLOOKUP(B896,'All Menu'!B:H,7,0)</f>
        <v>16</v>
      </c>
    </row>
    <row r="897" spans="1:14" s="113" customFormat="1" ht="15.75" customHeight="1">
      <c r="A897" s="156" t="s">
        <v>2022</v>
      </c>
      <c r="B897" s="170" t="s">
        <v>1106</v>
      </c>
      <c r="C897" s="113" t="s">
        <v>1695</v>
      </c>
      <c r="D897" s="115" t="str">
        <f>VLOOKUP(B897,'All Menu'!B:D,3,0)</f>
        <v>صواني وصجيات سفري</v>
      </c>
      <c r="E897" s="116">
        <f t="shared" si="70"/>
        <v>12.068965517241381</v>
      </c>
      <c r="F897" s="119">
        <v>1</v>
      </c>
      <c r="G897" s="119">
        <v>12.068965517241381</v>
      </c>
      <c r="H897" s="115">
        <f>VLOOKUP(B897,'All Menu'!B:J,9,0)</f>
        <v>6.0986681080459766</v>
      </c>
      <c r="I897" s="120">
        <f>VLOOKUP(B897,'All Menu'!B:M,12,0)</f>
        <v>0.49468178533333346</v>
      </c>
      <c r="J897" s="114">
        <f t="shared" si="67"/>
        <v>12.068965517241381</v>
      </c>
      <c r="K897" s="117">
        <f t="shared" si="68"/>
        <v>0</v>
      </c>
      <c r="L897" s="118">
        <f>VLOOKUP(B897,'All Menu'!B:G,6,0)</f>
        <v>12.068965517241381</v>
      </c>
      <c r="M897" s="118">
        <f t="shared" si="69"/>
        <v>0</v>
      </c>
      <c r="N897" s="151">
        <f ca="1">VLOOKUP(B897,'All Menu'!B:H,7,0)</f>
        <v>2</v>
      </c>
    </row>
    <row r="898" spans="1:14" s="113" customFormat="1" ht="15.75" customHeight="1">
      <c r="A898" s="156" t="s">
        <v>2022</v>
      </c>
      <c r="B898" s="170" t="s">
        <v>905</v>
      </c>
      <c r="C898" s="113" t="s">
        <v>1696</v>
      </c>
      <c r="D898" s="115" t="str">
        <f>VLOOKUP(B898,'All Menu'!B:D,3,0)</f>
        <v>صواني وصجيات سفري</v>
      </c>
      <c r="E898" s="116">
        <f t="shared" si="70"/>
        <v>3.6637931034482762</v>
      </c>
      <c r="F898" s="119">
        <v>2</v>
      </c>
      <c r="G898" s="119">
        <v>7.3275862068965525</v>
      </c>
      <c r="H898" s="115">
        <f>VLOOKUP(B898,'All Menu'!B:J,9,0)</f>
        <v>1.9931471029819887</v>
      </c>
      <c r="I898" s="120">
        <f>VLOOKUP(B898,'All Menu'!B:M,12,0)</f>
        <v>0.4559880848331514</v>
      </c>
      <c r="J898" s="114">
        <f t="shared" si="67"/>
        <v>7.3275862068965525</v>
      </c>
      <c r="K898" s="117">
        <f t="shared" si="68"/>
        <v>0</v>
      </c>
      <c r="L898" s="118">
        <f>VLOOKUP(B898,'All Menu'!B:G,6,0)</f>
        <v>3.6637931034482762</v>
      </c>
      <c r="M898" s="118">
        <f t="shared" si="69"/>
        <v>0</v>
      </c>
      <c r="N898" s="151">
        <f ca="1">VLOOKUP(B898,'All Menu'!B:H,7,0)</f>
        <v>17</v>
      </c>
    </row>
    <row r="899" spans="1:14" s="113" customFormat="1" ht="15.75" customHeight="1">
      <c r="A899" s="156" t="s">
        <v>2022</v>
      </c>
      <c r="B899" s="170" t="s">
        <v>906</v>
      </c>
      <c r="C899" s="113" t="s">
        <v>1697</v>
      </c>
      <c r="D899" s="115" t="str">
        <f>VLOOKUP(B899,'All Menu'!B:D,3,0)</f>
        <v>صواني وصجيات سفري</v>
      </c>
      <c r="E899" s="116">
        <f t="shared" si="70"/>
        <v>6.4655172413793105</v>
      </c>
      <c r="F899" s="119">
        <v>1</v>
      </c>
      <c r="G899" s="119">
        <v>6.4655172413793105</v>
      </c>
      <c r="H899" s="115">
        <f>VLOOKUP(B899,'All Menu'!B:J,9,0)</f>
        <v>4.3129671556078018</v>
      </c>
      <c r="I899" s="120">
        <f>VLOOKUP(B899,'All Menu'!B:M,12,0)</f>
        <v>0.33292774659932667</v>
      </c>
      <c r="J899" s="114">
        <f t="shared" si="67"/>
        <v>6.4655172413793105</v>
      </c>
      <c r="K899" s="117">
        <f t="shared" si="68"/>
        <v>0</v>
      </c>
      <c r="L899" s="118">
        <f>VLOOKUP(B899,'All Menu'!B:G,6,0)</f>
        <v>6.4655172413793105</v>
      </c>
      <c r="M899" s="118">
        <f t="shared" si="69"/>
        <v>0</v>
      </c>
      <c r="N899" s="151">
        <f ca="1">VLOOKUP(B899,'All Menu'!B:H,7,0)</f>
        <v>13</v>
      </c>
    </row>
    <row r="900" spans="1:14" s="113" customFormat="1" ht="15.75" customHeight="1">
      <c r="A900" s="156" t="s">
        <v>2022</v>
      </c>
      <c r="B900" s="170" t="s">
        <v>917</v>
      </c>
      <c r="C900" s="113" t="s">
        <v>1561</v>
      </c>
      <c r="D900" s="115" t="str">
        <f>VLOOKUP(B900,'All Menu'!B:D,3,0)</f>
        <v>صواني وصجيات سفري</v>
      </c>
      <c r="E900" s="116">
        <f t="shared" si="70"/>
        <v>3.6637931034482762</v>
      </c>
      <c r="F900" s="119">
        <v>2</v>
      </c>
      <c r="G900" s="119">
        <v>7.3275862068965525</v>
      </c>
      <c r="H900" s="115">
        <f>VLOOKUP(B900,'All Menu'!B:J,9,0)</f>
        <v>1.8046906845569151</v>
      </c>
      <c r="I900" s="120">
        <f>VLOOKUP(B900,'All Menu'!B:M,12,0)</f>
        <v>0.50742560139152437</v>
      </c>
      <c r="J900" s="114">
        <f t="shared" si="67"/>
        <v>7.3275862068965525</v>
      </c>
      <c r="K900" s="117">
        <f t="shared" si="68"/>
        <v>0</v>
      </c>
      <c r="L900" s="118">
        <f>VLOOKUP(B900,'All Menu'!B:G,6,0)</f>
        <v>3.6637931034482762</v>
      </c>
      <c r="M900" s="118">
        <f t="shared" si="69"/>
        <v>0</v>
      </c>
      <c r="N900" s="151">
        <f ca="1">VLOOKUP(B900,'All Menu'!B:H,7,0)</f>
        <v>5</v>
      </c>
    </row>
    <row r="901" spans="1:14" s="113" customFormat="1" ht="15.75" customHeight="1">
      <c r="A901" s="156" t="s">
        <v>2022</v>
      </c>
      <c r="B901" s="170" t="s">
        <v>915</v>
      </c>
      <c r="C901" s="113" t="s">
        <v>1562</v>
      </c>
      <c r="D901" s="115" t="str">
        <f>VLOOKUP(B901,'All Menu'!B:D,3,0)</f>
        <v>صواني وصجيات سفري</v>
      </c>
      <c r="E901" s="116">
        <f t="shared" si="70"/>
        <v>5.1724137931034484</v>
      </c>
      <c r="F901" s="119">
        <v>1.0009999999999999</v>
      </c>
      <c r="G901" s="119">
        <v>5.1775862068965512</v>
      </c>
      <c r="H901" s="115">
        <f>VLOOKUP(B901,'All Menu'!B:J,9,0)</f>
        <v>1.5146459770114944</v>
      </c>
      <c r="I901" s="120">
        <f>VLOOKUP(B901,'All Menu'!B:M,12,0)</f>
        <v>0.70716844444444438</v>
      </c>
      <c r="J901" s="114">
        <f t="shared" si="67"/>
        <v>5.1775862068965512</v>
      </c>
      <c r="K901" s="117">
        <f t="shared" si="68"/>
        <v>0</v>
      </c>
      <c r="L901" s="118">
        <f>VLOOKUP(B901,'All Menu'!B:G,6,0)</f>
        <v>5.1724137931034484</v>
      </c>
      <c r="M901" s="118">
        <f t="shared" si="69"/>
        <v>0</v>
      </c>
      <c r="N901" s="151">
        <f ca="1">VLOOKUP(B901,'All Menu'!B:H,7,0)</f>
        <v>4.0009999999999994</v>
      </c>
    </row>
    <row r="902" spans="1:14" s="113" customFormat="1" ht="15.75" customHeight="1">
      <c r="A902" s="156" t="s">
        <v>2022</v>
      </c>
      <c r="B902" s="170" t="s">
        <v>926</v>
      </c>
      <c r="C902" s="113" t="s">
        <v>1564</v>
      </c>
      <c r="D902" s="115" t="str">
        <f>VLOOKUP(B902,'All Menu'!B:D,3,0)</f>
        <v>عجين سفري</v>
      </c>
      <c r="E902" s="116">
        <f t="shared" si="70"/>
        <v>1.0775862068965518</v>
      </c>
      <c r="F902" s="119">
        <v>3</v>
      </c>
      <c r="G902" s="119">
        <v>3.2327586206896557</v>
      </c>
      <c r="H902" s="115">
        <f>VLOOKUP(B902,'All Menu'!B:J,9,0)</f>
        <v>0.40548473361010201</v>
      </c>
      <c r="I902" s="120">
        <f>VLOOKUP(B902,'All Menu'!B:M,12,0)</f>
        <v>0.62371016720982542</v>
      </c>
      <c r="J902" s="114">
        <f t="shared" si="67"/>
        <v>3.2327586206896557</v>
      </c>
      <c r="K902" s="117">
        <f t="shared" si="68"/>
        <v>0</v>
      </c>
      <c r="L902" s="118">
        <f>VLOOKUP(B902,'All Menu'!B:G,6,0)</f>
        <v>1.0775862068965518</v>
      </c>
      <c r="M902" s="118">
        <f t="shared" si="69"/>
        <v>0</v>
      </c>
      <c r="N902" s="151">
        <f ca="1">VLOOKUP(B902,'All Menu'!B:H,7,0)</f>
        <v>3</v>
      </c>
    </row>
    <row r="903" spans="1:14" s="113" customFormat="1" ht="15.75" customHeight="1">
      <c r="A903" s="156" t="s">
        <v>2022</v>
      </c>
      <c r="B903" s="170" t="s">
        <v>933</v>
      </c>
      <c r="C903" s="113" t="s">
        <v>1566</v>
      </c>
      <c r="D903" s="115" t="str">
        <f>VLOOKUP(B903,'All Menu'!B:D,3,0)</f>
        <v>عجين سفري</v>
      </c>
      <c r="E903" s="116">
        <f t="shared" si="70"/>
        <v>1.0618803245436106</v>
      </c>
      <c r="F903" s="119">
        <v>17</v>
      </c>
      <c r="G903" s="119">
        <v>18.051965517241381</v>
      </c>
      <c r="H903" s="115">
        <f>VLOOKUP(B903,'All Menu'!B:J,9,0)</f>
        <v>0.41229306694343532</v>
      </c>
      <c r="I903" s="120">
        <f>VLOOKUP(B903,'All Menu'!B:M,12,0)</f>
        <v>0.61739203387649211</v>
      </c>
      <c r="J903" s="114">
        <f t="shared" si="67"/>
        <v>18.318965517241381</v>
      </c>
      <c r="K903" s="117">
        <f t="shared" si="68"/>
        <v>-0.26699999999999946</v>
      </c>
      <c r="L903" s="118">
        <f>VLOOKUP(B903,'All Menu'!B:G,6,0)</f>
        <v>1.0775862068965518</v>
      </c>
      <c r="M903" s="118">
        <f t="shared" si="69"/>
        <v>-1.5705882352941236E-2</v>
      </c>
      <c r="N903" s="151">
        <f ca="1">VLOOKUP(B903,'All Menu'!B:H,7,0)</f>
        <v>106</v>
      </c>
    </row>
    <row r="904" spans="1:14" s="113" customFormat="1" ht="15.75" customHeight="1">
      <c r="A904" s="156" t="s">
        <v>2022</v>
      </c>
      <c r="B904" s="170" t="s">
        <v>929</v>
      </c>
      <c r="C904" s="113" t="s">
        <v>1567</v>
      </c>
      <c r="D904" s="115" t="str">
        <f>VLOOKUP(B904,'All Menu'!B:D,3,0)</f>
        <v>عجين سفري</v>
      </c>
      <c r="E904" s="116">
        <f t="shared" si="70"/>
        <v>0.60344827586206895</v>
      </c>
      <c r="F904" s="119">
        <v>5</v>
      </c>
      <c r="G904" s="119">
        <v>3.0172413793103448</v>
      </c>
      <c r="H904" s="115">
        <f>VLOOKUP(B904,'All Menu'!B:J,9,0)</f>
        <v>0.22324543361010207</v>
      </c>
      <c r="I904" s="120">
        <f>VLOOKUP(B904,'All Menu'!B:M,12,0)</f>
        <v>0.63005042430325942</v>
      </c>
      <c r="J904" s="114">
        <f t="shared" si="67"/>
        <v>3.0172413793103448</v>
      </c>
      <c r="K904" s="117">
        <f t="shared" si="68"/>
        <v>0</v>
      </c>
      <c r="L904" s="118">
        <f>VLOOKUP(B904,'All Menu'!B:G,6,0)</f>
        <v>0.60344827586206895</v>
      </c>
      <c r="M904" s="118">
        <f t="shared" si="69"/>
        <v>0</v>
      </c>
      <c r="N904" s="151">
        <f ca="1">VLOOKUP(B904,'All Menu'!B:H,7,0)</f>
        <v>35</v>
      </c>
    </row>
    <row r="905" spans="1:14" s="113" customFormat="1" ht="15.75" customHeight="1">
      <c r="A905" s="156" t="s">
        <v>2022</v>
      </c>
      <c r="B905" s="170" t="s">
        <v>930</v>
      </c>
      <c r="C905" s="113" t="s">
        <v>1568</v>
      </c>
      <c r="D905" s="115" t="str">
        <f>VLOOKUP(B905,'All Menu'!B:D,3,0)</f>
        <v>عجين سفري</v>
      </c>
      <c r="E905" s="116">
        <f t="shared" si="70"/>
        <v>1.0775862068965518</v>
      </c>
      <c r="F905" s="119">
        <v>29</v>
      </c>
      <c r="G905" s="119">
        <v>31.250000000000004</v>
      </c>
      <c r="H905" s="115">
        <f>VLOOKUP(B905,'All Menu'!B:J,9,0)</f>
        <v>0.39583829194343534</v>
      </c>
      <c r="I905" s="120">
        <f>VLOOKUP(B905,'All Menu'!B:M,12,0)</f>
        <v>0.63266206507649203</v>
      </c>
      <c r="J905" s="114">
        <f t="shared" si="67"/>
        <v>31.250000000000004</v>
      </c>
      <c r="K905" s="117">
        <f t="shared" si="68"/>
        <v>0</v>
      </c>
      <c r="L905" s="118">
        <f>VLOOKUP(B905,'All Menu'!B:G,6,0)</f>
        <v>1.0775862068965518</v>
      </c>
      <c r="M905" s="118">
        <f t="shared" si="69"/>
        <v>0</v>
      </c>
      <c r="N905" s="151">
        <f ca="1">VLOOKUP(B905,'All Menu'!B:H,7,0)</f>
        <v>61</v>
      </c>
    </row>
    <row r="906" spans="1:14" s="113" customFormat="1" ht="15.75" customHeight="1">
      <c r="A906" s="156" t="s">
        <v>2022</v>
      </c>
      <c r="B906" s="170" t="s">
        <v>931</v>
      </c>
      <c r="C906" s="113" t="s">
        <v>1569</v>
      </c>
      <c r="D906" s="115" t="str">
        <f>VLOOKUP(B906,'All Menu'!B:D,3,0)</f>
        <v>عجين سفري</v>
      </c>
      <c r="E906" s="116">
        <f t="shared" si="70"/>
        <v>1.0775862068965518</v>
      </c>
      <c r="F906" s="119">
        <v>7</v>
      </c>
      <c r="G906" s="119">
        <v>7.543103448275863</v>
      </c>
      <c r="H906" s="115">
        <f>VLOOKUP(B906,'All Menu'!B:J,9,0)</f>
        <v>0.407476733610102</v>
      </c>
      <c r="I906" s="120">
        <f>VLOOKUP(B906,'All Menu'!B:M,12,0)</f>
        <v>0.62186159120982543</v>
      </c>
      <c r="J906" s="114">
        <f t="shared" si="67"/>
        <v>7.543103448275863</v>
      </c>
      <c r="K906" s="117">
        <f t="shared" si="68"/>
        <v>0</v>
      </c>
      <c r="L906" s="118">
        <f>VLOOKUP(B906,'All Menu'!B:G,6,0)</f>
        <v>1.0775862068965518</v>
      </c>
      <c r="M906" s="118">
        <f t="shared" si="69"/>
        <v>0</v>
      </c>
      <c r="N906" s="151">
        <f ca="1">VLOOKUP(B906,'All Menu'!B:H,7,0)</f>
        <v>23</v>
      </c>
    </row>
    <row r="907" spans="1:14" s="113" customFormat="1" ht="15.75" customHeight="1">
      <c r="A907" s="156" t="s">
        <v>2022</v>
      </c>
      <c r="B907" s="170" t="s">
        <v>935</v>
      </c>
      <c r="C907" s="113" t="s">
        <v>1570</v>
      </c>
      <c r="D907" s="115" t="str">
        <f>VLOOKUP(B907,'All Menu'!B:D,3,0)</f>
        <v>عجين سفري</v>
      </c>
      <c r="E907" s="116">
        <f t="shared" si="70"/>
        <v>1.0775862068965518</v>
      </c>
      <c r="F907" s="119">
        <v>13</v>
      </c>
      <c r="G907" s="119">
        <v>14.008620689655174</v>
      </c>
      <c r="H907" s="115">
        <f>VLOOKUP(B907,'All Menu'!B:J,9,0)</f>
        <v>0.43973973361010199</v>
      </c>
      <c r="I907" s="120">
        <f>VLOOKUP(B907,'All Menu'!B:M,12,0)</f>
        <v>0.59192152720982538</v>
      </c>
      <c r="J907" s="114">
        <f t="shared" si="67"/>
        <v>14.008620689655174</v>
      </c>
      <c r="K907" s="117">
        <f t="shared" si="68"/>
        <v>0</v>
      </c>
      <c r="L907" s="118">
        <f>VLOOKUP(B907,'All Menu'!B:G,6,0)</f>
        <v>1.0775862068965518</v>
      </c>
      <c r="M907" s="118">
        <f t="shared" si="69"/>
        <v>0</v>
      </c>
      <c r="N907" s="151">
        <f ca="1">VLOOKUP(B907,'All Menu'!B:H,7,0)</f>
        <v>23</v>
      </c>
    </row>
    <row r="908" spans="1:14" s="113" customFormat="1" ht="15.75" customHeight="1">
      <c r="A908" s="156" t="s">
        <v>2022</v>
      </c>
      <c r="B908" s="170" t="s">
        <v>934</v>
      </c>
      <c r="C908" s="113" t="s">
        <v>1571</v>
      </c>
      <c r="D908" s="115" t="str">
        <f>VLOOKUP(B908,'All Menu'!B:D,3,0)</f>
        <v>عجين سفري</v>
      </c>
      <c r="E908" s="116">
        <f t="shared" si="70"/>
        <v>0.60344827586206895</v>
      </c>
      <c r="F908" s="119">
        <v>4</v>
      </c>
      <c r="G908" s="119">
        <v>2.4137931034482758</v>
      </c>
      <c r="H908" s="115">
        <f>VLOOKUP(B908,'All Menu'!B:J,9,0)</f>
        <v>0.296879733610102</v>
      </c>
      <c r="I908" s="120">
        <f>VLOOKUP(B908,'All Menu'!B:M,12,0)</f>
        <v>0.50802787001754524</v>
      </c>
      <c r="J908" s="114">
        <f t="shared" si="67"/>
        <v>2.4137931034482758</v>
      </c>
      <c r="K908" s="117">
        <f t="shared" si="68"/>
        <v>0</v>
      </c>
      <c r="L908" s="118">
        <f>VLOOKUP(B908,'All Menu'!B:G,6,0)</f>
        <v>0.60344827586206895</v>
      </c>
      <c r="M908" s="118">
        <f t="shared" si="69"/>
        <v>0</v>
      </c>
      <c r="N908" s="151">
        <f ca="1">VLOOKUP(B908,'All Menu'!B:H,7,0)</f>
        <v>64</v>
      </c>
    </row>
    <row r="909" spans="1:14" s="113" customFormat="1" ht="15.75" customHeight="1">
      <c r="A909" s="156" t="s">
        <v>2022</v>
      </c>
      <c r="B909" s="170" t="s">
        <v>925</v>
      </c>
      <c r="C909" s="113" t="s">
        <v>1572</v>
      </c>
      <c r="D909" s="115" t="str">
        <f>VLOOKUP(B909,'All Menu'!B:D,3,0)</f>
        <v>عجين سفري</v>
      </c>
      <c r="E909" s="116">
        <f t="shared" si="70"/>
        <v>0.86206896551724144</v>
      </c>
      <c r="F909" s="119">
        <v>9.0020000000000007</v>
      </c>
      <c r="G909" s="119">
        <v>7.7603448275862084</v>
      </c>
      <c r="H909" s="115">
        <f>VLOOKUP(B909,'All Menu'!B:J,9,0)</f>
        <v>0.59705973361010212</v>
      </c>
      <c r="I909" s="120">
        <f>VLOOKUP(B909,'All Menu'!B:M,12,0)</f>
        <v>0.30741070901228157</v>
      </c>
      <c r="J909" s="114">
        <f t="shared" si="67"/>
        <v>7.7603448275862084</v>
      </c>
      <c r="K909" s="117">
        <f t="shared" si="68"/>
        <v>0</v>
      </c>
      <c r="L909" s="118">
        <f>VLOOKUP(B909,'All Menu'!B:G,6,0)</f>
        <v>0.86206896551724144</v>
      </c>
      <c r="M909" s="118">
        <f t="shared" si="69"/>
        <v>0</v>
      </c>
      <c r="N909" s="151">
        <f ca="1">VLOOKUP(B909,'All Menu'!B:H,7,0)</f>
        <v>127.002</v>
      </c>
    </row>
    <row r="910" spans="1:14" s="113" customFormat="1" ht="15.75" customHeight="1">
      <c r="A910" s="156" t="s">
        <v>2022</v>
      </c>
      <c r="B910" s="170" t="s">
        <v>928</v>
      </c>
      <c r="C910" s="113" t="s">
        <v>1573</v>
      </c>
      <c r="D910" s="115" t="str">
        <f>VLOOKUP(B910,'All Menu'!B:D,3,0)</f>
        <v>عجين سفري</v>
      </c>
      <c r="E910" s="116">
        <f t="shared" si="70"/>
        <v>0.86206896551724144</v>
      </c>
      <c r="F910" s="119">
        <v>4</v>
      </c>
      <c r="G910" s="119">
        <v>3.4482758620689657</v>
      </c>
      <c r="H910" s="115">
        <f>VLOOKUP(B910,'All Menu'!B:J,9,0)</f>
        <v>0.34831973361010199</v>
      </c>
      <c r="I910" s="120">
        <f>VLOOKUP(B910,'All Menu'!B:M,12,0)</f>
        <v>0.59594910901228182</v>
      </c>
      <c r="J910" s="114">
        <f t="shared" si="67"/>
        <v>3.4482758620689657</v>
      </c>
      <c r="K910" s="117">
        <f t="shared" si="68"/>
        <v>0</v>
      </c>
      <c r="L910" s="118">
        <f>VLOOKUP(B910,'All Menu'!B:G,6,0)</f>
        <v>0.86206896551724144</v>
      </c>
      <c r="M910" s="118">
        <f t="shared" si="69"/>
        <v>0</v>
      </c>
      <c r="N910" s="151">
        <f ca="1">VLOOKUP(B910,'All Menu'!B:H,7,0)</f>
        <v>18</v>
      </c>
    </row>
    <row r="911" spans="1:14" s="113" customFormat="1" ht="15.75" customHeight="1">
      <c r="A911" s="156" t="s">
        <v>2022</v>
      </c>
      <c r="B911" s="170" t="s">
        <v>932</v>
      </c>
      <c r="C911" s="113" t="s">
        <v>1739</v>
      </c>
      <c r="D911" s="115" t="str">
        <f>VLOOKUP(B911,'All Menu'!B:D,3,0)</f>
        <v>عجين سفري</v>
      </c>
      <c r="E911" s="116">
        <f t="shared" si="70"/>
        <v>1.5086206896551726</v>
      </c>
      <c r="F911" s="119">
        <v>1</v>
      </c>
      <c r="G911" s="119">
        <v>1.5086206896551726</v>
      </c>
      <c r="H911" s="115">
        <f>VLOOKUP(B911,'All Menu'!B:J,9,0)</f>
        <v>0.82094686391928506</v>
      </c>
      <c r="I911" s="120">
        <f>VLOOKUP(B911,'All Menu'!B:M,12,0)</f>
        <v>0.45582950734493111</v>
      </c>
      <c r="J911" s="114">
        <f t="shared" si="67"/>
        <v>1.5086206896551726</v>
      </c>
      <c r="K911" s="117">
        <f t="shared" si="68"/>
        <v>0</v>
      </c>
      <c r="L911" s="118">
        <f>VLOOKUP(B911,'All Menu'!B:G,6,0)</f>
        <v>1.5086206896551726</v>
      </c>
      <c r="M911" s="118">
        <f t="shared" si="69"/>
        <v>0</v>
      </c>
      <c r="N911" s="151">
        <f ca="1">VLOOKUP(B911,'All Menu'!B:H,7,0)</f>
        <v>8</v>
      </c>
    </row>
    <row r="912" spans="1:14" s="113" customFormat="1" ht="15.75" customHeight="1">
      <c r="A912" s="156" t="s">
        <v>2022</v>
      </c>
      <c r="B912" s="170" t="s">
        <v>936</v>
      </c>
      <c r="C912" s="113" t="s">
        <v>1574</v>
      </c>
      <c r="D912" s="115" t="str">
        <f>VLOOKUP(B912,'All Menu'!B:D,3,0)</f>
        <v>عجين سفري</v>
      </c>
      <c r="E912" s="116">
        <f t="shared" si="70"/>
        <v>1.0665028735632187</v>
      </c>
      <c r="F912" s="119">
        <v>12</v>
      </c>
      <c r="G912" s="119">
        <v>12.798034482758624</v>
      </c>
      <c r="H912" s="115">
        <f>VLOOKUP(B912,'All Menu'!B:J,9,0)</f>
        <v>0.51911934899471734</v>
      </c>
      <c r="I912" s="120">
        <f>VLOOKUP(B912,'All Menu'!B:M,12,0)</f>
        <v>0.51825724413290231</v>
      </c>
      <c r="J912" s="114">
        <f t="shared" si="67"/>
        <v>12.931034482758623</v>
      </c>
      <c r="K912" s="117">
        <f t="shared" si="68"/>
        <v>-0.13299999999999912</v>
      </c>
      <c r="L912" s="118">
        <f>VLOOKUP(B912,'All Menu'!B:G,6,0)</f>
        <v>1.0775862068965518</v>
      </c>
      <c r="M912" s="118">
        <f t="shared" si="69"/>
        <v>-1.1083333333333112E-2</v>
      </c>
      <c r="N912" s="151">
        <f ca="1">VLOOKUP(B912,'All Menu'!B:H,7,0)</f>
        <v>70</v>
      </c>
    </row>
    <row r="913" spans="1:14" s="113" customFormat="1" ht="15.75" customHeight="1">
      <c r="A913" s="156" t="s">
        <v>2022</v>
      </c>
      <c r="B913" s="170" t="s">
        <v>927</v>
      </c>
      <c r="C913" s="113" t="s">
        <v>1575</v>
      </c>
      <c r="D913" s="115" t="str">
        <f>VLOOKUP(B913,'All Menu'!B:D,3,0)</f>
        <v>عجين سفري</v>
      </c>
      <c r="E913" s="116">
        <f t="shared" si="70"/>
        <v>0.60344827586206895</v>
      </c>
      <c r="F913" s="119">
        <v>20</v>
      </c>
      <c r="G913" s="119">
        <v>12.068965517241379</v>
      </c>
      <c r="H913" s="115">
        <f>VLOOKUP(B913,'All Menu'!B:J,9,0)</f>
        <v>0.23578973361010208</v>
      </c>
      <c r="I913" s="120">
        <f>VLOOKUP(B913,'All Menu'!B:M,12,0)</f>
        <v>0.60926272716040231</v>
      </c>
      <c r="J913" s="114">
        <f t="shared" si="67"/>
        <v>12.068965517241379</v>
      </c>
      <c r="K913" s="117">
        <f t="shared" si="68"/>
        <v>0</v>
      </c>
      <c r="L913" s="118">
        <f>VLOOKUP(B913,'All Menu'!B:G,6,0)</f>
        <v>0.60344827586206895</v>
      </c>
      <c r="M913" s="118">
        <f t="shared" si="69"/>
        <v>0</v>
      </c>
      <c r="N913" s="151">
        <f ca="1">VLOOKUP(B913,'All Menu'!B:H,7,0)</f>
        <v>202</v>
      </c>
    </row>
    <row r="914" spans="1:14" s="113" customFormat="1" ht="15.75" customHeight="1">
      <c r="A914" s="156" t="s">
        <v>2022</v>
      </c>
      <c r="B914" s="170" t="s">
        <v>946</v>
      </c>
      <c r="C914" s="113" t="s">
        <v>1723</v>
      </c>
      <c r="D914" s="115" t="str">
        <f>VLOOKUP(B914,'All Menu'!B:D,3,0)</f>
        <v>عجين سفري</v>
      </c>
      <c r="E914" s="116">
        <f t="shared" si="70"/>
        <v>1.5086206896551726</v>
      </c>
      <c r="F914" s="119">
        <v>4</v>
      </c>
      <c r="G914" s="119">
        <v>6.0344827586206904</v>
      </c>
      <c r="H914" s="115">
        <f>VLOOKUP(B914,'All Menu'!B:J,9,0)</f>
        <v>1.2469414581719958</v>
      </c>
      <c r="I914" s="120">
        <f>VLOOKUP(B914,'All Menu'!B:M,12,0)</f>
        <v>0.17345594772599149</v>
      </c>
      <c r="J914" s="114">
        <f t="shared" si="67"/>
        <v>6.0344827586206904</v>
      </c>
      <c r="K914" s="117">
        <f t="shared" si="68"/>
        <v>0</v>
      </c>
      <c r="L914" s="118">
        <f>VLOOKUP(B914,'All Menu'!B:G,6,0)</f>
        <v>1.5086206896551726</v>
      </c>
      <c r="M914" s="118">
        <f t="shared" si="69"/>
        <v>0</v>
      </c>
      <c r="N914" s="151">
        <f ca="1">VLOOKUP(B914,'All Menu'!B:H,7,0)</f>
        <v>53</v>
      </c>
    </row>
    <row r="915" spans="1:14" s="113" customFormat="1" ht="15.75" customHeight="1">
      <c r="A915" s="156" t="s">
        <v>2022</v>
      </c>
      <c r="B915" s="170" t="s">
        <v>1010</v>
      </c>
      <c r="C915" s="113" t="s">
        <v>1577</v>
      </c>
      <c r="D915" s="115" t="str">
        <f>VLOOKUP(B915,'All Menu'!B:D,3,0)</f>
        <v>عجين سفري</v>
      </c>
      <c r="E915" s="116">
        <f t="shared" si="70"/>
        <v>0.56034482758620696</v>
      </c>
      <c r="F915" s="119">
        <v>149.011</v>
      </c>
      <c r="G915" s="119">
        <v>83.49754310344828</v>
      </c>
      <c r="H915" s="115">
        <f>VLOOKUP(B915,'All Menu'!B:J,9,0)</f>
        <v>0.41952498492368306</v>
      </c>
      <c r="I915" s="120">
        <f>VLOOKUP(B915,'All Menu'!B:M,12,0)</f>
        <v>0.251309257674658</v>
      </c>
      <c r="J915" s="114">
        <f t="shared" si="67"/>
        <v>83.49754310344828</v>
      </c>
      <c r="K915" s="117">
        <f t="shared" si="68"/>
        <v>0</v>
      </c>
      <c r="L915" s="118">
        <f>VLOOKUP(B915,'All Menu'!B:G,6,0)</f>
        <v>0.56034482758620696</v>
      </c>
      <c r="M915" s="118">
        <f t="shared" si="69"/>
        <v>0</v>
      </c>
      <c r="N915" s="151">
        <f ca="1">VLOOKUP(B915,'All Menu'!B:H,7,0)</f>
        <v>1283.011</v>
      </c>
    </row>
    <row r="916" spans="1:14" s="113" customFormat="1" ht="15.75" customHeight="1">
      <c r="A916" s="156" t="s">
        <v>2022</v>
      </c>
      <c r="B916" s="170" t="s">
        <v>1011</v>
      </c>
      <c r="C916" s="113" t="s">
        <v>1578</v>
      </c>
      <c r="D916" s="115" t="str">
        <f>VLOOKUP(B916,'All Menu'!B:D,3,0)</f>
        <v>عجين سفري</v>
      </c>
      <c r="E916" s="116">
        <f t="shared" si="70"/>
        <v>0.43103448275862072</v>
      </c>
      <c r="F916" s="119">
        <v>561.06200000000001</v>
      </c>
      <c r="G916" s="119">
        <v>241.83706896551726</v>
      </c>
      <c r="H916" s="115">
        <f>VLOOKUP(B916,'All Menu'!B:J,9,0)</f>
        <v>0.22935249871457197</v>
      </c>
      <c r="I916" s="120">
        <f>VLOOKUP(B916,'All Menu'!B:M,12,0)</f>
        <v>0.46790220298219304</v>
      </c>
      <c r="J916" s="114">
        <f t="shared" si="67"/>
        <v>241.83706896551726</v>
      </c>
      <c r="K916" s="117">
        <f t="shared" si="68"/>
        <v>0</v>
      </c>
      <c r="L916" s="118">
        <f>VLOOKUP(B916,'All Menu'!B:G,6,0)</f>
        <v>0.43103448275862072</v>
      </c>
      <c r="M916" s="118">
        <f t="shared" si="69"/>
        <v>0</v>
      </c>
      <c r="N916" s="151">
        <f ca="1">VLOOKUP(B916,'All Menu'!B:H,7,0)</f>
        <v>4589.0619999999999</v>
      </c>
    </row>
    <row r="917" spans="1:14" s="113" customFormat="1" ht="15.75" customHeight="1">
      <c r="A917" s="156" t="s">
        <v>2022</v>
      </c>
      <c r="B917" s="170" t="s">
        <v>942</v>
      </c>
      <c r="C917" s="113" t="s">
        <v>1579</v>
      </c>
      <c r="D917" s="115" t="str">
        <f>VLOOKUP(B917,'All Menu'!B:D,3,0)</f>
        <v>عجين سفري</v>
      </c>
      <c r="E917" s="116">
        <f t="shared" si="70"/>
        <v>0.84264718206105149</v>
      </c>
      <c r="F917" s="119">
        <v>595.00199999999995</v>
      </c>
      <c r="G917" s="119">
        <v>501.37675862068971</v>
      </c>
      <c r="H917" s="115">
        <f>VLOOKUP(B917,'All Menu'!B:J,9,0)</f>
        <v>0.40754341772151892</v>
      </c>
      <c r="I917" s="120">
        <f>VLOOKUP(B917,'All Menu'!B:M,12,0)</f>
        <v>0.52724963544303804</v>
      </c>
      <c r="J917" s="114">
        <f t="shared" si="67"/>
        <v>512.9327586206897</v>
      </c>
      <c r="K917" s="117">
        <f t="shared" si="68"/>
        <v>-11.555999999999983</v>
      </c>
      <c r="L917" s="118">
        <f>VLOOKUP(B917,'All Menu'!B:G,6,0)</f>
        <v>0.86206896551724144</v>
      </c>
      <c r="M917" s="118">
        <f t="shared" si="69"/>
        <v>-1.9421783456189945E-2</v>
      </c>
      <c r="N917" s="151">
        <f ca="1">VLOOKUP(B917,'All Menu'!B:H,7,0)</f>
        <v>5842.0020000000004</v>
      </c>
    </row>
    <row r="918" spans="1:14" s="113" customFormat="1" ht="15.75" customHeight="1">
      <c r="A918" s="156" t="s">
        <v>2022</v>
      </c>
      <c r="B918" s="170" t="s">
        <v>1021</v>
      </c>
      <c r="C918" s="113" t="s">
        <v>1580</v>
      </c>
      <c r="D918" s="115" t="str">
        <f>VLOOKUP(B918,'All Menu'!B:D,3,0)</f>
        <v>عجين سفري</v>
      </c>
      <c r="E918" s="116">
        <f t="shared" si="70"/>
        <v>15.198200681635928</v>
      </c>
      <c r="F918" s="119">
        <v>13.76</v>
      </c>
      <c r="G918" s="119">
        <v>209.12724137931036</v>
      </c>
      <c r="H918" s="115">
        <f>VLOOKUP(B918,'All Menu'!B:J,9,0)</f>
        <v>8.2136722774908097</v>
      </c>
      <c r="I918" s="120">
        <f>VLOOKUP(B918,'All Menu'!B:M,12,0)</f>
        <v>0.47067445322837004</v>
      </c>
      <c r="J918" s="114">
        <f t="shared" si="67"/>
        <v>213.51724137931035</v>
      </c>
      <c r="K918" s="117">
        <f t="shared" si="68"/>
        <v>-4.3899999999999864</v>
      </c>
      <c r="L918" s="118">
        <f>VLOOKUP(B918,'All Menu'!B:G,6,0)</f>
        <v>15.517241379310345</v>
      </c>
      <c r="M918" s="118">
        <f t="shared" si="69"/>
        <v>-0.31904069767441712</v>
      </c>
      <c r="N918" s="151">
        <f ca="1">VLOOKUP(B918,'All Menu'!B:H,7,0)</f>
        <v>242.51</v>
      </c>
    </row>
    <row r="919" spans="1:14" s="113" customFormat="1" ht="15.75" customHeight="1">
      <c r="A919" s="156" t="s">
        <v>2022</v>
      </c>
      <c r="B919" s="170" t="s">
        <v>1020</v>
      </c>
      <c r="C919" s="113" t="s">
        <v>1581</v>
      </c>
      <c r="D919" s="115" t="str">
        <f>VLOOKUP(B919,'All Menu'!B:D,3,0)</f>
        <v>عجين سفري</v>
      </c>
      <c r="E919" s="116">
        <f t="shared" si="70"/>
        <v>17.241379310344829</v>
      </c>
      <c r="F919" s="119">
        <v>1.5</v>
      </c>
      <c r="G919" s="119">
        <v>25.862068965517246</v>
      </c>
      <c r="H919" s="115">
        <f>VLOOKUP(B919,'All Menu'!B:J,9,0)</f>
        <v>15.826002523771082</v>
      </c>
      <c r="I919" s="120">
        <f>VLOOKUP(B919,'All Menu'!B:M,12,0)</f>
        <v>8.20918536212773E-2</v>
      </c>
      <c r="J919" s="114">
        <f t="shared" si="67"/>
        <v>25.862068965517246</v>
      </c>
      <c r="K919" s="117">
        <f t="shared" si="68"/>
        <v>0</v>
      </c>
      <c r="L919" s="118">
        <f>VLOOKUP(B919,'All Menu'!B:G,6,0)</f>
        <v>17.241379310344829</v>
      </c>
      <c r="M919" s="118">
        <f t="shared" si="69"/>
        <v>0</v>
      </c>
      <c r="N919" s="151">
        <f ca="1">VLOOKUP(B919,'All Menu'!B:H,7,0)</f>
        <v>25</v>
      </c>
    </row>
    <row r="920" spans="1:14" s="113" customFormat="1" ht="15.75" customHeight="1">
      <c r="A920" s="156" t="s">
        <v>2022</v>
      </c>
      <c r="B920" s="170" t="s">
        <v>948</v>
      </c>
      <c r="C920" s="113" t="s">
        <v>1582</v>
      </c>
      <c r="D920" s="115" t="str">
        <f>VLOOKUP(B920,'All Menu'!B:D,3,0)</f>
        <v>عجين سفري</v>
      </c>
      <c r="E920" s="116">
        <f t="shared" si="70"/>
        <v>4.7413793103448283</v>
      </c>
      <c r="F920" s="119">
        <v>4</v>
      </c>
      <c r="G920" s="119">
        <v>18.965517241379313</v>
      </c>
      <c r="H920" s="115">
        <f>VLOOKUP(B920,'All Menu'!B:J,9,0)</f>
        <v>1.8743774591589428</v>
      </c>
      <c r="I920" s="120">
        <f>VLOOKUP(B920,'All Menu'!B:M,12,0)</f>
        <v>0.6046767540682958</v>
      </c>
      <c r="J920" s="114">
        <f t="shared" si="67"/>
        <v>18.965517241379313</v>
      </c>
      <c r="K920" s="117">
        <f t="shared" si="68"/>
        <v>0</v>
      </c>
      <c r="L920" s="118">
        <f>VLOOKUP(B920,'All Menu'!B:G,6,0)</f>
        <v>4.7413793103448283</v>
      </c>
      <c r="M920" s="118">
        <f t="shared" si="69"/>
        <v>0</v>
      </c>
      <c r="N920" s="151">
        <f ca="1">VLOOKUP(B920,'All Menu'!B:H,7,0)</f>
        <v>4</v>
      </c>
    </row>
    <row r="921" spans="1:14" s="113" customFormat="1" ht="15.75" customHeight="1">
      <c r="A921" s="156" t="s">
        <v>2022</v>
      </c>
      <c r="B921" s="170" t="s">
        <v>941</v>
      </c>
      <c r="C921" s="113" t="s">
        <v>1592</v>
      </c>
      <c r="D921" s="115" t="str">
        <f>VLOOKUP(B921,'All Menu'!B:D,3,0)</f>
        <v>عجين سفري</v>
      </c>
      <c r="E921" s="116">
        <f t="shared" si="70"/>
        <v>4.3103448275862073</v>
      </c>
      <c r="F921" s="119">
        <v>4</v>
      </c>
      <c r="G921" s="119">
        <v>17.241379310344829</v>
      </c>
      <c r="H921" s="115">
        <f>VLOOKUP(B921,'All Menu'!B:J,9,0)</f>
        <v>1.3464207047223664</v>
      </c>
      <c r="I921" s="120">
        <f>VLOOKUP(B921,'All Menu'!B:M,12,0)</f>
        <v>0.68763039650441105</v>
      </c>
      <c r="J921" s="114">
        <f t="shared" si="67"/>
        <v>17.241379310344829</v>
      </c>
      <c r="K921" s="117">
        <f t="shared" si="68"/>
        <v>0</v>
      </c>
      <c r="L921" s="118">
        <f>VLOOKUP(B921,'All Menu'!B:G,6,0)</f>
        <v>4.3103448275862073</v>
      </c>
      <c r="M921" s="118">
        <f t="shared" si="69"/>
        <v>0</v>
      </c>
      <c r="N921" s="151">
        <f ca="1">VLOOKUP(B921,'All Menu'!B:H,7,0)</f>
        <v>24</v>
      </c>
    </row>
    <row r="922" spans="1:14" s="113" customFormat="1" ht="15.75" customHeight="1">
      <c r="A922" s="156" t="s">
        <v>2022</v>
      </c>
      <c r="B922" s="170" t="s">
        <v>944</v>
      </c>
      <c r="C922" s="113" t="s">
        <v>1724</v>
      </c>
      <c r="D922" s="115" t="str">
        <f>VLOOKUP(B922,'All Menu'!B:D,3,0)</f>
        <v>عجين سفري</v>
      </c>
      <c r="E922" s="116">
        <f t="shared" si="70"/>
        <v>4.7413793103448283</v>
      </c>
      <c r="F922" s="119">
        <v>5</v>
      </c>
      <c r="G922" s="119">
        <v>23.706896551724142</v>
      </c>
      <c r="H922" s="115">
        <f>VLOOKUP(B922,'All Menu'!B:J,9,0)</f>
        <v>1.808327835031549</v>
      </c>
      <c r="I922" s="120">
        <f>VLOOKUP(B922,'All Menu'!B:M,12,0)</f>
        <v>0.6186072202478915</v>
      </c>
      <c r="J922" s="114">
        <f t="shared" si="67"/>
        <v>23.706896551724142</v>
      </c>
      <c r="K922" s="117">
        <f t="shared" si="68"/>
        <v>0</v>
      </c>
      <c r="L922" s="118">
        <f>VLOOKUP(B922,'All Menu'!B:G,6,0)</f>
        <v>4.7413793103448283</v>
      </c>
      <c r="M922" s="118">
        <f t="shared" si="69"/>
        <v>0</v>
      </c>
      <c r="N922" s="151">
        <f ca="1">VLOOKUP(B922,'All Menu'!B:H,7,0)</f>
        <v>9</v>
      </c>
    </row>
    <row r="923" spans="1:14" s="113" customFormat="1" ht="15.75" customHeight="1">
      <c r="A923" s="156" t="s">
        <v>2022</v>
      </c>
      <c r="B923" s="170" t="s">
        <v>949</v>
      </c>
      <c r="C923" s="113" t="s">
        <v>1584</v>
      </c>
      <c r="D923" s="115" t="str">
        <f>VLOOKUP(B923,'All Menu'!B:D,3,0)</f>
        <v>عجين سفري</v>
      </c>
      <c r="E923" s="116">
        <f t="shared" si="70"/>
        <v>5.1724137931034484</v>
      </c>
      <c r="F923" s="119">
        <v>3</v>
      </c>
      <c r="G923" s="119">
        <v>15.517241379310345</v>
      </c>
      <c r="H923" s="115">
        <f>VLOOKUP(B923,'All Menu'!B:J,9,0)</f>
        <v>1.4892997767614382</v>
      </c>
      <c r="I923" s="120">
        <f>VLOOKUP(B923,'All Menu'!B:M,12,0)</f>
        <v>0.71206870982612192</v>
      </c>
      <c r="J923" s="114">
        <f t="shared" si="67"/>
        <v>15.517241379310345</v>
      </c>
      <c r="K923" s="117">
        <f t="shared" si="68"/>
        <v>0</v>
      </c>
      <c r="L923" s="118">
        <f>VLOOKUP(B923,'All Menu'!B:G,6,0)</f>
        <v>5.1724137931034484</v>
      </c>
      <c r="M923" s="118">
        <f t="shared" si="69"/>
        <v>0</v>
      </c>
      <c r="N923" s="151">
        <f ca="1">VLOOKUP(B923,'All Menu'!B:H,7,0)</f>
        <v>4</v>
      </c>
    </row>
    <row r="924" spans="1:14" s="113" customFormat="1" ht="15.75" customHeight="1">
      <c r="A924" s="156" t="s">
        <v>2022</v>
      </c>
      <c r="B924" s="170" t="s">
        <v>1191</v>
      </c>
      <c r="C924" s="113" t="s">
        <v>1585</v>
      </c>
      <c r="D924" s="115" t="str">
        <f>VLOOKUP(B924,'All Menu'!B:D,3,0)</f>
        <v>عجين سفري</v>
      </c>
      <c r="E924" s="116">
        <f t="shared" si="70"/>
        <v>0.86206896551724144</v>
      </c>
      <c r="F924" s="119">
        <v>9.9499999999999993</v>
      </c>
      <c r="G924" s="119">
        <v>8.5775862068965516</v>
      </c>
      <c r="H924" s="115">
        <f>VLOOKUP(B924,'All Menu'!B:J,9,0)</f>
        <v>6.7972278571428568E-2</v>
      </c>
      <c r="I924" s="120">
        <f>VLOOKUP(B924,'All Menu'!B:M,12,0)</f>
        <v>0.9211521568571428</v>
      </c>
      <c r="J924" s="114">
        <f t="shared" si="67"/>
        <v>8.5775862068965516</v>
      </c>
      <c r="K924" s="117">
        <f t="shared" si="68"/>
        <v>0</v>
      </c>
      <c r="L924" s="118">
        <f>VLOOKUP(B924,'All Menu'!B:G,6,0)</f>
        <v>0.86206896551724144</v>
      </c>
      <c r="M924" s="118">
        <f t="shared" si="69"/>
        <v>0</v>
      </c>
      <c r="N924" s="151">
        <f ca="1">VLOOKUP(B924,'All Menu'!B:H,7,0)</f>
        <v>19.95</v>
      </c>
    </row>
    <row r="925" spans="1:14" s="113" customFormat="1" ht="15.75" customHeight="1">
      <c r="A925" s="156" t="s">
        <v>2022</v>
      </c>
      <c r="B925" s="170" t="s">
        <v>1236</v>
      </c>
      <c r="C925" s="113" t="s">
        <v>1817</v>
      </c>
      <c r="D925" s="115" t="str">
        <f>VLOOKUP(B925,'All Menu'!B:D,3,0)</f>
        <v>عجين سفري</v>
      </c>
      <c r="E925" s="116">
        <f t="shared" si="70"/>
        <v>7.7586206896551726</v>
      </c>
      <c r="F925" s="119">
        <v>10</v>
      </c>
      <c r="G925" s="119">
        <v>77.58620689655173</v>
      </c>
      <c r="H925" s="115">
        <f>VLOOKUP(B925,'All Menu'!B:J,9,0)</f>
        <v>4.373430966331612</v>
      </c>
      <c r="I925" s="120">
        <f>VLOOKUP(B925,'All Menu'!B:M,12,0)</f>
        <v>0.43631334211725892</v>
      </c>
      <c r="J925" s="114">
        <f t="shared" ref="J925:J988" si="71">F925*L925</f>
        <v>77.58620689655173</v>
      </c>
      <c r="K925" s="117">
        <f t="shared" ref="K925:K988" si="72">G925-J925</f>
        <v>0</v>
      </c>
      <c r="L925" s="118">
        <f>VLOOKUP(B925,'All Menu'!B:G,6,0)</f>
        <v>7.7586206896551726</v>
      </c>
      <c r="M925" s="118">
        <f t="shared" ref="M925:M988" si="73">E925-L925</f>
        <v>0</v>
      </c>
      <c r="N925" s="151">
        <f ca="1">VLOOKUP(B925,'All Menu'!B:H,7,0)</f>
        <v>239</v>
      </c>
    </row>
    <row r="926" spans="1:14" s="113" customFormat="1" ht="15.75" customHeight="1">
      <c r="A926" s="156" t="s">
        <v>2022</v>
      </c>
      <c r="B926" s="170" t="s">
        <v>1237</v>
      </c>
      <c r="C926" s="113" t="s">
        <v>1725</v>
      </c>
      <c r="D926" s="115" t="str">
        <f>VLOOKUP(B926,'All Menu'!B:D,3,0)</f>
        <v>عجين سفري</v>
      </c>
      <c r="E926" s="116">
        <f t="shared" ref="E926:E989" si="74">G926/F926</f>
        <v>9.4827586206896566</v>
      </c>
      <c r="F926" s="119">
        <v>1</v>
      </c>
      <c r="G926" s="119">
        <v>9.4827586206896566</v>
      </c>
      <c r="H926" s="115">
        <f>VLOOKUP(B926,'All Menu'!B:J,9,0)</f>
        <v>8.1795960894717474</v>
      </c>
      <c r="I926" s="120">
        <f>VLOOKUP(B926,'All Menu'!B:M,12,0)</f>
        <v>0.13742441238297948</v>
      </c>
      <c r="J926" s="114">
        <f t="shared" si="71"/>
        <v>9.4827586206896566</v>
      </c>
      <c r="K926" s="117">
        <f t="shared" si="72"/>
        <v>0</v>
      </c>
      <c r="L926" s="118">
        <f>VLOOKUP(B926,'All Menu'!B:G,6,0)</f>
        <v>9.4827586206896566</v>
      </c>
      <c r="M926" s="118">
        <f t="shared" si="73"/>
        <v>0</v>
      </c>
      <c r="N926" s="151">
        <f ca="1">VLOOKUP(B926,'All Menu'!B:H,7,0)</f>
        <v>77</v>
      </c>
    </row>
    <row r="927" spans="1:14" s="113" customFormat="1" ht="15.75" customHeight="1">
      <c r="A927" s="156" t="s">
        <v>2022</v>
      </c>
      <c r="B927" s="170" t="s">
        <v>1016</v>
      </c>
      <c r="C927" s="113" t="s">
        <v>1586</v>
      </c>
      <c r="D927" s="115" t="str">
        <f>VLOOKUP(B927,'All Menu'!B:D,3,0)</f>
        <v>عجين صالة</v>
      </c>
      <c r="E927" s="116">
        <f t="shared" si="74"/>
        <v>2.8017241379310347</v>
      </c>
      <c r="F927" s="119">
        <v>18.050000011921</v>
      </c>
      <c r="G927" s="119">
        <v>50.571120723054527</v>
      </c>
      <c r="H927" s="115">
        <f>VLOOKUP(B927,'All Menu'!B:J,9,0)</f>
        <v>1.0294577133917389</v>
      </c>
      <c r="I927" s="120">
        <f>VLOOKUP(B927,'All Menu'!B:M,12,0)</f>
        <v>0.63256278537402555</v>
      </c>
      <c r="J927" s="114">
        <f t="shared" si="71"/>
        <v>50.571120723054527</v>
      </c>
      <c r="K927" s="117">
        <f t="shared" si="72"/>
        <v>0</v>
      </c>
      <c r="L927" s="118">
        <f>VLOOKUP(B927,'All Menu'!B:G,6,0)</f>
        <v>2.8017241379310347</v>
      </c>
      <c r="M927" s="118">
        <f t="shared" si="73"/>
        <v>0</v>
      </c>
      <c r="N927" s="151">
        <f ca="1">VLOOKUP(B927,'All Menu'!B:H,7,0)</f>
        <v>18.050000011921</v>
      </c>
    </row>
    <row r="928" spans="1:14" s="113" customFormat="1" ht="15.75" customHeight="1">
      <c r="A928" s="156" t="s">
        <v>2022</v>
      </c>
      <c r="B928" s="170" t="s">
        <v>1017</v>
      </c>
      <c r="C928" s="113" t="s">
        <v>1588</v>
      </c>
      <c r="D928" s="115" t="str">
        <f>VLOOKUP(B928,'All Menu'!B:D,3,0)</f>
        <v>عجين صالة</v>
      </c>
      <c r="E928" s="116">
        <f t="shared" si="74"/>
        <v>1.9396551724137934</v>
      </c>
      <c r="F928" s="119">
        <v>41.050000011921</v>
      </c>
      <c r="G928" s="119">
        <v>79.622844850708844</v>
      </c>
      <c r="H928" s="115">
        <f>VLOOKUP(B928,'All Menu'!B:J,9,0)</f>
        <v>0.55335749614371599</v>
      </c>
      <c r="I928" s="120">
        <f>VLOOKUP(B928,'All Menu'!B:M,12,0)</f>
        <v>0.71471346865479535</v>
      </c>
      <c r="J928" s="114">
        <f t="shared" si="71"/>
        <v>79.622844850708844</v>
      </c>
      <c r="K928" s="117">
        <f t="shared" si="72"/>
        <v>0</v>
      </c>
      <c r="L928" s="118">
        <f>VLOOKUP(B928,'All Menu'!B:G,6,0)</f>
        <v>1.9396551724137931</v>
      </c>
      <c r="M928" s="118">
        <f t="shared" si="73"/>
        <v>0</v>
      </c>
      <c r="N928" s="151">
        <f ca="1">VLOOKUP(B928,'All Menu'!B:H,7,0)</f>
        <v>41.050000011921</v>
      </c>
    </row>
    <row r="929" spans="1:14" s="113" customFormat="1" ht="15.75" customHeight="1">
      <c r="A929" s="156" t="s">
        <v>2022</v>
      </c>
      <c r="B929" s="170" t="s">
        <v>847</v>
      </c>
      <c r="C929" s="113" t="s">
        <v>1589</v>
      </c>
      <c r="D929" s="115" t="str">
        <f>VLOOKUP(B929,'All Menu'!B:D,3,0)</f>
        <v>عجين صالة</v>
      </c>
      <c r="E929" s="116">
        <f t="shared" si="74"/>
        <v>3.6637931034482762</v>
      </c>
      <c r="F929" s="119">
        <v>12</v>
      </c>
      <c r="G929" s="119">
        <v>43.965517241379317</v>
      </c>
      <c r="H929" s="115">
        <f>VLOOKUP(B929,'All Menu'!B:J,9,0)</f>
        <v>1.4422489353279047</v>
      </c>
      <c r="I929" s="120">
        <f>VLOOKUP(B929,'All Menu'!B:M,12,0)</f>
        <v>0.60635087882814842</v>
      </c>
      <c r="J929" s="114">
        <f t="shared" si="71"/>
        <v>43.965517241379317</v>
      </c>
      <c r="K929" s="117">
        <f t="shared" si="72"/>
        <v>0</v>
      </c>
      <c r="L929" s="118">
        <f>VLOOKUP(B929,'All Menu'!B:G,6,0)</f>
        <v>3.6637931034482762</v>
      </c>
      <c r="M929" s="118">
        <f t="shared" si="73"/>
        <v>0</v>
      </c>
      <c r="N929" s="151">
        <f ca="1">VLOOKUP(B929,'All Menu'!B:H,7,0)</f>
        <v>12</v>
      </c>
    </row>
    <row r="930" spans="1:14" s="113" customFormat="1" ht="15.75" customHeight="1">
      <c r="A930" s="156" t="s">
        <v>2022</v>
      </c>
      <c r="B930" s="170" t="s">
        <v>844</v>
      </c>
      <c r="C930" s="113" t="s">
        <v>1579</v>
      </c>
      <c r="D930" s="115" t="str">
        <f>VLOOKUP(B930,'All Menu'!B:D,3,0)</f>
        <v>عجين صالة</v>
      </c>
      <c r="E930" s="116">
        <f t="shared" si="74"/>
        <v>1.7241379310344829</v>
      </c>
      <c r="F930" s="119">
        <v>25</v>
      </c>
      <c r="G930" s="119">
        <v>43.103448275862071</v>
      </c>
      <c r="H930" s="115">
        <f>VLOOKUP(B930,'All Menu'!B:J,9,0)</f>
        <v>0.76856262887934346</v>
      </c>
      <c r="I930" s="120">
        <f>VLOOKUP(B930,'All Menu'!B:M,12,0)</f>
        <v>0.5542336752499808</v>
      </c>
      <c r="J930" s="114">
        <f t="shared" si="71"/>
        <v>43.103448275862071</v>
      </c>
      <c r="K930" s="117">
        <f t="shared" si="72"/>
        <v>0</v>
      </c>
      <c r="L930" s="118">
        <f>VLOOKUP(B930,'All Menu'!B:G,6,0)</f>
        <v>1.7241379310344829</v>
      </c>
      <c r="M930" s="118">
        <f t="shared" si="73"/>
        <v>0</v>
      </c>
      <c r="N930" s="151">
        <f ca="1">VLOOKUP(B930,'All Menu'!B:H,7,0)</f>
        <v>25</v>
      </c>
    </row>
    <row r="931" spans="1:14" s="113" customFormat="1" ht="15.75" customHeight="1">
      <c r="A931" s="156" t="s">
        <v>2022</v>
      </c>
      <c r="B931" s="170" t="s">
        <v>848</v>
      </c>
      <c r="C931" s="113" t="s">
        <v>1590</v>
      </c>
      <c r="D931" s="115" t="str">
        <f>VLOOKUP(B931,'All Menu'!B:D,3,0)</f>
        <v>عجين صالة</v>
      </c>
      <c r="E931" s="116">
        <f t="shared" si="74"/>
        <v>2.3706896551724141</v>
      </c>
      <c r="F931" s="119">
        <v>7</v>
      </c>
      <c r="G931" s="119">
        <v>16.5948275862069</v>
      </c>
      <c r="H931" s="115">
        <f>VLOOKUP(B931,'All Menu'!B:J,9,0)</f>
        <v>1.1827914581719958</v>
      </c>
      <c r="I931" s="120">
        <f>VLOOKUP(B931,'All Menu'!B:M,12,0)</f>
        <v>0.50107705764381272</v>
      </c>
      <c r="J931" s="114">
        <f t="shared" si="71"/>
        <v>16.5948275862069</v>
      </c>
      <c r="K931" s="117">
        <f t="shared" si="72"/>
        <v>0</v>
      </c>
      <c r="L931" s="118">
        <f>VLOOKUP(B931,'All Menu'!B:G,6,0)</f>
        <v>2.3706896551724141</v>
      </c>
      <c r="M931" s="118">
        <f t="shared" si="73"/>
        <v>0</v>
      </c>
      <c r="N931" s="151">
        <f ca="1">VLOOKUP(B931,'All Menu'!B:H,7,0)</f>
        <v>7</v>
      </c>
    </row>
    <row r="932" spans="1:14" s="113" customFormat="1" ht="15.75" customHeight="1">
      <c r="A932" s="156" t="s">
        <v>2022</v>
      </c>
      <c r="B932" s="170" t="s">
        <v>1059</v>
      </c>
      <c r="C932" s="113" t="s">
        <v>1591</v>
      </c>
      <c r="D932" s="115" t="str">
        <f>VLOOKUP(B932,'All Menu'!B:D,3,0)</f>
        <v>عجين صالة</v>
      </c>
      <c r="E932" s="116">
        <f t="shared" si="74"/>
        <v>5.0431034482758621</v>
      </c>
      <c r="F932" s="119">
        <v>7</v>
      </c>
      <c r="G932" s="119">
        <v>35.301724137931032</v>
      </c>
      <c r="H932" s="115">
        <f>VLOOKUP(B932,'All Menu'!B:J,9,0)</f>
        <v>1.4278214859239893</v>
      </c>
      <c r="I932" s="120">
        <f>VLOOKUP(B932,'All Menu'!B:M,12,0)</f>
        <v>0.71687642330396106</v>
      </c>
      <c r="J932" s="114">
        <f t="shared" si="71"/>
        <v>35.301724137931032</v>
      </c>
      <c r="K932" s="117">
        <f t="shared" si="72"/>
        <v>0</v>
      </c>
      <c r="L932" s="118">
        <f>VLOOKUP(B932,'All Menu'!B:G,6,0)</f>
        <v>5.0431034482758621</v>
      </c>
      <c r="M932" s="118">
        <f t="shared" si="73"/>
        <v>0</v>
      </c>
      <c r="N932" s="151">
        <f ca="1">VLOOKUP(B932,'All Menu'!B:H,7,0)</f>
        <v>7</v>
      </c>
    </row>
    <row r="933" spans="1:14" s="113" customFormat="1" ht="15.75" customHeight="1">
      <c r="A933" s="156" t="s">
        <v>2022</v>
      </c>
      <c r="B933" s="170" t="s">
        <v>1058</v>
      </c>
      <c r="C933" s="113" t="s">
        <v>1789</v>
      </c>
      <c r="D933" s="115" t="str">
        <f>VLOOKUP(B933,'All Menu'!B:D,3,0)</f>
        <v>عجين صالة</v>
      </c>
      <c r="E933" s="116">
        <f t="shared" si="74"/>
        <v>4.6120689655172411</v>
      </c>
      <c r="F933" s="119">
        <v>2</v>
      </c>
      <c r="G933" s="119">
        <v>9.2241379310344822</v>
      </c>
      <c r="H933" s="115">
        <f>VLOOKUP(B933,'All Menu'!B:J,9,0)</f>
        <v>1.920005154131075</v>
      </c>
      <c r="I933" s="120">
        <f>VLOOKUP(B933,'All Menu'!B:M,12,0)</f>
        <v>0.5836998170482155</v>
      </c>
      <c r="J933" s="114">
        <f t="shared" si="71"/>
        <v>9.2241379310344822</v>
      </c>
      <c r="K933" s="117">
        <f t="shared" si="72"/>
        <v>0</v>
      </c>
      <c r="L933" s="118">
        <f>VLOOKUP(B933,'All Menu'!B:G,6,0)</f>
        <v>4.6120689655172411</v>
      </c>
      <c r="M933" s="118">
        <f t="shared" si="73"/>
        <v>0</v>
      </c>
      <c r="N933" s="151">
        <f ca="1">VLOOKUP(B933,'All Menu'!B:H,7,0)</f>
        <v>2</v>
      </c>
    </row>
    <row r="934" spans="1:14" s="113" customFormat="1" ht="15.75" customHeight="1">
      <c r="A934" s="156" t="s">
        <v>2022</v>
      </c>
      <c r="B934" s="170" t="s">
        <v>853</v>
      </c>
      <c r="C934" s="113" t="s">
        <v>1592</v>
      </c>
      <c r="D934" s="115" t="str">
        <f>VLOOKUP(B934,'All Menu'!B:D,3,0)</f>
        <v>عجين صالة</v>
      </c>
      <c r="E934" s="116">
        <f t="shared" si="74"/>
        <v>4.3103448275862073</v>
      </c>
      <c r="F934" s="119">
        <v>1</v>
      </c>
      <c r="G934" s="119">
        <v>4.3103448275862073</v>
      </c>
      <c r="H934" s="115">
        <f>VLOOKUP(B934,'All Menu'!B:J,9,0)</f>
        <v>1.513113826415488</v>
      </c>
      <c r="I934" s="120">
        <f>VLOOKUP(B934,'All Menu'!B:M,12,0)</f>
        <v>0.64895759227160688</v>
      </c>
      <c r="J934" s="114">
        <f t="shared" si="71"/>
        <v>4.3103448275862073</v>
      </c>
      <c r="K934" s="117">
        <f t="shared" si="72"/>
        <v>0</v>
      </c>
      <c r="L934" s="118">
        <f>VLOOKUP(B934,'All Menu'!B:G,6,0)</f>
        <v>4.3103448275862073</v>
      </c>
      <c r="M934" s="118">
        <f t="shared" si="73"/>
        <v>0</v>
      </c>
      <c r="N934" s="151">
        <f ca="1">VLOOKUP(B934,'All Menu'!B:H,7,0)</f>
        <v>1</v>
      </c>
    </row>
    <row r="935" spans="1:14" s="113" customFormat="1" ht="15.75" customHeight="1">
      <c r="A935" s="156" t="s">
        <v>2022</v>
      </c>
      <c r="B935" s="170" t="s">
        <v>852</v>
      </c>
      <c r="C935" s="113" t="s">
        <v>1593</v>
      </c>
      <c r="D935" s="115" t="str">
        <f>VLOOKUP(B935,'All Menu'!B:D,3,0)</f>
        <v>عجين صالة</v>
      </c>
      <c r="E935" s="116">
        <f t="shared" si="74"/>
        <v>4.7413793103448283</v>
      </c>
      <c r="F935" s="119">
        <v>3</v>
      </c>
      <c r="G935" s="119">
        <v>14.224137931034484</v>
      </c>
      <c r="H935" s="115">
        <f>VLOOKUP(B935,'All Menu'!B:J,9,0)</f>
        <v>1.6883278350315489</v>
      </c>
      <c r="I935" s="120">
        <f>VLOOKUP(B935,'All Menu'!B:M,12,0)</f>
        <v>0.64391631115698245</v>
      </c>
      <c r="J935" s="114">
        <f t="shared" si="71"/>
        <v>14.224137931034484</v>
      </c>
      <c r="K935" s="117">
        <f t="shared" si="72"/>
        <v>0</v>
      </c>
      <c r="L935" s="118">
        <f>VLOOKUP(B935,'All Menu'!B:G,6,0)</f>
        <v>4.7413793103448283</v>
      </c>
      <c r="M935" s="118">
        <f t="shared" si="73"/>
        <v>0</v>
      </c>
      <c r="N935" s="151">
        <f ca="1">VLOOKUP(B935,'All Menu'!B:H,7,0)</f>
        <v>3</v>
      </c>
    </row>
    <row r="936" spans="1:14" s="113" customFormat="1" ht="15.75" customHeight="1">
      <c r="A936" s="156" t="s">
        <v>2022</v>
      </c>
      <c r="B936" s="170" t="s">
        <v>851</v>
      </c>
      <c r="C936" s="113" t="s">
        <v>1583</v>
      </c>
      <c r="D936" s="115" t="str">
        <f>VLOOKUP(B936,'All Menu'!B:D,3,0)</f>
        <v>عجين صالة</v>
      </c>
      <c r="E936" s="116">
        <f t="shared" si="74"/>
        <v>4.3103448275862073</v>
      </c>
      <c r="F936" s="119">
        <v>8</v>
      </c>
      <c r="G936" s="119">
        <v>34.482758620689658</v>
      </c>
      <c r="H936" s="115">
        <f>VLOOKUP(B936,'All Menu'!B:J,9,0)</f>
        <v>1.1895627047223662</v>
      </c>
      <c r="I936" s="120">
        <f>VLOOKUP(B936,'All Menu'!B:M,12,0)</f>
        <v>0.72402145250441108</v>
      </c>
      <c r="J936" s="114">
        <f t="shared" si="71"/>
        <v>34.482758620689658</v>
      </c>
      <c r="K936" s="117">
        <f t="shared" si="72"/>
        <v>0</v>
      </c>
      <c r="L936" s="118">
        <f>VLOOKUP(B936,'All Menu'!B:G,6,0)</f>
        <v>4.3103448275862073</v>
      </c>
      <c r="M936" s="118">
        <f t="shared" si="73"/>
        <v>0</v>
      </c>
      <c r="N936" s="151">
        <f ca="1">VLOOKUP(B936,'All Menu'!B:H,7,0)</f>
        <v>8</v>
      </c>
    </row>
    <row r="937" spans="1:14" s="113" customFormat="1" ht="15.75" customHeight="1">
      <c r="A937" s="156" t="s">
        <v>2022</v>
      </c>
      <c r="B937" s="170" t="s">
        <v>849</v>
      </c>
      <c r="C937" s="113" t="s">
        <v>1594</v>
      </c>
      <c r="D937" s="115" t="str">
        <f>VLOOKUP(B937,'All Menu'!B:D,3,0)</f>
        <v>عجين صالة</v>
      </c>
      <c r="E937" s="116">
        <f t="shared" si="74"/>
        <v>3.8793103448275863</v>
      </c>
      <c r="F937" s="119">
        <v>10</v>
      </c>
      <c r="G937" s="119">
        <v>38.793103448275865</v>
      </c>
      <c r="H937" s="115">
        <f>VLOOKUP(B937,'All Menu'!B:J,9,0)</f>
        <v>1.6015707047223664</v>
      </c>
      <c r="I937" s="120">
        <f>VLOOKUP(B937,'All Menu'!B:M,12,0)</f>
        <v>0.58715066278267891</v>
      </c>
      <c r="J937" s="114">
        <f t="shared" si="71"/>
        <v>38.793103448275865</v>
      </c>
      <c r="K937" s="117">
        <f t="shared" si="72"/>
        <v>0</v>
      </c>
      <c r="L937" s="118">
        <f>VLOOKUP(B937,'All Menu'!B:G,6,0)</f>
        <v>3.8793103448275863</v>
      </c>
      <c r="M937" s="118">
        <f t="shared" si="73"/>
        <v>0</v>
      </c>
      <c r="N937" s="151">
        <f ca="1">VLOOKUP(B937,'All Menu'!B:H,7,0)</f>
        <v>10</v>
      </c>
    </row>
    <row r="938" spans="1:14" s="113" customFormat="1" ht="15.75" customHeight="1">
      <c r="A938" s="156" t="s">
        <v>2022</v>
      </c>
      <c r="B938" s="170" t="s">
        <v>1064</v>
      </c>
      <c r="C938" s="113" t="s">
        <v>1595</v>
      </c>
      <c r="D938" s="115" t="str">
        <f>VLOOKUP(B938,'All Menu'!B:D,3,0)</f>
        <v>عجين صالة</v>
      </c>
      <c r="E938" s="116">
        <f t="shared" si="74"/>
        <v>5.1724137931034484</v>
      </c>
      <c r="F938" s="119">
        <v>2</v>
      </c>
      <c r="G938" s="119">
        <v>10.344827586206897</v>
      </c>
      <c r="H938" s="115">
        <f>VLOOKUP(B938,'All Menu'!B:J,9,0)</f>
        <v>1.3692997767614381</v>
      </c>
      <c r="I938" s="120">
        <f>VLOOKUP(B938,'All Menu'!B:M,12,0)</f>
        <v>0.73526870982612202</v>
      </c>
      <c r="J938" s="114">
        <f t="shared" si="71"/>
        <v>10.344827586206897</v>
      </c>
      <c r="K938" s="117">
        <f t="shared" si="72"/>
        <v>0</v>
      </c>
      <c r="L938" s="118">
        <f>VLOOKUP(B938,'All Menu'!B:G,6,0)</f>
        <v>5.1724137931034484</v>
      </c>
      <c r="M938" s="118">
        <f t="shared" si="73"/>
        <v>0</v>
      </c>
      <c r="N938" s="151">
        <f ca="1">VLOOKUP(B938,'All Menu'!B:H,7,0)</f>
        <v>2</v>
      </c>
    </row>
    <row r="939" spans="1:14" s="113" customFormat="1" ht="15.75" customHeight="1">
      <c r="A939" s="156" t="s">
        <v>2022</v>
      </c>
      <c r="B939" s="170" t="s">
        <v>1304</v>
      </c>
      <c r="C939" s="113" t="s">
        <v>1596</v>
      </c>
      <c r="D939" s="115" t="str">
        <f>VLOOKUP(B939,'All Menu'!B:D,3,0)</f>
        <v>عجين صالة</v>
      </c>
      <c r="E939" s="116">
        <f t="shared" si="74"/>
        <v>9.4827586206896566</v>
      </c>
      <c r="F939" s="119">
        <v>2</v>
      </c>
      <c r="G939" s="119">
        <v>18.965517241379313</v>
      </c>
      <c r="H939" s="115">
        <f>VLOOKUP(B939,'All Menu'!B:J,9,0)</f>
        <v>7.8089064342993337</v>
      </c>
      <c r="I939" s="120">
        <f>VLOOKUP(B939,'All Menu'!B:M,12,0)</f>
        <v>0.17651532147388857</v>
      </c>
      <c r="J939" s="114">
        <f t="shared" si="71"/>
        <v>18.965517241379313</v>
      </c>
      <c r="K939" s="117">
        <f t="shared" si="72"/>
        <v>0</v>
      </c>
      <c r="L939" s="118">
        <f>VLOOKUP(B939,'All Menu'!B:G,6,0)</f>
        <v>9.4827586206896566</v>
      </c>
      <c r="M939" s="118">
        <f t="shared" si="73"/>
        <v>0</v>
      </c>
      <c r="N939" s="151">
        <f ca="1">VLOOKUP(B939,'All Menu'!B:H,7,0)</f>
        <v>2</v>
      </c>
    </row>
    <row r="940" spans="1:14" s="113" customFormat="1" ht="15.75" customHeight="1">
      <c r="A940" s="156" t="s">
        <v>2022</v>
      </c>
      <c r="B940" s="170" t="s">
        <v>1038</v>
      </c>
      <c r="C940" s="113" t="s">
        <v>1855</v>
      </c>
      <c r="D940" s="115" t="str">
        <f>VLOOKUP(B940,'All Menu'!B:D,3,0)</f>
        <v>عجين صالة</v>
      </c>
      <c r="E940" s="116">
        <f t="shared" si="74"/>
        <v>1.6810344827586208</v>
      </c>
      <c r="F940" s="119">
        <v>3</v>
      </c>
      <c r="G940" s="119">
        <v>5.0431034482758621</v>
      </c>
      <c r="H940" s="115">
        <f>VLOOKUP(B940,'All Menu'!B:J,9,0)</f>
        <v>0.22126973361010208</v>
      </c>
      <c r="I940" s="120">
        <f>VLOOKUP(B940,'All Menu'!B:M,12,0)</f>
        <v>0.86837287641655458</v>
      </c>
      <c r="J940" s="114">
        <f t="shared" si="71"/>
        <v>5.0431034482758621</v>
      </c>
      <c r="K940" s="117">
        <f t="shared" si="72"/>
        <v>0</v>
      </c>
      <c r="L940" s="118">
        <f>VLOOKUP(B940,'All Menu'!B:G,6,0)</f>
        <v>1.6810344827586208</v>
      </c>
      <c r="M940" s="118">
        <f t="shared" si="73"/>
        <v>0</v>
      </c>
      <c r="N940" s="151">
        <f ca="1">VLOOKUP(B940,'All Menu'!B:H,7,0)</f>
        <v>3</v>
      </c>
    </row>
    <row r="941" spans="1:14" s="113" customFormat="1" ht="15.75" customHeight="1">
      <c r="A941" s="156" t="s">
        <v>2022</v>
      </c>
      <c r="B941" s="170" t="s">
        <v>1033</v>
      </c>
      <c r="C941" s="113" t="s">
        <v>1856</v>
      </c>
      <c r="D941" s="115" t="str">
        <f>VLOOKUP(B941,'All Menu'!B:D,3,0)</f>
        <v>عجين صالة</v>
      </c>
      <c r="E941" s="116">
        <f t="shared" si="74"/>
        <v>1.9396551724137929</v>
      </c>
      <c r="F941" s="119">
        <v>3</v>
      </c>
      <c r="G941" s="119">
        <v>5.818965517241379</v>
      </c>
      <c r="H941" s="115">
        <f>VLOOKUP(B941,'All Menu'!B:J,9,0)</f>
        <v>0.48604806694343539</v>
      </c>
      <c r="I941" s="120">
        <f>VLOOKUP(B941,'All Menu'!B:M,12,0)</f>
        <v>0.74941521882027329</v>
      </c>
      <c r="J941" s="114">
        <f t="shared" si="71"/>
        <v>5.818965517241379</v>
      </c>
      <c r="K941" s="117">
        <f t="shared" si="72"/>
        <v>0</v>
      </c>
      <c r="L941" s="118">
        <f>VLOOKUP(B941,'All Menu'!B:G,6,0)</f>
        <v>1.9396551724137931</v>
      </c>
      <c r="M941" s="118">
        <f t="shared" si="73"/>
        <v>0</v>
      </c>
      <c r="N941" s="151">
        <f ca="1">VLOOKUP(B941,'All Menu'!B:H,7,0)</f>
        <v>3</v>
      </c>
    </row>
    <row r="942" spans="1:14" s="113" customFormat="1" ht="15.75" customHeight="1">
      <c r="A942" s="156" t="s">
        <v>2022</v>
      </c>
      <c r="B942" s="170" t="s">
        <v>1171</v>
      </c>
      <c r="C942" s="113" t="s">
        <v>1858</v>
      </c>
      <c r="D942" s="115" t="str">
        <f>VLOOKUP(B942,'All Menu'!B:D,3,0)</f>
        <v>عجين صالة</v>
      </c>
      <c r="E942" s="116">
        <f t="shared" si="74"/>
        <v>1.6810344827586208</v>
      </c>
      <c r="F942" s="119">
        <v>1</v>
      </c>
      <c r="G942" s="119">
        <v>1.6810344827586208</v>
      </c>
      <c r="H942" s="115">
        <f>VLOOKUP(B942,'All Menu'!B:J,9,0)</f>
        <v>0.24125973361010206</v>
      </c>
      <c r="I942" s="120">
        <f>VLOOKUP(B942,'All Menu'!B:M,12,0)</f>
        <v>0.85648138923706751</v>
      </c>
      <c r="J942" s="114">
        <f t="shared" si="71"/>
        <v>1.6810344827586208</v>
      </c>
      <c r="K942" s="117">
        <f t="shared" si="72"/>
        <v>0</v>
      </c>
      <c r="L942" s="118">
        <f>VLOOKUP(B942,'All Menu'!B:G,6,0)</f>
        <v>1.6810344827586208</v>
      </c>
      <c r="M942" s="118">
        <f t="shared" si="73"/>
        <v>0</v>
      </c>
      <c r="N942" s="151">
        <f ca="1">VLOOKUP(B942,'All Menu'!B:H,7,0)</f>
        <v>1</v>
      </c>
    </row>
    <row r="943" spans="1:14" s="113" customFormat="1" ht="15.75" customHeight="1">
      <c r="A943" s="156" t="s">
        <v>2022</v>
      </c>
      <c r="B943" s="170" t="s">
        <v>1036</v>
      </c>
      <c r="C943" s="113" t="s">
        <v>1572</v>
      </c>
      <c r="D943" s="115" t="str">
        <f>VLOOKUP(B943,'All Menu'!B:D,3,0)</f>
        <v>عجين صالة</v>
      </c>
      <c r="E943" s="116">
        <f t="shared" si="74"/>
        <v>1.6810344827586208</v>
      </c>
      <c r="F943" s="119">
        <v>1</v>
      </c>
      <c r="G943" s="119">
        <v>1.6810344827586208</v>
      </c>
      <c r="H943" s="115">
        <f>VLOOKUP(B943,'All Menu'!B:J,9,0)</f>
        <v>0.541439733610102</v>
      </c>
      <c r="I943" s="120">
        <f>VLOOKUP(B943,'All Menu'!B:M,12,0)</f>
        <v>0.67791277385245219</v>
      </c>
      <c r="J943" s="114">
        <f t="shared" si="71"/>
        <v>1.6810344827586208</v>
      </c>
      <c r="K943" s="117">
        <f t="shared" si="72"/>
        <v>0</v>
      </c>
      <c r="L943" s="118">
        <f>VLOOKUP(B943,'All Menu'!B:G,6,0)</f>
        <v>1.6810344827586208</v>
      </c>
      <c r="M943" s="118">
        <f t="shared" si="73"/>
        <v>0</v>
      </c>
      <c r="N943" s="151">
        <f ca="1">VLOOKUP(B943,'All Menu'!B:H,7,0)</f>
        <v>1</v>
      </c>
    </row>
    <row r="944" spans="1:14" s="113" customFormat="1" ht="15.75" customHeight="1">
      <c r="A944" s="156" t="s">
        <v>2022</v>
      </c>
      <c r="B944" s="170" t="s">
        <v>1306</v>
      </c>
      <c r="C944" s="113" t="s">
        <v>1597</v>
      </c>
      <c r="D944" s="115" t="str">
        <f>VLOOKUP(B944,'All Menu'!B:D,3,0)</f>
        <v>عجين صالة</v>
      </c>
      <c r="E944" s="116">
        <f t="shared" si="74"/>
        <v>9.4827586206896566</v>
      </c>
      <c r="F944" s="119">
        <v>5.5</v>
      </c>
      <c r="G944" s="119">
        <v>52.15517241379311</v>
      </c>
      <c r="H944" s="115">
        <f>VLOOKUP(B944,'All Menu'!B:J,9,0)</f>
        <v>4.0027413111591983</v>
      </c>
      <c r="I944" s="120">
        <f>VLOOKUP(B944,'All Menu'!B:M,12,0)</f>
        <v>0.57789273445957556</v>
      </c>
      <c r="J944" s="114">
        <f t="shared" si="71"/>
        <v>52.15517241379311</v>
      </c>
      <c r="K944" s="117">
        <f t="shared" si="72"/>
        <v>0</v>
      </c>
      <c r="L944" s="118">
        <f>VLOOKUP(B944,'All Menu'!B:G,6,0)</f>
        <v>9.4827586206896566</v>
      </c>
      <c r="M944" s="118">
        <f t="shared" si="73"/>
        <v>0</v>
      </c>
      <c r="N944" s="151">
        <f ca="1">VLOOKUP(B944,'All Menu'!B:H,7,0)</f>
        <v>5.5</v>
      </c>
    </row>
    <row r="945" spans="1:14" s="113" customFormat="1" ht="15.75" customHeight="1">
      <c r="A945" s="156" t="s">
        <v>2022</v>
      </c>
      <c r="B945" s="170" t="s">
        <v>904</v>
      </c>
      <c r="C945" s="113" t="s">
        <v>1598</v>
      </c>
      <c r="D945" s="115" t="str">
        <f>VLOOKUP(B945,'All Menu'!B:D,3,0)</f>
        <v>فتات سفري</v>
      </c>
      <c r="E945" s="116">
        <f t="shared" si="74"/>
        <v>4.6551724137931041</v>
      </c>
      <c r="F945" s="119">
        <v>1</v>
      </c>
      <c r="G945" s="119">
        <v>4.6551724137931041</v>
      </c>
      <c r="H945" s="115">
        <f>VLOOKUP(B945,'All Menu'!B:J,9,0)</f>
        <v>1.4426836167370332</v>
      </c>
      <c r="I945" s="120">
        <f>VLOOKUP(B945,'All Menu'!B:M,12,0)</f>
        <v>0.69009018603426697</v>
      </c>
      <c r="J945" s="114">
        <f t="shared" si="71"/>
        <v>4.6551724137931041</v>
      </c>
      <c r="K945" s="117">
        <f t="shared" si="72"/>
        <v>0</v>
      </c>
      <c r="L945" s="118">
        <f>VLOOKUP(B945,'All Menu'!B:G,6,0)</f>
        <v>4.6551724137931041</v>
      </c>
      <c r="M945" s="118">
        <f t="shared" si="73"/>
        <v>0</v>
      </c>
      <c r="N945" s="151">
        <f ca="1">VLOOKUP(B945,'All Menu'!B:H,7,0)</f>
        <v>1</v>
      </c>
    </row>
    <row r="946" spans="1:14" s="113" customFormat="1" ht="15.75" customHeight="1">
      <c r="A946" s="156" t="s">
        <v>2022</v>
      </c>
      <c r="B946" s="170" t="s">
        <v>1157</v>
      </c>
      <c r="C946" s="113" t="s">
        <v>1601</v>
      </c>
      <c r="D946" s="115" t="str">
        <f>VLOOKUP(B946,'All Menu'!B:D,3,0)</f>
        <v>فتات سفري</v>
      </c>
      <c r="E946" s="116">
        <f t="shared" si="74"/>
        <v>4.0948275862068968</v>
      </c>
      <c r="F946" s="119">
        <v>3</v>
      </c>
      <c r="G946" s="119">
        <v>12.28448275862069</v>
      </c>
      <c r="H946" s="115">
        <f>VLOOKUP(B946,'All Menu'!B:J,9,0)</f>
        <v>1.0118494252964787</v>
      </c>
      <c r="I946" s="120">
        <f>VLOOKUP(B946,'All Menu'!B:M,12,0)</f>
        <v>0.75289571929601784</v>
      </c>
      <c r="J946" s="114">
        <f t="shared" si="71"/>
        <v>12.28448275862069</v>
      </c>
      <c r="K946" s="117">
        <f t="shared" si="72"/>
        <v>0</v>
      </c>
      <c r="L946" s="118">
        <f>VLOOKUP(B946,'All Menu'!B:G,6,0)</f>
        <v>4.0948275862068968</v>
      </c>
      <c r="M946" s="118">
        <f t="shared" si="73"/>
        <v>0</v>
      </c>
      <c r="N946" s="151">
        <f ca="1">VLOOKUP(B946,'All Menu'!B:H,7,0)</f>
        <v>12</v>
      </c>
    </row>
    <row r="947" spans="1:14" s="113" customFormat="1" ht="15.75" customHeight="1">
      <c r="A947" s="156" t="s">
        <v>2022</v>
      </c>
      <c r="B947" s="170" t="s">
        <v>1177</v>
      </c>
      <c r="C947" s="113" t="s">
        <v>1607</v>
      </c>
      <c r="D947" s="115" t="str">
        <f>VLOOKUP(B947,'All Menu'!B:D,3,0)</f>
        <v>فتات سفري</v>
      </c>
      <c r="E947" s="116">
        <f t="shared" si="74"/>
        <v>3.0172413793103452</v>
      </c>
      <c r="F947" s="119">
        <v>7</v>
      </c>
      <c r="G947" s="119">
        <v>21.120689655172416</v>
      </c>
      <c r="H947" s="115">
        <f>VLOOKUP(B947,'All Menu'!B:J,9,0)</f>
        <v>2.4346055430311861</v>
      </c>
      <c r="I947" s="120">
        <f>VLOOKUP(B947,'All Menu'!B:M,12,0)</f>
        <v>0.19310216288109269</v>
      </c>
      <c r="J947" s="114">
        <f t="shared" si="71"/>
        <v>21.120689655172416</v>
      </c>
      <c r="K947" s="117">
        <f t="shared" si="72"/>
        <v>0</v>
      </c>
      <c r="L947" s="118">
        <f>VLOOKUP(B947,'All Menu'!B:G,6,0)</f>
        <v>3.0172413793103452</v>
      </c>
      <c r="M947" s="118">
        <f t="shared" si="73"/>
        <v>0</v>
      </c>
      <c r="N947" s="151">
        <f ca="1">VLOOKUP(B947,'All Menu'!B:H,7,0)</f>
        <v>13</v>
      </c>
    </row>
    <row r="948" spans="1:14" s="113" customFormat="1" ht="15.75" customHeight="1">
      <c r="A948" s="156" t="s">
        <v>2022</v>
      </c>
      <c r="B948" s="170" t="s">
        <v>833</v>
      </c>
      <c r="C948" s="113" t="s">
        <v>1602</v>
      </c>
      <c r="D948" s="115" t="str">
        <f>VLOOKUP(B948,'All Menu'!B:D,3,0)</f>
        <v>فتات صالة</v>
      </c>
      <c r="E948" s="116">
        <f t="shared" si="74"/>
        <v>5.3712988505747132</v>
      </c>
      <c r="F948" s="119">
        <v>3</v>
      </c>
      <c r="G948" s="119">
        <v>16.113896551724139</v>
      </c>
      <c r="H948" s="115">
        <f>VLOOKUP(B948,'All Menu'!B:J,9,0)</f>
        <v>0.77015439439883226</v>
      </c>
      <c r="I948" s="120">
        <f>VLOOKUP(B948,'All Menu'!B:M,12,0)</f>
        <v>0.86764754111071918</v>
      </c>
      <c r="J948" s="114">
        <f t="shared" si="71"/>
        <v>17.456896551724139</v>
      </c>
      <c r="K948" s="117">
        <f t="shared" si="72"/>
        <v>-1.343</v>
      </c>
      <c r="L948" s="118">
        <f>VLOOKUP(B948,'All Menu'!B:G,6,0)</f>
        <v>5.8189655172413799</v>
      </c>
      <c r="M948" s="118">
        <f t="shared" si="73"/>
        <v>-0.44766666666666666</v>
      </c>
      <c r="N948" s="151">
        <f ca="1">VLOOKUP(B948,'All Menu'!B:H,7,0)</f>
        <v>3</v>
      </c>
    </row>
    <row r="949" spans="1:14" s="113" customFormat="1" ht="15.75" customHeight="1">
      <c r="A949" s="156" t="s">
        <v>2022</v>
      </c>
      <c r="B949" s="170" t="s">
        <v>835</v>
      </c>
      <c r="C949" s="113" t="s">
        <v>1604</v>
      </c>
      <c r="D949" s="115" t="str">
        <f>VLOOKUP(B949,'All Menu'!B:D,3,0)</f>
        <v>فتات صالة</v>
      </c>
      <c r="E949" s="116">
        <f t="shared" si="74"/>
        <v>4.0948275862068968</v>
      </c>
      <c r="F949" s="119">
        <v>19</v>
      </c>
      <c r="G949" s="119">
        <v>77.801724137931046</v>
      </c>
      <c r="H949" s="115">
        <f>VLOOKUP(B949,'All Menu'!B:J,9,0)</f>
        <v>0.77612959771027179</v>
      </c>
      <c r="I949" s="120">
        <f>VLOOKUP(B949,'All Menu'!B:M,12,0)</f>
        <v>0.81046098245391263</v>
      </c>
      <c r="J949" s="114">
        <f t="shared" si="71"/>
        <v>77.801724137931046</v>
      </c>
      <c r="K949" s="117">
        <f t="shared" si="72"/>
        <v>0</v>
      </c>
      <c r="L949" s="118">
        <f>VLOOKUP(B949,'All Menu'!B:G,6,0)</f>
        <v>4.0948275862068968</v>
      </c>
      <c r="M949" s="118">
        <f t="shared" si="73"/>
        <v>0</v>
      </c>
      <c r="N949" s="151">
        <f ca="1">VLOOKUP(B949,'All Menu'!B:H,7,0)</f>
        <v>19</v>
      </c>
    </row>
    <row r="950" spans="1:14" s="113" customFormat="1" ht="15.75" customHeight="1">
      <c r="A950" s="156" t="s">
        <v>2022</v>
      </c>
      <c r="B950" s="170" t="s">
        <v>843</v>
      </c>
      <c r="C950" s="113" t="s">
        <v>1605</v>
      </c>
      <c r="D950" s="115" t="str">
        <f>VLOOKUP(B950,'All Menu'!B:D,3,0)</f>
        <v>فتات صالة</v>
      </c>
      <c r="E950" s="116">
        <f t="shared" si="74"/>
        <v>4.9568965517241379</v>
      </c>
      <c r="F950" s="119">
        <v>12</v>
      </c>
      <c r="G950" s="119">
        <v>59.482758620689651</v>
      </c>
      <c r="H950" s="115">
        <f>VLOOKUP(B950,'All Menu'!B:J,9,0)</f>
        <v>1.1318647891508262</v>
      </c>
      <c r="I950" s="120">
        <f>VLOOKUP(B950,'All Menu'!B:M,12,0)</f>
        <v>0.77165858166696377</v>
      </c>
      <c r="J950" s="114">
        <f t="shared" si="71"/>
        <v>59.482758620689651</v>
      </c>
      <c r="K950" s="117">
        <f t="shared" si="72"/>
        <v>0</v>
      </c>
      <c r="L950" s="118">
        <f>VLOOKUP(B950,'All Menu'!B:G,6,0)</f>
        <v>4.9568965517241379</v>
      </c>
      <c r="M950" s="118">
        <f t="shared" si="73"/>
        <v>0</v>
      </c>
      <c r="N950" s="151">
        <f ca="1">VLOOKUP(B950,'All Menu'!B:H,7,0)</f>
        <v>12</v>
      </c>
    </row>
    <row r="951" spans="1:14" s="113" customFormat="1" ht="15.75" customHeight="1">
      <c r="A951" s="156" t="s">
        <v>2022</v>
      </c>
      <c r="B951" s="170" t="s">
        <v>828</v>
      </c>
      <c r="C951" s="113" t="s">
        <v>1606</v>
      </c>
      <c r="D951" s="115" t="str">
        <f>VLOOKUP(B951,'All Menu'!B:D,3,0)</f>
        <v>فتات صالة</v>
      </c>
      <c r="E951" s="116">
        <f t="shared" si="74"/>
        <v>4.0948275862068968</v>
      </c>
      <c r="F951" s="119">
        <v>3</v>
      </c>
      <c r="G951" s="119">
        <v>12.28448275862069</v>
      </c>
      <c r="H951" s="115">
        <f>VLOOKUP(B951,'All Menu'!B:J,9,0)</f>
        <v>1.8333707245575628</v>
      </c>
      <c r="I951" s="120">
        <f>VLOOKUP(B951,'All Menu'!B:M,12,0)</f>
        <v>0.55227157042383734</v>
      </c>
      <c r="J951" s="114">
        <f t="shared" si="71"/>
        <v>12.28448275862069</v>
      </c>
      <c r="K951" s="117">
        <f t="shared" si="72"/>
        <v>0</v>
      </c>
      <c r="L951" s="118">
        <f>VLOOKUP(B951,'All Menu'!B:G,6,0)</f>
        <v>4.0948275862068968</v>
      </c>
      <c r="M951" s="118">
        <f t="shared" si="73"/>
        <v>0</v>
      </c>
      <c r="N951" s="151">
        <f ca="1">VLOOKUP(B951,'All Menu'!B:H,7,0)</f>
        <v>3</v>
      </c>
    </row>
    <row r="952" spans="1:14" s="113" customFormat="1" ht="15.75" customHeight="1">
      <c r="A952" s="156" t="s">
        <v>2022</v>
      </c>
      <c r="B952" s="170" t="s">
        <v>1608</v>
      </c>
      <c r="C952" s="113" t="s">
        <v>1609</v>
      </c>
      <c r="D952" s="115" t="str">
        <f>VLOOKUP(B952,'All Menu'!B:D,3,0)</f>
        <v>فتات صالة</v>
      </c>
      <c r="E952" s="116">
        <f t="shared" si="74"/>
        <v>3.8793103448275863</v>
      </c>
      <c r="F952" s="119">
        <v>2</v>
      </c>
      <c r="G952" s="119">
        <v>7.7586206896551726</v>
      </c>
      <c r="H952" s="115">
        <f>VLOOKUP(B952,'All Menu'!B:J,9,0)</f>
        <v>1.4293392954936059</v>
      </c>
      <c r="I952" s="120">
        <f>VLOOKUP(B952,'All Menu'!B:M,12,0)</f>
        <v>0.6315480927172038</v>
      </c>
      <c r="J952" s="114">
        <f t="shared" si="71"/>
        <v>7.7586206896551726</v>
      </c>
      <c r="K952" s="117">
        <f t="shared" si="72"/>
        <v>0</v>
      </c>
      <c r="L952" s="118">
        <f>VLOOKUP(B952,'All Menu'!B:G,6,0)</f>
        <v>3.8793103448275863</v>
      </c>
      <c r="M952" s="118">
        <f t="shared" si="73"/>
        <v>0</v>
      </c>
      <c r="N952" s="151">
        <f ca="1">VLOOKUP(B952,'All Menu'!B:H,7,0)</f>
        <v>2</v>
      </c>
    </row>
    <row r="953" spans="1:14" s="113" customFormat="1" ht="15.75" customHeight="1">
      <c r="A953" s="156" t="s">
        <v>2022</v>
      </c>
      <c r="B953" s="170">
        <v>60001</v>
      </c>
      <c r="C953" s="113" t="s">
        <v>1932</v>
      </c>
      <c r="D953" s="115" t="str">
        <f>VLOOKUP(B953,'All Menu'!B:D,3,0)</f>
        <v>لحوم بلدية</v>
      </c>
      <c r="E953" s="116">
        <f t="shared" si="74"/>
        <v>13.5</v>
      </c>
      <c r="F953" s="119">
        <v>1.35</v>
      </c>
      <c r="G953" s="119">
        <v>18.225000000000001</v>
      </c>
      <c r="H953" s="115">
        <f>VLOOKUP(B953,'All Menu'!B:J,9,0)</f>
        <v>11.5</v>
      </c>
      <c r="I953" s="120">
        <f>VLOOKUP(B953,'All Menu'!B:M,12,0)</f>
        <v>0.14814814814814814</v>
      </c>
      <c r="J953" s="114">
        <f t="shared" si="71"/>
        <v>18.225000000000001</v>
      </c>
      <c r="K953" s="117">
        <f t="shared" si="72"/>
        <v>0</v>
      </c>
      <c r="L953" s="118">
        <f>VLOOKUP(B953,'All Menu'!B:G,6,0)</f>
        <v>13.5</v>
      </c>
      <c r="M953" s="118">
        <f t="shared" si="73"/>
        <v>0</v>
      </c>
      <c r="N953" s="151">
        <f ca="1">VLOOKUP(B953,'All Menu'!B:H,7,0)</f>
        <v>497.47180000000003</v>
      </c>
    </row>
    <row r="954" spans="1:14" s="113" customFormat="1" ht="15.75" customHeight="1">
      <c r="A954" s="156" t="s">
        <v>2022</v>
      </c>
      <c r="B954" s="170">
        <v>60001</v>
      </c>
      <c r="C954" s="113" t="s">
        <v>1932</v>
      </c>
      <c r="D954" s="115" t="str">
        <f>VLOOKUP(B954,'All Menu'!B:D,3,0)</f>
        <v>لحوم بلدية</v>
      </c>
      <c r="E954" s="116">
        <f t="shared" si="74"/>
        <v>13.375501781424816</v>
      </c>
      <c r="F954" s="119">
        <v>74.434799999999996</v>
      </c>
      <c r="G954" s="119">
        <v>995.60279999999989</v>
      </c>
      <c r="H954" s="115">
        <f>VLOOKUP(B954,'All Menu'!B:J,9,0)</f>
        <v>11.5</v>
      </c>
      <c r="I954" s="120">
        <f>VLOOKUP(B954,'All Menu'!B:M,12,0)</f>
        <v>0.14814814814814814</v>
      </c>
      <c r="J954" s="114">
        <f t="shared" si="71"/>
        <v>1004.8697999999999</v>
      </c>
      <c r="K954" s="117">
        <f t="shared" si="72"/>
        <v>-9.2670000000000528</v>
      </c>
      <c r="L954" s="118">
        <f>VLOOKUP(B954,'All Menu'!B:G,6,0)</f>
        <v>13.5</v>
      </c>
      <c r="M954" s="118">
        <f t="shared" si="73"/>
        <v>-0.12449821857518373</v>
      </c>
      <c r="N954" s="151">
        <f ca="1">VLOOKUP(B954,'All Menu'!B:H,7,0)</f>
        <v>497.47180000000003</v>
      </c>
    </row>
    <row r="955" spans="1:14" s="113" customFormat="1" ht="15.75" customHeight="1">
      <c r="A955" s="156" t="s">
        <v>2022</v>
      </c>
      <c r="B955" s="170">
        <v>60002</v>
      </c>
      <c r="C955" s="113" t="s">
        <v>1969</v>
      </c>
      <c r="D955" s="115" t="str">
        <f>VLOOKUP(B955,'All Menu'!B:D,3,0)</f>
        <v>لحوم بلدية</v>
      </c>
      <c r="E955" s="116">
        <f t="shared" si="74"/>
        <v>12.380817932922655</v>
      </c>
      <c r="F955" s="119">
        <v>58.44</v>
      </c>
      <c r="G955" s="119">
        <v>723.53499999999997</v>
      </c>
      <c r="H955" s="115">
        <f>VLOOKUP(B955,'All Menu'!B:J,9,0)</f>
        <v>11.5</v>
      </c>
      <c r="I955" s="120">
        <f>VLOOKUP(B955,'All Menu'!B:M,12,0)</f>
        <v>0.08</v>
      </c>
      <c r="J955" s="114">
        <f t="shared" si="71"/>
        <v>730.5</v>
      </c>
      <c r="K955" s="117">
        <f t="shared" si="72"/>
        <v>-6.9650000000000318</v>
      </c>
      <c r="L955" s="118">
        <f>VLOOKUP(B955,'All Menu'!B:G,6,0)</f>
        <v>12.5</v>
      </c>
      <c r="M955" s="118">
        <f t="shared" si="73"/>
        <v>-0.11918206707734491</v>
      </c>
      <c r="N955" s="151">
        <f ca="1">VLOOKUP(B955,'All Menu'!B:H,7,0)</f>
        <v>1098.8609999999999</v>
      </c>
    </row>
    <row r="956" spans="1:14" s="113" customFormat="1" ht="15.75" customHeight="1">
      <c r="A956" s="156" t="s">
        <v>2022</v>
      </c>
      <c r="B956" s="170">
        <v>60002</v>
      </c>
      <c r="C956" s="113" t="s">
        <v>1969</v>
      </c>
      <c r="D956" s="115" t="str">
        <f>VLOOKUP(B956,'All Menu'!B:D,3,0)</f>
        <v>لحوم بلدية</v>
      </c>
      <c r="E956" s="116">
        <f t="shared" si="74"/>
        <v>12.5</v>
      </c>
      <c r="F956" s="119">
        <v>5</v>
      </c>
      <c r="G956" s="119">
        <v>62.5</v>
      </c>
      <c r="H956" s="115">
        <f>VLOOKUP(B956,'All Menu'!B:J,9,0)</f>
        <v>11.5</v>
      </c>
      <c r="I956" s="120">
        <f>VLOOKUP(B956,'All Menu'!B:M,12,0)</f>
        <v>0.08</v>
      </c>
      <c r="J956" s="114">
        <f t="shared" si="71"/>
        <v>62.5</v>
      </c>
      <c r="K956" s="117">
        <f t="shared" si="72"/>
        <v>0</v>
      </c>
      <c r="L956" s="118">
        <f>VLOOKUP(B956,'All Menu'!B:G,6,0)</f>
        <v>12.5</v>
      </c>
      <c r="M956" s="118">
        <f t="shared" si="73"/>
        <v>0</v>
      </c>
      <c r="N956" s="151">
        <f ca="1">VLOOKUP(B956,'All Menu'!B:H,7,0)</f>
        <v>1098.8609999999999</v>
      </c>
    </row>
    <row r="957" spans="1:14" s="113" customFormat="1" ht="15.75" customHeight="1">
      <c r="A957" s="156" t="s">
        <v>2022</v>
      </c>
      <c r="B957" s="170">
        <v>60002</v>
      </c>
      <c r="C957" s="113" t="s">
        <v>1969</v>
      </c>
      <c r="D957" s="115" t="str">
        <f>VLOOKUP(B957,'All Menu'!B:D,3,0)</f>
        <v>لحوم بلدية</v>
      </c>
      <c r="E957" s="116">
        <f t="shared" si="74"/>
        <v>12.5</v>
      </c>
      <c r="F957" s="119">
        <v>0.86</v>
      </c>
      <c r="G957" s="119">
        <v>10.75</v>
      </c>
      <c r="H957" s="115">
        <f>VLOOKUP(B957,'All Menu'!B:J,9,0)</f>
        <v>11.5</v>
      </c>
      <c r="I957" s="120">
        <f>VLOOKUP(B957,'All Menu'!B:M,12,0)</f>
        <v>0.08</v>
      </c>
      <c r="J957" s="114">
        <f t="shared" si="71"/>
        <v>10.75</v>
      </c>
      <c r="K957" s="117">
        <f t="shared" si="72"/>
        <v>0</v>
      </c>
      <c r="L957" s="118">
        <f>VLOOKUP(B957,'All Menu'!B:G,6,0)</f>
        <v>12.5</v>
      </c>
      <c r="M957" s="118">
        <f t="shared" si="73"/>
        <v>0</v>
      </c>
      <c r="N957" s="151">
        <f ca="1">VLOOKUP(B957,'All Menu'!B:H,7,0)</f>
        <v>1098.8609999999999</v>
      </c>
    </row>
    <row r="958" spans="1:14" s="113" customFormat="1" ht="15.75" customHeight="1">
      <c r="A958" s="156" t="s">
        <v>2022</v>
      </c>
      <c r="B958" s="170">
        <v>60003</v>
      </c>
      <c r="C958" s="113" t="s">
        <v>2016</v>
      </c>
      <c r="D958" s="115" t="str">
        <f>VLOOKUP(B958,'All Menu'!B:D,3,0)</f>
        <v>لحوم بلدية</v>
      </c>
      <c r="E958" s="116">
        <f t="shared" si="74"/>
        <v>13.5</v>
      </c>
      <c r="F958" s="119">
        <v>14</v>
      </c>
      <c r="G958" s="119">
        <v>189</v>
      </c>
      <c r="H958" s="115">
        <f>VLOOKUP(B958,'All Menu'!B:J,9,0)</f>
        <v>11.039193820514564</v>
      </c>
      <c r="I958" s="120">
        <f>VLOOKUP(B958,'All Menu'!B:M,12,0)</f>
        <v>0.18228193922114341</v>
      </c>
      <c r="J958" s="114">
        <f t="shared" si="71"/>
        <v>189</v>
      </c>
      <c r="K958" s="117">
        <f t="shared" si="72"/>
        <v>0</v>
      </c>
      <c r="L958" s="118">
        <f>VLOOKUP(B958,'All Menu'!B:G,6,0)</f>
        <v>13.5</v>
      </c>
      <c r="M958" s="118">
        <f t="shared" si="73"/>
        <v>0</v>
      </c>
      <c r="N958" s="151">
        <f ca="1">VLOOKUP(B958,'All Menu'!B:H,7,0)</f>
        <v>1746.798</v>
      </c>
    </row>
    <row r="959" spans="1:14" s="113" customFormat="1" ht="15.75" customHeight="1">
      <c r="A959" s="156" t="s">
        <v>2022</v>
      </c>
      <c r="B959" s="170">
        <v>60003</v>
      </c>
      <c r="C959" s="113" t="s">
        <v>2016</v>
      </c>
      <c r="D959" s="115" t="str">
        <f>VLOOKUP(B959,'All Menu'!B:D,3,0)</f>
        <v>لحوم بلدية</v>
      </c>
      <c r="E959" s="116">
        <f t="shared" si="74"/>
        <v>13.405365660215244</v>
      </c>
      <c r="F959" s="119">
        <v>90.781000000000006</v>
      </c>
      <c r="G959" s="119">
        <v>1216.9525000000001</v>
      </c>
      <c r="H959" s="115">
        <f>VLOOKUP(B959,'All Menu'!B:J,9,0)</f>
        <v>11.039193820514564</v>
      </c>
      <c r="I959" s="120">
        <f>VLOOKUP(B959,'All Menu'!B:M,12,0)</f>
        <v>0.18228193922114341</v>
      </c>
      <c r="J959" s="114">
        <f t="shared" si="71"/>
        <v>1225.5435</v>
      </c>
      <c r="K959" s="117">
        <f t="shared" si="72"/>
        <v>-8.5909999999998945</v>
      </c>
      <c r="L959" s="118">
        <f>VLOOKUP(B959,'All Menu'!B:G,6,0)</f>
        <v>13.5</v>
      </c>
      <c r="M959" s="118">
        <f t="shared" si="73"/>
        <v>-9.4634339784755994E-2</v>
      </c>
      <c r="N959" s="151">
        <f ca="1">VLOOKUP(B959,'All Menu'!B:H,7,0)</f>
        <v>1746.798</v>
      </c>
    </row>
    <row r="960" spans="1:14" s="113" customFormat="1" ht="15.75" customHeight="1">
      <c r="A960" s="156" t="s">
        <v>2022</v>
      </c>
      <c r="B960" s="170">
        <v>60003</v>
      </c>
      <c r="C960" s="113" t="s">
        <v>2016</v>
      </c>
      <c r="D960" s="115" t="str">
        <f>VLOOKUP(B960,'All Menu'!B:D,3,0)</f>
        <v>لحوم بلدية</v>
      </c>
      <c r="E960" s="116">
        <f t="shared" si="74"/>
        <v>13.500000000000002</v>
      </c>
      <c r="F960" s="119">
        <v>39.344999999999999</v>
      </c>
      <c r="G960" s="119">
        <v>531.15750000000003</v>
      </c>
      <c r="H960" s="115">
        <f>VLOOKUP(B960,'All Menu'!B:J,9,0)</f>
        <v>11.039193820514564</v>
      </c>
      <c r="I960" s="120">
        <f>VLOOKUP(B960,'All Menu'!B:M,12,0)</f>
        <v>0.18228193922114341</v>
      </c>
      <c r="J960" s="114">
        <f t="shared" si="71"/>
        <v>531.15750000000003</v>
      </c>
      <c r="K960" s="117">
        <f t="shared" si="72"/>
        <v>0</v>
      </c>
      <c r="L960" s="118">
        <f>VLOOKUP(B960,'All Menu'!B:G,6,0)</f>
        <v>13.5</v>
      </c>
      <c r="M960" s="118">
        <f t="shared" si="73"/>
        <v>0</v>
      </c>
      <c r="N960" s="151">
        <f ca="1">VLOOKUP(B960,'All Menu'!B:H,7,0)</f>
        <v>1746.798</v>
      </c>
    </row>
    <row r="961" spans="1:14" s="113" customFormat="1" ht="15.75" customHeight="1">
      <c r="A961" s="156" t="s">
        <v>2022</v>
      </c>
      <c r="B961" s="170">
        <v>60003</v>
      </c>
      <c r="C961" s="113" t="s">
        <v>2016</v>
      </c>
      <c r="D961" s="115" t="str">
        <f>VLOOKUP(B961,'All Menu'!B:D,3,0)</f>
        <v>لحوم بلدية</v>
      </c>
      <c r="E961" s="116">
        <f t="shared" si="74"/>
        <v>13.5</v>
      </c>
      <c r="F961" s="119">
        <v>2.2050000000000001</v>
      </c>
      <c r="G961" s="119">
        <v>29.767500000000002</v>
      </c>
      <c r="H961" s="115">
        <f>VLOOKUP(B961,'All Menu'!B:J,9,0)</f>
        <v>11.039193820514564</v>
      </c>
      <c r="I961" s="120">
        <f>VLOOKUP(B961,'All Menu'!B:M,12,0)</f>
        <v>0.18228193922114341</v>
      </c>
      <c r="J961" s="114">
        <f t="shared" si="71"/>
        <v>29.767500000000002</v>
      </c>
      <c r="K961" s="117">
        <f t="shared" si="72"/>
        <v>0</v>
      </c>
      <c r="L961" s="118">
        <f>VLOOKUP(B961,'All Menu'!B:G,6,0)</f>
        <v>13.5</v>
      </c>
      <c r="M961" s="118">
        <f t="shared" si="73"/>
        <v>0</v>
      </c>
      <c r="N961" s="151">
        <f ca="1">VLOOKUP(B961,'All Menu'!B:H,7,0)</f>
        <v>1746.798</v>
      </c>
    </row>
    <row r="962" spans="1:14" s="113" customFormat="1" ht="15.75" customHeight="1">
      <c r="A962" s="156" t="s">
        <v>2022</v>
      </c>
      <c r="B962" s="170">
        <v>60004</v>
      </c>
      <c r="C962" s="113" t="s">
        <v>2017</v>
      </c>
      <c r="D962" s="115" t="str">
        <f>VLOOKUP(B962,'All Menu'!B:D,3,0)</f>
        <v>لحوم بلدية</v>
      </c>
      <c r="E962" s="116">
        <f t="shared" si="74"/>
        <v>16</v>
      </c>
      <c r="F962" s="119">
        <v>34.598999999999997</v>
      </c>
      <c r="G962" s="119">
        <v>553.58399999999995</v>
      </c>
      <c r="H962" s="115">
        <f>VLOOKUP(B962,'All Menu'!B:J,9,0)</f>
        <v>11.039193820514564</v>
      </c>
      <c r="I962" s="120">
        <f>VLOOKUP(B962,'All Menu'!B:M,12,0)</f>
        <v>0.31005038621783976</v>
      </c>
      <c r="J962" s="114">
        <f t="shared" si="71"/>
        <v>553.58399999999995</v>
      </c>
      <c r="K962" s="117">
        <f t="shared" si="72"/>
        <v>0</v>
      </c>
      <c r="L962" s="118">
        <f>VLOOKUP(B962,'All Menu'!B:G,6,0)</f>
        <v>16</v>
      </c>
      <c r="M962" s="118">
        <f t="shared" si="73"/>
        <v>0</v>
      </c>
      <c r="N962" s="151">
        <f ca="1">VLOOKUP(B962,'All Menu'!B:H,7,0)</f>
        <v>192.85399999999998</v>
      </c>
    </row>
    <row r="963" spans="1:14" s="113" customFormat="1" ht="15.75" customHeight="1">
      <c r="A963" s="156" t="s">
        <v>2022</v>
      </c>
      <c r="B963" s="170">
        <v>60004</v>
      </c>
      <c r="C963" s="113" t="s">
        <v>2017</v>
      </c>
      <c r="D963" s="115" t="str">
        <f>VLOOKUP(B963,'All Menu'!B:D,3,0)</f>
        <v>لحوم بلدية</v>
      </c>
      <c r="E963" s="116">
        <f t="shared" si="74"/>
        <v>16</v>
      </c>
      <c r="F963" s="119">
        <v>3.3149999999999999</v>
      </c>
      <c r="G963" s="119">
        <v>53.04</v>
      </c>
      <c r="H963" s="115">
        <f>VLOOKUP(B963,'All Menu'!B:J,9,0)</f>
        <v>11.039193820514564</v>
      </c>
      <c r="I963" s="120">
        <f>VLOOKUP(B963,'All Menu'!B:M,12,0)</f>
        <v>0.31005038621783976</v>
      </c>
      <c r="J963" s="114">
        <f t="shared" si="71"/>
        <v>53.04</v>
      </c>
      <c r="K963" s="117">
        <f t="shared" si="72"/>
        <v>0</v>
      </c>
      <c r="L963" s="118">
        <f>VLOOKUP(B963,'All Menu'!B:G,6,0)</f>
        <v>16</v>
      </c>
      <c r="M963" s="118">
        <f t="shared" si="73"/>
        <v>0</v>
      </c>
      <c r="N963" s="151">
        <f ca="1">VLOOKUP(B963,'All Menu'!B:H,7,0)</f>
        <v>192.85399999999998</v>
      </c>
    </row>
    <row r="964" spans="1:14" s="113" customFormat="1" ht="15.75" customHeight="1">
      <c r="A964" s="156" t="s">
        <v>2022</v>
      </c>
      <c r="B964" s="170">
        <v>60005</v>
      </c>
      <c r="C964" s="113" t="s">
        <v>2018</v>
      </c>
      <c r="D964" s="115" t="str">
        <f>VLOOKUP(B964,'All Menu'!B:D,3,0)</f>
        <v>لحوم بلدية</v>
      </c>
      <c r="E964" s="116">
        <f t="shared" si="74"/>
        <v>24</v>
      </c>
      <c r="F964" s="119">
        <v>7</v>
      </c>
      <c r="G964" s="119">
        <v>168</v>
      </c>
      <c r="H964" s="115">
        <f>VLOOKUP(B964,'All Menu'!B:J,9,0)</f>
        <v>11.039193820514564</v>
      </c>
      <c r="I964" s="120">
        <f>VLOOKUP(B964,'All Menu'!B:M,12,0)</f>
        <v>0.54003359081189317</v>
      </c>
      <c r="J964" s="114">
        <f t="shared" si="71"/>
        <v>168</v>
      </c>
      <c r="K964" s="117">
        <f t="shared" si="72"/>
        <v>0</v>
      </c>
      <c r="L964" s="118">
        <f>VLOOKUP(B964,'All Menu'!B:G,6,0)</f>
        <v>24</v>
      </c>
      <c r="M964" s="118">
        <f t="shared" si="73"/>
        <v>0</v>
      </c>
      <c r="N964" s="151">
        <f ca="1">VLOOKUP(B964,'All Menu'!B:H,7,0)</f>
        <v>207.21600000000001</v>
      </c>
    </row>
    <row r="965" spans="1:14" s="113" customFormat="1" ht="15.75" customHeight="1">
      <c r="A965" s="156" t="s">
        <v>2022</v>
      </c>
      <c r="B965" s="170">
        <v>60005</v>
      </c>
      <c r="C965" s="113" t="s">
        <v>2018</v>
      </c>
      <c r="D965" s="115" t="str">
        <f>VLOOKUP(B965,'All Menu'!B:D,3,0)</f>
        <v>لحوم بلدية</v>
      </c>
      <c r="E965" s="116">
        <f t="shared" si="74"/>
        <v>24</v>
      </c>
      <c r="F965" s="119">
        <v>25.625</v>
      </c>
      <c r="G965" s="119">
        <v>615</v>
      </c>
      <c r="H965" s="115">
        <f>VLOOKUP(B965,'All Menu'!B:J,9,0)</f>
        <v>11.039193820514564</v>
      </c>
      <c r="I965" s="120">
        <f>VLOOKUP(B965,'All Menu'!B:M,12,0)</f>
        <v>0.54003359081189317</v>
      </c>
      <c r="J965" s="114">
        <f t="shared" si="71"/>
        <v>615</v>
      </c>
      <c r="K965" s="117">
        <f t="shared" si="72"/>
        <v>0</v>
      </c>
      <c r="L965" s="118">
        <f>VLOOKUP(B965,'All Menu'!B:G,6,0)</f>
        <v>24</v>
      </c>
      <c r="M965" s="118">
        <f t="shared" si="73"/>
        <v>0</v>
      </c>
      <c r="N965" s="151">
        <f ca="1">VLOOKUP(B965,'All Menu'!B:H,7,0)</f>
        <v>207.21600000000001</v>
      </c>
    </row>
    <row r="966" spans="1:14" s="113" customFormat="1" ht="15.75" customHeight="1">
      <c r="A966" s="156" t="s">
        <v>2022</v>
      </c>
      <c r="B966" s="170">
        <v>60010</v>
      </c>
      <c r="C966" s="113" t="s">
        <v>1741</v>
      </c>
      <c r="D966" s="115" t="str">
        <f>VLOOKUP(B966,'All Menu'!B:D,3,0)</f>
        <v>لحوم بلدية</v>
      </c>
      <c r="E966" s="116">
        <f t="shared" si="74"/>
        <v>16</v>
      </c>
      <c r="F966" s="119">
        <v>22.045000000000002</v>
      </c>
      <c r="G966" s="119">
        <v>352.72</v>
      </c>
      <c r="H966" s="115">
        <f>VLOOKUP(B966,'All Menu'!B:J,9,0)</f>
        <v>11.039193820514564</v>
      </c>
      <c r="I966" s="120">
        <f>VLOOKUP(B966,'All Menu'!B:M,12,0)</f>
        <v>0.31005038621783976</v>
      </c>
      <c r="J966" s="114">
        <f t="shared" si="71"/>
        <v>352.72</v>
      </c>
      <c r="K966" s="117">
        <f t="shared" si="72"/>
        <v>0</v>
      </c>
      <c r="L966" s="118">
        <f>VLOOKUP(B966,'All Menu'!B:G,6,0)</f>
        <v>16</v>
      </c>
      <c r="M966" s="118">
        <f t="shared" si="73"/>
        <v>0</v>
      </c>
      <c r="N966" s="151">
        <f ca="1">VLOOKUP(B966,'All Menu'!B:H,7,0)</f>
        <v>23.545000000000002</v>
      </c>
    </row>
    <row r="967" spans="1:14" s="113" customFormat="1" ht="15.75" customHeight="1">
      <c r="A967" s="156" t="s">
        <v>2022</v>
      </c>
      <c r="B967" s="170">
        <v>60011</v>
      </c>
      <c r="C967" s="113" t="s">
        <v>296</v>
      </c>
      <c r="D967" s="115" t="str">
        <f>VLOOKUP(B967,'All Menu'!B:D,3,0)</f>
        <v>لحوم بلدية</v>
      </c>
      <c r="E967" s="116">
        <f t="shared" si="74"/>
        <v>10.967794386125057</v>
      </c>
      <c r="F967" s="119">
        <v>210.33600000000001</v>
      </c>
      <c r="G967" s="119">
        <v>2306.922</v>
      </c>
      <c r="H967" s="115">
        <f>VLOOKUP(B967,'All Menu'!B:J,9,0)</f>
        <v>9.01</v>
      </c>
      <c r="I967" s="120">
        <f>VLOOKUP(B967,'All Menu'!B:M,12,0)</f>
        <v>0.18090909090909094</v>
      </c>
      <c r="J967" s="114">
        <f t="shared" si="71"/>
        <v>2313.6959999999999</v>
      </c>
      <c r="K967" s="117">
        <f t="shared" si="72"/>
        <v>-6.7739999999998872</v>
      </c>
      <c r="L967" s="118">
        <f>VLOOKUP(B967,'All Menu'!B:G,6,0)</f>
        <v>11</v>
      </c>
      <c r="M967" s="118">
        <f t="shared" si="73"/>
        <v>-3.220561387494314E-2</v>
      </c>
      <c r="N967" s="151">
        <f ca="1">VLOOKUP(B967,'All Menu'!B:H,7,0)</f>
        <v>369.41800000000001</v>
      </c>
    </row>
    <row r="968" spans="1:14" s="113" customFormat="1" ht="15.75" customHeight="1">
      <c r="A968" s="156" t="s">
        <v>2022</v>
      </c>
      <c r="B968" s="170">
        <v>60012</v>
      </c>
      <c r="C968" s="113" t="s">
        <v>297</v>
      </c>
      <c r="D968" s="115" t="str">
        <f>VLOOKUP(B968,'All Menu'!B:D,3,0)</f>
        <v>لحوم بلدية</v>
      </c>
      <c r="E968" s="116">
        <f t="shared" si="74"/>
        <v>16</v>
      </c>
      <c r="F968" s="119">
        <v>18.337</v>
      </c>
      <c r="G968" s="119">
        <v>293.392</v>
      </c>
      <c r="H968" s="115">
        <f>VLOOKUP(B968,'All Menu'!B:J,9,0)</f>
        <v>12.58</v>
      </c>
      <c r="I968" s="120">
        <f>VLOOKUP(B968,'All Menu'!B:M,12,0)</f>
        <v>0.21375</v>
      </c>
      <c r="J968" s="114">
        <f t="shared" si="71"/>
        <v>293.392</v>
      </c>
      <c r="K968" s="117">
        <f t="shared" si="72"/>
        <v>0</v>
      </c>
      <c r="L968" s="118">
        <f>VLOOKUP(B968,'All Menu'!B:G,6,0)</f>
        <v>16</v>
      </c>
      <c r="M968" s="118">
        <f t="shared" si="73"/>
        <v>0</v>
      </c>
      <c r="N968" s="151">
        <f ca="1">VLOOKUP(B968,'All Menu'!B:H,7,0)</f>
        <v>67.436999999999998</v>
      </c>
    </row>
    <row r="969" spans="1:14" s="113" customFormat="1" ht="15.75" customHeight="1">
      <c r="A969" s="156" t="s">
        <v>2022</v>
      </c>
      <c r="B969" s="170">
        <v>60013</v>
      </c>
      <c r="C969" s="113" t="s">
        <v>1742</v>
      </c>
      <c r="D969" s="115" t="str">
        <f>VLOOKUP(B969,'All Menu'!B:D,3,0)</f>
        <v>لحوم بلدية</v>
      </c>
      <c r="E969" s="116">
        <f t="shared" si="74"/>
        <v>16</v>
      </c>
      <c r="F969" s="119">
        <v>7.0010000000000003</v>
      </c>
      <c r="G969" s="119">
        <v>112.01600000000001</v>
      </c>
      <c r="H969" s="115">
        <f>VLOOKUP(B969,'All Menu'!B:J,9,0)</f>
        <v>12.58</v>
      </c>
      <c r="I969" s="120">
        <f>VLOOKUP(B969,'All Menu'!B:M,12,0)</f>
        <v>0.21375</v>
      </c>
      <c r="J969" s="114">
        <f t="shared" si="71"/>
        <v>112.01600000000001</v>
      </c>
      <c r="K969" s="117">
        <f t="shared" si="72"/>
        <v>0</v>
      </c>
      <c r="L969" s="118">
        <f>VLOOKUP(B969,'All Menu'!B:G,6,0)</f>
        <v>16</v>
      </c>
      <c r="M969" s="118">
        <f t="shared" si="73"/>
        <v>0</v>
      </c>
      <c r="N969" s="151">
        <f ca="1">VLOOKUP(B969,'All Menu'!B:H,7,0)</f>
        <v>8.0010000000000012</v>
      </c>
    </row>
    <row r="970" spans="1:14" s="113" customFormat="1" ht="15.75" customHeight="1">
      <c r="A970" s="156" t="s">
        <v>2022</v>
      </c>
      <c r="B970" s="170">
        <v>60014</v>
      </c>
      <c r="C970" s="113" t="s">
        <v>1971</v>
      </c>
      <c r="D970" s="115" t="str">
        <f>VLOOKUP(B970,'All Menu'!B:D,3,0)</f>
        <v>لحوم بلدية</v>
      </c>
      <c r="E970" s="116">
        <f t="shared" si="74"/>
        <v>20</v>
      </c>
      <c r="F970" s="119">
        <v>2.5</v>
      </c>
      <c r="G970" s="119">
        <v>50</v>
      </c>
      <c r="H970" s="115">
        <f>VLOOKUP(B970,'All Menu'!B:J,9,0)</f>
        <v>21.5</v>
      </c>
      <c r="I970" s="120">
        <f>VLOOKUP(B970,'All Menu'!B:M,12,0)</f>
        <v>-7.4999999999999997E-2</v>
      </c>
      <c r="J970" s="114">
        <f t="shared" si="71"/>
        <v>50</v>
      </c>
      <c r="K970" s="117">
        <f t="shared" si="72"/>
        <v>0</v>
      </c>
      <c r="L970" s="118">
        <f>VLOOKUP(B970,'All Menu'!B:G,6,0)</f>
        <v>20</v>
      </c>
      <c r="M970" s="118">
        <f t="shared" si="73"/>
        <v>0</v>
      </c>
      <c r="N970" s="151">
        <f ca="1">VLOOKUP(B970,'All Menu'!B:H,7,0)</f>
        <v>9.5</v>
      </c>
    </row>
    <row r="971" spans="1:14" s="113" customFormat="1" ht="15.75" customHeight="1">
      <c r="A971" s="156" t="s">
        <v>2022</v>
      </c>
      <c r="B971" s="170">
        <v>60015</v>
      </c>
      <c r="C971" s="113" t="s">
        <v>2019</v>
      </c>
      <c r="D971" s="115" t="str">
        <f>VLOOKUP(B971,'All Menu'!B:D,3,0)</f>
        <v>لحوم بلدية</v>
      </c>
      <c r="E971" s="116">
        <f t="shared" si="74"/>
        <v>20</v>
      </c>
      <c r="F971" s="119">
        <v>5.4500999999999999</v>
      </c>
      <c r="G971" s="119">
        <v>109.002</v>
      </c>
      <c r="H971" s="115">
        <f>VLOOKUP(B971,'All Menu'!B:J,9,0)</f>
        <v>21.5</v>
      </c>
      <c r="I971" s="120">
        <f>VLOOKUP(B971,'All Menu'!B:M,12,0)</f>
        <v>-7.4999999999999997E-2</v>
      </c>
      <c r="J971" s="114">
        <f t="shared" si="71"/>
        <v>109.002</v>
      </c>
      <c r="K971" s="117">
        <f t="shared" si="72"/>
        <v>0</v>
      </c>
      <c r="L971" s="118">
        <f>VLOOKUP(B971,'All Menu'!B:G,6,0)</f>
        <v>20</v>
      </c>
      <c r="M971" s="118">
        <f t="shared" si="73"/>
        <v>0</v>
      </c>
      <c r="N971" s="151">
        <f ca="1">VLOOKUP(B971,'All Menu'!B:H,7,0)</f>
        <v>28.770099999999999</v>
      </c>
    </row>
    <row r="972" spans="1:14" s="113" customFormat="1" ht="15.75" customHeight="1">
      <c r="A972" s="156" t="s">
        <v>2022</v>
      </c>
      <c r="B972" s="170">
        <v>60016</v>
      </c>
      <c r="C972" s="113" t="s">
        <v>2020</v>
      </c>
      <c r="D972" s="115" t="str">
        <f>VLOOKUP(B972,'All Menu'!B:D,3,0)</f>
        <v>لحوم بلدية</v>
      </c>
      <c r="E972" s="116">
        <f t="shared" si="74"/>
        <v>16</v>
      </c>
      <c r="F972" s="119">
        <v>34.195</v>
      </c>
      <c r="G972" s="119">
        <v>547.12</v>
      </c>
      <c r="H972" s="115">
        <f>VLOOKUP(B972,'All Menu'!B:J,9,0)</f>
        <v>12.58</v>
      </c>
      <c r="I972" s="120">
        <f>VLOOKUP(B972,'All Menu'!B:M,12,0)</f>
        <v>0.21375</v>
      </c>
      <c r="J972" s="114">
        <f t="shared" si="71"/>
        <v>547.12</v>
      </c>
      <c r="K972" s="117">
        <f t="shared" si="72"/>
        <v>0</v>
      </c>
      <c r="L972" s="118">
        <f>VLOOKUP(B972,'All Menu'!B:G,6,0)</f>
        <v>16</v>
      </c>
      <c r="M972" s="118">
        <f t="shared" si="73"/>
        <v>0</v>
      </c>
      <c r="N972" s="151">
        <f ca="1">VLOOKUP(B972,'All Menu'!B:H,7,0)</f>
        <v>278.84499999999997</v>
      </c>
    </row>
    <row r="973" spans="1:14" s="113" customFormat="1" ht="15.75" customHeight="1">
      <c r="A973" s="156" t="s">
        <v>2022</v>
      </c>
      <c r="B973" s="170">
        <v>60016</v>
      </c>
      <c r="C973" s="113" t="s">
        <v>2020</v>
      </c>
      <c r="D973" s="115" t="str">
        <f>VLOOKUP(B973,'All Menu'!B:D,3,0)</f>
        <v>لحوم بلدية</v>
      </c>
      <c r="E973" s="116">
        <f t="shared" si="74"/>
        <v>16</v>
      </c>
      <c r="F973" s="119">
        <v>0.9</v>
      </c>
      <c r="G973" s="119">
        <v>14.4</v>
      </c>
      <c r="H973" s="115">
        <f>VLOOKUP(B973,'All Menu'!B:J,9,0)</f>
        <v>12.58</v>
      </c>
      <c r="I973" s="120">
        <f>VLOOKUP(B973,'All Menu'!B:M,12,0)</f>
        <v>0.21375</v>
      </c>
      <c r="J973" s="114">
        <f t="shared" si="71"/>
        <v>14.4</v>
      </c>
      <c r="K973" s="117">
        <f t="shared" si="72"/>
        <v>0</v>
      </c>
      <c r="L973" s="118">
        <f>VLOOKUP(B973,'All Menu'!B:G,6,0)</f>
        <v>16</v>
      </c>
      <c r="M973" s="118">
        <f t="shared" si="73"/>
        <v>0</v>
      </c>
      <c r="N973" s="151">
        <f ca="1">VLOOKUP(B973,'All Menu'!B:H,7,0)</f>
        <v>278.84499999999997</v>
      </c>
    </row>
    <row r="974" spans="1:14" s="113" customFormat="1" ht="15.75" customHeight="1">
      <c r="A974" s="156" t="s">
        <v>2022</v>
      </c>
      <c r="B974" s="170">
        <v>60017</v>
      </c>
      <c r="C974" s="113" t="s">
        <v>1614</v>
      </c>
      <c r="D974" s="115" t="str">
        <f>VLOOKUP(B974,'All Menu'!B:D,3,0)</f>
        <v>لحوم بلدية</v>
      </c>
      <c r="E974" s="116">
        <f t="shared" si="74"/>
        <v>14</v>
      </c>
      <c r="F974" s="119">
        <v>7.5</v>
      </c>
      <c r="G974" s="119">
        <v>105</v>
      </c>
      <c r="H974" s="115">
        <f>VLOOKUP(B974,'All Menu'!B:J,9,0)</f>
        <v>12.58</v>
      </c>
      <c r="I974" s="120">
        <f>VLOOKUP(B974,'All Menu'!B:M,12,0)</f>
        <v>0.10142857142857142</v>
      </c>
      <c r="J974" s="114">
        <f t="shared" si="71"/>
        <v>105</v>
      </c>
      <c r="K974" s="117">
        <f t="shared" si="72"/>
        <v>0</v>
      </c>
      <c r="L974" s="118">
        <f>VLOOKUP(B974,'All Menu'!B:G,6,0)</f>
        <v>14</v>
      </c>
      <c r="M974" s="118">
        <f t="shared" si="73"/>
        <v>0</v>
      </c>
      <c r="N974" s="151">
        <f ca="1">VLOOKUP(B974,'All Menu'!B:H,7,0)</f>
        <v>81.42</v>
      </c>
    </row>
    <row r="975" spans="1:14" s="113" customFormat="1" ht="15.75" customHeight="1">
      <c r="A975" s="156" t="s">
        <v>2022</v>
      </c>
      <c r="B975" s="170">
        <v>60023</v>
      </c>
      <c r="C975" s="113" t="s">
        <v>301</v>
      </c>
      <c r="D975" s="115" t="str">
        <f>VLOOKUP(B975,'All Menu'!B:D,3,0)</f>
        <v>لحوم بلدية</v>
      </c>
      <c r="E975" s="116">
        <f t="shared" si="74"/>
        <v>12</v>
      </c>
      <c r="F975" s="119">
        <v>21.12</v>
      </c>
      <c r="G975" s="119">
        <v>253.44</v>
      </c>
      <c r="H975" s="115">
        <f>VLOOKUP(B975,'All Menu'!B:J,9,0)</f>
        <v>9.01</v>
      </c>
      <c r="I975" s="120">
        <f>VLOOKUP(B975,'All Menu'!B:M,12,0)</f>
        <v>0.24916666666666668</v>
      </c>
      <c r="J975" s="114">
        <f t="shared" si="71"/>
        <v>253.44</v>
      </c>
      <c r="K975" s="117">
        <f t="shared" si="72"/>
        <v>0</v>
      </c>
      <c r="L975" s="118">
        <f>VLOOKUP(B975,'All Menu'!B:G,6,0)</f>
        <v>12</v>
      </c>
      <c r="M975" s="118">
        <f t="shared" si="73"/>
        <v>0</v>
      </c>
      <c r="N975" s="151">
        <f ca="1">VLOOKUP(B975,'All Menu'!B:H,7,0)</f>
        <v>22.17</v>
      </c>
    </row>
    <row r="976" spans="1:14" s="113" customFormat="1" ht="15.75" customHeight="1">
      <c r="A976" s="156" t="s">
        <v>2022</v>
      </c>
      <c r="B976" s="170">
        <v>60024</v>
      </c>
      <c r="C976" s="113" t="s">
        <v>1615</v>
      </c>
      <c r="D976" s="115" t="str">
        <f>VLOOKUP(B976,'All Menu'!B:D,3,0)</f>
        <v>لحوم بلدية</v>
      </c>
      <c r="E976" s="116">
        <f t="shared" si="74"/>
        <v>12</v>
      </c>
      <c r="F976" s="119">
        <v>83.700999999999993</v>
      </c>
      <c r="G976" s="119">
        <v>1004.4119999999999</v>
      </c>
      <c r="H976" s="115">
        <f>VLOOKUP(B976,'All Menu'!B:J,9,0)</f>
        <v>7.6017209137931037</v>
      </c>
      <c r="I976" s="120">
        <f>VLOOKUP(B976,'All Menu'!B:M,12,0)</f>
        <v>0.36652325718390805</v>
      </c>
      <c r="J976" s="114">
        <f t="shared" si="71"/>
        <v>1004.4119999999999</v>
      </c>
      <c r="K976" s="117">
        <f t="shared" si="72"/>
        <v>0</v>
      </c>
      <c r="L976" s="118">
        <f>VLOOKUP(B976,'All Menu'!B:G,6,0)</f>
        <v>12</v>
      </c>
      <c r="M976" s="118">
        <f t="shared" si="73"/>
        <v>0</v>
      </c>
      <c r="N976" s="151">
        <f ca="1">VLOOKUP(B976,'All Menu'!B:H,7,0)</f>
        <v>507.66099999999994</v>
      </c>
    </row>
    <row r="977" spans="1:14" s="113" customFormat="1" ht="15.75" customHeight="1">
      <c r="A977" s="156" t="s">
        <v>2022</v>
      </c>
      <c r="B977" s="170">
        <v>60025</v>
      </c>
      <c r="C977" s="113" t="s">
        <v>1616</v>
      </c>
      <c r="D977" s="115" t="str">
        <f>VLOOKUP(B977,'All Menu'!B:D,3,0)</f>
        <v>لحوم بلدية</v>
      </c>
      <c r="E977" s="116">
        <f t="shared" si="74"/>
        <v>10</v>
      </c>
      <c r="F977" s="119">
        <v>3.71</v>
      </c>
      <c r="G977" s="119">
        <v>37.1</v>
      </c>
      <c r="H977" s="115">
        <f>VLOOKUP(B977,'All Menu'!B:J,9,0)</f>
        <v>5</v>
      </c>
      <c r="I977" s="120">
        <f>VLOOKUP(B977,'All Menu'!B:M,12,0)</f>
        <v>0.5</v>
      </c>
      <c r="J977" s="114">
        <f t="shared" si="71"/>
        <v>37.1</v>
      </c>
      <c r="K977" s="117">
        <f t="shared" si="72"/>
        <v>0</v>
      </c>
      <c r="L977" s="118">
        <f>VLOOKUP(B977,'All Menu'!B:G,6,0)</f>
        <v>10</v>
      </c>
      <c r="M977" s="118">
        <f t="shared" si="73"/>
        <v>0</v>
      </c>
      <c r="N977" s="151">
        <f ca="1">VLOOKUP(B977,'All Menu'!B:H,7,0)</f>
        <v>170.73000000000002</v>
      </c>
    </row>
    <row r="978" spans="1:14" s="113" customFormat="1" ht="15.75" customHeight="1">
      <c r="A978" s="156" t="s">
        <v>2022</v>
      </c>
      <c r="B978" s="170">
        <v>60038</v>
      </c>
      <c r="C978" s="113" t="s">
        <v>537</v>
      </c>
      <c r="D978" s="115" t="str">
        <f>VLOOKUP(B978,'All Menu'!B:D,3,0)</f>
        <v>لحوم بلدية</v>
      </c>
      <c r="E978" s="116">
        <f t="shared" si="74"/>
        <v>14</v>
      </c>
      <c r="F978" s="119">
        <v>2.5</v>
      </c>
      <c r="G978" s="119">
        <v>35</v>
      </c>
      <c r="H978" s="115">
        <f>VLOOKUP(B978,'All Menu'!B:J,9,0)</f>
        <v>5.2698975804597694</v>
      </c>
      <c r="I978" s="120">
        <f>VLOOKUP(B978,'All Menu'!B:M,12,0)</f>
        <v>0.62357874425287363</v>
      </c>
      <c r="J978" s="114">
        <f t="shared" si="71"/>
        <v>35</v>
      </c>
      <c r="K978" s="117">
        <f t="shared" si="72"/>
        <v>0</v>
      </c>
      <c r="L978" s="118">
        <f>VLOOKUP(B978,'All Menu'!B:G,6,0)</f>
        <v>14</v>
      </c>
      <c r="M978" s="118">
        <f t="shared" si="73"/>
        <v>0</v>
      </c>
      <c r="N978" s="151">
        <f ca="1">VLOOKUP(B978,'All Menu'!B:H,7,0)</f>
        <v>8.43</v>
      </c>
    </row>
    <row r="979" spans="1:14" s="113" customFormat="1" ht="15.75" customHeight="1">
      <c r="A979" s="156" t="s">
        <v>2022</v>
      </c>
      <c r="B979" s="170">
        <v>60039</v>
      </c>
      <c r="C979" s="113" t="s">
        <v>1617</v>
      </c>
      <c r="D979" s="115" t="str">
        <f>VLOOKUP(B979,'All Menu'!B:D,3,0)</f>
        <v>لحوم بلدية</v>
      </c>
      <c r="E979" s="116">
        <f t="shared" si="74"/>
        <v>12</v>
      </c>
      <c r="F979" s="119">
        <v>40.799999999999997</v>
      </c>
      <c r="G979" s="119">
        <v>489.59999999999997</v>
      </c>
      <c r="H979" s="115">
        <f>VLOOKUP(B979,'All Menu'!B:J,9,0)</f>
        <v>9.2655342471264373</v>
      </c>
      <c r="I979" s="120">
        <f>VLOOKUP(B979,'All Menu'!B:M,12,0)</f>
        <v>0.22787214607279691</v>
      </c>
      <c r="J979" s="114">
        <f t="shared" si="71"/>
        <v>489.59999999999997</v>
      </c>
      <c r="K979" s="117">
        <f t="shared" si="72"/>
        <v>0</v>
      </c>
      <c r="L979" s="118">
        <f>VLOOKUP(B979,'All Menu'!B:G,6,0)</f>
        <v>12</v>
      </c>
      <c r="M979" s="118">
        <f t="shared" si="73"/>
        <v>0</v>
      </c>
      <c r="N979" s="151">
        <f ca="1">VLOOKUP(B979,'All Menu'!B:H,7,0)</f>
        <v>118.01599999999999</v>
      </c>
    </row>
    <row r="980" spans="1:14" s="113" customFormat="1" ht="15.75" customHeight="1">
      <c r="A980" s="156" t="s">
        <v>2022</v>
      </c>
      <c r="B980" s="170">
        <v>60040</v>
      </c>
      <c r="C980" s="113" t="s">
        <v>1743</v>
      </c>
      <c r="D980" s="115" t="str">
        <f>VLOOKUP(B980,'All Menu'!B:D,3,0)</f>
        <v>لحوم بلدية</v>
      </c>
      <c r="E980" s="116">
        <f t="shared" si="74"/>
        <v>12.000000000000002</v>
      </c>
      <c r="F980" s="119">
        <v>29.6</v>
      </c>
      <c r="G980" s="119">
        <v>355.20000000000005</v>
      </c>
      <c r="H980" s="115">
        <f>VLOOKUP(B980,'All Menu'!B:J,9,0)</f>
        <v>5.2594342471264373</v>
      </c>
      <c r="I980" s="120">
        <f>VLOOKUP(B980,'All Menu'!B:M,12,0)</f>
        <v>0.56171381273946352</v>
      </c>
      <c r="J980" s="114">
        <f t="shared" si="71"/>
        <v>355.20000000000005</v>
      </c>
      <c r="K980" s="117">
        <f t="shared" si="72"/>
        <v>0</v>
      </c>
      <c r="L980" s="118">
        <f>VLOOKUP(B980,'All Menu'!B:G,6,0)</f>
        <v>12</v>
      </c>
      <c r="M980" s="118">
        <f t="shared" si="73"/>
        <v>0</v>
      </c>
      <c r="N980" s="151">
        <f ca="1">VLOOKUP(B980,'All Menu'!B:H,7,0)</f>
        <v>29.6</v>
      </c>
    </row>
    <row r="981" spans="1:14" s="113" customFormat="1" ht="15.75" customHeight="1">
      <c r="A981" s="156" t="s">
        <v>2022</v>
      </c>
      <c r="B981" s="170">
        <v>60049</v>
      </c>
      <c r="C981" s="113" t="s">
        <v>1744</v>
      </c>
      <c r="D981" s="115" t="str">
        <f>VLOOKUP(B981,'All Menu'!B:D,3,0)</f>
        <v>لحوم بلدية</v>
      </c>
      <c r="E981" s="116">
        <f t="shared" si="74"/>
        <v>6</v>
      </c>
      <c r="F981" s="119">
        <v>33.67</v>
      </c>
      <c r="G981" s="119">
        <v>202.02</v>
      </c>
      <c r="H981" s="115">
        <f>VLOOKUP(B981,'All Menu'!B:J,9,0)</f>
        <v>5.25</v>
      </c>
      <c r="I981" s="120">
        <f>VLOOKUP(B981,'All Menu'!B:M,12,0)</f>
        <v>0.125</v>
      </c>
      <c r="J981" s="114">
        <f t="shared" si="71"/>
        <v>202.02</v>
      </c>
      <c r="K981" s="117">
        <f t="shared" si="72"/>
        <v>0</v>
      </c>
      <c r="L981" s="118">
        <f>VLOOKUP(B981,'All Menu'!B:G,6,0)</f>
        <v>6</v>
      </c>
      <c r="M981" s="118">
        <f t="shared" si="73"/>
        <v>0</v>
      </c>
      <c r="N981" s="151">
        <f ca="1">VLOOKUP(B981,'All Menu'!B:H,7,0)</f>
        <v>254.59800000000001</v>
      </c>
    </row>
    <row r="982" spans="1:14" s="113" customFormat="1" ht="15.75" customHeight="1">
      <c r="A982" s="156" t="s">
        <v>2022</v>
      </c>
      <c r="B982" s="170">
        <v>60085</v>
      </c>
      <c r="C982" s="113" t="s">
        <v>1747</v>
      </c>
      <c r="D982" s="115" t="str">
        <f>VLOOKUP(B982,'All Menu'!B:D,3,0)</f>
        <v>لحوم بلدية</v>
      </c>
      <c r="E982" s="116">
        <f t="shared" si="74"/>
        <v>18</v>
      </c>
      <c r="F982" s="119">
        <v>1.7</v>
      </c>
      <c r="G982" s="119">
        <v>30.599999999999998</v>
      </c>
      <c r="H982" s="115">
        <f>VLOOKUP(B982,'All Menu'!B:J,9,0)</f>
        <v>16.958120913793103</v>
      </c>
      <c r="I982" s="120">
        <f>VLOOKUP(B982,'All Menu'!B:M,12,0)</f>
        <v>0.22917632210031352</v>
      </c>
      <c r="J982" s="114">
        <f t="shared" si="71"/>
        <v>37.4</v>
      </c>
      <c r="K982" s="117">
        <f t="shared" si="72"/>
        <v>-6.8000000000000007</v>
      </c>
      <c r="L982" s="118">
        <f>VLOOKUP(B982,'All Menu'!B:G,6,0)</f>
        <v>22</v>
      </c>
      <c r="M982" s="118">
        <f t="shared" si="73"/>
        <v>-4</v>
      </c>
      <c r="N982" s="151">
        <f ca="1">VLOOKUP(B982,'All Menu'!B:H,7,0)</f>
        <v>7.8900000000000006</v>
      </c>
    </row>
    <row r="983" spans="1:14" s="113" customFormat="1" ht="15.75" customHeight="1">
      <c r="A983" s="156" t="s">
        <v>2022</v>
      </c>
      <c r="B983" s="170">
        <v>60086</v>
      </c>
      <c r="C983" s="113" t="s">
        <v>1748</v>
      </c>
      <c r="D983" s="115" t="str">
        <f>VLOOKUP(B983,'All Menu'!B:D,3,0)</f>
        <v>لحوم بلدية</v>
      </c>
      <c r="E983" s="116">
        <f t="shared" si="74"/>
        <v>14</v>
      </c>
      <c r="F983" s="119">
        <v>2</v>
      </c>
      <c r="G983" s="119">
        <v>28</v>
      </c>
      <c r="H983" s="115">
        <f>VLOOKUP(B983,'All Menu'!B:J,9,0)</f>
        <v>12.58</v>
      </c>
      <c r="I983" s="120">
        <f>VLOOKUP(B983,'All Menu'!B:M,12,0)</f>
        <v>0.10142857142857142</v>
      </c>
      <c r="J983" s="114">
        <f t="shared" si="71"/>
        <v>28</v>
      </c>
      <c r="K983" s="117">
        <f t="shared" si="72"/>
        <v>0</v>
      </c>
      <c r="L983" s="118">
        <f>VLOOKUP(B983,'All Menu'!B:G,6,0)</f>
        <v>14</v>
      </c>
      <c r="M983" s="118">
        <f t="shared" si="73"/>
        <v>0</v>
      </c>
      <c r="N983" s="151">
        <f ca="1">VLOOKUP(B983,'All Menu'!B:H,7,0)</f>
        <v>11.84</v>
      </c>
    </row>
    <row r="984" spans="1:14" s="113" customFormat="1" ht="15.75" customHeight="1">
      <c r="A984" s="156" t="s">
        <v>2022</v>
      </c>
      <c r="B984" s="170">
        <v>60006</v>
      </c>
      <c r="C984" s="113" t="s">
        <v>1618</v>
      </c>
      <c r="D984" s="115" t="str">
        <f>VLOOKUP(B984,'All Menu'!B:D,3,0)</f>
        <v>لحوم مستوردة</v>
      </c>
      <c r="E984" s="116">
        <f t="shared" si="74"/>
        <v>11.5</v>
      </c>
      <c r="F984" s="119">
        <v>5.57</v>
      </c>
      <c r="G984" s="119">
        <v>64.055000000000007</v>
      </c>
      <c r="H984" s="115">
        <f>VLOOKUP(B984,'All Menu'!B:J,9,0)</f>
        <v>11.039193820514564</v>
      </c>
      <c r="I984" s="120">
        <f>VLOOKUP(B984,'All Menu'!B:M,12,0)</f>
        <v>4.0070102563950966E-2</v>
      </c>
      <c r="J984" s="114">
        <f t="shared" si="71"/>
        <v>64.055000000000007</v>
      </c>
      <c r="K984" s="117">
        <f t="shared" si="72"/>
        <v>0</v>
      </c>
      <c r="L984" s="118">
        <f>VLOOKUP(B984,'All Menu'!B:G,6,0)</f>
        <v>11.5</v>
      </c>
      <c r="M984" s="118">
        <f t="shared" si="73"/>
        <v>0</v>
      </c>
      <c r="N984" s="151">
        <f ca="1">VLOOKUP(B984,'All Menu'!B:H,7,0)</f>
        <v>900.88700000000006</v>
      </c>
    </row>
    <row r="985" spans="1:14" s="113" customFormat="1" ht="15.75" customHeight="1">
      <c r="A985" s="156" t="s">
        <v>2022</v>
      </c>
      <c r="B985" s="170">
        <v>60006</v>
      </c>
      <c r="C985" s="113" t="s">
        <v>1618</v>
      </c>
      <c r="D985" s="115" t="str">
        <f>VLOOKUP(B985,'All Menu'!B:D,3,0)</f>
        <v>لحوم مستوردة</v>
      </c>
      <c r="E985" s="116">
        <f t="shared" si="74"/>
        <v>11.5</v>
      </c>
      <c r="F985" s="119">
        <v>8.3249999999999993</v>
      </c>
      <c r="G985" s="119">
        <v>95.737499999999997</v>
      </c>
      <c r="H985" s="115">
        <f>VLOOKUP(B985,'All Menu'!B:J,9,0)</f>
        <v>11.039193820514564</v>
      </c>
      <c r="I985" s="120">
        <f>VLOOKUP(B985,'All Menu'!B:M,12,0)</f>
        <v>4.0070102563950966E-2</v>
      </c>
      <c r="J985" s="114">
        <f t="shared" si="71"/>
        <v>95.737499999999997</v>
      </c>
      <c r="K985" s="117">
        <f t="shared" si="72"/>
        <v>0</v>
      </c>
      <c r="L985" s="118">
        <f>VLOOKUP(B985,'All Menu'!B:G,6,0)</f>
        <v>11.5</v>
      </c>
      <c r="M985" s="118">
        <f t="shared" si="73"/>
        <v>0</v>
      </c>
      <c r="N985" s="151">
        <f ca="1">VLOOKUP(B985,'All Menu'!B:H,7,0)</f>
        <v>900.88700000000006</v>
      </c>
    </row>
    <row r="986" spans="1:14" s="113" customFormat="1" ht="15.75" customHeight="1">
      <c r="A986" s="156" t="s">
        <v>2022</v>
      </c>
      <c r="B986" s="170">
        <v>60006</v>
      </c>
      <c r="C986" s="113" t="s">
        <v>1618</v>
      </c>
      <c r="D986" s="115" t="str">
        <f>VLOOKUP(B986,'All Menu'!B:D,3,0)</f>
        <v>لحوم مستوردة</v>
      </c>
      <c r="E986" s="116">
        <f t="shared" si="74"/>
        <v>11.5</v>
      </c>
      <c r="F986" s="119">
        <v>5</v>
      </c>
      <c r="G986" s="119">
        <v>57.5</v>
      </c>
      <c r="H986" s="115">
        <f>VLOOKUP(B986,'All Menu'!B:J,9,0)</f>
        <v>11.039193820514564</v>
      </c>
      <c r="I986" s="120">
        <f>VLOOKUP(B986,'All Menu'!B:M,12,0)</f>
        <v>4.0070102563950966E-2</v>
      </c>
      <c r="J986" s="114">
        <f t="shared" si="71"/>
        <v>57.5</v>
      </c>
      <c r="K986" s="117">
        <f t="shared" si="72"/>
        <v>0</v>
      </c>
      <c r="L986" s="118">
        <f>VLOOKUP(B986,'All Menu'!B:G,6,0)</f>
        <v>11.5</v>
      </c>
      <c r="M986" s="118">
        <f t="shared" si="73"/>
        <v>0</v>
      </c>
      <c r="N986" s="151">
        <f ca="1">VLOOKUP(B986,'All Menu'!B:H,7,0)</f>
        <v>900.88700000000006</v>
      </c>
    </row>
    <row r="987" spans="1:14" s="113" customFormat="1" ht="15.75" customHeight="1">
      <c r="A987" s="156" t="s">
        <v>2022</v>
      </c>
      <c r="B987" s="170">
        <v>60007</v>
      </c>
      <c r="C987" s="113" t="s">
        <v>1618</v>
      </c>
      <c r="D987" s="115" t="str">
        <f>VLOOKUP(B987,'All Menu'!B:D,3,0)</f>
        <v>لحوم مستوردة</v>
      </c>
      <c r="E987" s="116">
        <f t="shared" si="74"/>
        <v>12.5</v>
      </c>
      <c r="F987" s="119">
        <v>2.5049999999999999</v>
      </c>
      <c r="G987" s="119">
        <v>31.3125</v>
      </c>
      <c r="H987" s="115">
        <f>VLOOKUP(B987,'All Menu'!B:J,9,0)</f>
        <v>11.039193820514564</v>
      </c>
      <c r="I987" s="120">
        <f>VLOOKUP(B987,'All Menu'!B:M,12,0)</f>
        <v>0.11686449435883489</v>
      </c>
      <c r="J987" s="114">
        <f t="shared" si="71"/>
        <v>31.3125</v>
      </c>
      <c r="K987" s="117">
        <f t="shared" si="72"/>
        <v>0</v>
      </c>
      <c r="L987" s="118">
        <f>VLOOKUP(B987,'All Menu'!B:G,6,0)</f>
        <v>12.5</v>
      </c>
      <c r="M987" s="118">
        <f t="shared" si="73"/>
        <v>0</v>
      </c>
      <c r="N987" s="151">
        <f ca="1">VLOOKUP(B987,'All Menu'!B:H,7,0)</f>
        <v>170.255</v>
      </c>
    </row>
    <row r="988" spans="1:14" s="113" customFormat="1" ht="15.75" customHeight="1">
      <c r="A988" s="156" t="s">
        <v>2022</v>
      </c>
      <c r="B988" s="170">
        <v>60007</v>
      </c>
      <c r="C988" s="113" t="s">
        <v>1618</v>
      </c>
      <c r="D988" s="115" t="str">
        <f>VLOOKUP(B988,'All Menu'!B:D,3,0)</f>
        <v>لحوم مستوردة</v>
      </c>
      <c r="E988" s="116">
        <f t="shared" si="74"/>
        <v>12.5</v>
      </c>
      <c r="F988" s="119">
        <v>76.23</v>
      </c>
      <c r="G988" s="119">
        <v>952.875</v>
      </c>
      <c r="H988" s="115">
        <f>VLOOKUP(B988,'All Menu'!B:J,9,0)</f>
        <v>11.039193820514564</v>
      </c>
      <c r="I988" s="120">
        <f>VLOOKUP(B988,'All Menu'!B:M,12,0)</f>
        <v>0.11686449435883489</v>
      </c>
      <c r="J988" s="114">
        <f t="shared" si="71"/>
        <v>952.875</v>
      </c>
      <c r="K988" s="117">
        <f t="shared" si="72"/>
        <v>0</v>
      </c>
      <c r="L988" s="118">
        <f>VLOOKUP(B988,'All Menu'!B:G,6,0)</f>
        <v>12.5</v>
      </c>
      <c r="M988" s="118">
        <f t="shared" si="73"/>
        <v>0</v>
      </c>
      <c r="N988" s="151">
        <f ca="1">VLOOKUP(B988,'All Menu'!B:H,7,0)</f>
        <v>170.255</v>
      </c>
    </row>
    <row r="989" spans="1:14" s="113" customFormat="1" ht="15.75" customHeight="1">
      <c r="A989" s="156" t="s">
        <v>2022</v>
      </c>
      <c r="B989" s="170">
        <v>60018</v>
      </c>
      <c r="C989" s="113" t="s">
        <v>1621</v>
      </c>
      <c r="D989" s="115" t="str">
        <f>VLOOKUP(B989,'All Menu'!B:D,3,0)</f>
        <v>لحوم مستوردة</v>
      </c>
      <c r="E989" s="116">
        <f t="shared" si="74"/>
        <v>11.000000000000002</v>
      </c>
      <c r="F989" s="119">
        <v>11.8751</v>
      </c>
      <c r="G989" s="119">
        <v>130.62610000000001</v>
      </c>
      <c r="H989" s="115">
        <f>VLOOKUP(B989,'All Menu'!B:J,9,0)</f>
        <v>9.01</v>
      </c>
      <c r="I989" s="120">
        <f>VLOOKUP(B989,'All Menu'!B:M,12,0)</f>
        <v>0.18090909090909094</v>
      </c>
      <c r="J989" s="114">
        <f t="shared" ref="J989:J1052" si="75">F989*L989</f>
        <v>130.62610000000001</v>
      </c>
      <c r="K989" s="117">
        <f t="shared" ref="K989:K1052" si="76">G989-J989</f>
        <v>0</v>
      </c>
      <c r="L989" s="118">
        <f>VLOOKUP(B989,'All Menu'!B:G,6,0)</f>
        <v>11</v>
      </c>
      <c r="M989" s="118">
        <f t="shared" ref="M989:M1052" si="77">E989-L989</f>
        <v>0</v>
      </c>
      <c r="N989" s="151">
        <f ca="1">VLOOKUP(B989,'All Menu'!B:H,7,0)</f>
        <v>37.835099999999997</v>
      </c>
    </row>
    <row r="990" spans="1:14" s="113" customFormat="1" ht="15.75" customHeight="1">
      <c r="A990" s="156" t="s">
        <v>2022</v>
      </c>
      <c r="B990" s="170">
        <v>60020</v>
      </c>
      <c r="C990" s="113" t="s">
        <v>3011</v>
      </c>
      <c r="D990" s="115" t="str">
        <f>VLOOKUP(B990,'All Menu'!B:D,3,0)</f>
        <v>لحوم مستوردة</v>
      </c>
      <c r="E990" s="116">
        <f t="shared" ref="E990:E1053" si="78">G990/F990</f>
        <v>12</v>
      </c>
      <c r="F990" s="119">
        <v>2</v>
      </c>
      <c r="G990" s="119">
        <v>24</v>
      </c>
      <c r="H990" s="115">
        <f>VLOOKUP(B990,'All Menu'!B:J,9,0)</f>
        <v>12.58</v>
      </c>
      <c r="I990" s="120">
        <f>VLOOKUP(B990,'All Menu'!B:M,12,0)</f>
        <v>0.30111111111111111</v>
      </c>
      <c r="J990" s="114">
        <f t="shared" si="75"/>
        <v>36</v>
      </c>
      <c r="K990" s="117">
        <f t="shared" si="76"/>
        <v>-12</v>
      </c>
      <c r="L990" s="118">
        <f>VLOOKUP(B990,'All Menu'!B:G,6,0)</f>
        <v>18</v>
      </c>
      <c r="M990" s="118">
        <f t="shared" si="77"/>
        <v>-6</v>
      </c>
      <c r="N990" s="151">
        <f ca="1">VLOOKUP(B990,'All Menu'!B:H,7,0)</f>
        <v>2</v>
      </c>
    </row>
    <row r="991" spans="1:14" s="113" customFormat="1" ht="15.75" customHeight="1">
      <c r="A991" s="156" t="s">
        <v>2022</v>
      </c>
      <c r="B991" s="170">
        <v>60021</v>
      </c>
      <c r="C991" s="113" t="s">
        <v>1622</v>
      </c>
      <c r="D991" s="115" t="str">
        <f>VLOOKUP(B991,'All Menu'!B:D,3,0)</f>
        <v>لحوم مستوردة</v>
      </c>
      <c r="E991" s="116">
        <f t="shared" si="78"/>
        <v>20</v>
      </c>
      <c r="F991" s="119">
        <v>2.0550000000000002</v>
      </c>
      <c r="G991" s="119">
        <v>41.1</v>
      </c>
      <c r="H991" s="115">
        <f>VLOOKUP(B991,'All Menu'!B:J,9,0)</f>
        <v>21.5</v>
      </c>
      <c r="I991" s="120">
        <f>VLOOKUP(B991,'All Menu'!B:M,12,0)</f>
        <v>-7.4999999999999997E-2</v>
      </c>
      <c r="J991" s="114">
        <f t="shared" si="75"/>
        <v>41.1</v>
      </c>
      <c r="K991" s="117">
        <f t="shared" si="76"/>
        <v>0</v>
      </c>
      <c r="L991" s="118">
        <f>VLOOKUP(B991,'All Menu'!B:G,6,0)</f>
        <v>20</v>
      </c>
      <c r="M991" s="118">
        <f t="shared" si="77"/>
        <v>0</v>
      </c>
      <c r="N991" s="151">
        <f ca="1">VLOOKUP(B991,'All Menu'!B:H,7,0)</f>
        <v>2.0550000000000002</v>
      </c>
    </row>
    <row r="992" spans="1:14" s="113" customFormat="1" ht="15.75" customHeight="1">
      <c r="A992" s="156" t="s">
        <v>2022</v>
      </c>
      <c r="B992" s="170">
        <v>60022</v>
      </c>
      <c r="C992" s="113" t="s">
        <v>1750</v>
      </c>
      <c r="D992" s="115" t="str">
        <f>VLOOKUP(B992,'All Menu'!B:D,3,0)</f>
        <v>لحوم مستوردة</v>
      </c>
      <c r="E992" s="116">
        <f t="shared" si="78"/>
        <v>10</v>
      </c>
      <c r="F992" s="119">
        <v>5.5</v>
      </c>
      <c r="G992" s="119">
        <v>55</v>
      </c>
      <c r="H992" s="115">
        <f>VLOOKUP(B992,'All Menu'!B:J,9,0)</f>
        <v>9.01</v>
      </c>
      <c r="I992" s="120">
        <f>VLOOKUP(B992,'All Menu'!B:M,12,0)</f>
        <v>9.9000000000000019E-2</v>
      </c>
      <c r="J992" s="114">
        <f t="shared" si="75"/>
        <v>55</v>
      </c>
      <c r="K992" s="117">
        <f t="shared" si="76"/>
        <v>0</v>
      </c>
      <c r="L992" s="118">
        <f>VLOOKUP(B992,'All Menu'!B:G,6,0)</f>
        <v>10</v>
      </c>
      <c r="M992" s="118">
        <f t="shared" si="77"/>
        <v>0</v>
      </c>
      <c r="N992" s="151">
        <f ca="1">VLOOKUP(B992,'All Menu'!B:H,7,0)</f>
        <v>10</v>
      </c>
    </row>
    <row r="993" spans="1:14" s="113" customFormat="1" ht="15.75" customHeight="1">
      <c r="A993" s="156" t="s">
        <v>2022</v>
      </c>
      <c r="B993" s="170">
        <v>60059</v>
      </c>
      <c r="C993" s="113" t="s">
        <v>1836</v>
      </c>
      <c r="D993" s="115" t="str">
        <f>VLOOKUP(B993,'All Menu'!B:D,3,0)</f>
        <v>لحوم مستوردة</v>
      </c>
      <c r="E993" s="116">
        <f t="shared" si="78"/>
        <v>12</v>
      </c>
      <c r="F993" s="119">
        <v>2.0009999999999999</v>
      </c>
      <c r="G993" s="119">
        <v>24.012</v>
      </c>
      <c r="H993" s="115">
        <f>VLOOKUP(B993,'All Menu'!B:J,9,0)</f>
        <v>11.039193820514564</v>
      </c>
      <c r="I993" s="120">
        <f>VLOOKUP(B993,'All Menu'!B:M,12,0)</f>
        <v>8.0067181623786343E-2</v>
      </c>
      <c r="J993" s="114">
        <f t="shared" si="75"/>
        <v>24.012</v>
      </c>
      <c r="K993" s="117">
        <f t="shared" si="76"/>
        <v>0</v>
      </c>
      <c r="L993" s="118">
        <f>VLOOKUP(B993,'All Menu'!B:G,6,0)</f>
        <v>12</v>
      </c>
      <c r="M993" s="118">
        <f t="shared" si="77"/>
        <v>0</v>
      </c>
      <c r="N993" s="151">
        <f ca="1">VLOOKUP(B993,'All Menu'!B:H,7,0)</f>
        <v>222.86100000000002</v>
      </c>
    </row>
    <row r="994" spans="1:14" s="113" customFormat="1" ht="15.75" customHeight="1">
      <c r="A994" s="156" t="s">
        <v>2022</v>
      </c>
      <c r="B994" s="170">
        <v>203070</v>
      </c>
      <c r="C994" s="113" t="s">
        <v>1840</v>
      </c>
      <c r="D994" s="115" t="str">
        <f>VLOOKUP(B994,'All Menu'!B:D,3,0)</f>
        <v>لحوم مشكوكة</v>
      </c>
      <c r="E994" s="116">
        <f t="shared" si="78"/>
        <v>2</v>
      </c>
      <c r="F994" s="119">
        <v>1</v>
      </c>
      <c r="G994" s="119">
        <v>2</v>
      </c>
      <c r="H994" s="115">
        <f>VLOOKUP(B994,'All Menu'!B:J,9,0)</f>
        <v>0.23579365079365081</v>
      </c>
      <c r="I994" s="120">
        <f>VLOOKUP(B994,'All Menu'!B:M,12,0)</f>
        <v>0.88210317460317456</v>
      </c>
      <c r="J994" s="114">
        <f t="shared" si="75"/>
        <v>2</v>
      </c>
      <c r="K994" s="117">
        <f t="shared" si="76"/>
        <v>0</v>
      </c>
      <c r="L994" s="118">
        <f>VLOOKUP(B994,'All Menu'!B:G,6,0)</f>
        <v>2</v>
      </c>
      <c r="M994" s="118">
        <f t="shared" si="77"/>
        <v>0</v>
      </c>
      <c r="N994" s="151">
        <f ca="1">VLOOKUP(B994,'All Menu'!B:H,7,0)</f>
        <v>2</v>
      </c>
    </row>
    <row r="995" spans="1:14" s="113" customFormat="1" ht="15.75" customHeight="1">
      <c r="A995" s="156" t="s">
        <v>2022</v>
      </c>
      <c r="B995" s="170">
        <v>60026</v>
      </c>
      <c r="C995" s="113" t="s">
        <v>1751</v>
      </c>
      <c r="D995" s="115" t="str">
        <f>VLOOKUP(B995,'All Menu'!B:D,3,0)</f>
        <v>لحوم مشكوكة</v>
      </c>
      <c r="E995" s="116">
        <f t="shared" si="78"/>
        <v>25</v>
      </c>
      <c r="F995" s="119">
        <v>14.700100000000001</v>
      </c>
      <c r="G995" s="119">
        <v>367.5025</v>
      </c>
      <c r="H995" s="115">
        <f>VLOOKUP(B995,'All Menu'!B:J,9,0)</f>
        <v>20.330211999999996</v>
      </c>
      <c r="I995" s="120">
        <f>VLOOKUP(B995,'All Menu'!B:M,12,0)</f>
        <v>0.18679152000000016</v>
      </c>
      <c r="J995" s="114">
        <f t="shared" si="75"/>
        <v>367.5025</v>
      </c>
      <c r="K995" s="117">
        <f t="shared" si="76"/>
        <v>0</v>
      </c>
      <c r="L995" s="118">
        <f>VLOOKUP(B995,'All Menu'!B:G,6,0)</f>
        <v>25</v>
      </c>
      <c r="M995" s="118">
        <f t="shared" si="77"/>
        <v>0</v>
      </c>
      <c r="N995" s="151">
        <f ca="1">VLOOKUP(B995,'All Menu'!B:H,7,0)</f>
        <v>131.30009999999999</v>
      </c>
    </row>
    <row r="996" spans="1:14" s="113" customFormat="1" ht="15.75" customHeight="1">
      <c r="A996" s="156" t="s">
        <v>2022</v>
      </c>
      <c r="B996" s="170">
        <v>60027</v>
      </c>
      <c r="C996" s="113" t="s">
        <v>1623</v>
      </c>
      <c r="D996" s="115" t="str">
        <f>VLOOKUP(B996,'All Menu'!B:D,3,0)</f>
        <v>لحوم مشكوكة</v>
      </c>
      <c r="E996" s="116">
        <f t="shared" si="78"/>
        <v>19</v>
      </c>
      <c r="F996" s="119">
        <v>31.0501</v>
      </c>
      <c r="G996" s="119">
        <v>589.95190000000002</v>
      </c>
      <c r="H996" s="115">
        <f>VLOOKUP(B996,'All Menu'!B:J,9,0)</f>
        <v>13.259170242685132</v>
      </c>
      <c r="I996" s="120">
        <f>VLOOKUP(B996,'All Menu'!B:M,12,0)</f>
        <v>0.30214893459551939</v>
      </c>
      <c r="J996" s="114">
        <f t="shared" si="75"/>
        <v>589.95190000000002</v>
      </c>
      <c r="K996" s="117">
        <f t="shared" si="76"/>
        <v>0</v>
      </c>
      <c r="L996" s="118">
        <f>VLOOKUP(B996,'All Menu'!B:G,6,0)</f>
        <v>19</v>
      </c>
      <c r="M996" s="118">
        <f t="shared" si="77"/>
        <v>0</v>
      </c>
      <c r="N996" s="151">
        <f ca="1">VLOOKUP(B996,'All Menu'!B:H,7,0)</f>
        <v>143.90010000000001</v>
      </c>
    </row>
    <row r="997" spans="1:14" s="113" customFormat="1" ht="15.75" customHeight="1">
      <c r="A997" s="156" t="s">
        <v>2022</v>
      </c>
      <c r="B997" s="170">
        <v>60028</v>
      </c>
      <c r="C997" s="113" t="s">
        <v>1752</v>
      </c>
      <c r="D997" s="115" t="str">
        <f>VLOOKUP(B997,'All Menu'!B:D,3,0)</f>
        <v>لحوم مشكوكة</v>
      </c>
      <c r="E997" s="116">
        <f t="shared" si="78"/>
        <v>19</v>
      </c>
      <c r="F997" s="119">
        <v>4.5</v>
      </c>
      <c r="G997" s="119">
        <v>85.5</v>
      </c>
      <c r="H997" s="115">
        <f>VLOOKUP(B997,'All Menu'!B:J,9,0)</f>
        <v>13.664539434084606</v>
      </c>
      <c r="I997" s="120">
        <f>VLOOKUP(B997,'All Menu'!B:M,12,0)</f>
        <v>0.28081371399554705</v>
      </c>
      <c r="J997" s="114">
        <f t="shared" si="75"/>
        <v>85.5</v>
      </c>
      <c r="K997" s="117">
        <f t="shared" si="76"/>
        <v>0</v>
      </c>
      <c r="L997" s="118">
        <f>VLOOKUP(B997,'All Menu'!B:G,6,0)</f>
        <v>19</v>
      </c>
      <c r="M997" s="118">
        <f t="shared" si="77"/>
        <v>0</v>
      </c>
      <c r="N997" s="151">
        <f ca="1">VLOOKUP(B997,'All Menu'!B:H,7,0)</f>
        <v>27.53</v>
      </c>
    </row>
    <row r="998" spans="1:14" s="113" customFormat="1" ht="15.75" customHeight="1">
      <c r="A998" s="156" t="s">
        <v>2022</v>
      </c>
      <c r="B998" s="170">
        <v>60029</v>
      </c>
      <c r="C998" s="113" t="s">
        <v>1625</v>
      </c>
      <c r="D998" s="115" t="str">
        <f>VLOOKUP(B998,'All Menu'!B:D,3,0)</f>
        <v>لحوم مشكوكة</v>
      </c>
      <c r="E998" s="116">
        <f t="shared" si="78"/>
        <v>20</v>
      </c>
      <c r="F998" s="119">
        <v>2</v>
      </c>
      <c r="G998" s="119">
        <v>40</v>
      </c>
      <c r="H998" s="115">
        <f>VLOOKUP(B998,'All Menu'!B:J,9,0)</f>
        <v>12.540785760514565</v>
      </c>
      <c r="I998" s="120">
        <f>VLOOKUP(B998,'All Menu'!B:M,12,0)</f>
        <v>0.37296071197427177</v>
      </c>
      <c r="J998" s="114">
        <f t="shared" si="75"/>
        <v>40</v>
      </c>
      <c r="K998" s="117">
        <f t="shared" si="76"/>
        <v>0</v>
      </c>
      <c r="L998" s="118">
        <f>VLOOKUP(B998,'All Menu'!B:G,6,0)</f>
        <v>20</v>
      </c>
      <c r="M998" s="118">
        <f t="shared" si="77"/>
        <v>0</v>
      </c>
      <c r="N998" s="151">
        <f ca="1">VLOOKUP(B998,'All Menu'!B:H,7,0)</f>
        <v>25.75</v>
      </c>
    </row>
    <row r="999" spans="1:14" s="113" customFormat="1" ht="15.75" customHeight="1">
      <c r="A999" s="156" t="s">
        <v>2022</v>
      </c>
      <c r="B999" s="170">
        <v>60032</v>
      </c>
      <c r="C999" s="113" t="s">
        <v>1753</v>
      </c>
      <c r="D999" s="115" t="str">
        <f>VLOOKUP(B999,'All Menu'!B:D,3,0)</f>
        <v>لحوم مشكوكة</v>
      </c>
      <c r="E999" s="116">
        <f t="shared" si="78"/>
        <v>12</v>
      </c>
      <c r="F999" s="119">
        <v>0.5</v>
      </c>
      <c r="G999" s="119">
        <v>6</v>
      </c>
      <c r="H999" s="115">
        <f>VLOOKUP(B999,'All Menu'!B:J,9,0)</f>
        <v>6.1582059229208923</v>
      </c>
      <c r="I999" s="120">
        <f>VLOOKUP(B999,'All Menu'!B:M,12,0)</f>
        <v>0.48681617308992564</v>
      </c>
      <c r="J999" s="114">
        <f t="shared" si="75"/>
        <v>6</v>
      </c>
      <c r="K999" s="117">
        <f t="shared" si="76"/>
        <v>0</v>
      </c>
      <c r="L999" s="118">
        <f>VLOOKUP(B999,'All Menu'!B:G,6,0)</f>
        <v>12</v>
      </c>
      <c r="M999" s="118">
        <f t="shared" si="77"/>
        <v>0</v>
      </c>
      <c r="N999" s="151">
        <f ca="1">VLOOKUP(B999,'All Menu'!B:H,7,0)</f>
        <v>1.94</v>
      </c>
    </row>
    <row r="1000" spans="1:14" s="113" customFormat="1" ht="15.75" customHeight="1">
      <c r="A1000" s="156" t="s">
        <v>2022</v>
      </c>
      <c r="B1000" s="170">
        <v>60033</v>
      </c>
      <c r="C1000" s="113" t="s">
        <v>1759</v>
      </c>
      <c r="D1000" s="115" t="str">
        <f>VLOOKUP(B1000,'All Menu'!B:D,3,0)</f>
        <v>لحوم مشكوكة</v>
      </c>
      <c r="E1000" s="116">
        <f t="shared" si="78"/>
        <v>14</v>
      </c>
      <c r="F1000" s="119">
        <v>1E-3</v>
      </c>
      <c r="G1000" s="119">
        <v>1.4E-2</v>
      </c>
      <c r="H1000" s="115">
        <f>VLOOKUP(B1000,'All Menu'!B:J,9,0)</f>
        <v>5.7961459229208927</v>
      </c>
      <c r="I1000" s="120">
        <f>VLOOKUP(B1000,'All Menu'!B:M,12,0)</f>
        <v>0.58598957693422193</v>
      </c>
      <c r="J1000" s="114">
        <f t="shared" si="75"/>
        <v>1.4E-2</v>
      </c>
      <c r="K1000" s="117">
        <f t="shared" si="76"/>
        <v>0</v>
      </c>
      <c r="L1000" s="118">
        <f>VLOOKUP(B1000,'All Menu'!B:G,6,0)</f>
        <v>14</v>
      </c>
      <c r="M1000" s="118">
        <f t="shared" si="77"/>
        <v>0</v>
      </c>
      <c r="N1000" s="151">
        <f ca="1">VLOOKUP(B1000,'All Menu'!B:H,7,0)</f>
        <v>1.4009999999999998</v>
      </c>
    </row>
    <row r="1001" spans="1:14" s="113" customFormat="1" ht="15.75" customHeight="1">
      <c r="A1001" s="156" t="s">
        <v>2022</v>
      </c>
      <c r="B1001" s="170">
        <v>60041</v>
      </c>
      <c r="C1001" s="113" t="s">
        <v>1627</v>
      </c>
      <c r="D1001" s="115" t="str">
        <f>VLOOKUP(B1001,'All Menu'!B:D,3,0)</f>
        <v>لحوم مشكوكة</v>
      </c>
      <c r="E1001" s="116">
        <f t="shared" si="78"/>
        <v>18</v>
      </c>
      <c r="F1001" s="119">
        <v>38.9</v>
      </c>
      <c r="G1001" s="119">
        <v>700.19999999999993</v>
      </c>
      <c r="H1001" s="115">
        <f>VLOOKUP(B1001,'All Menu'!B:J,9,0)</f>
        <v>9.5930438909447719</v>
      </c>
      <c r="I1001" s="120">
        <f>VLOOKUP(B1001,'All Menu'!B:M,12,0)</f>
        <v>0.46705311716973491</v>
      </c>
      <c r="J1001" s="114">
        <f t="shared" si="75"/>
        <v>700.19999999999993</v>
      </c>
      <c r="K1001" s="117">
        <f t="shared" si="76"/>
        <v>0</v>
      </c>
      <c r="L1001" s="118">
        <f>VLOOKUP(B1001,'All Menu'!B:G,6,0)</f>
        <v>18</v>
      </c>
      <c r="M1001" s="118">
        <f t="shared" si="77"/>
        <v>0</v>
      </c>
      <c r="N1001" s="151">
        <f ca="1">VLOOKUP(B1001,'All Menu'!B:H,7,0)</f>
        <v>349.267</v>
      </c>
    </row>
    <row r="1002" spans="1:14" s="113" customFormat="1" ht="15.75" customHeight="1">
      <c r="A1002" s="156" t="s">
        <v>2022</v>
      </c>
      <c r="B1002" s="170">
        <v>60043</v>
      </c>
      <c r="C1002" s="113" t="s">
        <v>1761</v>
      </c>
      <c r="D1002" s="115" t="str">
        <f>VLOOKUP(B1002,'All Menu'!B:D,3,0)</f>
        <v>لحوم مشكوكة</v>
      </c>
      <c r="E1002" s="116">
        <f t="shared" si="78"/>
        <v>3</v>
      </c>
      <c r="F1002" s="119">
        <v>186.01</v>
      </c>
      <c r="G1002" s="119">
        <v>558.03</v>
      </c>
      <c r="H1002" s="115">
        <f>VLOOKUP(B1002,'All Menu'!B:J,9,0)</f>
        <v>0.49504962499999999</v>
      </c>
      <c r="I1002" s="120">
        <f>VLOOKUP(B1002,'All Menu'!B:M,12,0)</f>
        <v>0.83498345833333332</v>
      </c>
      <c r="J1002" s="114">
        <f t="shared" si="75"/>
        <v>558.03</v>
      </c>
      <c r="K1002" s="117">
        <f t="shared" si="76"/>
        <v>0</v>
      </c>
      <c r="L1002" s="118">
        <f>VLOOKUP(B1002,'All Menu'!B:G,6,0)</f>
        <v>3</v>
      </c>
      <c r="M1002" s="118">
        <f t="shared" si="77"/>
        <v>0</v>
      </c>
      <c r="N1002" s="151">
        <f ca="1">VLOOKUP(B1002,'All Menu'!B:H,7,0)</f>
        <v>272.01</v>
      </c>
    </row>
    <row r="1003" spans="1:14" s="113" customFormat="1" ht="15.75" customHeight="1">
      <c r="A1003" s="156" t="s">
        <v>2022</v>
      </c>
      <c r="B1003" s="170">
        <v>60044</v>
      </c>
      <c r="C1003" s="113" t="s">
        <v>1839</v>
      </c>
      <c r="D1003" s="115" t="str">
        <f>VLOOKUP(B1003,'All Menu'!B:D,3,0)</f>
        <v>لحوم مشكوكة</v>
      </c>
      <c r="E1003" s="116">
        <f t="shared" si="78"/>
        <v>3</v>
      </c>
      <c r="F1003" s="119">
        <v>6</v>
      </c>
      <c r="G1003" s="119">
        <v>18</v>
      </c>
      <c r="H1003" s="115">
        <f>VLOOKUP(B1003,'All Menu'!B:J,9,0)</f>
        <v>0.53695113445881237</v>
      </c>
      <c r="I1003" s="120">
        <f>VLOOKUP(B1003,'All Menu'!B:M,12,0)</f>
        <v>0.82101628851372921</v>
      </c>
      <c r="J1003" s="114">
        <f t="shared" si="75"/>
        <v>18</v>
      </c>
      <c r="K1003" s="117">
        <f t="shared" si="76"/>
        <v>0</v>
      </c>
      <c r="L1003" s="118">
        <f>VLOOKUP(B1003,'All Menu'!B:G,6,0)</f>
        <v>3</v>
      </c>
      <c r="M1003" s="118">
        <f t="shared" si="77"/>
        <v>0</v>
      </c>
      <c r="N1003" s="151">
        <f ca="1">VLOOKUP(B1003,'All Menu'!B:H,7,0)</f>
        <v>17</v>
      </c>
    </row>
    <row r="1004" spans="1:14" s="113" customFormat="1" ht="15.75" customHeight="1">
      <c r="A1004" s="156" t="s">
        <v>2022</v>
      </c>
      <c r="B1004" s="170">
        <v>60045</v>
      </c>
      <c r="C1004" s="113" t="s">
        <v>1726</v>
      </c>
      <c r="D1004" s="115" t="str">
        <f>VLOOKUP(B1004,'All Menu'!B:D,3,0)</f>
        <v>لحوم مشكوكة</v>
      </c>
      <c r="E1004" s="116">
        <f t="shared" si="78"/>
        <v>0.75</v>
      </c>
      <c r="F1004" s="119">
        <v>7</v>
      </c>
      <c r="G1004" s="119">
        <v>5.25</v>
      </c>
      <c r="H1004" s="115">
        <f>VLOOKUP(B1004,'All Menu'!B:J,9,0)</f>
        <v>0.11097000000000001</v>
      </c>
      <c r="I1004" s="120">
        <f>VLOOKUP(B1004,'All Menu'!B:M,12,0)</f>
        <v>0.85204000000000002</v>
      </c>
      <c r="J1004" s="114">
        <f t="shared" si="75"/>
        <v>5.25</v>
      </c>
      <c r="K1004" s="117">
        <f t="shared" si="76"/>
        <v>0</v>
      </c>
      <c r="L1004" s="118">
        <f>VLOOKUP(B1004,'All Menu'!B:G,6,0)</f>
        <v>0.75</v>
      </c>
      <c r="M1004" s="118">
        <f t="shared" si="77"/>
        <v>0</v>
      </c>
      <c r="N1004" s="151">
        <f ca="1">VLOOKUP(B1004,'All Menu'!B:H,7,0)</f>
        <v>72</v>
      </c>
    </row>
    <row r="1005" spans="1:14" s="113" customFormat="1" ht="15.75" customHeight="1">
      <c r="A1005" s="156" t="s">
        <v>2022</v>
      </c>
      <c r="B1005" s="170">
        <v>60046</v>
      </c>
      <c r="C1005" s="113" t="s">
        <v>1727</v>
      </c>
      <c r="D1005" s="115" t="str">
        <f>VLOOKUP(B1005,'All Menu'!B:D,3,0)</f>
        <v>لحوم مشكوكة</v>
      </c>
      <c r="E1005" s="116">
        <f t="shared" si="78"/>
        <v>0.75</v>
      </c>
      <c r="F1005" s="119">
        <v>6</v>
      </c>
      <c r="G1005" s="119">
        <v>4.5</v>
      </c>
      <c r="H1005" s="115">
        <f>VLOOKUP(B1005,'All Menu'!B:J,9,0)</f>
        <v>0.12897</v>
      </c>
      <c r="I1005" s="120">
        <f>VLOOKUP(B1005,'All Menu'!B:M,12,0)</f>
        <v>0.82804</v>
      </c>
      <c r="J1005" s="114">
        <f t="shared" si="75"/>
        <v>4.5</v>
      </c>
      <c r="K1005" s="117">
        <f t="shared" si="76"/>
        <v>0</v>
      </c>
      <c r="L1005" s="118">
        <f>VLOOKUP(B1005,'All Menu'!B:G,6,0)</f>
        <v>0.75</v>
      </c>
      <c r="M1005" s="118">
        <f t="shared" si="77"/>
        <v>0</v>
      </c>
      <c r="N1005" s="151">
        <f ca="1">VLOOKUP(B1005,'All Menu'!B:H,7,0)</f>
        <v>68</v>
      </c>
    </row>
    <row r="1006" spans="1:14" s="113" customFormat="1" ht="15.75" customHeight="1">
      <c r="A1006" s="156" t="s">
        <v>2022</v>
      </c>
      <c r="B1006" s="170">
        <v>60047</v>
      </c>
      <c r="C1006" s="113" t="s">
        <v>1420</v>
      </c>
      <c r="D1006" s="115" t="str">
        <f>VLOOKUP(B1006,'All Menu'!B:D,3,0)</f>
        <v>لحوم مشكوكة</v>
      </c>
      <c r="E1006" s="116">
        <f t="shared" si="78"/>
        <v>2</v>
      </c>
      <c r="F1006" s="119">
        <v>8</v>
      </c>
      <c r="G1006" s="119">
        <v>16</v>
      </c>
      <c r="H1006" s="115">
        <f>VLOOKUP(B1006,'All Menu'!B:J,9,0)</f>
        <v>0.56896999999999998</v>
      </c>
      <c r="I1006" s="120">
        <f>VLOOKUP(B1006,'All Menu'!B:M,12,0)</f>
        <v>0.71551500000000001</v>
      </c>
      <c r="J1006" s="114">
        <f t="shared" si="75"/>
        <v>16</v>
      </c>
      <c r="K1006" s="117">
        <f t="shared" si="76"/>
        <v>0</v>
      </c>
      <c r="L1006" s="118">
        <f>VLOOKUP(B1006,'All Menu'!B:G,6,0)</f>
        <v>2</v>
      </c>
      <c r="M1006" s="118">
        <f t="shared" si="77"/>
        <v>0</v>
      </c>
      <c r="N1006" s="151">
        <f ca="1">VLOOKUP(B1006,'All Menu'!B:H,7,0)</f>
        <v>73</v>
      </c>
    </row>
    <row r="1007" spans="1:14" s="113" customFormat="1" ht="15.75" customHeight="1">
      <c r="A1007" s="156" t="s">
        <v>2022</v>
      </c>
      <c r="B1007" s="170">
        <v>60048</v>
      </c>
      <c r="C1007" s="113" t="s">
        <v>1728</v>
      </c>
      <c r="D1007" s="115" t="str">
        <f>VLOOKUP(B1007,'All Menu'!B:D,3,0)</f>
        <v>لحوم مشكوكة</v>
      </c>
      <c r="E1007" s="116">
        <f t="shared" si="78"/>
        <v>0.75</v>
      </c>
      <c r="F1007" s="119">
        <v>4</v>
      </c>
      <c r="G1007" s="119">
        <v>3</v>
      </c>
      <c r="H1007" s="115">
        <f>VLOOKUP(B1007,'All Menu'!B:J,9,0)</f>
        <v>0.12397</v>
      </c>
      <c r="I1007" s="120">
        <f>VLOOKUP(B1007,'All Menu'!B:M,12,0)</f>
        <v>0.8347066666666666</v>
      </c>
      <c r="J1007" s="114">
        <f t="shared" si="75"/>
        <v>3</v>
      </c>
      <c r="K1007" s="117">
        <f t="shared" si="76"/>
        <v>0</v>
      </c>
      <c r="L1007" s="118">
        <f>VLOOKUP(B1007,'All Menu'!B:G,6,0)</f>
        <v>0.75</v>
      </c>
      <c r="M1007" s="118">
        <f t="shared" si="77"/>
        <v>0</v>
      </c>
      <c r="N1007" s="151">
        <f ca="1">VLOOKUP(B1007,'All Menu'!B:H,7,0)</f>
        <v>32</v>
      </c>
    </row>
    <row r="1008" spans="1:14" s="113" customFormat="1" ht="15.75" customHeight="1">
      <c r="A1008" s="156" t="s">
        <v>2022</v>
      </c>
      <c r="B1008" s="170">
        <v>60071</v>
      </c>
      <c r="C1008" s="113" t="s">
        <v>1798</v>
      </c>
      <c r="D1008" s="115" t="str">
        <f>VLOOKUP(B1008,'All Menu'!B:D,3,0)</f>
        <v>لحوم مشكوكة</v>
      </c>
      <c r="E1008" s="116">
        <f t="shared" si="78"/>
        <v>14</v>
      </c>
      <c r="F1008" s="119">
        <v>1</v>
      </c>
      <c r="G1008" s="119">
        <v>14</v>
      </c>
      <c r="H1008" s="115">
        <f>VLOOKUP(B1008,'All Menu'!B:J,9,0)</f>
        <v>8.7466547635841145</v>
      </c>
      <c r="I1008" s="120">
        <f>VLOOKUP(B1008,'All Menu'!B:M,12,0)</f>
        <v>0.37523894545827752</v>
      </c>
      <c r="J1008" s="114">
        <f t="shared" si="75"/>
        <v>14</v>
      </c>
      <c r="K1008" s="117">
        <f t="shared" si="76"/>
        <v>0</v>
      </c>
      <c r="L1008" s="118">
        <f>VLOOKUP(B1008,'All Menu'!B:G,6,0)</f>
        <v>14</v>
      </c>
      <c r="M1008" s="118">
        <f t="shared" si="77"/>
        <v>0</v>
      </c>
      <c r="N1008" s="151">
        <f ca="1">VLOOKUP(B1008,'All Menu'!B:H,7,0)</f>
        <v>1.8</v>
      </c>
    </row>
    <row r="1009" spans="1:14" s="113" customFormat="1" ht="15.75" customHeight="1">
      <c r="A1009" s="156" t="s">
        <v>2022</v>
      </c>
      <c r="B1009" s="170">
        <v>60072</v>
      </c>
      <c r="C1009" s="113" t="s">
        <v>1842</v>
      </c>
      <c r="D1009" s="115" t="str">
        <f>VLOOKUP(B1009,'All Menu'!B:D,3,0)</f>
        <v>لحوم مشكوكة</v>
      </c>
      <c r="E1009" s="116">
        <f t="shared" si="78"/>
        <v>7.5</v>
      </c>
      <c r="F1009" s="119">
        <v>4</v>
      </c>
      <c r="G1009" s="119">
        <v>30</v>
      </c>
      <c r="H1009" s="115">
        <f>VLOOKUP(B1009,'All Menu'!B:J,9,0)</f>
        <v>4.3045469570707064</v>
      </c>
      <c r="I1009" s="120">
        <f>VLOOKUP(B1009,'All Menu'!B:M,12,0)</f>
        <v>0.4260604057239058</v>
      </c>
      <c r="J1009" s="114">
        <f t="shared" si="75"/>
        <v>30</v>
      </c>
      <c r="K1009" s="117">
        <f t="shared" si="76"/>
        <v>0</v>
      </c>
      <c r="L1009" s="118">
        <f>VLOOKUP(B1009,'All Menu'!B:G,6,0)</f>
        <v>7.5</v>
      </c>
      <c r="M1009" s="118">
        <f t="shared" si="77"/>
        <v>0</v>
      </c>
      <c r="N1009" s="151">
        <f ca="1">VLOOKUP(B1009,'All Menu'!B:H,7,0)</f>
        <v>8</v>
      </c>
    </row>
    <row r="1010" spans="1:14" s="113" customFormat="1" ht="15.75" customHeight="1">
      <c r="A1010" s="156" t="s">
        <v>2022</v>
      </c>
      <c r="B1010" s="170">
        <v>60073</v>
      </c>
      <c r="C1010" s="113" t="s">
        <v>1843</v>
      </c>
      <c r="D1010" s="115" t="str">
        <f>VLOOKUP(B1010,'All Menu'!B:D,3,0)</f>
        <v>لحوم مشكوكة</v>
      </c>
      <c r="E1010" s="116">
        <f t="shared" si="78"/>
        <v>14</v>
      </c>
      <c r="F1010" s="119">
        <v>1</v>
      </c>
      <c r="G1010" s="119">
        <v>14</v>
      </c>
      <c r="H1010" s="115">
        <f>VLOOKUP(B1010,'All Menu'!B:J,9,0)</f>
        <v>8.1603612158282317</v>
      </c>
      <c r="I1010" s="120">
        <f>VLOOKUP(B1010,'All Menu'!B:M,12,0)</f>
        <v>0.41711705601226917</v>
      </c>
      <c r="J1010" s="114">
        <f t="shared" si="75"/>
        <v>14</v>
      </c>
      <c r="K1010" s="117">
        <f t="shared" si="76"/>
        <v>0</v>
      </c>
      <c r="L1010" s="118">
        <f>VLOOKUP(B1010,'All Menu'!B:G,6,0)</f>
        <v>14</v>
      </c>
      <c r="M1010" s="118">
        <f t="shared" si="77"/>
        <v>0</v>
      </c>
      <c r="N1010" s="151">
        <f ca="1">VLOOKUP(B1010,'All Menu'!B:H,7,0)</f>
        <v>1.4</v>
      </c>
    </row>
    <row r="1011" spans="1:14" s="113" customFormat="1" ht="15.75" customHeight="1">
      <c r="A1011" s="156" t="s">
        <v>2022</v>
      </c>
      <c r="B1011" s="170">
        <v>60074</v>
      </c>
      <c r="C1011" s="113" t="s">
        <v>1792</v>
      </c>
      <c r="D1011" s="115" t="str">
        <f>VLOOKUP(B1011,'All Menu'!B:D,3,0)</f>
        <v>لحوم مشكوكة</v>
      </c>
      <c r="E1011" s="116">
        <f t="shared" si="78"/>
        <v>7.5</v>
      </c>
      <c r="F1011" s="119">
        <v>6</v>
      </c>
      <c r="G1011" s="119">
        <v>45</v>
      </c>
      <c r="H1011" s="115">
        <f>VLOOKUP(B1011,'All Menu'!B:J,9,0)</f>
        <v>4.4378070831923502</v>
      </c>
      <c r="I1011" s="120">
        <f>VLOOKUP(B1011,'All Menu'!B:M,12,0)</f>
        <v>0.40829238890768665</v>
      </c>
      <c r="J1011" s="114">
        <f t="shared" si="75"/>
        <v>45</v>
      </c>
      <c r="K1011" s="117">
        <f t="shared" si="76"/>
        <v>0</v>
      </c>
      <c r="L1011" s="118">
        <f>VLOOKUP(B1011,'All Menu'!B:G,6,0)</f>
        <v>7.5</v>
      </c>
      <c r="M1011" s="118">
        <f t="shared" si="77"/>
        <v>0</v>
      </c>
      <c r="N1011" s="151">
        <f ca="1">VLOOKUP(B1011,'All Menu'!B:H,7,0)</f>
        <v>7</v>
      </c>
    </row>
    <row r="1012" spans="1:14" s="113" customFormat="1" ht="15.75" customHeight="1">
      <c r="A1012" s="156" t="s">
        <v>2022</v>
      </c>
      <c r="B1012" s="170">
        <v>60077</v>
      </c>
      <c r="C1012" s="113" t="s">
        <v>3012</v>
      </c>
      <c r="D1012" s="115" t="str">
        <f>VLOOKUP(B1012,'All Menu'!B:D,3,0)</f>
        <v>لحوم مشكوكة</v>
      </c>
      <c r="E1012" s="116">
        <f t="shared" si="78"/>
        <v>22</v>
      </c>
      <c r="F1012" s="119">
        <v>1E-3</v>
      </c>
      <c r="G1012" s="119">
        <v>2.1999999999999999E-2</v>
      </c>
      <c r="H1012" s="115">
        <f>VLOOKUP(B1012,'All Menu'!B:J,9,0)</f>
        <v>8.5247717241379295</v>
      </c>
      <c r="I1012" s="120">
        <f>VLOOKUP(B1012,'All Menu'!B:M,12,0)</f>
        <v>0.61251037617554871</v>
      </c>
      <c r="J1012" s="114">
        <f t="shared" si="75"/>
        <v>2.1999999999999999E-2</v>
      </c>
      <c r="K1012" s="117">
        <f t="shared" si="76"/>
        <v>0</v>
      </c>
      <c r="L1012" s="118">
        <f>VLOOKUP(B1012,'All Menu'!B:G,6,0)</f>
        <v>22</v>
      </c>
      <c r="M1012" s="118">
        <f t="shared" si="77"/>
        <v>0</v>
      </c>
      <c r="N1012" s="151">
        <f ca="1">VLOOKUP(B1012,'All Menu'!B:H,7,0)</f>
        <v>1E-3</v>
      </c>
    </row>
    <row r="1013" spans="1:14" s="113" customFormat="1" ht="15.75" customHeight="1">
      <c r="A1013" s="156" t="s">
        <v>2022</v>
      </c>
      <c r="B1013" s="170">
        <v>60030</v>
      </c>
      <c r="C1013" s="113" t="s">
        <v>1758</v>
      </c>
      <c r="D1013" s="115" t="str">
        <f>VLOOKUP(B1013,'All Menu'!B:D,3,0)</f>
        <v>لحوم مشكوكة</v>
      </c>
      <c r="E1013" s="116">
        <f t="shared" si="78"/>
        <v>22</v>
      </c>
      <c r="F1013" s="119">
        <v>1.9</v>
      </c>
      <c r="G1013" s="119">
        <v>41.8</v>
      </c>
      <c r="H1013" s="115">
        <f>VLOOKUP(B1013,'All Menu'!B:J,9,0)</f>
        <v>9.581059597476651</v>
      </c>
      <c r="I1013" s="120">
        <f>VLOOKUP(B1013,'All Menu'!B:M,12,0)</f>
        <v>0.56449729102378854</v>
      </c>
      <c r="J1013" s="114">
        <f t="shared" si="75"/>
        <v>41.8</v>
      </c>
      <c r="K1013" s="117">
        <f t="shared" si="76"/>
        <v>0</v>
      </c>
      <c r="L1013" s="118">
        <f>VLOOKUP(B1013,'All Menu'!B:G,6,0)</f>
        <v>22</v>
      </c>
      <c r="M1013" s="118">
        <f t="shared" si="77"/>
        <v>0</v>
      </c>
      <c r="N1013" s="151">
        <f ca="1">VLOOKUP(B1013,'All Menu'!B:H,7,0)</f>
        <v>13.32</v>
      </c>
    </row>
    <row r="1014" spans="1:14" s="113" customFormat="1" ht="15.75" customHeight="1">
      <c r="A1014" s="156" t="s">
        <v>2022</v>
      </c>
      <c r="B1014" s="170">
        <v>60031</v>
      </c>
      <c r="C1014" s="113" t="s">
        <v>1937</v>
      </c>
      <c r="D1014" s="115" t="str">
        <f>VLOOKUP(B1014,'All Menu'!B:D,3,0)</f>
        <v>لحوم مشكوكة</v>
      </c>
      <c r="E1014" s="116">
        <f t="shared" si="78"/>
        <v>22</v>
      </c>
      <c r="F1014" s="119">
        <v>0.5</v>
      </c>
      <c r="G1014" s="119">
        <v>11</v>
      </c>
      <c r="H1014" s="115">
        <f>VLOOKUP(B1014,'All Menu'!B:J,9,0)</f>
        <v>8.8181905284662339</v>
      </c>
      <c r="I1014" s="120">
        <f>VLOOKUP(B1014,'All Menu'!B:M,12,0)</f>
        <v>0.59917315779698932</v>
      </c>
      <c r="J1014" s="114">
        <f t="shared" si="75"/>
        <v>11</v>
      </c>
      <c r="K1014" s="117">
        <f t="shared" si="76"/>
        <v>0</v>
      </c>
      <c r="L1014" s="118">
        <f>VLOOKUP(B1014,'All Menu'!B:G,6,0)</f>
        <v>22</v>
      </c>
      <c r="M1014" s="118">
        <f t="shared" si="77"/>
        <v>0</v>
      </c>
      <c r="N1014" s="151">
        <f ca="1">VLOOKUP(B1014,'All Menu'!B:H,7,0)</f>
        <v>7.5500000000000007</v>
      </c>
    </row>
    <row r="1015" spans="1:14" s="113" customFormat="1" ht="15.75" customHeight="1">
      <c r="A1015" s="156" t="s">
        <v>2022</v>
      </c>
      <c r="B1015" s="170">
        <v>60036</v>
      </c>
      <c r="C1015" s="113" t="s">
        <v>1626</v>
      </c>
      <c r="D1015" s="115" t="str">
        <f>VLOOKUP(B1015,'All Menu'!B:D,3,0)</f>
        <v>لحوم مشكوكة</v>
      </c>
      <c r="E1015" s="116">
        <f t="shared" si="78"/>
        <v>13</v>
      </c>
      <c r="F1015" s="119">
        <v>11.8011</v>
      </c>
      <c r="G1015" s="119">
        <v>153.4143</v>
      </c>
      <c r="H1015" s="115">
        <f>VLOOKUP(B1015,'All Menu'!B:J,9,0)</f>
        <v>6.165761303091827</v>
      </c>
      <c r="I1015" s="120">
        <f>VLOOKUP(B1015,'All Menu'!B:M,12,0)</f>
        <v>0.52571066899293639</v>
      </c>
      <c r="J1015" s="114">
        <f t="shared" si="75"/>
        <v>153.4143</v>
      </c>
      <c r="K1015" s="117">
        <f t="shared" si="76"/>
        <v>0</v>
      </c>
      <c r="L1015" s="118">
        <f>VLOOKUP(B1015,'All Menu'!B:G,6,0)</f>
        <v>13</v>
      </c>
      <c r="M1015" s="118">
        <f t="shared" si="77"/>
        <v>0</v>
      </c>
      <c r="N1015" s="151">
        <f ca="1">VLOOKUP(B1015,'All Menu'!B:H,7,0)</f>
        <v>73.9011</v>
      </c>
    </row>
    <row r="1016" spans="1:14" s="113" customFormat="1" ht="15.75" customHeight="1">
      <c r="A1016" s="156" t="s">
        <v>2022</v>
      </c>
      <c r="B1016" s="170">
        <v>50014</v>
      </c>
      <c r="C1016" s="113" t="s">
        <v>1763</v>
      </c>
      <c r="D1016" s="115" t="str">
        <f>VLOOKUP(B1016,'All Menu'!B:D,3,0)</f>
        <v>مارنيتد</v>
      </c>
      <c r="E1016" s="116">
        <f t="shared" si="78"/>
        <v>4.5</v>
      </c>
      <c r="F1016" s="119">
        <v>0.59</v>
      </c>
      <c r="G1016" s="119">
        <v>2.6549999999999998</v>
      </c>
      <c r="H1016" s="115">
        <f>VLOOKUP(B1016,'All Menu'!B:J,9,0)</f>
        <v>2.2516335453720506</v>
      </c>
      <c r="I1016" s="120">
        <f>VLOOKUP(B1016,'All Menu'!B:M,12,0)</f>
        <v>0.49963698991732208</v>
      </c>
      <c r="J1016" s="114">
        <f t="shared" si="75"/>
        <v>2.6549999999999998</v>
      </c>
      <c r="K1016" s="117">
        <f t="shared" si="76"/>
        <v>0</v>
      </c>
      <c r="L1016" s="118">
        <f>VLOOKUP(B1016,'All Menu'!B:G,6,0)</f>
        <v>4.5</v>
      </c>
      <c r="M1016" s="118">
        <f t="shared" si="77"/>
        <v>0</v>
      </c>
      <c r="N1016" s="151">
        <f ca="1">VLOOKUP(B1016,'All Menu'!B:H,7,0)</f>
        <v>1.5899999999999999</v>
      </c>
    </row>
    <row r="1017" spans="1:14" s="113" customFormat="1" ht="15.75" customHeight="1">
      <c r="A1017" s="156" t="s">
        <v>2022</v>
      </c>
      <c r="B1017" s="170">
        <v>50016</v>
      </c>
      <c r="C1017" s="113" t="s">
        <v>1765</v>
      </c>
      <c r="D1017" s="115" t="str">
        <f>VLOOKUP(B1017,'All Menu'!B:D,3,0)</f>
        <v>مارنيتد</v>
      </c>
      <c r="E1017" s="116">
        <f t="shared" si="78"/>
        <v>4.5</v>
      </c>
      <c r="F1017" s="119">
        <v>8.6300000000000008</v>
      </c>
      <c r="G1017" s="119">
        <v>38.835000000000001</v>
      </c>
      <c r="H1017" s="115">
        <f>VLOOKUP(B1017,'All Menu'!B:J,9,0)</f>
        <v>2.9873086330913488</v>
      </c>
      <c r="I1017" s="120">
        <f>VLOOKUP(B1017,'All Menu'!B:M,12,0)</f>
        <v>0.33615363709081136</v>
      </c>
      <c r="J1017" s="114">
        <f t="shared" si="75"/>
        <v>38.835000000000001</v>
      </c>
      <c r="K1017" s="117">
        <f t="shared" si="76"/>
        <v>0</v>
      </c>
      <c r="L1017" s="118">
        <f>VLOOKUP(B1017,'All Menu'!B:G,6,0)</f>
        <v>4.5</v>
      </c>
      <c r="M1017" s="118">
        <f t="shared" si="77"/>
        <v>0</v>
      </c>
      <c r="N1017" s="151">
        <f ca="1">VLOOKUP(B1017,'All Menu'!B:H,7,0)</f>
        <v>39.050000000000004</v>
      </c>
    </row>
    <row r="1018" spans="1:14" s="113" customFormat="1" ht="15.75" customHeight="1">
      <c r="A1018" s="156" t="s">
        <v>2022</v>
      </c>
      <c r="B1018" s="170">
        <v>50037</v>
      </c>
      <c r="C1018" s="113" t="s">
        <v>1631</v>
      </c>
      <c r="D1018" s="115" t="str">
        <f>VLOOKUP(B1018,'All Menu'!B:D,3,0)</f>
        <v>مارنيتد</v>
      </c>
      <c r="E1018" s="116">
        <f t="shared" si="78"/>
        <v>14</v>
      </c>
      <c r="F1018" s="119">
        <v>24.885100000000001</v>
      </c>
      <c r="G1018" s="119">
        <v>348.39140000000003</v>
      </c>
      <c r="H1018" s="115">
        <f>VLOOKUP(B1018,'All Menu'!B:J,9,0)</f>
        <v>8.3203850798990757</v>
      </c>
      <c r="I1018" s="120">
        <f>VLOOKUP(B1018,'All Menu'!B:M,12,0)</f>
        <v>0.40568678000720887</v>
      </c>
      <c r="J1018" s="114">
        <f t="shared" si="75"/>
        <v>348.39140000000003</v>
      </c>
      <c r="K1018" s="117">
        <f t="shared" si="76"/>
        <v>0</v>
      </c>
      <c r="L1018" s="118">
        <f>VLOOKUP(B1018,'All Menu'!B:G,6,0)</f>
        <v>14</v>
      </c>
      <c r="M1018" s="118">
        <f t="shared" si="77"/>
        <v>0</v>
      </c>
      <c r="N1018" s="151">
        <f ca="1">VLOOKUP(B1018,'All Menu'!B:H,7,0)</f>
        <v>163.0351</v>
      </c>
    </row>
    <row r="1019" spans="1:14" s="113" customFormat="1" ht="15.75" customHeight="1">
      <c r="A1019" s="156" t="s">
        <v>2022</v>
      </c>
      <c r="B1019" s="170">
        <v>50038</v>
      </c>
      <c r="C1019" s="113" t="s">
        <v>1766</v>
      </c>
      <c r="D1019" s="115" t="str">
        <f>VLOOKUP(B1019,'All Menu'!B:D,3,0)</f>
        <v>مارنيتد</v>
      </c>
      <c r="E1019" s="116">
        <f t="shared" si="78"/>
        <v>16</v>
      </c>
      <c r="F1019" s="119">
        <v>10.7601</v>
      </c>
      <c r="G1019" s="119">
        <v>172.16159999999999</v>
      </c>
      <c r="H1019" s="115">
        <f>VLOOKUP(B1019,'All Menu'!B:J,9,0)</f>
        <v>8.3203850798990757</v>
      </c>
      <c r="I1019" s="120">
        <f>VLOOKUP(B1019,'All Menu'!B:M,12,0)</f>
        <v>0.47997593250630777</v>
      </c>
      <c r="J1019" s="114">
        <f t="shared" si="75"/>
        <v>172.16159999999999</v>
      </c>
      <c r="K1019" s="117">
        <f t="shared" si="76"/>
        <v>0</v>
      </c>
      <c r="L1019" s="118">
        <f>VLOOKUP(B1019,'All Menu'!B:G,6,0)</f>
        <v>16</v>
      </c>
      <c r="M1019" s="118">
        <f t="shared" si="77"/>
        <v>0</v>
      </c>
      <c r="N1019" s="151">
        <f ca="1">VLOOKUP(B1019,'All Menu'!B:H,7,0)</f>
        <v>12.7601</v>
      </c>
    </row>
    <row r="1020" spans="1:14" s="113" customFormat="1" ht="15.75" customHeight="1">
      <c r="A1020" s="156" t="s">
        <v>2022</v>
      </c>
      <c r="B1020" s="170">
        <v>50039</v>
      </c>
      <c r="C1020" s="113" t="s">
        <v>717</v>
      </c>
      <c r="D1020" s="115" t="str">
        <f>VLOOKUP(B1020,'All Menu'!B:D,3,0)</f>
        <v>مارنيتد</v>
      </c>
      <c r="E1020" s="116">
        <f t="shared" si="78"/>
        <v>9</v>
      </c>
      <c r="F1020" s="119">
        <v>10.59</v>
      </c>
      <c r="G1020" s="119">
        <v>95.31</v>
      </c>
      <c r="H1020" s="115">
        <f>VLOOKUP(B1020,'All Menu'!B:J,9,0)</f>
        <v>4.295609075670499</v>
      </c>
      <c r="I1020" s="120">
        <f>VLOOKUP(B1020,'All Menu'!B:M,12,0)</f>
        <v>0.52271010270327789</v>
      </c>
      <c r="J1020" s="114">
        <f t="shared" si="75"/>
        <v>95.31</v>
      </c>
      <c r="K1020" s="117">
        <f t="shared" si="76"/>
        <v>0</v>
      </c>
      <c r="L1020" s="118">
        <f>VLOOKUP(B1020,'All Menu'!B:G,6,0)</f>
        <v>9</v>
      </c>
      <c r="M1020" s="118">
        <f t="shared" si="77"/>
        <v>0</v>
      </c>
      <c r="N1020" s="151">
        <f ca="1">VLOOKUP(B1020,'All Menu'!B:H,7,0)</f>
        <v>40.769999999999996</v>
      </c>
    </row>
    <row r="1021" spans="1:14" s="113" customFormat="1" ht="15.75" customHeight="1">
      <c r="A1021" s="156" t="s">
        <v>2022</v>
      </c>
      <c r="B1021" s="170">
        <v>50040</v>
      </c>
      <c r="C1021" s="113" t="s">
        <v>719</v>
      </c>
      <c r="D1021" s="115" t="str">
        <f>VLOOKUP(B1021,'All Menu'!B:D,3,0)</f>
        <v>مارنيتد</v>
      </c>
      <c r="E1021" s="116">
        <f t="shared" si="78"/>
        <v>7</v>
      </c>
      <c r="F1021" s="119">
        <v>3.63</v>
      </c>
      <c r="G1021" s="119">
        <v>25.41</v>
      </c>
      <c r="H1021" s="115">
        <f>VLOOKUP(B1021,'All Menu'!B:J,9,0)</f>
        <v>2.5816251162790702</v>
      </c>
      <c r="I1021" s="120">
        <f>VLOOKUP(B1021,'All Menu'!B:M,12,0)</f>
        <v>0.63119641196013276</v>
      </c>
      <c r="J1021" s="114">
        <f t="shared" si="75"/>
        <v>25.41</v>
      </c>
      <c r="K1021" s="117">
        <f t="shared" si="76"/>
        <v>0</v>
      </c>
      <c r="L1021" s="118">
        <f>VLOOKUP(B1021,'All Menu'!B:G,6,0)</f>
        <v>7</v>
      </c>
      <c r="M1021" s="118">
        <f t="shared" si="77"/>
        <v>0</v>
      </c>
      <c r="N1021" s="151">
        <f ca="1">VLOOKUP(B1021,'All Menu'!B:H,7,0)</f>
        <v>9.82</v>
      </c>
    </row>
    <row r="1022" spans="1:14" s="113" customFormat="1" ht="15.75" customHeight="1">
      <c r="A1022" s="156" t="s">
        <v>2022</v>
      </c>
      <c r="B1022" s="170">
        <v>50041</v>
      </c>
      <c r="C1022" s="113" t="s">
        <v>1632</v>
      </c>
      <c r="D1022" s="115" t="str">
        <f>VLOOKUP(B1022,'All Menu'!B:D,3,0)</f>
        <v>مارنيتد</v>
      </c>
      <c r="E1022" s="116">
        <f t="shared" si="78"/>
        <v>9</v>
      </c>
      <c r="F1022" s="119">
        <v>26.875499999999999</v>
      </c>
      <c r="G1022" s="119">
        <v>241.87949999999998</v>
      </c>
      <c r="H1022" s="115">
        <f>VLOOKUP(B1022,'All Menu'!B:J,9,0)</f>
        <v>5.3194299361831767</v>
      </c>
      <c r="I1022" s="120">
        <f>VLOOKUP(B1022,'All Menu'!B:M,12,0)</f>
        <v>0.40895222931298036</v>
      </c>
      <c r="J1022" s="114">
        <f t="shared" si="75"/>
        <v>241.87949999999998</v>
      </c>
      <c r="K1022" s="117">
        <f t="shared" si="76"/>
        <v>0</v>
      </c>
      <c r="L1022" s="118">
        <f>VLOOKUP(B1022,'All Menu'!B:G,6,0)</f>
        <v>9</v>
      </c>
      <c r="M1022" s="118">
        <f t="shared" si="77"/>
        <v>0</v>
      </c>
      <c r="N1022" s="151">
        <f ca="1">VLOOKUP(B1022,'All Menu'!B:H,7,0)</f>
        <v>109.0855</v>
      </c>
    </row>
    <row r="1023" spans="1:14" s="113" customFormat="1" ht="15.75" customHeight="1">
      <c r="A1023" s="156" t="s">
        <v>2022</v>
      </c>
      <c r="B1023" s="170">
        <v>50042</v>
      </c>
      <c r="C1023" s="113" t="s">
        <v>799</v>
      </c>
      <c r="D1023" s="115" t="str">
        <f>VLOOKUP(B1023,'All Menu'!B:D,3,0)</f>
        <v>مارنيتد</v>
      </c>
      <c r="E1023" s="116">
        <f t="shared" si="78"/>
        <v>10</v>
      </c>
      <c r="F1023" s="119">
        <v>7.28</v>
      </c>
      <c r="G1023" s="119">
        <v>72.8</v>
      </c>
      <c r="H1023" s="115">
        <f>VLOOKUP(B1023,'All Menu'!B:J,9,0)</f>
        <v>3.2840802125553341</v>
      </c>
      <c r="I1023" s="120">
        <f>VLOOKUP(B1023,'All Menu'!B:M,12,0)</f>
        <v>0.67159197874446652</v>
      </c>
      <c r="J1023" s="114">
        <f t="shared" si="75"/>
        <v>72.8</v>
      </c>
      <c r="K1023" s="117">
        <f t="shared" si="76"/>
        <v>0</v>
      </c>
      <c r="L1023" s="118">
        <f>VLOOKUP(B1023,'All Menu'!B:G,6,0)</f>
        <v>10</v>
      </c>
      <c r="M1023" s="118">
        <f t="shared" si="77"/>
        <v>0</v>
      </c>
      <c r="N1023" s="151">
        <f ca="1">VLOOKUP(B1023,'All Menu'!B:H,7,0)</f>
        <v>22.97</v>
      </c>
    </row>
    <row r="1024" spans="1:14" s="113" customFormat="1" ht="15.75" customHeight="1">
      <c r="A1024" s="156" t="s">
        <v>2022</v>
      </c>
      <c r="B1024" s="170" t="s">
        <v>1143</v>
      </c>
      <c r="C1024" s="113" t="s">
        <v>1633</v>
      </c>
      <c r="D1024" s="115" t="str">
        <f>VLOOKUP(B1024,'All Menu'!B:D,3,0)</f>
        <v>مشروبات سفري</v>
      </c>
      <c r="E1024" s="116">
        <f t="shared" si="78"/>
        <v>0.30156109445277357</v>
      </c>
      <c r="F1024" s="119">
        <v>220.8</v>
      </c>
      <c r="G1024" s="119">
        <v>66.584689655172411</v>
      </c>
      <c r="H1024" s="115">
        <f>VLOOKUP(B1024,'All Menu'!B:J,9,0)</f>
        <v>0.13741666666666666</v>
      </c>
      <c r="I1024" s="120">
        <f>VLOOKUP(B1024,'All Menu'!B:M,12,0)</f>
        <v>0.5445619047619048</v>
      </c>
      <c r="J1024" s="114">
        <f t="shared" si="75"/>
        <v>66.620689655172413</v>
      </c>
      <c r="K1024" s="117">
        <f t="shared" si="76"/>
        <v>-3.6000000000001364E-2</v>
      </c>
      <c r="L1024" s="118">
        <f>VLOOKUP(B1024,'All Menu'!B:G,6,0)</f>
        <v>0.30172413793103448</v>
      </c>
      <c r="M1024" s="118">
        <f t="shared" si="77"/>
        <v>-1.6304347826090471E-4</v>
      </c>
      <c r="N1024" s="151">
        <f ca="1">VLOOKUP(B1024,'All Menu'!B:H,7,0)</f>
        <v>1400.1</v>
      </c>
    </row>
    <row r="1025" spans="1:14" s="113" customFormat="1" ht="15.75" customHeight="1">
      <c r="A1025" s="156" t="s">
        <v>2022</v>
      </c>
      <c r="B1025" s="170" t="s">
        <v>1144</v>
      </c>
      <c r="C1025" s="113" t="s">
        <v>1635</v>
      </c>
      <c r="D1025" s="115" t="str">
        <f>VLOOKUP(B1025,'All Menu'!B:D,3,0)</f>
        <v>مشروبات سفري</v>
      </c>
      <c r="E1025" s="116">
        <f t="shared" si="78"/>
        <v>0.30105463093164314</v>
      </c>
      <c r="F1025" s="119">
        <v>32.86</v>
      </c>
      <c r="G1025" s="119">
        <v>9.892655172413793</v>
      </c>
      <c r="H1025" s="115">
        <f>VLOOKUP(B1025,'All Menu'!B:J,9,0)</f>
        <v>0.13700000000000001</v>
      </c>
      <c r="I1025" s="120">
        <f>VLOOKUP(B1025,'All Menu'!B:M,12,0)</f>
        <v>0.54594285714285706</v>
      </c>
      <c r="J1025" s="114">
        <f t="shared" si="75"/>
        <v>9.9146551724137932</v>
      </c>
      <c r="K1025" s="117">
        <f t="shared" si="76"/>
        <v>-2.2000000000000242E-2</v>
      </c>
      <c r="L1025" s="118">
        <f>VLOOKUP(B1025,'All Menu'!B:G,6,0)</f>
        <v>0.30172413793103448</v>
      </c>
      <c r="M1025" s="118">
        <f t="shared" si="77"/>
        <v>-6.6950699939133385E-4</v>
      </c>
      <c r="N1025" s="151">
        <f ca="1">VLOOKUP(B1025,'All Menu'!B:H,7,0)</f>
        <v>82.86</v>
      </c>
    </row>
    <row r="1026" spans="1:14" s="113" customFormat="1" ht="15.75" customHeight="1">
      <c r="A1026" s="156" t="s">
        <v>2022</v>
      </c>
      <c r="B1026" s="170" t="s">
        <v>1145</v>
      </c>
      <c r="C1026" s="113" t="s">
        <v>1636</v>
      </c>
      <c r="D1026" s="115" t="str">
        <f>VLOOKUP(B1026,'All Menu'!B:D,3,0)</f>
        <v>مشروبات سفري</v>
      </c>
      <c r="E1026" s="116">
        <f t="shared" si="78"/>
        <v>0.3014850074962519</v>
      </c>
      <c r="F1026" s="119">
        <v>92</v>
      </c>
      <c r="G1026" s="119">
        <v>27.736620689655172</v>
      </c>
      <c r="H1026" s="115">
        <f>VLOOKUP(B1026,'All Menu'!B:J,9,0)</f>
        <v>0.13700000000000001</v>
      </c>
      <c r="I1026" s="120">
        <f>VLOOKUP(B1026,'All Menu'!B:M,12,0)</f>
        <v>0.54594285714285706</v>
      </c>
      <c r="J1026" s="114">
        <f t="shared" si="75"/>
        <v>27.758620689655171</v>
      </c>
      <c r="K1026" s="117">
        <f t="shared" si="76"/>
        <v>-2.1999999999998465E-2</v>
      </c>
      <c r="L1026" s="118">
        <f>VLOOKUP(B1026,'All Menu'!B:G,6,0)</f>
        <v>0.30172413793103448</v>
      </c>
      <c r="M1026" s="118">
        <f t="shared" si="77"/>
        <v>-2.3913043478257512E-4</v>
      </c>
      <c r="N1026" s="151">
        <f ca="1">VLOOKUP(B1026,'All Menu'!B:H,7,0)</f>
        <v>196</v>
      </c>
    </row>
    <row r="1027" spans="1:14" s="113" customFormat="1" ht="15.75" customHeight="1">
      <c r="A1027" s="156" t="s">
        <v>2022</v>
      </c>
      <c r="B1027" s="170" t="s">
        <v>1146</v>
      </c>
      <c r="C1027" s="113" t="s">
        <v>1637</v>
      </c>
      <c r="D1027" s="115" t="str">
        <f>VLOOKUP(B1027,'All Menu'!B:D,3,0)</f>
        <v>مشروبات سفري</v>
      </c>
      <c r="E1027" s="116">
        <f t="shared" si="78"/>
        <v>0.30172413793103448</v>
      </c>
      <c r="F1027" s="119">
        <v>26.5</v>
      </c>
      <c r="G1027" s="119">
        <v>7.9956896551724137</v>
      </c>
      <c r="H1027" s="115">
        <f>VLOOKUP(B1027,'All Menu'!B:J,9,0)</f>
        <v>0.13700000000000001</v>
      </c>
      <c r="I1027" s="120">
        <f>VLOOKUP(B1027,'All Menu'!B:M,12,0)</f>
        <v>0.54594285714285706</v>
      </c>
      <c r="J1027" s="114">
        <f t="shared" si="75"/>
        <v>7.9956896551724137</v>
      </c>
      <c r="K1027" s="117">
        <f t="shared" si="76"/>
        <v>0</v>
      </c>
      <c r="L1027" s="118">
        <f>VLOOKUP(B1027,'All Menu'!B:G,6,0)</f>
        <v>0.30172413793103448</v>
      </c>
      <c r="M1027" s="118">
        <f t="shared" si="77"/>
        <v>0</v>
      </c>
      <c r="N1027" s="151">
        <f ca="1">VLOOKUP(B1027,'All Menu'!B:H,7,0)</f>
        <v>91.5</v>
      </c>
    </row>
    <row r="1028" spans="1:14" s="113" customFormat="1" ht="15.75" customHeight="1">
      <c r="A1028" s="156" t="s">
        <v>2022</v>
      </c>
      <c r="B1028" s="170" t="s">
        <v>1147</v>
      </c>
      <c r="C1028" s="113" t="s">
        <v>1638</v>
      </c>
      <c r="D1028" s="115" t="str">
        <f>VLOOKUP(B1028,'All Menu'!B:D,3,0)</f>
        <v>مشروبات سفري</v>
      </c>
      <c r="E1028" s="116">
        <f t="shared" si="78"/>
        <v>0.30172413793103448</v>
      </c>
      <c r="F1028" s="119">
        <v>8.6999999999999993</v>
      </c>
      <c r="G1028" s="119">
        <v>2.6249999999999996</v>
      </c>
      <c r="H1028" s="115">
        <f>VLOOKUP(B1028,'All Menu'!B:J,9,0)</f>
        <v>0.13700000000000001</v>
      </c>
      <c r="I1028" s="120">
        <f>VLOOKUP(B1028,'All Menu'!B:M,12,0)</f>
        <v>0.54594285714285706</v>
      </c>
      <c r="J1028" s="114">
        <f t="shared" si="75"/>
        <v>2.6249999999999996</v>
      </c>
      <c r="K1028" s="117">
        <f t="shared" si="76"/>
        <v>0</v>
      </c>
      <c r="L1028" s="118">
        <f>VLOOKUP(B1028,'All Menu'!B:G,6,0)</f>
        <v>0.30172413793103448</v>
      </c>
      <c r="M1028" s="118">
        <f t="shared" si="77"/>
        <v>0</v>
      </c>
      <c r="N1028" s="151">
        <f ca="1">VLOOKUP(B1028,'All Menu'!B:H,7,0)</f>
        <v>33.700000000000003</v>
      </c>
    </row>
    <row r="1029" spans="1:14" s="113" customFormat="1" ht="15.75" customHeight="1">
      <c r="A1029" s="156" t="s">
        <v>2022</v>
      </c>
      <c r="B1029" s="170" t="s">
        <v>1149</v>
      </c>
      <c r="C1029" s="113" t="s">
        <v>1639</v>
      </c>
      <c r="D1029" s="115" t="str">
        <f>VLOOKUP(B1029,'All Menu'!B:D,3,0)</f>
        <v>مشروبات سفري</v>
      </c>
      <c r="E1029" s="116">
        <f t="shared" si="78"/>
        <v>0.43103448275862072</v>
      </c>
      <c r="F1029" s="119">
        <v>86.010999999999996</v>
      </c>
      <c r="G1029" s="119">
        <v>37.073706896551727</v>
      </c>
      <c r="H1029" s="115">
        <f>VLOOKUP(B1029,'All Menu'!B:J,9,0)</f>
        <v>0.4</v>
      </c>
      <c r="I1029" s="120">
        <f>VLOOKUP(B1029,'All Menu'!B:M,12,0)</f>
        <v>7.2000000000000008E-2</v>
      </c>
      <c r="J1029" s="114">
        <f t="shared" si="75"/>
        <v>37.073706896551727</v>
      </c>
      <c r="K1029" s="117">
        <f t="shared" si="76"/>
        <v>0</v>
      </c>
      <c r="L1029" s="118">
        <f>VLOOKUP(B1029,'All Menu'!B:G,6,0)</f>
        <v>0.43103448275862072</v>
      </c>
      <c r="M1029" s="118">
        <f t="shared" si="77"/>
        <v>0</v>
      </c>
      <c r="N1029" s="151">
        <f ca="1">VLOOKUP(B1029,'All Menu'!B:H,7,0)</f>
        <v>903.51099999999997</v>
      </c>
    </row>
    <row r="1030" spans="1:14" s="113" customFormat="1" ht="15.75" customHeight="1">
      <c r="A1030" s="156" t="s">
        <v>2022</v>
      </c>
      <c r="B1030" s="170" t="s">
        <v>1150</v>
      </c>
      <c r="C1030" s="113" t="s">
        <v>1640</v>
      </c>
      <c r="D1030" s="115" t="str">
        <f>VLOOKUP(B1030,'All Menu'!B:D,3,0)</f>
        <v>مشروبات سفري</v>
      </c>
      <c r="E1030" s="116">
        <f t="shared" si="78"/>
        <v>1.251960591133005</v>
      </c>
      <c r="F1030" s="119">
        <v>29.75</v>
      </c>
      <c r="G1030" s="119">
        <v>37.2458275862069</v>
      </c>
      <c r="H1030" s="115">
        <f>VLOOKUP(B1030,'All Menu'!B:J,9,0)</f>
        <v>0.50141762452107275</v>
      </c>
      <c r="I1030" s="120">
        <f>VLOOKUP(B1030,'All Menu'!B:M,12,0)</f>
        <v>0.61223703703703714</v>
      </c>
      <c r="J1030" s="114">
        <f t="shared" si="75"/>
        <v>38.469827586206897</v>
      </c>
      <c r="K1030" s="117">
        <f t="shared" si="76"/>
        <v>-1.2239999999999966</v>
      </c>
      <c r="L1030" s="118">
        <f>VLOOKUP(B1030,'All Menu'!B:G,6,0)</f>
        <v>1.2931034482758621</v>
      </c>
      <c r="M1030" s="118">
        <f t="shared" si="77"/>
        <v>-4.1142857142857148E-2</v>
      </c>
      <c r="N1030" s="151">
        <f ca="1">VLOOKUP(B1030,'All Menu'!B:H,7,0)</f>
        <v>324.75</v>
      </c>
    </row>
    <row r="1031" spans="1:14" s="113" customFormat="1" ht="15.75" customHeight="1">
      <c r="A1031" s="156" t="s">
        <v>2022</v>
      </c>
      <c r="B1031" s="170" t="s">
        <v>1142</v>
      </c>
      <c r="C1031" s="113" t="s">
        <v>1479</v>
      </c>
      <c r="D1031" s="115" t="str">
        <f>VLOOKUP(B1031,'All Menu'!B:D,3,0)</f>
        <v>مشروبات سفري</v>
      </c>
      <c r="E1031" s="116">
        <f t="shared" si="78"/>
        <v>0.30172413793103448</v>
      </c>
      <c r="F1031" s="119">
        <v>63.4</v>
      </c>
      <c r="G1031" s="119">
        <v>19.129310344827584</v>
      </c>
      <c r="H1031" s="115">
        <f>VLOOKUP(B1031,'All Menu'!B:J,9,0)</f>
        <v>8.9833333333333334E-2</v>
      </c>
      <c r="I1031" s="120">
        <f>VLOOKUP(B1031,'All Menu'!B:M,12,0)</f>
        <v>0.70226666666666671</v>
      </c>
      <c r="J1031" s="114">
        <f t="shared" si="75"/>
        <v>19.129310344827584</v>
      </c>
      <c r="K1031" s="117">
        <f t="shared" si="76"/>
        <v>0</v>
      </c>
      <c r="L1031" s="118">
        <f>VLOOKUP(B1031,'All Menu'!B:G,6,0)</f>
        <v>0.30172413793103448</v>
      </c>
      <c r="M1031" s="118">
        <f t="shared" si="77"/>
        <v>0</v>
      </c>
      <c r="N1031" s="151">
        <f ca="1">VLOOKUP(B1031,'All Menu'!B:H,7,0)</f>
        <v>174.4</v>
      </c>
    </row>
    <row r="1032" spans="1:14" s="113" customFormat="1" ht="15.75" customHeight="1">
      <c r="A1032" s="156" t="s">
        <v>2022</v>
      </c>
      <c r="B1032" s="170" t="s">
        <v>1217</v>
      </c>
      <c r="C1032" s="113" t="s">
        <v>1768</v>
      </c>
      <c r="D1032" s="115" t="str">
        <f>VLOOKUP(B1032,'All Menu'!B:D,3,0)</f>
        <v>مشروبات سفري</v>
      </c>
      <c r="E1032" s="116">
        <f t="shared" si="78"/>
        <v>0.51280528908478096</v>
      </c>
      <c r="F1032" s="119">
        <v>13.3</v>
      </c>
      <c r="G1032" s="119">
        <v>6.820310344827587</v>
      </c>
      <c r="H1032" s="115">
        <f>VLOOKUP(B1032,'All Menu'!B:J,9,0)</f>
        <v>0.39200000000000002</v>
      </c>
      <c r="I1032" s="120">
        <f>VLOOKUP(B1032,'All Menu'!B:M,12,0)</f>
        <v>0.24213333333333337</v>
      </c>
      <c r="J1032" s="114">
        <f t="shared" si="75"/>
        <v>6.8793103448275872</v>
      </c>
      <c r="K1032" s="117">
        <f t="shared" si="76"/>
        <v>-5.9000000000000163E-2</v>
      </c>
      <c r="L1032" s="118">
        <f>VLOOKUP(B1032,'All Menu'!B:G,6,0)</f>
        <v>0.51724137931034486</v>
      </c>
      <c r="M1032" s="118">
        <f t="shared" si="77"/>
        <v>-4.4360902255639045E-3</v>
      </c>
      <c r="N1032" s="151">
        <f ca="1">VLOOKUP(B1032,'All Menu'!B:H,7,0)</f>
        <v>23.3</v>
      </c>
    </row>
    <row r="1033" spans="1:14" s="113" customFormat="1" ht="15.75" customHeight="1">
      <c r="A1033" s="156" t="s">
        <v>2022</v>
      </c>
      <c r="B1033" s="170" t="s">
        <v>1218</v>
      </c>
      <c r="C1033" s="113" t="s">
        <v>1480</v>
      </c>
      <c r="D1033" s="115" t="str">
        <f>VLOOKUP(B1033,'All Menu'!B:D,3,0)</f>
        <v>مشروبات سفري</v>
      </c>
      <c r="E1033" s="116">
        <f t="shared" si="78"/>
        <v>0.51724137931034486</v>
      </c>
      <c r="F1033" s="119">
        <v>6</v>
      </c>
      <c r="G1033" s="119">
        <v>3.1034482758620694</v>
      </c>
      <c r="H1033" s="115">
        <f>VLOOKUP(B1033,'All Menu'!B:J,9,0)</f>
        <v>0.32</v>
      </c>
      <c r="I1033" s="120">
        <f>VLOOKUP(B1033,'All Menu'!B:M,12,0)</f>
        <v>0.38133333333333336</v>
      </c>
      <c r="J1033" s="114">
        <f t="shared" si="75"/>
        <v>3.1034482758620694</v>
      </c>
      <c r="K1033" s="117">
        <f t="shared" si="76"/>
        <v>0</v>
      </c>
      <c r="L1033" s="118">
        <f>VLOOKUP(B1033,'All Menu'!B:G,6,0)</f>
        <v>0.51724137931034486</v>
      </c>
      <c r="M1033" s="118">
        <f t="shared" si="77"/>
        <v>0</v>
      </c>
      <c r="N1033" s="151">
        <f ca="1">VLOOKUP(B1033,'All Menu'!B:H,7,0)</f>
        <v>11</v>
      </c>
    </row>
    <row r="1034" spans="1:14" s="113" customFormat="1" ht="15.75" customHeight="1">
      <c r="A1034" s="156" t="s">
        <v>2022</v>
      </c>
      <c r="B1034" s="170" t="s">
        <v>1219</v>
      </c>
      <c r="C1034" s="113" t="s">
        <v>1482</v>
      </c>
      <c r="D1034" s="115" t="str">
        <f>VLOOKUP(B1034,'All Menu'!B:D,3,0)</f>
        <v>مشروبات سفري</v>
      </c>
      <c r="E1034" s="116">
        <f t="shared" si="78"/>
        <v>0.51724137931034486</v>
      </c>
      <c r="F1034" s="119">
        <v>29</v>
      </c>
      <c r="G1034" s="119">
        <v>15.000000000000002</v>
      </c>
      <c r="H1034" s="115">
        <f>VLOOKUP(B1034,'All Menu'!B:J,9,0)</f>
        <v>0.39200000000000002</v>
      </c>
      <c r="I1034" s="120">
        <f>VLOOKUP(B1034,'All Menu'!B:M,12,0)</f>
        <v>0.24213333333333337</v>
      </c>
      <c r="J1034" s="114">
        <f t="shared" si="75"/>
        <v>15.000000000000002</v>
      </c>
      <c r="K1034" s="117">
        <f t="shared" si="76"/>
        <v>0</v>
      </c>
      <c r="L1034" s="118">
        <f>VLOOKUP(B1034,'All Menu'!B:G,6,0)</f>
        <v>0.51724137931034486</v>
      </c>
      <c r="M1034" s="118">
        <f t="shared" si="77"/>
        <v>0</v>
      </c>
      <c r="N1034" s="151">
        <f ca="1">VLOOKUP(B1034,'All Menu'!B:H,7,0)</f>
        <v>101</v>
      </c>
    </row>
    <row r="1035" spans="1:14" s="113" customFormat="1" ht="15.75" customHeight="1">
      <c r="A1035" s="156" t="s">
        <v>2022</v>
      </c>
      <c r="B1035" s="170" t="s">
        <v>1220</v>
      </c>
      <c r="C1035" s="113" t="s">
        <v>1641</v>
      </c>
      <c r="D1035" s="115" t="str">
        <f>VLOOKUP(B1035,'All Menu'!B:D,3,0)</f>
        <v>مشروبات سفري</v>
      </c>
      <c r="E1035" s="116">
        <f t="shared" si="78"/>
        <v>0.51724137931034486</v>
      </c>
      <c r="F1035" s="119">
        <v>3</v>
      </c>
      <c r="G1035" s="119">
        <v>1.5517241379310347</v>
      </c>
      <c r="H1035" s="115">
        <f>VLOOKUP(B1035,'All Menu'!B:J,9,0)</f>
        <v>0.32</v>
      </c>
      <c r="I1035" s="120">
        <f>VLOOKUP(B1035,'All Menu'!B:M,12,0)</f>
        <v>0.38133333333333336</v>
      </c>
      <c r="J1035" s="114">
        <f t="shared" si="75"/>
        <v>1.5517241379310347</v>
      </c>
      <c r="K1035" s="117">
        <f t="shared" si="76"/>
        <v>0</v>
      </c>
      <c r="L1035" s="118">
        <f>VLOOKUP(B1035,'All Menu'!B:G,6,0)</f>
        <v>0.51724137931034486</v>
      </c>
      <c r="M1035" s="118">
        <f t="shared" si="77"/>
        <v>0</v>
      </c>
      <c r="N1035" s="151">
        <f ca="1">VLOOKUP(B1035,'All Menu'!B:H,7,0)</f>
        <v>20</v>
      </c>
    </row>
    <row r="1036" spans="1:14" s="113" customFormat="1" ht="15.75" customHeight="1">
      <c r="A1036" s="156" t="s">
        <v>2022</v>
      </c>
      <c r="B1036" s="170" t="s">
        <v>2111</v>
      </c>
      <c r="C1036" s="113" t="s">
        <v>3006</v>
      </c>
      <c r="D1036" s="115" t="str">
        <f>VLOOKUP(B1036,'All Menu'!B:D,3,0)</f>
        <v>مشروبات سفري</v>
      </c>
      <c r="E1036" s="116">
        <f t="shared" si="78"/>
        <v>0.43103448275862072</v>
      </c>
      <c r="F1036" s="119">
        <v>1</v>
      </c>
      <c r="G1036" s="119">
        <v>0.43103448275862072</v>
      </c>
      <c r="H1036" s="115">
        <f>VLOOKUP(B1036,'All Menu'!B:J,9,0)</f>
        <v>0.2155</v>
      </c>
      <c r="I1036" s="120">
        <f>VLOOKUP(B1036,'All Menu'!B:M,12,0)</f>
        <v>0.50004000000000004</v>
      </c>
      <c r="J1036" s="114">
        <f t="shared" si="75"/>
        <v>0.43103448275862072</v>
      </c>
      <c r="K1036" s="117">
        <f t="shared" si="76"/>
        <v>0</v>
      </c>
      <c r="L1036" s="118">
        <f>VLOOKUP(B1036,'All Menu'!B:G,6,0)</f>
        <v>0.43103448275862072</v>
      </c>
      <c r="M1036" s="118">
        <f t="shared" si="77"/>
        <v>0</v>
      </c>
      <c r="N1036" s="151">
        <f ca="1">VLOOKUP(B1036,'All Menu'!B:H,7,0)</f>
        <v>143</v>
      </c>
    </row>
    <row r="1037" spans="1:14" s="113" customFormat="1" ht="15.75" customHeight="1">
      <c r="A1037" s="156" t="s">
        <v>2022</v>
      </c>
      <c r="B1037" s="170" t="s">
        <v>2113</v>
      </c>
      <c r="C1037" s="113" t="s">
        <v>2114</v>
      </c>
      <c r="D1037" s="115" t="str">
        <f>VLOOKUP(B1037,'All Menu'!B:D,3,0)</f>
        <v>مشروبات سفري</v>
      </c>
      <c r="E1037" s="116">
        <f t="shared" si="78"/>
        <v>0.43103448275862072</v>
      </c>
      <c r="F1037" s="119">
        <v>1</v>
      </c>
      <c r="G1037" s="119">
        <v>0.43103448275862072</v>
      </c>
      <c r="H1037" s="115">
        <f>VLOOKUP(B1037,'All Menu'!B:J,9,0)</f>
        <v>0.2155</v>
      </c>
      <c r="I1037" s="120">
        <f>VLOOKUP(B1037,'All Menu'!B:M,12,0)</f>
        <v>0.50004000000000004</v>
      </c>
      <c r="J1037" s="114">
        <f t="shared" si="75"/>
        <v>0.43103448275862072</v>
      </c>
      <c r="K1037" s="117">
        <f t="shared" si="76"/>
        <v>0</v>
      </c>
      <c r="L1037" s="118">
        <f>VLOOKUP(B1037,'All Menu'!B:G,6,0)</f>
        <v>0.43103448275862072</v>
      </c>
      <c r="M1037" s="118">
        <f t="shared" si="77"/>
        <v>0</v>
      </c>
      <c r="N1037" s="151">
        <f ca="1">VLOOKUP(B1037,'All Menu'!B:H,7,0)</f>
        <v>7</v>
      </c>
    </row>
    <row r="1038" spans="1:14" s="113" customFormat="1" ht="15.75" customHeight="1">
      <c r="A1038" s="156" t="s">
        <v>2022</v>
      </c>
      <c r="B1038" s="170" t="s">
        <v>1054</v>
      </c>
      <c r="C1038" s="113" t="s">
        <v>1642</v>
      </c>
      <c r="D1038" s="115" t="str">
        <f>VLOOKUP(B1038,'All Menu'!B:D,3,0)</f>
        <v>مقبلات باردة صالة</v>
      </c>
      <c r="E1038" s="116">
        <f t="shared" si="78"/>
        <v>2.7887841379310352</v>
      </c>
      <c r="F1038" s="119">
        <v>50</v>
      </c>
      <c r="G1038" s="119">
        <v>139.43920689655175</v>
      </c>
      <c r="H1038" s="115">
        <f>VLOOKUP(B1038,'All Menu'!B:J,9,0)</f>
        <v>0.24244864657233997</v>
      </c>
      <c r="I1038" s="120">
        <f>VLOOKUP(B1038,'All Menu'!B:M,12,0)</f>
        <v>0.91346448306956474</v>
      </c>
      <c r="J1038" s="114">
        <f t="shared" si="75"/>
        <v>140.08620689655174</v>
      </c>
      <c r="K1038" s="117">
        <f t="shared" si="76"/>
        <v>-0.64699999999999136</v>
      </c>
      <c r="L1038" s="118">
        <f>VLOOKUP(B1038,'All Menu'!B:G,6,0)</f>
        <v>2.8017241379310347</v>
      </c>
      <c r="M1038" s="118">
        <f t="shared" si="77"/>
        <v>-1.2939999999999507E-2</v>
      </c>
      <c r="N1038" s="151">
        <f ca="1">VLOOKUP(B1038,'All Menu'!B:H,7,0)</f>
        <v>50</v>
      </c>
    </row>
    <row r="1039" spans="1:14" s="113" customFormat="1" ht="15.75" customHeight="1">
      <c r="A1039" s="156" t="s">
        <v>2022</v>
      </c>
      <c r="B1039" s="170" t="s">
        <v>856</v>
      </c>
      <c r="C1039" s="113" t="s">
        <v>515</v>
      </c>
      <c r="D1039" s="115" t="str">
        <f>VLOOKUP(B1039,'All Menu'!B:D,3,0)</f>
        <v>مقبلات باردة صالة</v>
      </c>
      <c r="E1039" s="116">
        <f t="shared" si="78"/>
        <v>2.3706896551724141</v>
      </c>
      <c r="F1039" s="119">
        <v>61</v>
      </c>
      <c r="G1039" s="119">
        <v>144.61206896551727</v>
      </c>
      <c r="H1039" s="115">
        <f>VLOOKUP(B1039,'All Menu'!B:J,9,0)</f>
        <v>0.30320666723763845</v>
      </c>
      <c r="I1039" s="120">
        <f>VLOOKUP(B1039,'All Menu'!B:M,12,0)</f>
        <v>0.87210191491066891</v>
      </c>
      <c r="J1039" s="114">
        <f t="shared" si="75"/>
        <v>144.61206896551727</v>
      </c>
      <c r="K1039" s="117">
        <f t="shared" si="76"/>
        <v>0</v>
      </c>
      <c r="L1039" s="118">
        <f>VLOOKUP(B1039,'All Menu'!B:G,6,0)</f>
        <v>2.3706896551724141</v>
      </c>
      <c r="M1039" s="118">
        <f t="shared" si="77"/>
        <v>0</v>
      </c>
      <c r="N1039" s="151">
        <f ca="1">VLOOKUP(B1039,'All Menu'!B:H,7,0)</f>
        <v>61</v>
      </c>
    </row>
    <row r="1040" spans="1:14" s="113" customFormat="1" ht="15.75" customHeight="1">
      <c r="A1040" s="156" t="s">
        <v>2022</v>
      </c>
      <c r="B1040" s="170" t="s">
        <v>855</v>
      </c>
      <c r="C1040" s="113" t="s">
        <v>489</v>
      </c>
      <c r="D1040" s="115" t="str">
        <f>VLOOKUP(B1040,'All Menu'!B:D,3,0)</f>
        <v>مقبلات باردة صالة</v>
      </c>
      <c r="E1040" s="116">
        <f t="shared" si="78"/>
        <v>2.3706896551724141</v>
      </c>
      <c r="F1040" s="119">
        <v>158</v>
      </c>
      <c r="G1040" s="119">
        <v>374.56896551724145</v>
      </c>
      <c r="H1040" s="115">
        <f>VLOOKUP(B1040,'All Menu'!B:J,9,0)</f>
        <v>0.39080895698924728</v>
      </c>
      <c r="I1040" s="120">
        <f>VLOOKUP(B1040,'All Menu'!B:M,12,0)</f>
        <v>0.83514967632453574</v>
      </c>
      <c r="J1040" s="114">
        <f t="shared" si="75"/>
        <v>374.56896551724145</v>
      </c>
      <c r="K1040" s="117">
        <f t="shared" si="76"/>
        <v>0</v>
      </c>
      <c r="L1040" s="118">
        <f>VLOOKUP(B1040,'All Menu'!B:G,6,0)</f>
        <v>2.3706896551724141</v>
      </c>
      <c r="M1040" s="118">
        <f t="shared" si="77"/>
        <v>0</v>
      </c>
      <c r="N1040" s="151">
        <f ca="1">VLOOKUP(B1040,'All Menu'!B:H,7,0)</f>
        <v>158</v>
      </c>
    </row>
    <row r="1041" spans="1:14" s="113" customFormat="1" ht="15.75" customHeight="1">
      <c r="A1041" s="156" t="s">
        <v>2022</v>
      </c>
      <c r="B1041" s="170" t="s">
        <v>1055</v>
      </c>
      <c r="C1041" s="113" t="s">
        <v>1451</v>
      </c>
      <c r="D1041" s="115" t="str">
        <f>VLOOKUP(B1041,'All Menu'!B:D,3,0)</f>
        <v>مقبلات باردة صالة</v>
      </c>
      <c r="E1041" s="116">
        <f t="shared" si="78"/>
        <v>0.60344827586206895</v>
      </c>
      <c r="F1041" s="119">
        <v>5</v>
      </c>
      <c r="G1041" s="119">
        <v>3.0172413793103448</v>
      </c>
      <c r="H1041" s="115">
        <f>VLOOKUP(B1041,'All Menu'!B:J,9,0)</f>
        <v>0.12000000000000001</v>
      </c>
      <c r="I1041" s="120">
        <f>VLOOKUP(B1041,'All Menu'!B:M,12,0)</f>
        <v>0.80114285714285716</v>
      </c>
      <c r="J1041" s="114">
        <f t="shared" si="75"/>
        <v>3.0172413793103448</v>
      </c>
      <c r="K1041" s="117">
        <f t="shared" si="76"/>
        <v>0</v>
      </c>
      <c r="L1041" s="118">
        <f>VLOOKUP(B1041,'All Menu'!B:G,6,0)</f>
        <v>0.60344827586206895</v>
      </c>
      <c r="M1041" s="118">
        <f t="shared" si="77"/>
        <v>0</v>
      </c>
      <c r="N1041" s="151">
        <f ca="1">VLOOKUP(B1041,'All Menu'!B:H,7,0)</f>
        <v>5</v>
      </c>
    </row>
    <row r="1042" spans="1:14" s="113" customFormat="1" ht="15.75" customHeight="1">
      <c r="A1042" s="156" t="s">
        <v>2022</v>
      </c>
      <c r="B1042" s="170" t="s">
        <v>1057</v>
      </c>
      <c r="C1042" s="113" t="s">
        <v>567</v>
      </c>
      <c r="D1042" s="115" t="str">
        <f>VLOOKUP(B1042,'All Menu'!B:D,3,0)</f>
        <v>مقبلات باردة صالة</v>
      </c>
      <c r="E1042" s="116">
        <f t="shared" si="78"/>
        <v>1.9396551724137931</v>
      </c>
      <c r="F1042" s="119">
        <v>20</v>
      </c>
      <c r="G1042" s="119">
        <v>38.793103448275865</v>
      </c>
      <c r="H1042" s="115">
        <f>VLOOKUP(B1042,'All Menu'!B:J,9,0)</f>
        <v>0.25285333333333337</v>
      </c>
      <c r="I1042" s="120">
        <f>VLOOKUP(B1042,'All Menu'!B:M,12,0)</f>
        <v>0.86964005925925925</v>
      </c>
      <c r="J1042" s="114">
        <f t="shared" si="75"/>
        <v>38.793103448275865</v>
      </c>
      <c r="K1042" s="117">
        <f t="shared" si="76"/>
        <v>0</v>
      </c>
      <c r="L1042" s="118">
        <f>VLOOKUP(B1042,'All Menu'!B:G,6,0)</f>
        <v>1.9396551724137931</v>
      </c>
      <c r="M1042" s="118">
        <f t="shared" si="77"/>
        <v>0</v>
      </c>
      <c r="N1042" s="151">
        <f ca="1">VLOOKUP(B1042,'All Menu'!B:H,7,0)</f>
        <v>20</v>
      </c>
    </row>
    <row r="1043" spans="1:14" s="113" customFormat="1" ht="15.75" customHeight="1">
      <c r="A1043" s="156" t="s">
        <v>2022</v>
      </c>
      <c r="B1043" s="170" t="s">
        <v>1185</v>
      </c>
      <c r="C1043" s="113" t="s">
        <v>1450</v>
      </c>
      <c r="D1043" s="115" t="str">
        <f>VLOOKUP(B1043,'All Menu'!B:D,3,0)</f>
        <v>مقبلات باردة صالة</v>
      </c>
      <c r="E1043" s="116">
        <f t="shared" si="78"/>
        <v>0.64655172413793105</v>
      </c>
      <c r="F1043" s="119">
        <v>1</v>
      </c>
      <c r="G1043" s="119">
        <v>0.64655172413793105</v>
      </c>
      <c r="H1043" s="115">
        <f>VLOOKUP(B1043,'All Menu'!B:J,9,0)</f>
        <v>9.9846138341731575E-2</v>
      </c>
      <c r="I1043" s="120">
        <f>VLOOKUP(B1043,'All Menu'!B:M,12,0)</f>
        <v>0.84557130603145514</v>
      </c>
      <c r="J1043" s="114">
        <f t="shared" si="75"/>
        <v>0.64655172413793105</v>
      </c>
      <c r="K1043" s="117">
        <f t="shared" si="76"/>
        <v>0</v>
      </c>
      <c r="L1043" s="118">
        <f>VLOOKUP(B1043,'All Menu'!B:G,6,0)</f>
        <v>0.64655172413793105</v>
      </c>
      <c r="M1043" s="118">
        <f t="shared" si="77"/>
        <v>0</v>
      </c>
      <c r="N1043" s="151">
        <f ca="1">VLOOKUP(B1043,'All Menu'!B:H,7,0)</f>
        <v>1</v>
      </c>
    </row>
    <row r="1044" spans="1:14" s="113" customFormat="1" ht="15.75" customHeight="1">
      <c r="A1044" s="156" t="s">
        <v>2022</v>
      </c>
      <c r="B1044" s="170" t="s">
        <v>1295</v>
      </c>
      <c r="C1044" s="113" t="s">
        <v>1645</v>
      </c>
      <c r="D1044" s="115" t="str">
        <f>VLOOKUP(B1044,'All Menu'!B:D,3,0)</f>
        <v>مقبلات باردة صالة</v>
      </c>
      <c r="E1044" s="116">
        <f t="shared" si="78"/>
        <v>0</v>
      </c>
      <c r="F1044" s="119">
        <v>105</v>
      </c>
      <c r="G1044" s="119">
        <v>0</v>
      </c>
      <c r="H1044" s="115">
        <f>VLOOKUP(B1044,'All Menu'!B:J,9,0)</f>
        <v>0.21199999999999999</v>
      </c>
      <c r="I1044" s="120">
        <f>VLOOKUP(B1044,'All Menu'!B:M,12,0)</f>
        <v>0</v>
      </c>
      <c r="J1044" s="114">
        <f t="shared" si="75"/>
        <v>0</v>
      </c>
      <c r="K1044" s="117">
        <f t="shared" si="76"/>
        <v>0</v>
      </c>
      <c r="L1044" s="118">
        <f>VLOOKUP(B1044,'All Menu'!B:G,6,0)</f>
        <v>0</v>
      </c>
      <c r="M1044" s="118">
        <f t="shared" si="77"/>
        <v>0</v>
      </c>
      <c r="N1044" s="151">
        <f ca="1">VLOOKUP(B1044,'All Menu'!B:H,7,0)</f>
        <v>105</v>
      </c>
    </row>
    <row r="1045" spans="1:14" s="113" customFormat="1" ht="15.75" customHeight="1">
      <c r="A1045" s="156" t="s">
        <v>2022</v>
      </c>
      <c r="B1045" s="170" t="s">
        <v>1879</v>
      </c>
      <c r="C1045" s="113" t="s">
        <v>1880</v>
      </c>
      <c r="D1045" s="115" t="str">
        <f>VLOOKUP(B1045,'All Menu'!B:D,3,0)</f>
        <v>مقبلات باردة صالة</v>
      </c>
      <c r="E1045" s="116">
        <f t="shared" si="78"/>
        <v>2.5431034482758625</v>
      </c>
      <c r="F1045" s="119">
        <v>3</v>
      </c>
      <c r="G1045" s="119">
        <v>7.6293103448275872</v>
      </c>
      <c r="H1045" s="115">
        <f>VLOOKUP(B1045,'All Menu'!B:J,9,0)</f>
        <v>0.30320240676192861</v>
      </c>
      <c r="I1045" s="120">
        <f>VLOOKUP(B1045,'All Menu'!B:M,12,0)</f>
        <v>0.88077464683259754</v>
      </c>
      <c r="J1045" s="114">
        <f t="shared" si="75"/>
        <v>7.6293103448275872</v>
      </c>
      <c r="K1045" s="117">
        <f t="shared" si="76"/>
        <v>0</v>
      </c>
      <c r="L1045" s="118">
        <f>VLOOKUP(B1045,'All Menu'!B:G,6,0)</f>
        <v>2.5431034482758625</v>
      </c>
      <c r="M1045" s="118">
        <f t="shared" si="77"/>
        <v>0</v>
      </c>
      <c r="N1045" s="151">
        <f ca="1">VLOOKUP(B1045,'All Menu'!B:H,7,0)</f>
        <v>3</v>
      </c>
    </row>
    <row r="1046" spans="1:14" s="113" customFormat="1" ht="15.75" customHeight="1">
      <c r="A1046" s="156" t="s">
        <v>2022</v>
      </c>
      <c r="B1046" s="170" t="s">
        <v>1890</v>
      </c>
      <c r="C1046" s="113" t="s">
        <v>1889</v>
      </c>
      <c r="D1046" s="115" t="str">
        <f>VLOOKUP(B1046,'All Menu'!B:D,3,0)</f>
        <v>مقبلات باردة صالة</v>
      </c>
      <c r="E1046" s="116">
        <f t="shared" si="78"/>
        <v>2.8017241379310343</v>
      </c>
      <c r="F1046" s="119">
        <v>6</v>
      </c>
      <c r="G1046" s="119">
        <v>16.810344827586206</v>
      </c>
      <c r="H1046" s="115">
        <f>VLOOKUP(B1046,'All Menu'!B:J,9,0)</f>
        <v>0.31238329305962848</v>
      </c>
      <c r="I1046" s="120">
        <f>VLOOKUP(B1046,'All Menu'!B:M,12,0)</f>
        <v>0.8885031938617941</v>
      </c>
      <c r="J1046" s="114">
        <f t="shared" si="75"/>
        <v>16.810344827586206</v>
      </c>
      <c r="K1046" s="117">
        <f t="shared" si="76"/>
        <v>0</v>
      </c>
      <c r="L1046" s="118">
        <f>VLOOKUP(B1046,'All Menu'!B:G,6,0)</f>
        <v>2.8017241379310347</v>
      </c>
      <c r="M1046" s="118">
        <f t="shared" si="77"/>
        <v>0</v>
      </c>
      <c r="N1046" s="151">
        <f ca="1">VLOOKUP(B1046,'All Menu'!B:H,7,0)</f>
        <v>6</v>
      </c>
    </row>
    <row r="1047" spans="1:14" s="113" customFormat="1" ht="15.75" customHeight="1">
      <c r="A1047" s="156" t="s">
        <v>2022</v>
      </c>
      <c r="B1047" s="170" t="s">
        <v>1101</v>
      </c>
      <c r="C1047" s="113" t="s">
        <v>573</v>
      </c>
      <c r="D1047" s="115" t="str">
        <f>VLOOKUP(B1047,'All Menu'!B:D,3,0)</f>
        <v>مقبلات ساخنة صالة</v>
      </c>
      <c r="E1047" s="116">
        <f t="shared" si="78"/>
        <v>1.2931034482758621</v>
      </c>
      <c r="F1047" s="119">
        <v>108</v>
      </c>
      <c r="G1047" s="119">
        <v>139.65517241379311</v>
      </c>
      <c r="H1047" s="115">
        <f>VLOOKUP(B1047,'All Menu'!B:J,9,0)</f>
        <v>0.50639403004883443</v>
      </c>
      <c r="I1047" s="120">
        <f>VLOOKUP(B1047,'All Menu'!B:M,12,0)</f>
        <v>0.60838861676223477</v>
      </c>
      <c r="J1047" s="114">
        <f t="shared" si="75"/>
        <v>139.65517241379311</v>
      </c>
      <c r="K1047" s="117">
        <f t="shared" si="76"/>
        <v>0</v>
      </c>
      <c r="L1047" s="118">
        <f>VLOOKUP(B1047,'All Menu'!B:G,6,0)</f>
        <v>1.2931034482758621</v>
      </c>
      <c r="M1047" s="118">
        <f t="shared" si="77"/>
        <v>0</v>
      </c>
      <c r="N1047" s="151">
        <f ca="1">VLOOKUP(B1047,'All Menu'!B:H,7,0)</f>
        <v>108</v>
      </c>
    </row>
    <row r="1048" spans="1:14" s="113" customFormat="1" ht="15.75" customHeight="1">
      <c r="A1048" s="156" t="s">
        <v>2022</v>
      </c>
      <c r="B1048" s="170" t="s">
        <v>1102</v>
      </c>
      <c r="C1048" s="113" t="s">
        <v>569</v>
      </c>
      <c r="D1048" s="115" t="str">
        <f>VLOOKUP(B1048,'All Menu'!B:D,3,0)</f>
        <v>مقبلات ساخنة صالة</v>
      </c>
      <c r="E1048" s="116">
        <f t="shared" si="78"/>
        <v>1.5498758620689657</v>
      </c>
      <c r="F1048" s="119">
        <v>145</v>
      </c>
      <c r="G1048" s="119">
        <v>224.73200000000003</v>
      </c>
      <c r="H1048" s="115">
        <f>VLOOKUP(B1048,'All Menu'!B:J,9,0)</f>
        <v>1.2857409482105262</v>
      </c>
      <c r="I1048" s="120">
        <f>VLOOKUP(B1048,'All Menu'!B:M,12,0)</f>
        <v>0.17141138893099434</v>
      </c>
      <c r="J1048" s="114">
        <f t="shared" si="75"/>
        <v>225.00000000000003</v>
      </c>
      <c r="K1048" s="117">
        <f t="shared" si="76"/>
        <v>-0.26800000000000068</v>
      </c>
      <c r="L1048" s="118">
        <f>VLOOKUP(B1048,'All Menu'!B:G,6,0)</f>
        <v>1.5517241379310347</v>
      </c>
      <c r="M1048" s="118">
        <f t="shared" si="77"/>
        <v>-1.8482758620690376E-3</v>
      </c>
      <c r="N1048" s="151">
        <f ca="1">VLOOKUP(B1048,'All Menu'!B:H,7,0)</f>
        <v>145</v>
      </c>
    </row>
    <row r="1049" spans="1:14" s="113" customFormat="1" ht="15.75" customHeight="1">
      <c r="A1049" s="156" t="s">
        <v>2022</v>
      </c>
      <c r="B1049" s="170" t="s">
        <v>993</v>
      </c>
      <c r="C1049" s="113" t="s">
        <v>1453</v>
      </c>
      <c r="D1049" s="115" t="str">
        <f>VLOOKUP(B1049,'All Menu'!B:D,3,0)</f>
        <v>مقبلات ساخنة صالة</v>
      </c>
      <c r="E1049" s="116">
        <f t="shared" si="78"/>
        <v>1.5517241379310347</v>
      </c>
      <c r="F1049" s="119">
        <v>20</v>
      </c>
      <c r="G1049" s="119">
        <v>31.034482758620694</v>
      </c>
      <c r="H1049" s="115">
        <f>VLOOKUP(B1049,'All Menu'!B:J,9,0)</f>
        <v>0.23830171428571428</v>
      </c>
      <c r="I1049" s="120">
        <f>VLOOKUP(B1049,'All Menu'!B:M,12,0)</f>
        <v>0.84642778412698416</v>
      </c>
      <c r="J1049" s="114">
        <f t="shared" si="75"/>
        <v>31.034482758620694</v>
      </c>
      <c r="K1049" s="117">
        <f t="shared" si="76"/>
        <v>0</v>
      </c>
      <c r="L1049" s="118">
        <f>VLOOKUP(B1049,'All Menu'!B:G,6,0)</f>
        <v>1.5517241379310347</v>
      </c>
      <c r="M1049" s="118">
        <f t="shared" si="77"/>
        <v>0</v>
      </c>
      <c r="N1049" s="151">
        <f ca="1">VLOOKUP(B1049,'All Menu'!B:H,7,0)</f>
        <v>20</v>
      </c>
    </row>
    <row r="1050" spans="1:14" s="113" customFormat="1" ht="15.75" customHeight="1">
      <c r="A1050" s="156" t="s">
        <v>2022</v>
      </c>
      <c r="B1050" s="170" t="s">
        <v>845</v>
      </c>
      <c r="C1050" s="113" t="s">
        <v>1455</v>
      </c>
      <c r="D1050" s="115" t="str">
        <f>VLOOKUP(B1050,'All Menu'!B:D,3,0)</f>
        <v>مقبلات ساخنة صالة</v>
      </c>
      <c r="E1050" s="116">
        <f t="shared" si="78"/>
        <v>1.6379310344827587</v>
      </c>
      <c r="F1050" s="119">
        <v>116</v>
      </c>
      <c r="G1050" s="119">
        <v>190</v>
      </c>
      <c r="H1050" s="115">
        <f>VLOOKUP(B1050,'All Menu'!B:J,9,0)</f>
        <v>0.17243674579124577</v>
      </c>
      <c r="I1050" s="120">
        <f>VLOOKUP(B1050,'All Menu'!B:M,12,0)</f>
        <v>0.89472282888534471</v>
      </c>
      <c r="J1050" s="114">
        <f t="shared" si="75"/>
        <v>190</v>
      </c>
      <c r="K1050" s="117">
        <f t="shared" si="76"/>
        <v>0</v>
      </c>
      <c r="L1050" s="118">
        <f>VLOOKUP(B1050,'All Menu'!B:G,6,0)</f>
        <v>1.6379310344827587</v>
      </c>
      <c r="M1050" s="118">
        <f t="shared" si="77"/>
        <v>0</v>
      </c>
      <c r="N1050" s="151">
        <f ca="1">VLOOKUP(B1050,'All Menu'!B:H,7,0)</f>
        <v>116</v>
      </c>
    </row>
    <row r="1051" spans="1:14" s="113" customFormat="1" ht="15.75" customHeight="1">
      <c r="A1051" s="156" t="s">
        <v>2022</v>
      </c>
      <c r="B1051" s="170" t="s">
        <v>846</v>
      </c>
      <c r="C1051" s="113" t="s">
        <v>1456</v>
      </c>
      <c r="D1051" s="115" t="str">
        <f>VLOOKUP(B1051,'All Menu'!B:D,3,0)</f>
        <v>مقبلات ساخنة صالة</v>
      </c>
      <c r="E1051" s="116">
        <f t="shared" si="78"/>
        <v>1.6379310344827587</v>
      </c>
      <c r="F1051" s="119">
        <v>27</v>
      </c>
      <c r="G1051" s="119">
        <v>44.224137931034484</v>
      </c>
      <c r="H1051" s="115">
        <f>VLOOKUP(B1051,'All Menu'!B:J,9,0)</f>
        <v>0.3505106263400245</v>
      </c>
      <c r="I1051" s="120">
        <f>VLOOKUP(B1051,'All Menu'!B:M,12,0)</f>
        <v>0.78600403865556412</v>
      </c>
      <c r="J1051" s="114">
        <f t="shared" si="75"/>
        <v>44.224137931034484</v>
      </c>
      <c r="K1051" s="117">
        <f t="shared" si="76"/>
        <v>0</v>
      </c>
      <c r="L1051" s="118">
        <f>VLOOKUP(B1051,'All Menu'!B:G,6,0)</f>
        <v>1.6379310344827587</v>
      </c>
      <c r="M1051" s="118">
        <f t="shared" si="77"/>
        <v>0</v>
      </c>
      <c r="N1051" s="151">
        <f ca="1">VLOOKUP(B1051,'All Menu'!B:H,7,0)</f>
        <v>27</v>
      </c>
    </row>
    <row r="1052" spans="1:14" s="113" customFormat="1" ht="15.75" customHeight="1">
      <c r="A1052" s="156" t="s">
        <v>2022</v>
      </c>
      <c r="B1052" s="170" t="s">
        <v>875</v>
      </c>
      <c r="C1052" s="113" t="s">
        <v>1454</v>
      </c>
      <c r="D1052" s="115" t="str">
        <f>VLOOKUP(B1052,'All Menu'!B:D,3,0)</f>
        <v>مقبلات ساخنة صالة</v>
      </c>
      <c r="E1052" s="116">
        <f t="shared" si="78"/>
        <v>1.6731960989202368</v>
      </c>
      <c r="F1052" s="119">
        <v>99</v>
      </c>
      <c r="G1052" s="119">
        <v>165.64641379310345</v>
      </c>
      <c r="H1052" s="115">
        <f>VLOOKUP(B1052,'All Menu'!B:J,9,0)</f>
        <v>0.13689300000000001</v>
      </c>
      <c r="I1052" s="120">
        <f>VLOOKUP(B1052,'All Menu'!B:M,12,0)</f>
        <v>0.91856621538461547</v>
      </c>
      <c r="J1052" s="114">
        <f t="shared" si="75"/>
        <v>166.42241379310346</v>
      </c>
      <c r="K1052" s="117">
        <f t="shared" si="76"/>
        <v>-0.77600000000001046</v>
      </c>
      <c r="L1052" s="118">
        <f>VLOOKUP(B1052,'All Menu'!B:G,6,0)</f>
        <v>1.6810344827586208</v>
      </c>
      <c r="M1052" s="118">
        <f t="shared" si="77"/>
        <v>-7.8383838383839777E-3</v>
      </c>
      <c r="N1052" s="151">
        <f ca="1">VLOOKUP(B1052,'All Menu'!B:H,7,0)</f>
        <v>99</v>
      </c>
    </row>
    <row r="1053" spans="1:14" s="113" customFormat="1" ht="15.75" customHeight="1">
      <c r="A1053" s="156" t="s">
        <v>2022</v>
      </c>
      <c r="B1053" s="170" t="s">
        <v>1247</v>
      </c>
      <c r="C1053" s="113" t="s">
        <v>1647</v>
      </c>
      <c r="D1053" s="115" t="str">
        <f>VLOOKUP(B1053,'All Menu'!B:D,3,0)</f>
        <v>مقبلات ساخنة صالة</v>
      </c>
      <c r="E1053" s="116">
        <f t="shared" si="78"/>
        <v>3.2327586206896552</v>
      </c>
      <c r="F1053" s="119">
        <v>6</v>
      </c>
      <c r="G1053" s="119">
        <v>19.396551724137932</v>
      </c>
      <c r="H1053" s="115">
        <f>VLOOKUP(B1053,'All Menu'!B:J,9,0)</f>
        <v>1.1429299999999998</v>
      </c>
      <c r="I1053" s="120">
        <f>VLOOKUP(B1053,'All Menu'!B:M,12,0)</f>
        <v>0.64645365333333338</v>
      </c>
      <c r="J1053" s="114">
        <f t="shared" ref="J1053" si="79">F1053*L1053</f>
        <v>19.396551724137932</v>
      </c>
      <c r="K1053" s="117">
        <f t="shared" ref="K1053" si="80">G1053-J1053</f>
        <v>0</v>
      </c>
      <c r="L1053" s="118">
        <f>VLOOKUP(B1053,'All Menu'!B:G,6,0)</f>
        <v>3.2327586206896552</v>
      </c>
      <c r="M1053" s="118">
        <f t="shared" ref="M1053" si="81">E1053-L1053</f>
        <v>0</v>
      </c>
      <c r="N1053" s="151">
        <f ca="1">VLOOKUP(B1053,'All Menu'!B:H,7,0)</f>
        <v>6</v>
      </c>
    </row>
    <row r="1054" spans="1:14" s="113" customFormat="1" ht="15.75" customHeight="1">
      <c r="A1054" s="156"/>
      <c r="B1054" s="170"/>
      <c r="D1054" s="115"/>
      <c r="E1054" s="116"/>
      <c r="F1054" s="119"/>
      <c r="G1054" s="119"/>
      <c r="H1054" s="115"/>
      <c r="I1054" s="120"/>
      <c r="J1054" s="114"/>
      <c r="K1054" s="117"/>
      <c r="L1054" s="118"/>
      <c r="M1054" s="118"/>
      <c r="N1054" s="151"/>
    </row>
    <row r="1055" spans="1:14" ht="15.75" customHeight="1">
      <c r="A1055" s="156" t="s">
        <v>2030</v>
      </c>
      <c r="D1055" s="115" t="e">
        <f>VLOOKUP(B1055,'All Menu'!B:D,3,0)</f>
        <v>#N/A</v>
      </c>
      <c r="E1055" s="116" t="e">
        <f t="shared" ref="E1055" si="82">G1055/F1055</f>
        <v>#DIV/0!</v>
      </c>
      <c r="H1055" s="115" t="e">
        <f>VLOOKUP(B1055,'All Menu'!B:J,9,0)</f>
        <v>#N/A</v>
      </c>
      <c r="I1055" s="120" t="e">
        <f>VLOOKUP(B1055,'All Menu'!B:M,12,0)</f>
        <v>#N/A</v>
      </c>
      <c r="J1055" s="114" t="e">
        <f t="shared" ref="J1055:J1118" si="83">F1055*L1055</f>
        <v>#N/A</v>
      </c>
      <c r="K1055" s="117" t="e">
        <f t="shared" ref="K1055:K1118" si="84">G1055-J1055</f>
        <v>#N/A</v>
      </c>
      <c r="L1055" s="118" t="e">
        <f>VLOOKUP(B1055,'All Menu'!B:G,6,0)</f>
        <v>#N/A</v>
      </c>
      <c r="M1055" s="118" t="e">
        <f t="shared" ref="M1055:M1118" si="85">E1055-L1055</f>
        <v>#DIV/0!</v>
      </c>
      <c r="N1055" s="151" t="e">
        <f>VLOOKUP(B1055,'All Menu'!B:H,7,0)</f>
        <v>#N/A</v>
      </c>
    </row>
    <row r="1056" spans="1:14" ht="15.75" customHeight="1">
      <c r="A1056" s="156"/>
      <c r="D1056" s="115" t="e">
        <f>VLOOKUP(B1056,'All Menu'!B:D,3,0)</f>
        <v>#N/A</v>
      </c>
      <c r="E1056" s="116" t="e">
        <f t="shared" ref="E1056:E1119" si="86">G1056/F1056</f>
        <v>#DIV/0!</v>
      </c>
      <c r="H1056" s="115" t="e">
        <f>VLOOKUP(B1056,'All Menu'!B:J,9,0)</f>
        <v>#N/A</v>
      </c>
      <c r="I1056" s="120" t="e">
        <f>VLOOKUP(B1056,'All Menu'!B:M,12,0)</f>
        <v>#N/A</v>
      </c>
      <c r="J1056" s="114" t="e">
        <f t="shared" si="83"/>
        <v>#N/A</v>
      </c>
      <c r="K1056" s="117" t="e">
        <f t="shared" si="84"/>
        <v>#N/A</v>
      </c>
      <c r="L1056" s="118" t="e">
        <f>VLOOKUP(B1056,'All Menu'!B:G,6,0)</f>
        <v>#N/A</v>
      </c>
      <c r="M1056" s="118" t="e">
        <f t="shared" si="85"/>
        <v>#DIV/0!</v>
      </c>
      <c r="N1056" s="151" t="e">
        <f>VLOOKUP(B1056,'All Menu'!B:H,7,0)</f>
        <v>#N/A</v>
      </c>
    </row>
    <row r="1057" spans="1:14" ht="15.75" customHeight="1">
      <c r="A1057" s="156"/>
      <c r="D1057" s="115" t="e">
        <f>VLOOKUP(B1057,'All Menu'!B:D,3,0)</f>
        <v>#N/A</v>
      </c>
      <c r="E1057" s="116" t="e">
        <f t="shared" si="86"/>
        <v>#DIV/0!</v>
      </c>
      <c r="H1057" s="115" t="e">
        <f>VLOOKUP(B1057,'All Menu'!B:J,9,0)</f>
        <v>#N/A</v>
      </c>
      <c r="I1057" s="120" t="e">
        <f>VLOOKUP(B1057,'All Menu'!B:M,12,0)</f>
        <v>#N/A</v>
      </c>
      <c r="J1057" s="114" t="e">
        <f t="shared" si="83"/>
        <v>#N/A</v>
      </c>
      <c r="K1057" s="117" t="e">
        <f t="shared" si="84"/>
        <v>#N/A</v>
      </c>
      <c r="L1057" s="118" t="e">
        <f>VLOOKUP(B1057,'All Menu'!B:G,6,0)</f>
        <v>#N/A</v>
      </c>
      <c r="M1057" s="118" t="e">
        <f t="shared" si="85"/>
        <v>#DIV/0!</v>
      </c>
      <c r="N1057" s="151" t="e">
        <f>VLOOKUP(B1057,'All Menu'!B:H,7,0)</f>
        <v>#N/A</v>
      </c>
    </row>
    <row r="1058" spans="1:14" ht="15.75" customHeight="1">
      <c r="A1058" s="156"/>
      <c r="D1058" s="115" t="e">
        <f>VLOOKUP(B1058,'All Menu'!B:D,3,0)</f>
        <v>#N/A</v>
      </c>
      <c r="E1058" s="116" t="e">
        <f t="shared" si="86"/>
        <v>#DIV/0!</v>
      </c>
      <c r="H1058" s="115" t="e">
        <f>VLOOKUP(B1058,'All Menu'!B:J,9,0)</f>
        <v>#N/A</v>
      </c>
      <c r="I1058" s="120" t="e">
        <f>VLOOKUP(B1058,'All Menu'!B:M,12,0)</f>
        <v>#N/A</v>
      </c>
      <c r="J1058" s="114" t="e">
        <f t="shared" si="83"/>
        <v>#N/A</v>
      </c>
      <c r="K1058" s="117" t="e">
        <f t="shared" si="84"/>
        <v>#N/A</v>
      </c>
      <c r="L1058" s="118" t="e">
        <f>VLOOKUP(B1058,'All Menu'!B:G,6,0)</f>
        <v>#N/A</v>
      </c>
      <c r="M1058" s="118" t="e">
        <f t="shared" si="85"/>
        <v>#DIV/0!</v>
      </c>
      <c r="N1058" s="151" t="e">
        <f>VLOOKUP(B1058,'All Menu'!B:H,7,0)</f>
        <v>#N/A</v>
      </c>
    </row>
    <row r="1059" spans="1:14" ht="15.75" customHeight="1">
      <c r="A1059" s="156"/>
      <c r="D1059" s="115" t="e">
        <f>VLOOKUP(B1059,'All Menu'!B:D,3,0)</f>
        <v>#N/A</v>
      </c>
      <c r="E1059" s="116" t="e">
        <f t="shared" si="86"/>
        <v>#DIV/0!</v>
      </c>
      <c r="H1059" s="115" t="e">
        <f>VLOOKUP(B1059,'All Menu'!B:J,9,0)</f>
        <v>#N/A</v>
      </c>
      <c r="I1059" s="120" t="e">
        <f>VLOOKUP(B1059,'All Menu'!B:M,12,0)</f>
        <v>#N/A</v>
      </c>
      <c r="J1059" s="114" t="e">
        <f t="shared" si="83"/>
        <v>#N/A</v>
      </c>
      <c r="K1059" s="117" t="e">
        <f t="shared" si="84"/>
        <v>#N/A</v>
      </c>
      <c r="L1059" s="118" t="e">
        <f>VLOOKUP(B1059,'All Menu'!B:G,6,0)</f>
        <v>#N/A</v>
      </c>
      <c r="M1059" s="118" t="e">
        <f t="shared" si="85"/>
        <v>#DIV/0!</v>
      </c>
      <c r="N1059" s="151" t="e">
        <f>VLOOKUP(B1059,'All Menu'!B:H,7,0)</f>
        <v>#N/A</v>
      </c>
    </row>
    <row r="1060" spans="1:14" ht="15.75" customHeight="1">
      <c r="A1060" s="156"/>
      <c r="D1060" s="115" t="e">
        <f>VLOOKUP(B1060,'All Menu'!B:D,3,0)</f>
        <v>#N/A</v>
      </c>
      <c r="E1060" s="116" t="e">
        <f t="shared" si="86"/>
        <v>#DIV/0!</v>
      </c>
      <c r="H1060" s="115" t="e">
        <f>VLOOKUP(B1060,'All Menu'!B:J,9,0)</f>
        <v>#N/A</v>
      </c>
      <c r="I1060" s="120" t="e">
        <f>VLOOKUP(B1060,'All Menu'!B:M,12,0)</f>
        <v>#N/A</v>
      </c>
      <c r="J1060" s="114" t="e">
        <f t="shared" si="83"/>
        <v>#N/A</v>
      </c>
      <c r="K1060" s="117" t="e">
        <f t="shared" si="84"/>
        <v>#N/A</v>
      </c>
      <c r="L1060" s="118" t="e">
        <f>VLOOKUP(B1060,'All Menu'!B:G,6,0)</f>
        <v>#N/A</v>
      </c>
      <c r="M1060" s="118" t="e">
        <f t="shared" si="85"/>
        <v>#DIV/0!</v>
      </c>
      <c r="N1060" s="151" t="e">
        <f>VLOOKUP(B1060,'All Menu'!B:H,7,0)</f>
        <v>#N/A</v>
      </c>
    </row>
    <row r="1061" spans="1:14" ht="15.75" customHeight="1">
      <c r="A1061" s="156"/>
      <c r="D1061" s="115" t="e">
        <f>VLOOKUP(B1061,'All Menu'!B:D,3,0)</f>
        <v>#N/A</v>
      </c>
      <c r="E1061" s="116" t="e">
        <f t="shared" si="86"/>
        <v>#DIV/0!</v>
      </c>
      <c r="H1061" s="115" t="e">
        <f>VLOOKUP(B1061,'All Menu'!B:J,9,0)</f>
        <v>#N/A</v>
      </c>
      <c r="I1061" s="120" t="e">
        <f>VLOOKUP(B1061,'All Menu'!B:M,12,0)</f>
        <v>#N/A</v>
      </c>
      <c r="J1061" s="114" t="e">
        <f t="shared" si="83"/>
        <v>#N/A</v>
      </c>
      <c r="K1061" s="117" t="e">
        <f t="shared" si="84"/>
        <v>#N/A</v>
      </c>
      <c r="L1061" s="118" t="e">
        <f>VLOOKUP(B1061,'All Menu'!B:G,6,0)</f>
        <v>#N/A</v>
      </c>
      <c r="M1061" s="118" t="e">
        <f t="shared" si="85"/>
        <v>#DIV/0!</v>
      </c>
      <c r="N1061" s="151" t="e">
        <f>VLOOKUP(B1061,'All Menu'!B:H,7,0)</f>
        <v>#N/A</v>
      </c>
    </row>
    <row r="1062" spans="1:14" ht="15.75" customHeight="1">
      <c r="A1062" s="156"/>
      <c r="D1062" s="115" t="e">
        <f>VLOOKUP(B1062,'All Menu'!B:D,3,0)</f>
        <v>#N/A</v>
      </c>
      <c r="E1062" s="116" t="e">
        <f t="shared" si="86"/>
        <v>#DIV/0!</v>
      </c>
      <c r="H1062" s="115" t="e">
        <f>VLOOKUP(B1062,'All Menu'!B:J,9,0)</f>
        <v>#N/A</v>
      </c>
      <c r="I1062" s="120" t="e">
        <f>VLOOKUP(B1062,'All Menu'!B:M,12,0)</f>
        <v>#N/A</v>
      </c>
      <c r="J1062" s="114" t="e">
        <f t="shared" si="83"/>
        <v>#N/A</v>
      </c>
      <c r="K1062" s="117" t="e">
        <f t="shared" si="84"/>
        <v>#N/A</v>
      </c>
      <c r="L1062" s="118" t="e">
        <f>VLOOKUP(B1062,'All Menu'!B:G,6,0)</f>
        <v>#N/A</v>
      </c>
      <c r="M1062" s="118" t="e">
        <f t="shared" si="85"/>
        <v>#DIV/0!</v>
      </c>
      <c r="N1062" s="151" t="e">
        <f>VLOOKUP(B1062,'All Menu'!B:H,7,0)</f>
        <v>#N/A</v>
      </c>
    </row>
    <row r="1063" spans="1:14" ht="15.75" customHeight="1">
      <c r="A1063" s="156"/>
      <c r="D1063" s="115" t="e">
        <f>VLOOKUP(B1063,'All Menu'!B:D,3,0)</f>
        <v>#N/A</v>
      </c>
      <c r="E1063" s="116" t="e">
        <f t="shared" si="86"/>
        <v>#DIV/0!</v>
      </c>
      <c r="H1063" s="115" t="e">
        <f>VLOOKUP(B1063,'All Menu'!B:J,9,0)</f>
        <v>#N/A</v>
      </c>
      <c r="I1063" s="120" t="e">
        <f>VLOOKUP(B1063,'All Menu'!B:M,12,0)</f>
        <v>#N/A</v>
      </c>
      <c r="J1063" s="114" t="e">
        <f t="shared" si="83"/>
        <v>#N/A</v>
      </c>
      <c r="K1063" s="117" t="e">
        <f t="shared" si="84"/>
        <v>#N/A</v>
      </c>
      <c r="L1063" s="118" t="e">
        <f>VLOOKUP(B1063,'All Menu'!B:G,6,0)</f>
        <v>#N/A</v>
      </c>
      <c r="M1063" s="118" t="e">
        <f t="shared" si="85"/>
        <v>#DIV/0!</v>
      </c>
      <c r="N1063" s="151" t="e">
        <f>VLOOKUP(B1063,'All Menu'!B:H,7,0)</f>
        <v>#N/A</v>
      </c>
    </row>
    <row r="1064" spans="1:14" ht="15.75" customHeight="1">
      <c r="A1064" s="156"/>
      <c r="D1064" s="115" t="e">
        <f>VLOOKUP(B1064,'All Menu'!B:D,3,0)</f>
        <v>#N/A</v>
      </c>
      <c r="E1064" s="116" t="e">
        <f t="shared" si="86"/>
        <v>#DIV/0!</v>
      </c>
      <c r="H1064" s="115" t="e">
        <f>VLOOKUP(B1064,'All Menu'!B:J,9,0)</f>
        <v>#N/A</v>
      </c>
      <c r="I1064" s="120" t="e">
        <f>VLOOKUP(B1064,'All Menu'!B:M,12,0)</f>
        <v>#N/A</v>
      </c>
      <c r="J1064" s="114" t="e">
        <f t="shared" si="83"/>
        <v>#N/A</v>
      </c>
      <c r="K1064" s="117" t="e">
        <f t="shared" si="84"/>
        <v>#N/A</v>
      </c>
      <c r="L1064" s="118" t="e">
        <f>VLOOKUP(B1064,'All Menu'!B:G,6,0)</f>
        <v>#N/A</v>
      </c>
      <c r="M1064" s="118" t="e">
        <f t="shared" si="85"/>
        <v>#DIV/0!</v>
      </c>
      <c r="N1064" s="151" t="e">
        <f>VLOOKUP(B1064,'All Menu'!B:H,7,0)</f>
        <v>#N/A</v>
      </c>
    </row>
    <row r="1065" spans="1:14" ht="15.75" customHeight="1">
      <c r="A1065" s="156"/>
      <c r="D1065" s="115" t="e">
        <f>VLOOKUP(B1065,'All Menu'!B:D,3,0)</f>
        <v>#N/A</v>
      </c>
      <c r="E1065" s="116" t="e">
        <f t="shared" si="86"/>
        <v>#DIV/0!</v>
      </c>
      <c r="H1065" s="115" t="e">
        <f>VLOOKUP(B1065,'All Menu'!B:J,9,0)</f>
        <v>#N/A</v>
      </c>
      <c r="I1065" s="120" t="e">
        <f>VLOOKUP(B1065,'All Menu'!B:M,12,0)</f>
        <v>#N/A</v>
      </c>
      <c r="J1065" s="114" t="e">
        <f t="shared" si="83"/>
        <v>#N/A</v>
      </c>
      <c r="K1065" s="117" t="e">
        <f t="shared" si="84"/>
        <v>#N/A</v>
      </c>
      <c r="L1065" s="118" t="e">
        <f>VLOOKUP(B1065,'All Menu'!B:G,6,0)</f>
        <v>#N/A</v>
      </c>
      <c r="M1065" s="118" t="e">
        <f t="shared" si="85"/>
        <v>#DIV/0!</v>
      </c>
      <c r="N1065" s="151" t="e">
        <f>VLOOKUP(B1065,'All Menu'!B:H,7,0)</f>
        <v>#N/A</v>
      </c>
    </row>
    <row r="1066" spans="1:14" ht="15.75" customHeight="1">
      <c r="A1066" s="156"/>
      <c r="D1066" s="115" t="e">
        <f>VLOOKUP(B1066,'All Menu'!B:D,3,0)</f>
        <v>#N/A</v>
      </c>
      <c r="E1066" s="116" t="e">
        <f t="shared" si="86"/>
        <v>#DIV/0!</v>
      </c>
      <c r="H1066" s="115" t="e">
        <f>VLOOKUP(B1066,'All Menu'!B:J,9,0)</f>
        <v>#N/A</v>
      </c>
      <c r="I1066" s="120" t="e">
        <f>VLOOKUP(B1066,'All Menu'!B:M,12,0)</f>
        <v>#N/A</v>
      </c>
      <c r="J1066" s="114" t="e">
        <f t="shared" si="83"/>
        <v>#N/A</v>
      </c>
      <c r="K1066" s="117" t="e">
        <f t="shared" si="84"/>
        <v>#N/A</v>
      </c>
      <c r="L1066" s="118" t="e">
        <f>VLOOKUP(B1066,'All Menu'!B:G,6,0)</f>
        <v>#N/A</v>
      </c>
      <c r="M1066" s="118" t="e">
        <f t="shared" si="85"/>
        <v>#DIV/0!</v>
      </c>
      <c r="N1066" s="151" t="e">
        <f>VLOOKUP(B1066,'All Menu'!B:H,7,0)</f>
        <v>#N/A</v>
      </c>
    </row>
    <row r="1067" spans="1:14" ht="15.75" customHeight="1">
      <c r="A1067" s="156"/>
      <c r="D1067" s="115" t="e">
        <f>VLOOKUP(B1067,'All Menu'!B:D,3,0)</f>
        <v>#N/A</v>
      </c>
      <c r="E1067" s="116" t="e">
        <f t="shared" si="86"/>
        <v>#DIV/0!</v>
      </c>
      <c r="H1067" s="115" t="e">
        <f>VLOOKUP(B1067,'All Menu'!B:J,9,0)</f>
        <v>#N/A</v>
      </c>
      <c r="I1067" s="120" t="e">
        <f>VLOOKUP(B1067,'All Menu'!B:M,12,0)</f>
        <v>#N/A</v>
      </c>
      <c r="J1067" s="114" t="e">
        <f t="shared" si="83"/>
        <v>#N/A</v>
      </c>
      <c r="K1067" s="117" t="e">
        <f t="shared" si="84"/>
        <v>#N/A</v>
      </c>
      <c r="L1067" s="118" t="e">
        <f>VLOOKUP(B1067,'All Menu'!B:G,6,0)</f>
        <v>#N/A</v>
      </c>
      <c r="M1067" s="118" t="e">
        <f t="shared" si="85"/>
        <v>#DIV/0!</v>
      </c>
      <c r="N1067" s="151" t="e">
        <f>VLOOKUP(B1067,'All Menu'!B:H,7,0)</f>
        <v>#N/A</v>
      </c>
    </row>
    <row r="1068" spans="1:14" ht="15.75" customHeight="1">
      <c r="A1068" s="156"/>
      <c r="D1068" s="115" t="e">
        <f>VLOOKUP(B1068,'All Menu'!B:D,3,0)</f>
        <v>#N/A</v>
      </c>
      <c r="E1068" s="116" t="e">
        <f t="shared" si="86"/>
        <v>#DIV/0!</v>
      </c>
      <c r="H1068" s="115" t="e">
        <f>VLOOKUP(B1068,'All Menu'!B:J,9,0)</f>
        <v>#N/A</v>
      </c>
      <c r="I1068" s="120" t="e">
        <f>VLOOKUP(B1068,'All Menu'!B:M,12,0)</f>
        <v>#N/A</v>
      </c>
      <c r="J1068" s="114" t="e">
        <f t="shared" si="83"/>
        <v>#N/A</v>
      </c>
      <c r="K1068" s="117" t="e">
        <f t="shared" si="84"/>
        <v>#N/A</v>
      </c>
      <c r="L1068" s="118" t="e">
        <f>VLOOKUP(B1068,'All Menu'!B:G,6,0)</f>
        <v>#N/A</v>
      </c>
      <c r="M1068" s="118" t="e">
        <f t="shared" si="85"/>
        <v>#DIV/0!</v>
      </c>
      <c r="N1068" s="151" t="e">
        <f>VLOOKUP(B1068,'All Menu'!B:H,7,0)</f>
        <v>#N/A</v>
      </c>
    </row>
    <row r="1069" spans="1:14" ht="15.75" customHeight="1">
      <c r="A1069" s="156"/>
      <c r="D1069" s="115" t="e">
        <f>VLOOKUP(B1069,'All Menu'!B:D,3,0)</f>
        <v>#N/A</v>
      </c>
      <c r="E1069" s="116" t="e">
        <f t="shared" si="86"/>
        <v>#DIV/0!</v>
      </c>
      <c r="H1069" s="115" t="e">
        <f>VLOOKUP(B1069,'All Menu'!B:J,9,0)</f>
        <v>#N/A</v>
      </c>
      <c r="I1069" s="120" t="e">
        <f>VLOOKUP(B1069,'All Menu'!B:M,12,0)</f>
        <v>#N/A</v>
      </c>
      <c r="J1069" s="114" t="e">
        <f t="shared" si="83"/>
        <v>#N/A</v>
      </c>
      <c r="K1069" s="117" t="e">
        <f t="shared" si="84"/>
        <v>#N/A</v>
      </c>
      <c r="L1069" s="118" t="e">
        <f>VLOOKUP(B1069,'All Menu'!B:G,6,0)</f>
        <v>#N/A</v>
      </c>
      <c r="M1069" s="118" t="e">
        <f t="shared" si="85"/>
        <v>#DIV/0!</v>
      </c>
      <c r="N1069" s="151" t="e">
        <f>VLOOKUP(B1069,'All Menu'!B:H,7,0)</f>
        <v>#N/A</v>
      </c>
    </row>
    <row r="1070" spans="1:14" ht="15.75" customHeight="1">
      <c r="A1070" s="156"/>
      <c r="D1070" s="115" t="e">
        <f>VLOOKUP(B1070,'All Menu'!B:D,3,0)</f>
        <v>#N/A</v>
      </c>
      <c r="E1070" s="116" t="e">
        <f t="shared" si="86"/>
        <v>#DIV/0!</v>
      </c>
      <c r="H1070" s="115" t="e">
        <f>VLOOKUP(B1070,'All Menu'!B:J,9,0)</f>
        <v>#N/A</v>
      </c>
      <c r="I1070" s="120" t="e">
        <f>VLOOKUP(B1070,'All Menu'!B:M,12,0)</f>
        <v>#N/A</v>
      </c>
      <c r="J1070" s="114" t="e">
        <f t="shared" si="83"/>
        <v>#N/A</v>
      </c>
      <c r="K1070" s="117" t="e">
        <f t="shared" si="84"/>
        <v>#N/A</v>
      </c>
      <c r="L1070" s="118" t="e">
        <f>VLOOKUP(B1070,'All Menu'!B:G,6,0)</f>
        <v>#N/A</v>
      </c>
      <c r="M1070" s="118" t="e">
        <f t="shared" si="85"/>
        <v>#DIV/0!</v>
      </c>
      <c r="N1070" s="151" t="e">
        <f>VLOOKUP(B1070,'All Menu'!B:H,7,0)</f>
        <v>#N/A</v>
      </c>
    </row>
    <row r="1071" spans="1:14" ht="15.75" customHeight="1">
      <c r="A1071" s="156"/>
      <c r="D1071" s="115" t="e">
        <f>VLOOKUP(B1071,'All Menu'!B:D,3,0)</f>
        <v>#N/A</v>
      </c>
      <c r="E1071" s="116" t="e">
        <f t="shared" si="86"/>
        <v>#DIV/0!</v>
      </c>
      <c r="H1071" s="115" t="e">
        <f>VLOOKUP(B1071,'All Menu'!B:J,9,0)</f>
        <v>#N/A</v>
      </c>
      <c r="I1071" s="120" t="e">
        <f>VLOOKUP(B1071,'All Menu'!B:M,12,0)</f>
        <v>#N/A</v>
      </c>
      <c r="J1071" s="114" t="e">
        <f t="shared" si="83"/>
        <v>#N/A</v>
      </c>
      <c r="K1071" s="117" t="e">
        <f t="shared" si="84"/>
        <v>#N/A</v>
      </c>
      <c r="L1071" s="118" t="e">
        <f>VLOOKUP(B1071,'All Menu'!B:G,6,0)</f>
        <v>#N/A</v>
      </c>
      <c r="M1071" s="118" t="e">
        <f t="shared" si="85"/>
        <v>#DIV/0!</v>
      </c>
      <c r="N1071" s="151" t="e">
        <f>VLOOKUP(B1071,'All Menu'!B:H,7,0)</f>
        <v>#N/A</v>
      </c>
    </row>
    <row r="1072" spans="1:14" ht="15.75" customHeight="1">
      <c r="A1072" s="156"/>
      <c r="D1072" s="115" t="e">
        <f>VLOOKUP(B1072,'All Menu'!B:D,3,0)</f>
        <v>#N/A</v>
      </c>
      <c r="E1072" s="116" t="e">
        <f t="shared" si="86"/>
        <v>#DIV/0!</v>
      </c>
      <c r="H1072" s="115" t="e">
        <f>VLOOKUP(B1072,'All Menu'!B:J,9,0)</f>
        <v>#N/A</v>
      </c>
      <c r="I1072" s="120" t="e">
        <f>VLOOKUP(B1072,'All Menu'!B:M,12,0)</f>
        <v>#N/A</v>
      </c>
      <c r="J1072" s="114" t="e">
        <f t="shared" si="83"/>
        <v>#N/A</v>
      </c>
      <c r="K1072" s="117" t="e">
        <f t="shared" si="84"/>
        <v>#N/A</v>
      </c>
      <c r="L1072" s="118" t="e">
        <f>VLOOKUP(B1072,'All Menu'!B:G,6,0)</f>
        <v>#N/A</v>
      </c>
      <c r="M1072" s="118" t="e">
        <f t="shared" si="85"/>
        <v>#DIV/0!</v>
      </c>
      <c r="N1072" s="151" t="e">
        <f>VLOOKUP(B1072,'All Menu'!B:H,7,0)</f>
        <v>#N/A</v>
      </c>
    </row>
    <row r="1073" spans="1:14" ht="15.75" customHeight="1">
      <c r="A1073" s="156"/>
      <c r="D1073" s="115" t="e">
        <f>VLOOKUP(B1073,'All Menu'!B:D,3,0)</f>
        <v>#N/A</v>
      </c>
      <c r="E1073" s="116" t="e">
        <f t="shared" si="86"/>
        <v>#DIV/0!</v>
      </c>
      <c r="H1073" s="115" t="e">
        <f>VLOOKUP(B1073,'All Menu'!B:J,9,0)</f>
        <v>#N/A</v>
      </c>
      <c r="I1073" s="120" t="e">
        <f>VLOOKUP(B1073,'All Menu'!B:M,12,0)</f>
        <v>#N/A</v>
      </c>
      <c r="J1073" s="114" t="e">
        <f t="shared" si="83"/>
        <v>#N/A</v>
      </c>
      <c r="K1073" s="117" t="e">
        <f t="shared" si="84"/>
        <v>#N/A</v>
      </c>
      <c r="L1073" s="118" t="e">
        <f>VLOOKUP(B1073,'All Menu'!B:G,6,0)</f>
        <v>#N/A</v>
      </c>
      <c r="M1073" s="118" t="e">
        <f t="shared" si="85"/>
        <v>#DIV/0!</v>
      </c>
      <c r="N1073" s="151" t="e">
        <f>VLOOKUP(B1073,'All Menu'!B:H,7,0)</f>
        <v>#N/A</v>
      </c>
    </row>
    <row r="1074" spans="1:14" ht="15.75" customHeight="1">
      <c r="A1074" s="156"/>
      <c r="D1074" s="115" t="e">
        <f>VLOOKUP(B1074,'All Menu'!B:D,3,0)</f>
        <v>#N/A</v>
      </c>
      <c r="E1074" s="116" t="e">
        <f t="shared" si="86"/>
        <v>#DIV/0!</v>
      </c>
      <c r="H1074" s="115" t="e">
        <f>VLOOKUP(B1074,'All Menu'!B:J,9,0)</f>
        <v>#N/A</v>
      </c>
      <c r="I1074" s="120" t="e">
        <f>VLOOKUP(B1074,'All Menu'!B:M,12,0)</f>
        <v>#N/A</v>
      </c>
      <c r="J1074" s="114" t="e">
        <f t="shared" si="83"/>
        <v>#N/A</v>
      </c>
      <c r="K1074" s="117" t="e">
        <f t="shared" si="84"/>
        <v>#N/A</v>
      </c>
      <c r="L1074" s="118" t="e">
        <f>VLOOKUP(B1074,'All Menu'!B:G,6,0)</f>
        <v>#N/A</v>
      </c>
      <c r="M1074" s="118" t="e">
        <f t="shared" si="85"/>
        <v>#DIV/0!</v>
      </c>
      <c r="N1074" s="151" t="e">
        <f>VLOOKUP(B1074,'All Menu'!B:H,7,0)</f>
        <v>#N/A</v>
      </c>
    </row>
    <row r="1075" spans="1:14" ht="15.75" customHeight="1">
      <c r="A1075" s="156"/>
      <c r="D1075" s="115" t="e">
        <f>VLOOKUP(B1075,'All Menu'!B:D,3,0)</f>
        <v>#N/A</v>
      </c>
      <c r="E1075" s="116" t="e">
        <f t="shared" si="86"/>
        <v>#DIV/0!</v>
      </c>
      <c r="H1075" s="115" t="e">
        <f>VLOOKUP(B1075,'All Menu'!B:J,9,0)</f>
        <v>#N/A</v>
      </c>
      <c r="I1075" s="120" t="e">
        <f>VLOOKUP(B1075,'All Menu'!B:M,12,0)</f>
        <v>#N/A</v>
      </c>
      <c r="J1075" s="114" t="e">
        <f t="shared" si="83"/>
        <v>#N/A</v>
      </c>
      <c r="K1075" s="117" t="e">
        <f t="shared" si="84"/>
        <v>#N/A</v>
      </c>
      <c r="L1075" s="118" t="e">
        <f>VLOOKUP(B1075,'All Menu'!B:G,6,0)</f>
        <v>#N/A</v>
      </c>
      <c r="M1075" s="118" t="e">
        <f t="shared" si="85"/>
        <v>#DIV/0!</v>
      </c>
      <c r="N1075" s="151" t="e">
        <f>VLOOKUP(B1075,'All Menu'!B:H,7,0)</f>
        <v>#N/A</v>
      </c>
    </row>
    <row r="1076" spans="1:14" ht="15.75" customHeight="1">
      <c r="A1076" s="156"/>
      <c r="D1076" s="115" t="e">
        <f>VLOOKUP(B1076,'All Menu'!B:D,3,0)</f>
        <v>#N/A</v>
      </c>
      <c r="E1076" s="116" t="e">
        <f t="shared" si="86"/>
        <v>#DIV/0!</v>
      </c>
      <c r="H1076" s="115" t="e">
        <f>VLOOKUP(B1076,'All Menu'!B:J,9,0)</f>
        <v>#N/A</v>
      </c>
      <c r="I1076" s="120" t="e">
        <f>VLOOKUP(B1076,'All Menu'!B:M,12,0)</f>
        <v>#N/A</v>
      </c>
      <c r="J1076" s="114" t="e">
        <f t="shared" si="83"/>
        <v>#N/A</v>
      </c>
      <c r="K1076" s="117" t="e">
        <f t="shared" si="84"/>
        <v>#N/A</v>
      </c>
      <c r="L1076" s="118" t="e">
        <f>VLOOKUP(B1076,'All Menu'!B:G,6,0)</f>
        <v>#N/A</v>
      </c>
      <c r="M1076" s="118" t="e">
        <f t="shared" si="85"/>
        <v>#DIV/0!</v>
      </c>
      <c r="N1076" s="151" t="e">
        <f>VLOOKUP(B1076,'All Menu'!B:H,7,0)</f>
        <v>#N/A</v>
      </c>
    </row>
    <row r="1077" spans="1:14" ht="15.75" customHeight="1">
      <c r="A1077" s="156"/>
      <c r="D1077" s="115" t="e">
        <f>VLOOKUP(B1077,'All Menu'!B:D,3,0)</f>
        <v>#N/A</v>
      </c>
      <c r="E1077" s="116" t="e">
        <f t="shared" si="86"/>
        <v>#DIV/0!</v>
      </c>
      <c r="H1077" s="115" t="e">
        <f>VLOOKUP(B1077,'All Menu'!B:J,9,0)</f>
        <v>#N/A</v>
      </c>
      <c r="I1077" s="120" t="e">
        <f>VLOOKUP(B1077,'All Menu'!B:M,12,0)</f>
        <v>#N/A</v>
      </c>
      <c r="J1077" s="114" t="e">
        <f t="shared" si="83"/>
        <v>#N/A</v>
      </c>
      <c r="K1077" s="117" t="e">
        <f t="shared" si="84"/>
        <v>#N/A</v>
      </c>
      <c r="L1077" s="118" t="e">
        <f>VLOOKUP(B1077,'All Menu'!B:G,6,0)</f>
        <v>#N/A</v>
      </c>
      <c r="M1077" s="118" t="e">
        <f t="shared" si="85"/>
        <v>#DIV/0!</v>
      </c>
      <c r="N1077" s="151" t="e">
        <f>VLOOKUP(B1077,'All Menu'!B:H,7,0)</f>
        <v>#N/A</v>
      </c>
    </row>
    <row r="1078" spans="1:14" ht="15.75" customHeight="1">
      <c r="A1078" s="156"/>
      <c r="D1078" s="115" t="e">
        <f>VLOOKUP(B1078,'All Menu'!B:D,3,0)</f>
        <v>#N/A</v>
      </c>
      <c r="E1078" s="116" t="e">
        <f t="shared" si="86"/>
        <v>#DIV/0!</v>
      </c>
      <c r="H1078" s="115" t="e">
        <f>VLOOKUP(B1078,'All Menu'!B:J,9,0)</f>
        <v>#N/A</v>
      </c>
      <c r="I1078" s="120" t="e">
        <f>VLOOKUP(B1078,'All Menu'!B:M,12,0)</f>
        <v>#N/A</v>
      </c>
      <c r="J1078" s="114" t="e">
        <f t="shared" si="83"/>
        <v>#N/A</v>
      </c>
      <c r="K1078" s="117" t="e">
        <f t="shared" si="84"/>
        <v>#N/A</v>
      </c>
      <c r="L1078" s="118" t="e">
        <f>VLOOKUP(B1078,'All Menu'!B:G,6,0)</f>
        <v>#N/A</v>
      </c>
      <c r="M1078" s="118" t="e">
        <f t="shared" si="85"/>
        <v>#DIV/0!</v>
      </c>
      <c r="N1078" s="151" t="e">
        <f>VLOOKUP(B1078,'All Menu'!B:H,7,0)</f>
        <v>#N/A</v>
      </c>
    </row>
    <row r="1079" spans="1:14" ht="15.75" customHeight="1">
      <c r="A1079" s="156"/>
      <c r="D1079" s="115" t="e">
        <f>VLOOKUP(B1079,'All Menu'!B:D,3,0)</f>
        <v>#N/A</v>
      </c>
      <c r="E1079" s="116" t="e">
        <f t="shared" si="86"/>
        <v>#DIV/0!</v>
      </c>
      <c r="H1079" s="115" t="e">
        <f>VLOOKUP(B1079,'All Menu'!B:J,9,0)</f>
        <v>#N/A</v>
      </c>
      <c r="I1079" s="120" t="e">
        <f>VLOOKUP(B1079,'All Menu'!B:M,12,0)</f>
        <v>#N/A</v>
      </c>
      <c r="J1079" s="114" t="e">
        <f t="shared" si="83"/>
        <v>#N/A</v>
      </c>
      <c r="K1079" s="117" t="e">
        <f t="shared" si="84"/>
        <v>#N/A</v>
      </c>
      <c r="L1079" s="118" t="e">
        <f>VLOOKUP(B1079,'All Menu'!B:G,6,0)</f>
        <v>#N/A</v>
      </c>
      <c r="M1079" s="118" t="e">
        <f t="shared" si="85"/>
        <v>#DIV/0!</v>
      </c>
      <c r="N1079" s="151" t="e">
        <f>VLOOKUP(B1079,'All Menu'!B:H,7,0)</f>
        <v>#N/A</v>
      </c>
    </row>
    <row r="1080" spans="1:14" ht="15.75" customHeight="1">
      <c r="A1080" s="156"/>
      <c r="D1080" s="115" t="e">
        <f>VLOOKUP(B1080,'All Menu'!B:D,3,0)</f>
        <v>#N/A</v>
      </c>
      <c r="E1080" s="116" t="e">
        <f t="shared" si="86"/>
        <v>#DIV/0!</v>
      </c>
      <c r="H1080" s="115" t="e">
        <f>VLOOKUP(B1080,'All Menu'!B:J,9,0)</f>
        <v>#N/A</v>
      </c>
      <c r="I1080" s="120" t="e">
        <f>VLOOKUP(B1080,'All Menu'!B:M,12,0)</f>
        <v>#N/A</v>
      </c>
      <c r="J1080" s="114" t="e">
        <f t="shared" si="83"/>
        <v>#N/A</v>
      </c>
      <c r="K1080" s="117" t="e">
        <f t="shared" si="84"/>
        <v>#N/A</v>
      </c>
      <c r="L1080" s="118" t="e">
        <f>VLOOKUP(B1080,'All Menu'!B:G,6,0)</f>
        <v>#N/A</v>
      </c>
      <c r="M1080" s="118" t="e">
        <f t="shared" si="85"/>
        <v>#DIV/0!</v>
      </c>
      <c r="N1080" s="151" t="e">
        <f>VLOOKUP(B1080,'All Menu'!B:H,7,0)</f>
        <v>#N/A</v>
      </c>
    </row>
    <row r="1081" spans="1:14" ht="15.75" customHeight="1">
      <c r="A1081" s="156"/>
      <c r="D1081" s="115" t="e">
        <f>VLOOKUP(B1081,'All Menu'!B:D,3,0)</f>
        <v>#N/A</v>
      </c>
      <c r="E1081" s="116" t="e">
        <f t="shared" si="86"/>
        <v>#DIV/0!</v>
      </c>
      <c r="H1081" s="115" t="e">
        <f>VLOOKUP(B1081,'All Menu'!B:J,9,0)</f>
        <v>#N/A</v>
      </c>
      <c r="I1081" s="120" t="e">
        <f>VLOOKUP(B1081,'All Menu'!B:M,12,0)</f>
        <v>#N/A</v>
      </c>
      <c r="J1081" s="114" t="e">
        <f t="shared" si="83"/>
        <v>#N/A</v>
      </c>
      <c r="K1081" s="117" t="e">
        <f t="shared" si="84"/>
        <v>#N/A</v>
      </c>
      <c r="L1081" s="118" t="e">
        <f>VLOOKUP(B1081,'All Menu'!B:G,6,0)</f>
        <v>#N/A</v>
      </c>
      <c r="M1081" s="118" t="e">
        <f t="shared" si="85"/>
        <v>#DIV/0!</v>
      </c>
      <c r="N1081" s="151" t="e">
        <f>VLOOKUP(B1081,'All Menu'!B:H,7,0)</f>
        <v>#N/A</v>
      </c>
    </row>
    <row r="1082" spans="1:14" ht="15.75" customHeight="1">
      <c r="A1082" s="156"/>
      <c r="D1082" s="115" t="e">
        <f>VLOOKUP(B1082,'All Menu'!B:D,3,0)</f>
        <v>#N/A</v>
      </c>
      <c r="E1082" s="116" t="e">
        <f t="shared" si="86"/>
        <v>#DIV/0!</v>
      </c>
      <c r="H1082" s="115" t="e">
        <f>VLOOKUP(B1082,'All Menu'!B:J,9,0)</f>
        <v>#N/A</v>
      </c>
      <c r="I1082" s="120" t="e">
        <f>VLOOKUP(B1082,'All Menu'!B:M,12,0)</f>
        <v>#N/A</v>
      </c>
      <c r="J1082" s="114" t="e">
        <f t="shared" si="83"/>
        <v>#N/A</v>
      </c>
      <c r="K1082" s="117" t="e">
        <f t="shared" si="84"/>
        <v>#N/A</v>
      </c>
      <c r="L1082" s="118" t="e">
        <f>VLOOKUP(B1082,'All Menu'!B:G,6,0)</f>
        <v>#N/A</v>
      </c>
      <c r="M1082" s="118" t="e">
        <f t="shared" si="85"/>
        <v>#DIV/0!</v>
      </c>
      <c r="N1082" s="151" t="e">
        <f>VLOOKUP(B1082,'All Menu'!B:H,7,0)</f>
        <v>#N/A</v>
      </c>
    </row>
    <row r="1083" spans="1:14" ht="15.75" customHeight="1">
      <c r="A1083" s="156"/>
      <c r="D1083" s="115" t="e">
        <f>VLOOKUP(B1083,'All Menu'!B:D,3,0)</f>
        <v>#N/A</v>
      </c>
      <c r="E1083" s="116" t="e">
        <f t="shared" si="86"/>
        <v>#DIV/0!</v>
      </c>
      <c r="H1083" s="115" t="e">
        <f>VLOOKUP(B1083,'All Menu'!B:J,9,0)</f>
        <v>#N/A</v>
      </c>
      <c r="I1083" s="120" t="e">
        <f>VLOOKUP(B1083,'All Menu'!B:M,12,0)</f>
        <v>#N/A</v>
      </c>
      <c r="J1083" s="114" t="e">
        <f t="shared" si="83"/>
        <v>#N/A</v>
      </c>
      <c r="K1083" s="117" t="e">
        <f t="shared" si="84"/>
        <v>#N/A</v>
      </c>
      <c r="L1083" s="118" t="e">
        <f>VLOOKUP(B1083,'All Menu'!B:G,6,0)</f>
        <v>#N/A</v>
      </c>
      <c r="M1083" s="118" t="e">
        <f t="shared" si="85"/>
        <v>#DIV/0!</v>
      </c>
      <c r="N1083" s="151" t="e">
        <f>VLOOKUP(B1083,'All Menu'!B:H,7,0)</f>
        <v>#N/A</v>
      </c>
    </row>
    <row r="1084" spans="1:14" ht="15.75" customHeight="1">
      <c r="A1084" s="156"/>
      <c r="D1084" s="115" t="e">
        <f>VLOOKUP(B1084,'All Menu'!B:D,3,0)</f>
        <v>#N/A</v>
      </c>
      <c r="E1084" s="116" t="e">
        <f t="shared" si="86"/>
        <v>#DIV/0!</v>
      </c>
      <c r="H1084" s="115" t="e">
        <f>VLOOKUP(B1084,'All Menu'!B:J,9,0)</f>
        <v>#N/A</v>
      </c>
      <c r="I1084" s="120" t="e">
        <f>VLOOKUP(B1084,'All Menu'!B:M,12,0)</f>
        <v>#N/A</v>
      </c>
      <c r="J1084" s="114" t="e">
        <f t="shared" si="83"/>
        <v>#N/A</v>
      </c>
      <c r="K1084" s="117" t="e">
        <f t="shared" si="84"/>
        <v>#N/A</v>
      </c>
      <c r="L1084" s="118" t="e">
        <f>VLOOKUP(B1084,'All Menu'!B:G,6,0)</f>
        <v>#N/A</v>
      </c>
      <c r="M1084" s="118" t="e">
        <f t="shared" si="85"/>
        <v>#DIV/0!</v>
      </c>
      <c r="N1084" s="151" t="e">
        <f>VLOOKUP(B1084,'All Menu'!B:H,7,0)</f>
        <v>#N/A</v>
      </c>
    </row>
    <row r="1085" spans="1:14" ht="15.75" customHeight="1">
      <c r="A1085" s="156"/>
      <c r="D1085" s="115" t="e">
        <f>VLOOKUP(B1085,'All Menu'!B:D,3,0)</f>
        <v>#N/A</v>
      </c>
      <c r="E1085" s="116" t="e">
        <f t="shared" si="86"/>
        <v>#DIV/0!</v>
      </c>
      <c r="H1085" s="115" t="e">
        <f>VLOOKUP(B1085,'All Menu'!B:J,9,0)</f>
        <v>#N/A</v>
      </c>
      <c r="I1085" s="120" t="e">
        <f>VLOOKUP(B1085,'All Menu'!B:M,12,0)</f>
        <v>#N/A</v>
      </c>
      <c r="J1085" s="114" t="e">
        <f t="shared" si="83"/>
        <v>#N/A</v>
      </c>
      <c r="K1085" s="117" t="e">
        <f t="shared" si="84"/>
        <v>#N/A</v>
      </c>
      <c r="L1085" s="118" t="e">
        <f>VLOOKUP(B1085,'All Menu'!B:G,6,0)</f>
        <v>#N/A</v>
      </c>
      <c r="M1085" s="118" t="e">
        <f t="shared" si="85"/>
        <v>#DIV/0!</v>
      </c>
      <c r="N1085" s="151" t="e">
        <f>VLOOKUP(B1085,'All Menu'!B:H,7,0)</f>
        <v>#N/A</v>
      </c>
    </row>
    <row r="1086" spans="1:14" ht="15.75" customHeight="1">
      <c r="A1086" s="156"/>
      <c r="D1086" s="115" t="e">
        <f>VLOOKUP(B1086,'All Menu'!B:D,3,0)</f>
        <v>#N/A</v>
      </c>
      <c r="E1086" s="116" t="e">
        <f t="shared" si="86"/>
        <v>#DIV/0!</v>
      </c>
      <c r="H1086" s="115" t="e">
        <f>VLOOKUP(B1086,'All Menu'!B:J,9,0)</f>
        <v>#N/A</v>
      </c>
      <c r="I1086" s="120" t="e">
        <f>VLOOKUP(B1086,'All Menu'!B:M,12,0)</f>
        <v>#N/A</v>
      </c>
      <c r="J1086" s="114" t="e">
        <f t="shared" si="83"/>
        <v>#N/A</v>
      </c>
      <c r="K1086" s="117" t="e">
        <f t="shared" si="84"/>
        <v>#N/A</v>
      </c>
      <c r="L1086" s="118" t="e">
        <f>VLOOKUP(B1086,'All Menu'!B:G,6,0)</f>
        <v>#N/A</v>
      </c>
      <c r="M1086" s="118" t="e">
        <f t="shared" si="85"/>
        <v>#DIV/0!</v>
      </c>
      <c r="N1086" s="151" t="e">
        <f>VLOOKUP(B1086,'All Menu'!B:H,7,0)</f>
        <v>#N/A</v>
      </c>
    </row>
    <row r="1087" spans="1:14" ht="15.75" customHeight="1">
      <c r="A1087" s="156"/>
      <c r="D1087" s="115" t="e">
        <f>VLOOKUP(B1087,'All Menu'!B:D,3,0)</f>
        <v>#N/A</v>
      </c>
      <c r="E1087" s="116" t="e">
        <f t="shared" si="86"/>
        <v>#DIV/0!</v>
      </c>
      <c r="H1087" s="115" t="e">
        <f>VLOOKUP(B1087,'All Menu'!B:J,9,0)</f>
        <v>#N/A</v>
      </c>
      <c r="I1087" s="120" t="e">
        <f>VLOOKUP(B1087,'All Menu'!B:M,12,0)</f>
        <v>#N/A</v>
      </c>
      <c r="J1087" s="114" t="e">
        <f t="shared" si="83"/>
        <v>#N/A</v>
      </c>
      <c r="K1087" s="117" t="e">
        <f t="shared" si="84"/>
        <v>#N/A</v>
      </c>
      <c r="L1087" s="118" t="e">
        <f>VLOOKUP(B1087,'All Menu'!B:G,6,0)</f>
        <v>#N/A</v>
      </c>
      <c r="M1087" s="118" t="e">
        <f t="shared" si="85"/>
        <v>#DIV/0!</v>
      </c>
      <c r="N1087" s="151" t="e">
        <f>VLOOKUP(B1087,'All Menu'!B:H,7,0)</f>
        <v>#N/A</v>
      </c>
    </row>
    <row r="1088" spans="1:14" ht="15.75" customHeight="1">
      <c r="A1088" s="156"/>
      <c r="D1088" s="115" t="e">
        <f>VLOOKUP(B1088,'All Menu'!B:D,3,0)</f>
        <v>#N/A</v>
      </c>
      <c r="E1088" s="116" t="e">
        <f t="shared" si="86"/>
        <v>#DIV/0!</v>
      </c>
      <c r="H1088" s="115" t="e">
        <f>VLOOKUP(B1088,'All Menu'!B:J,9,0)</f>
        <v>#N/A</v>
      </c>
      <c r="I1088" s="120" t="e">
        <f>VLOOKUP(B1088,'All Menu'!B:M,12,0)</f>
        <v>#N/A</v>
      </c>
      <c r="J1088" s="114" t="e">
        <f t="shared" si="83"/>
        <v>#N/A</v>
      </c>
      <c r="K1088" s="117" t="e">
        <f t="shared" si="84"/>
        <v>#N/A</v>
      </c>
      <c r="L1088" s="118" t="e">
        <f>VLOOKUP(B1088,'All Menu'!B:G,6,0)</f>
        <v>#N/A</v>
      </c>
      <c r="M1088" s="118" t="e">
        <f t="shared" si="85"/>
        <v>#DIV/0!</v>
      </c>
      <c r="N1088" s="151" t="e">
        <f>VLOOKUP(B1088,'All Menu'!B:H,7,0)</f>
        <v>#N/A</v>
      </c>
    </row>
    <row r="1089" spans="1:14" ht="15.75" customHeight="1">
      <c r="A1089" s="156"/>
      <c r="D1089" s="115" t="e">
        <f>VLOOKUP(B1089,'All Menu'!B:D,3,0)</f>
        <v>#N/A</v>
      </c>
      <c r="E1089" s="116" t="e">
        <f t="shared" si="86"/>
        <v>#DIV/0!</v>
      </c>
      <c r="H1089" s="115" t="e">
        <f>VLOOKUP(B1089,'All Menu'!B:J,9,0)</f>
        <v>#N/A</v>
      </c>
      <c r="I1089" s="120" t="e">
        <f>VLOOKUP(B1089,'All Menu'!B:M,12,0)</f>
        <v>#N/A</v>
      </c>
      <c r="J1089" s="114" t="e">
        <f t="shared" si="83"/>
        <v>#N/A</v>
      </c>
      <c r="K1089" s="117" t="e">
        <f t="shared" si="84"/>
        <v>#N/A</v>
      </c>
      <c r="L1089" s="118" t="e">
        <f>VLOOKUP(B1089,'All Menu'!B:G,6,0)</f>
        <v>#N/A</v>
      </c>
      <c r="M1089" s="118" t="e">
        <f t="shared" si="85"/>
        <v>#DIV/0!</v>
      </c>
      <c r="N1089" s="151" t="e">
        <f>VLOOKUP(B1089,'All Menu'!B:H,7,0)</f>
        <v>#N/A</v>
      </c>
    </row>
    <row r="1090" spans="1:14" ht="15.75" customHeight="1">
      <c r="A1090" s="156"/>
      <c r="D1090" s="115" t="e">
        <f>VLOOKUP(B1090,'All Menu'!B:D,3,0)</f>
        <v>#N/A</v>
      </c>
      <c r="E1090" s="116" t="e">
        <f t="shared" si="86"/>
        <v>#DIV/0!</v>
      </c>
      <c r="H1090" s="115" t="e">
        <f>VLOOKUP(B1090,'All Menu'!B:J,9,0)</f>
        <v>#N/A</v>
      </c>
      <c r="I1090" s="120" t="e">
        <f>VLOOKUP(B1090,'All Menu'!B:M,12,0)</f>
        <v>#N/A</v>
      </c>
      <c r="J1090" s="114" t="e">
        <f t="shared" si="83"/>
        <v>#N/A</v>
      </c>
      <c r="K1090" s="117" t="e">
        <f t="shared" si="84"/>
        <v>#N/A</v>
      </c>
      <c r="L1090" s="118" t="e">
        <f>VLOOKUP(B1090,'All Menu'!B:G,6,0)</f>
        <v>#N/A</v>
      </c>
      <c r="M1090" s="118" t="e">
        <f t="shared" si="85"/>
        <v>#DIV/0!</v>
      </c>
      <c r="N1090" s="151" t="e">
        <f>VLOOKUP(B1090,'All Menu'!B:H,7,0)</f>
        <v>#N/A</v>
      </c>
    </row>
    <row r="1091" spans="1:14" ht="15.75" customHeight="1">
      <c r="A1091" s="156"/>
      <c r="D1091" s="115" t="e">
        <f>VLOOKUP(B1091,'All Menu'!B:D,3,0)</f>
        <v>#N/A</v>
      </c>
      <c r="E1091" s="116" t="e">
        <f t="shared" si="86"/>
        <v>#DIV/0!</v>
      </c>
      <c r="H1091" s="115" t="e">
        <f>VLOOKUP(B1091,'All Menu'!B:J,9,0)</f>
        <v>#N/A</v>
      </c>
      <c r="I1091" s="120" t="e">
        <f>VLOOKUP(B1091,'All Menu'!B:M,12,0)</f>
        <v>#N/A</v>
      </c>
      <c r="J1091" s="114" t="e">
        <f t="shared" si="83"/>
        <v>#N/A</v>
      </c>
      <c r="K1091" s="117" t="e">
        <f t="shared" si="84"/>
        <v>#N/A</v>
      </c>
      <c r="L1091" s="118" t="e">
        <f>VLOOKUP(B1091,'All Menu'!B:G,6,0)</f>
        <v>#N/A</v>
      </c>
      <c r="M1091" s="118" t="e">
        <f t="shared" si="85"/>
        <v>#DIV/0!</v>
      </c>
      <c r="N1091" s="151" t="e">
        <f>VLOOKUP(B1091,'All Menu'!B:H,7,0)</f>
        <v>#N/A</v>
      </c>
    </row>
    <row r="1092" spans="1:14" ht="15.75" customHeight="1">
      <c r="A1092" s="156"/>
      <c r="D1092" s="115" t="e">
        <f>VLOOKUP(B1092,'All Menu'!B:D,3,0)</f>
        <v>#N/A</v>
      </c>
      <c r="E1092" s="116" t="e">
        <f t="shared" si="86"/>
        <v>#DIV/0!</v>
      </c>
      <c r="H1092" s="115" t="e">
        <f>VLOOKUP(B1092,'All Menu'!B:J,9,0)</f>
        <v>#N/A</v>
      </c>
      <c r="I1092" s="120" t="e">
        <f>VLOOKUP(B1092,'All Menu'!B:M,12,0)</f>
        <v>#N/A</v>
      </c>
      <c r="J1092" s="114" t="e">
        <f t="shared" si="83"/>
        <v>#N/A</v>
      </c>
      <c r="K1092" s="117" t="e">
        <f t="shared" si="84"/>
        <v>#N/A</v>
      </c>
      <c r="L1092" s="118" t="e">
        <f>VLOOKUP(B1092,'All Menu'!B:G,6,0)</f>
        <v>#N/A</v>
      </c>
      <c r="M1092" s="118" t="e">
        <f t="shared" si="85"/>
        <v>#DIV/0!</v>
      </c>
      <c r="N1092" s="151" t="e">
        <f>VLOOKUP(B1092,'All Menu'!B:H,7,0)</f>
        <v>#N/A</v>
      </c>
    </row>
    <row r="1093" spans="1:14" ht="15.75" customHeight="1">
      <c r="A1093" s="156"/>
      <c r="D1093" s="115" t="e">
        <f>VLOOKUP(B1093,'All Menu'!B:D,3,0)</f>
        <v>#N/A</v>
      </c>
      <c r="E1093" s="116" t="e">
        <f t="shared" si="86"/>
        <v>#DIV/0!</v>
      </c>
      <c r="H1093" s="115" t="e">
        <f>VLOOKUP(B1093,'All Menu'!B:J,9,0)</f>
        <v>#N/A</v>
      </c>
      <c r="I1093" s="120" t="e">
        <f>VLOOKUP(B1093,'All Menu'!B:M,12,0)</f>
        <v>#N/A</v>
      </c>
      <c r="J1093" s="114" t="e">
        <f t="shared" si="83"/>
        <v>#N/A</v>
      </c>
      <c r="K1093" s="117" t="e">
        <f t="shared" si="84"/>
        <v>#N/A</v>
      </c>
      <c r="L1093" s="118" t="e">
        <f>VLOOKUP(B1093,'All Menu'!B:G,6,0)</f>
        <v>#N/A</v>
      </c>
      <c r="M1093" s="118" t="e">
        <f t="shared" si="85"/>
        <v>#DIV/0!</v>
      </c>
      <c r="N1093" s="151" t="e">
        <f>VLOOKUP(B1093,'All Menu'!B:H,7,0)</f>
        <v>#N/A</v>
      </c>
    </row>
    <row r="1094" spans="1:14" ht="15.75" customHeight="1">
      <c r="A1094" s="156"/>
      <c r="D1094" s="115" t="e">
        <f>VLOOKUP(B1094,'All Menu'!B:D,3,0)</f>
        <v>#N/A</v>
      </c>
      <c r="E1094" s="116" t="e">
        <f t="shared" si="86"/>
        <v>#DIV/0!</v>
      </c>
      <c r="H1094" s="115" t="e">
        <f>VLOOKUP(B1094,'All Menu'!B:J,9,0)</f>
        <v>#N/A</v>
      </c>
      <c r="I1094" s="120" t="e">
        <f>VLOOKUP(B1094,'All Menu'!B:M,12,0)</f>
        <v>#N/A</v>
      </c>
      <c r="J1094" s="114" t="e">
        <f t="shared" si="83"/>
        <v>#N/A</v>
      </c>
      <c r="K1094" s="117" t="e">
        <f t="shared" si="84"/>
        <v>#N/A</v>
      </c>
      <c r="L1094" s="118" t="e">
        <f>VLOOKUP(B1094,'All Menu'!B:G,6,0)</f>
        <v>#N/A</v>
      </c>
      <c r="M1094" s="118" t="e">
        <f t="shared" si="85"/>
        <v>#DIV/0!</v>
      </c>
      <c r="N1094" s="151" t="e">
        <f>VLOOKUP(B1094,'All Menu'!B:H,7,0)</f>
        <v>#N/A</v>
      </c>
    </row>
    <row r="1095" spans="1:14" ht="15.75" customHeight="1">
      <c r="A1095" s="156"/>
      <c r="D1095" s="115" t="e">
        <f>VLOOKUP(B1095,'All Menu'!B:D,3,0)</f>
        <v>#N/A</v>
      </c>
      <c r="E1095" s="116" t="e">
        <f t="shared" si="86"/>
        <v>#DIV/0!</v>
      </c>
      <c r="H1095" s="115" t="e">
        <f>VLOOKUP(B1095,'All Menu'!B:J,9,0)</f>
        <v>#N/A</v>
      </c>
      <c r="I1095" s="120" t="e">
        <f>VLOOKUP(B1095,'All Menu'!B:M,12,0)</f>
        <v>#N/A</v>
      </c>
      <c r="J1095" s="114" t="e">
        <f t="shared" si="83"/>
        <v>#N/A</v>
      </c>
      <c r="K1095" s="117" t="e">
        <f t="shared" si="84"/>
        <v>#N/A</v>
      </c>
      <c r="L1095" s="118" t="e">
        <f>VLOOKUP(B1095,'All Menu'!B:G,6,0)</f>
        <v>#N/A</v>
      </c>
      <c r="M1095" s="118" t="e">
        <f t="shared" si="85"/>
        <v>#DIV/0!</v>
      </c>
      <c r="N1095" s="151" t="e">
        <f>VLOOKUP(B1095,'All Menu'!B:H,7,0)</f>
        <v>#N/A</v>
      </c>
    </row>
    <row r="1096" spans="1:14" ht="15.75" customHeight="1">
      <c r="A1096" s="156"/>
      <c r="D1096" s="115" t="e">
        <f>VLOOKUP(B1096,'All Menu'!B:D,3,0)</f>
        <v>#N/A</v>
      </c>
      <c r="E1096" s="116" t="e">
        <f t="shared" si="86"/>
        <v>#DIV/0!</v>
      </c>
      <c r="H1096" s="115" t="e">
        <f>VLOOKUP(B1096,'All Menu'!B:J,9,0)</f>
        <v>#N/A</v>
      </c>
      <c r="I1096" s="120" t="e">
        <f>VLOOKUP(B1096,'All Menu'!B:M,12,0)</f>
        <v>#N/A</v>
      </c>
      <c r="J1096" s="114" t="e">
        <f t="shared" si="83"/>
        <v>#N/A</v>
      </c>
      <c r="K1096" s="117" t="e">
        <f t="shared" si="84"/>
        <v>#N/A</v>
      </c>
      <c r="L1096" s="118" t="e">
        <f>VLOOKUP(B1096,'All Menu'!B:G,6,0)</f>
        <v>#N/A</v>
      </c>
      <c r="M1096" s="118" t="e">
        <f t="shared" si="85"/>
        <v>#DIV/0!</v>
      </c>
      <c r="N1096" s="151" t="e">
        <f>VLOOKUP(B1096,'All Menu'!B:H,7,0)</f>
        <v>#N/A</v>
      </c>
    </row>
    <row r="1097" spans="1:14" ht="15.75" customHeight="1">
      <c r="A1097" s="156"/>
      <c r="D1097" s="115" t="e">
        <f>VLOOKUP(B1097,'All Menu'!B:D,3,0)</f>
        <v>#N/A</v>
      </c>
      <c r="E1097" s="116" t="e">
        <f t="shared" si="86"/>
        <v>#DIV/0!</v>
      </c>
      <c r="H1097" s="115" t="e">
        <f>VLOOKUP(B1097,'All Menu'!B:J,9,0)</f>
        <v>#N/A</v>
      </c>
      <c r="I1097" s="120" t="e">
        <f>VLOOKUP(B1097,'All Menu'!B:M,12,0)</f>
        <v>#N/A</v>
      </c>
      <c r="J1097" s="114" t="e">
        <f t="shared" si="83"/>
        <v>#N/A</v>
      </c>
      <c r="K1097" s="117" t="e">
        <f t="shared" si="84"/>
        <v>#N/A</v>
      </c>
      <c r="L1097" s="118" t="e">
        <f>VLOOKUP(B1097,'All Menu'!B:G,6,0)</f>
        <v>#N/A</v>
      </c>
      <c r="M1097" s="118" t="e">
        <f t="shared" si="85"/>
        <v>#DIV/0!</v>
      </c>
      <c r="N1097" s="151" t="e">
        <f>VLOOKUP(B1097,'All Menu'!B:H,7,0)</f>
        <v>#N/A</v>
      </c>
    </row>
    <row r="1098" spans="1:14" ht="15.75" customHeight="1">
      <c r="A1098" s="156"/>
      <c r="D1098" s="115" t="e">
        <f>VLOOKUP(B1098,'All Menu'!B:D,3,0)</f>
        <v>#N/A</v>
      </c>
      <c r="E1098" s="116" t="e">
        <f t="shared" si="86"/>
        <v>#DIV/0!</v>
      </c>
      <c r="H1098" s="115" t="e">
        <f>VLOOKUP(B1098,'All Menu'!B:J,9,0)</f>
        <v>#N/A</v>
      </c>
      <c r="I1098" s="120" t="e">
        <f>VLOOKUP(B1098,'All Menu'!B:M,12,0)</f>
        <v>#N/A</v>
      </c>
      <c r="J1098" s="114" t="e">
        <f t="shared" si="83"/>
        <v>#N/A</v>
      </c>
      <c r="K1098" s="117" t="e">
        <f t="shared" si="84"/>
        <v>#N/A</v>
      </c>
      <c r="L1098" s="118" t="e">
        <f>VLOOKUP(B1098,'All Menu'!B:G,6,0)</f>
        <v>#N/A</v>
      </c>
      <c r="M1098" s="118" t="e">
        <f t="shared" si="85"/>
        <v>#DIV/0!</v>
      </c>
      <c r="N1098" s="151" t="e">
        <f>VLOOKUP(B1098,'All Menu'!B:H,7,0)</f>
        <v>#N/A</v>
      </c>
    </row>
    <row r="1099" spans="1:14" ht="15.75" customHeight="1">
      <c r="A1099" s="156"/>
      <c r="D1099" s="115" t="e">
        <f>VLOOKUP(B1099,'All Menu'!B:D,3,0)</f>
        <v>#N/A</v>
      </c>
      <c r="E1099" s="116" t="e">
        <f t="shared" si="86"/>
        <v>#DIV/0!</v>
      </c>
      <c r="H1099" s="115" t="e">
        <f>VLOOKUP(B1099,'All Menu'!B:J,9,0)</f>
        <v>#N/A</v>
      </c>
      <c r="I1099" s="120" t="e">
        <f>VLOOKUP(B1099,'All Menu'!B:M,12,0)</f>
        <v>#N/A</v>
      </c>
      <c r="J1099" s="114" t="e">
        <f t="shared" si="83"/>
        <v>#N/A</v>
      </c>
      <c r="K1099" s="117" t="e">
        <f t="shared" si="84"/>
        <v>#N/A</v>
      </c>
      <c r="L1099" s="118" t="e">
        <f>VLOOKUP(B1099,'All Menu'!B:G,6,0)</f>
        <v>#N/A</v>
      </c>
      <c r="M1099" s="118" t="e">
        <f t="shared" si="85"/>
        <v>#DIV/0!</v>
      </c>
      <c r="N1099" s="151" t="e">
        <f>VLOOKUP(B1099,'All Menu'!B:H,7,0)</f>
        <v>#N/A</v>
      </c>
    </row>
    <row r="1100" spans="1:14" ht="15.75" customHeight="1">
      <c r="A1100" s="156"/>
      <c r="D1100" s="115" t="e">
        <f>VLOOKUP(B1100,'All Menu'!B:D,3,0)</f>
        <v>#N/A</v>
      </c>
      <c r="E1100" s="116" t="e">
        <f t="shared" si="86"/>
        <v>#DIV/0!</v>
      </c>
      <c r="H1100" s="115" t="e">
        <f>VLOOKUP(B1100,'All Menu'!B:J,9,0)</f>
        <v>#N/A</v>
      </c>
      <c r="I1100" s="120" t="e">
        <f>VLOOKUP(B1100,'All Menu'!B:M,12,0)</f>
        <v>#N/A</v>
      </c>
      <c r="J1100" s="114" t="e">
        <f t="shared" si="83"/>
        <v>#N/A</v>
      </c>
      <c r="K1100" s="117" t="e">
        <f t="shared" si="84"/>
        <v>#N/A</v>
      </c>
      <c r="L1100" s="118" t="e">
        <f>VLOOKUP(B1100,'All Menu'!B:G,6,0)</f>
        <v>#N/A</v>
      </c>
      <c r="M1100" s="118" t="e">
        <f t="shared" si="85"/>
        <v>#DIV/0!</v>
      </c>
      <c r="N1100" s="151" t="e">
        <f>VLOOKUP(B1100,'All Menu'!B:H,7,0)</f>
        <v>#N/A</v>
      </c>
    </row>
    <row r="1101" spans="1:14" ht="15.75" customHeight="1">
      <c r="A1101" s="156"/>
      <c r="D1101" s="115" t="e">
        <f>VLOOKUP(B1101,'All Menu'!B:D,3,0)</f>
        <v>#N/A</v>
      </c>
      <c r="E1101" s="116" t="e">
        <f t="shared" si="86"/>
        <v>#DIV/0!</v>
      </c>
      <c r="H1101" s="115" t="e">
        <f>VLOOKUP(B1101,'All Menu'!B:J,9,0)</f>
        <v>#N/A</v>
      </c>
      <c r="I1101" s="120" t="e">
        <f>VLOOKUP(B1101,'All Menu'!B:M,12,0)</f>
        <v>#N/A</v>
      </c>
      <c r="J1101" s="114" t="e">
        <f t="shared" si="83"/>
        <v>#N/A</v>
      </c>
      <c r="K1101" s="117" t="e">
        <f t="shared" si="84"/>
        <v>#N/A</v>
      </c>
      <c r="L1101" s="118" t="e">
        <f>VLOOKUP(B1101,'All Menu'!B:G,6,0)</f>
        <v>#N/A</v>
      </c>
      <c r="M1101" s="118" t="e">
        <f t="shared" si="85"/>
        <v>#DIV/0!</v>
      </c>
      <c r="N1101" s="151" t="e">
        <f>VLOOKUP(B1101,'All Menu'!B:H,7,0)</f>
        <v>#N/A</v>
      </c>
    </row>
    <row r="1102" spans="1:14" ht="15.75" customHeight="1">
      <c r="A1102" s="156"/>
      <c r="D1102" s="115" t="e">
        <f>VLOOKUP(B1102,'All Menu'!B:D,3,0)</f>
        <v>#N/A</v>
      </c>
      <c r="E1102" s="116" t="e">
        <f t="shared" si="86"/>
        <v>#DIV/0!</v>
      </c>
      <c r="H1102" s="115" t="e">
        <f>VLOOKUP(B1102,'All Menu'!B:J,9,0)</f>
        <v>#N/A</v>
      </c>
      <c r="I1102" s="120" t="e">
        <f>VLOOKUP(B1102,'All Menu'!B:M,12,0)</f>
        <v>#N/A</v>
      </c>
      <c r="J1102" s="114" t="e">
        <f t="shared" si="83"/>
        <v>#N/A</v>
      </c>
      <c r="K1102" s="117" t="e">
        <f t="shared" si="84"/>
        <v>#N/A</v>
      </c>
      <c r="L1102" s="118" t="e">
        <f>VLOOKUP(B1102,'All Menu'!B:G,6,0)</f>
        <v>#N/A</v>
      </c>
      <c r="M1102" s="118" t="e">
        <f t="shared" si="85"/>
        <v>#DIV/0!</v>
      </c>
      <c r="N1102" s="151" t="e">
        <f>VLOOKUP(B1102,'All Menu'!B:H,7,0)</f>
        <v>#N/A</v>
      </c>
    </row>
    <row r="1103" spans="1:14" ht="15.75" customHeight="1">
      <c r="A1103" s="156"/>
      <c r="D1103" s="115" t="e">
        <f>VLOOKUP(B1103,'All Menu'!B:D,3,0)</f>
        <v>#N/A</v>
      </c>
      <c r="E1103" s="116" t="e">
        <f t="shared" si="86"/>
        <v>#DIV/0!</v>
      </c>
      <c r="H1103" s="115" t="e">
        <f>VLOOKUP(B1103,'All Menu'!B:J,9,0)</f>
        <v>#N/A</v>
      </c>
      <c r="I1103" s="120" t="e">
        <f>VLOOKUP(B1103,'All Menu'!B:M,12,0)</f>
        <v>#N/A</v>
      </c>
      <c r="J1103" s="114" t="e">
        <f t="shared" si="83"/>
        <v>#N/A</v>
      </c>
      <c r="K1103" s="117" t="e">
        <f t="shared" si="84"/>
        <v>#N/A</v>
      </c>
      <c r="L1103" s="118" t="e">
        <f>VLOOKUP(B1103,'All Menu'!B:G,6,0)</f>
        <v>#N/A</v>
      </c>
      <c r="M1103" s="118" t="e">
        <f t="shared" si="85"/>
        <v>#DIV/0!</v>
      </c>
      <c r="N1103" s="151" t="e">
        <f>VLOOKUP(B1103,'All Menu'!B:H,7,0)</f>
        <v>#N/A</v>
      </c>
    </row>
    <row r="1104" spans="1:14" ht="15.75" customHeight="1">
      <c r="A1104" s="156"/>
      <c r="D1104" s="115" t="e">
        <f>VLOOKUP(B1104,'All Menu'!B:D,3,0)</f>
        <v>#N/A</v>
      </c>
      <c r="E1104" s="116" t="e">
        <f t="shared" si="86"/>
        <v>#DIV/0!</v>
      </c>
      <c r="H1104" s="115" t="e">
        <f>VLOOKUP(B1104,'All Menu'!B:J,9,0)</f>
        <v>#N/A</v>
      </c>
      <c r="I1104" s="120" t="e">
        <f>VLOOKUP(B1104,'All Menu'!B:M,12,0)</f>
        <v>#N/A</v>
      </c>
      <c r="J1104" s="114" t="e">
        <f t="shared" si="83"/>
        <v>#N/A</v>
      </c>
      <c r="K1104" s="117" t="e">
        <f t="shared" si="84"/>
        <v>#N/A</v>
      </c>
      <c r="L1104" s="118" t="e">
        <f>VLOOKUP(B1104,'All Menu'!B:G,6,0)</f>
        <v>#N/A</v>
      </c>
      <c r="M1104" s="118" t="e">
        <f t="shared" si="85"/>
        <v>#DIV/0!</v>
      </c>
      <c r="N1104" s="151" t="e">
        <f>VLOOKUP(B1104,'All Menu'!B:H,7,0)</f>
        <v>#N/A</v>
      </c>
    </row>
    <row r="1105" spans="1:14" ht="15.75" customHeight="1">
      <c r="A1105" s="156"/>
      <c r="D1105" s="115" t="e">
        <f>VLOOKUP(B1105,'All Menu'!B:D,3,0)</f>
        <v>#N/A</v>
      </c>
      <c r="E1105" s="116" t="e">
        <f t="shared" si="86"/>
        <v>#DIV/0!</v>
      </c>
      <c r="H1105" s="115" t="e">
        <f>VLOOKUP(B1105,'All Menu'!B:J,9,0)</f>
        <v>#N/A</v>
      </c>
      <c r="I1105" s="120" t="e">
        <f>VLOOKUP(B1105,'All Menu'!B:M,12,0)</f>
        <v>#N/A</v>
      </c>
      <c r="J1105" s="114" t="e">
        <f t="shared" si="83"/>
        <v>#N/A</v>
      </c>
      <c r="K1105" s="117" t="e">
        <f t="shared" si="84"/>
        <v>#N/A</v>
      </c>
      <c r="L1105" s="118" t="e">
        <f>VLOOKUP(B1105,'All Menu'!B:G,6,0)</f>
        <v>#N/A</v>
      </c>
      <c r="M1105" s="118" t="e">
        <f t="shared" si="85"/>
        <v>#DIV/0!</v>
      </c>
      <c r="N1105" s="151" t="e">
        <f>VLOOKUP(B1105,'All Menu'!B:H,7,0)</f>
        <v>#N/A</v>
      </c>
    </row>
    <row r="1106" spans="1:14" ht="15.75" customHeight="1">
      <c r="A1106" s="156"/>
      <c r="D1106" s="115" t="e">
        <f>VLOOKUP(B1106,'All Menu'!B:D,3,0)</f>
        <v>#N/A</v>
      </c>
      <c r="E1106" s="116" t="e">
        <f t="shared" si="86"/>
        <v>#DIV/0!</v>
      </c>
      <c r="H1106" s="115" t="e">
        <f>VLOOKUP(B1106,'All Menu'!B:J,9,0)</f>
        <v>#N/A</v>
      </c>
      <c r="I1106" s="120" t="e">
        <f>VLOOKUP(B1106,'All Menu'!B:M,12,0)</f>
        <v>#N/A</v>
      </c>
      <c r="J1106" s="114" t="e">
        <f t="shared" si="83"/>
        <v>#N/A</v>
      </c>
      <c r="K1106" s="117" t="e">
        <f t="shared" si="84"/>
        <v>#N/A</v>
      </c>
      <c r="L1106" s="118" t="e">
        <f>VLOOKUP(B1106,'All Menu'!B:G,6,0)</f>
        <v>#N/A</v>
      </c>
      <c r="M1106" s="118" t="e">
        <f t="shared" si="85"/>
        <v>#DIV/0!</v>
      </c>
      <c r="N1106" s="151" t="e">
        <f>VLOOKUP(B1106,'All Menu'!B:H,7,0)</f>
        <v>#N/A</v>
      </c>
    </row>
    <row r="1107" spans="1:14" ht="15.75" customHeight="1">
      <c r="A1107" s="156"/>
      <c r="D1107" s="115" t="e">
        <f>VLOOKUP(B1107,'All Menu'!B:D,3,0)</f>
        <v>#N/A</v>
      </c>
      <c r="E1107" s="116" t="e">
        <f t="shared" si="86"/>
        <v>#DIV/0!</v>
      </c>
      <c r="H1107" s="115" t="e">
        <f>VLOOKUP(B1107,'All Menu'!B:J,9,0)</f>
        <v>#N/A</v>
      </c>
      <c r="I1107" s="120" t="e">
        <f>VLOOKUP(B1107,'All Menu'!B:M,12,0)</f>
        <v>#N/A</v>
      </c>
      <c r="J1107" s="114" t="e">
        <f t="shared" si="83"/>
        <v>#N/A</v>
      </c>
      <c r="K1107" s="117" t="e">
        <f t="shared" si="84"/>
        <v>#N/A</v>
      </c>
      <c r="L1107" s="118" t="e">
        <f>VLOOKUP(B1107,'All Menu'!B:G,6,0)</f>
        <v>#N/A</v>
      </c>
      <c r="M1107" s="118" t="e">
        <f t="shared" si="85"/>
        <v>#DIV/0!</v>
      </c>
      <c r="N1107" s="151" t="e">
        <f>VLOOKUP(B1107,'All Menu'!B:H,7,0)</f>
        <v>#N/A</v>
      </c>
    </row>
    <row r="1108" spans="1:14" ht="15.75" customHeight="1">
      <c r="A1108" s="156"/>
      <c r="D1108" s="115" t="e">
        <f>VLOOKUP(B1108,'All Menu'!B:D,3,0)</f>
        <v>#N/A</v>
      </c>
      <c r="E1108" s="116" t="e">
        <f t="shared" si="86"/>
        <v>#DIV/0!</v>
      </c>
      <c r="H1108" s="115" t="e">
        <f>VLOOKUP(B1108,'All Menu'!B:J,9,0)</f>
        <v>#N/A</v>
      </c>
      <c r="I1108" s="120" t="e">
        <f>VLOOKUP(B1108,'All Menu'!B:M,12,0)</f>
        <v>#N/A</v>
      </c>
      <c r="J1108" s="114" t="e">
        <f t="shared" si="83"/>
        <v>#N/A</v>
      </c>
      <c r="K1108" s="117" t="e">
        <f t="shared" si="84"/>
        <v>#N/A</v>
      </c>
      <c r="L1108" s="118" t="e">
        <f>VLOOKUP(B1108,'All Menu'!B:G,6,0)</f>
        <v>#N/A</v>
      </c>
      <c r="M1108" s="118" t="e">
        <f t="shared" si="85"/>
        <v>#DIV/0!</v>
      </c>
      <c r="N1108" s="151" t="e">
        <f>VLOOKUP(B1108,'All Menu'!B:H,7,0)</f>
        <v>#N/A</v>
      </c>
    </row>
    <row r="1109" spans="1:14" ht="15.75" customHeight="1">
      <c r="A1109" s="156"/>
      <c r="D1109" s="115" t="e">
        <f>VLOOKUP(B1109,'All Menu'!B:D,3,0)</f>
        <v>#N/A</v>
      </c>
      <c r="E1109" s="116" t="e">
        <f t="shared" si="86"/>
        <v>#DIV/0!</v>
      </c>
      <c r="H1109" s="115" t="e">
        <f>VLOOKUP(B1109,'All Menu'!B:J,9,0)</f>
        <v>#N/A</v>
      </c>
      <c r="I1109" s="120" t="e">
        <f>VLOOKUP(B1109,'All Menu'!B:M,12,0)</f>
        <v>#N/A</v>
      </c>
      <c r="J1109" s="114" t="e">
        <f t="shared" si="83"/>
        <v>#N/A</v>
      </c>
      <c r="K1109" s="117" t="e">
        <f t="shared" si="84"/>
        <v>#N/A</v>
      </c>
      <c r="L1109" s="118" t="e">
        <f>VLOOKUP(B1109,'All Menu'!B:G,6,0)</f>
        <v>#N/A</v>
      </c>
      <c r="M1109" s="118" t="e">
        <f t="shared" si="85"/>
        <v>#DIV/0!</v>
      </c>
      <c r="N1109" s="151" t="e">
        <f>VLOOKUP(B1109,'All Menu'!B:H,7,0)</f>
        <v>#N/A</v>
      </c>
    </row>
    <row r="1110" spans="1:14" ht="15.75" customHeight="1">
      <c r="A1110" s="156"/>
      <c r="D1110" s="115" t="e">
        <f>VLOOKUP(B1110,'All Menu'!B:D,3,0)</f>
        <v>#N/A</v>
      </c>
      <c r="E1110" s="116" t="e">
        <f t="shared" si="86"/>
        <v>#DIV/0!</v>
      </c>
      <c r="H1110" s="115" t="e">
        <f>VLOOKUP(B1110,'All Menu'!B:J,9,0)</f>
        <v>#N/A</v>
      </c>
      <c r="I1110" s="120" t="e">
        <f>VLOOKUP(B1110,'All Menu'!B:M,12,0)</f>
        <v>#N/A</v>
      </c>
      <c r="J1110" s="114" t="e">
        <f t="shared" si="83"/>
        <v>#N/A</v>
      </c>
      <c r="K1110" s="117" t="e">
        <f t="shared" si="84"/>
        <v>#N/A</v>
      </c>
      <c r="L1110" s="118" t="e">
        <f>VLOOKUP(B1110,'All Menu'!B:G,6,0)</f>
        <v>#N/A</v>
      </c>
      <c r="M1110" s="118" t="e">
        <f t="shared" si="85"/>
        <v>#DIV/0!</v>
      </c>
      <c r="N1110" s="151" t="e">
        <f>VLOOKUP(B1110,'All Menu'!B:H,7,0)</f>
        <v>#N/A</v>
      </c>
    </row>
    <row r="1111" spans="1:14" ht="15.75" customHeight="1">
      <c r="A1111" s="156"/>
      <c r="D1111" s="115" t="e">
        <f>VLOOKUP(B1111,'All Menu'!B:D,3,0)</f>
        <v>#N/A</v>
      </c>
      <c r="E1111" s="116" t="e">
        <f t="shared" si="86"/>
        <v>#DIV/0!</v>
      </c>
      <c r="H1111" s="115" t="e">
        <f>VLOOKUP(B1111,'All Menu'!B:J,9,0)</f>
        <v>#N/A</v>
      </c>
      <c r="I1111" s="120" t="e">
        <f>VLOOKUP(B1111,'All Menu'!B:M,12,0)</f>
        <v>#N/A</v>
      </c>
      <c r="J1111" s="114" t="e">
        <f t="shared" si="83"/>
        <v>#N/A</v>
      </c>
      <c r="K1111" s="117" t="e">
        <f t="shared" si="84"/>
        <v>#N/A</v>
      </c>
      <c r="L1111" s="118" t="e">
        <f>VLOOKUP(B1111,'All Menu'!B:G,6,0)</f>
        <v>#N/A</v>
      </c>
      <c r="M1111" s="118" t="e">
        <f t="shared" si="85"/>
        <v>#DIV/0!</v>
      </c>
      <c r="N1111" s="151" t="e">
        <f>VLOOKUP(B1111,'All Menu'!B:H,7,0)</f>
        <v>#N/A</v>
      </c>
    </row>
    <row r="1112" spans="1:14" ht="15.75" customHeight="1">
      <c r="A1112" s="156"/>
      <c r="D1112" s="115" t="e">
        <f>VLOOKUP(B1112,'All Menu'!B:D,3,0)</f>
        <v>#N/A</v>
      </c>
      <c r="E1112" s="116" t="e">
        <f t="shared" si="86"/>
        <v>#DIV/0!</v>
      </c>
      <c r="H1112" s="115" t="e">
        <f>VLOOKUP(B1112,'All Menu'!B:J,9,0)</f>
        <v>#N/A</v>
      </c>
      <c r="I1112" s="120" t="e">
        <f>VLOOKUP(B1112,'All Menu'!B:M,12,0)</f>
        <v>#N/A</v>
      </c>
      <c r="J1112" s="114" t="e">
        <f t="shared" si="83"/>
        <v>#N/A</v>
      </c>
      <c r="K1112" s="117" t="e">
        <f t="shared" si="84"/>
        <v>#N/A</v>
      </c>
      <c r="L1112" s="118" t="e">
        <f>VLOOKUP(B1112,'All Menu'!B:G,6,0)</f>
        <v>#N/A</v>
      </c>
      <c r="M1112" s="118" t="e">
        <f t="shared" si="85"/>
        <v>#DIV/0!</v>
      </c>
      <c r="N1112" s="151" t="e">
        <f>VLOOKUP(B1112,'All Menu'!B:H,7,0)</f>
        <v>#N/A</v>
      </c>
    </row>
    <row r="1113" spans="1:14" ht="15.75" customHeight="1">
      <c r="A1113" s="156"/>
      <c r="D1113" s="115" t="e">
        <f>VLOOKUP(B1113,'All Menu'!B:D,3,0)</f>
        <v>#N/A</v>
      </c>
      <c r="E1113" s="116" t="e">
        <f t="shared" si="86"/>
        <v>#DIV/0!</v>
      </c>
      <c r="H1113" s="115" t="e">
        <f>VLOOKUP(B1113,'All Menu'!B:J,9,0)</f>
        <v>#N/A</v>
      </c>
      <c r="I1113" s="120" t="e">
        <f>VLOOKUP(B1113,'All Menu'!B:M,12,0)</f>
        <v>#N/A</v>
      </c>
      <c r="J1113" s="114" t="e">
        <f t="shared" si="83"/>
        <v>#N/A</v>
      </c>
      <c r="K1113" s="117" t="e">
        <f t="shared" si="84"/>
        <v>#N/A</v>
      </c>
      <c r="L1113" s="118" t="e">
        <f>VLOOKUP(B1113,'All Menu'!B:G,6,0)</f>
        <v>#N/A</v>
      </c>
      <c r="M1113" s="118" t="e">
        <f t="shared" si="85"/>
        <v>#DIV/0!</v>
      </c>
      <c r="N1113" s="151" t="e">
        <f>VLOOKUP(B1113,'All Menu'!B:H,7,0)</f>
        <v>#N/A</v>
      </c>
    </row>
    <row r="1114" spans="1:14" ht="15.75" customHeight="1">
      <c r="A1114" s="156"/>
      <c r="D1114" s="115" t="e">
        <f>VLOOKUP(B1114,'All Menu'!B:D,3,0)</f>
        <v>#N/A</v>
      </c>
      <c r="E1114" s="116" t="e">
        <f t="shared" si="86"/>
        <v>#DIV/0!</v>
      </c>
      <c r="H1114" s="115" t="e">
        <f>VLOOKUP(B1114,'All Menu'!B:J,9,0)</f>
        <v>#N/A</v>
      </c>
      <c r="I1114" s="120" t="e">
        <f>VLOOKUP(B1114,'All Menu'!B:M,12,0)</f>
        <v>#N/A</v>
      </c>
      <c r="J1114" s="114" t="e">
        <f t="shared" si="83"/>
        <v>#N/A</v>
      </c>
      <c r="K1114" s="117" t="e">
        <f t="shared" si="84"/>
        <v>#N/A</v>
      </c>
      <c r="L1114" s="118" t="e">
        <f>VLOOKUP(B1114,'All Menu'!B:G,6,0)</f>
        <v>#N/A</v>
      </c>
      <c r="M1114" s="118" t="e">
        <f t="shared" si="85"/>
        <v>#DIV/0!</v>
      </c>
      <c r="N1114" s="151" t="e">
        <f>VLOOKUP(B1114,'All Menu'!B:H,7,0)</f>
        <v>#N/A</v>
      </c>
    </row>
    <row r="1115" spans="1:14" ht="15.75" customHeight="1">
      <c r="A1115" s="156"/>
      <c r="D1115" s="115" t="e">
        <f>VLOOKUP(B1115,'All Menu'!B:D,3,0)</f>
        <v>#N/A</v>
      </c>
      <c r="E1115" s="116" t="e">
        <f t="shared" si="86"/>
        <v>#DIV/0!</v>
      </c>
      <c r="H1115" s="115" t="e">
        <f>VLOOKUP(B1115,'All Menu'!B:J,9,0)</f>
        <v>#N/A</v>
      </c>
      <c r="I1115" s="120" t="e">
        <f>VLOOKUP(B1115,'All Menu'!B:M,12,0)</f>
        <v>#N/A</v>
      </c>
      <c r="J1115" s="114" t="e">
        <f t="shared" si="83"/>
        <v>#N/A</v>
      </c>
      <c r="K1115" s="117" t="e">
        <f t="shared" si="84"/>
        <v>#N/A</v>
      </c>
      <c r="L1115" s="118" t="e">
        <f>VLOOKUP(B1115,'All Menu'!B:G,6,0)</f>
        <v>#N/A</v>
      </c>
      <c r="M1115" s="118" t="e">
        <f t="shared" si="85"/>
        <v>#DIV/0!</v>
      </c>
      <c r="N1115" s="151" t="e">
        <f>VLOOKUP(B1115,'All Menu'!B:H,7,0)</f>
        <v>#N/A</v>
      </c>
    </row>
    <row r="1116" spans="1:14" ht="15.75" customHeight="1">
      <c r="A1116" s="156"/>
      <c r="D1116" s="115" t="e">
        <f>VLOOKUP(B1116,'All Menu'!B:D,3,0)</f>
        <v>#N/A</v>
      </c>
      <c r="E1116" s="116" t="e">
        <f t="shared" si="86"/>
        <v>#DIV/0!</v>
      </c>
      <c r="H1116" s="115" t="e">
        <f>VLOOKUP(B1116,'All Menu'!B:J,9,0)</f>
        <v>#N/A</v>
      </c>
      <c r="I1116" s="120" t="e">
        <f>VLOOKUP(B1116,'All Menu'!B:M,12,0)</f>
        <v>#N/A</v>
      </c>
      <c r="J1116" s="114" t="e">
        <f t="shared" si="83"/>
        <v>#N/A</v>
      </c>
      <c r="K1116" s="117" t="e">
        <f t="shared" si="84"/>
        <v>#N/A</v>
      </c>
      <c r="L1116" s="118" t="e">
        <f>VLOOKUP(B1116,'All Menu'!B:G,6,0)</f>
        <v>#N/A</v>
      </c>
      <c r="M1116" s="118" t="e">
        <f t="shared" si="85"/>
        <v>#DIV/0!</v>
      </c>
      <c r="N1116" s="151" t="e">
        <f>VLOOKUP(B1116,'All Menu'!B:H,7,0)</f>
        <v>#N/A</v>
      </c>
    </row>
    <row r="1117" spans="1:14" ht="15.75" customHeight="1">
      <c r="A1117" s="156"/>
      <c r="D1117" s="115" t="e">
        <f>VLOOKUP(B1117,'All Menu'!B:D,3,0)</f>
        <v>#N/A</v>
      </c>
      <c r="E1117" s="116" t="e">
        <f t="shared" si="86"/>
        <v>#DIV/0!</v>
      </c>
      <c r="H1117" s="115" t="e">
        <f>VLOOKUP(B1117,'All Menu'!B:J,9,0)</f>
        <v>#N/A</v>
      </c>
      <c r="I1117" s="120" t="e">
        <f>VLOOKUP(B1117,'All Menu'!B:M,12,0)</f>
        <v>#N/A</v>
      </c>
      <c r="J1117" s="114" t="e">
        <f t="shared" si="83"/>
        <v>#N/A</v>
      </c>
      <c r="K1117" s="117" t="e">
        <f t="shared" si="84"/>
        <v>#N/A</v>
      </c>
      <c r="L1117" s="118" t="e">
        <f>VLOOKUP(B1117,'All Menu'!B:G,6,0)</f>
        <v>#N/A</v>
      </c>
      <c r="M1117" s="118" t="e">
        <f t="shared" si="85"/>
        <v>#DIV/0!</v>
      </c>
      <c r="N1117" s="151" t="e">
        <f>VLOOKUP(B1117,'All Menu'!B:H,7,0)</f>
        <v>#N/A</v>
      </c>
    </row>
    <row r="1118" spans="1:14" ht="15.75" customHeight="1">
      <c r="A1118" s="156"/>
      <c r="D1118" s="115" t="e">
        <f>VLOOKUP(B1118,'All Menu'!B:D,3,0)</f>
        <v>#N/A</v>
      </c>
      <c r="E1118" s="116" t="e">
        <f t="shared" si="86"/>
        <v>#DIV/0!</v>
      </c>
      <c r="H1118" s="115" t="e">
        <f>VLOOKUP(B1118,'All Menu'!B:J,9,0)</f>
        <v>#N/A</v>
      </c>
      <c r="I1118" s="120" t="e">
        <f>VLOOKUP(B1118,'All Menu'!B:M,12,0)</f>
        <v>#N/A</v>
      </c>
      <c r="J1118" s="114" t="e">
        <f t="shared" si="83"/>
        <v>#N/A</v>
      </c>
      <c r="K1118" s="117" t="e">
        <f t="shared" si="84"/>
        <v>#N/A</v>
      </c>
      <c r="L1118" s="118" t="e">
        <f>VLOOKUP(B1118,'All Menu'!B:G,6,0)</f>
        <v>#N/A</v>
      </c>
      <c r="M1118" s="118" t="e">
        <f t="shared" si="85"/>
        <v>#DIV/0!</v>
      </c>
      <c r="N1118" s="151" t="e">
        <f>VLOOKUP(B1118,'All Menu'!B:H,7,0)</f>
        <v>#N/A</v>
      </c>
    </row>
    <row r="1119" spans="1:14" ht="15.75" customHeight="1">
      <c r="A1119" s="156"/>
      <c r="D1119" s="115" t="e">
        <f>VLOOKUP(B1119,'All Menu'!B:D,3,0)</f>
        <v>#N/A</v>
      </c>
      <c r="E1119" s="116" t="e">
        <f t="shared" si="86"/>
        <v>#DIV/0!</v>
      </c>
      <c r="H1119" s="115" t="e">
        <f>VLOOKUP(B1119,'All Menu'!B:J,9,0)</f>
        <v>#N/A</v>
      </c>
      <c r="I1119" s="120" t="e">
        <f>VLOOKUP(B1119,'All Menu'!B:M,12,0)</f>
        <v>#N/A</v>
      </c>
      <c r="J1119" s="114" t="e">
        <f t="shared" ref="J1119:J1177" si="87">F1119*L1119</f>
        <v>#N/A</v>
      </c>
      <c r="K1119" s="117" t="e">
        <f t="shared" ref="K1119:K1177" si="88">G1119-J1119</f>
        <v>#N/A</v>
      </c>
      <c r="L1119" s="118" t="e">
        <f>VLOOKUP(B1119,'All Menu'!B:G,6,0)</f>
        <v>#N/A</v>
      </c>
      <c r="M1119" s="118" t="e">
        <f t="shared" ref="M1119:M1177" si="89">E1119-L1119</f>
        <v>#DIV/0!</v>
      </c>
      <c r="N1119" s="151" t="e">
        <f>VLOOKUP(B1119,'All Menu'!B:H,7,0)</f>
        <v>#N/A</v>
      </c>
    </row>
    <row r="1120" spans="1:14" ht="15.75" customHeight="1">
      <c r="A1120" s="156"/>
      <c r="D1120" s="115" t="e">
        <f>VLOOKUP(B1120,'All Menu'!B:D,3,0)</f>
        <v>#N/A</v>
      </c>
      <c r="E1120" s="116" t="e">
        <f t="shared" ref="E1120:E1177" si="90">G1120/F1120</f>
        <v>#DIV/0!</v>
      </c>
      <c r="H1120" s="115" t="e">
        <f>VLOOKUP(B1120,'All Menu'!B:J,9,0)</f>
        <v>#N/A</v>
      </c>
      <c r="I1120" s="120" t="e">
        <f>VLOOKUP(B1120,'All Menu'!B:M,12,0)</f>
        <v>#N/A</v>
      </c>
      <c r="J1120" s="114" t="e">
        <f t="shared" si="87"/>
        <v>#N/A</v>
      </c>
      <c r="K1120" s="117" t="e">
        <f t="shared" si="88"/>
        <v>#N/A</v>
      </c>
      <c r="L1120" s="118" t="e">
        <f>VLOOKUP(B1120,'All Menu'!B:G,6,0)</f>
        <v>#N/A</v>
      </c>
      <c r="M1120" s="118" t="e">
        <f t="shared" si="89"/>
        <v>#DIV/0!</v>
      </c>
      <c r="N1120" s="151" t="e">
        <f>VLOOKUP(B1120,'All Menu'!B:H,7,0)</f>
        <v>#N/A</v>
      </c>
    </row>
    <row r="1121" spans="1:14" ht="15.75" customHeight="1">
      <c r="A1121" s="156"/>
      <c r="D1121" s="115" t="e">
        <f>VLOOKUP(B1121,'All Menu'!B:D,3,0)</f>
        <v>#N/A</v>
      </c>
      <c r="E1121" s="116" t="e">
        <f t="shared" si="90"/>
        <v>#DIV/0!</v>
      </c>
      <c r="H1121" s="115" t="e">
        <f>VLOOKUP(B1121,'All Menu'!B:J,9,0)</f>
        <v>#N/A</v>
      </c>
      <c r="I1121" s="120" t="e">
        <f>VLOOKUP(B1121,'All Menu'!B:M,12,0)</f>
        <v>#N/A</v>
      </c>
      <c r="J1121" s="114" t="e">
        <f t="shared" si="87"/>
        <v>#N/A</v>
      </c>
      <c r="K1121" s="117" t="e">
        <f t="shared" si="88"/>
        <v>#N/A</v>
      </c>
      <c r="L1121" s="118" t="e">
        <f>VLOOKUP(B1121,'All Menu'!B:G,6,0)</f>
        <v>#N/A</v>
      </c>
      <c r="M1121" s="118" t="e">
        <f t="shared" si="89"/>
        <v>#DIV/0!</v>
      </c>
      <c r="N1121" s="151" t="e">
        <f>VLOOKUP(B1121,'All Menu'!B:H,7,0)</f>
        <v>#N/A</v>
      </c>
    </row>
    <row r="1122" spans="1:14" ht="15.75" customHeight="1">
      <c r="A1122" s="156"/>
      <c r="D1122" s="115" t="e">
        <f>VLOOKUP(B1122,'All Menu'!B:D,3,0)</f>
        <v>#N/A</v>
      </c>
      <c r="E1122" s="116" t="e">
        <f t="shared" si="90"/>
        <v>#DIV/0!</v>
      </c>
      <c r="H1122" s="115" t="e">
        <f>VLOOKUP(B1122,'All Menu'!B:J,9,0)</f>
        <v>#N/A</v>
      </c>
      <c r="I1122" s="120" t="e">
        <f>VLOOKUP(B1122,'All Menu'!B:M,12,0)</f>
        <v>#N/A</v>
      </c>
      <c r="J1122" s="114" t="e">
        <f t="shared" si="87"/>
        <v>#N/A</v>
      </c>
      <c r="K1122" s="117" t="e">
        <f t="shared" si="88"/>
        <v>#N/A</v>
      </c>
      <c r="L1122" s="118" t="e">
        <f>VLOOKUP(B1122,'All Menu'!B:G,6,0)</f>
        <v>#N/A</v>
      </c>
      <c r="M1122" s="118" t="e">
        <f t="shared" si="89"/>
        <v>#DIV/0!</v>
      </c>
      <c r="N1122" s="151" t="e">
        <f>VLOOKUP(B1122,'All Menu'!B:H,7,0)</f>
        <v>#N/A</v>
      </c>
    </row>
    <row r="1123" spans="1:14" ht="15.75" customHeight="1">
      <c r="A1123" s="156"/>
      <c r="D1123" s="115" t="e">
        <f>VLOOKUP(B1123,'All Menu'!B:D,3,0)</f>
        <v>#N/A</v>
      </c>
      <c r="E1123" s="116" t="e">
        <f t="shared" si="90"/>
        <v>#DIV/0!</v>
      </c>
      <c r="H1123" s="115" t="e">
        <f>VLOOKUP(B1123,'All Menu'!B:J,9,0)</f>
        <v>#N/A</v>
      </c>
      <c r="I1123" s="120" t="e">
        <f>VLOOKUP(B1123,'All Menu'!B:M,12,0)</f>
        <v>#N/A</v>
      </c>
      <c r="J1123" s="114" t="e">
        <f t="shared" si="87"/>
        <v>#N/A</v>
      </c>
      <c r="K1123" s="117" t="e">
        <f t="shared" si="88"/>
        <v>#N/A</v>
      </c>
      <c r="L1123" s="118" t="e">
        <f>VLOOKUP(B1123,'All Menu'!B:G,6,0)</f>
        <v>#N/A</v>
      </c>
      <c r="M1123" s="118" t="e">
        <f t="shared" si="89"/>
        <v>#DIV/0!</v>
      </c>
      <c r="N1123" s="151" t="e">
        <f>VLOOKUP(B1123,'All Menu'!B:H,7,0)</f>
        <v>#N/A</v>
      </c>
    </row>
    <row r="1124" spans="1:14" ht="15.75" customHeight="1">
      <c r="A1124" s="156"/>
      <c r="D1124" s="115" t="e">
        <f>VLOOKUP(B1124,'All Menu'!B:D,3,0)</f>
        <v>#N/A</v>
      </c>
      <c r="E1124" s="116" t="e">
        <f t="shared" si="90"/>
        <v>#DIV/0!</v>
      </c>
      <c r="H1124" s="115" t="e">
        <f>VLOOKUP(B1124,'All Menu'!B:J,9,0)</f>
        <v>#N/A</v>
      </c>
      <c r="I1124" s="120" t="e">
        <f>VLOOKUP(B1124,'All Menu'!B:M,12,0)</f>
        <v>#N/A</v>
      </c>
      <c r="J1124" s="114" t="e">
        <f t="shared" si="87"/>
        <v>#N/A</v>
      </c>
      <c r="K1124" s="117" t="e">
        <f t="shared" si="88"/>
        <v>#N/A</v>
      </c>
      <c r="L1124" s="118" t="e">
        <f>VLOOKUP(B1124,'All Menu'!B:G,6,0)</f>
        <v>#N/A</v>
      </c>
      <c r="M1124" s="118" t="e">
        <f t="shared" si="89"/>
        <v>#DIV/0!</v>
      </c>
      <c r="N1124" s="151" t="e">
        <f>VLOOKUP(B1124,'All Menu'!B:H,7,0)</f>
        <v>#N/A</v>
      </c>
    </row>
    <row r="1125" spans="1:14" ht="15.75" customHeight="1">
      <c r="A1125" s="156"/>
      <c r="D1125" s="115" t="e">
        <f>VLOOKUP(B1125,'All Menu'!B:D,3,0)</f>
        <v>#N/A</v>
      </c>
      <c r="E1125" s="116" t="e">
        <f t="shared" si="90"/>
        <v>#DIV/0!</v>
      </c>
      <c r="H1125" s="115" t="e">
        <f>VLOOKUP(B1125,'All Menu'!B:J,9,0)</f>
        <v>#N/A</v>
      </c>
      <c r="I1125" s="120" t="e">
        <f>VLOOKUP(B1125,'All Menu'!B:M,12,0)</f>
        <v>#N/A</v>
      </c>
      <c r="J1125" s="114" t="e">
        <f t="shared" si="87"/>
        <v>#N/A</v>
      </c>
      <c r="K1125" s="117" t="e">
        <f t="shared" si="88"/>
        <v>#N/A</v>
      </c>
      <c r="L1125" s="118" t="e">
        <f>VLOOKUP(B1125,'All Menu'!B:G,6,0)</f>
        <v>#N/A</v>
      </c>
      <c r="M1125" s="118" t="e">
        <f t="shared" si="89"/>
        <v>#DIV/0!</v>
      </c>
      <c r="N1125" s="151" t="e">
        <f>VLOOKUP(B1125,'All Menu'!B:H,7,0)</f>
        <v>#N/A</v>
      </c>
    </row>
    <row r="1126" spans="1:14" ht="15.75" customHeight="1">
      <c r="A1126" s="156"/>
      <c r="D1126" s="115" t="e">
        <f>VLOOKUP(B1126,'All Menu'!B:D,3,0)</f>
        <v>#N/A</v>
      </c>
      <c r="E1126" s="116" t="e">
        <f t="shared" si="90"/>
        <v>#DIV/0!</v>
      </c>
      <c r="H1126" s="115" t="e">
        <f>VLOOKUP(B1126,'All Menu'!B:J,9,0)</f>
        <v>#N/A</v>
      </c>
      <c r="I1126" s="120" t="e">
        <f>VLOOKUP(B1126,'All Menu'!B:M,12,0)</f>
        <v>#N/A</v>
      </c>
      <c r="J1126" s="114" t="e">
        <f t="shared" si="87"/>
        <v>#N/A</v>
      </c>
      <c r="K1126" s="117" t="e">
        <f t="shared" si="88"/>
        <v>#N/A</v>
      </c>
      <c r="L1126" s="118" t="e">
        <f>VLOOKUP(B1126,'All Menu'!B:G,6,0)</f>
        <v>#N/A</v>
      </c>
      <c r="M1126" s="118" t="e">
        <f t="shared" si="89"/>
        <v>#DIV/0!</v>
      </c>
      <c r="N1126" s="151" t="e">
        <f>VLOOKUP(B1126,'All Menu'!B:H,7,0)</f>
        <v>#N/A</v>
      </c>
    </row>
    <row r="1127" spans="1:14" ht="15.75" customHeight="1">
      <c r="A1127" s="156"/>
      <c r="D1127" s="115" t="e">
        <f>VLOOKUP(B1127,'All Menu'!B:D,3,0)</f>
        <v>#N/A</v>
      </c>
      <c r="E1127" s="116" t="e">
        <f t="shared" si="90"/>
        <v>#DIV/0!</v>
      </c>
      <c r="H1127" s="115" t="e">
        <f>VLOOKUP(B1127,'All Menu'!B:J,9,0)</f>
        <v>#N/A</v>
      </c>
      <c r="I1127" s="120" t="e">
        <f>VLOOKUP(B1127,'All Menu'!B:M,12,0)</f>
        <v>#N/A</v>
      </c>
      <c r="J1127" s="114" t="e">
        <f t="shared" si="87"/>
        <v>#N/A</v>
      </c>
      <c r="K1127" s="117" t="e">
        <f t="shared" si="88"/>
        <v>#N/A</v>
      </c>
      <c r="L1127" s="118" t="e">
        <f>VLOOKUP(B1127,'All Menu'!B:G,6,0)</f>
        <v>#N/A</v>
      </c>
      <c r="M1127" s="118" t="e">
        <f t="shared" si="89"/>
        <v>#DIV/0!</v>
      </c>
      <c r="N1127" s="151" t="e">
        <f>VLOOKUP(B1127,'All Menu'!B:H,7,0)</f>
        <v>#N/A</v>
      </c>
    </row>
    <row r="1128" spans="1:14" ht="15.75" customHeight="1">
      <c r="A1128" s="156"/>
      <c r="D1128" s="115" t="e">
        <f>VLOOKUP(B1128,'All Menu'!B:D,3,0)</f>
        <v>#N/A</v>
      </c>
      <c r="E1128" s="116" t="e">
        <f t="shared" si="90"/>
        <v>#DIV/0!</v>
      </c>
      <c r="H1128" s="115" t="e">
        <f>VLOOKUP(B1128,'All Menu'!B:J,9,0)</f>
        <v>#N/A</v>
      </c>
      <c r="I1128" s="120" t="e">
        <f>VLOOKUP(B1128,'All Menu'!B:M,12,0)</f>
        <v>#N/A</v>
      </c>
      <c r="J1128" s="114" t="e">
        <f t="shared" si="87"/>
        <v>#N/A</v>
      </c>
      <c r="K1128" s="117" t="e">
        <f t="shared" si="88"/>
        <v>#N/A</v>
      </c>
      <c r="L1128" s="118" t="e">
        <f>VLOOKUP(B1128,'All Menu'!B:G,6,0)</f>
        <v>#N/A</v>
      </c>
      <c r="M1128" s="118" t="e">
        <f t="shared" si="89"/>
        <v>#DIV/0!</v>
      </c>
      <c r="N1128" s="151" t="e">
        <f>VLOOKUP(B1128,'All Menu'!B:H,7,0)</f>
        <v>#N/A</v>
      </c>
    </row>
    <row r="1129" spans="1:14" ht="15.75" customHeight="1">
      <c r="A1129" s="156"/>
      <c r="D1129" s="115" t="e">
        <f>VLOOKUP(B1129,'All Menu'!B:D,3,0)</f>
        <v>#N/A</v>
      </c>
      <c r="E1129" s="116" t="e">
        <f t="shared" si="90"/>
        <v>#DIV/0!</v>
      </c>
      <c r="H1129" s="115" t="e">
        <f>VLOOKUP(B1129,'All Menu'!B:J,9,0)</f>
        <v>#N/A</v>
      </c>
      <c r="I1129" s="120" t="e">
        <f>VLOOKUP(B1129,'All Menu'!B:M,12,0)</f>
        <v>#N/A</v>
      </c>
      <c r="J1129" s="114" t="e">
        <f t="shared" si="87"/>
        <v>#N/A</v>
      </c>
      <c r="K1129" s="117" t="e">
        <f t="shared" si="88"/>
        <v>#N/A</v>
      </c>
      <c r="L1129" s="118" t="e">
        <f>VLOOKUP(B1129,'All Menu'!B:G,6,0)</f>
        <v>#N/A</v>
      </c>
      <c r="M1129" s="118" t="e">
        <f t="shared" si="89"/>
        <v>#DIV/0!</v>
      </c>
      <c r="N1129" s="151" t="e">
        <f>VLOOKUP(B1129,'All Menu'!B:H,7,0)</f>
        <v>#N/A</v>
      </c>
    </row>
    <row r="1130" spans="1:14" ht="15.75" customHeight="1">
      <c r="A1130" s="156"/>
      <c r="D1130" s="115" t="e">
        <f>VLOOKUP(B1130,'All Menu'!B:D,3,0)</f>
        <v>#N/A</v>
      </c>
      <c r="E1130" s="116" t="e">
        <f t="shared" si="90"/>
        <v>#DIV/0!</v>
      </c>
      <c r="H1130" s="115" t="e">
        <f>VLOOKUP(B1130,'All Menu'!B:J,9,0)</f>
        <v>#N/A</v>
      </c>
      <c r="I1130" s="120" t="e">
        <f>VLOOKUP(B1130,'All Menu'!B:M,12,0)</f>
        <v>#N/A</v>
      </c>
      <c r="J1130" s="114" t="e">
        <f t="shared" si="87"/>
        <v>#N/A</v>
      </c>
      <c r="K1130" s="117" t="e">
        <f t="shared" si="88"/>
        <v>#N/A</v>
      </c>
      <c r="L1130" s="118" t="e">
        <f>VLOOKUP(B1130,'All Menu'!B:G,6,0)</f>
        <v>#N/A</v>
      </c>
      <c r="M1130" s="118" t="e">
        <f t="shared" si="89"/>
        <v>#DIV/0!</v>
      </c>
      <c r="N1130" s="151" t="e">
        <f>VLOOKUP(B1130,'All Menu'!B:H,7,0)</f>
        <v>#N/A</v>
      </c>
    </row>
    <row r="1131" spans="1:14" ht="15.75" customHeight="1">
      <c r="A1131" s="156"/>
      <c r="D1131" s="115" t="e">
        <f>VLOOKUP(B1131,'All Menu'!B:D,3,0)</f>
        <v>#N/A</v>
      </c>
      <c r="E1131" s="116" t="e">
        <f t="shared" si="90"/>
        <v>#DIV/0!</v>
      </c>
      <c r="H1131" s="115" t="e">
        <f>VLOOKUP(B1131,'All Menu'!B:J,9,0)</f>
        <v>#N/A</v>
      </c>
      <c r="I1131" s="120" t="e">
        <f>VLOOKUP(B1131,'All Menu'!B:M,12,0)</f>
        <v>#N/A</v>
      </c>
      <c r="J1131" s="114" t="e">
        <f t="shared" si="87"/>
        <v>#N/A</v>
      </c>
      <c r="K1131" s="117" t="e">
        <f t="shared" si="88"/>
        <v>#N/A</v>
      </c>
      <c r="L1131" s="118" t="e">
        <f>VLOOKUP(B1131,'All Menu'!B:G,6,0)</f>
        <v>#N/A</v>
      </c>
      <c r="M1131" s="118" t="e">
        <f t="shared" si="89"/>
        <v>#DIV/0!</v>
      </c>
      <c r="N1131" s="151" t="e">
        <f>VLOOKUP(B1131,'All Menu'!B:H,7,0)</f>
        <v>#N/A</v>
      </c>
    </row>
    <row r="1132" spans="1:14" ht="15.75" customHeight="1">
      <c r="A1132" s="156"/>
      <c r="D1132" s="115" t="e">
        <f>VLOOKUP(B1132,'All Menu'!B:D,3,0)</f>
        <v>#N/A</v>
      </c>
      <c r="E1132" s="116" t="e">
        <f t="shared" si="90"/>
        <v>#DIV/0!</v>
      </c>
      <c r="H1132" s="115" t="e">
        <f>VLOOKUP(B1132,'All Menu'!B:J,9,0)</f>
        <v>#N/A</v>
      </c>
      <c r="I1132" s="120" t="e">
        <f>VLOOKUP(B1132,'All Menu'!B:M,12,0)</f>
        <v>#N/A</v>
      </c>
      <c r="J1132" s="114" t="e">
        <f t="shared" si="87"/>
        <v>#N/A</v>
      </c>
      <c r="K1132" s="117" t="e">
        <f t="shared" si="88"/>
        <v>#N/A</v>
      </c>
      <c r="L1132" s="118" t="e">
        <f>VLOOKUP(B1132,'All Menu'!B:G,6,0)</f>
        <v>#N/A</v>
      </c>
      <c r="M1132" s="118" t="e">
        <f t="shared" si="89"/>
        <v>#DIV/0!</v>
      </c>
      <c r="N1132" s="151" t="e">
        <f>VLOOKUP(B1132,'All Menu'!B:H,7,0)</f>
        <v>#N/A</v>
      </c>
    </row>
    <row r="1133" spans="1:14" ht="15.75" customHeight="1">
      <c r="A1133" s="156"/>
      <c r="D1133" s="115" t="e">
        <f>VLOOKUP(B1133,'All Menu'!B:D,3,0)</f>
        <v>#N/A</v>
      </c>
      <c r="E1133" s="116" t="e">
        <f t="shared" si="90"/>
        <v>#DIV/0!</v>
      </c>
      <c r="H1133" s="115" t="e">
        <f>VLOOKUP(B1133,'All Menu'!B:J,9,0)</f>
        <v>#N/A</v>
      </c>
      <c r="I1133" s="120" t="e">
        <f>VLOOKUP(B1133,'All Menu'!B:M,12,0)</f>
        <v>#N/A</v>
      </c>
      <c r="J1133" s="114" t="e">
        <f t="shared" si="87"/>
        <v>#N/A</v>
      </c>
      <c r="K1133" s="117" t="e">
        <f t="shared" si="88"/>
        <v>#N/A</v>
      </c>
      <c r="L1133" s="118" t="e">
        <f>VLOOKUP(B1133,'All Menu'!B:G,6,0)</f>
        <v>#N/A</v>
      </c>
      <c r="M1133" s="118" t="e">
        <f t="shared" si="89"/>
        <v>#DIV/0!</v>
      </c>
      <c r="N1133" s="151" t="e">
        <f>VLOOKUP(B1133,'All Menu'!B:H,7,0)</f>
        <v>#N/A</v>
      </c>
    </row>
    <row r="1134" spans="1:14" ht="15.75" customHeight="1">
      <c r="A1134" s="156"/>
      <c r="D1134" s="115" t="e">
        <f>VLOOKUP(B1134,'All Menu'!B:D,3,0)</f>
        <v>#N/A</v>
      </c>
      <c r="E1134" s="116" t="e">
        <f t="shared" si="90"/>
        <v>#DIV/0!</v>
      </c>
      <c r="H1134" s="115" t="e">
        <f>VLOOKUP(B1134,'All Menu'!B:J,9,0)</f>
        <v>#N/A</v>
      </c>
      <c r="I1134" s="120" t="e">
        <f>VLOOKUP(B1134,'All Menu'!B:M,12,0)</f>
        <v>#N/A</v>
      </c>
      <c r="J1134" s="114" t="e">
        <f t="shared" si="87"/>
        <v>#N/A</v>
      </c>
      <c r="K1134" s="117" t="e">
        <f t="shared" si="88"/>
        <v>#N/A</v>
      </c>
      <c r="L1134" s="118" t="e">
        <f>VLOOKUP(B1134,'All Menu'!B:G,6,0)</f>
        <v>#N/A</v>
      </c>
      <c r="M1134" s="118" t="e">
        <f t="shared" si="89"/>
        <v>#DIV/0!</v>
      </c>
      <c r="N1134" s="151" t="e">
        <f>VLOOKUP(B1134,'All Menu'!B:H,7,0)</f>
        <v>#N/A</v>
      </c>
    </row>
    <row r="1135" spans="1:14" ht="15.75" customHeight="1">
      <c r="A1135" s="156"/>
      <c r="D1135" s="115" t="e">
        <f>VLOOKUP(B1135,'All Menu'!B:D,3,0)</f>
        <v>#N/A</v>
      </c>
      <c r="E1135" s="116" t="e">
        <f t="shared" si="90"/>
        <v>#DIV/0!</v>
      </c>
      <c r="H1135" s="115" t="e">
        <f>VLOOKUP(B1135,'All Menu'!B:J,9,0)</f>
        <v>#N/A</v>
      </c>
      <c r="I1135" s="120" t="e">
        <f>VLOOKUP(B1135,'All Menu'!B:M,12,0)</f>
        <v>#N/A</v>
      </c>
      <c r="J1135" s="114" t="e">
        <f t="shared" si="87"/>
        <v>#N/A</v>
      </c>
      <c r="K1135" s="117" t="e">
        <f t="shared" si="88"/>
        <v>#N/A</v>
      </c>
      <c r="L1135" s="118" t="e">
        <f>VLOOKUP(B1135,'All Menu'!B:G,6,0)</f>
        <v>#N/A</v>
      </c>
      <c r="M1135" s="118" t="e">
        <f t="shared" si="89"/>
        <v>#DIV/0!</v>
      </c>
      <c r="N1135" s="151" t="e">
        <f>VLOOKUP(B1135,'All Menu'!B:H,7,0)</f>
        <v>#N/A</v>
      </c>
    </row>
    <row r="1136" spans="1:14" ht="15.75" customHeight="1">
      <c r="A1136" s="156"/>
      <c r="D1136" s="115" t="e">
        <f>VLOOKUP(B1136,'All Menu'!B:D,3,0)</f>
        <v>#N/A</v>
      </c>
      <c r="E1136" s="116" t="e">
        <f t="shared" si="90"/>
        <v>#DIV/0!</v>
      </c>
      <c r="H1136" s="115" t="e">
        <f>VLOOKUP(B1136,'All Menu'!B:J,9,0)</f>
        <v>#N/A</v>
      </c>
      <c r="I1136" s="120" t="e">
        <f>VLOOKUP(B1136,'All Menu'!B:M,12,0)</f>
        <v>#N/A</v>
      </c>
      <c r="J1136" s="114" t="e">
        <f t="shared" si="87"/>
        <v>#N/A</v>
      </c>
      <c r="K1136" s="117" t="e">
        <f t="shared" si="88"/>
        <v>#N/A</v>
      </c>
      <c r="L1136" s="118" t="e">
        <f>VLOOKUP(B1136,'All Menu'!B:G,6,0)</f>
        <v>#N/A</v>
      </c>
      <c r="M1136" s="118" t="e">
        <f t="shared" si="89"/>
        <v>#DIV/0!</v>
      </c>
      <c r="N1136" s="151" t="e">
        <f>VLOOKUP(B1136,'All Menu'!B:H,7,0)</f>
        <v>#N/A</v>
      </c>
    </row>
    <row r="1137" spans="1:14" ht="15.75" customHeight="1">
      <c r="A1137" s="156"/>
      <c r="D1137" s="115" t="e">
        <f>VLOOKUP(B1137,'All Menu'!B:D,3,0)</f>
        <v>#N/A</v>
      </c>
      <c r="E1137" s="116" t="e">
        <f t="shared" si="90"/>
        <v>#DIV/0!</v>
      </c>
      <c r="H1137" s="115" t="e">
        <f>VLOOKUP(B1137,'All Menu'!B:J,9,0)</f>
        <v>#N/A</v>
      </c>
      <c r="I1137" s="120" t="e">
        <f>VLOOKUP(B1137,'All Menu'!B:M,12,0)</f>
        <v>#N/A</v>
      </c>
      <c r="J1137" s="114" t="e">
        <f t="shared" si="87"/>
        <v>#N/A</v>
      </c>
      <c r="K1137" s="117" t="e">
        <f t="shared" si="88"/>
        <v>#N/A</v>
      </c>
      <c r="L1137" s="118" t="e">
        <f>VLOOKUP(B1137,'All Menu'!B:G,6,0)</f>
        <v>#N/A</v>
      </c>
      <c r="M1137" s="118" t="e">
        <f t="shared" si="89"/>
        <v>#DIV/0!</v>
      </c>
      <c r="N1137" s="151" t="e">
        <f>VLOOKUP(B1137,'All Menu'!B:H,7,0)</f>
        <v>#N/A</v>
      </c>
    </row>
    <row r="1138" spans="1:14" ht="15.75" customHeight="1">
      <c r="A1138" s="156"/>
      <c r="D1138" s="115" t="e">
        <f>VLOOKUP(B1138,'All Menu'!B:D,3,0)</f>
        <v>#N/A</v>
      </c>
      <c r="E1138" s="116" t="e">
        <f t="shared" si="90"/>
        <v>#DIV/0!</v>
      </c>
      <c r="H1138" s="115" t="e">
        <f>VLOOKUP(B1138,'All Menu'!B:J,9,0)</f>
        <v>#N/A</v>
      </c>
      <c r="I1138" s="120" t="e">
        <f>VLOOKUP(B1138,'All Menu'!B:M,12,0)</f>
        <v>#N/A</v>
      </c>
      <c r="J1138" s="114" t="e">
        <f t="shared" si="87"/>
        <v>#N/A</v>
      </c>
      <c r="K1138" s="117" t="e">
        <f t="shared" si="88"/>
        <v>#N/A</v>
      </c>
      <c r="L1138" s="118" t="e">
        <f>VLOOKUP(B1138,'All Menu'!B:G,6,0)</f>
        <v>#N/A</v>
      </c>
      <c r="M1138" s="118" t="e">
        <f t="shared" si="89"/>
        <v>#DIV/0!</v>
      </c>
      <c r="N1138" s="151" t="e">
        <f>VLOOKUP(B1138,'All Menu'!B:H,7,0)</f>
        <v>#N/A</v>
      </c>
    </row>
    <row r="1139" spans="1:14" ht="15.75" customHeight="1">
      <c r="A1139" s="156"/>
      <c r="D1139" s="115" t="e">
        <f>VLOOKUP(B1139,'All Menu'!B:D,3,0)</f>
        <v>#N/A</v>
      </c>
      <c r="E1139" s="116" t="e">
        <f t="shared" si="90"/>
        <v>#DIV/0!</v>
      </c>
      <c r="H1139" s="115" t="e">
        <f>VLOOKUP(B1139,'All Menu'!B:J,9,0)</f>
        <v>#N/A</v>
      </c>
      <c r="I1139" s="120" t="e">
        <f>VLOOKUP(B1139,'All Menu'!B:M,12,0)</f>
        <v>#N/A</v>
      </c>
      <c r="J1139" s="114" t="e">
        <f t="shared" si="87"/>
        <v>#N/A</v>
      </c>
      <c r="K1139" s="117" t="e">
        <f t="shared" si="88"/>
        <v>#N/A</v>
      </c>
      <c r="L1139" s="118" t="e">
        <f>VLOOKUP(B1139,'All Menu'!B:G,6,0)</f>
        <v>#N/A</v>
      </c>
      <c r="M1139" s="118" t="e">
        <f t="shared" si="89"/>
        <v>#DIV/0!</v>
      </c>
      <c r="N1139" s="151" t="e">
        <f>VLOOKUP(B1139,'All Menu'!B:H,7,0)</f>
        <v>#N/A</v>
      </c>
    </row>
    <row r="1140" spans="1:14" ht="15.75" customHeight="1">
      <c r="A1140" s="156"/>
      <c r="D1140" s="115" t="e">
        <f>VLOOKUP(B1140,'All Menu'!B:D,3,0)</f>
        <v>#N/A</v>
      </c>
      <c r="E1140" s="116" t="e">
        <f t="shared" si="90"/>
        <v>#DIV/0!</v>
      </c>
      <c r="H1140" s="115" t="e">
        <f>VLOOKUP(B1140,'All Menu'!B:J,9,0)</f>
        <v>#N/A</v>
      </c>
      <c r="I1140" s="120" t="e">
        <f>VLOOKUP(B1140,'All Menu'!B:M,12,0)</f>
        <v>#N/A</v>
      </c>
      <c r="J1140" s="114" t="e">
        <f t="shared" si="87"/>
        <v>#N/A</v>
      </c>
      <c r="K1140" s="117" t="e">
        <f t="shared" si="88"/>
        <v>#N/A</v>
      </c>
      <c r="L1140" s="118" t="e">
        <f>VLOOKUP(B1140,'All Menu'!B:G,6,0)</f>
        <v>#N/A</v>
      </c>
      <c r="M1140" s="118" t="e">
        <f t="shared" si="89"/>
        <v>#DIV/0!</v>
      </c>
      <c r="N1140" s="151" t="e">
        <f>VLOOKUP(B1140,'All Menu'!B:H,7,0)</f>
        <v>#N/A</v>
      </c>
    </row>
    <row r="1141" spans="1:14" ht="15.75" customHeight="1">
      <c r="A1141" s="156"/>
      <c r="D1141" s="115" t="e">
        <f>VLOOKUP(B1141,'All Menu'!B:D,3,0)</f>
        <v>#N/A</v>
      </c>
      <c r="E1141" s="116" t="e">
        <f t="shared" si="90"/>
        <v>#DIV/0!</v>
      </c>
      <c r="H1141" s="115" t="e">
        <f>VLOOKUP(B1141,'All Menu'!B:J,9,0)</f>
        <v>#N/A</v>
      </c>
      <c r="I1141" s="120" t="e">
        <f>VLOOKUP(B1141,'All Menu'!B:M,12,0)</f>
        <v>#N/A</v>
      </c>
      <c r="J1141" s="114" t="e">
        <f t="shared" si="87"/>
        <v>#N/A</v>
      </c>
      <c r="K1141" s="117" t="e">
        <f t="shared" si="88"/>
        <v>#N/A</v>
      </c>
      <c r="L1141" s="118" t="e">
        <f>VLOOKUP(B1141,'All Menu'!B:G,6,0)</f>
        <v>#N/A</v>
      </c>
      <c r="M1141" s="118" t="e">
        <f t="shared" si="89"/>
        <v>#DIV/0!</v>
      </c>
      <c r="N1141" s="151" t="e">
        <f>VLOOKUP(B1141,'All Menu'!B:H,7,0)</f>
        <v>#N/A</v>
      </c>
    </row>
    <row r="1142" spans="1:14" ht="15.75" customHeight="1">
      <c r="A1142" s="156"/>
      <c r="D1142" s="115" t="e">
        <f>VLOOKUP(B1142,'All Menu'!B:D,3,0)</f>
        <v>#N/A</v>
      </c>
      <c r="E1142" s="116" t="e">
        <f t="shared" si="90"/>
        <v>#DIV/0!</v>
      </c>
      <c r="H1142" s="115" t="e">
        <f>VLOOKUP(B1142,'All Menu'!B:J,9,0)</f>
        <v>#N/A</v>
      </c>
      <c r="I1142" s="120" t="e">
        <f>VLOOKUP(B1142,'All Menu'!B:M,12,0)</f>
        <v>#N/A</v>
      </c>
      <c r="J1142" s="114" t="e">
        <f t="shared" si="87"/>
        <v>#N/A</v>
      </c>
      <c r="K1142" s="117" t="e">
        <f t="shared" si="88"/>
        <v>#N/A</v>
      </c>
      <c r="L1142" s="118" t="e">
        <f>VLOOKUP(B1142,'All Menu'!B:G,6,0)</f>
        <v>#N/A</v>
      </c>
      <c r="M1142" s="118" t="e">
        <f t="shared" si="89"/>
        <v>#DIV/0!</v>
      </c>
      <c r="N1142" s="151" t="e">
        <f>VLOOKUP(B1142,'All Menu'!B:H,7,0)</f>
        <v>#N/A</v>
      </c>
    </row>
    <row r="1143" spans="1:14" ht="15.75" customHeight="1">
      <c r="A1143" s="156"/>
      <c r="D1143" s="115" t="e">
        <f>VLOOKUP(B1143,'All Menu'!B:D,3,0)</f>
        <v>#N/A</v>
      </c>
      <c r="E1143" s="116" t="e">
        <f t="shared" si="90"/>
        <v>#DIV/0!</v>
      </c>
      <c r="H1143" s="115" t="e">
        <f>VLOOKUP(B1143,'All Menu'!B:J,9,0)</f>
        <v>#N/A</v>
      </c>
      <c r="I1143" s="120" t="e">
        <f>VLOOKUP(B1143,'All Menu'!B:M,12,0)</f>
        <v>#N/A</v>
      </c>
      <c r="J1143" s="114" t="e">
        <f t="shared" si="87"/>
        <v>#N/A</v>
      </c>
      <c r="K1143" s="117" t="e">
        <f t="shared" si="88"/>
        <v>#N/A</v>
      </c>
      <c r="L1143" s="118" t="e">
        <f>VLOOKUP(B1143,'All Menu'!B:G,6,0)</f>
        <v>#N/A</v>
      </c>
      <c r="M1143" s="118" t="e">
        <f t="shared" si="89"/>
        <v>#DIV/0!</v>
      </c>
      <c r="N1143" s="151" t="e">
        <f>VLOOKUP(B1143,'All Menu'!B:H,7,0)</f>
        <v>#N/A</v>
      </c>
    </row>
    <row r="1144" spans="1:14" ht="15.75" customHeight="1">
      <c r="A1144" s="156"/>
      <c r="D1144" s="115" t="e">
        <f>VLOOKUP(B1144,'All Menu'!B:D,3,0)</f>
        <v>#N/A</v>
      </c>
      <c r="E1144" s="116" t="e">
        <f t="shared" si="90"/>
        <v>#DIV/0!</v>
      </c>
      <c r="H1144" s="115" t="e">
        <f>VLOOKUP(B1144,'All Menu'!B:J,9,0)</f>
        <v>#N/A</v>
      </c>
      <c r="I1144" s="120" t="e">
        <f>VLOOKUP(B1144,'All Menu'!B:M,12,0)</f>
        <v>#N/A</v>
      </c>
      <c r="J1144" s="114" t="e">
        <f t="shared" si="87"/>
        <v>#N/A</v>
      </c>
      <c r="K1144" s="117" t="e">
        <f t="shared" si="88"/>
        <v>#N/A</v>
      </c>
      <c r="L1144" s="118" t="e">
        <f>VLOOKUP(B1144,'All Menu'!B:G,6,0)</f>
        <v>#N/A</v>
      </c>
      <c r="M1144" s="118" t="e">
        <f t="shared" si="89"/>
        <v>#DIV/0!</v>
      </c>
      <c r="N1144" s="151" t="e">
        <f>VLOOKUP(B1144,'All Menu'!B:H,7,0)</f>
        <v>#N/A</v>
      </c>
    </row>
    <row r="1145" spans="1:14" ht="15.75" customHeight="1">
      <c r="A1145" s="156"/>
      <c r="D1145" s="115" t="e">
        <f>VLOOKUP(B1145,'All Menu'!B:D,3,0)</f>
        <v>#N/A</v>
      </c>
      <c r="E1145" s="116" t="e">
        <f t="shared" si="90"/>
        <v>#DIV/0!</v>
      </c>
      <c r="H1145" s="115" t="e">
        <f>VLOOKUP(B1145,'All Menu'!B:J,9,0)</f>
        <v>#N/A</v>
      </c>
      <c r="I1145" s="120" t="e">
        <f>VLOOKUP(B1145,'All Menu'!B:M,12,0)</f>
        <v>#N/A</v>
      </c>
      <c r="J1145" s="114" t="e">
        <f t="shared" si="87"/>
        <v>#N/A</v>
      </c>
      <c r="K1145" s="117" t="e">
        <f t="shared" si="88"/>
        <v>#N/A</v>
      </c>
      <c r="L1145" s="118" t="e">
        <f>VLOOKUP(B1145,'All Menu'!B:G,6,0)</f>
        <v>#N/A</v>
      </c>
      <c r="M1145" s="118" t="e">
        <f t="shared" si="89"/>
        <v>#DIV/0!</v>
      </c>
      <c r="N1145" s="151" t="e">
        <f>VLOOKUP(B1145,'All Menu'!B:H,7,0)</f>
        <v>#N/A</v>
      </c>
    </row>
    <row r="1146" spans="1:14" ht="15.75" customHeight="1">
      <c r="A1146" s="156"/>
      <c r="D1146" s="115" t="e">
        <f>VLOOKUP(B1146,'All Menu'!B:D,3,0)</f>
        <v>#N/A</v>
      </c>
      <c r="E1146" s="116" t="e">
        <f t="shared" si="90"/>
        <v>#DIV/0!</v>
      </c>
      <c r="H1146" s="115" t="e">
        <f>VLOOKUP(B1146,'All Menu'!B:J,9,0)</f>
        <v>#N/A</v>
      </c>
      <c r="I1146" s="120" t="e">
        <f>VLOOKUP(B1146,'All Menu'!B:M,12,0)</f>
        <v>#N/A</v>
      </c>
      <c r="J1146" s="114" t="e">
        <f t="shared" si="87"/>
        <v>#N/A</v>
      </c>
      <c r="K1146" s="117" t="e">
        <f t="shared" si="88"/>
        <v>#N/A</v>
      </c>
      <c r="L1146" s="118" t="e">
        <f>VLOOKUP(B1146,'All Menu'!B:G,6,0)</f>
        <v>#N/A</v>
      </c>
      <c r="M1146" s="118" t="e">
        <f t="shared" si="89"/>
        <v>#DIV/0!</v>
      </c>
      <c r="N1146" s="151" t="e">
        <f>VLOOKUP(B1146,'All Menu'!B:H,7,0)</f>
        <v>#N/A</v>
      </c>
    </row>
    <row r="1147" spans="1:14" ht="15.75" customHeight="1">
      <c r="A1147" s="156"/>
      <c r="D1147" s="115" t="e">
        <f>VLOOKUP(B1147,'All Menu'!B:D,3,0)</f>
        <v>#N/A</v>
      </c>
      <c r="E1147" s="116" t="e">
        <f t="shared" si="90"/>
        <v>#DIV/0!</v>
      </c>
      <c r="H1147" s="115" t="e">
        <f>VLOOKUP(B1147,'All Menu'!B:J,9,0)</f>
        <v>#N/A</v>
      </c>
      <c r="I1147" s="120" t="e">
        <f>VLOOKUP(B1147,'All Menu'!B:M,12,0)</f>
        <v>#N/A</v>
      </c>
      <c r="J1147" s="114" t="e">
        <f t="shared" si="87"/>
        <v>#N/A</v>
      </c>
      <c r="K1147" s="117" t="e">
        <f t="shared" si="88"/>
        <v>#N/A</v>
      </c>
      <c r="L1147" s="118" t="e">
        <f>VLOOKUP(B1147,'All Menu'!B:G,6,0)</f>
        <v>#N/A</v>
      </c>
      <c r="M1147" s="118" t="e">
        <f t="shared" si="89"/>
        <v>#DIV/0!</v>
      </c>
      <c r="N1147" s="151" t="e">
        <f>VLOOKUP(B1147,'All Menu'!B:H,7,0)</f>
        <v>#N/A</v>
      </c>
    </row>
    <row r="1148" spans="1:14" ht="15.75" customHeight="1">
      <c r="A1148" s="156"/>
      <c r="D1148" s="115" t="e">
        <f>VLOOKUP(B1148,'All Menu'!B:D,3,0)</f>
        <v>#N/A</v>
      </c>
      <c r="E1148" s="116" t="e">
        <f t="shared" si="90"/>
        <v>#DIV/0!</v>
      </c>
      <c r="H1148" s="115" t="e">
        <f>VLOOKUP(B1148,'All Menu'!B:J,9,0)</f>
        <v>#N/A</v>
      </c>
      <c r="I1148" s="120" t="e">
        <f>VLOOKUP(B1148,'All Menu'!B:M,12,0)</f>
        <v>#N/A</v>
      </c>
      <c r="J1148" s="114" t="e">
        <f t="shared" si="87"/>
        <v>#N/A</v>
      </c>
      <c r="K1148" s="117" t="e">
        <f t="shared" si="88"/>
        <v>#N/A</v>
      </c>
      <c r="L1148" s="118" t="e">
        <f>VLOOKUP(B1148,'All Menu'!B:G,6,0)</f>
        <v>#N/A</v>
      </c>
      <c r="M1148" s="118" t="e">
        <f t="shared" si="89"/>
        <v>#DIV/0!</v>
      </c>
      <c r="N1148" s="151" t="e">
        <f>VLOOKUP(B1148,'All Menu'!B:H,7,0)</f>
        <v>#N/A</v>
      </c>
    </row>
    <row r="1149" spans="1:14" ht="15.75" customHeight="1">
      <c r="A1149" s="156"/>
      <c r="D1149" s="115" t="e">
        <f>VLOOKUP(B1149,'All Menu'!B:D,3,0)</f>
        <v>#N/A</v>
      </c>
      <c r="E1149" s="116" t="e">
        <f t="shared" si="90"/>
        <v>#DIV/0!</v>
      </c>
      <c r="H1149" s="115" t="e">
        <f>VLOOKUP(B1149,'All Menu'!B:J,9,0)</f>
        <v>#N/A</v>
      </c>
      <c r="I1149" s="120" t="e">
        <f>VLOOKUP(B1149,'All Menu'!B:M,12,0)</f>
        <v>#N/A</v>
      </c>
      <c r="J1149" s="114" t="e">
        <f t="shared" si="87"/>
        <v>#N/A</v>
      </c>
      <c r="K1149" s="117" t="e">
        <f t="shared" si="88"/>
        <v>#N/A</v>
      </c>
      <c r="L1149" s="118" t="e">
        <f>VLOOKUP(B1149,'All Menu'!B:G,6,0)</f>
        <v>#N/A</v>
      </c>
      <c r="M1149" s="118" t="e">
        <f t="shared" si="89"/>
        <v>#DIV/0!</v>
      </c>
      <c r="N1149" s="151" t="e">
        <f>VLOOKUP(B1149,'All Menu'!B:H,7,0)</f>
        <v>#N/A</v>
      </c>
    </row>
    <row r="1150" spans="1:14" ht="15.75" customHeight="1">
      <c r="A1150" s="156"/>
      <c r="D1150" s="115" t="e">
        <f>VLOOKUP(B1150,'All Menu'!B:D,3,0)</f>
        <v>#N/A</v>
      </c>
      <c r="E1150" s="116" t="e">
        <f t="shared" si="90"/>
        <v>#DIV/0!</v>
      </c>
      <c r="H1150" s="115" t="e">
        <f>VLOOKUP(B1150,'All Menu'!B:J,9,0)</f>
        <v>#N/A</v>
      </c>
      <c r="I1150" s="120" t="e">
        <f>VLOOKUP(B1150,'All Menu'!B:M,12,0)</f>
        <v>#N/A</v>
      </c>
      <c r="J1150" s="114" t="e">
        <f t="shared" si="87"/>
        <v>#N/A</v>
      </c>
      <c r="K1150" s="117" t="e">
        <f t="shared" si="88"/>
        <v>#N/A</v>
      </c>
      <c r="L1150" s="118" t="e">
        <f>VLOOKUP(B1150,'All Menu'!B:G,6,0)</f>
        <v>#N/A</v>
      </c>
      <c r="M1150" s="118" t="e">
        <f t="shared" si="89"/>
        <v>#DIV/0!</v>
      </c>
      <c r="N1150" s="151" t="e">
        <f>VLOOKUP(B1150,'All Menu'!B:H,7,0)</f>
        <v>#N/A</v>
      </c>
    </row>
    <row r="1151" spans="1:14" ht="15.75" customHeight="1">
      <c r="A1151" s="156"/>
      <c r="D1151" s="115" t="e">
        <f>VLOOKUP(B1151,'All Menu'!B:D,3,0)</f>
        <v>#N/A</v>
      </c>
      <c r="E1151" s="116" t="e">
        <f t="shared" si="90"/>
        <v>#DIV/0!</v>
      </c>
      <c r="H1151" s="115" t="e">
        <f>VLOOKUP(B1151,'All Menu'!B:J,9,0)</f>
        <v>#N/A</v>
      </c>
      <c r="I1151" s="120" t="e">
        <f>VLOOKUP(B1151,'All Menu'!B:M,12,0)</f>
        <v>#N/A</v>
      </c>
      <c r="J1151" s="114" t="e">
        <f t="shared" si="87"/>
        <v>#N/A</v>
      </c>
      <c r="K1151" s="117" t="e">
        <f t="shared" si="88"/>
        <v>#N/A</v>
      </c>
      <c r="L1151" s="118" t="e">
        <f>VLOOKUP(B1151,'All Menu'!B:G,6,0)</f>
        <v>#N/A</v>
      </c>
      <c r="M1151" s="118" t="e">
        <f t="shared" si="89"/>
        <v>#DIV/0!</v>
      </c>
      <c r="N1151" s="151" t="e">
        <f>VLOOKUP(B1151,'All Menu'!B:H,7,0)</f>
        <v>#N/A</v>
      </c>
    </row>
    <row r="1152" spans="1:14" ht="15.75" customHeight="1">
      <c r="A1152" s="156"/>
      <c r="D1152" s="115" t="e">
        <f>VLOOKUP(B1152,'All Menu'!B:D,3,0)</f>
        <v>#N/A</v>
      </c>
      <c r="E1152" s="116" t="e">
        <f t="shared" si="90"/>
        <v>#DIV/0!</v>
      </c>
      <c r="H1152" s="115" t="e">
        <f>VLOOKUP(B1152,'All Menu'!B:J,9,0)</f>
        <v>#N/A</v>
      </c>
      <c r="I1152" s="120" t="e">
        <f>VLOOKUP(B1152,'All Menu'!B:M,12,0)</f>
        <v>#N/A</v>
      </c>
      <c r="J1152" s="114" t="e">
        <f t="shared" si="87"/>
        <v>#N/A</v>
      </c>
      <c r="K1152" s="117" t="e">
        <f t="shared" si="88"/>
        <v>#N/A</v>
      </c>
      <c r="L1152" s="118" t="e">
        <f>VLOOKUP(B1152,'All Menu'!B:G,6,0)</f>
        <v>#N/A</v>
      </c>
      <c r="M1152" s="118" t="e">
        <f t="shared" si="89"/>
        <v>#DIV/0!</v>
      </c>
      <c r="N1152" s="151" t="e">
        <f>VLOOKUP(B1152,'All Menu'!B:H,7,0)</f>
        <v>#N/A</v>
      </c>
    </row>
    <row r="1153" spans="1:14" ht="15.75" customHeight="1">
      <c r="A1153" s="156"/>
      <c r="D1153" s="115" t="e">
        <f>VLOOKUP(B1153,'All Menu'!B:D,3,0)</f>
        <v>#N/A</v>
      </c>
      <c r="E1153" s="116" t="e">
        <f t="shared" si="90"/>
        <v>#DIV/0!</v>
      </c>
      <c r="H1153" s="115" t="e">
        <f>VLOOKUP(B1153,'All Menu'!B:J,9,0)</f>
        <v>#N/A</v>
      </c>
      <c r="I1153" s="120" t="e">
        <f>VLOOKUP(B1153,'All Menu'!B:M,12,0)</f>
        <v>#N/A</v>
      </c>
      <c r="J1153" s="114" t="e">
        <f t="shared" si="87"/>
        <v>#N/A</v>
      </c>
      <c r="K1153" s="117" t="e">
        <f t="shared" si="88"/>
        <v>#N/A</v>
      </c>
      <c r="L1153" s="118" t="e">
        <f>VLOOKUP(B1153,'All Menu'!B:G,6,0)</f>
        <v>#N/A</v>
      </c>
      <c r="M1153" s="118" t="e">
        <f t="shared" si="89"/>
        <v>#DIV/0!</v>
      </c>
      <c r="N1153" s="151" t="e">
        <f>VLOOKUP(B1153,'All Menu'!B:H,7,0)</f>
        <v>#N/A</v>
      </c>
    </row>
    <row r="1154" spans="1:14" ht="15.75" customHeight="1">
      <c r="A1154" s="156"/>
      <c r="D1154" s="115" t="e">
        <f>VLOOKUP(B1154,'All Menu'!B:D,3,0)</f>
        <v>#N/A</v>
      </c>
      <c r="E1154" s="116" t="e">
        <f t="shared" si="90"/>
        <v>#DIV/0!</v>
      </c>
      <c r="H1154" s="115" t="e">
        <f>VLOOKUP(B1154,'All Menu'!B:J,9,0)</f>
        <v>#N/A</v>
      </c>
      <c r="I1154" s="120" t="e">
        <f>VLOOKUP(B1154,'All Menu'!B:M,12,0)</f>
        <v>#N/A</v>
      </c>
      <c r="J1154" s="114" t="e">
        <f t="shared" si="87"/>
        <v>#N/A</v>
      </c>
      <c r="K1154" s="117" t="e">
        <f t="shared" si="88"/>
        <v>#N/A</v>
      </c>
      <c r="L1154" s="118" t="e">
        <f>VLOOKUP(B1154,'All Menu'!B:G,6,0)</f>
        <v>#N/A</v>
      </c>
      <c r="M1154" s="118" t="e">
        <f t="shared" si="89"/>
        <v>#DIV/0!</v>
      </c>
      <c r="N1154" s="151" t="e">
        <f>VLOOKUP(B1154,'All Menu'!B:H,7,0)</f>
        <v>#N/A</v>
      </c>
    </row>
    <row r="1155" spans="1:14" ht="15.75" customHeight="1">
      <c r="A1155" s="156"/>
      <c r="D1155" s="115" t="e">
        <f>VLOOKUP(B1155,'All Menu'!B:D,3,0)</f>
        <v>#N/A</v>
      </c>
      <c r="E1155" s="116" t="e">
        <f t="shared" si="90"/>
        <v>#DIV/0!</v>
      </c>
      <c r="H1155" s="115" t="e">
        <f>VLOOKUP(B1155,'All Menu'!B:J,9,0)</f>
        <v>#N/A</v>
      </c>
      <c r="I1155" s="120" t="e">
        <f>VLOOKUP(B1155,'All Menu'!B:M,12,0)</f>
        <v>#N/A</v>
      </c>
      <c r="J1155" s="114" t="e">
        <f t="shared" si="87"/>
        <v>#N/A</v>
      </c>
      <c r="K1155" s="117" t="e">
        <f t="shared" si="88"/>
        <v>#N/A</v>
      </c>
      <c r="L1155" s="118" t="e">
        <f>VLOOKUP(B1155,'All Menu'!B:G,6,0)</f>
        <v>#N/A</v>
      </c>
      <c r="M1155" s="118" t="e">
        <f t="shared" si="89"/>
        <v>#DIV/0!</v>
      </c>
      <c r="N1155" s="151" t="e">
        <f>VLOOKUP(B1155,'All Menu'!B:H,7,0)</f>
        <v>#N/A</v>
      </c>
    </row>
    <row r="1156" spans="1:14" ht="15.75" customHeight="1">
      <c r="A1156" s="156"/>
      <c r="D1156" s="115" t="e">
        <f>VLOOKUP(B1156,'All Menu'!B:D,3,0)</f>
        <v>#N/A</v>
      </c>
      <c r="E1156" s="116" t="e">
        <f t="shared" si="90"/>
        <v>#DIV/0!</v>
      </c>
      <c r="H1156" s="115" t="e">
        <f>VLOOKUP(B1156,'All Menu'!B:J,9,0)</f>
        <v>#N/A</v>
      </c>
      <c r="I1156" s="120" t="e">
        <f>VLOOKUP(B1156,'All Menu'!B:M,12,0)</f>
        <v>#N/A</v>
      </c>
      <c r="J1156" s="114" t="e">
        <f t="shared" si="87"/>
        <v>#N/A</v>
      </c>
      <c r="K1156" s="117" t="e">
        <f t="shared" si="88"/>
        <v>#N/A</v>
      </c>
      <c r="L1156" s="118" t="e">
        <f>VLOOKUP(B1156,'All Menu'!B:G,6,0)</f>
        <v>#N/A</v>
      </c>
      <c r="M1156" s="118" t="e">
        <f t="shared" si="89"/>
        <v>#DIV/0!</v>
      </c>
      <c r="N1156" s="151" t="e">
        <f>VLOOKUP(B1156,'All Menu'!B:H,7,0)</f>
        <v>#N/A</v>
      </c>
    </row>
    <row r="1157" spans="1:14" ht="15.75" customHeight="1">
      <c r="A1157" s="156"/>
      <c r="D1157" s="115" t="e">
        <f>VLOOKUP(B1157,'All Menu'!B:D,3,0)</f>
        <v>#N/A</v>
      </c>
      <c r="E1157" s="116" t="e">
        <f t="shared" si="90"/>
        <v>#DIV/0!</v>
      </c>
      <c r="H1157" s="115" t="e">
        <f>VLOOKUP(B1157,'All Menu'!B:J,9,0)</f>
        <v>#N/A</v>
      </c>
      <c r="I1157" s="120" t="e">
        <f>VLOOKUP(B1157,'All Menu'!B:M,12,0)</f>
        <v>#N/A</v>
      </c>
      <c r="J1157" s="114" t="e">
        <f t="shared" si="87"/>
        <v>#N/A</v>
      </c>
      <c r="K1157" s="117" t="e">
        <f t="shared" si="88"/>
        <v>#N/A</v>
      </c>
      <c r="L1157" s="118" t="e">
        <f>VLOOKUP(B1157,'All Menu'!B:G,6,0)</f>
        <v>#N/A</v>
      </c>
      <c r="M1157" s="118" t="e">
        <f t="shared" si="89"/>
        <v>#DIV/0!</v>
      </c>
      <c r="N1157" s="151" t="e">
        <f>VLOOKUP(B1157,'All Menu'!B:H,7,0)</f>
        <v>#N/A</v>
      </c>
    </row>
    <row r="1158" spans="1:14" ht="15.75" customHeight="1">
      <c r="A1158" s="156"/>
      <c r="D1158" s="115" t="e">
        <f>VLOOKUP(B1158,'All Menu'!B:D,3,0)</f>
        <v>#N/A</v>
      </c>
      <c r="E1158" s="116" t="e">
        <f t="shared" si="90"/>
        <v>#DIV/0!</v>
      </c>
      <c r="H1158" s="115" t="e">
        <f>VLOOKUP(B1158,'All Menu'!B:J,9,0)</f>
        <v>#N/A</v>
      </c>
      <c r="I1158" s="120" t="e">
        <f>VLOOKUP(B1158,'All Menu'!B:M,12,0)</f>
        <v>#N/A</v>
      </c>
      <c r="J1158" s="114" t="e">
        <f t="shared" si="87"/>
        <v>#N/A</v>
      </c>
      <c r="K1158" s="117" t="e">
        <f t="shared" si="88"/>
        <v>#N/A</v>
      </c>
      <c r="L1158" s="118" t="e">
        <f>VLOOKUP(B1158,'All Menu'!B:G,6,0)</f>
        <v>#N/A</v>
      </c>
      <c r="M1158" s="118" t="e">
        <f t="shared" si="89"/>
        <v>#DIV/0!</v>
      </c>
      <c r="N1158" s="151" t="e">
        <f>VLOOKUP(B1158,'All Menu'!B:H,7,0)</f>
        <v>#N/A</v>
      </c>
    </row>
    <row r="1159" spans="1:14" ht="15.75" customHeight="1">
      <c r="A1159" s="156"/>
      <c r="D1159" s="115" t="e">
        <f>VLOOKUP(B1159,'All Menu'!B:D,3,0)</f>
        <v>#N/A</v>
      </c>
      <c r="E1159" s="116" t="e">
        <f t="shared" si="90"/>
        <v>#DIV/0!</v>
      </c>
      <c r="H1159" s="115" t="e">
        <f>VLOOKUP(B1159,'All Menu'!B:J,9,0)</f>
        <v>#N/A</v>
      </c>
      <c r="I1159" s="120" t="e">
        <f>VLOOKUP(B1159,'All Menu'!B:M,12,0)</f>
        <v>#N/A</v>
      </c>
      <c r="J1159" s="114" t="e">
        <f t="shared" si="87"/>
        <v>#N/A</v>
      </c>
      <c r="K1159" s="117" t="e">
        <f t="shared" si="88"/>
        <v>#N/A</v>
      </c>
      <c r="L1159" s="118" t="e">
        <f>VLOOKUP(B1159,'All Menu'!B:G,6,0)</f>
        <v>#N/A</v>
      </c>
      <c r="M1159" s="118" t="e">
        <f t="shared" si="89"/>
        <v>#DIV/0!</v>
      </c>
      <c r="N1159" s="151" t="e">
        <f>VLOOKUP(B1159,'All Menu'!B:H,7,0)</f>
        <v>#N/A</v>
      </c>
    </row>
    <row r="1160" spans="1:14" ht="15.75" customHeight="1">
      <c r="A1160" s="156"/>
      <c r="D1160" s="115" t="e">
        <f>VLOOKUP(B1160,'All Menu'!B:D,3,0)</f>
        <v>#N/A</v>
      </c>
      <c r="E1160" s="116" t="e">
        <f t="shared" si="90"/>
        <v>#DIV/0!</v>
      </c>
      <c r="H1160" s="115" t="e">
        <f>VLOOKUP(B1160,'All Menu'!B:J,9,0)</f>
        <v>#N/A</v>
      </c>
      <c r="I1160" s="120" t="e">
        <f>VLOOKUP(B1160,'All Menu'!B:M,12,0)</f>
        <v>#N/A</v>
      </c>
      <c r="J1160" s="114" t="e">
        <f t="shared" si="87"/>
        <v>#N/A</v>
      </c>
      <c r="K1160" s="117" t="e">
        <f t="shared" si="88"/>
        <v>#N/A</v>
      </c>
      <c r="L1160" s="118" t="e">
        <f>VLOOKUP(B1160,'All Menu'!B:G,6,0)</f>
        <v>#N/A</v>
      </c>
      <c r="M1160" s="118" t="e">
        <f t="shared" si="89"/>
        <v>#DIV/0!</v>
      </c>
      <c r="N1160" s="151" t="e">
        <f>VLOOKUP(B1160,'All Menu'!B:H,7,0)</f>
        <v>#N/A</v>
      </c>
    </row>
    <row r="1161" spans="1:14" ht="15.75" customHeight="1">
      <c r="A1161" s="156"/>
      <c r="D1161" s="115" t="e">
        <f>VLOOKUP(B1161,'All Menu'!B:D,3,0)</f>
        <v>#N/A</v>
      </c>
      <c r="E1161" s="116" t="e">
        <f t="shared" si="90"/>
        <v>#DIV/0!</v>
      </c>
      <c r="H1161" s="115" t="e">
        <f>VLOOKUP(B1161,'All Menu'!B:J,9,0)</f>
        <v>#N/A</v>
      </c>
      <c r="I1161" s="120" t="e">
        <f>VLOOKUP(B1161,'All Menu'!B:M,12,0)</f>
        <v>#N/A</v>
      </c>
      <c r="J1161" s="114" t="e">
        <f t="shared" si="87"/>
        <v>#N/A</v>
      </c>
      <c r="K1161" s="117" t="e">
        <f t="shared" si="88"/>
        <v>#N/A</v>
      </c>
      <c r="L1161" s="118" t="e">
        <f>VLOOKUP(B1161,'All Menu'!B:G,6,0)</f>
        <v>#N/A</v>
      </c>
      <c r="M1161" s="118" t="e">
        <f t="shared" si="89"/>
        <v>#DIV/0!</v>
      </c>
      <c r="N1161" s="151" t="e">
        <f>VLOOKUP(B1161,'All Menu'!B:H,7,0)</f>
        <v>#N/A</v>
      </c>
    </row>
    <row r="1162" spans="1:14" ht="15.75" customHeight="1">
      <c r="A1162" s="156"/>
      <c r="D1162" s="115" t="e">
        <f>VLOOKUP(B1162,'All Menu'!B:D,3,0)</f>
        <v>#N/A</v>
      </c>
      <c r="E1162" s="116" t="e">
        <f t="shared" si="90"/>
        <v>#DIV/0!</v>
      </c>
      <c r="H1162" s="115" t="e">
        <f>VLOOKUP(B1162,'All Menu'!B:J,9,0)</f>
        <v>#N/A</v>
      </c>
      <c r="I1162" s="120" t="e">
        <f>VLOOKUP(B1162,'All Menu'!B:M,12,0)</f>
        <v>#N/A</v>
      </c>
      <c r="J1162" s="114" t="e">
        <f t="shared" si="87"/>
        <v>#N/A</v>
      </c>
      <c r="K1162" s="117" t="e">
        <f t="shared" si="88"/>
        <v>#N/A</v>
      </c>
      <c r="L1162" s="118" t="e">
        <f>VLOOKUP(B1162,'All Menu'!B:G,6,0)</f>
        <v>#N/A</v>
      </c>
      <c r="M1162" s="118" t="e">
        <f t="shared" si="89"/>
        <v>#DIV/0!</v>
      </c>
      <c r="N1162" s="151" t="e">
        <f>VLOOKUP(B1162,'All Menu'!B:H,7,0)</f>
        <v>#N/A</v>
      </c>
    </row>
    <row r="1163" spans="1:14" ht="15.75" customHeight="1">
      <c r="A1163" s="156"/>
      <c r="D1163" s="115" t="e">
        <f>VLOOKUP(B1163,'All Menu'!B:D,3,0)</f>
        <v>#N/A</v>
      </c>
      <c r="E1163" s="116" t="e">
        <f t="shared" si="90"/>
        <v>#DIV/0!</v>
      </c>
      <c r="H1163" s="115" t="e">
        <f>VLOOKUP(B1163,'All Menu'!B:J,9,0)</f>
        <v>#N/A</v>
      </c>
      <c r="I1163" s="120" t="e">
        <f>VLOOKUP(B1163,'All Menu'!B:M,12,0)</f>
        <v>#N/A</v>
      </c>
      <c r="J1163" s="114" t="e">
        <f t="shared" si="87"/>
        <v>#N/A</v>
      </c>
      <c r="K1163" s="117" t="e">
        <f t="shared" si="88"/>
        <v>#N/A</v>
      </c>
      <c r="L1163" s="118" t="e">
        <f>VLOOKUP(B1163,'All Menu'!B:G,6,0)</f>
        <v>#N/A</v>
      </c>
      <c r="M1163" s="118" t="e">
        <f t="shared" si="89"/>
        <v>#DIV/0!</v>
      </c>
      <c r="N1163" s="151" t="e">
        <f>VLOOKUP(B1163,'All Menu'!B:H,7,0)</f>
        <v>#N/A</v>
      </c>
    </row>
    <row r="1164" spans="1:14" ht="15.75" customHeight="1">
      <c r="A1164" s="156"/>
      <c r="D1164" s="115" t="e">
        <f>VLOOKUP(B1164,'All Menu'!B:D,3,0)</f>
        <v>#N/A</v>
      </c>
      <c r="E1164" s="116" t="e">
        <f t="shared" si="90"/>
        <v>#DIV/0!</v>
      </c>
      <c r="H1164" s="115" t="e">
        <f>VLOOKUP(B1164,'All Menu'!B:J,9,0)</f>
        <v>#N/A</v>
      </c>
      <c r="I1164" s="120" t="e">
        <f>VLOOKUP(B1164,'All Menu'!B:M,12,0)</f>
        <v>#N/A</v>
      </c>
      <c r="J1164" s="114" t="e">
        <f t="shared" si="87"/>
        <v>#N/A</v>
      </c>
      <c r="K1164" s="117" t="e">
        <f t="shared" si="88"/>
        <v>#N/A</v>
      </c>
      <c r="L1164" s="118" t="e">
        <f>VLOOKUP(B1164,'All Menu'!B:G,6,0)</f>
        <v>#N/A</v>
      </c>
      <c r="M1164" s="118" t="e">
        <f t="shared" si="89"/>
        <v>#DIV/0!</v>
      </c>
      <c r="N1164" s="151" t="e">
        <f>VLOOKUP(B1164,'All Menu'!B:H,7,0)</f>
        <v>#N/A</v>
      </c>
    </row>
    <row r="1165" spans="1:14" ht="15.75" customHeight="1">
      <c r="A1165" s="156"/>
      <c r="D1165" s="115" t="e">
        <f>VLOOKUP(B1165,'All Menu'!B:D,3,0)</f>
        <v>#N/A</v>
      </c>
      <c r="E1165" s="116" t="e">
        <f t="shared" si="90"/>
        <v>#DIV/0!</v>
      </c>
      <c r="H1165" s="115" t="e">
        <f>VLOOKUP(B1165,'All Menu'!B:J,9,0)</f>
        <v>#N/A</v>
      </c>
      <c r="I1165" s="120" t="e">
        <f>VLOOKUP(B1165,'All Menu'!B:M,12,0)</f>
        <v>#N/A</v>
      </c>
      <c r="J1165" s="114" t="e">
        <f t="shared" si="87"/>
        <v>#N/A</v>
      </c>
      <c r="K1165" s="117" t="e">
        <f t="shared" si="88"/>
        <v>#N/A</v>
      </c>
      <c r="L1165" s="118" t="e">
        <f>VLOOKUP(B1165,'All Menu'!B:G,6,0)</f>
        <v>#N/A</v>
      </c>
      <c r="M1165" s="118" t="e">
        <f t="shared" si="89"/>
        <v>#DIV/0!</v>
      </c>
      <c r="N1165" s="151" t="e">
        <f>VLOOKUP(B1165,'All Menu'!B:H,7,0)</f>
        <v>#N/A</v>
      </c>
    </row>
    <row r="1166" spans="1:14" ht="15.75" customHeight="1">
      <c r="A1166" s="156"/>
      <c r="D1166" s="115" t="e">
        <f>VLOOKUP(B1166,'All Menu'!B:D,3,0)</f>
        <v>#N/A</v>
      </c>
      <c r="E1166" s="116" t="e">
        <f t="shared" si="90"/>
        <v>#DIV/0!</v>
      </c>
      <c r="H1166" s="115" t="e">
        <f>VLOOKUP(B1166,'All Menu'!B:J,9,0)</f>
        <v>#N/A</v>
      </c>
      <c r="I1166" s="120" t="e">
        <f>VLOOKUP(B1166,'All Menu'!B:M,12,0)</f>
        <v>#N/A</v>
      </c>
      <c r="J1166" s="114" t="e">
        <f t="shared" si="87"/>
        <v>#N/A</v>
      </c>
      <c r="K1166" s="117" t="e">
        <f t="shared" si="88"/>
        <v>#N/A</v>
      </c>
      <c r="L1166" s="118" t="e">
        <f>VLOOKUP(B1166,'All Menu'!B:G,6,0)</f>
        <v>#N/A</v>
      </c>
      <c r="M1166" s="118" t="e">
        <f t="shared" si="89"/>
        <v>#DIV/0!</v>
      </c>
      <c r="N1166" s="151" t="e">
        <f>VLOOKUP(B1166,'All Menu'!B:H,7,0)</f>
        <v>#N/A</v>
      </c>
    </row>
    <row r="1167" spans="1:14" ht="15.75" customHeight="1">
      <c r="A1167" s="156"/>
      <c r="D1167" s="115" t="e">
        <f>VLOOKUP(B1167,'All Menu'!B:D,3,0)</f>
        <v>#N/A</v>
      </c>
      <c r="E1167" s="116" t="e">
        <f t="shared" si="90"/>
        <v>#DIV/0!</v>
      </c>
      <c r="H1167" s="115" t="e">
        <f>VLOOKUP(B1167,'All Menu'!B:J,9,0)</f>
        <v>#N/A</v>
      </c>
      <c r="I1167" s="120" t="e">
        <f>VLOOKUP(B1167,'All Menu'!B:M,12,0)</f>
        <v>#N/A</v>
      </c>
      <c r="J1167" s="114" t="e">
        <f t="shared" si="87"/>
        <v>#N/A</v>
      </c>
      <c r="K1167" s="117" t="e">
        <f t="shared" si="88"/>
        <v>#N/A</v>
      </c>
      <c r="L1167" s="118" t="e">
        <f>VLOOKUP(B1167,'All Menu'!B:G,6,0)</f>
        <v>#N/A</v>
      </c>
      <c r="M1167" s="118" t="e">
        <f t="shared" si="89"/>
        <v>#DIV/0!</v>
      </c>
      <c r="N1167" s="151" t="e">
        <f>VLOOKUP(B1167,'All Menu'!B:H,7,0)</f>
        <v>#N/A</v>
      </c>
    </row>
    <row r="1168" spans="1:14" ht="15.75" customHeight="1">
      <c r="A1168" s="156"/>
      <c r="D1168" s="115" t="e">
        <f>VLOOKUP(B1168,'All Menu'!B:D,3,0)</f>
        <v>#N/A</v>
      </c>
      <c r="E1168" s="116" t="e">
        <f t="shared" si="90"/>
        <v>#DIV/0!</v>
      </c>
      <c r="H1168" s="115" t="e">
        <f>VLOOKUP(B1168,'All Menu'!B:J,9,0)</f>
        <v>#N/A</v>
      </c>
      <c r="I1168" s="120" t="e">
        <f>VLOOKUP(B1168,'All Menu'!B:M,12,0)</f>
        <v>#N/A</v>
      </c>
      <c r="J1168" s="114" t="e">
        <f t="shared" si="87"/>
        <v>#N/A</v>
      </c>
      <c r="K1168" s="117" t="e">
        <f t="shared" si="88"/>
        <v>#N/A</v>
      </c>
      <c r="L1168" s="118" t="e">
        <f>VLOOKUP(B1168,'All Menu'!B:G,6,0)</f>
        <v>#N/A</v>
      </c>
      <c r="M1168" s="118" t="e">
        <f t="shared" si="89"/>
        <v>#DIV/0!</v>
      </c>
      <c r="N1168" s="151" t="e">
        <f>VLOOKUP(B1168,'All Menu'!B:H,7,0)</f>
        <v>#N/A</v>
      </c>
    </row>
    <row r="1169" spans="1:14" ht="15.75" customHeight="1">
      <c r="A1169" s="156"/>
      <c r="D1169" s="115" t="e">
        <f>VLOOKUP(B1169,'All Menu'!B:D,3,0)</f>
        <v>#N/A</v>
      </c>
      <c r="E1169" s="116" t="e">
        <f t="shared" si="90"/>
        <v>#DIV/0!</v>
      </c>
      <c r="H1169" s="115" t="e">
        <f>VLOOKUP(B1169,'All Menu'!B:J,9,0)</f>
        <v>#N/A</v>
      </c>
      <c r="I1169" s="120" t="e">
        <f>VLOOKUP(B1169,'All Menu'!B:M,12,0)</f>
        <v>#N/A</v>
      </c>
      <c r="J1169" s="114" t="e">
        <f t="shared" si="87"/>
        <v>#N/A</v>
      </c>
      <c r="K1169" s="117" t="e">
        <f t="shared" si="88"/>
        <v>#N/A</v>
      </c>
      <c r="L1169" s="118" t="e">
        <f>VLOOKUP(B1169,'All Menu'!B:G,6,0)</f>
        <v>#N/A</v>
      </c>
      <c r="M1169" s="118" t="e">
        <f t="shared" si="89"/>
        <v>#DIV/0!</v>
      </c>
      <c r="N1169" s="151" t="e">
        <f>VLOOKUP(B1169,'All Menu'!B:H,7,0)</f>
        <v>#N/A</v>
      </c>
    </row>
    <row r="1170" spans="1:14" ht="15.75" customHeight="1">
      <c r="A1170" s="156"/>
      <c r="D1170" s="115" t="e">
        <f>VLOOKUP(B1170,'All Menu'!B:D,3,0)</f>
        <v>#N/A</v>
      </c>
      <c r="E1170" s="116" t="e">
        <f t="shared" si="90"/>
        <v>#DIV/0!</v>
      </c>
      <c r="H1170" s="115" t="e">
        <f>VLOOKUP(B1170,'All Menu'!B:J,9,0)</f>
        <v>#N/A</v>
      </c>
      <c r="I1170" s="120" t="e">
        <f>VLOOKUP(B1170,'All Menu'!B:M,12,0)</f>
        <v>#N/A</v>
      </c>
      <c r="J1170" s="114" t="e">
        <f t="shared" si="87"/>
        <v>#N/A</v>
      </c>
      <c r="K1170" s="117" t="e">
        <f t="shared" si="88"/>
        <v>#N/A</v>
      </c>
      <c r="L1170" s="118" t="e">
        <f>VLOOKUP(B1170,'All Menu'!B:G,6,0)</f>
        <v>#N/A</v>
      </c>
      <c r="M1170" s="118" t="e">
        <f t="shared" si="89"/>
        <v>#DIV/0!</v>
      </c>
      <c r="N1170" s="151" t="e">
        <f>VLOOKUP(B1170,'All Menu'!B:H,7,0)</f>
        <v>#N/A</v>
      </c>
    </row>
    <row r="1171" spans="1:14" ht="15.75" customHeight="1">
      <c r="A1171" s="156"/>
      <c r="D1171" s="115" t="e">
        <f>VLOOKUP(B1171,'All Menu'!B:D,3,0)</f>
        <v>#N/A</v>
      </c>
      <c r="E1171" s="116" t="e">
        <f t="shared" si="90"/>
        <v>#DIV/0!</v>
      </c>
      <c r="H1171" s="115" t="e">
        <f>VLOOKUP(B1171,'All Menu'!B:J,9,0)</f>
        <v>#N/A</v>
      </c>
      <c r="I1171" s="120" t="e">
        <f>VLOOKUP(B1171,'All Menu'!B:M,12,0)</f>
        <v>#N/A</v>
      </c>
      <c r="J1171" s="114" t="e">
        <f t="shared" si="87"/>
        <v>#N/A</v>
      </c>
      <c r="K1171" s="117" t="e">
        <f t="shared" si="88"/>
        <v>#N/A</v>
      </c>
      <c r="L1171" s="118" t="e">
        <f>VLOOKUP(B1171,'All Menu'!B:G,6,0)</f>
        <v>#N/A</v>
      </c>
      <c r="M1171" s="118" t="e">
        <f t="shared" si="89"/>
        <v>#DIV/0!</v>
      </c>
      <c r="N1171" s="151" t="e">
        <f>VLOOKUP(B1171,'All Menu'!B:H,7,0)</f>
        <v>#N/A</v>
      </c>
    </row>
    <row r="1172" spans="1:14" ht="15.75" customHeight="1">
      <c r="A1172" s="156"/>
      <c r="D1172" s="115" t="e">
        <f>VLOOKUP(B1172,'All Menu'!B:D,3,0)</f>
        <v>#N/A</v>
      </c>
      <c r="E1172" s="116" t="e">
        <f t="shared" si="90"/>
        <v>#DIV/0!</v>
      </c>
      <c r="H1172" s="115" t="e">
        <f>VLOOKUP(B1172,'All Menu'!B:J,9,0)</f>
        <v>#N/A</v>
      </c>
      <c r="I1172" s="120" t="e">
        <f>VLOOKUP(B1172,'All Menu'!B:M,12,0)</f>
        <v>#N/A</v>
      </c>
      <c r="J1172" s="114" t="e">
        <f t="shared" si="87"/>
        <v>#N/A</v>
      </c>
      <c r="K1172" s="117" t="e">
        <f t="shared" si="88"/>
        <v>#N/A</v>
      </c>
      <c r="L1172" s="118" t="e">
        <f>VLOOKUP(B1172,'All Menu'!B:G,6,0)</f>
        <v>#N/A</v>
      </c>
      <c r="M1172" s="118" t="e">
        <f t="shared" si="89"/>
        <v>#DIV/0!</v>
      </c>
      <c r="N1172" s="151" t="e">
        <f>VLOOKUP(B1172,'All Menu'!B:H,7,0)</f>
        <v>#N/A</v>
      </c>
    </row>
    <row r="1173" spans="1:14" ht="15.75" customHeight="1">
      <c r="A1173" s="156"/>
      <c r="D1173" s="115" t="e">
        <f>VLOOKUP(B1173,'All Menu'!B:D,3,0)</f>
        <v>#N/A</v>
      </c>
      <c r="E1173" s="116" t="e">
        <f t="shared" si="90"/>
        <v>#DIV/0!</v>
      </c>
      <c r="H1173" s="115" t="e">
        <f>VLOOKUP(B1173,'All Menu'!B:J,9,0)</f>
        <v>#N/A</v>
      </c>
      <c r="I1173" s="120" t="e">
        <f>VLOOKUP(B1173,'All Menu'!B:M,12,0)</f>
        <v>#N/A</v>
      </c>
      <c r="J1173" s="114" t="e">
        <f t="shared" si="87"/>
        <v>#N/A</v>
      </c>
      <c r="K1173" s="117" t="e">
        <f t="shared" si="88"/>
        <v>#N/A</v>
      </c>
      <c r="L1173" s="118" t="e">
        <f>VLOOKUP(B1173,'All Menu'!B:G,6,0)</f>
        <v>#N/A</v>
      </c>
      <c r="M1173" s="118" t="e">
        <f t="shared" si="89"/>
        <v>#DIV/0!</v>
      </c>
      <c r="N1173" s="151" t="e">
        <f>VLOOKUP(B1173,'All Menu'!B:H,7,0)</f>
        <v>#N/A</v>
      </c>
    </row>
    <row r="1174" spans="1:14" ht="15.75" customHeight="1">
      <c r="A1174" s="156"/>
      <c r="D1174" s="115" t="e">
        <f>VLOOKUP(B1174,'All Menu'!B:D,3,0)</f>
        <v>#N/A</v>
      </c>
      <c r="E1174" s="116" t="e">
        <f t="shared" si="90"/>
        <v>#DIV/0!</v>
      </c>
      <c r="H1174" s="115" t="e">
        <f>VLOOKUP(B1174,'All Menu'!B:J,9,0)</f>
        <v>#N/A</v>
      </c>
      <c r="I1174" s="120" t="e">
        <f>VLOOKUP(B1174,'All Menu'!B:M,12,0)</f>
        <v>#N/A</v>
      </c>
      <c r="J1174" s="114" t="e">
        <f t="shared" si="87"/>
        <v>#N/A</v>
      </c>
      <c r="K1174" s="117" t="e">
        <f t="shared" si="88"/>
        <v>#N/A</v>
      </c>
      <c r="L1174" s="118" t="e">
        <f>VLOOKUP(B1174,'All Menu'!B:G,6,0)</f>
        <v>#N/A</v>
      </c>
      <c r="M1174" s="118" t="e">
        <f t="shared" si="89"/>
        <v>#DIV/0!</v>
      </c>
      <c r="N1174" s="151" t="e">
        <f>VLOOKUP(B1174,'All Menu'!B:H,7,0)</f>
        <v>#N/A</v>
      </c>
    </row>
    <row r="1175" spans="1:14" ht="15.75" customHeight="1">
      <c r="A1175" s="156"/>
      <c r="D1175" s="115" t="e">
        <f>VLOOKUP(B1175,'All Menu'!B:D,3,0)</f>
        <v>#N/A</v>
      </c>
      <c r="E1175" s="116" t="e">
        <f t="shared" si="90"/>
        <v>#DIV/0!</v>
      </c>
      <c r="H1175" s="115" t="e">
        <f>VLOOKUP(B1175,'All Menu'!B:J,9,0)</f>
        <v>#N/A</v>
      </c>
      <c r="I1175" s="120" t="e">
        <f>VLOOKUP(B1175,'All Menu'!B:M,12,0)</f>
        <v>#N/A</v>
      </c>
      <c r="J1175" s="114" t="e">
        <f t="shared" si="87"/>
        <v>#N/A</v>
      </c>
      <c r="K1175" s="117" t="e">
        <f t="shared" si="88"/>
        <v>#N/A</v>
      </c>
      <c r="L1175" s="118" t="e">
        <f>VLOOKUP(B1175,'All Menu'!B:G,6,0)</f>
        <v>#N/A</v>
      </c>
      <c r="M1175" s="118" t="e">
        <f t="shared" si="89"/>
        <v>#DIV/0!</v>
      </c>
      <c r="N1175" s="151" t="e">
        <f>VLOOKUP(B1175,'All Menu'!B:H,7,0)</f>
        <v>#N/A</v>
      </c>
    </row>
    <row r="1176" spans="1:14" ht="15.75" customHeight="1">
      <c r="A1176" s="156"/>
      <c r="D1176" s="115" t="e">
        <f>VLOOKUP(B1176,'All Menu'!B:D,3,0)</f>
        <v>#N/A</v>
      </c>
      <c r="E1176" s="116" t="e">
        <f t="shared" si="90"/>
        <v>#DIV/0!</v>
      </c>
      <c r="H1176" s="115" t="e">
        <f>VLOOKUP(B1176,'All Menu'!B:J,9,0)</f>
        <v>#N/A</v>
      </c>
      <c r="I1176" s="120" t="e">
        <f>VLOOKUP(B1176,'All Menu'!B:M,12,0)</f>
        <v>#N/A</v>
      </c>
      <c r="J1176" s="114" t="e">
        <f t="shared" si="87"/>
        <v>#N/A</v>
      </c>
      <c r="K1176" s="117" t="e">
        <f t="shared" si="88"/>
        <v>#N/A</v>
      </c>
      <c r="L1176" s="118" t="e">
        <f>VLOOKUP(B1176,'All Menu'!B:G,6,0)</f>
        <v>#N/A</v>
      </c>
      <c r="M1176" s="118" t="e">
        <f t="shared" si="89"/>
        <v>#DIV/0!</v>
      </c>
      <c r="N1176" s="151" t="e">
        <f>VLOOKUP(B1176,'All Menu'!B:H,7,0)</f>
        <v>#N/A</v>
      </c>
    </row>
    <row r="1177" spans="1:14" ht="15.75" customHeight="1">
      <c r="A1177" s="156"/>
      <c r="D1177" s="115" t="e">
        <f>VLOOKUP(B1177,'All Menu'!B:D,3,0)</f>
        <v>#N/A</v>
      </c>
      <c r="E1177" s="116" t="e">
        <f t="shared" si="90"/>
        <v>#DIV/0!</v>
      </c>
      <c r="H1177" s="115" t="e">
        <f>VLOOKUP(B1177,'All Menu'!B:J,9,0)</f>
        <v>#N/A</v>
      </c>
      <c r="I1177" s="120" t="e">
        <f>VLOOKUP(B1177,'All Menu'!B:M,12,0)</f>
        <v>#N/A</v>
      </c>
      <c r="J1177" s="114" t="e">
        <f t="shared" si="87"/>
        <v>#N/A</v>
      </c>
      <c r="K1177" s="117" t="e">
        <f t="shared" si="88"/>
        <v>#N/A</v>
      </c>
      <c r="L1177" s="118" t="e">
        <f>VLOOKUP(B1177,'All Menu'!B:G,6,0)</f>
        <v>#N/A</v>
      </c>
      <c r="M1177" s="118" t="e">
        <f t="shared" si="89"/>
        <v>#DIV/0!</v>
      </c>
      <c r="N1177" s="151" t="e">
        <f>VLOOKUP(B1177,'All Menu'!B:H,7,0)</f>
        <v>#N/A</v>
      </c>
    </row>
  </sheetData>
  <autoFilter ref="A1:P1826" xr:uid="{00000000-0001-0000-0C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خروف ملحمه</vt:lpstr>
      <vt:lpstr>All Menu</vt:lpstr>
      <vt:lpstr>عرض</vt:lpstr>
      <vt:lpstr>تفصيل الخروف </vt:lpstr>
      <vt:lpstr>مسحوبات المواد الخام</vt:lpstr>
      <vt:lpstr>قطعيات العجل</vt:lpstr>
      <vt:lpstr>Semi Finished Recipe</vt:lpstr>
      <vt:lpstr>تفصيل فخد برازيلي</vt:lpstr>
      <vt:lpstr>Finished Recipe</vt:lpstr>
      <vt:lpstr>Sheet2</vt:lpstr>
      <vt:lpstr>تسعير تفصيل الخروف ملحمه</vt:lpstr>
      <vt:lpstr>تسعير تفصيل الخروف مشغل</vt:lpstr>
      <vt:lpstr>RM &amp; SF</vt:lpstr>
      <vt:lpstr>اصناف تم دمجها</vt:lpstr>
      <vt:lpstr>Sales 6.2026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2026-02-21T07:25:06Z</cp:lastPrinted>
  <dcterms:created xsi:type="dcterms:W3CDTF">2026-02-28T13:16:41Z</dcterms:created>
  <dcterms:modified xsi:type="dcterms:W3CDTF">2026-09-15T13:23:59Z</dcterms:modified>
</cp:coreProperties>
</file>